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36" windowWidth="19872" windowHeight="6900" activeTab="3"/>
  </bookViews>
  <sheets>
    <sheet name="All Folders" sheetId="1" r:id="rId1"/>
    <sheet name="Existing Folders" sheetId="2" r:id="rId2"/>
    <sheet name="Create Folders" sheetId="3" r:id="rId3"/>
    <sheet name="Existing" sheetId="4" r:id="rId4"/>
  </sheets>
  <functionGroups builtInGroupCount="17"/>
  <definedNames>
    <definedName name="_xlnm._FilterDatabase" localSheetId="0" hidden="1">'All Folders'!$A$1:$L$8601</definedName>
    <definedName name="ChartRange" localSheetId="3">OFFSET(Existing!#REF!,1,0,COUNT(Existing!$C:$C))</definedName>
    <definedName name="ChartRange">OFFSET('Create Folders'!#REF!,1,0,COUNT('Create Folders'!$C:$C))</definedName>
    <definedName name="Folder_Path">'Create Folders'!$C$7</definedName>
  </definedNames>
  <calcPr calcId="144525"/>
</workbook>
</file>

<file path=xl/calcChain.xml><?xml version="1.0" encoding="utf-8"?>
<calcChain xmlns="http://schemas.openxmlformats.org/spreadsheetml/2006/main">
  <c r="K8601" i="1" l="1"/>
  <c r="K8600" i="1"/>
  <c r="K8599" i="1"/>
  <c r="K8598" i="1"/>
  <c r="K8597" i="1"/>
  <c r="K8596" i="1"/>
  <c r="K8595" i="1"/>
  <c r="K8594" i="1"/>
  <c r="K8593" i="1"/>
  <c r="K8592" i="1"/>
  <c r="K8591" i="1"/>
  <c r="K8590" i="1"/>
  <c r="K8589" i="1"/>
  <c r="K8588" i="1"/>
  <c r="K8587" i="1"/>
  <c r="K8586" i="1"/>
  <c r="K8585" i="1"/>
  <c r="K8584" i="1"/>
  <c r="K8583" i="1"/>
  <c r="K8582" i="1"/>
  <c r="K8581" i="1"/>
  <c r="K8580" i="1"/>
  <c r="K8579" i="1"/>
  <c r="K8578" i="1"/>
  <c r="K8577" i="1"/>
  <c r="K8576" i="1"/>
  <c r="K8575" i="1"/>
  <c r="K8574" i="1"/>
  <c r="K8573" i="1"/>
  <c r="K8572" i="1"/>
  <c r="K8571" i="1"/>
  <c r="K8570" i="1"/>
  <c r="K8569" i="1"/>
  <c r="K8568" i="1"/>
  <c r="K8567" i="1"/>
  <c r="K8566" i="1"/>
  <c r="K8565" i="1"/>
  <c r="K8564" i="1"/>
  <c r="K8563" i="1"/>
  <c r="K8562" i="1"/>
  <c r="K8561" i="1"/>
  <c r="K8560" i="1"/>
  <c r="K8559" i="1"/>
  <c r="K8558" i="1"/>
  <c r="K8557" i="1"/>
  <c r="K8556" i="1"/>
  <c r="K8555" i="1"/>
  <c r="K8554" i="1"/>
  <c r="K8553" i="1"/>
  <c r="K8552" i="1"/>
  <c r="K8551" i="1"/>
  <c r="K8550" i="1"/>
  <c r="K8549" i="1"/>
  <c r="K8548" i="1"/>
  <c r="K8547" i="1"/>
  <c r="K8546" i="1"/>
  <c r="K8545" i="1"/>
  <c r="K8544" i="1"/>
  <c r="K8543" i="1"/>
  <c r="K8542" i="1"/>
  <c r="K8541" i="1"/>
  <c r="K8540" i="1"/>
  <c r="K8539" i="1"/>
  <c r="K8538" i="1"/>
  <c r="K8537" i="1"/>
  <c r="K8536" i="1"/>
  <c r="K8535" i="1"/>
  <c r="K8534" i="1"/>
  <c r="K8533" i="1"/>
  <c r="K8532" i="1"/>
  <c r="K8531" i="1"/>
  <c r="K8530" i="1"/>
  <c r="K8529" i="1"/>
  <c r="K8528" i="1"/>
  <c r="K8527" i="1"/>
  <c r="K8526" i="1"/>
  <c r="K8525" i="1"/>
  <c r="K8524" i="1"/>
  <c r="K8523" i="1"/>
  <c r="K8522" i="1"/>
  <c r="K8521" i="1"/>
  <c r="K8520" i="1"/>
  <c r="K8519" i="1"/>
  <c r="K8518" i="1"/>
  <c r="K8517" i="1"/>
  <c r="K8516" i="1"/>
  <c r="K8515" i="1"/>
  <c r="K8514" i="1"/>
  <c r="K8513" i="1"/>
  <c r="K8512" i="1"/>
  <c r="K8511" i="1"/>
  <c r="K8510" i="1"/>
  <c r="K8509" i="1"/>
  <c r="K8508" i="1"/>
  <c r="K8507" i="1"/>
  <c r="K8506" i="1"/>
  <c r="K8505" i="1"/>
  <c r="K8504" i="1"/>
  <c r="K8503" i="1"/>
  <c r="K8502" i="1"/>
  <c r="K8501" i="1"/>
  <c r="K8500" i="1"/>
  <c r="K8499" i="1"/>
  <c r="K8498" i="1"/>
  <c r="K8497" i="1"/>
  <c r="K8496" i="1"/>
  <c r="K8495" i="1"/>
  <c r="K8494" i="1"/>
  <c r="K8493" i="1"/>
  <c r="K8492" i="1"/>
  <c r="K8491" i="1"/>
  <c r="K8490" i="1"/>
  <c r="K8489" i="1"/>
  <c r="K8488" i="1"/>
  <c r="K8487" i="1"/>
  <c r="K8486" i="1"/>
  <c r="K8485" i="1"/>
  <c r="K8484" i="1"/>
  <c r="K8483" i="1"/>
  <c r="K8482" i="1"/>
  <c r="K8481" i="1"/>
  <c r="K8480" i="1"/>
  <c r="K8479" i="1"/>
  <c r="K8478" i="1"/>
  <c r="K8477" i="1"/>
  <c r="K8476" i="1"/>
  <c r="K8475" i="1"/>
  <c r="K8474" i="1"/>
  <c r="K8473" i="1"/>
  <c r="K8472" i="1"/>
  <c r="K8471" i="1"/>
  <c r="K8470" i="1"/>
  <c r="K8469" i="1"/>
  <c r="K8468" i="1"/>
  <c r="K8467" i="1"/>
  <c r="K8466" i="1"/>
  <c r="K8465" i="1"/>
  <c r="K8464" i="1"/>
  <c r="K8463" i="1"/>
  <c r="K8462" i="1"/>
  <c r="K8461" i="1"/>
  <c r="K8460" i="1"/>
  <c r="K8459" i="1"/>
  <c r="K8458" i="1"/>
  <c r="K8457" i="1"/>
  <c r="K8456" i="1"/>
  <c r="K8455" i="1"/>
  <c r="K8454" i="1"/>
  <c r="K8453" i="1"/>
  <c r="K8452" i="1"/>
  <c r="K8451" i="1"/>
  <c r="K8450" i="1"/>
  <c r="K8449" i="1"/>
  <c r="K8448" i="1"/>
  <c r="K8447" i="1"/>
  <c r="K8446" i="1"/>
  <c r="K8445" i="1"/>
  <c r="K8444" i="1"/>
  <c r="K8443" i="1"/>
  <c r="K8442" i="1"/>
  <c r="K8441" i="1"/>
  <c r="K8440" i="1"/>
  <c r="K8439" i="1"/>
  <c r="K8438" i="1"/>
  <c r="K8437" i="1"/>
  <c r="K8436" i="1"/>
  <c r="K8435" i="1"/>
  <c r="K8434" i="1"/>
  <c r="K8433" i="1"/>
  <c r="K8432" i="1"/>
  <c r="K8431" i="1"/>
  <c r="K8430" i="1"/>
  <c r="K8429" i="1"/>
  <c r="K8428" i="1"/>
  <c r="K8427" i="1"/>
  <c r="K8426" i="1"/>
  <c r="K8425" i="1"/>
  <c r="K8424" i="1"/>
  <c r="K8423" i="1"/>
  <c r="K8422" i="1"/>
  <c r="K8421" i="1"/>
  <c r="K8420" i="1"/>
  <c r="K8419" i="1"/>
  <c r="K8418" i="1"/>
  <c r="K8417" i="1"/>
  <c r="K8416" i="1"/>
  <c r="K8415" i="1"/>
  <c r="K8414" i="1"/>
  <c r="K8413" i="1"/>
  <c r="K8412" i="1"/>
  <c r="K8411" i="1"/>
  <c r="K8410" i="1"/>
  <c r="K8409" i="1"/>
  <c r="K8408" i="1"/>
  <c r="K8407" i="1"/>
  <c r="K8406" i="1"/>
  <c r="K8405" i="1"/>
  <c r="K8404" i="1"/>
  <c r="K8403" i="1"/>
  <c r="K8402" i="1"/>
  <c r="K8401" i="1"/>
  <c r="K8400" i="1"/>
  <c r="K8399" i="1"/>
  <c r="K8398" i="1"/>
  <c r="K8397" i="1"/>
  <c r="K8396" i="1"/>
  <c r="K8395" i="1"/>
  <c r="K8394" i="1"/>
  <c r="K8393" i="1"/>
  <c r="K8392" i="1"/>
  <c r="K8391" i="1"/>
  <c r="K8390" i="1"/>
  <c r="K8389" i="1"/>
  <c r="K8388" i="1"/>
  <c r="K8387" i="1"/>
  <c r="K8386" i="1"/>
  <c r="K8385" i="1"/>
  <c r="K8384" i="1"/>
  <c r="K8383" i="1"/>
  <c r="K8382" i="1"/>
  <c r="K8381" i="1"/>
  <c r="K8380" i="1"/>
  <c r="K8379" i="1"/>
  <c r="K8378" i="1"/>
  <c r="K8377" i="1"/>
  <c r="K8376" i="1"/>
  <c r="K8375" i="1"/>
  <c r="K8374" i="1"/>
  <c r="K8373" i="1"/>
  <c r="K8372" i="1"/>
  <c r="K8371" i="1"/>
  <c r="K8370" i="1"/>
  <c r="K8369" i="1"/>
  <c r="K8368" i="1"/>
  <c r="K8367" i="1"/>
  <c r="K8366" i="1"/>
  <c r="K8365" i="1"/>
  <c r="K8364" i="1"/>
  <c r="K8363" i="1"/>
  <c r="K8362" i="1"/>
  <c r="K8361" i="1"/>
  <c r="K8360" i="1"/>
  <c r="K8359" i="1"/>
  <c r="K8358" i="1"/>
  <c r="K8357" i="1"/>
  <c r="K8356" i="1"/>
  <c r="K8355" i="1"/>
  <c r="K8354" i="1"/>
  <c r="K8353" i="1"/>
  <c r="K8352" i="1"/>
  <c r="K8351" i="1"/>
  <c r="K8350" i="1"/>
  <c r="K8349" i="1"/>
  <c r="K8348" i="1"/>
  <c r="K8347" i="1"/>
  <c r="K8346" i="1"/>
  <c r="K8345" i="1"/>
  <c r="K8344" i="1"/>
  <c r="K8343" i="1"/>
  <c r="K8342" i="1"/>
  <c r="K8341" i="1"/>
  <c r="K8340" i="1"/>
  <c r="K8339" i="1"/>
  <c r="K8338" i="1"/>
  <c r="K8337" i="1"/>
  <c r="K8336" i="1"/>
  <c r="K8335" i="1"/>
  <c r="K8334" i="1"/>
  <c r="K8333" i="1"/>
  <c r="K8332" i="1"/>
  <c r="K8331" i="1"/>
  <c r="K8330" i="1"/>
  <c r="K8329" i="1"/>
  <c r="K8328" i="1"/>
  <c r="K8327" i="1"/>
  <c r="K8326" i="1"/>
  <c r="K8325" i="1"/>
  <c r="K8324" i="1"/>
  <c r="K8323" i="1"/>
  <c r="K8322" i="1"/>
  <c r="K8321" i="1"/>
  <c r="K8320" i="1"/>
  <c r="K8319" i="1"/>
  <c r="K8318" i="1"/>
  <c r="K8317" i="1"/>
  <c r="K8316" i="1"/>
  <c r="K8315" i="1"/>
  <c r="K8314" i="1"/>
  <c r="K8313" i="1"/>
  <c r="K8312" i="1"/>
  <c r="K8311" i="1"/>
  <c r="K8310" i="1"/>
  <c r="K8309" i="1"/>
  <c r="K8308" i="1"/>
  <c r="K8307" i="1"/>
  <c r="K8306" i="1"/>
  <c r="K8305" i="1"/>
  <c r="K8304" i="1"/>
  <c r="K8303" i="1"/>
  <c r="K8302" i="1"/>
  <c r="K8301" i="1"/>
  <c r="K8300" i="1"/>
  <c r="K8299" i="1"/>
  <c r="K8298" i="1"/>
  <c r="K8297" i="1"/>
  <c r="K8296" i="1"/>
  <c r="K8295" i="1"/>
  <c r="K8294" i="1"/>
  <c r="K8293" i="1"/>
  <c r="K8292" i="1"/>
  <c r="K8291" i="1"/>
  <c r="K8290" i="1"/>
  <c r="K8289" i="1"/>
  <c r="K8288" i="1"/>
  <c r="K8287" i="1"/>
  <c r="K8286" i="1"/>
  <c r="K8285" i="1"/>
  <c r="K8284" i="1"/>
  <c r="K8283" i="1"/>
  <c r="K8282" i="1"/>
  <c r="K8281" i="1"/>
  <c r="K8280" i="1"/>
  <c r="K8279" i="1"/>
  <c r="K8278" i="1"/>
  <c r="K8277" i="1"/>
  <c r="K8276" i="1"/>
  <c r="K8275" i="1"/>
  <c r="K8274" i="1"/>
  <c r="K8273" i="1"/>
  <c r="K8272" i="1"/>
  <c r="K8271" i="1"/>
  <c r="K8270" i="1"/>
  <c r="K8269" i="1"/>
  <c r="K8268" i="1"/>
  <c r="K8267" i="1"/>
  <c r="K8266" i="1"/>
  <c r="K8265" i="1"/>
  <c r="K8264" i="1"/>
  <c r="K8263" i="1"/>
  <c r="K8262" i="1"/>
  <c r="K8261" i="1"/>
  <c r="K8260" i="1"/>
  <c r="K8259" i="1"/>
  <c r="K8258" i="1"/>
  <c r="K8257" i="1"/>
  <c r="K8256" i="1"/>
  <c r="K8255" i="1"/>
  <c r="K8254" i="1"/>
  <c r="K8253" i="1"/>
  <c r="K8252" i="1"/>
  <c r="K8251" i="1"/>
  <c r="K8250" i="1"/>
  <c r="K8249" i="1"/>
  <c r="K8248" i="1"/>
  <c r="K8247" i="1"/>
  <c r="K8246" i="1"/>
  <c r="K8245" i="1"/>
  <c r="K8244" i="1"/>
  <c r="K8243" i="1"/>
  <c r="K8242" i="1"/>
  <c r="K8241" i="1"/>
  <c r="K8240" i="1"/>
  <c r="K8239" i="1"/>
  <c r="K8238" i="1"/>
  <c r="K8237" i="1"/>
  <c r="K8236" i="1"/>
  <c r="K8235" i="1"/>
  <c r="K8234" i="1"/>
  <c r="K8233" i="1"/>
  <c r="K8232" i="1"/>
  <c r="K8231" i="1"/>
  <c r="K8230" i="1"/>
  <c r="K8229" i="1"/>
  <c r="K8228" i="1"/>
  <c r="K8227" i="1"/>
  <c r="K8226" i="1"/>
  <c r="K8225" i="1"/>
  <c r="K8224" i="1"/>
  <c r="K8223" i="1"/>
  <c r="K8222" i="1"/>
  <c r="K8221" i="1"/>
  <c r="K8220" i="1"/>
  <c r="K8219" i="1"/>
  <c r="K8218" i="1"/>
  <c r="K8217" i="1"/>
  <c r="K8216" i="1"/>
  <c r="K8215" i="1"/>
  <c r="K8214" i="1"/>
  <c r="K8213" i="1"/>
  <c r="K8212" i="1"/>
  <c r="K8211" i="1"/>
  <c r="K8210" i="1"/>
  <c r="K8209" i="1"/>
  <c r="K8208" i="1"/>
  <c r="K8207" i="1"/>
  <c r="K8206" i="1"/>
  <c r="K8205" i="1"/>
  <c r="K8204" i="1"/>
  <c r="K8203" i="1"/>
  <c r="K8202" i="1"/>
  <c r="K8201" i="1"/>
  <c r="K8200" i="1"/>
  <c r="K8199" i="1"/>
  <c r="K8198" i="1"/>
  <c r="K8197" i="1"/>
  <c r="K8196" i="1"/>
  <c r="K8195" i="1"/>
  <c r="K8194" i="1"/>
  <c r="K8193" i="1"/>
  <c r="K8192" i="1"/>
  <c r="K8191" i="1"/>
  <c r="K8190" i="1"/>
  <c r="K8189" i="1"/>
  <c r="K8188" i="1"/>
  <c r="K8187" i="1"/>
  <c r="K8186" i="1"/>
  <c r="K8185" i="1"/>
  <c r="K8184" i="1"/>
  <c r="K8183" i="1"/>
  <c r="K8182" i="1"/>
  <c r="K8181" i="1"/>
  <c r="K8180" i="1"/>
  <c r="K8179" i="1"/>
  <c r="K8178" i="1"/>
  <c r="K8177" i="1"/>
  <c r="K8176" i="1"/>
  <c r="K8175" i="1"/>
  <c r="K8174" i="1"/>
  <c r="K8173" i="1"/>
  <c r="K8172" i="1"/>
  <c r="K8171" i="1"/>
  <c r="K8170" i="1"/>
  <c r="K8169" i="1"/>
  <c r="K8168" i="1"/>
  <c r="K8167" i="1"/>
  <c r="K8166" i="1"/>
  <c r="K8165" i="1"/>
  <c r="K8164" i="1"/>
  <c r="K8163" i="1"/>
  <c r="K8162" i="1"/>
  <c r="K8161" i="1"/>
  <c r="K8160" i="1"/>
  <c r="K8159" i="1"/>
  <c r="K8158" i="1"/>
  <c r="K8157" i="1"/>
  <c r="K8156" i="1"/>
  <c r="K8155" i="1"/>
  <c r="K8154" i="1"/>
  <c r="K8153" i="1"/>
  <c r="K8152" i="1"/>
  <c r="K8151" i="1"/>
  <c r="K8150" i="1"/>
  <c r="K8149" i="1"/>
  <c r="K8148" i="1"/>
  <c r="K8147" i="1"/>
  <c r="K8146" i="1"/>
  <c r="K8145" i="1"/>
  <c r="K8144" i="1"/>
  <c r="K8143" i="1"/>
  <c r="K8142" i="1"/>
  <c r="K8141" i="1"/>
  <c r="K8140" i="1"/>
  <c r="K8139" i="1"/>
  <c r="K8138" i="1"/>
  <c r="K8137" i="1"/>
  <c r="K8136" i="1"/>
  <c r="K8135" i="1"/>
  <c r="K8134" i="1"/>
  <c r="K8133" i="1"/>
  <c r="K8132" i="1"/>
  <c r="K8131" i="1"/>
  <c r="K8130" i="1"/>
  <c r="K8129" i="1"/>
  <c r="K8128" i="1"/>
  <c r="K8127" i="1"/>
  <c r="K8126" i="1"/>
  <c r="K8125" i="1"/>
  <c r="K8124" i="1"/>
  <c r="K8123" i="1"/>
  <c r="K8122" i="1"/>
  <c r="K8121" i="1"/>
  <c r="K8120" i="1"/>
  <c r="K8119" i="1"/>
  <c r="K8118" i="1"/>
  <c r="K8117" i="1"/>
  <c r="K8116" i="1"/>
  <c r="K8115" i="1"/>
  <c r="K8114" i="1"/>
  <c r="K8113" i="1"/>
  <c r="K8112" i="1"/>
  <c r="K8111" i="1"/>
  <c r="K8110" i="1"/>
  <c r="K8109" i="1"/>
  <c r="K8108" i="1"/>
  <c r="K8107" i="1"/>
  <c r="K8106" i="1"/>
  <c r="K8105" i="1"/>
  <c r="K8104" i="1"/>
  <c r="K8103" i="1"/>
  <c r="K8102" i="1"/>
  <c r="K8101" i="1"/>
  <c r="K8100" i="1"/>
  <c r="K8099" i="1"/>
  <c r="K8098" i="1"/>
  <c r="K8097" i="1"/>
  <c r="K8096" i="1"/>
  <c r="K8095" i="1"/>
  <c r="K8094" i="1"/>
  <c r="K8093" i="1"/>
  <c r="K8092" i="1"/>
  <c r="K8091" i="1"/>
  <c r="K8090" i="1"/>
  <c r="K8089" i="1"/>
  <c r="K8088" i="1"/>
  <c r="K8087" i="1"/>
  <c r="K8086" i="1"/>
  <c r="K8085" i="1"/>
  <c r="K8084" i="1"/>
  <c r="K8083" i="1"/>
  <c r="K8082" i="1"/>
  <c r="K8081" i="1"/>
  <c r="K8080" i="1"/>
  <c r="K8079" i="1"/>
  <c r="K8078" i="1"/>
  <c r="K8077" i="1"/>
  <c r="K8076" i="1"/>
  <c r="K8075" i="1"/>
  <c r="K8074" i="1"/>
  <c r="K8073" i="1"/>
  <c r="K8072" i="1"/>
  <c r="K8071" i="1"/>
  <c r="K8070" i="1"/>
  <c r="K8069" i="1"/>
  <c r="K8068" i="1"/>
  <c r="K8067" i="1"/>
  <c r="K8066" i="1"/>
  <c r="K8065" i="1"/>
  <c r="K8064" i="1"/>
  <c r="K8063" i="1"/>
  <c r="K8062" i="1"/>
  <c r="K8061" i="1"/>
  <c r="K8060" i="1"/>
  <c r="K8059" i="1"/>
  <c r="K8058" i="1"/>
  <c r="K8057" i="1"/>
  <c r="K8056" i="1"/>
  <c r="K8055" i="1"/>
  <c r="K8054" i="1"/>
  <c r="K8053" i="1"/>
  <c r="K8052" i="1"/>
  <c r="K8051" i="1"/>
  <c r="K8050" i="1"/>
  <c r="K8049" i="1"/>
  <c r="K8048" i="1"/>
  <c r="K8047" i="1"/>
  <c r="K8046" i="1"/>
  <c r="K8045" i="1"/>
  <c r="K8044" i="1"/>
  <c r="K8043" i="1"/>
  <c r="K8042" i="1"/>
  <c r="K8041" i="1"/>
  <c r="K8040" i="1"/>
  <c r="K8039" i="1"/>
  <c r="K8038" i="1"/>
  <c r="K8037" i="1"/>
  <c r="K8036" i="1"/>
  <c r="K8035" i="1"/>
  <c r="K8034" i="1"/>
  <c r="K8033" i="1"/>
  <c r="K8032" i="1"/>
  <c r="K8031" i="1"/>
  <c r="K8030" i="1"/>
  <c r="K8029" i="1"/>
  <c r="K8028" i="1"/>
  <c r="K8027" i="1"/>
  <c r="K8026" i="1"/>
  <c r="K8025" i="1"/>
  <c r="K8024" i="1"/>
  <c r="K8023" i="1"/>
  <c r="K8022" i="1"/>
  <c r="K8021" i="1"/>
  <c r="K8020" i="1"/>
  <c r="K8019" i="1"/>
  <c r="K8018" i="1"/>
  <c r="K8017" i="1"/>
  <c r="K8016" i="1"/>
  <c r="K8015" i="1"/>
  <c r="K8014" i="1"/>
  <c r="K8013" i="1"/>
  <c r="K8012" i="1"/>
  <c r="K8011" i="1"/>
  <c r="K8010" i="1"/>
  <c r="K8009" i="1"/>
  <c r="K8008" i="1"/>
  <c r="K8007" i="1"/>
  <c r="K8006" i="1"/>
  <c r="K8005" i="1"/>
  <c r="K8004" i="1"/>
  <c r="K8003" i="1"/>
  <c r="K8002" i="1"/>
  <c r="K8001" i="1"/>
  <c r="K8000" i="1"/>
  <c r="K7999" i="1"/>
  <c r="K7998" i="1"/>
  <c r="K7997" i="1"/>
  <c r="K7996" i="1"/>
  <c r="K7995" i="1"/>
  <c r="K7994" i="1"/>
  <c r="K7993" i="1"/>
  <c r="K7992" i="1"/>
  <c r="K7991" i="1"/>
  <c r="K7990" i="1"/>
  <c r="K7989" i="1"/>
  <c r="K7988" i="1"/>
  <c r="K7987" i="1"/>
  <c r="K7986" i="1"/>
  <c r="K7985" i="1"/>
  <c r="K7984" i="1"/>
  <c r="K7983" i="1"/>
  <c r="K7982" i="1"/>
  <c r="K7981" i="1"/>
  <c r="K7980" i="1"/>
  <c r="K7979" i="1"/>
  <c r="K7978" i="1"/>
  <c r="K7977" i="1"/>
  <c r="K7976" i="1"/>
  <c r="K7975" i="1"/>
  <c r="K7974" i="1"/>
  <c r="K7973" i="1"/>
  <c r="K7972" i="1"/>
  <c r="K7971" i="1"/>
  <c r="K7970" i="1"/>
  <c r="K7969" i="1"/>
  <c r="K7968" i="1"/>
  <c r="K7967" i="1"/>
  <c r="K7966" i="1"/>
  <c r="K7965" i="1"/>
  <c r="K7964" i="1"/>
  <c r="K7963" i="1"/>
  <c r="K7962" i="1"/>
  <c r="K7961" i="1"/>
  <c r="K7960" i="1"/>
  <c r="K7959" i="1"/>
  <c r="K7958" i="1"/>
  <c r="K7957" i="1"/>
  <c r="K7956" i="1"/>
  <c r="K7955" i="1"/>
  <c r="K7954" i="1"/>
  <c r="K7953" i="1"/>
  <c r="K7952" i="1"/>
  <c r="K7951" i="1"/>
  <c r="K7950" i="1"/>
  <c r="K7949" i="1"/>
  <c r="K7948" i="1"/>
  <c r="K7947" i="1"/>
  <c r="K7946" i="1"/>
  <c r="K7945" i="1"/>
  <c r="K7944" i="1"/>
  <c r="K7943" i="1"/>
  <c r="K7942" i="1"/>
  <c r="K7941" i="1"/>
  <c r="K7940" i="1"/>
  <c r="K7939" i="1"/>
  <c r="K7938" i="1"/>
  <c r="K7937" i="1"/>
  <c r="K7936" i="1"/>
  <c r="K7935" i="1"/>
  <c r="K7934" i="1"/>
  <c r="K7933" i="1"/>
  <c r="K7932" i="1"/>
  <c r="K7931" i="1"/>
  <c r="K7930" i="1"/>
  <c r="K7929" i="1"/>
  <c r="K7928" i="1"/>
  <c r="K7927" i="1"/>
  <c r="K7926" i="1"/>
  <c r="K7925" i="1"/>
  <c r="K7924" i="1"/>
  <c r="K7923" i="1"/>
  <c r="K7922" i="1"/>
  <c r="K7921" i="1"/>
  <c r="K7920" i="1"/>
  <c r="K7919" i="1"/>
  <c r="K7918" i="1"/>
  <c r="K7917" i="1"/>
  <c r="K7916" i="1"/>
  <c r="K7915" i="1"/>
  <c r="K7914" i="1"/>
  <c r="K7913" i="1"/>
  <c r="K7912" i="1"/>
  <c r="K7911" i="1"/>
  <c r="K7910" i="1"/>
  <c r="K7909" i="1"/>
  <c r="K7908" i="1"/>
  <c r="K7907" i="1"/>
  <c r="K7906" i="1"/>
  <c r="K7905" i="1"/>
  <c r="K7904" i="1"/>
  <c r="K7903" i="1"/>
  <c r="K7902" i="1"/>
  <c r="K7901" i="1"/>
  <c r="K7900" i="1"/>
  <c r="K7899" i="1"/>
  <c r="K7898" i="1"/>
  <c r="K7897" i="1"/>
  <c r="K7896" i="1"/>
  <c r="K7895" i="1"/>
  <c r="K7894" i="1"/>
  <c r="K7893" i="1"/>
  <c r="K7892" i="1"/>
  <c r="K7891" i="1"/>
  <c r="K7890" i="1"/>
  <c r="K7889" i="1"/>
  <c r="K7888" i="1"/>
  <c r="K7887" i="1"/>
  <c r="K7886" i="1"/>
  <c r="K7885" i="1"/>
  <c r="K7884" i="1"/>
  <c r="K7883" i="1"/>
  <c r="K7882" i="1"/>
  <c r="K7881" i="1"/>
  <c r="K7880" i="1"/>
  <c r="K7879" i="1"/>
  <c r="K7878" i="1"/>
  <c r="K7877" i="1"/>
  <c r="K7876" i="1"/>
  <c r="K7875" i="1"/>
  <c r="K7874" i="1"/>
  <c r="K7873" i="1"/>
  <c r="K7872" i="1"/>
  <c r="K7871" i="1"/>
  <c r="K7870" i="1"/>
  <c r="K7869" i="1"/>
  <c r="K7868" i="1"/>
  <c r="K7867" i="1"/>
  <c r="K7866" i="1"/>
  <c r="K7865" i="1"/>
  <c r="K7864" i="1"/>
  <c r="K7863" i="1"/>
  <c r="K7862" i="1"/>
  <c r="K7861" i="1"/>
  <c r="K7860" i="1"/>
  <c r="K7859" i="1"/>
  <c r="K7858" i="1"/>
  <c r="K7857" i="1"/>
  <c r="K7856" i="1"/>
  <c r="K7855" i="1"/>
  <c r="K7854" i="1"/>
  <c r="K7853" i="1"/>
  <c r="K7852" i="1"/>
  <c r="K7851" i="1"/>
  <c r="K7850" i="1"/>
  <c r="K7849" i="1"/>
  <c r="K7848" i="1"/>
  <c r="K7847" i="1"/>
  <c r="K7846" i="1"/>
  <c r="K7845" i="1"/>
  <c r="K7844" i="1"/>
  <c r="K7843" i="1"/>
  <c r="K7842" i="1"/>
  <c r="K7841" i="1"/>
  <c r="K7840" i="1"/>
  <c r="K7839" i="1"/>
  <c r="K7838" i="1"/>
  <c r="K7837" i="1"/>
  <c r="K7836" i="1"/>
  <c r="K7835" i="1"/>
  <c r="K7834" i="1"/>
  <c r="K7833" i="1"/>
  <c r="K7832" i="1"/>
  <c r="K7831" i="1"/>
  <c r="K7830" i="1"/>
  <c r="K7829" i="1"/>
  <c r="K7828" i="1"/>
  <c r="K7827" i="1"/>
  <c r="K7826" i="1"/>
  <c r="K7825" i="1"/>
  <c r="K7824" i="1"/>
  <c r="K7823" i="1"/>
  <c r="K7822" i="1"/>
  <c r="K7821" i="1"/>
  <c r="K7820" i="1"/>
  <c r="K7819" i="1"/>
  <c r="K7818" i="1"/>
  <c r="K7817" i="1"/>
  <c r="K7816" i="1"/>
  <c r="K7815" i="1"/>
  <c r="K7814" i="1"/>
  <c r="K7813" i="1"/>
  <c r="K7812" i="1"/>
  <c r="K7811" i="1"/>
  <c r="K7810" i="1"/>
  <c r="K7809" i="1"/>
  <c r="K7808" i="1"/>
  <c r="K7807" i="1"/>
  <c r="K7806" i="1"/>
  <c r="K7805" i="1"/>
  <c r="K7804" i="1"/>
  <c r="K7803" i="1"/>
  <c r="K7802" i="1"/>
  <c r="K7801" i="1"/>
  <c r="K7800" i="1"/>
  <c r="K7799" i="1"/>
  <c r="K7798" i="1"/>
  <c r="K7797" i="1"/>
  <c r="K7796" i="1"/>
  <c r="K7795" i="1"/>
  <c r="K7794" i="1"/>
  <c r="K7793" i="1"/>
  <c r="K7792" i="1"/>
  <c r="K7791" i="1"/>
  <c r="K7790" i="1"/>
  <c r="K7789" i="1"/>
  <c r="K7788" i="1"/>
  <c r="K7787" i="1"/>
  <c r="K7786" i="1"/>
  <c r="K7785" i="1"/>
  <c r="K7784" i="1"/>
  <c r="K7783" i="1"/>
  <c r="K7782" i="1"/>
  <c r="K7781" i="1"/>
  <c r="K7780" i="1"/>
  <c r="K7779" i="1"/>
  <c r="K7778" i="1"/>
  <c r="K7777" i="1"/>
  <c r="K7776" i="1"/>
  <c r="K7775" i="1"/>
  <c r="K7774" i="1"/>
  <c r="K7773" i="1"/>
  <c r="K7772" i="1"/>
  <c r="K7771" i="1"/>
  <c r="K7770" i="1"/>
  <c r="K7769" i="1"/>
  <c r="K7768" i="1"/>
  <c r="K7767" i="1"/>
  <c r="K7766" i="1"/>
  <c r="K7765" i="1"/>
  <c r="K7764" i="1"/>
  <c r="K7763" i="1"/>
  <c r="K7762" i="1"/>
  <c r="K7761" i="1"/>
  <c r="K7760" i="1"/>
  <c r="K7759" i="1"/>
  <c r="K7758" i="1"/>
  <c r="K7757" i="1"/>
  <c r="K7756" i="1"/>
  <c r="K7755" i="1"/>
  <c r="K7754" i="1"/>
  <c r="K7753" i="1"/>
  <c r="K7752" i="1"/>
  <c r="K7751" i="1"/>
  <c r="K7750" i="1"/>
  <c r="K7749" i="1"/>
  <c r="K7748" i="1"/>
  <c r="K7747" i="1"/>
  <c r="K7746" i="1"/>
  <c r="K7745" i="1"/>
  <c r="K7744" i="1"/>
  <c r="K7743" i="1"/>
  <c r="K7742" i="1"/>
  <c r="K7741" i="1"/>
  <c r="K7740" i="1"/>
  <c r="K7739" i="1"/>
  <c r="K7738" i="1"/>
  <c r="K7737" i="1"/>
  <c r="K7736" i="1"/>
  <c r="K7735" i="1"/>
  <c r="K7734" i="1"/>
  <c r="K7733" i="1"/>
  <c r="K7732" i="1"/>
  <c r="K7731" i="1"/>
  <c r="K7730" i="1"/>
  <c r="K7729" i="1"/>
  <c r="K7728" i="1"/>
  <c r="K7727" i="1"/>
  <c r="K7726" i="1"/>
  <c r="K7725" i="1"/>
  <c r="K7724" i="1"/>
  <c r="K7723" i="1"/>
  <c r="K7722" i="1"/>
  <c r="K7721" i="1"/>
  <c r="K7720" i="1"/>
  <c r="K7719" i="1"/>
  <c r="K7718" i="1"/>
  <c r="K7717" i="1"/>
  <c r="K7716" i="1"/>
  <c r="K7715" i="1"/>
  <c r="K7714" i="1"/>
  <c r="K7713" i="1"/>
  <c r="K7712" i="1"/>
  <c r="K7711" i="1"/>
  <c r="K7710" i="1"/>
  <c r="K7709" i="1"/>
  <c r="K7708" i="1"/>
  <c r="K7707" i="1"/>
  <c r="K7706" i="1"/>
  <c r="K7705" i="1"/>
  <c r="K7704" i="1"/>
  <c r="K7703" i="1"/>
  <c r="K7702" i="1"/>
  <c r="K7701" i="1"/>
  <c r="K7700" i="1"/>
  <c r="K7699" i="1"/>
  <c r="K7698" i="1"/>
  <c r="K7697" i="1"/>
  <c r="K7696" i="1"/>
  <c r="K7695" i="1"/>
  <c r="K7694" i="1"/>
  <c r="K7693" i="1"/>
  <c r="K7692" i="1"/>
  <c r="K7691" i="1"/>
  <c r="K7690" i="1"/>
  <c r="K7689" i="1"/>
  <c r="K7688" i="1"/>
  <c r="K7687" i="1"/>
  <c r="K7686" i="1"/>
  <c r="K7685" i="1"/>
  <c r="K7684" i="1"/>
  <c r="K7683" i="1"/>
  <c r="K7682" i="1"/>
  <c r="K7681" i="1"/>
  <c r="K7680" i="1"/>
  <c r="K7679" i="1"/>
  <c r="K7678" i="1"/>
  <c r="K7677" i="1"/>
  <c r="K7676" i="1"/>
  <c r="K7675" i="1"/>
  <c r="K7674" i="1"/>
  <c r="K7673" i="1"/>
  <c r="K7672" i="1"/>
  <c r="K7671" i="1"/>
  <c r="K7670" i="1"/>
  <c r="K7669" i="1"/>
  <c r="K7668" i="1"/>
  <c r="K7667" i="1"/>
  <c r="K7666" i="1"/>
  <c r="K7665" i="1"/>
  <c r="K7664" i="1"/>
  <c r="K7663" i="1"/>
  <c r="K7662" i="1"/>
  <c r="K7661" i="1"/>
  <c r="K7660" i="1"/>
  <c r="K7659" i="1"/>
  <c r="K7658" i="1"/>
  <c r="K7657" i="1"/>
  <c r="K7656" i="1"/>
  <c r="K7655" i="1"/>
  <c r="K7654" i="1"/>
  <c r="K7653" i="1"/>
  <c r="K7652" i="1"/>
  <c r="K7651" i="1"/>
  <c r="K7650" i="1"/>
  <c r="K7649" i="1"/>
  <c r="K7648" i="1"/>
  <c r="K7647" i="1"/>
  <c r="K7646" i="1"/>
  <c r="K7645" i="1"/>
  <c r="K7644" i="1"/>
  <c r="K7643" i="1"/>
  <c r="K7642" i="1"/>
  <c r="K7641" i="1"/>
  <c r="K7640" i="1"/>
  <c r="K7639" i="1"/>
  <c r="K7638" i="1"/>
  <c r="K7637" i="1"/>
  <c r="K7636" i="1"/>
  <c r="K7635" i="1"/>
  <c r="K7634" i="1"/>
  <c r="K7633" i="1"/>
  <c r="K7632" i="1"/>
  <c r="K7631" i="1"/>
  <c r="K7630" i="1"/>
  <c r="K7629" i="1"/>
  <c r="K7628" i="1"/>
  <c r="K7627" i="1"/>
  <c r="K7626" i="1"/>
  <c r="K7625" i="1"/>
  <c r="K7624" i="1"/>
  <c r="K7623" i="1"/>
  <c r="K7622" i="1"/>
  <c r="K7621" i="1"/>
  <c r="K7620" i="1"/>
  <c r="K7619" i="1"/>
  <c r="K7618" i="1"/>
  <c r="K7617" i="1"/>
  <c r="K7616" i="1"/>
  <c r="K7615" i="1"/>
  <c r="K7614" i="1"/>
  <c r="K7613" i="1"/>
  <c r="K7612" i="1"/>
  <c r="K7611" i="1"/>
  <c r="K7610" i="1"/>
  <c r="K7609" i="1"/>
  <c r="K7608" i="1"/>
  <c r="K7607" i="1"/>
  <c r="K7606" i="1"/>
  <c r="K7605" i="1"/>
  <c r="K7604" i="1"/>
  <c r="K7603" i="1"/>
  <c r="K7602" i="1"/>
  <c r="K7601" i="1"/>
  <c r="K7600" i="1"/>
  <c r="K7599" i="1"/>
  <c r="K7598" i="1"/>
  <c r="K7597" i="1"/>
  <c r="K7596" i="1"/>
  <c r="K7595" i="1"/>
  <c r="K7594" i="1"/>
  <c r="K7593" i="1"/>
  <c r="K7592" i="1"/>
  <c r="K7591" i="1"/>
  <c r="K7590" i="1"/>
  <c r="K7589" i="1"/>
  <c r="K7588" i="1"/>
  <c r="K7587" i="1"/>
  <c r="K7586" i="1"/>
  <c r="K7585" i="1"/>
  <c r="K7584" i="1"/>
  <c r="K7583" i="1"/>
  <c r="K7582" i="1"/>
  <c r="K7581" i="1"/>
  <c r="K7580" i="1"/>
  <c r="K7579" i="1"/>
  <c r="K7578" i="1"/>
  <c r="K7577" i="1"/>
  <c r="K7576" i="1"/>
  <c r="K7575" i="1"/>
  <c r="K7574" i="1"/>
  <c r="K7573" i="1"/>
  <c r="K7572" i="1"/>
  <c r="K7571" i="1"/>
  <c r="K7570" i="1"/>
  <c r="K7569" i="1"/>
  <c r="K7568" i="1"/>
  <c r="K7567" i="1"/>
  <c r="K7566" i="1"/>
  <c r="K7565" i="1"/>
  <c r="K7564" i="1"/>
  <c r="K7563" i="1"/>
  <c r="K7562" i="1"/>
  <c r="K7561" i="1"/>
  <c r="K7560" i="1"/>
  <c r="K7559" i="1"/>
  <c r="K7558" i="1"/>
  <c r="K7557" i="1"/>
  <c r="K7556" i="1"/>
  <c r="K7555" i="1"/>
  <c r="K7554" i="1"/>
  <c r="K7553" i="1"/>
  <c r="K7552" i="1"/>
  <c r="K7551" i="1"/>
  <c r="K7550" i="1"/>
  <c r="K7549" i="1"/>
  <c r="K7548" i="1"/>
  <c r="K7547" i="1"/>
  <c r="K7546" i="1"/>
  <c r="K7545" i="1"/>
  <c r="K7544" i="1"/>
  <c r="K7543" i="1"/>
  <c r="K7542" i="1"/>
  <c r="K7541" i="1"/>
  <c r="K7540" i="1"/>
  <c r="K7539" i="1"/>
  <c r="K7538" i="1"/>
  <c r="K7537" i="1"/>
  <c r="K7536" i="1"/>
  <c r="K7535" i="1"/>
  <c r="K7534" i="1"/>
  <c r="K7533" i="1"/>
  <c r="K7532" i="1"/>
  <c r="K7531" i="1"/>
  <c r="K7530" i="1"/>
  <c r="K7529" i="1"/>
  <c r="K7528" i="1"/>
  <c r="K7527" i="1"/>
  <c r="K7526" i="1"/>
  <c r="K7525" i="1"/>
  <c r="K7524" i="1"/>
  <c r="K7523" i="1"/>
  <c r="K7522" i="1"/>
  <c r="K7521" i="1"/>
  <c r="K7520" i="1"/>
  <c r="K7519" i="1"/>
  <c r="K7518" i="1"/>
  <c r="K7517" i="1"/>
  <c r="K7516" i="1"/>
  <c r="K7515" i="1"/>
  <c r="K7514" i="1"/>
  <c r="K7513" i="1"/>
  <c r="K7512" i="1"/>
  <c r="K7511" i="1"/>
  <c r="K7510" i="1"/>
  <c r="K7509" i="1"/>
  <c r="K7508" i="1"/>
  <c r="K7507" i="1"/>
  <c r="K7506" i="1"/>
  <c r="K7505" i="1"/>
  <c r="K7504" i="1"/>
  <c r="K7503" i="1"/>
  <c r="K7502" i="1"/>
  <c r="K7501" i="1"/>
  <c r="K7500" i="1"/>
  <c r="K7499" i="1"/>
  <c r="K7498" i="1"/>
  <c r="K7497" i="1"/>
  <c r="K7496" i="1"/>
  <c r="K7495" i="1"/>
  <c r="K7494" i="1"/>
  <c r="K7493" i="1"/>
  <c r="K7492" i="1"/>
  <c r="K7491" i="1"/>
  <c r="K7490" i="1"/>
  <c r="K7489" i="1"/>
  <c r="K7488" i="1"/>
  <c r="K7487" i="1"/>
  <c r="K7486" i="1"/>
  <c r="K7485" i="1"/>
  <c r="K7484" i="1"/>
  <c r="K7483" i="1"/>
  <c r="K7482" i="1"/>
  <c r="K7481" i="1"/>
  <c r="K7480" i="1"/>
  <c r="K7479" i="1"/>
  <c r="K7478" i="1"/>
  <c r="K7477" i="1"/>
  <c r="K7476" i="1"/>
  <c r="K7475" i="1"/>
  <c r="K7474" i="1"/>
  <c r="K7473" i="1"/>
  <c r="K7472" i="1"/>
  <c r="K7471" i="1"/>
  <c r="K7470" i="1"/>
  <c r="K7469" i="1"/>
  <c r="K7468" i="1"/>
  <c r="K7467" i="1"/>
  <c r="K7466" i="1"/>
  <c r="K7465" i="1"/>
  <c r="K7464" i="1"/>
  <c r="K7463" i="1"/>
  <c r="K7462" i="1"/>
  <c r="K7461" i="1"/>
  <c r="K7460" i="1"/>
  <c r="K7459" i="1"/>
  <c r="K7458" i="1"/>
  <c r="K7457" i="1"/>
  <c r="K7456" i="1"/>
  <c r="K7455" i="1"/>
  <c r="K7454" i="1"/>
  <c r="K7453" i="1"/>
  <c r="K7452" i="1"/>
  <c r="K7451" i="1"/>
  <c r="K7450" i="1"/>
  <c r="K7449" i="1"/>
  <c r="K7448" i="1"/>
  <c r="K7447" i="1"/>
  <c r="K7446" i="1"/>
  <c r="K7445" i="1"/>
  <c r="K7444" i="1"/>
  <c r="K7443" i="1"/>
  <c r="K7442" i="1"/>
  <c r="K7441" i="1"/>
  <c r="K7440" i="1"/>
  <c r="K7439" i="1"/>
  <c r="K7438" i="1"/>
  <c r="K7437" i="1"/>
  <c r="K7436" i="1"/>
  <c r="K7435" i="1"/>
  <c r="K7434" i="1"/>
  <c r="K7433" i="1"/>
  <c r="K7432" i="1"/>
  <c r="K7431" i="1"/>
  <c r="K7430" i="1"/>
  <c r="K7429" i="1"/>
  <c r="K7428" i="1"/>
  <c r="K7427" i="1"/>
  <c r="K7426" i="1"/>
  <c r="K7425" i="1"/>
  <c r="K7424" i="1"/>
  <c r="K7423" i="1"/>
  <c r="K7422" i="1"/>
  <c r="K7421" i="1"/>
  <c r="K7420" i="1"/>
  <c r="K7419" i="1"/>
  <c r="K7418" i="1"/>
  <c r="K7417" i="1"/>
  <c r="K7416" i="1"/>
  <c r="K7415" i="1"/>
  <c r="K7414" i="1"/>
  <c r="K7413" i="1"/>
  <c r="K7412" i="1"/>
  <c r="K7411" i="1"/>
  <c r="K7410" i="1"/>
  <c r="K7409" i="1"/>
  <c r="K7408" i="1"/>
  <c r="K7407" i="1"/>
  <c r="K7406" i="1"/>
  <c r="K7405" i="1"/>
  <c r="K7404" i="1"/>
  <c r="K7403" i="1"/>
  <c r="K7402" i="1"/>
  <c r="K7401" i="1"/>
  <c r="K7400" i="1"/>
  <c r="K7399" i="1"/>
  <c r="K7398" i="1"/>
  <c r="K7397" i="1"/>
  <c r="K7396" i="1"/>
  <c r="K7395" i="1"/>
  <c r="K7394" i="1"/>
  <c r="K7393" i="1"/>
  <c r="K7392" i="1"/>
  <c r="K7391" i="1"/>
  <c r="K7390" i="1"/>
  <c r="K7389" i="1"/>
  <c r="K7388" i="1"/>
  <c r="K7387" i="1"/>
  <c r="K7386" i="1"/>
  <c r="K7385" i="1"/>
  <c r="K7384" i="1"/>
  <c r="K7383" i="1"/>
  <c r="K7382" i="1"/>
  <c r="K7381" i="1"/>
  <c r="K7380" i="1"/>
  <c r="K7379" i="1"/>
  <c r="K7378" i="1"/>
  <c r="K7377" i="1"/>
  <c r="K7376" i="1"/>
  <c r="K7375" i="1"/>
  <c r="K7374" i="1"/>
  <c r="K7373" i="1"/>
  <c r="K7372" i="1"/>
  <c r="K7371" i="1"/>
  <c r="K7370" i="1"/>
  <c r="K7369" i="1"/>
  <c r="K7368" i="1"/>
  <c r="K7367" i="1"/>
  <c r="K7366" i="1"/>
  <c r="K7365" i="1"/>
  <c r="K7364" i="1"/>
  <c r="K7363" i="1"/>
  <c r="K7362" i="1"/>
  <c r="K7361" i="1"/>
  <c r="K7360" i="1"/>
  <c r="K7359" i="1"/>
  <c r="K7358" i="1"/>
  <c r="K7357" i="1"/>
  <c r="K7356" i="1"/>
  <c r="K7355" i="1"/>
  <c r="K7354" i="1"/>
  <c r="K7353" i="1"/>
  <c r="K7352" i="1"/>
  <c r="K7351" i="1"/>
  <c r="K7350" i="1"/>
  <c r="K7349" i="1"/>
  <c r="K7348" i="1"/>
  <c r="K7347" i="1"/>
  <c r="K7346" i="1"/>
  <c r="K7345" i="1"/>
  <c r="K7344" i="1"/>
  <c r="K7343" i="1"/>
  <c r="K7342" i="1"/>
  <c r="K7341" i="1"/>
  <c r="K7340" i="1"/>
  <c r="K7339" i="1"/>
  <c r="K7338" i="1"/>
  <c r="K7337" i="1"/>
  <c r="K7336" i="1"/>
  <c r="K7335" i="1"/>
  <c r="K7334" i="1"/>
  <c r="K7333" i="1"/>
  <c r="K7332" i="1"/>
  <c r="K7331" i="1"/>
  <c r="K7330" i="1"/>
  <c r="K7329" i="1"/>
  <c r="K7328" i="1"/>
  <c r="K7327" i="1"/>
  <c r="K7326" i="1"/>
  <c r="K7325" i="1"/>
  <c r="K7324" i="1"/>
  <c r="K7323" i="1"/>
  <c r="K7322" i="1"/>
  <c r="K7321" i="1"/>
  <c r="K7320" i="1"/>
  <c r="K7319" i="1"/>
  <c r="K7318" i="1"/>
  <c r="K7317" i="1"/>
  <c r="K7316" i="1"/>
  <c r="K7315" i="1"/>
  <c r="K7314" i="1"/>
  <c r="K7313" i="1"/>
  <c r="K7312" i="1"/>
  <c r="K7311" i="1"/>
  <c r="K7310" i="1"/>
  <c r="K7309" i="1"/>
  <c r="K7308" i="1"/>
  <c r="K7307" i="1"/>
  <c r="K7306" i="1"/>
  <c r="K7305" i="1"/>
  <c r="K7304" i="1"/>
  <c r="K7303" i="1"/>
  <c r="K7302" i="1"/>
  <c r="K7301" i="1"/>
  <c r="K7300" i="1"/>
  <c r="K7299" i="1"/>
  <c r="K7298" i="1"/>
  <c r="K7297" i="1"/>
  <c r="K7296" i="1"/>
  <c r="K7295" i="1"/>
  <c r="K7294" i="1"/>
  <c r="K7293" i="1"/>
  <c r="K7292" i="1"/>
  <c r="K7291" i="1"/>
  <c r="K7290" i="1"/>
  <c r="K7289" i="1"/>
  <c r="K7288" i="1"/>
  <c r="K7287" i="1"/>
  <c r="K7286" i="1"/>
  <c r="K7285" i="1"/>
  <c r="K7284" i="1"/>
  <c r="K7283" i="1"/>
  <c r="K7282" i="1"/>
  <c r="K7281" i="1"/>
  <c r="K7280" i="1"/>
  <c r="K7279" i="1"/>
  <c r="K7278" i="1"/>
  <c r="K7277" i="1"/>
  <c r="K7276" i="1"/>
  <c r="K7275" i="1"/>
  <c r="K7274" i="1"/>
  <c r="K7273" i="1"/>
  <c r="K7272" i="1"/>
  <c r="K7271" i="1"/>
  <c r="K7270" i="1"/>
  <c r="K7269" i="1"/>
  <c r="K7268" i="1"/>
  <c r="K7267" i="1"/>
  <c r="K7266" i="1"/>
  <c r="K7265" i="1"/>
  <c r="K7264" i="1"/>
  <c r="K7263" i="1"/>
  <c r="K7262" i="1"/>
  <c r="K7261" i="1"/>
  <c r="K7260" i="1"/>
  <c r="K7259" i="1"/>
  <c r="K7258" i="1"/>
  <c r="K7257" i="1"/>
  <c r="K7256" i="1"/>
  <c r="K7255" i="1"/>
  <c r="K7254" i="1"/>
  <c r="K7253" i="1"/>
  <c r="K7252" i="1"/>
  <c r="K7251" i="1"/>
  <c r="K7250" i="1"/>
  <c r="K7249" i="1"/>
  <c r="K7248" i="1"/>
  <c r="K7247" i="1"/>
  <c r="K7246" i="1"/>
  <c r="K7245" i="1"/>
  <c r="K7244" i="1"/>
  <c r="K7243" i="1"/>
  <c r="K7242" i="1"/>
  <c r="K7241" i="1"/>
  <c r="K7240" i="1"/>
  <c r="K7239" i="1"/>
  <c r="K7238" i="1"/>
  <c r="K7237" i="1"/>
  <c r="K7236" i="1"/>
  <c r="K7235" i="1"/>
  <c r="K7234" i="1"/>
  <c r="K7233" i="1"/>
  <c r="K7232" i="1"/>
  <c r="K7231" i="1"/>
  <c r="K7230" i="1"/>
  <c r="K7229" i="1"/>
  <c r="K7228" i="1"/>
  <c r="K7227" i="1"/>
  <c r="K7226" i="1"/>
  <c r="K7225" i="1"/>
  <c r="K7224" i="1"/>
  <c r="K7223" i="1"/>
  <c r="K7222" i="1"/>
  <c r="K7221" i="1"/>
  <c r="K7220" i="1"/>
  <c r="K7219" i="1"/>
  <c r="K7218" i="1"/>
  <c r="K7217" i="1"/>
  <c r="K7216" i="1"/>
  <c r="K7215" i="1"/>
  <c r="K7214" i="1"/>
  <c r="K7213" i="1"/>
  <c r="K7212" i="1"/>
  <c r="K7211" i="1"/>
  <c r="K7210" i="1"/>
  <c r="K7209" i="1"/>
  <c r="K7208" i="1"/>
  <c r="K7207" i="1"/>
  <c r="K7206" i="1"/>
  <c r="K7205" i="1"/>
  <c r="K7204" i="1"/>
  <c r="K7203" i="1"/>
  <c r="K7202" i="1"/>
  <c r="K7201" i="1"/>
  <c r="K7200" i="1"/>
  <c r="K7199" i="1"/>
  <c r="K7198" i="1"/>
  <c r="K7197" i="1"/>
  <c r="K7196" i="1"/>
  <c r="K7195" i="1"/>
  <c r="K7194" i="1"/>
  <c r="K7193" i="1"/>
  <c r="K7192" i="1"/>
  <c r="K7191" i="1"/>
  <c r="K7190" i="1"/>
  <c r="K7189" i="1"/>
  <c r="K7188" i="1"/>
  <c r="K7187" i="1"/>
  <c r="K7186" i="1"/>
  <c r="K7185" i="1"/>
  <c r="K7184" i="1"/>
  <c r="K7183" i="1"/>
  <c r="K7182" i="1"/>
  <c r="K7181" i="1"/>
  <c r="K7180" i="1"/>
  <c r="K7179" i="1"/>
  <c r="K7178" i="1"/>
  <c r="K7177" i="1"/>
  <c r="K7176" i="1"/>
  <c r="K7175" i="1"/>
  <c r="K7174" i="1"/>
  <c r="K7173" i="1"/>
  <c r="K7172" i="1"/>
  <c r="K7171" i="1"/>
  <c r="K7170" i="1"/>
  <c r="K7169" i="1"/>
  <c r="K7168" i="1"/>
  <c r="K7167" i="1"/>
  <c r="K7166" i="1"/>
  <c r="K7165" i="1"/>
  <c r="K7164" i="1"/>
  <c r="K7163" i="1"/>
  <c r="K7162" i="1"/>
  <c r="K7161" i="1"/>
  <c r="K7160" i="1"/>
  <c r="K7159" i="1"/>
  <c r="K7158" i="1"/>
  <c r="K7157" i="1"/>
  <c r="K7156" i="1"/>
  <c r="K7155" i="1"/>
  <c r="K7154" i="1"/>
  <c r="K7153" i="1"/>
  <c r="K7152" i="1"/>
  <c r="K7151" i="1"/>
  <c r="K7150" i="1"/>
  <c r="K7149" i="1"/>
  <c r="K7148" i="1"/>
  <c r="K7147" i="1"/>
  <c r="K7146" i="1"/>
  <c r="K7145" i="1"/>
  <c r="K7144" i="1"/>
  <c r="K7143" i="1"/>
  <c r="K7142" i="1"/>
  <c r="K7141" i="1"/>
  <c r="K7140" i="1"/>
  <c r="K7139" i="1"/>
  <c r="K7138" i="1"/>
  <c r="K7137" i="1"/>
  <c r="K7136" i="1"/>
  <c r="K7135" i="1"/>
  <c r="K7134" i="1"/>
  <c r="K7133" i="1"/>
  <c r="K7132" i="1"/>
  <c r="K7131" i="1"/>
  <c r="K7130" i="1"/>
  <c r="K7129" i="1"/>
  <c r="K7128" i="1"/>
  <c r="K7127" i="1"/>
  <c r="K7126" i="1"/>
  <c r="K7125" i="1"/>
  <c r="K7124" i="1"/>
  <c r="K7123" i="1"/>
  <c r="K7122" i="1"/>
  <c r="K7121" i="1"/>
  <c r="K7120" i="1"/>
  <c r="K7119" i="1"/>
  <c r="K7118" i="1"/>
  <c r="K7117" i="1"/>
  <c r="K7116" i="1"/>
  <c r="K7115" i="1"/>
  <c r="K7114" i="1"/>
  <c r="K7113" i="1"/>
  <c r="K7112" i="1"/>
  <c r="K7111" i="1"/>
  <c r="K7110" i="1"/>
  <c r="K7109" i="1"/>
  <c r="K7108" i="1"/>
  <c r="K7107" i="1"/>
  <c r="K7106" i="1"/>
  <c r="K7105" i="1"/>
  <c r="K7104" i="1"/>
  <c r="K7103" i="1"/>
  <c r="K7102" i="1"/>
  <c r="K7101" i="1"/>
  <c r="K7100" i="1"/>
  <c r="K7099" i="1"/>
  <c r="K7098" i="1"/>
  <c r="K7097" i="1"/>
  <c r="K7096" i="1"/>
  <c r="K7095" i="1"/>
  <c r="K7094" i="1"/>
  <c r="K7093" i="1"/>
  <c r="K7092" i="1"/>
  <c r="K7091" i="1"/>
  <c r="K7090" i="1"/>
  <c r="K7089" i="1"/>
  <c r="K7088" i="1"/>
  <c r="K7087" i="1"/>
  <c r="K7086" i="1"/>
  <c r="K7085" i="1"/>
  <c r="K7084" i="1"/>
  <c r="K7083" i="1"/>
  <c r="K7082" i="1"/>
  <c r="K7081" i="1"/>
  <c r="K7080" i="1"/>
  <c r="K7079" i="1"/>
  <c r="K7078" i="1"/>
  <c r="K7077" i="1"/>
  <c r="K7076" i="1"/>
  <c r="K7075" i="1"/>
  <c r="K7074" i="1"/>
  <c r="K7073" i="1"/>
  <c r="K7072" i="1"/>
  <c r="K7071" i="1"/>
  <c r="K7070" i="1"/>
  <c r="K7069" i="1"/>
  <c r="K7068" i="1"/>
  <c r="K7067" i="1"/>
  <c r="K7066" i="1"/>
  <c r="K7065" i="1"/>
  <c r="K7064" i="1"/>
  <c r="K7063" i="1"/>
  <c r="K7062" i="1"/>
  <c r="K7061" i="1"/>
  <c r="K7060" i="1"/>
  <c r="K7059" i="1"/>
  <c r="K7058" i="1"/>
  <c r="K7057" i="1"/>
  <c r="K7056" i="1"/>
  <c r="K7055" i="1"/>
  <c r="K7054" i="1"/>
  <c r="K7053" i="1"/>
  <c r="K7052" i="1"/>
  <c r="K7051" i="1"/>
  <c r="K7050" i="1"/>
  <c r="K7049" i="1"/>
  <c r="K7048" i="1"/>
  <c r="K7047" i="1"/>
  <c r="K7046" i="1"/>
  <c r="K7045" i="1"/>
  <c r="K7044" i="1"/>
  <c r="K7043" i="1"/>
  <c r="K7042" i="1"/>
  <c r="K7041" i="1"/>
  <c r="K7040" i="1"/>
  <c r="K7039" i="1"/>
  <c r="K7038" i="1"/>
  <c r="K7037" i="1"/>
  <c r="K7036" i="1"/>
  <c r="K7035" i="1"/>
  <c r="K7034" i="1"/>
  <c r="K7033" i="1"/>
  <c r="K7032" i="1"/>
  <c r="K7031" i="1"/>
  <c r="K7030" i="1"/>
  <c r="K7029" i="1"/>
  <c r="K7028" i="1"/>
  <c r="K7027" i="1"/>
  <c r="K7026" i="1"/>
  <c r="K7025" i="1"/>
  <c r="K7024" i="1"/>
  <c r="K7023" i="1"/>
  <c r="K7022" i="1"/>
  <c r="K7021" i="1"/>
  <c r="K7020" i="1"/>
  <c r="K7019" i="1"/>
  <c r="K7018" i="1"/>
  <c r="K7017" i="1"/>
  <c r="K7016" i="1"/>
  <c r="K7015" i="1"/>
  <c r="K7014" i="1"/>
  <c r="K7013" i="1"/>
  <c r="K7012" i="1"/>
  <c r="K7011" i="1"/>
  <c r="K7010" i="1"/>
  <c r="K7009" i="1"/>
  <c r="K7008" i="1"/>
  <c r="K7007" i="1"/>
  <c r="K7006" i="1"/>
  <c r="K7005" i="1"/>
  <c r="K7004" i="1"/>
  <c r="K7003" i="1"/>
  <c r="K7002" i="1"/>
  <c r="K7001" i="1"/>
  <c r="K7000" i="1"/>
  <c r="K6999" i="1"/>
  <c r="K6998" i="1"/>
  <c r="K6997" i="1"/>
  <c r="K6996" i="1"/>
  <c r="K6995" i="1"/>
  <c r="K6994" i="1"/>
  <c r="K6993" i="1"/>
  <c r="K6992" i="1"/>
  <c r="K6991" i="1"/>
  <c r="K6990" i="1"/>
  <c r="K6989" i="1"/>
  <c r="K6988" i="1"/>
  <c r="K6987" i="1"/>
  <c r="K6986" i="1"/>
  <c r="K6985" i="1"/>
  <c r="K6984" i="1"/>
  <c r="K6983" i="1"/>
  <c r="K6982" i="1"/>
  <c r="K6981" i="1"/>
  <c r="K6980" i="1"/>
  <c r="K6979" i="1"/>
  <c r="K6978" i="1"/>
  <c r="K6977" i="1"/>
  <c r="K6976" i="1"/>
  <c r="K6975" i="1"/>
  <c r="K6974" i="1"/>
  <c r="K6973" i="1"/>
  <c r="K6972" i="1"/>
  <c r="K6971" i="1"/>
  <c r="K6970" i="1"/>
  <c r="K6969" i="1"/>
  <c r="K6968" i="1"/>
  <c r="K6967" i="1"/>
  <c r="K6966" i="1"/>
  <c r="K6965" i="1"/>
  <c r="K6964" i="1"/>
  <c r="K6963" i="1"/>
  <c r="K6962" i="1"/>
  <c r="K6961" i="1"/>
  <c r="K6960" i="1"/>
  <c r="K6959" i="1"/>
  <c r="K6958" i="1"/>
  <c r="K6957" i="1"/>
  <c r="K6956" i="1"/>
  <c r="K6955" i="1"/>
  <c r="K6954" i="1"/>
  <c r="K6953" i="1"/>
  <c r="K6952" i="1"/>
  <c r="K6951" i="1"/>
  <c r="K6950" i="1"/>
  <c r="K6949" i="1"/>
  <c r="K6948" i="1"/>
  <c r="K6947" i="1"/>
  <c r="K6946" i="1"/>
  <c r="K6945" i="1"/>
  <c r="K6944" i="1"/>
  <c r="K6943" i="1"/>
  <c r="K6942" i="1"/>
  <c r="K6941" i="1"/>
  <c r="K6940" i="1"/>
  <c r="K6939" i="1"/>
  <c r="K6938" i="1"/>
  <c r="K6937" i="1"/>
  <c r="K6936" i="1"/>
  <c r="K6935" i="1"/>
  <c r="K6934" i="1"/>
  <c r="K6933" i="1"/>
  <c r="K6932" i="1"/>
  <c r="K6931" i="1"/>
  <c r="K6930" i="1"/>
  <c r="K6929" i="1"/>
  <c r="K6928" i="1"/>
  <c r="K6927" i="1"/>
  <c r="K6926" i="1"/>
  <c r="K6925" i="1"/>
  <c r="K6924" i="1"/>
  <c r="K6923" i="1"/>
  <c r="K6922" i="1"/>
  <c r="K6921" i="1"/>
  <c r="K6920" i="1"/>
  <c r="K6919" i="1"/>
  <c r="K6918" i="1"/>
  <c r="K6917" i="1"/>
  <c r="K6916" i="1"/>
  <c r="K6915" i="1"/>
  <c r="K6914" i="1"/>
  <c r="K6913" i="1"/>
  <c r="K6912" i="1"/>
  <c r="K6911" i="1"/>
  <c r="K6910" i="1"/>
  <c r="K6909" i="1"/>
  <c r="K6908" i="1"/>
  <c r="K6907" i="1"/>
  <c r="K6906" i="1"/>
  <c r="K6905" i="1"/>
  <c r="K6904" i="1"/>
  <c r="K6903" i="1"/>
  <c r="K6902" i="1"/>
  <c r="K6901" i="1"/>
  <c r="K6900" i="1"/>
  <c r="K6899" i="1"/>
  <c r="K6898" i="1"/>
  <c r="K6897" i="1"/>
  <c r="K6896" i="1"/>
  <c r="K6895" i="1"/>
  <c r="K6894" i="1"/>
  <c r="K6893" i="1"/>
  <c r="K6892" i="1"/>
  <c r="K6891" i="1"/>
  <c r="K6890" i="1"/>
  <c r="K6889" i="1"/>
  <c r="K6888" i="1"/>
  <c r="K6887" i="1"/>
  <c r="K6886" i="1"/>
  <c r="K6885" i="1"/>
  <c r="K6884" i="1"/>
  <c r="K6883" i="1"/>
  <c r="K6882" i="1"/>
  <c r="K6881" i="1"/>
  <c r="K6880" i="1"/>
  <c r="K6879" i="1"/>
  <c r="K6878" i="1"/>
  <c r="K6877" i="1"/>
  <c r="K6876" i="1"/>
  <c r="K6875" i="1"/>
  <c r="K6874" i="1"/>
  <c r="K6873" i="1"/>
  <c r="K6872" i="1"/>
  <c r="K6871" i="1"/>
  <c r="K6870" i="1"/>
  <c r="K6869" i="1"/>
  <c r="K6868" i="1"/>
  <c r="K6867" i="1"/>
  <c r="K6866" i="1"/>
  <c r="K6865" i="1"/>
  <c r="K6864" i="1"/>
  <c r="K6863" i="1"/>
  <c r="K6862" i="1"/>
  <c r="K6861" i="1"/>
  <c r="K6860" i="1"/>
  <c r="K6859" i="1"/>
  <c r="K6858" i="1"/>
  <c r="K6857" i="1"/>
  <c r="K6856" i="1"/>
  <c r="K6855" i="1"/>
  <c r="K6854" i="1"/>
  <c r="K6853" i="1"/>
  <c r="K6852" i="1"/>
  <c r="K6851" i="1"/>
  <c r="K6850" i="1"/>
  <c r="K6849" i="1"/>
  <c r="K6848" i="1"/>
  <c r="K6847" i="1"/>
  <c r="K6846" i="1"/>
  <c r="K6845" i="1"/>
  <c r="K6844" i="1"/>
  <c r="K6843" i="1"/>
  <c r="K6842" i="1"/>
  <c r="K6841" i="1"/>
  <c r="K6840" i="1"/>
  <c r="K6839" i="1"/>
  <c r="K6838" i="1"/>
  <c r="K6837" i="1"/>
  <c r="K6836" i="1"/>
  <c r="K6835" i="1"/>
  <c r="K6834" i="1"/>
  <c r="K6833" i="1"/>
  <c r="K6832" i="1"/>
  <c r="K6831" i="1"/>
  <c r="K6830" i="1"/>
  <c r="K6829" i="1"/>
  <c r="K6828" i="1"/>
  <c r="K6827" i="1"/>
  <c r="K6826" i="1"/>
  <c r="K6825" i="1"/>
  <c r="K6824" i="1"/>
  <c r="K6823" i="1"/>
  <c r="K6822" i="1"/>
  <c r="K6821" i="1"/>
  <c r="K6820" i="1"/>
  <c r="K6819" i="1"/>
  <c r="K6818" i="1"/>
  <c r="K6817" i="1"/>
  <c r="K6816" i="1"/>
  <c r="K6815" i="1"/>
  <c r="K6814" i="1"/>
  <c r="K6813" i="1"/>
  <c r="K6812" i="1"/>
  <c r="K6811" i="1"/>
  <c r="K6810" i="1"/>
  <c r="K6809" i="1"/>
  <c r="K6808" i="1"/>
  <c r="K6807" i="1"/>
  <c r="K6806" i="1"/>
  <c r="K6805" i="1"/>
  <c r="K6804" i="1"/>
  <c r="K6803" i="1"/>
  <c r="K6802" i="1"/>
  <c r="K6801" i="1"/>
  <c r="K6800" i="1"/>
  <c r="K6799" i="1"/>
  <c r="K6798" i="1"/>
  <c r="K6797" i="1"/>
  <c r="K6796" i="1"/>
  <c r="K6795" i="1"/>
  <c r="K6794" i="1"/>
  <c r="K6793" i="1"/>
  <c r="K6792" i="1"/>
  <c r="K6791" i="1"/>
  <c r="K6790" i="1"/>
  <c r="K6789" i="1"/>
  <c r="K6788" i="1"/>
  <c r="K6787" i="1"/>
  <c r="K6786" i="1"/>
  <c r="K6785" i="1"/>
  <c r="K6784" i="1"/>
  <c r="K6783" i="1"/>
  <c r="K6782" i="1"/>
  <c r="K6781" i="1"/>
  <c r="K6780" i="1"/>
  <c r="K6779" i="1"/>
  <c r="K6778" i="1"/>
  <c r="K6777" i="1"/>
  <c r="K6776" i="1"/>
  <c r="K6775" i="1"/>
  <c r="K6774" i="1"/>
  <c r="K6773" i="1"/>
  <c r="K6772" i="1"/>
  <c r="K6771" i="1"/>
  <c r="K6770" i="1"/>
  <c r="K6769" i="1"/>
  <c r="K6768" i="1"/>
  <c r="K6767" i="1"/>
  <c r="K6766" i="1"/>
  <c r="K6765" i="1"/>
  <c r="K6764" i="1"/>
  <c r="K6763" i="1"/>
  <c r="K6762" i="1"/>
  <c r="K6761" i="1"/>
  <c r="K6760" i="1"/>
  <c r="K6759" i="1"/>
  <c r="K6758" i="1"/>
  <c r="K6757" i="1"/>
  <c r="K6756" i="1"/>
  <c r="K6755" i="1"/>
  <c r="K6754" i="1"/>
  <c r="K6753" i="1"/>
  <c r="K6752" i="1"/>
  <c r="K6751" i="1"/>
  <c r="K6750" i="1"/>
  <c r="K6749" i="1"/>
  <c r="K6748" i="1"/>
  <c r="K6747" i="1"/>
  <c r="K6746" i="1"/>
  <c r="K6745" i="1"/>
  <c r="K6744" i="1"/>
  <c r="K6743" i="1"/>
  <c r="K6742" i="1"/>
  <c r="K6741" i="1"/>
  <c r="K6740" i="1"/>
  <c r="K6739" i="1"/>
  <c r="K6738" i="1"/>
  <c r="K6737" i="1"/>
  <c r="K6736" i="1"/>
  <c r="K6735" i="1"/>
  <c r="K6734" i="1"/>
  <c r="K6733" i="1"/>
  <c r="K6732" i="1"/>
  <c r="K6731" i="1"/>
  <c r="K6730" i="1"/>
  <c r="K6729" i="1"/>
  <c r="K6728" i="1"/>
  <c r="K6727" i="1"/>
  <c r="K6726" i="1"/>
  <c r="K6725" i="1"/>
  <c r="K6724" i="1"/>
  <c r="K6723" i="1"/>
  <c r="K6722" i="1"/>
  <c r="K6721" i="1"/>
  <c r="K6720" i="1"/>
  <c r="K6719" i="1"/>
  <c r="K6718" i="1"/>
  <c r="K6717" i="1"/>
  <c r="K6716" i="1"/>
  <c r="K6715" i="1"/>
  <c r="K6714" i="1"/>
  <c r="K6713" i="1"/>
  <c r="K6712" i="1"/>
  <c r="K6711" i="1"/>
  <c r="K6710" i="1"/>
  <c r="K6709" i="1"/>
  <c r="K6708" i="1"/>
  <c r="K6707" i="1"/>
  <c r="K6706" i="1"/>
  <c r="K6705" i="1"/>
  <c r="K6704" i="1"/>
  <c r="K6703" i="1"/>
  <c r="K6702" i="1"/>
  <c r="K6701" i="1"/>
  <c r="K6700" i="1"/>
  <c r="K6699" i="1"/>
  <c r="K6698" i="1"/>
  <c r="K6697" i="1"/>
  <c r="K6696" i="1"/>
  <c r="K6695" i="1"/>
  <c r="K6694" i="1"/>
  <c r="K6693" i="1"/>
  <c r="K6692" i="1"/>
  <c r="K6691" i="1"/>
  <c r="K6690" i="1"/>
  <c r="K6689" i="1"/>
  <c r="K6688" i="1"/>
  <c r="K6687" i="1"/>
  <c r="K6686" i="1"/>
  <c r="K6685" i="1"/>
  <c r="K6684" i="1"/>
  <c r="K6683" i="1"/>
  <c r="K6682" i="1"/>
  <c r="K6681" i="1"/>
  <c r="K6680" i="1"/>
  <c r="K6679" i="1"/>
  <c r="K6678" i="1"/>
  <c r="K6677" i="1"/>
  <c r="K6676" i="1"/>
  <c r="K6675" i="1"/>
  <c r="K6674" i="1"/>
  <c r="K6673" i="1"/>
  <c r="K6672" i="1"/>
  <c r="K6671" i="1"/>
  <c r="K6670" i="1"/>
  <c r="K6669" i="1"/>
  <c r="K6668" i="1"/>
  <c r="K6667" i="1"/>
  <c r="K6666" i="1"/>
  <c r="K6665" i="1"/>
  <c r="K6664" i="1"/>
  <c r="K6663" i="1"/>
  <c r="K6662" i="1"/>
  <c r="K6661" i="1"/>
  <c r="K6660" i="1"/>
  <c r="K6659" i="1"/>
  <c r="K6658" i="1"/>
  <c r="K6657" i="1"/>
  <c r="K6656" i="1"/>
  <c r="K6655" i="1"/>
  <c r="K6654" i="1"/>
  <c r="K6653" i="1"/>
  <c r="K6652" i="1"/>
  <c r="K6651" i="1"/>
  <c r="K6650" i="1"/>
  <c r="K6649" i="1"/>
  <c r="K6648" i="1"/>
  <c r="K6647" i="1"/>
  <c r="K6646" i="1"/>
  <c r="K6645" i="1"/>
  <c r="K6644" i="1"/>
  <c r="K6643" i="1"/>
  <c r="K6642" i="1"/>
  <c r="K6641" i="1"/>
  <c r="K6640" i="1"/>
  <c r="K6639" i="1"/>
  <c r="K6638" i="1"/>
  <c r="K6637" i="1"/>
  <c r="K6636" i="1"/>
  <c r="K6635" i="1"/>
  <c r="K6634" i="1"/>
  <c r="K6633" i="1"/>
  <c r="K6632" i="1"/>
  <c r="K6631" i="1"/>
  <c r="K6630" i="1"/>
  <c r="K6629" i="1"/>
  <c r="K6628" i="1"/>
  <c r="K6627" i="1"/>
  <c r="K6626" i="1"/>
  <c r="K6625" i="1"/>
  <c r="K6624" i="1"/>
  <c r="K6623" i="1"/>
  <c r="K6622" i="1"/>
  <c r="K6621" i="1"/>
  <c r="K6620" i="1"/>
  <c r="K6619" i="1"/>
  <c r="K6618" i="1"/>
  <c r="K6617" i="1"/>
  <c r="K6616" i="1"/>
  <c r="K6615" i="1"/>
  <c r="K6614" i="1"/>
  <c r="K6613" i="1"/>
  <c r="K6612" i="1"/>
  <c r="K6611" i="1"/>
  <c r="K6610" i="1"/>
  <c r="K6609" i="1"/>
  <c r="K6608" i="1"/>
  <c r="K6607" i="1"/>
  <c r="K6606" i="1"/>
  <c r="K6605" i="1"/>
  <c r="K6604" i="1"/>
  <c r="K6603" i="1"/>
  <c r="K6602" i="1"/>
  <c r="K6601" i="1"/>
  <c r="K6600" i="1"/>
  <c r="K6599" i="1"/>
  <c r="K6598" i="1"/>
  <c r="K6597" i="1"/>
  <c r="K6596" i="1"/>
  <c r="K6595" i="1"/>
  <c r="K6594" i="1"/>
  <c r="K6593" i="1"/>
  <c r="K6592" i="1"/>
  <c r="K6591" i="1"/>
  <c r="K6590" i="1"/>
  <c r="K6589" i="1"/>
  <c r="K6588" i="1"/>
  <c r="K6587" i="1"/>
  <c r="K6586" i="1"/>
  <c r="K6585" i="1"/>
  <c r="K6584" i="1"/>
  <c r="K6583" i="1"/>
  <c r="K6582" i="1"/>
  <c r="K6581" i="1"/>
  <c r="K6580" i="1"/>
  <c r="K6579" i="1"/>
  <c r="K6578" i="1"/>
  <c r="K6577" i="1"/>
  <c r="K6576" i="1"/>
  <c r="K6575" i="1"/>
  <c r="K6574" i="1"/>
  <c r="K6573" i="1"/>
  <c r="K6572" i="1"/>
  <c r="K6571" i="1"/>
  <c r="K6570" i="1"/>
  <c r="K6569" i="1"/>
  <c r="K6568" i="1"/>
  <c r="K6567" i="1"/>
  <c r="K6566" i="1"/>
  <c r="K6565" i="1"/>
  <c r="K6564" i="1"/>
  <c r="K6563" i="1"/>
  <c r="K6562" i="1"/>
  <c r="K6561" i="1"/>
  <c r="K6560" i="1"/>
  <c r="K6559" i="1"/>
  <c r="K6558" i="1"/>
  <c r="K6557" i="1"/>
  <c r="K6556" i="1"/>
  <c r="K6555" i="1"/>
  <c r="K6554" i="1"/>
  <c r="K6553" i="1"/>
  <c r="K6552" i="1"/>
  <c r="K6551" i="1"/>
  <c r="K6550" i="1"/>
  <c r="K6549" i="1"/>
  <c r="K6548" i="1"/>
  <c r="K6547" i="1"/>
  <c r="K6546" i="1"/>
  <c r="K6545" i="1"/>
  <c r="K6544" i="1"/>
  <c r="K6543" i="1"/>
  <c r="K6542" i="1"/>
  <c r="K6541" i="1"/>
  <c r="K6540" i="1"/>
  <c r="K6539" i="1"/>
  <c r="K6538" i="1"/>
  <c r="K6537" i="1"/>
  <c r="K6536" i="1"/>
  <c r="K6535" i="1"/>
  <c r="K6534" i="1"/>
  <c r="K6533" i="1"/>
  <c r="K6532" i="1"/>
  <c r="K6531" i="1"/>
  <c r="K6530" i="1"/>
  <c r="K6529" i="1"/>
  <c r="K6528" i="1"/>
  <c r="K6527" i="1"/>
  <c r="K6526" i="1"/>
  <c r="K6525" i="1"/>
  <c r="K6524" i="1"/>
  <c r="K6523" i="1"/>
  <c r="K6522" i="1"/>
  <c r="K6521" i="1"/>
  <c r="K6520" i="1"/>
  <c r="K6519" i="1"/>
  <c r="K6518" i="1"/>
  <c r="K6517" i="1"/>
  <c r="K6516" i="1"/>
  <c r="K6515" i="1"/>
  <c r="K6514" i="1"/>
  <c r="K6513" i="1"/>
  <c r="K6512" i="1"/>
  <c r="K6511" i="1"/>
  <c r="K6510" i="1"/>
  <c r="K6509" i="1"/>
  <c r="K6508" i="1"/>
  <c r="K6507" i="1"/>
  <c r="K6506" i="1"/>
  <c r="K6505" i="1"/>
  <c r="K6504" i="1"/>
  <c r="K6503" i="1"/>
  <c r="K6502" i="1"/>
  <c r="K6501" i="1"/>
  <c r="K6500" i="1"/>
  <c r="K6499" i="1"/>
  <c r="K6498" i="1"/>
  <c r="K6497" i="1"/>
  <c r="K6496" i="1"/>
  <c r="K6495" i="1"/>
  <c r="K6494" i="1"/>
  <c r="K6493" i="1"/>
  <c r="K6492" i="1"/>
  <c r="K6491" i="1"/>
  <c r="K6490" i="1"/>
  <c r="K6489" i="1"/>
  <c r="K6488" i="1"/>
  <c r="K6487" i="1"/>
  <c r="K6486" i="1"/>
  <c r="K6485" i="1"/>
  <c r="K6484" i="1"/>
  <c r="K6483" i="1"/>
  <c r="K6482" i="1"/>
  <c r="K6481" i="1"/>
  <c r="K6480" i="1"/>
  <c r="K6479" i="1"/>
  <c r="K6478" i="1"/>
  <c r="K6477" i="1"/>
  <c r="K6476" i="1"/>
  <c r="K6475" i="1"/>
  <c r="K6474" i="1"/>
  <c r="K6473" i="1"/>
  <c r="K6472" i="1"/>
  <c r="K6471" i="1"/>
  <c r="K6470" i="1"/>
  <c r="K6469" i="1"/>
  <c r="K6468" i="1"/>
  <c r="K6467" i="1"/>
  <c r="K6466" i="1"/>
  <c r="K6465" i="1"/>
  <c r="K6464" i="1"/>
  <c r="K6463" i="1"/>
  <c r="K6462" i="1"/>
  <c r="K6461" i="1"/>
  <c r="K6460" i="1"/>
  <c r="K6459" i="1"/>
  <c r="K6458" i="1"/>
  <c r="K6457" i="1"/>
  <c r="K6456" i="1"/>
  <c r="K6455" i="1"/>
  <c r="K6454" i="1"/>
  <c r="K6453" i="1"/>
  <c r="K6452" i="1"/>
  <c r="K6451" i="1"/>
  <c r="K6450" i="1"/>
  <c r="K6449" i="1"/>
  <c r="K6448" i="1"/>
  <c r="K6447" i="1"/>
  <c r="K6446" i="1"/>
  <c r="K6445" i="1"/>
  <c r="K6444" i="1"/>
  <c r="K6443" i="1"/>
  <c r="K6442" i="1"/>
  <c r="K6441" i="1"/>
  <c r="K6440" i="1"/>
  <c r="K6439" i="1"/>
  <c r="K6438" i="1"/>
  <c r="K6437" i="1"/>
  <c r="K6436" i="1"/>
  <c r="K6435" i="1"/>
  <c r="K6434" i="1"/>
  <c r="K6433" i="1"/>
  <c r="K6432" i="1"/>
  <c r="K6431" i="1"/>
  <c r="K6430" i="1"/>
  <c r="K6429" i="1"/>
  <c r="K6428" i="1"/>
  <c r="K6427" i="1"/>
  <c r="K6426" i="1"/>
  <c r="K6425" i="1"/>
  <c r="K6424" i="1"/>
  <c r="K6423" i="1"/>
  <c r="K6422" i="1"/>
  <c r="K6421" i="1"/>
  <c r="K6420" i="1"/>
  <c r="K6419" i="1"/>
  <c r="K6418" i="1"/>
  <c r="K6417" i="1"/>
  <c r="K6416" i="1"/>
  <c r="K6415" i="1"/>
  <c r="K6414" i="1"/>
  <c r="K6413" i="1"/>
  <c r="K6412" i="1"/>
  <c r="K6411" i="1"/>
  <c r="K6410" i="1"/>
  <c r="K6409" i="1"/>
  <c r="K6408" i="1"/>
  <c r="K6407" i="1"/>
  <c r="K6406" i="1"/>
  <c r="K6405" i="1"/>
  <c r="K6404" i="1"/>
  <c r="K6403" i="1"/>
  <c r="K6402" i="1"/>
  <c r="K6401" i="1"/>
  <c r="K6400" i="1"/>
  <c r="K6399" i="1"/>
  <c r="K6398" i="1"/>
  <c r="K6397" i="1"/>
  <c r="K6396" i="1"/>
  <c r="K6395" i="1"/>
  <c r="K6394" i="1"/>
  <c r="K6393" i="1"/>
  <c r="K6392" i="1"/>
  <c r="K6391" i="1"/>
  <c r="K6390" i="1"/>
  <c r="K6389" i="1"/>
  <c r="K6388" i="1"/>
  <c r="K6387" i="1"/>
  <c r="K6386" i="1"/>
  <c r="K6385" i="1"/>
  <c r="K6384" i="1"/>
  <c r="K6383" i="1"/>
  <c r="K6382" i="1"/>
  <c r="K6381" i="1"/>
  <c r="K6380" i="1"/>
  <c r="K6379" i="1"/>
  <c r="K6378" i="1"/>
  <c r="K6377" i="1"/>
  <c r="K6376" i="1"/>
  <c r="K6375" i="1"/>
  <c r="K6374" i="1"/>
  <c r="K6373" i="1"/>
  <c r="K6372" i="1"/>
  <c r="K6371" i="1"/>
  <c r="K6370" i="1"/>
  <c r="K6369" i="1"/>
  <c r="K6368" i="1"/>
  <c r="K6367" i="1"/>
  <c r="K6366" i="1"/>
  <c r="K6365" i="1"/>
  <c r="K6364" i="1"/>
  <c r="K6363" i="1"/>
  <c r="K6362" i="1"/>
  <c r="K6361" i="1"/>
  <c r="K6360" i="1"/>
  <c r="K6359" i="1"/>
  <c r="K6358" i="1"/>
  <c r="K6357" i="1"/>
  <c r="K6356" i="1"/>
  <c r="K6355" i="1"/>
  <c r="K6354" i="1"/>
  <c r="K6353" i="1"/>
  <c r="K6352" i="1"/>
  <c r="K6351" i="1"/>
  <c r="K6350" i="1"/>
  <c r="K6349" i="1"/>
  <c r="K6348" i="1"/>
  <c r="K6347" i="1"/>
  <c r="K6346" i="1"/>
  <c r="K6345" i="1"/>
  <c r="K6344" i="1"/>
  <c r="K6343" i="1"/>
  <c r="K6342" i="1"/>
  <c r="K6341" i="1"/>
  <c r="K6340" i="1"/>
  <c r="K6339" i="1"/>
  <c r="K6338" i="1"/>
  <c r="K6337" i="1"/>
  <c r="K6336" i="1"/>
  <c r="K6335" i="1"/>
  <c r="K6334" i="1"/>
  <c r="K6333" i="1"/>
  <c r="K6332" i="1"/>
  <c r="K6331" i="1"/>
  <c r="K6330" i="1"/>
  <c r="K6329" i="1"/>
  <c r="K6328" i="1"/>
  <c r="K6327" i="1"/>
  <c r="K6326" i="1"/>
  <c r="K6325" i="1"/>
  <c r="K6324" i="1"/>
  <c r="K6323" i="1"/>
  <c r="K6322" i="1"/>
  <c r="K6321" i="1"/>
  <c r="K6320" i="1"/>
  <c r="K6319" i="1"/>
  <c r="K6318" i="1"/>
  <c r="K6317" i="1"/>
  <c r="K6316" i="1"/>
  <c r="K6315" i="1"/>
  <c r="K6314" i="1"/>
  <c r="K6313" i="1"/>
  <c r="K6312" i="1"/>
  <c r="K6311" i="1"/>
  <c r="K6310" i="1"/>
  <c r="K6309" i="1"/>
  <c r="K6308" i="1"/>
  <c r="K6307" i="1"/>
  <c r="K6306" i="1"/>
  <c r="K6305" i="1"/>
  <c r="K6304" i="1"/>
  <c r="K6303" i="1"/>
  <c r="K6302" i="1"/>
  <c r="K6301" i="1"/>
  <c r="K6300" i="1"/>
  <c r="K6299" i="1"/>
  <c r="K6298" i="1"/>
  <c r="K6297" i="1"/>
  <c r="K6296" i="1"/>
  <c r="K6295" i="1"/>
  <c r="K6294" i="1"/>
  <c r="K6293" i="1"/>
  <c r="K6292" i="1"/>
  <c r="K6291" i="1"/>
  <c r="K6290" i="1"/>
  <c r="K6289" i="1"/>
  <c r="K6288" i="1"/>
  <c r="K6287" i="1"/>
  <c r="K6286" i="1"/>
  <c r="K6285" i="1"/>
  <c r="K6284" i="1"/>
  <c r="K6283" i="1"/>
  <c r="K6282" i="1"/>
  <c r="K6281" i="1"/>
  <c r="K6280" i="1"/>
  <c r="K6279" i="1"/>
  <c r="K6278" i="1"/>
  <c r="K6277" i="1"/>
  <c r="K6276" i="1"/>
  <c r="K6275" i="1"/>
  <c r="K6274" i="1"/>
  <c r="K6273" i="1"/>
  <c r="K6272" i="1"/>
  <c r="K6271" i="1"/>
  <c r="K6270" i="1"/>
  <c r="K6269" i="1"/>
  <c r="K6268" i="1"/>
  <c r="K6267" i="1"/>
  <c r="K6266" i="1"/>
  <c r="K6265" i="1"/>
  <c r="K6264" i="1"/>
  <c r="K6263" i="1"/>
  <c r="K6262" i="1"/>
  <c r="K6261" i="1"/>
  <c r="K6260" i="1"/>
  <c r="K6259" i="1"/>
  <c r="K6258" i="1"/>
  <c r="K6257" i="1"/>
  <c r="K6256" i="1"/>
  <c r="K6255" i="1"/>
  <c r="K6254" i="1"/>
  <c r="K6253" i="1"/>
  <c r="K6252" i="1"/>
  <c r="K6251" i="1"/>
  <c r="K6250" i="1"/>
  <c r="K6249" i="1"/>
  <c r="K6248" i="1"/>
  <c r="K6247" i="1"/>
  <c r="K6246" i="1"/>
  <c r="K6245" i="1"/>
  <c r="K6244" i="1"/>
  <c r="K6243" i="1"/>
  <c r="K6242" i="1"/>
  <c r="K6241" i="1"/>
  <c r="K6240" i="1"/>
  <c r="K6239" i="1"/>
  <c r="K6238" i="1"/>
  <c r="K6237" i="1"/>
  <c r="K6236" i="1"/>
  <c r="K6235" i="1"/>
  <c r="K6234" i="1"/>
  <c r="K6233" i="1"/>
  <c r="K6232" i="1"/>
  <c r="K6231" i="1"/>
  <c r="K6230" i="1"/>
  <c r="K6229" i="1"/>
  <c r="K6228" i="1"/>
  <c r="K6227" i="1"/>
  <c r="K6226" i="1"/>
  <c r="K6225" i="1"/>
  <c r="K6224" i="1"/>
  <c r="K6223" i="1"/>
  <c r="K6222" i="1"/>
  <c r="K6221" i="1"/>
  <c r="K6220" i="1"/>
  <c r="K6219" i="1"/>
  <c r="K6218" i="1"/>
  <c r="K6217" i="1"/>
  <c r="K6216" i="1"/>
  <c r="K6215" i="1"/>
  <c r="K6214" i="1"/>
  <c r="K6213" i="1"/>
  <c r="K6212" i="1"/>
  <c r="K6211" i="1"/>
  <c r="K6210" i="1"/>
  <c r="K6209" i="1"/>
  <c r="K6208" i="1"/>
  <c r="K6207" i="1"/>
  <c r="K6206" i="1"/>
  <c r="K6205" i="1"/>
  <c r="K6204" i="1"/>
  <c r="K6203" i="1"/>
  <c r="K6202" i="1"/>
  <c r="K6201" i="1"/>
  <c r="K6200" i="1"/>
  <c r="K6199" i="1"/>
  <c r="K6198" i="1"/>
  <c r="K6197" i="1"/>
  <c r="K6196" i="1"/>
  <c r="K6195" i="1"/>
  <c r="K6194" i="1"/>
  <c r="K6193" i="1"/>
  <c r="K6192" i="1"/>
  <c r="K6191" i="1"/>
  <c r="K6190" i="1"/>
  <c r="K6189" i="1"/>
  <c r="K6188" i="1"/>
  <c r="K6187" i="1"/>
  <c r="K6186" i="1"/>
  <c r="K6185" i="1"/>
  <c r="K6184" i="1"/>
  <c r="K6183" i="1"/>
  <c r="K6182" i="1"/>
  <c r="K6181" i="1"/>
  <c r="K6180" i="1"/>
  <c r="K6179" i="1"/>
  <c r="K6178" i="1"/>
  <c r="K6177" i="1"/>
  <c r="K6176" i="1"/>
  <c r="K6175" i="1"/>
  <c r="K6174" i="1"/>
  <c r="K6173" i="1"/>
  <c r="K6172" i="1"/>
  <c r="K6171" i="1"/>
  <c r="K6170" i="1"/>
  <c r="K6169" i="1"/>
  <c r="K6168" i="1"/>
  <c r="K6167" i="1"/>
  <c r="K6166" i="1"/>
  <c r="K6165" i="1"/>
  <c r="K6164" i="1"/>
  <c r="K6163" i="1"/>
  <c r="K6162" i="1"/>
  <c r="K6161" i="1"/>
  <c r="K6160" i="1"/>
  <c r="K6159" i="1"/>
  <c r="K6158" i="1"/>
  <c r="K6157" i="1"/>
  <c r="K6156" i="1"/>
  <c r="K6155" i="1"/>
  <c r="K6154" i="1"/>
  <c r="K6153" i="1"/>
  <c r="K6152" i="1"/>
  <c r="K6151" i="1"/>
  <c r="K6150" i="1"/>
  <c r="K6149" i="1"/>
  <c r="K6148" i="1"/>
  <c r="K6147" i="1"/>
  <c r="K6146" i="1"/>
  <c r="K6145" i="1"/>
  <c r="K6144" i="1"/>
  <c r="K6143" i="1"/>
  <c r="K6142" i="1"/>
  <c r="K6141" i="1"/>
  <c r="K6140" i="1"/>
  <c r="K6139" i="1"/>
  <c r="K6138" i="1"/>
  <c r="K6137" i="1"/>
  <c r="K6136" i="1"/>
  <c r="K6135" i="1"/>
  <c r="K6134" i="1"/>
  <c r="K6133" i="1"/>
  <c r="K6132" i="1"/>
  <c r="K6131" i="1"/>
  <c r="K6130" i="1"/>
  <c r="K6129" i="1"/>
  <c r="K6128" i="1"/>
  <c r="K6127" i="1"/>
  <c r="K6126" i="1"/>
  <c r="K6125" i="1"/>
  <c r="K6124" i="1"/>
  <c r="K6123" i="1"/>
  <c r="K6122" i="1"/>
  <c r="K6121" i="1"/>
  <c r="K6120" i="1"/>
  <c r="K6119" i="1"/>
  <c r="K6118" i="1"/>
  <c r="K6117" i="1"/>
  <c r="K6116" i="1"/>
  <c r="K6115" i="1"/>
  <c r="K6114" i="1"/>
  <c r="K6113" i="1"/>
  <c r="K6112" i="1"/>
  <c r="K6111" i="1"/>
  <c r="K6110" i="1"/>
  <c r="K6109" i="1"/>
  <c r="K6108" i="1"/>
  <c r="K6107" i="1"/>
  <c r="K6106" i="1"/>
  <c r="K6105" i="1"/>
  <c r="K6104" i="1"/>
  <c r="K6103" i="1"/>
  <c r="K6102" i="1"/>
  <c r="K6101" i="1"/>
  <c r="K6100" i="1"/>
  <c r="K6099" i="1"/>
  <c r="K6098" i="1"/>
  <c r="K6097" i="1"/>
  <c r="K6096" i="1"/>
  <c r="K6095" i="1"/>
  <c r="K6094" i="1"/>
  <c r="K6093" i="1"/>
  <c r="K6092" i="1"/>
  <c r="K6091" i="1"/>
  <c r="K6090" i="1"/>
  <c r="K6089" i="1"/>
  <c r="K6088" i="1"/>
  <c r="K6087" i="1"/>
  <c r="K6086" i="1"/>
  <c r="K6085" i="1"/>
  <c r="K6084" i="1"/>
  <c r="K6083" i="1"/>
  <c r="K6082" i="1"/>
  <c r="K6081" i="1"/>
  <c r="K6080" i="1"/>
  <c r="K6079" i="1"/>
  <c r="K6078" i="1"/>
  <c r="K6077" i="1"/>
  <c r="K6076" i="1"/>
  <c r="K6075" i="1"/>
  <c r="K6074" i="1"/>
  <c r="K6073" i="1"/>
  <c r="K6072" i="1"/>
  <c r="K6071" i="1"/>
  <c r="K6070" i="1"/>
  <c r="K6069" i="1"/>
  <c r="K6068" i="1"/>
  <c r="K6067" i="1"/>
  <c r="K6066" i="1"/>
  <c r="K6065" i="1"/>
  <c r="K6064" i="1"/>
  <c r="K6063" i="1"/>
  <c r="K6062" i="1"/>
  <c r="K6061" i="1"/>
  <c r="K6060" i="1"/>
  <c r="K6059" i="1"/>
  <c r="K6058" i="1"/>
  <c r="K6057" i="1"/>
  <c r="K6056" i="1"/>
  <c r="K6055" i="1"/>
  <c r="K6054" i="1"/>
  <c r="K6053" i="1"/>
  <c r="K6052" i="1"/>
  <c r="K6051" i="1"/>
  <c r="K6050" i="1"/>
  <c r="K6049" i="1"/>
  <c r="K6048" i="1"/>
  <c r="K6047" i="1"/>
  <c r="K6046" i="1"/>
  <c r="K6045" i="1"/>
  <c r="K6044" i="1"/>
  <c r="K6043" i="1"/>
  <c r="K6042" i="1"/>
  <c r="K6041" i="1"/>
  <c r="K6040" i="1"/>
  <c r="K6039" i="1"/>
  <c r="K6038" i="1"/>
  <c r="K6037" i="1"/>
  <c r="K6036" i="1"/>
  <c r="K6035" i="1"/>
  <c r="K6034" i="1"/>
  <c r="K6033" i="1"/>
  <c r="K6032" i="1"/>
  <c r="K6031" i="1"/>
  <c r="K6030" i="1"/>
  <c r="K6029" i="1"/>
  <c r="K6028" i="1"/>
  <c r="K6027" i="1"/>
  <c r="K6026" i="1"/>
  <c r="K6025" i="1"/>
  <c r="K6024" i="1"/>
  <c r="K6023" i="1"/>
  <c r="K6022" i="1"/>
  <c r="K6021" i="1"/>
  <c r="K6020" i="1"/>
  <c r="K6019" i="1"/>
  <c r="K6018" i="1"/>
  <c r="K6017" i="1"/>
  <c r="K6016" i="1"/>
  <c r="K6015" i="1"/>
  <c r="K6014" i="1"/>
  <c r="K6013" i="1"/>
  <c r="K6012" i="1"/>
  <c r="K6011" i="1"/>
  <c r="K6010" i="1"/>
  <c r="K6009" i="1"/>
  <c r="K6008" i="1"/>
  <c r="K6007" i="1"/>
  <c r="K6006" i="1"/>
  <c r="K6005" i="1"/>
  <c r="K6004" i="1"/>
  <c r="K6003" i="1"/>
  <c r="K6002" i="1"/>
  <c r="K6001" i="1"/>
  <c r="K6000" i="1"/>
  <c r="K5999" i="1"/>
  <c r="K5998" i="1"/>
  <c r="K5997" i="1"/>
  <c r="K5996" i="1"/>
  <c r="K5995" i="1"/>
  <c r="K5994" i="1"/>
  <c r="K5993" i="1"/>
  <c r="K5992" i="1"/>
  <c r="K5991" i="1"/>
  <c r="K5990" i="1"/>
  <c r="K5989" i="1"/>
  <c r="K5988" i="1"/>
  <c r="K5987" i="1"/>
  <c r="K5986" i="1"/>
  <c r="K5985" i="1"/>
  <c r="K5984" i="1"/>
  <c r="K5983" i="1"/>
  <c r="K5982" i="1"/>
  <c r="K5981" i="1"/>
  <c r="K5980" i="1"/>
  <c r="K5979" i="1"/>
  <c r="K5978" i="1"/>
  <c r="K5977" i="1"/>
  <c r="K5976" i="1"/>
  <c r="K5975" i="1"/>
  <c r="K5974" i="1"/>
  <c r="K5973" i="1"/>
  <c r="K5972" i="1"/>
  <c r="K5971" i="1"/>
  <c r="K5970" i="1"/>
  <c r="K5969" i="1"/>
  <c r="K5968" i="1"/>
  <c r="K5967" i="1"/>
  <c r="K5966" i="1"/>
  <c r="K5965" i="1"/>
  <c r="K5964" i="1"/>
  <c r="K5963" i="1"/>
  <c r="K5962" i="1"/>
  <c r="K5961" i="1"/>
  <c r="K5960" i="1"/>
  <c r="K5959" i="1"/>
  <c r="K5958" i="1"/>
  <c r="K5957" i="1"/>
  <c r="K5956" i="1"/>
  <c r="K5955" i="1"/>
  <c r="K5954" i="1"/>
  <c r="K5953" i="1"/>
  <c r="K5952" i="1"/>
  <c r="K5951" i="1"/>
  <c r="K5950" i="1"/>
  <c r="K5949" i="1"/>
  <c r="K5948" i="1"/>
  <c r="K5947" i="1"/>
  <c r="K5946" i="1"/>
  <c r="K5945" i="1"/>
  <c r="K5944" i="1"/>
  <c r="K5943" i="1"/>
  <c r="K5942" i="1"/>
  <c r="K5941" i="1"/>
  <c r="K5940" i="1"/>
  <c r="K5939" i="1"/>
  <c r="K5938" i="1"/>
  <c r="K5937" i="1"/>
  <c r="K5936" i="1"/>
  <c r="K5935" i="1"/>
  <c r="K5934" i="1"/>
  <c r="K5933" i="1"/>
  <c r="K5932" i="1"/>
  <c r="K5931" i="1"/>
  <c r="K5930" i="1"/>
  <c r="K5929" i="1"/>
  <c r="K5928" i="1"/>
  <c r="K5927" i="1"/>
  <c r="K5926" i="1"/>
  <c r="K5925" i="1"/>
  <c r="K5924" i="1"/>
  <c r="K5923" i="1"/>
  <c r="K5922" i="1"/>
  <c r="K5921" i="1"/>
  <c r="K5920" i="1"/>
  <c r="K5919" i="1"/>
  <c r="K5918" i="1"/>
  <c r="K5917" i="1"/>
  <c r="K5916" i="1"/>
  <c r="K5915" i="1"/>
  <c r="K5914" i="1"/>
  <c r="K5913" i="1"/>
  <c r="K5912" i="1"/>
  <c r="K5911" i="1"/>
  <c r="K5910" i="1"/>
  <c r="K5909" i="1"/>
  <c r="K5908" i="1"/>
  <c r="K5907" i="1"/>
  <c r="K5906" i="1"/>
  <c r="K5905" i="1"/>
  <c r="K5904" i="1"/>
  <c r="K5903" i="1"/>
  <c r="K5902" i="1"/>
  <c r="K5901" i="1"/>
  <c r="K5900" i="1"/>
  <c r="K5899" i="1"/>
  <c r="K5898" i="1"/>
  <c r="K5897" i="1"/>
  <c r="K5896" i="1"/>
  <c r="K5895" i="1"/>
  <c r="K5894" i="1"/>
  <c r="K5893" i="1"/>
  <c r="K5892" i="1"/>
  <c r="K5891" i="1"/>
  <c r="K5890" i="1"/>
  <c r="K5889" i="1"/>
  <c r="K5888" i="1"/>
  <c r="K5887" i="1"/>
  <c r="K5886" i="1"/>
  <c r="K5885" i="1"/>
  <c r="K5884" i="1"/>
  <c r="K5883" i="1"/>
  <c r="K5882" i="1"/>
  <c r="K5881" i="1"/>
  <c r="K5880" i="1"/>
  <c r="K5879" i="1"/>
  <c r="K5878" i="1"/>
  <c r="K5877" i="1"/>
  <c r="K5876" i="1"/>
  <c r="K5875" i="1"/>
  <c r="K5874" i="1"/>
  <c r="K5873" i="1"/>
  <c r="K5872" i="1"/>
  <c r="K5871" i="1"/>
  <c r="K5870" i="1"/>
  <c r="K5869" i="1"/>
  <c r="K5868" i="1"/>
  <c r="K5867" i="1"/>
  <c r="K5866" i="1"/>
  <c r="K5865" i="1"/>
  <c r="K5864" i="1"/>
  <c r="K5863" i="1"/>
  <c r="K5862" i="1"/>
  <c r="K5861" i="1"/>
  <c r="K5860" i="1"/>
  <c r="K5859" i="1"/>
  <c r="K5858" i="1"/>
  <c r="K5857" i="1"/>
  <c r="K5856" i="1"/>
  <c r="K5855" i="1"/>
  <c r="K5854" i="1"/>
  <c r="K5853" i="1"/>
  <c r="K5852" i="1"/>
  <c r="K5851" i="1"/>
  <c r="K5850" i="1"/>
  <c r="K5849" i="1"/>
  <c r="K5848" i="1"/>
  <c r="K5847" i="1"/>
  <c r="K5846" i="1"/>
  <c r="K5845" i="1"/>
  <c r="K5844" i="1"/>
  <c r="K5843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7312" i="1"/>
  <c r="M7313" i="1"/>
  <c r="M7314" i="1"/>
  <c r="M7315" i="1"/>
  <c r="M7316" i="1"/>
  <c r="M7317" i="1"/>
  <c r="M7318" i="1"/>
  <c r="M7319" i="1"/>
  <c r="M7320" i="1"/>
  <c r="M7321" i="1"/>
  <c r="M7322" i="1"/>
  <c r="M7323" i="1"/>
  <c r="M7324" i="1"/>
  <c r="M7325" i="1"/>
  <c r="M7326" i="1"/>
  <c r="M7327" i="1"/>
  <c r="M7328" i="1"/>
  <c r="M7329" i="1"/>
  <c r="M7330" i="1"/>
  <c r="M7331" i="1"/>
  <c r="M7332" i="1"/>
  <c r="M7333" i="1"/>
  <c r="M7334" i="1"/>
  <c r="M7335" i="1"/>
  <c r="M7336" i="1"/>
  <c r="M7337" i="1"/>
  <c r="M7338" i="1"/>
  <c r="M7339" i="1"/>
  <c r="M7340" i="1"/>
  <c r="M7341" i="1"/>
  <c r="M7342" i="1"/>
  <c r="M7343" i="1"/>
  <c r="M7344" i="1"/>
  <c r="M7345" i="1"/>
  <c r="M7346" i="1"/>
  <c r="M7347" i="1"/>
  <c r="M7348" i="1"/>
  <c r="M7349" i="1"/>
  <c r="M7350" i="1"/>
  <c r="M7351" i="1"/>
  <c r="M7352" i="1"/>
  <c r="M7353" i="1"/>
  <c r="M7354" i="1"/>
  <c r="M7355" i="1"/>
  <c r="M7356" i="1"/>
  <c r="M7357" i="1"/>
  <c r="M7358" i="1"/>
  <c r="M7359" i="1"/>
  <c r="M7360" i="1"/>
  <c r="M7361" i="1"/>
  <c r="M7362" i="1"/>
  <c r="M7363" i="1"/>
  <c r="M7364" i="1"/>
  <c r="M7365" i="1"/>
  <c r="M7366" i="1"/>
  <c r="M7367" i="1"/>
  <c r="M7368" i="1"/>
  <c r="M7369" i="1"/>
  <c r="M7370" i="1"/>
  <c r="M7371" i="1"/>
  <c r="M7372" i="1"/>
  <c r="M7373" i="1"/>
  <c r="M7374" i="1"/>
  <c r="M7375" i="1"/>
  <c r="M7376" i="1"/>
  <c r="M7377" i="1"/>
  <c r="M7378" i="1"/>
  <c r="M7379" i="1"/>
  <c r="M7380" i="1"/>
  <c r="M7381" i="1"/>
  <c r="M7382" i="1"/>
  <c r="M7383" i="1"/>
  <c r="M7384" i="1"/>
  <c r="M7385" i="1"/>
  <c r="M7386" i="1"/>
  <c r="M7387" i="1"/>
  <c r="M7388" i="1"/>
  <c r="M7389" i="1"/>
  <c r="M7390" i="1"/>
  <c r="M7391" i="1"/>
  <c r="M7392" i="1"/>
  <c r="M7393" i="1"/>
  <c r="M7394" i="1"/>
  <c r="M7395" i="1"/>
  <c r="M7396" i="1"/>
  <c r="M7397" i="1"/>
  <c r="M7398" i="1"/>
  <c r="M7399" i="1"/>
  <c r="M7400" i="1"/>
  <c r="M7401" i="1"/>
  <c r="M7402" i="1"/>
  <c r="M7403" i="1"/>
  <c r="M7404" i="1"/>
  <c r="M7405" i="1"/>
  <c r="M7406" i="1"/>
  <c r="M7407" i="1"/>
  <c r="M7408" i="1"/>
  <c r="M7409" i="1"/>
  <c r="M7410" i="1"/>
  <c r="M7411" i="1"/>
  <c r="M7412" i="1"/>
  <c r="M7413" i="1"/>
  <c r="M7414" i="1"/>
  <c r="M7415" i="1"/>
  <c r="M7416" i="1"/>
  <c r="M7417" i="1"/>
  <c r="M7418" i="1"/>
  <c r="M7419" i="1"/>
  <c r="M7420" i="1"/>
  <c r="M7421" i="1"/>
  <c r="M7422" i="1"/>
  <c r="M7423" i="1"/>
  <c r="M7424" i="1"/>
  <c r="M7425" i="1"/>
  <c r="M7426" i="1"/>
  <c r="M7427" i="1"/>
  <c r="M7428" i="1"/>
  <c r="M7429" i="1"/>
  <c r="M7430" i="1"/>
  <c r="M7431" i="1"/>
  <c r="M7432" i="1"/>
  <c r="M7433" i="1"/>
  <c r="M7434" i="1"/>
  <c r="M7435" i="1"/>
  <c r="M7436" i="1"/>
  <c r="M7437" i="1"/>
  <c r="M7438" i="1"/>
  <c r="M7439" i="1"/>
  <c r="M7440" i="1"/>
  <c r="M7441" i="1"/>
  <c r="M7442" i="1"/>
  <c r="M7443" i="1"/>
  <c r="M7444" i="1"/>
  <c r="M7445" i="1"/>
  <c r="M7446" i="1"/>
  <c r="M7447" i="1"/>
  <c r="M7448" i="1"/>
  <c r="M7449" i="1"/>
  <c r="M7450" i="1"/>
  <c r="M7451" i="1"/>
  <c r="M7452" i="1"/>
  <c r="M7453" i="1"/>
  <c r="M7454" i="1"/>
  <c r="M7455" i="1"/>
  <c r="M7456" i="1"/>
  <c r="M7457" i="1"/>
  <c r="M7458" i="1"/>
  <c r="M7459" i="1"/>
  <c r="M7460" i="1"/>
  <c r="M7461" i="1"/>
  <c r="M7462" i="1"/>
  <c r="M7463" i="1"/>
  <c r="M7464" i="1"/>
  <c r="M7465" i="1"/>
  <c r="M7466" i="1"/>
  <c r="M7467" i="1"/>
  <c r="M7468" i="1"/>
  <c r="M7469" i="1"/>
  <c r="M7470" i="1"/>
  <c r="M7471" i="1"/>
  <c r="M7472" i="1"/>
  <c r="M7473" i="1"/>
  <c r="M7474" i="1"/>
  <c r="M7475" i="1"/>
  <c r="M7476" i="1"/>
  <c r="M7477" i="1"/>
  <c r="M7478" i="1"/>
  <c r="M7479" i="1"/>
  <c r="M7480" i="1"/>
  <c r="M7481" i="1"/>
  <c r="M7482" i="1"/>
  <c r="M7483" i="1"/>
  <c r="M7484" i="1"/>
  <c r="M7485" i="1"/>
  <c r="M7486" i="1"/>
  <c r="M7487" i="1"/>
  <c r="M7488" i="1"/>
  <c r="M7489" i="1"/>
  <c r="M7490" i="1"/>
  <c r="M7491" i="1"/>
  <c r="M7492" i="1"/>
  <c r="M7493" i="1"/>
  <c r="M7494" i="1"/>
  <c r="M7495" i="1"/>
  <c r="M7496" i="1"/>
  <c r="M7497" i="1"/>
  <c r="M7498" i="1"/>
  <c r="M7499" i="1"/>
  <c r="M7500" i="1"/>
  <c r="M7501" i="1"/>
  <c r="M7502" i="1"/>
  <c r="M7503" i="1"/>
  <c r="M7504" i="1"/>
  <c r="M7505" i="1"/>
  <c r="M7506" i="1"/>
  <c r="M7507" i="1"/>
  <c r="M7508" i="1"/>
  <c r="M7509" i="1"/>
  <c r="M7510" i="1"/>
  <c r="M7511" i="1"/>
  <c r="M7512" i="1"/>
  <c r="M7513" i="1"/>
  <c r="M7514" i="1"/>
  <c r="M7515" i="1"/>
  <c r="M7516" i="1"/>
  <c r="M7517" i="1"/>
  <c r="M7518" i="1"/>
  <c r="M7519" i="1"/>
  <c r="M7520" i="1"/>
  <c r="M7521" i="1"/>
  <c r="M7522" i="1"/>
  <c r="M7523" i="1"/>
  <c r="M7524" i="1"/>
  <c r="M7525" i="1"/>
  <c r="M7526" i="1"/>
  <c r="M7527" i="1"/>
  <c r="M7528" i="1"/>
  <c r="M7529" i="1"/>
  <c r="M7530" i="1"/>
  <c r="M7531" i="1"/>
  <c r="M7532" i="1"/>
  <c r="M7533" i="1"/>
  <c r="M7534" i="1"/>
  <c r="M7535" i="1"/>
  <c r="M7536" i="1"/>
  <c r="M7537" i="1"/>
  <c r="M7538" i="1"/>
  <c r="M7539" i="1"/>
  <c r="M7540" i="1"/>
  <c r="M7541" i="1"/>
  <c r="M7542" i="1"/>
  <c r="M7543" i="1"/>
  <c r="M7544" i="1"/>
  <c r="M7545" i="1"/>
  <c r="M7546" i="1"/>
  <c r="M7547" i="1"/>
  <c r="M7548" i="1"/>
  <c r="M7549" i="1"/>
  <c r="M7550" i="1"/>
  <c r="M7551" i="1"/>
  <c r="M7552" i="1"/>
  <c r="M7553" i="1"/>
  <c r="M7554" i="1"/>
  <c r="M7555" i="1"/>
  <c r="M7556" i="1"/>
  <c r="M7557" i="1"/>
  <c r="M7558" i="1"/>
  <c r="M7559" i="1"/>
  <c r="M7560" i="1"/>
  <c r="M7561" i="1"/>
  <c r="M7562" i="1"/>
  <c r="M7563" i="1"/>
  <c r="M7564" i="1"/>
  <c r="M7565" i="1"/>
  <c r="M7566" i="1"/>
  <c r="M7567" i="1"/>
  <c r="M7568" i="1"/>
  <c r="M7569" i="1"/>
  <c r="M7570" i="1"/>
  <c r="M7571" i="1"/>
  <c r="M7572" i="1"/>
  <c r="M7573" i="1"/>
  <c r="M7574" i="1"/>
  <c r="M7575" i="1"/>
  <c r="M7576" i="1"/>
  <c r="M7577" i="1"/>
  <c r="M7578" i="1"/>
  <c r="M7579" i="1"/>
  <c r="M7580" i="1"/>
  <c r="M7581" i="1"/>
  <c r="M7582" i="1"/>
  <c r="M7583" i="1"/>
  <c r="M7584" i="1"/>
  <c r="M7585" i="1"/>
  <c r="M7586" i="1"/>
  <c r="M7587" i="1"/>
  <c r="M7588" i="1"/>
  <c r="M7589" i="1"/>
  <c r="M7590" i="1"/>
  <c r="M7591" i="1"/>
  <c r="M7592" i="1"/>
  <c r="M7593" i="1"/>
  <c r="M7594" i="1"/>
  <c r="M7595" i="1"/>
  <c r="M7596" i="1"/>
  <c r="M7597" i="1"/>
  <c r="M7598" i="1"/>
  <c r="M7599" i="1"/>
  <c r="M7600" i="1"/>
  <c r="M7601" i="1"/>
  <c r="M7602" i="1"/>
  <c r="M7603" i="1"/>
  <c r="M7604" i="1"/>
  <c r="M7605" i="1"/>
  <c r="M7606" i="1"/>
  <c r="M7607" i="1"/>
  <c r="M7608" i="1"/>
  <c r="M7609" i="1"/>
  <c r="M7610" i="1"/>
  <c r="M7611" i="1"/>
  <c r="M7612" i="1"/>
  <c r="M7613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2" i="1"/>
  <c r="R2" i="1" l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/>
  <c r="F525" i="1"/>
  <c r="G525" i="1" s="1"/>
  <c r="F526" i="1"/>
  <c r="G526" i="1" s="1"/>
  <c r="F527" i="1"/>
  <c r="G527" i="1" s="1"/>
  <c r="F528" i="1"/>
  <c r="G528" i="1" s="1"/>
  <c r="F529" i="1"/>
  <c r="G529" i="1" s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G538" i="1" s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G558" i="1" s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G586" i="1" s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G595" i="1" s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G651" i="1" s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G707" i="1" s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G725" i="1" s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G757" i="1" s="1"/>
  <c r="F758" i="1"/>
  <c r="G758" i="1" s="1"/>
  <c r="F759" i="1"/>
  <c r="G759" i="1" s="1"/>
  <c r="F760" i="1"/>
  <c r="G760" i="1" s="1"/>
  <c r="F761" i="1"/>
  <c r="G761" i="1" s="1"/>
  <c r="F762" i="1"/>
  <c r="G762" i="1"/>
  <c r="F763" i="1"/>
  <c r="G763" i="1" s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G773" i="1" s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G779" i="1" s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G793" i="1" s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G851" i="1" s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G907" i="1" s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G949" i="1" s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G973" i="1" s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G979" i="1" s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G1001" i="1" s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G1007" i="1" s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G1021" i="1" s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G1029" i="1" s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G1035" i="1" s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G1049" i="1" s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G1077" i="1" s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G1101" i="1" s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G1107" i="1" s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G1129" i="1" s="1"/>
  <c r="F1130" i="1"/>
  <c r="G1130" i="1" s="1"/>
  <c r="F1131" i="1"/>
  <c r="G1131" i="1" s="1"/>
  <c r="F1132" i="1"/>
  <c r="G1132" i="1" s="1"/>
  <c r="F1133" i="1"/>
  <c r="G1133" i="1"/>
  <c r="F1134" i="1"/>
  <c r="G1134" i="1" s="1"/>
  <c r="F1135" i="1"/>
  <c r="G1135" i="1" s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G1149" i="1" s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G1157" i="1" s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G1163" i="1" s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G1177" i="1" s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G1205" i="1" s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G1229" i="1" s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G1235" i="1" s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G1257" i="1" s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G1263" i="1" s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G1277" i="1" s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G1285" i="1" s="1"/>
  <c r="F1286" i="1"/>
  <c r="G1286" i="1" s="1"/>
  <c r="F1287" i="1"/>
  <c r="G1287" i="1" s="1"/>
  <c r="F1288" i="1"/>
  <c r="G1288" i="1" s="1"/>
  <c r="F1289" i="1"/>
  <c r="G1289" i="1"/>
  <c r="F1290" i="1"/>
  <c r="G1290" i="1" s="1"/>
  <c r="F1291" i="1"/>
  <c r="G1291" i="1" s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G1305" i="1" s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G1333" i="1" s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G1357" i="1" s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G1363" i="1" s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G1385" i="1" s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G1391" i="1" s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G1405" i="1" s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G1413" i="1" s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G1419" i="1" s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G1433" i="1" s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G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G1485" i="1" s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G1491" i="1" s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G1513" i="1" s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G1519" i="1" s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G1533" i="1" s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G1541" i="1" s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G1547" i="1" s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/>
  <c r="F1558" i="1"/>
  <c r="G1558" i="1" s="1"/>
  <c r="F1559" i="1"/>
  <c r="G1559" i="1" s="1"/>
  <c r="F1560" i="1"/>
  <c r="G1560" i="1" s="1"/>
  <c r="F1561" i="1"/>
  <c r="G1561" i="1" s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G1571" i="1" s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G1577" i="1" s="1"/>
  <c r="F1578" i="1"/>
  <c r="G1578" i="1" s="1"/>
  <c r="F1579" i="1"/>
  <c r="G1579" i="1" s="1"/>
  <c r="F1580" i="1"/>
  <c r="G1580" i="1" s="1"/>
  <c r="F1581" i="1"/>
  <c r="G1581" i="1" s="1"/>
  <c r="F1582" i="1"/>
  <c r="G1582" i="1" s="1"/>
  <c r="F1583" i="1"/>
  <c r="G1583" i="1" s="1"/>
  <c r="F1584" i="1"/>
  <c r="G1584" i="1" s="1"/>
  <c r="F1585" i="1"/>
  <c r="G1585" i="1"/>
  <c r="F1586" i="1"/>
  <c r="G1586" i="1" s="1"/>
  <c r="F1587" i="1"/>
  <c r="G1587" i="1" s="1"/>
  <c r="F1588" i="1"/>
  <c r="G1588" i="1" s="1"/>
  <c r="F1589" i="1"/>
  <c r="G1589" i="1" s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G1597" i="1" s="1"/>
  <c r="F1598" i="1"/>
  <c r="G1598" i="1" s="1"/>
  <c r="F1599" i="1"/>
  <c r="G1599" i="1" s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G1605" i="1" s="1"/>
  <c r="F1606" i="1"/>
  <c r="G1606" i="1" s="1"/>
  <c r="F1607" i="1"/>
  <c r="G1607" i="1" s="1"/>
  <c r="F1608" i="1"/>
  <c r="G1608" i="1" s="1"/>
  <c r="F1609" i="1"/>
  <c r="G1609" i="1" s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G1619" i="1" s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G1625" i="1" s="1"/>
  <c r="F1626" i="1"/>
  <c r="G1626" i="1" s="1"/>
  <c r="F1627" i="1"/>
  <c r="G1627" i="1" s="1"/>
  <c r="F1628" i="1"/>
  <c r="G1628" i="1" s="1"/>
  <c r="F1629" i="1"/>
  <c r="G1629" i="1" s="1"/>
  <c r="F1630" i="1"/>
  <c r="G1630" i="1" s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G1637" i="1"/>
  <c r="F1638" i="1"/>
  <c r="G1638" i="1" s="1"/>
  <c r="F1639" i="1"/>
  <c r="G1639" i="1" s="1"/>
  <c r="F1640" i="1"/>
  <c r="G1640" i="1" s="1"/>
  <c r="F1641" i="1"/>
  <c r="G1641" i="1" s="1"/>
  <c r="F1642" i="1"/>
  <c r="G1642" i="1" s="1"/>
  <c r="F1643" i="1"/>
  <c r="G1643" i="1" s="1"/>
  <c r="F1644" i="1"/>
  <c r="G1644" i="1" s="1"/>
  <c r="F1645" i="1"/>
  <c r="G1645" i="1" s="1"/>
  <c r="F1646" i="1"/>
  <c r="G1646" i="1" s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G1653" i="1" s="1"/>
  <c r="F1654" i="1"/>
  <c r="G1654" i="1" s="1"/>
  <c r="F1655" i="1"/>
  <c r="G1655" i="1"/>
  <c r="F1656" i="1"/>
  <c r="G1656" i="1" s="1"/>
  <c r="F1657" i="1"/>
  <c r="G1657" i="1" s="1"/>
  <c r="F1658" i="1"/>
  <c r="G1658" i="1" s="1"/>
  <c r="F1659" i="1"/>
  <c r="G1659" i="1" s="1"/>
  <c r="F1660" i="1"/>
  <c r="G1660" i="1" s="1"/>
  <c r="F1661" i="1"/>
  <c r="G1661" i="1" s="1"/>
  <c r="F1662" i="1"/>
  <c r="G1662" i="1" s="1"/>
  <c r="F1663" i="1"/>
  <c r="G1663" i="1" s="1"/>
  <c r="F1664" i="1"/>
  <c r="G1664" i="1" s="1"/>
  <c r="F1665" i="1"/>
  <c r="G1665" i="1"/>
  <c r="F1666" i="1"/>
  <c r="G1666" i="1" s="1"/>
  <c r="F1667" i="1"/>
  <c r="G1667" i="1" s="1"/>
  <c r="F1668" i="1"/>
  <c r="G1668" i="1" s="1"/>
  <c r="F1669" i="1"/>
  <c r="G1669" i="1" s="1"/>
  <c r="F1670" i="1"/>
  <c r="G1670" i="1" s="1"/>
  <c r="F1671" i="1"/>
  <c r="G1671" i="1" s="1"/>
  <c r="F1672" i="1"/>
  <c r="G1672" i="1" s="1"/>
  <c r="F1673" i="1"/>
  <c r="G1673" i="1" s="1"/>
  <c r="F1674" i="1"/>
  <c r="G1674" i="1" s="1"/>
  <c r="F1675" i="1"/>
  <c r="G1675" i="1" s="1"/>
  <c r="F1676" i="1"/>
  <c r="G1676" i="1" s="1"/>
  <c r="F1677" i="1"/>
  <c r="G1677" i="1" s="1"/>
  <c r="F1678" i="1"/>
  <c r="G1678" i="1" s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G1685" i="1" s="1"/>
  <c r="F1686" i="1"/>
  <c r="G1686" i="1" s="1"/>
  <c r="F1687" i="1"/>
  <c r="G1687" i="1" s="1"/>
  <c r="F1688" i="1"/>
  <c r="G1688" i="1" s="1"/>
  <c r="F1689" i="1"/>
  <c r="G1689" i="1" s="1"/>
  <c r="F1690" i="1"/>
  <c r="G1690" i="1" s="1"/>
  <c r="F1691" i="1"/>
  <c r="G1691" i="1"/>
  <c r="F1692" i="1"/>
  <c r="G1692" i="1" s="1"/>
  <c r="F1693" i="1"/>
  <c r="G1693" i="1" s="1"/>
  <c r="F1694" i="1"/>
  <c r="G1694" i="1" s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G1701" i="1" s="1"/>
  <c r="F1702" i="1"/>
  <c r="G1702" i="1" s="1"/>
  <c r="F1703" i="1"/>
  <c r="G1703" i="1" s="1"/>
  <c r="F1704" i="1"/>
  <c r="G1704" i="1" s="1"/>
  <c r="F1705" i="1"/>
  <c r="G1705" i="1" s="1"/>
  <c r="F1706" i="1"/>
  <c r="G1706" i="1" s="1"/>
  <c r="F1707" i="1"/>
  <c r="G1707" i="1" s="1"/>
  <c r="F1708" i="1"/>
  <c r="G1708" i="1" s="1"/>
  <c r="F1709" i="1"/>
  <c r="G1709" i="1" s="1"/>
  <c r="F1710" i="1"/>
  <c r="G1710" i="1" s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G1717" i="1" s="1"/>
  <c r="F1718" i="1"/>
  <c r="G1718" i="1" s="1"/>
  <c r="F1719" i="1"/>
  <c r="G1719" i="1" s="1"/>
  <c r="F1720" i="1"/>
  <c r="G1720" i="1" s="1"/>
  <c r="F1721" i="1"/>
  <c r="G1721" i="1" s="1"/>
  <c r="F1722" i="1"/>
  <c r="G1722" i="1" s="1"/>
  <c r="F1723" i="1"/>
  <c r="G1723" i="1" s="1"/>
  <c r="F1724" i="1"/>
  <c r="G1724" i="1" s="1"/>
  <c r="F1725" i="1"/>
  <c r="G1725" i="1" s="1"/>
  <c r="F1726" i="1"/>
  <c r="G1726" i="1" s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G1733" i="1" s="1"/>
  <c r="F1734" i="1"/>
  <c r="G1734" i="1" s="1"/>
  <c r="F1735" i="1"/>
  <c r="G1735" i="1" s="1"/>
  <c r="F1736" i="1"/>
  <c r="G1736" i="1" s="1"/>
  <c r="F1737" i="1"/>
  <c r="G1737" i="1" s="1"/>
  <c r="F1738" i="1"/>
  <c r="G1738" i="1" s="1"/>
  <c r="F1739" i="1"/>
  <c r="G1739" i="1" s="1"/>
  <c r="F1740" i="1"/>
  <c r="G1740" i="1" s="1"/>
  <c r="F1741" i="1"/>
  <c r="G1741" i="1" s="1"/>
  <c r="F1742" i="1"/>
  <c r="G1742" i="1" s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G1749" i="1" s="1"/>
  <c r="F1750" i="1"/>
  <c r="G1750" i="1" s="1"/>
  <c r="F1751" i="1"/>
  <c r="G1751" i="1" s="1"/>
  <c r="F1752" i="1"/>
  <c r="G1752" i="1" s="1"/>
  <c r="F1753" i="1"/>
  <c r="G1753" i="1" s="1"/>
  <c r="F1754" i="1"/>
  <c r="G1754" i="1" s="1"/>
  <c r="F1755" i="1"/>
  <c r="G1755" i="1"/>
  <c r="F1756" i="1"/>
  <c r="G1756" i="1" s="1"/>
  <c r="F1757" i="1"/>
  <c r="G1757" i="1" s="1"/>
  <c r="F1758" i="1"/>
  <c r="G1758" i="1" s="1"/>
  <c r="F1759" i="1"/>
  <c r="G1759" i="1" s="1"/>
  <c r="F1760" i="1"/>
  <c r="G1760" i="1" s="1"/>
  <c r="F1761" i="1"/>
  <c r="G1761" i="1" s="1"/>
  <c r="F1762" i="1"/>
  <c r="G1762" i="1" s="1"/>
  <c r="F1763" i="1"/>
  <c r="G1763" i="1" s="1"/>
  <c r="F1764" i="1"/>
  <c r="G1764" i="1" s="1"/>
  <c r="F1765" i="1"/>
  <c r="G1765" i="1" s="1"/>
  <c r="F1766" i="1"/>
  <c r="G1766" i="1" s="1"/>
  <c r="F1767" i="1"/>
  <c r="G1767" i="1" s="1"/>
  <c r="F1768" i="1"/>
  <c r="G1768" i="1" s="1"/>
  <c r="F1769" i="1"/>
  <c r="G1769" i="1" s="1"/>
  <c r="F1770" i="1"/>
  <c r="G1770" i="1" s="1"/>
  <c r="F1771" i="1"/>
  <c r="G1771" i="1" s="1"/>
  <c r="F1772" i="1"/>
  <c r="G1772" i="1" s="1"/>
  <c r="F1773" i="1"/>
  <c r="G1773" i="1" s="1"/>
  <c r="F1774" i="1"/>
  <c r="G1774" i="1" s="1"/>
  <c r="F1775" i="1"/>
  <c r="G1775" i="1" s="1"/>
  <c r="F1776" i="1"/>
  <c r="G1776" i="1" s="1"/>
  <c r="F1777" i="1"/>
  <c r="G1777" i="1" s="1"/>
  <c r="F1778" i="1"/>
  <c r="G1778" i="1" s="1"/>
  <c r="F1779" i="1"/>
  <c r="G1779" i="1" s="1"/>
  <c r="F1780" i="1"/>
  <c r="G1780" i="1" s="1"/>
  <c r="F1781" i="1"/>
  <c r="G1781" i="1" s="1"/>
  <c r="F1782" i="1"/>
  <c r="G1782" i="1" s="1"/>
  <c r="F1783" i="1"/>
  <c r="G1783" i="1" s="1"/>
  <c r="F1784" i="1"/>
  <c r="G1784" i="1" s="1"/>
  <c r="F1785" i="1"/>
  <c r="G1785" i="1" s="1"/>
  <c r="F1786" i="1"/>
  <c r="G1786" i="1" s="1"/>
  <c r="F1787" i="1"/>
  <c r="G1787" i="1" s="1"/>
  <c r="F1788" i="1"/>
  <c r="G1788" i="1" s="1"/>
  <c r="F1789" i="1"/>
  <c r="G1789" i="1" s="1"/>
  <c r="F1790" i="1"/>
  <c r="G1790" i="1" s="1"/>
  <c r="F1791" i="1"/>
  <c r="G1791" i="1" s="1"/>
  <c r="F1792" i="1"/>
  <c r="G1792" i="1" s="1"/>
  <c r="F1793" i="1"/>
  <c r="G1793" i="1" s="1"/>
  <c r="F1794" i="1"/>
  <c r="G1794" i="1" s="1"/>
  <c r="F1795" i="1"/>
  <c r="G1795" i="1" s="1"/>
  <c r="F1796" i="1"/>
  <c r="G1796" i="1" s="1"/>
  <c r="F1797" i="1"/>
  <c r="G1797" i="1" s="1"/>
  <c r="F1798" i="1"/>
  <c r="G1798" i="1" s="1"/>
  <c r="F1799" i="1"/>
  <c r="G1799" i="1" s="1"/>
  <c r="F1800" i="1"/>
  <c r="G1800" i="1" s="1"/>
  <c r="F1801" i="1"/>
  <c r="G1801" i="1" s="1"/>
  <c r="F1802" i="1"/>
  <c r="G1802" i="1" s="1"/>
  <c r="F1803" i="1"/>
  <c r="G1803" i="1" s="1"/>
  <c r="F1804" i="1"/>
  <c r="G1804" i="1" s="1"/>
  <c r="F1805" i="1"/>
  <c r="G1805" i="1" s="1"/>
  <c r="F1806" i="1"/>
  <c r="G1806" i="1" s="1"/>
  <c r="F1807" i="1"/>
  <c r="G1807" i="1" s="1"/>
  <c r="F1808" i="1"/>
  <c r="G1808" i="1" s="1"/>
  <c r="F1809" i="1"/>
  <c r="G1809" i="1" s="1"/>
  <c r="F1810" i="1"/>
  <c r="G1810" i="1" s="1"/>
  <c r="F1811" i="1"/>
  <c r="G1811" i="1" s="1"/>
  <c r="F1812" i="1"/>
  <c r="G1812" i="1" s="1"/>
  <c r="F1813" i="1"/>
  <c r="G1813" i="1" s="1"/>
  <c r="F1814" i="1"/>
  <c r="G1814" i="1" s="1"/>
  <c r="F1815" i="1"/>
  <c r="G1815" i="1"/>
  <c r="F1816" i="1"/>
  <c r="G1816" i="1" s="1"/>
  <c r="F1817" i="1"/>
  <c r="G1817" i="1" s="1"/>
  <c r="F1818" i="1"/>
  <c r="G1818" i="1" s="1"/>
  <c r="F1819" i="1"/>
  <c r="G1819" i="1" s="1"/>
  <c r="F1820" i="1"/>
  <c r="G1820" i="1" s="1"/>
  <c r="F1821" i="1"/>
  <c r="G1821" i="1" s="1"/>
  <c r="F1822" i="1"/>
  <c r="G1822" i="1" s="1"/>
  <c r="F1823" i="1"/>
  <c r="G1823" i="1" s="1"/>
  <c r="F1824" i="1"/>
  <c r="G1824" i="1" s="1"/>
  <c r="F1825" i="1"/>
  <c r="G1825" i="1" s="1"/>
  <c r="F1826" i="1"/>
  <c r="G1826" i="1" s="1"/>
  <c r="F1827" i="1"/>
  <c r="G1827" i="1" s="1"/>
  <c r="F1828" i="1"/>
  <c r="G1828" i="1" s="1"/>
  <c r="F1829" i="1"/>
  <c r="G1829" i="1" s="1"/>
  <c r="F1830" i="1"/>
  <c r="G1830" i="1" s="1"/>
  <c r="F1831" i="1"/>
  <c r="G1831" i="1" s="1"/>
  <c r="F1832" i="1"/>
  <c r="G1832" i="1" s="1"/>
  <c r="F1833" i="1"/>
  <c r="G1833" i="1" s="1"/>
  <c r="F1834" i="1"/>
  <c r="G1834" i="1" s="1"/>
  <c r="F1835" i="1"/>
  <c r="G1835" i="1" s="1"/>
  <c r="F1836" i="1"/>
  <c r="G1836" i="1" s="1"/>
  <c r="F1837" i="1"/>
  <c r="G1837" i="1" s="1"/>
  <c r="F1838" i="1"/>
  <c r="G1838" i="1" s="1"/>
  <c r="F1839" i="1"/>
  <c r="G1839" i="1" s="1"/>
  <c r="F1840" i="1"/>
  <c r="G1840" i="1" s="1"/>
  <c r="F1841" i="1"/>
  <c r="G1841" i="1" s="1"/>
  <c r="F1842" i="1"/>
  <c r="G1842" i="1" s="1"/>
  <c r="F1843" i="1"/>
  <c r="G1843" i="1" s="1"/>
  <c r="F1844" i="1"/>
  <c r="G1844" i="1" s="1"/>
  <c r="F1845" i="1"/>
  <c r="G1845" i="1" s="1"/>
  <c r="F1846" i="1"/>
  <c r="G1846" i="1" s="1"/>
  <c r="F1847" i="1"/>
  <c r="G1847" i="1" s="1"/>
  <c r="F1848" i="1"/>
  <c r="G1848" i="1" s="1"/>
  <c r="F1849" i="1"/>
  <c r="G1849" i="1" s="1"/>
  <c r="F1850" i="1"/>
  <c r="G1850" i="1" s="1"/>
  <c r="F1851" i="1"/>
  <c r="G1851" i="1" s="1"/>
  <c r="F1852" i="1"/>
  <c r="G1852" i="1" s="1"/>
  <c r="F1853" i="1"/>
  <c r="G1853" i="1" s="1"/>
  <c r="F1854" i="1"/>
  <c r="G1854" i="1" s="1"/>
  <c r="F1855" i="1"/>
  <c r="G1855" i="1" s="1"/>
  <c r="F1856" i="1"/>
  <c r="G1856" i="1" s="1"/>
  <c r="F1857" i="1"/>
  <c r="G1857" i="1" s="1"/>
  <c r="F1858" i="1"/>
  <c r="G1858" i="1" s="1"/>
  <c r="F1859" i="1"/>
  <c r="G1859" i="1" s="1"/>
  <c r="F1860" i="1"/>
  <c r="G1860" i="1" s="1"/>
  <c r="F1861" i="1"/>
  <c r="G1861" i="1" s="1"/>
  <c r="F1862" i="1"/>
  <c r="G1862" i="1" s="1"/>
  <c r="F1863" i="1"/>
  <c r="G1863" i="1" s="1"/>
  <c r="F1864" i="1"/>
  <c r="G1864" i="1" s="1"/>
  <c r="F1865" i="1"/>
  <c r="G1865" i="1" s="1"/>
  <c r="F1866" i="1"/>
  <c r="G1866" i="1" s="1"/>
  <c r="F1867" i="1"/>
  <c r="G1867" i="1" s="1"/>
  <c r="F1868" i="1"/>
  <c r="G1868" i="1" s="1"/>
  <c r="F1869" i="1"/>
  <c r="G1869" i="1" s="1"/>
  <c r="F1870" i="1"/>
  <c r="G1870" i="1" s="1"/>
  <c r="F1871" i="1"/>
  <c r="G1871" i="1" s="1"/>
  <c r="F1872" i="1"/>
  <c r="G1872" i="1" s="1"/>
  <c r="F1873" i="1"/>
  <c r="G1873" i="1" s="1"/>
  <c r="F1874" i="1"/>
  <c r="G1874" i="1" s="1"/>
  <c r="F1875" i="1"/>
  <c r="G1875" i="1" s="1"/>
  <c r="F1876" i="1"/>
  <c r="G1876" i="1" s="1"/>
  <c r="F1877" i="1"/>
  <c r="G1877" i="1" s="1"/>
  <c r="F1878" i="1"/>
  <c r="G1878" i="1" s="1"/>
  <c r="F1879" i="1"/>
  <c r="G1879" i="1"/>
  <c r="F1880" i="1"/>
  <c r="G1880" i="1" s="1"/>
  <c r="F1881" i="1"/>
  <c r="G1881" i="1" s="1"/>
  <c r="F1882" i="1"/>
  <c r="G1882" i="1" s="1"/>
  <c r="F1883" i="1"/>
  <c r="G1883" i="1" s="1"/>
  <c r="F1884" i="1"/>
  <c r="G1884" i="1" s="1"/>
  <c r="F1885" i="1"/>
  <c r="G1885" i="1" s="1"/>
  <c r="F1886" i="1"/>
  <c r="G1886" i="1" s="1"/>
  <c r="F1887" i="1"/>
  <c r="G1887" i="1" s="1"/>
  <c r="F1888" i="1"/>
  <c r="G1888" i="1" s="1"/>
  <c r="F1889" i="1"/>
  <c r="G1889" i="1"/>
  <c r="F1890" i="1"/>
  <c r="G1890" i="1" s="1"/>
  <c r="F1891" i="1"/>
  <c r="G1891" i="1" s="1"/>
  <c r="F1892" i="1"/>
  <c r="G1892" i="1" s="1"/>
  <c r="F1893" i="1"/>
  <c r="G1893" i="1" s="1"/>
  <c r="F1894" i="1"/>
  <c r="G1894" i="1" s="1"/>
  <c r="F1895" i="1"/>
  <c r="G1895" i="1" s="1"/>
  <c r="F1896" i="1"/>
  <c r="G1896" i="1" s="1"/>
  <c r="F1897" i="1"/>
  <c r="G1897" i="1" s="1"/>
  <c r="F1898" i="1"/>
  <c r="G1898" i="1" s="1"/>
  <c r="F1899" i="1"/>
  <c r="G1899" i="1" s="1"/>
  <c r="F1900" i="1"/>
  <c r="G1900" i="1" s="1"/>
  <c r="F1901" i="1"/>
  <c r="G1901" i="1" s="1"/>
  <c r="F1902" i="1"/>
  <c r="G1902" i="1" s="1"/>
  <c r="F1903" i="1"/>
  <c r="G1903" i="1" s="1"/>
  <c r="F1904" i="1"/>
  <c r="G1904" i="1" s="1"/>
  <c r="F1905" i="1"/>
  <c r="G1905" i="1" s="1"/>
  <c r="F1906" i="1"/>
  <c r="G1906" i="1" s="1"/>
  <c r="F1907" i="1"/>
  <c r="G1907" i="1" s="1"/>
  <c r="F1908" i="1"/>
  <c r="G1908" i="1" s="1"/>
  <c r="F1909" i="1"/>
  <c r="G1909" i="1" s="1"/>
  <c r="F1910" i="1"/>
  <c r="G1910" i="1" s="1"/>
  <c r="F1911" i="1"/>
  <c r="G1911" i="1" s="1"/>
  <c r="F1912" i="1"/>
  <c r="G1912" i="1" s="1"/>
  <c r="F1913" i="1"/>
  <c r="G1913" i="1" s="1"/>
  <c r="F1914" i="1"/>
  <c r="G1914" i="1" s="1"/>
  <c r="F1915" i="1"/>
  <c r="G1915" i="1" s="1"/>
  <c r="F1916" i="1"/>
  <c r="G1916" i="1" s="1"/>
  <c r="F1917" i="1"/>
  <c r="G1917" i="1" s="1"/>
  <c r="F1918" i="1"/>
  <c r="G1918" i="1" s="1"/>
  <c r="F1919" i="1"/>
  <c r="G1919" i="1" s="1"/>
  <c r="F1920" i="1"/>
  <c r="G1920" i="1" s="1"/>
  <c r="F1921" i="1"/>
  <c r="G1921" i="1" s="1"/>
  <c r="F1922" i="1"/>
  <c r="G1922" i="1" s="1"/>
  <c r="F1923" i="1"/>
  <c r="G1923" i="1" s="1"/>
  <c r="F1924" i="1"/>
  <c r="G1924" i="1" s="1"/>
  <c r="F1925" i="1"/>
  <c r="G1925" i="1" s="1"/>
  <c r="F1926" i="1"/>
  <c r="G1926" i="1" s="1"/>
  <c r="F1927" i="1"/>
  <c r="G1927" i="1" s="1"/>
  <c r="F1928" i="1"/>
  <c r="G1928" i="1" s="1"/>
  <c r="F1929" i="1"/>
  <c r="G1929" i="1" s="1"/>
  <c r="F1930" i="1"/>
  <c r="G1930" i="1" s="1"/>
  <c r="F1931" i="1"/>
  <c r="G1931" i="1" s="1"/>
  <c r="F1932" i="1"/>
  <c r="G1932" i="1" s="1"/>
  <c r="F1933" i="1"/>
  <c r="G1933" i="1" s="1"/>
  <c r="F1934" i="1"/>
  <c r="G1934" i="1" s="1"/>
  <c r="F1935" i="1"/>
  <c r="G1935" i="1" s="1"/>
  <c r="F1936" i="1"/>
  <c r="G1936" i="1" s="1"/>
  <c r="F1937" i="1"/>
  <c r="G1937" i="1" s="1"/>
  <c r="F1938" i="1"/>
  <c r="G1938" i="1" s="1"/>
  <c r="F1939" i="1"/>
  <c r="G1939" i="1" s="1"/>
  <c r="F1940" i="1"/>
  <c r="G1940" i="1" s="1"/>
  <c r="F1941" i="1"/>
  <c r="G1941" i="1" s="1"/>
  <c r="F1942" i="1"/>
  <c r="G1942" i="1" s="1"/>
  <c r="F1943" i="1"/>
  <c r="G1943" i="1" s="1"/>
  <c r="F1944" i="1"/>
  <c r="G1944" i="1" s="1"/>
  <c r="F1945" i="1"/>
  <c r="G1945" i="1" s="1"/>
  <c r="F1946" i="1"/>
  <c r="G1946" i="1" s="1"/>
  <c r="F1947" i="1"/>
  <c r="G1947" i="1" s="1"/>
  <c r="F1948" i="1"/>
  <c r="G1948" i="1" s="1"/>
  <c r="F1949" i="1"/>
  <c r="G1949" i="1" s="1"/>
  <c r="F1950" i="1"/>
  <c r="G1950" i="1" s="1"/>
  <c r="F1951" i="1"/>
  <c r="G1951" i="1"/>
  <c r="F1952" i="1"/>
  <c r="G1952" i="1" s="1"/>
  <c r="F1953" i="1"/>
  <c r="G1953" i="1" s="1"/>
  <c r="F1954" i="1"/>
  <c r="G1954" i="1" s="1"/>
  <c r="F1955" i="1"/>
  <c r="G1955" i="1" s="1"/>
  <c r="F1956" i="1"/>
  <c r="G1956" i="1" s="1"/>
  <c r="F1957" i="1"/>
  <c r="G1957" i="1" s="1"/>
  <c r="F1958" i="1"/>
  <c r="G1958" i="1" s="1"/>
  <c r="F1959" i="1"/>
  <c r="G1959" i="1" s="1"/>
  <c r="F1960" i="1"/>
  <c r="G1960" i="1" s="1"/>
  <c r="F1961" i="1"/>
  <c r="G1961" i="1" s="1"/>
  <c r="F1962" i="1"/>
  <c r="G1962" i="1" s="1"/>
  <c r="F1963" i="1"/>
  <c r="G1963" i="1" s="1"/>
  <c r="F1964" i="1"/>
  <c r="G1964" i="1" s="1"/>
  <c r="F1965" i="1"/>
  <c r="G1965" i="1" s="1"/>
  <c r="F1966" i="1"/>
  <c r="G1966" i="1" s="1"/>
  <c r="F1967" i="1"/>
  <c r="G1967" i="1" s="1"/>
  <c r="F1968" i="1"/>
  <c r="G1968" i="1" s="1"/>
  <c r="F1969" i="1"/>
  <c r="G1969" i="1" s="1"/>
  <c r="F1970" i="1"/>
  <c r="G1970" i="1" s="1"/>
  <c r="F1971" i="1"/>
  <c r="G1971" i="1" s="1"/>
  <c r="F1972" i="1"/>
  <c r="G1972" i="1" s="1"/>
  <c r="F1973" i="1"/>
  <c r="G1973" i="1" s="1"/>
  <c r="F1974" i="1"/>
  <c r="G1974" i="1" s="1"/>
  <c r="F1975" i="1"/>
  <c r="G1975" i="1" s="1"/>
  <c r="F1976" i="1"/>
  <c r="G1976" i="1" s="1"/>
  <c r="F1977" i="1"/>
  <c r="G1977" i="1" s="1"/>
  <c r="F1978" i="1"/>
  <c r="G1978" i="1" s="1"/>
  <c r="F1979" i="1"/>
  <c r="G1979" i="1" s="1"/>
  <c r="F1980" i="1"/>
  <c r="G1980" i="1" s="1"/>
  <c r="F1981" i="1"/>
  <c r="G1981" i="1" s="1"/>
  <c r="F1982" i="1"/>
  <c r="G1982" i="1" s="1"/>
  <c r="F1983" i="1"/>
  <c r="G1983" i="1" s="1"/>
  <c r="F1984" i="1"/>
  <c r="G1984" i="1" s="1"/>
  <c r="F1985" i="1"/>
  <c r="G1985" i="1" s="1"/>
  <c r="F1986" i="1"/>
  <c r="G1986" i="1" s="1"/>
  <c r="F1987" i="1"/>
  <c r="G1987" i="1" s="1"/>
  <c r="F1988" i="1"/>
  <c r="G1988" i="1" s="1"/>
  <c r="F1989" i="1"/>
  <c r="G1989" i="1" s="1"/>
  <c r="F1990" i="1"/>
  <c r="G1990" i="1" s="1"/>
  <c r="F1991" i="1"/>
  <c r="G1991" i="1" s="1"/>
  <c r="F1992" i="1"/>
  <c r="G1992" i="1" s="1"/>
  <c r="F1993" i="1"/>
  <c r="G1993" i="1" s="1"/>
  <c r="F1994" i="1"/>
  <c r="G1994" i="1" s="1"/>
  <c r="F1995" i="1"/>
  <c r="G1995" i="1" s="1"/>
  <c r="F1996" i="1"/>
  <c r="G1996" i="1" s="1"/>
  <c r="F1997" i="1"/>
  <c r="G1997" i="1" s="1"/>
  <c r="F1998" i="1"/>
  <c r="G1998" i="1" s="1"/>
  <c r="F1999" i="1"/>
  <c r="G1999" i="1" s="1"/>
  <c r="F2000" i="1"/>
  <c r="G2000" i="1" s="1"/>
  <c r="F2001" i="1"/>
  <c r="G2001" i="1" s="1"/>
  <c r="F2002" i="1"/>
  <c r="G2002" i="1" s="1"/>
  <c r="F2003" i="1"/>
  <c r="G2003" i="1" s="1"/>
  <c r="F2004" i="1"/>
  <c r="G2004" i="1" s="1"/>
  <c r="F2005" i="1"/>
  <c r="G2005" i="1" s="1"/>
  <c r="F2006" i="1"/>
  <c r="G2006" i="1" s="1"/>
  <c r="F2007" i="1"/>
  <c r="G2007" i="1" s="1"/>
  <c r="F2008" i="1"/>
  <c r="G2008" i="1" s="1"/>
  <c r="F2009" i="1"/>
  <c r="G2009" i="1" s="1"/>
  <c r="F2010" i="1"/>
  <c r="G2010" i="1" s="1"/>
  <c r="F2011" i="1"/>
  <c r="G2011" i="1" s="1"/>
  <c r="F2012" i="1"/>
  <c r="G2012" i="1" s="1"/>
  <c r="F2013" i="1"/>
  <c r="G2013" i="1" s="1"/>
  <c r="F2014" i="1"/>
  <c r="G2014" i="1" s="1"/>
  <c r="F2015" i="1"/>
  <c r="G2015" i="1" s="1"/>
  <c r="F2016" i="1"/>
  <c r="G2016" i="1" s="1"/>
  <c r="F2017" i="1"/>
  <c r="G2017" i="1" s="1"/>
  <c r="F2018" i="1"/>
  <c r="G2018" i="1" s="1"/>
  <c r="F2019" i="1"/>
  <c r="G2019" i="1" s="1"/>
  <c r="F2020" i="1"/>
  <c r="G2020" i="1" s="1"/>
  <c r="F2021" i="1"/>
  <c r="G2021" i="1" s="1"/>
  <c r="F2022" i="1"/>
  <c r="G2022" i="1" s="1"/>
  <c r="F2023" i="1"/>
  <c r="G2023" i="1" s="1"/>
  <c r="F2024" i="1"/>
  <c r="G2024" i="1" s="1"/>
  <c r="F2025" i="1"/>
  <c r="G2025" i="1" s="1"/>
  <c r="F2026" i="1"/>
  <c r="G2026" i="1" s="1"/>
  <c r="F2027" i="1"/>
  <c r="G2027" i="1" s="1"/>
  <c r="F2028" i="1"/>
  <c r="G2028" i="1" s="1"/>
  <c r="F2029" i="1"/>
  <c r="G2029" i="1" s="1"/>
  <c r="F2030" i="1"/>
  <c r="G2030" i="1" s="1"/>
  <c r="F2031" i="1"/>
  <c r="G2031" i="1" s="1"/>
  <c r="F2032" i="1"/>
  <c r="G2032" i="1" s="1"/>
  <c r="F2033" i="1"/>
  <c r="G2033" i="1" s="1"/>
  <c r="F2034" i="1"/>
  <c r="G2034" i="1" s="1"/>
  <c r="F2035" i="1"/>
  <c r="G2035" i="1"/>
  <c r="F2036" i="1"/>
  <c r="G2036" i="1" s="1"/>
  <c r="F2037" i="1"/>
  <c r="G2037" i="1" s="1"/>
  <c r="F2038" i="1"/>
  <c r="G2038" i="1" s="1"/>
  <c r="F2039" i="1"/>
  <c r="G2039" i="1" s="1"/>
  <c r="F2040" i="1"/>
  <c r="G2040" i="1" s="1"/>
  <c r="F2041" i="1"/>
  <c r="G2041" i="1" s="1"/>
  <c r="F2042" i="1"/>
  <c r="G2042" i="1" s="1"/>
  <c r="F2043" i="1"/>
  <c r="G2043" i="1" s="1"/>
  <c r="F2044" i="1"/>
  <c r="G2044" i="1" s="1"/>
  <c r="F2045" i="1"/>
  <c r="G2045" i="1" s="1"/>
  <c r="F2046" i="1"/>
  <c r="G2046" i="1" s="1"/>
  <c r="F2047" i="1"/>
  <c r="G2047" i="1" s="1"/>
  <c r="F2048" i="1"/>
  <c r="G2048" i="1" s="1"/>
  <c r="F2049" i="1"/>
  <c r="G2049" i="1" s="1"/>
  <c r="F2050" i="1"/>
  <c r="G2050" i="1" s="1"/>
  <c r="F2051" i="1"/>
  <c r="G2051" i="1" s="1"/>
  <c r="F2052" i="1"/>
  <c r="G2052" i="1" s="1"/>
  <c r="F2053" i="1"/>
  <c r="G2053" i="1" s="1"/>
  <c r="F2054" i="1"/>
  <c r="G2054" i="1" s="1"/>
  <c r="F2055" i="1"/>
  <c r="G2055" i="1" s="1"/>
  <c r="F2056" i="1"/>
  <c r="G2056" i="1" s="1"/>
  <c r="F2057" i="1"/>
  <c r="G2057" i="1" s="1"/>
  <c r="F2058" i="1"/>
  <c r="G2058" i="1" s="1"/>
  <c r="F2059" i="1"/>
  <c r="G2059" i="1" s="1"/>
  <c r="F2060" i="1"/>
  <c r="G2060" i="1" s="1"/>
  <c r="F2061" i="1"/>
  <c r="G2061" i="1" s="1"/>
  <c r="F2062" i="1"/>
  <c r="G2062" i="1" s="1"/>
  <c r="F2063" i="1"/>
  <c r="G2063" i="1" s="1"/>
  <c r="F2064" i="1"/>
  <c r="G2064" i="1" s="1"/>
  <c r="F2065" i="1"/>
  <c r="G2065" i="1" s="1"/>
  <c r="F2066" i="1"/>
  <c r="G2066" i="1" s="1"/>
  <c r="F2067" i="1"/>
  <c r="G2067" i="1" s="1"/>
  <c r="F2068" i="1"/>
  <c r="G2068" i="1" s="1"/>
  <c r="F2069" i="1"/>
  <c r="G2069" i="1" s="1"/>
  <c r="F2070" i="1"/>
  <c r="G2070" i="1" s="1"/>
  <c r="F2071" i="1"/>
  <c r="G2071" i="1" s="1"/>
  <c r="F2072" i="1"/>
  <c r="G2072" i="1" s="1"/>
  <c r="F2073" i="1"/>
  <c r="G2073" i="1" s="1"/>
  <c r="F2074" i="1"/>
  <c r="G2074" i="1" s="1"/>
  <c r="F2075" i="1"/>
  <c r="G2075" i="1" s="1"/>
  <c r="F2076" i="1"/>
  <c r="G2076" i="1" s="1"/>
  <c r="F2077" i="1"/>
  <c r="G2077" i="1" s="1"/>
  <c r="F2078" i="1"/>
  <c r="G2078" i="1" s="1"/>
  <c r="F2079" i="1"/>
  <c r="G2079" i="1" s="1"/>
  <c r="F2080" i="1"/>
  <c r="G2080" i="1" s="1"/>
  <c r="F2081" i="1"/>
  <c r="G2081" i="1" s="1"/>
  <c r="F2082" i="1"/>
  <c r="G2082" i="1" s="1"/>
  <c r="F2083" i="1"/>
  <c r="G2083" i="1" s="1"/>
  <c r="F2084" i="1"/>
  <c r="G2084" i="1" s="1"/>
  <c r="F2085" i="1"/>
  <c r="G2085" i="1" s="1"/>
  <c r="F2086" i="1"/>
  <c r="G2086" i="1" s="1"/>
  <c r="F2087" i="1"/>
  <c r="G2087" i="1" s="1"/>
  <c r="F2088" i="1"/>
  <c r="G2088" i="1" s="1"/>
  <c r="F2089" i="1"/>
  <c r="G2089" i="1" s="1"/>
  <c r="F2090" i="1"/>
  <c r="G2090" i="1" s="1"/>
  <c r="F2091" i="1"/>
  <c r="G2091" i="1" s="1"/>
  <c r="F2092" i="1"/>
  <c r="G2092" i="1" s="1"/>
  <c r="F2093" i="1"/>
  <c r="G2093" i="1" s="1"/>
  <c r="F2094" i="1"/>
  <c r="G2094" i="1" s="1"/>
  <c r="F2095" i="1"/>
  <c r="G2095" i="1" s="1"/>
  <c r="F2096" i="1"/>
  <c r="G2096" i="1" s="1"/>
  <c r="F2097" i="1"/>
  <c r="G2097" i="1" s="1"/>
  <c r="F2098" i="1"/>
  <c r="G2098" i="1" s="1"/>
  <c r="F2099" i="1"/>
  <c r="G2099" i="1" s="1"/>
  <c r="F2100" i="1"/>
  <c r="G2100" i="1" s="1"/>
  <c r="F2101" i="1"/>
  <c r="G2101" i="1" s="1"/>
  <c r="F2102" i="1"/>
  <c r="G2102" i="1" s="1"/>
  <c r="F2103" i="1"/>
  <c r="G2103" i="1" s="1"/>
  <c r="F2104" i="1"/>
  <c r="G2104" i="1" s="1"/>
  <c r="F2105" i="1"/>
  <c r="G2105" i="1" s="1"/>
  <c r="F2106" i="1"/>
  <c r="G2106" i="1" s="1"/>
  <c r="F2107" i="1"/>
  <c r="G2107" i="1" s="1"/>
  <c r="F2108" i="1"/>
  <c r="G2108" i="1" s="1"/>
  <c r="F2109" i="1"/>
  <c r="G2109" i="1" s="1"/>
  <c r="F2110" i="1"/>
  <c r="G2110" i="1" s="1"/>
  <c r="F2111" i="1"/>
  <c r="G2111" i="1" s="1"/>
  <c r="F2112" i="1"/>
  <c r="G2112" i="1" s="1"/>
  <c r="F2113" i="1"/>
  <c r="G2113" i="1" s="1"/>
  <c r="F2114" i="1"/>
  <c r="G2114" i="1" s="1"/>
  <c r="F2115" i="1"/>
  <c r="G2115" i="1" s="1"/>
  <c r="F2116" i="1"/>
  <c r="G2116" i="1" s="1"/>
  <c r="F2117" i="1"/>
  <c r="G2117" i="1" s="1"/>
  <c r="F2118" i="1"/>
  <c r="G2118" i="1" s="1"/>
  <c r="F2119" i="1"/>
  <c r="G2119" i="1" s="1"/>
  <c r="F2120" i="1"/>
  <c r="G2120" i="1" s="1"/>
  <c r="F2121" i="1"/>
  <c r="G2121" i="1" s="1"/>
  <c r="F2122" i="1"/>
  <c r="G2122" i="1" s="1"/>
  <c r="F2123" i="1"/>
  <c r="G2123" i="1" s="1"/>
  <c r="F2124" i="1"/>
  <c r="G2124" i="1" s="1"/>
  <c r="F2125" i="1"/>
  <c r="G2125" i="1" s="1"/>
  <c r="F2126" i="1"/>
  <c r="G2126" i="1" s="1"/>
  <c r="F2127" i="1"/>
  <c r="G2127" i="1" s="1"/>
  <c r="F2128" i="1"/>
  <c r="G2128" i="1" s="1"/>
  <c r="F2129" i="1"/>
  <c r="G2129" i="1" s="1"/>
  <c r="F2130" i="1"/>
  <c r="G2130" i="1" s="1"/>
  <c r="F2131" i="1"/>
  <c r="G2131" i="1" s="1"/>
  <c r="F2132" i="1"/>
  <c r="G2132" i="1" s="1"/>
  <c r="F2133" i="1"/>
  <c r="G2133" i="1" s="1"/>
  <c r="F2134" i="1"/>
  <c r="G2134" i="1" s="1"/>
  <c r="F2135" i="1"/>
  <c r="G2135" i="1" s="1"/>
  <c r="F2136" i="1"/>
  <c r="G2136" i="1"/>
  <c r="F2137" i="1"/>
  <c r="G2137" i="1" s="1"/>
  <c r="F2138" i="1"/>
  <c r="G2138" i="1" s="1"/>
  <c r="F2139" i="1"/>
  <c r="G2139" i="1" s="1"/>
  <c r="F2140" i="1"/>
  <c r="G2140" i="1" s="1"/>
  <c r="F2141" i="1"/>
  <c r="G2141" i="1" s="1"/>
  <c r="F2142" i="1"/>
  <c r="G2142" i="1" s="1"/>
  <c r="F2143" i="1"/>
  <c r="G2143" i="1" s="1"/>
  <c r="F2144" i="1"/>
  <c r="G2144" i="1" s="1"/>
  <c r="F2145" i="1"/>
  <c r="G2145" i="1" s="1"/>
  <c r="F2146" i="1"/>
  <c r="G2146" i="1" s="1"/>
  <c r="F2147" i="1"/>
  <c r="G2147" i="1" s="1"/>
  <c r="F2148" i="1"/>
  <c r="G2148" i="1" s="1"/>
  <c r="F2149" i="1"/>
  <c r="G2149" i="1" s="1"/>
  <c r="F2150" i="1"/>
  <c r="G2150" i="1"/>
  <c r="F2151" i="1"/>
  <c r="G2151" i="1" s="1"/>
  <c r="F2152" i="1"/>
  <c r="G2152" i="1" s="1"/>
  <c r="F2153" i="1"/>
  <c r="G2153" i="1" s="1"/>
  <c r="F2154" i="1"/>
  <c r="G2154" i="1" s="1"/>
  <c r="F2155" i="1"/>
  <c r="G2155" i="1" s="1"/>
  <c r="F2156" i="1"/>
  <c r="G2156" i="1"/>
  <c r="F2157" i="1"/>
  <c r="G2157" i="1" s="1"/>
  <c r="F2158" i="1"/>
  <c r="G2158" i="1" s="1"/>
  <c r="F2159" i="1"/>
  <c r="G2159" i="1" s="1"/>
  <c r="F2160" i="1"/>
  <c r="G2160" i="1" s="1"/>
  <c r="F2161" i="1"/>
  <c r="G2161" i="1" s="1"/>
  <c r="F2162" i="1"/>
  <c r="G2162" i="1" s="1"/>
  <c r="F2163" i="1"/>
  <c r="G2163" i="1" s="1"/>
  <c r="F2164" i="1"/>
  <c r="G2164" i="1" s="1"/>
  <c r="F2165" i="1"/>
  <c r="G2165" i="1" s="1"/>
  <c r="F2166" i="1"/>
  <c r="G2166" i="1" s="1"/>
  <c r="F2167" i="1"/>
  <c r="G2167" i="1" s="1"/>
  <c r="F2168" i="1"/>
  <c r="G2168" i="1" s="1"/>
  <c r="F2169" i="1"/>
  <c r="G2169" i="1" s="1"/>
  <c r="F2170" i="1"/>
  <c r="G2170" i="1" s="1"/>
  <c r="F2171" i="1"/>
  <c r="G2171" i="1" s="1"/>
  <c r="F2172" i="1"/>
  <c r="G2172" i="1" s="1"/>
  <c r="F2173" i="1"/>
  <c r="G2173" i="1" s="1"/>
  <c r="F2174" i="1"/>
  <c r="G2174" i="1" s="1"/>
  <c r="F2175" i="1"/>
  <c r="G2175" i="1" s="1"/>
  <c r="F2176" i="1"/>
  <c r="G2176" i="1" s="1"/>
  <c r="F2177" i="1"/>
  <c r="G2177" i="1" s="1"/>
  <c r="F2178" i="1"/>
  <c r="G2178" i="1" s="1"/>
  <c r="F2179" i="1"/>
  <c r="G2179" i="1" s="1"/>
  <c r="F2180" i="1"/>
  <c r="G2180" i="1" s="1"/>
  <c r="F2181" i="1"/>
  <c r="G2181" i="1" s="1"/>
  <c r="F2182" i="1"/>
  <c r="G2182" i="1"/>
  <c r="F2183" i="1"/>
  <c r="G2183" i="1" s="1"/>
  <c r="F2184" i="1"/>
  <c r="G2184" i="1" s="1"/>
  <c r="F2185" i="1"/>
  <c r="G2185" i="1" s="1"/>
  <c r="F2186" i="1"/>
  <c r="G2186" i="1" s="1"/>
  <c r="F2187" i="1"/>
  <c r="G2187" i="1" s="1"/>
  <c r="F2188" i="1"/>
  <c r="G2188" i="1"/>
  <c r="F2189" i="1"/>
  <c r="G2189" i="1" s="1"/>
  <c r="F2190" i="1"/>
  <c r="G2190" i="1" s="1"/>
  <c r="F2191" i="1"/>
  <c r="G2191" i="1" s="1"/>
  <c r="F2192" i="1"/>
  <c r="G2192" i="1" s="1"/>
  <c r="F2193" i="1"/>
  <c r="G2193" i="1" s="1"/>
  <c r="F2194" i="1"/>
  <c r="G2194" i="1" s="1"/>
  <c r="F2195" i="1"/>
  <c r="G2195" i="1" s="1"/>
  <c r="F2196" i="1"/>
  <c r="G2196" i="1" s="1"/>
  <c r="F2197" i="1"/>
  <c r="G2197" i="1" s="1"/>
  <c r="F2198" i="1"/>
  <c r="G2198" i="1" s="1"/>
  <c r="F2199" i="1"/>
  <c r="G2199" i="1" s="1"/>
  <c r="F2200" i="1"/>
  <c r="G2200" i="1" s="1"/>
  <c r="F2201" i="1"/>
  <c r="G2201" i="1" s="1"/>
  <c r="F2202" i="1"/>
  <c r="G2202" i="1" s="1"/>
  <c r="F2203" i="1"/>
  <c r="G2203" i="1" s="1"/>
  <c r="F2204" i="1"/>
  <c r="G2204" i="1" s="1"/>
  <c r="F2205" i="1"/>
  <c r="G2205" i="1" s="1"/>
  <c r="F2206" i="1"/>
  <c r="G2206" i="1" s="1"/>
  <c r="F2207" i="1"/>
  <c r="G2207" i="1" s="1"/>
  <c r="F2208" i="1"/>
  <c r="G2208" i="1" s="1"/>
  <c r="F2209" i="1"/>
  <c r="G2209" i="1" s="1"/>
  <c r="F2210" i="1"/>
  <c r="G2210" i="1" s="1"/>
  <c r="F2211" i="1"/>
  <c r="G2211" i="1" s="1"/>
  <c r="F2212" i="1"/>
  <c r="G2212" i="1" s="1"/>
  <c r="F2213" i="1"/>
  <c r="G2213" i="1" s="1"/>
  <c r="F2214" i="1"/>
  <c r="G2214" i="1" s="1"/>
  <c r="F2215" i="1"/>
  <c r="G2215" i="1" s="1"/>
  <c r="F2216" i="1"/>
  <c r="G2216" i="1" s="1"/>
  <c r="F2217" i="1"/>
  <c r="G2217" i="1" s="1"/>
  <c r="F2218" i="1"/>
  <c r="G2218" i="1" s="1"/>
  <c r="F2219" i="1"/>
  <c r="G2219" i="1" s="1"/>
  <c r="F2220" i="1"/>
  <c r="G2220" i="1" s="1"/>
  <c r="F2221" i="1"/>
  <c r="G2221" i="1" s="1"/>
  <c r="F2222" i="1"/>
  <c r="G2222" i="1" s="1"/>
  <c r="F2223" i="1"/>
  <c r="G2223" i="1" s="1"/>
  <c r="F2224" i="1"/>
  <c r="G2224" i="1" s="1"/>
  <c r="F2225" i="1"/>
  <c r="G2225" i="1" s="1"/>
  <c r="F2226" i="1"/>
  <c r="G2226" i="1" s="1"/>
  <c r="F2227" i="1"/>
  <c r="G2227" i="1" s="1"/>
  <c r="F2228" i="1"/>
  <c r="G2228" i="1"/>
  <c r="F2229" i="1"/>
  <c r="G2229" i="1" s="1"/>
  <c r="F2230" i="1"/>
  <c r="G2230" i="1" s="1"/>
  <c r="F2231" i="1"/>
  <c r="G2231" i="1" s="1"/>
  <c r="F2232" i="1"/>
  <c r="G2232" i="1" s="1"/>
  <c r="F2233" i="1"/>
  <c r="G2233" i="1" s="1"/>
  <c r="F2234" i="1"/>
  <c r="G2234" i="1" s="1"/>
  <c r="F2235" i="1"/>
  <c r="G2235" i="1" s="1"/>
  <c r="F2236" i="1"/>
  <c r="G2236" i="1" s="1"/>
  <c r="F2237" i="1"/>
  <c r="G2237" i="1" s="1"/>
  <c r="F2238" i="1"/>
  <c r="G2238" i="1" s="1"/>
  <c r="F2239" i="1"/>
  <c r="G2239" i="1" s="1"/>
  <c r="F2240" i="1"/>
  <c r="G2240" i="1" s="1"/>
  <c r="F2241" i="1"/>
  <c r="G2241" i="1" s="1"/>
  <c r="F2242" i="1"/>
  <c r="G2242" i="1"/>
  <c r="F2243" i="1"/>
  <c r="G2243" i="1" s="1"/>
  <c r="F2244" i="1"/>
  <c r="G2244" i="1" s="1"/>
  <c r="F2245" i="1"/>
  <c r="G2245" i="1" s="1"/>
  <c r="F2246" i="1"/>
  <c r="G2246" i="1" s="1"/>
  <c r="F2247" i="1"/>
  <c r="G2247" i="1" s="1"/>
  <c r="F2248" i="1"/>
  <c r="G2248" i="1" s="1"/>
  <c r="F2249" i="1"/>
  <c r="G2249" i="1" s="1"/>
  <c r="F2250" i="1"/>
  <c r="G2250" i="1" s="1"/>
  <c r="F2251" i="1"/>
  <c r="G2251" i="1" s="1"/>
  <c r="F2252" i="1"/>
  <c r="G2252" i="1"/>
  <c r="F2253" i="1"/>
  <c r="G2253" i="1" s="1"/>
  <c r="F2254" i="1"/>
  <c r="G2254" i="1" s="1"/>
  <c r="F2255" i="1"/>
  <c r="G2255" i="1" s="1"/>
  <c r="F2256" i="1"/>
  <c r="G2256" i="1" s="1"/>
  <c r="F2257" i="1"/>
  <c r="G2257" i="1" s="1"/>
  <c r="F2258" i="1"/>
  <c r="G2258" i="1" s="1"/>
  <c r="F2259" i="1"/>
  <c r="G2259" i="1" s="1"/>
  <c r="F2260" i="1"/>
  <c r="G2260" i="1" s="1"/>
  <c r="F2261" i="1"/>
  <c r="G2261" i="1" s="1"/>
  <c r="F2262" i="1"/>
  <c r="G2262" i="1" s="1"/>
  <c r="F2263" i="1"/>
  <c r="G2263" i="1" s="1"/>
  <c r="F2264" i="1"/>
  <c r="G2264" i="1" s="1"/>
  <c r="F2265" i="1"/>
  <c r="G2265" i="1" s="1"/>
  <c r="F2266" i="1"/>
  <c r="G2266" i="1" s="1"/>
  <c r="F2267" i="1"/>
  <c r="G2267" i="1" s="1"/>
  <c r="F2268" i="1"/>
  <c r="G2268" i="1" s="1"/>
  <c r="F2269" i="1"/>
  <c r="G2269" i="1" s="1"/>
  <c r="F2270" i="1"/>
  <c r="G2270" i="1" s="1"/>
  <c r="F2271" i="1"/>
  <c r="G2271" i="1" s="1"/>
  <c r="F2272" i="1"/>
  <c r="G2272" i="1" s="1"/>
  <c r="F2273" i="1"/>
  <c r="G2273" i="1" s="1"/>
  <c r="F2274" i="1"/>
  <c r="G2274" i="1" s="1"/>
  <c r="F2275" i="1"/>
  <c r="G2275" i="1" s="1"/>
  <c r="F2276" i="1"/>
  <c r="G2276" i="1"/>
  <c r="F2277" i="1"/>
  <c r="G2277" i="1" s="1"/>
  <c r="F2278" i="1"/>
  <c r="G2278" i="1" s="1"/>
  <c r="F2279" i="1"/>
  <c r="G2279" i="1" s="1"/>
  <c r="F2280" i="1"/>
  <c r="G2280" i="1" s="1"/>
  <c r="F2281" i="1"/>
  <c r="G2281" i="1" s="1"/>
  <c r="F2282" i="1"/>
  <c r="G2282" i="1" s="1"/>
  <c r="F2283" i="1"/>
  <c r="G2283" i="1" s="1"/>
  <c r="F2284" i="1"/>
  <c r="G2284" i="1" s="1"/>
  <c r="F2285" i="1"/>
  <c r="G2285" i="1" s="1"/>
  <c r="F2286" i="1"/>
  <c r="G2286" i="1" s="1"/>
  <c r="F2287" i="1"/>
  <c r="G2287" i="1" s="1"/>
  <c r="F2288" i="1"/>
  <c r="G2288" i="1" s="1"/>
  <c r="F2289" i="1"/>
  <c r="G2289" i="1" s="1"/>
  <c r="F2290" i="1"/>
  <c r="G2290" i="1" s="1"/>
  <c r="F2291" i="1"/>
  <c r="G2291" i="1" s="1"/>
  <c r="F2292" i="1"/>
  <c r="G2292" i="1" s="1"/>
  <c r="F2293" i="1"/>
  <c r="G2293" i="1" s="1"/>
  <c r="F2294" i="1"/>
  <c r="G2294" i="1" s="1"/>
  <c r="F2295" i="1"/>
  <c r="G2295" i="1" s="1"/>
  <c r="F2296" i="1"/>
  <c r="G2296" i="1" s="1"/>
  <c r="F2297" i="1"/>
  <c r="G2297" i="1" s="1"/>
  <c r="F2298" i="1"/>
  <c r="G2298" i="1" s="1"/>
  <c r="F2299" i="1"/>
  <c r="G2299" i="1" s="1"/>
  <c r="F2300" i="1"/>
  <c r="G2300" i="1" s="1"/>
  <c r="F2301" i="1"/>
  <c r="G2301" i="1" s="1"/>
  <c r="F2302" i="1"/>
  <c r="G2302" i="1" s="1"/>
  <c r="F2303" i="1"/>
  <c r="G2303" i="1" s="1"/>
  <c r="F2304" i="1"/>
  <c r="G2304" i="1" s="1"/>
  <c r="F2305" i="1"/>
  <c r="G2305" i="1" s="1"/>
  <c r="F2306" i="1"/>
  <c r="G2306" i="1" s="1"/>
  <c r="F2307" i="1"/>
  <c r="G2307" i="1" s="1"/>
  <c r="F2308" i="1"/>
  <c r="G2308" i="1" s="1"/>
  <c r="F2309" i="1"/>
  <c r="G2309" i="1" s="1"/>
  <c r="F2310" i="1"/>
  <c r="G2310" i="1" s="1"/>
  <c r="F2311" i="1"/>
  <c r="G2311" i="1" s="1"/>
  <c r="F2312" i="1"/>
  <c r="G2312" i="1" s="1"/>
  <c r="F2313" i="1"/>
  <c r="G2313" i="1" s="1"/>
  <c r="F2314" i="1"/>
  <c r="G2314" i="1" s="1"/>
  <c r="F2315" i="1"/>
  <c r="G2315" i="1" s="1"/>
  <c r="F2316" i="1"/>
  <c r="G2316" i="1" s="1"/>
  <c r="F2317" i="1"/>
  <c r="G2317" i="1" s="1"/>
  <c r="F2318" i="1"/>
  <c r="G2318" i="1" s="1"/>
  <c r="F2319" i="1"/>
  <c r="G2319" i="1" s="1"/>
  <c r="F2320" i="1"/>
  <c r="G2320" i="1" s="1"/>
  <c r="F2321" i="1"/>
  <c r="G2321" i="1" s="1"/>
  <c r="F2322" i="1"/>
  <c r="G2322" i="1" s="1"/>
  <c r="F2323" i="1"/>
  <c r="G2323" i="1" s="1"/>
  <c r="F2324" i="1"/>
  <c r="G2324" i="1"/>
  <c r="F2325" i="1"/>
  <c r="G2325" i="1" s="1"/>
  <c r="F2326" i="1"/>
  <c r="G2326" i="1" s="1"/>
  <c r="F2327" i="1"/>
  <c r="G2327" i="1" s="1"/>
  <c r="F2328" i="1"/>
  <c r="G2328" i="1" s="1"/>
  <c r="F2329" i="1"/>
  <c r="G2329" i="1" s="1"/>
  <c r="F2330" i="1"/>
  <c r="G2330" i="1" s="1"/>
  <c r="F2331" i="1"/>
  <c r="G2331" i="1" s="1"/>
  <c r="F2332" i="1"/>
  <c r="G2332" i="1" s="1"/>
  <c r="F2333" i="1"/>
  <c r="G2333" i="1" s="1"/>
  <c r="F2334" i="1"/>
  <c r="G2334" i="1" s="1"/>
  <c r="F2335" i="1"/>
  <c r="G2335" i="1" s="1"/>
  <c r="F2336" i="1"/>
  <c r="G2336" i="1" s="1"/>
  <c r="F2337" i="1"/>
  <c r="G2337" i="1" s="1"/>
  <c r="F2338" i="1"/>
  <c r="G2338" i="1" s="1"/>
  <c r="F2339" i="1"/>
  <c r="G2339" i="1" s="1"/>
  <c r="F2340" i="1"/>
  <c r="G2340" i="1" s="1"/>
  <c r="F2341" i="1"/>
  <c r="G2341" i="1" s="1"/>
  <c r="F2342" i="1"/>
  <c r="G2342" i="1" s="1"/>
  <c r="F2343" i="1"/>
  <c r="G2343" i="1" s="1"/>
  <c r="F2344" i="1"/>
  <c r="G2344" i="1" s="1"/>
  <c r="F2345" i="1"/>
  <c r="G2345" i="1" s="1"/>
  <c r="F2346" i="1"/>
  <c r="G2346" i="1" s="1"/>
  <c r="F2347" i="1"/>
  <c r="G2347" i="1" s="1"/>
  <c r="F2348" i="1"/>
  <c r="G2348" i="1" s="1"/>
  <c r="F2349" i="1"/>
  <c r="G2349" i="1" s="1"/>
  <c r="F2350" i="1"/>
  <c r="G2350" i="1" s="1"/>
  <c r="F2351" i="1"/>
  <c r="G2351" i="1" s="1"/>
  <c r="F2352" i="1"/>
  <c r="G2352" i="1" s="1"/>
  <c r="F2353" i="1"/>
  <c r="G2353" i="1" s="1"/>
  <c r="F2354" i="1"/>
  <c r="G2354" i="1" s="1"/>
  <c r="F2355" i="1"/>
  <c r="G2355" i="1" s="1"/>
  <c r="F2356" i="1"/>
  <c r="G2356" i="1"/>
  <c r="F2357" i="1"/>
  <c r="G2357" i="1" s="1"/>
  <c r="F2358" i="1"/>
  <c r="G2358" i="1" s="1"/>
  <c r="F2359" i="1"/>
  <c r="G2359" i="1" s="1"/>
  <c r="F2360" i="1"/>
  <c r="G2360" i="1" s="1"/>
  <c r="F2361" i="1"/>
  <c r="G2361" i="1" s="1"/>
  <c r="F2362" i="1"/>
  <c r="G2362" i="1" s="1"/>
  <c r="F2363" i="1"/>
  <c r="G2363" i="1" s="1"/>
  <c r="F2364" i="1"/>
  <c r="G2364" i="1" s="1"/>
  <c r="F2365" i="1"/>
  <c r="G2365" i="1" s="1"/>
  <c r="F2366" i="1"/>
  <c r="G2366" i="1" s="1"/>
  <c r="F2367" i="1"/>
  <c r="G2367" i="1" s="1"/>
  <c r="F2368" i="1"/>
  <c r="G2368" i="1" s="1"/>
  <c r="F2369" i="1"/>
  <c r="G2369" i="1" s="1"/>
  <c r="F2370" i="1"/>
  <c r="G2370" i="1"/>
  <c r="F2371" i="1"/>
  <c r="G2371" i="1" s="1"/>
  <c r="F2372" i="1"/>
  <c r="G2372" i="1" s="1"/>
  <c r="F2373" i="1"/>
  <c r="G2373" i="1" s="1"/>
  <c r="F2374" i="1"/>
  <c r="G2374" i="1" s="1"/>
  <c r="F2375" i="1"/>
  <c r="G2375" i="1" s="1"/>
  <c r="F2376" i="1"/>
  <c r="G2376" i="1" s="1"/>
  <c r="F2377" i="1"/>
  <c r="G2377" i="1" s="1"/>
  <c r="F2378" i="1"/>
  <c r="G2378" i="1" s="1"/>
  <c r="F2379" i="1"/>
  <c r="G2379" i="1" s="1"/>
  <c r="F2380" i="1"/>
  <c r="G2380" i="1"/>
  <c r="F2381" i="1"/>
  <c r="G2381" i="1" s="1"/>
  <c r="F2382" i="1"/>
  <c r="G2382" i="1" s="1"/>
  <c r="F2383" i="1"/>
  <c r="G2383" i="1" s="1"/>
  <c r="F2384" i="1"/>
  <c r="G2384" i="1" s="1"/>
  <c r="F2385" i="1"/>
  <c r="G2385" i="1" s="1"/>
  <c r="F2386" i="1"/>
  <c r="G2386" i="1" s="1"/>
  <c r="F2387" i="1"/>
  <c r="G2387" i="1" s="1"/>
  <c r="F2388" i="1"/>
  <c r="G2388" i="1" s="1"/>
  <c r="F2389" i="1"/>
  <c r="G2389" i="1" s="1"/>
  <c r="F2390" i="1"/>
  <c r="G2390" i="1" s="1"/>
  <c r="F2391" i="1"/>
  <c r="G2391" i="1" s="1"/>
  <c r="F2392" i="1"/>
  <c r="G2392" i="1" s="1"/>
  <c r="F2393" i="1"/>
  <c r="G2393" i="1" s="1"/>
  <c r="F2394" i="1"/>
  <c r="G2394" i="1" s="1"/>
  <c r="F2395" i="1"/>
  <c r="G2395" i="1" s="1"/>
  <c r="F2396" i="1"/>
  <c r="G2396" i="1" s="1"/>
  <c r="F2397" i="1"/>
  <c r="G2397" i="1" s="1"/>
  <c r="F2398" i="1"/>
  <c r="G2398" i="1" s="1"/>
  <c r="F2399" i="1"/>
  <c r="G2399" i="1" s="1"/>
  <c r="F2400" i="1"/>
  <c r="G2400" i="1" s="1"/>
  <c r="F2401" i="1"/>
  <c r="G2401" i="1" s="1"/>
  <c r="F2402" i="1"/>
  <c r="G2402" i="1" s="1"/>
  <c r="F2403" i="1"/>
  <c r="G2403" i="1" s="1"/>
  <c r="F2404" i="1"/>
  <c r="G2404" i="1"/>
  <c r="F2405" i="1"/>
  <c r="G2405" i="1" s="1"/>
  <c r="F2406" i="1"/>
  <c r="G2406" i="1" s="1"/>
  <c r="F2407" i="1"/>
  <c r="G2407" i="1" s="1"/>
  <c r="F2408" i="1"/>
  <c r="G2408" i="1" s="1"/>
  <c r="F2409" i="1"/>
  <c r="G2409" i="1" s="1"/>
  <c r="F2410" i="1"/>
  <c r="G2410" i="1" s="1"/>
  <c r="F2411" i="1"/>
  <c r="G2411" i="1" s="1"/>
  <c r="F2412" i="1"/>
  <c r="G2412" i="1" s="1"/>
  <c r="F2413" i="1"/>
  <c r="G2413" i="1" s="1"/>
  <c r="F2414" i="1"/>
  <c r="G2414" i="1" s="1"/>
  <c r="F2415" i="1"/>
  <c r="G2415" i="1" s="1"/>
  <c r="F2416" i="1"/>
  <c r="G2416" i="1" s="1"/>
  <c r="F2417" i="1"/>
  <c r="G2417" i="1" s="1"/>
  <c r="F2418" i="1"/>
  <c r="G2418" i="1" s="1"/>
  <c r="F2419" i="1"/>
  <c r="G2419" i="1" s="1"/>
  <c r="F2420" i="1"/>
  <c r="G2420" i="1" s="1"/>
  <c r="F2421" i="1"/>
  <c r="G2421" i="1" s="1"/>
  <c r="F2422" i="1"/>
  <c r="G2422" i="1" s="1"/>
  <c r="F2423" i="1"/>
  <c r="G2423" i="1" s="1"/>
  <c r="F2424" i="1"/>
  <c r="G2424" i="1" s="1"/>
  <c r="F2425" i="1"/>
  <c r="G2425" i="1" s="1"/>
  <c r="F2426" i="1"/>
  <c r="G2426" i="1" s="1"/>
  <c r="F2427" i="1"/>
  <c r="G2427" i="1" s="1"/>
  <c r="F2428" i="1"/>
  <c r="G2428" i="1" s="1"/>
  <c r="F2429" i="1"/>
  <c r="G2429" i="1" s="1"/>
  <c r="F2430" i="1"/>
  <c r="G2430" i="1" s="1"/>
  <c r="F2431" i="1"/>
  <c r="G2431" i="1" s="1"/>
  <c r="F2432" i="1"/>
  <c r="G2432" i="1" s="1"/>
  <c r="F2433" i="1"/>
  <c r="G2433" i="1" s="1"/>
  <c r="F2434" i="1"/>
  <c r="G2434" i="1" s="1"/>
  <c r="F2435" i="1"/>
  <c r="G2435" i="1" s="1"/>
  <c r="F2436" i="1"/>
  <c r="G2436" i="1" s="1"/>
  <c r="F2437" i="1"/>
  <c r="G2437" i="1" s="1"/>
  <c r="F2438" i="1"/>
  <c r="G2438" i="1" s="1"/>
  <c r="F2439" i="1"/>
  <c r="G2439" i="1" s="1"/>
  <c r="F2440" i="1"/>
  <c r="G2440" i="1" s="1"/>
  <c r="F2441" i="1"/>
  <c r="G2441" i="1" s="1"/>
  <c r="F2442" i="1"/>
  <c r="G2442" i="1" s="1"/>
  <c r="F2443" i="1"/>
  <c r="G2443" i="1" s="1"/>
  <c r="F2444" i="1"/>
  <c r="G2444" i="1" s="1"/>
  <c r="F2445" i="1"/>
  <c r="G2445" i="1" s="1"/>
  <c r="F2446" i="1"/>
  <c r="G2446" i="1" s="1"/>
  <c r="F2447" i="1"/>
  <c r="G2447" i="1" s="1"/>
  <c r="F2448" i="1"/>
  <c r="G2448" i="1" s="1"/>
  <c r="F2449" i="1"/>
  <c r="G2449" i="1" s="1"/>
  <c r="F2450" i="1"/>
  <c r="G2450" i="1" s="1"/>
  <c r="F2451" i="1"/>
  <c r="G2451" i="1" s="1"/>
  <c r="F2452" i="1"/>
  <c r="G2452" i="1"/>
  <c r="F2453" i="1"/>
  <c r="G2453" i="1" s="1"/>
  <c r="F2454" i="1"/>
  <c r="G2454" i="1" s="1"/>
  <c r="F2455" i="1"/>
  <c r="G2455" i="1" s="1"/>
  <c r="F2456" i="1"/>
  <c r="G2456" i="1" s="1"/>
  <c r="F2457" i="1"/>
  <c r="G2457" i="1" s="1"/>
  <c r="F2458" i="1"/>
  <c r="G2458" i="1" s="1"/>
  <c r="F2459" i="1"/>
  <c r="G2459" i="1" s="1"/>
  <c r="F2460" i="1"/>
  <c r="G2460" i="1" s="1"/>
  <c r="F2461" i="1"/>
  <c r="G2461" i="1" s="1"/>
  <c r="F2462" i="1"/>
  <c r="G2462" i="1" s="1"/>
  <c r="F2463" i="1"/>
  <c r="G2463" i="1" s="1"/>
  <c r="F2464" i="1"/>
  <c r="G2464" i="1" s="1"/>
  <c r="F2465" i="1"/>
  <c r="G2465" i="1" s="1"/>
  <c r="F2466" i="1"/>
  <c r="G2466" i="1" s="1"/>
  <c r="F2467" i="1"/>
  <c r="G2467" i="1" s="1"/>
  <c r="F2468" i="1"/>
  <c r="G2468" i="1" s="1"/>
  <c r="F2469" i="1"/>
  <c r="G2469" i="1" s="1"/>
  <c r="F2470" i="1"/>
  <c r="G2470" i="1" s="1"/>
  <c r="F2471" i="1"/>
  <c r="G2471" i="1" s="1"/>
  <c r="F2472" i="1"/>
  <c r="G2472" i="1" s="1"/>
  <c r="F2473" i="1"/>
  <c r="G2473" i="1" s="1"/>
  <c r="F2474" i="1"/>
  <c r="G2474" i="1" s="1"/>
  <c r="F2475" i="1"/>
  <c r="G2475" i="1" s="1"/>
  <c r="F2476" i="1"/>
  <c r="G2476" i="1" s="1"/>
  <c r="F2477" i="1"/>
  <c r="G2477" i="1" s="1"/>
  <c r="F2478" i="1"/>
  <c r="G2478" i="1" s="1"/>
  <c r="F2479" i="1"/>
  <c r="G2479" i="1" s="1"/>
  <c r="F2480" i="1"/>
  <c r="G2480" i="1" s="1"/>
  <c r="F2481" i="1"/>
  <c r="G2481" i="1" s="1"/>
  <c r="F2482" i="1"/>
  <c r="G2482" i="1" s="1"/>
  <c r="F2483" i="1"/>
  <c r="G2483" i="1" s="1"/>
  <c r="F2484" i="1"/>
  <c r="G2484" i="1"/>
  <c r="F2485" i="1"/>
  <c r="G2485" i="1" s="1"/>
  <c r="F2486" i="1"/>
  <c r="G2486" i="1" s="1"/>
  <c r="F2487" i="1"/>
  <c r="G2487" i="1" s="1"/>
  <c r="F2488" i="1"/>
  <c r="G2488" i="1" s="1"/>
  <c r="F2489" i="1"/>
  <c r="G2489" i="1" s="1"/>
  <c r="F2490" i="1"/>
  <c r="G2490" i="1" s="1"/>
  <c r="F2491" i="1"/>
  <c r="G2491" i="1" s="1"/>
  <c r="F2492" i="1"/>
  <c r="G2492" i="1" s="1"/>
  <c r="F2493" i="1"/>
  <c r="G2493" i="1" s="1"/>
  <c r="F2494" i="1"/>
  <c r="G2494" i="1" s="1"/>
  <c r="F2495" i="1"/>
  <c r="G2495" i="1" s="1"/>
  <c r="F2496" i="1"/>
  <c r="G2496" i="1" s="1"/>
  <c r="F2497" i="1"/>
  <c r="G2497" i="1" s="1"/>
  <c r="F2498" i="1"/>
  <c r="G2498" i="1"/>
  <c r="F2499" i="1"/>
  <c r="G2499" i="1" s="1"/>
  <c r="F2500" i="1"/>
  <c r="G2500" i="1" s="1"/>
  <c r="F2501" i="1"/>
  <c r="G2501" i="1" s="1"/>
  <c r="F2502" i="1"/>
  <c r="G2502" i="1" s="1"/>
  <c r="F2503" i="1"/>
  <c r="G2503" i="1" s="1"/>
  <c r="F2504" i="1"/>
  <c r="G2504" i="1" s="1"/>
  <c r="F2505" i="1"/>
  <c r="G2505" i="1" s="1"/>
  <c r="F2506" i="1"/>
  <c r="G2506" i="1" s="1"/>
  <c r="F2507" i="1"/>
  <c r="G2507" i="1" s="1"/>
  <c r="F2508" i="1"/>
  <c r="G2508" i="1"/>
  <c r="F2509" i="1"/>
  <c r="G2509" i="1" s="1"/>
  <c r="F2510" i="1"/>
  <c r="G2510" i="1" s="1"/>
  <c r="F2511" i="1"/>
  <c r="G2511" i="1" s="1"/>
  <c r="F2512" i="1"/>
  <c r="G2512" i="1" s="1"/>
  <c r="F2513" i="1"/>
  <c r="G2513" i="1" s="1"/>
  <c r="F2514" i="1"/>
  <c r="G2514" i="1" s="1"/>
  <c r="F2515" i="1"/>
  <c r="G2515" i="1" s="1"/>
  <c r="F2516" i="1"/>
  <c r="G2516" i="1" s="1"/>
  <c r="F2517" i="1"/>
  <c r="G2517" i="1" s="1"/>
  <c r="F2518" i="1"/>
  <c r="G2518" i="1" s="1"/>
  <c r="F2519" i="1"/>
  <c r="G2519" i="1" s="1"/>
  <c r="F2520" i="1"/>
  <c r="G2520" i="1" s="1"/>
  <c r="F2521" i="1"/>
  <c r="G2521" i="1" s="1"/>
  <c r="F2522" i="1"/>
  <c r="G2522" i="1" s="1"/>
  <c r="F2523" i="1"/>
  <c r="G2523" i="1" s="1"/>
  <c r="F2524" i="1"/>
  <c r="G2524" i="1" s="1"/>
  <c r="F2525" i="1"/>
  <c r="G2525" i="1" s="1"/>
  <c r="F2526" i="1"/>
  <c r="G2526" i="1" s="1"/>
  <c r="F2527" i="1"/>
  <c r="G2527" i="1" s="1"/>
  <c r="F2528" i="1"/>
  <c r="G2528" i="1" s="1"/>
  <c r="F2529" i="1"/>
  <c r="G2529" i="1" s="1"/>
  <c r="F2530" i="1"/>
  <c r="G2530" i="1" s="1"/>
  <c r="F2531" i="1"/>
  <c r="G2531" i="1" s="1"/>
  <c r="F2532" i="1"/>
  <c r="G2532" i="1" s="1"/>
  <c r="F2533" i="1"/>
  <c r="G2533" i="1" s="1"/>
  <c r="F2534" i="1"/>
  <c r="G2534" i="1" s="1"/>
  <c r="F2535" i="1"/>
  <c r="G2535" i="1" s="1"/>
  <c r="F2536" i="1"/>
  <c r="G2536" i="1" s="1"/>
  <c r="F2537" i="1"/>
  <c r="G2537" i="1" s="1"/>
  <c r="F2538" i="1"/>
  <c r="G2538" i="1" s="1"/>
  <c r="F2539" i="1"/>
  <c r="G2539" i="1" s="1"/>
  <c r="F2540" i="1"/>
  <c r="G2540" i="1" s="1"/>
  <c r="F2541" i="1"/>
  <c r="G2541" i="1" s="1"/>
  <c r="F2542" i="1"/>
  <c r="G2542" i="1" s="1"/>
  <c r="F2543" i="1"/>
  <c r="G2543" i="1" s="1"/>
  <c r="F2544" i="1"/>
  <c r="G2544" i="1" s="1"/>
  <c r="F2545" i="1"/>
  <c r="G2545" i="1" s="1"/>
  <c r="F2546" i="1"/>
  <c r="G2546" i="1" s="1"/>
  <c r="F2547" i="1"/>
  <c r="G2547" i="1" s="1"/>
  <c r="F2548" i="1"/>
  <c r="G2548" i="1" s="1"/>
  <c r="F2549" i="1"/>
  <c r="G2549" i="1" s="1"/>
  <c r="F2550" i="1"/>
  <c r="G2550" i="1" s="1"/>
  <c r="F2551" i="1"/>
  <c r="G2551" i="1" s="1"/>
  <c r="F2552" i="1"/>
  <c r="G2552" i="1" s="1"/>
  <c r="F2553" i="1"/>
  <c r="G2553" i="1" s="1"/>
  <c r="F2554" i="1"/>
  <c r="G2554" i="1" s="1"/>
  <c r="F2555" i="1"/>
  <c r="G2555" i="1" s="1"/>
  <c r="F2556" i="1"/>
  <c r="G2556" i="1" s="1"/>
  <c r="F2557" i="1"/>
  <c r="G2557" i="1" s="1"/>
  <c r="F2558" i="1"/>
  <c r="G2558" i="1" s="1"/>
  <c r="F2559" i="1"/>
  <c r="G2559" i="1" s="1"/>
  <c r="F2560" i="1"/>
  <c r="G2560" i="1" s="1"/>
  <c r="F2561" i="1"/>
  <c r="G2561" i="1" s="1"/>
  <c r="F2562" i="1"/>
  <c r="G2562" i="1" s="1"/>
  <c r="F2563" i="1"/>
  <c r="G2563" i="1" s="1"/>
  <c r="F2564" i="1"/>
  <c r="G2564" i="1" s="1"/>
  <c r="F2565" i="1"/>
  <c r="G2565" i="1" s="1"/>
  <c r="F2566" i="1"/>
  <c r="G2566" i="1" s="1"/>
  <c r="F2567" i="1"/>
  <c r="G2567" i="1" s="1"/>
  <c r="F2568" i="1"/>
  <c r="G2568" i="1" s="1"/>
  <c r="F2569" i="1"/>
  <c r="G2569" i="1" s="1"/>
  <c r="F2570" i="1"/>
  <c r="G2570" i="1" s="1"/>
  <c r="F2571" i="1"/>
  <c r="G2571" i="1" s="1"/>
  <c r="F2572" i="1"/>
  <c r="G2572" i="1" s="1"/>
  <c r="F2573" i="1"/>
  <c r="G2573" i="1" s="1"/>
  <c r="F2574" i="1"/>
  <c r="G2574" i="1" s="1"/>
  <c r="F2575" i="1"/>
  <c r="G2575" i="1" s="1"/>
  <c r="F2576" i="1"/>
  <c r="G2576" i="1" s="1"/>
  <c r="F2577" i="1"/>
  <c r="G2577" i="1" s="1"/>
  <c r="F2578" i="1"/>
  <c r="G2578" i="1" s="1"/>
  <c r="F2579" i="1"/>
  <c r="G2579" i="1" s="1"/>
  <c r="F2580" i="1"/>
  <c r="G2580" i="1" s="1"/>
  <c r="F2581" i="1"/>
  <c r="G2581" i="1" s="1"/>
  <c r="F2582" i="1"/>
  <c r="G2582" i="1" s="1"/>
  <c r="F2583" i="1"/>
  <c r="G2583" i="1" s="1"/>
  <c r="F2584" i="1"/>
  <c r="G2584" i="1" s="1"/>
  <c r="F2585" i="1"/>
  <c r="G2585" i="1" s="1"/>
  <c r="F2586" i="1"/>
  <c r="G2586" i="1" s="1"/>
  <c r="F2587" i="1"/>
  <c r="G2587" i="1" s="1"/>
  <c r="F2588" i="1"/>
  <c r="G2588" i="1" s="1"/>
  <c r="F2589" i="1"/>
  <c r="G2589" i="1" s="1"/>
  <c r="F2590" i="1"/>
  <c r="G2590" i="1" s="1"/>
  <c r="F2591" i="1"/>
  <c r="G2591" i="1" s="1"/>
  <c r="F2592" i="1"/>
  <c r="G2592" i="1" s="1"/>
  <c r="F2593" i="1"/>
  <c r="G2593" i="1" s="1"/>
  <c r="F2594" i="1"/>
  <c r="G2594" i="1" s="1"/>
  <c r="F2595" i="1"/>
  <c r="G2595" i="1" s="1"/>
  <c r="F2596" i="1"/>
  <c r="G2596" i="1" s="1"/>
  <c r="F2597" i="1"/>
  <c r="G2597" i="1" s="1"/>
  <c r="F2598" i="1"/>
  <c r="G2598" i="1" s="1"/>
  <c r="F2599" i="1"/>
  <c r="G2599" i="1" s="1"/>
  <c r="F2600" i="1"/>
  <c r="G2600" i="1" s="1"/>
  <c r="F2601" i="1"/>
  <c r="G2601" i="1" s="1"/>
  <c r="F2602" i="1"/>
  <c r="G2602" i="1" s="1"/>
  <c r="F2603" i="1"/>
  <c r="G2603" i="1" s="1"/>
  <c r="F2604" i="1"/>
  <c r="G2604" i="1" s="1"/>
  <c r="F2605" i="1"/>
  <c r="G2605" i="1" s="1"/>
  <c r="F2606" i="1"/>
  <c r="G2606" i="1" s="1"/>
  <c r="F2607" i="1"/>
  <c r="G2607" i="1" s="1"/>
  <c r="F2608" i="1"/>
  <c r="G2608" i="1" s="1"/>
  <c r="F2609" i="1"/>
  <c r="G2609" i="1" s="1"/>
  <c r="F2610" i="1"/>
  <c r="G2610" i="1" s="1"/>
  <c r="F2611" i="1"/>
  <c r="G2611" i="1" s="1"/>
  <c r="F2612" i="1"/>
  <c r="G2612" i="1" s="1"/>
  <c r="F2613" i="1"/>
  <c r="G2613" i="1" s="1"/>
  <c r="F2614" i="1"/>
  <c r="G2614" i="1" s="1"/>
  <c r="F2615" i="1"/>
  <c r="G2615" i="1" s="1"/>
  <c r="F2616" i="1"/>
  <c r="G2616" i="1" s="1"/>
  <c r="F2617" i="1"/>
  <c r="G2617" i="1" s="1"/>
  <c r="F2618" i="1"/>
  <c r="G2618" i="1" s="1"/>
  <c r="F2619" i="1"/>
  <c r="G2619" i="1" s="1"/>
  <c r="F2620" i="1"/>
  <c r="G2620" i="1" s="1"/>
  <c r="F2621" i="1"/>
  <c r="G2621" i="1" s="1"/>
  <c r="F2622" i="1"/>
  <c r="G2622" i="1" s="1"/>
  <c r="F2623" i="1"/>
  <c r="G2623" i="1" s="1"/>
  <c r="F2624" i="1"/>
  <c r="G2624" i="1" s="1"/>
  <c r="F2625" i="1"/>
  <c r="G2625" i="1" s="1"/>
  <c r="F2626" i="1"/>
  <c r="G2626" i="1" s="1"/>
  <c r="F2627" i="1"/>
  <c r="G2627" i="1" s="1"/>
  <c r="F2628" i="1"/>
  <c r="G2628" i="1" s="1"/>
  <c r="F2629" i="1"/>
  <c r="G2629" i="1" s="1"/>
  <c r="F2630" i="1"/>
  <c r="G2630" i="1" s="1"/>
  <c r="F2631" i="1"/>
  <c r="G2631" i="1" s="1"/>
  <c r="F2632" i="1"/>
  <c r="G2632" i="1" s="1"/>
  <c r="F2633" i="1"/>
  <c r="G2633" i="1" s="1"/>
  <c r="F2634" i="1"/>
  <c r="G2634" i="1" s="1"/>
  <c r="F2635" i="1"/>
  <c r="G2635" i="1" s="1"/>
  <c r="F2636" i="1"/>
  <c r="G2636" i="1" s="1"/>
  <c r="F2637" i="1"/>
  <c r="G2637" i="1" s="1"/>
  <c r="F2638" i="1"/>
  <c r="G2638" i="1" s="1"/>
  <c r="F2639" i="1"/>
  <c r="G2639" i="1" s="1"/>
  <c r="F2640" i="1"/>
  <c r="G2640" i="1" s="1"/>
  <c r="F2641" i="1"/>
  <c r="G2641" i="1" s="1"/>
  <c r="F2642" i="1"/>
  <c r="G2642" i="1" s="1"/>
  <c r="F2643" i="1"/>
  <c r="G2643" i="1" s="1"/>
  <c r="F2644" i="1"/>
  <c r="G2644" i="1" s="1"/>
  <c r="F2645" i="1"/>
  <c r="G2645" i="1" s="1"/>
  <c r="F2646" i="1"/>
  <c r="G2646" i="1" s="1"/>
  <c r="F2647" i="1"/>
  <c r="G2647" i="1" s="1"/>
  <c r="F2648" i="1"/>
  <c r="G2648" i="1" s="1"/>
  <c r="F2649" i="1"/>
  <c r="G2649" i="1" s="1"/>
  <c r="F2650" i="1"/>
  <c r="G2650" i="1" s="1"/>
  <c r="F2651" i="1"/>
  <c r="G2651" i="1" s="1"/>
  <c r="F2652" i="1"/>
  <c r="G2652" i="1" s="1"/>
  <c r="F2653" i="1"/>
  <c r="G2653" i="1" s="1"/>
  <c r="F2654" i="1"/>
  <c r="G2654" i="1" s="1"/>
  <c r="F2655" i="1"/>
  <c r="G2655" i="1" s="1"/>
  <c r="F2656" i="1"/>
  <c r="G2656" i="1" s="1"/>
  <c r="F2657" i="1"/>
  <c r="G2657" i="1" s="1"/>
  <c r="F2658" i="1"/>
  <c r="G2658" i="1" s="1"/>
  <c r="F2659" i="1"/>
  <c r="G2659" i="1" s="1"/>
  <c r="F2660" i="1"/>
  <c r="G2660" i="1" s="1"/>
  <c r="F2661" i="1"/>
  <c r="G2661" i="1" s="1"/>
  <c r="F2662" i="1"/>
  <c r="G2662" i="1" s="1"/>
  <c r="F2663" i="1"/>
  <c r="G2663" i="1" s="1"/>
  <c r="F2664" i="1"/>
  <c r="G2664" i="1" s="1"/>
  <c r="F2665" i="1"/>
  <c r="G2665" i="1" s="1"/>
  <c r="F2666" i="1"/>
  <c r="G2666" i="1" s="1"/>
  <c r="F2667" i="1"/>
  <c r="G2667" i="1" s="1"/>
  <c r="F2668" i="1"/>
  <c r="G2668" i="1" s="1"/>
  <c r="F2669" i="1"/>
  <c r="G2669" i="1" s="1"/>
  <c r="F2670" i="1"/>
  <c r="G2670" i="1" s="1"/>
  <c r="F2671" i="1"/>
  <c r="G2671" i="1" s="1"/>
  <c r="F2672" i="1"/>
  <c r="G2672" i="1" s="1"/>
  <c r="F2673" i="1"/>
  <c r="G2673" i="1" s="1"/>
  <c r="F2674" i="1"/>
  <c r="G2674" i="1" s="1"/>
  <c r="F2675" i="1"/>
  <c r="G2675" i="1" s="1"/>
  <c r="F2676" i="1"/>
  <c r="G2676" i="1" s="1"/>
  <c r="F2677" i="1"/>
  <c r="G2677" i="1" s="1"/>
  <c r="F2678" i="1"/>
  <c r="G2678" i="1" s="1"/>
  <c r="F2679" i="1"/>
  <c r="G2679" i="1" s="1"/>
  <c r="F2680" i="1"/>
  <c r="G2680" i="1" s="1"/>
  <c r="F2681" i="1"/>
  <c r="G2681" i="1" s="1"/>
  <c r="F2682" i="1"/>
  <c r="G2682" i="1" s="1"/>
  <c r="F2683" i="1"/>
  <c r="G2683" i="1" s="1"/>
  <c r="F2684" i="1"/>
  <c r="G2684" i="1" s="1"/>
  <c r="F2685" i="1"/>
  <c r="G2685" i="1" s="1"/>
  <c r="F2686" i="1"/>
  <c r="G2686" i="1" s="1"/>
  <c r="F2687" i="1"/>
  <c r="G2687" i="1" s="1"/>
  <c r="F2688" i="1"/>
  <c r="G2688" i="1" s="1"/>
  <c r="F2689" i="1"/>
  <c r="G2689" i="1" s="1"/>
  <c r="F2690" i="1"/>
  <c r="G2690" i="1" s="1"/>
  <c r="F2691" i="1"/>
  <c r="G2691" i="1" s="1"/>
  <c r="F2692" i="1"/>
  <c r="G2692" i="1" s="1"/>
  <c r="F2693" i="1"/>
  <c r="G2693" i="1" s="1"/>
  <c r="F2694" i="1"/>
  <c r="G2694" i="1" s="1"/>
  <c r="F2695" i="1"/>
  <c r="G2695" i="1" s="1"/>
  <c r="F2696" i="1"/>
  <c r="G2696" i="1" s="1"/>
  <c r="F2697" i="1"/>
  <c r="G2697" i="1" s="1"/>
  <c r="F2698" i="1"/>
  <c r="G2698" i="1" s="1"/>
  <c r="F2699" i="1"/>
  <c r="G2699" i="1" s="1"/>
  <c r="F2700" i="1"/>
  <c r="G2700" i="1" s="1"/>
  <c r="F2701" i="1"/>
  <c r="G2701" i="1" s="1"/>
  <c r="F2702" i="1"/>
  <c r="G2702" i="1" s="1"/>
  <c r="F2703" i="1"/>
  <c r="G2703" i="1" s="1"/>
  <c r="F2704" i="1"/>
  <c r="G2704" i="1" s="1"/>
  <c r="F2705" i="1"/>
  <c r="G2705" i="1" s="1"/>
  <c r="F2706" i="1"/>
  <c r="G2706" i="1" s="1"/>
  <c r="F2707" i="1"/>
  <c r="G2707" i="1" s="1"/>
  <c r="F2708" i="1"/>
  <c r="G2708" i="1" s="1"/>
  <c r="F2709" i="1"/>
  <c r="G2709" i="1" s="1"/>
  <c r="F2710" i="1"/>
  <c r="G2710" i="1" s="1"/>
  <c r="F2711" i="1"/>
  <c r="G2711" i="1" s="1"/>
  <c r="F2712" i="1"/>
  <c r="G2712" i="1" s="1"/>
  <c r="F2713" i="1"/>
  <c r="G2713" i="1" s="1"/>
  <c r="F2714" i="1"/>
  <c r="G2714" i="1" s="1"/>
  <c r="F2715" i="1"/>
  <c r="G2715" i="1" s="1"/>
  <c r="F2716" i="1"/>
  <c r="G2716" i="1" s="1"/>
  <c r="F2717" i="1"/>
  <c r="G2717" i="1" s="1"/>
  <c r="F2718" i="1"/>
  <c r="G2718" i="1" s="1"/>
  <c r="F2719" i="1"/>
  <c r="G2719" i="1" s="1"/>
  <c r="F2720" i="1"/>
  <c r="G2720" i="1" s="1"/>
  <c r="F2721" i="1"/>
  <c r="G2721" i="1" s="1"/>
  <c r="F2722" i="1"/>
  <c r="G2722" i="1" s="1"/>
  <c r="F2723" i="1"/>
  <c r="G2723" i="1" s="1"/>
  <c r="F2724" i="1"/>
  <c r="G2724" i="1" s="1"/>
  <c r="F2725" i="1"/>
  <c r="G2725" i="1" s="1"/>
  <c r="F2726" i="1"/>
  <c r="G2726" i="1" s="1"/>
  <c r="F2727" i="1"/>
  <c r="G2727" i="1" s="1"/>
  <c r="F2728" i="1"/>
  <c r="G2728" i="1" s="1"/>
  <c r="F2729" i="1"/>
  <c r="G2729" i="1" s="1"/>
  <c r="F2730" i="1"/>
  <c r="G2730" i="1" s="1"/>
  <c r="F2731" i="1"/>
  <c r="G2731" i="1" s="1"/>
  <c r="F2732" i="1"/>
  <c r="G2732" i="1" s="1"/>
  <c r="F2733" i="1"/>
  <c r="G2733" i="1" s="1"/>
  <c r="F2734" i="1"/>
  <c r="G2734" i="1" s="1"/>
  <c r="F2735" i="1"/>
  <c r="G2735" i="1" s="1"/>
  <c r="F2736" i="1"/>
  <c r="G2736" i="1" s="1"/>
  <c r="F2737" i="1"/>
  <c r="G2737" i="1" s="1"/>
  <c r="F2738" i="1"/>
  <c r="G2738" i="1" s="1"/>
  <c r="F2739" i="1"/>
  <c r="G2739" i="1" s="1"/>
  <c r="F2740" i="1"/>
  <c r="G2740" i="1" s="1"/>
  <c r="F2741" i="1"/>
  <c r="G2741" i="1" s="1"/>
  <c r="F2742" i="1"/>
  <c r="G2742" i="1" s="1"/>
  <c r="F2743" i="1"/>
  <c r="G2743" i="1" s="1"/>
  <c r="F2744" i="1"/>
  <c r="G2744" i="1" s="1"/>
  <c r="F2745" i="1"/>
  <c r="G2745" i="1" s="1"/>
  <c r="F2746" i="1"/>
  <c r="G2746" i="1" s="1"/>
  <c r="F2747" i="1"/>
  <c r="G2747" i="1" s="1"/>
  <c r="F2748" i="1"/>
  <c r="G2748" i="1" s="1"/>
  <c r="F2749" i="1"/>
  <c r="G2749" i="1" s="1"/>
  <c r="F2750" i="1"/>
  <c r="G2750" i="1" s="1"/>
  <c r="F2751" i="1"/>
  <c r="G2751" i="1" s="1"/>
  <c r="F2752" i="1"/>
  <c r="G2752" i="1" s="1"/>
  <c r="F2753" i="1"/>
  <c r="G2753" i="1" s="1"/>
  <c r="F2754" i="1"/>
  <c r="G2754" i="1" s="1"/>
  <c r="F2755" i="1"/>
  <c r="G2755" i="1" s="1"/>
  <c r="F2756" i="1"/>
  <c r="G2756" i="1" s="1"/>
  <c r="F2757" i="1"/>
  <c r="G2757" i="1" s="1"/>
  <c r="F2758" i="1"/>
  <c r="G2758" i="1" s="1"/>
  <c r="F2759" i="1"/>
  <c r="G2759" i="1" s="1"/>
  <c r="F2760" i="1"/>
  <c r="G2760" i="1" s="1"/>
  <c r="F2761" i="1"/>
  <c r="G2761" i="1" s="1"/>
  <c r="F2762" i="1"/>
  <c r="G2762" i="1" s="1"/>
  <c r="F2763" i="1"/>
  <c r="G2763" i="1" s="1"/>
  <c r="F2764" i="1"/>
  <c r="G2764" i="1" s="1"/>
  <c r="F2765" i="1"/>
  <c r="G2765" i="1" s="1"/>
  <c r="F2766" i="1"/>
  <c r="G2766" i="1" s="1"/>
  <c r="F2767" i="1"/>
  <c r="G2767" i="1" s="1"/>
  <c r="F2768" i="1"/>
  <c r="G2768" i="1" s="1"/>
  <c r="F2769" i="1"/>
  <c r="G2769" i="1" s="1"/>
  <c r="F2770" i="1"/>
  <c r="G2770" i="1" s="1"/>
  <c r="F2771" i="1"/>
  <c r="G2771" i="1" s="1"/>
  <c r="F2772" i="1"/>
  <c r="G2772" i="1" s="1"/>
  <c r="F2773" i="1"/>
  <c r="G2773" i="1" s="1"/>
  <c r="F2774" i="1"/>
  <c r="G2774" i="1" s="1"/>
  <c r="F2775" i="1"/>
  <c r="G2775" i="1" s="1"/>
  <c r="F2776" i="1"/>
  <c r="G2776" i="1" s="1"/>
  <c r="F2777" i="1"/>
  <c r="G2777" i="1" s="1"/>
  <c r="F2778" i="1"/>
  <c r="G2778" i="1" s="1"/>
  <c r="F2779" i="1"/>
  <c r="G2779" i="1"/>
  <c r="F2780" i="1"/>
  <c r="G2780" i="1" s="1"/>
  <c r="F2781" i="1"/>
  <c r="G2781" i="1" s="1"/>
  <c r="F2782" i="1"/>
  <c r="G2782" i="1" s="1"/>
  <c r="F2783" i="1"/>
  <c r="G2783" i="1" s="1"/>
  <c r="F2784" i="1"/>
  <c r="G2784" i="1" s="1"/>
  <c r="F2785" i="1"/>
  <c r="G2785" i="1" s="1"/>
  <c r="F2786" i="1"/>
  <c r="G2786" i="1" s="1"/>
  <c r="F2787" i="1"/>
  <c r="G2787" i="1" s="1"/>
  <c r="F2788" i="1"/>
  <c r="G2788" i="1" s="1"/>
  <c r="F2789" i="1"/>
  <c r="G2789" i="1" s="1"/>
  <c r="F2790" i="1"/>
  <c r="G2790" i="1" s="1"/>
  <c r="F2791" i="1"/>
  <c r="G2791" i="1" s="1"/>
  <c r="F2792" i="1"/>
  <c r="G2792" i="1" s="1"/>
  <c r="F2793" i="1"/>
  <c r="G2793" i="1" s="1"/>
  <c r="F2794" i="1"/>
  <c r="G2794" i="1" s="1"/>
  <c r="F2795" i="1"/>
  <c r="G2795" i="1" s="1"/>
  <c r="F2796" i="1"/>
  <c r="G2796" i="1" s="1"/>
  <c r="F2797" i="1"/>
  <c r="G2797" i="1" s="1"/>
  <c r="F2798" i="1"/>
  <c r="G2798" i="1" s="1"/>
  <c r="F2799" i="1"/>
  <c r="G2799" i="1" s="1"/>
  <c r="F2800" i="1"/>
  <c r="G2800" i="1" s="1"/>
  <c r="F2801" i="1"/>
  <c r="G2801" i="1" s="1"/>
  <c r="F2802" i="1"/>
  <c r="G2802" i="1" s="1"/>
  <c r="F2803" i="1"/>
  <c r="G2803" i="1" s="1"/>
  <c r="F2804" i="1"/>
  <c r="G2804" i="1" s="1"/>
  <c r="F2805" i="1"/>
  <c r="G2805" i="1" s="1"/>
  <c r="F2806" i="1"/>
  <c r="G2806" i="1" s="1"/>
  <c r="F2807" i="1"/>
  <c r="G2807" i="1" s="1"/>
  <c r="F2808" i="1"/>
  <c r="G2808" i="1" s="1"/>
  <c r="F2809" i="1"/>
  <c r="G2809" i="1" s="1"/>
  <c r="F2810" i="1"/>
  <c r="G2810" i="1" s="1"/>
  <c r="F2811" i="1"/>
  <c r="G2811" i="1" s="1"/>
  <c r="F2812" i="1"/>
  <c r="G2812" i="1" s="1"/>
  <c r="F2813" i="1"/>
  <c r="G2813" i="1" s="1"/>
  <c r="F2814" i="1"/>
  <c r="G2814" i="1" s="1"/>
  <c r="F2815" i="1"/>
  <c r="G2815" i="1" s="1"/>
  <c r="F2816" i="1"/>
  <c r="G2816" i="1" s="1"/>
  <c r="F2817" i="1"/>
  <c r="G2817" i="1" s="1"/>
  <c r="F2818" i="1"/>
  <c r="G2818" i="1" s="1"/>
  <c r="F2819" i="1"/>
  <c r="G2819" i="1" s="1"/>
  <c r="F2820" i="1"/>
  <c r="G2820" i="1" s="1"/>
  <c r="F2821" i="1"/>
  <c r="G2821" i="1" s="1"/>
  <c r="F2822" i="1"/>
  <c r="G2822" i="1" s="1"/>
  <c r="F2823" i="1"/>
  <c r="G2823" i="1" s="1"/>
  <c r="F2824" i="1"/>
  <c r="G2824" i="1" s="1"/>
  <c r="F2825" i="1"/>
  <c r="G2825" i="1" s="1"/>
  <c r="F2826" i="1"/>
  <c r="G2826" i="1" s="1"/>
  <c r="F2827" i="1"/>
  <c r="G2827" i="1" s="1"/>
  <c r="F2828" i="1"/>
  <c r="G2828" i="1" s="1"/>
  <c r="F2829" i="1"/>
  <c r="G2829" i="1" s="1"/>
  <c r="F2830" i="1"/>
  <c r="G2830" i="1" s="1"/>
  <c r="F2831" i="1"/>
  <c r="G2831" i="1" s="1"/>
  <c r="F2832" i="1"/>
  <c r="G2832" i="1" s="1"/>
  <c r="F2833" i="1"/>
  <c r="G2833" i="1" s="1"/>
  <c r="F2834" i="1"/>
  <c r="G2834" i="1" s="1"/>
  <c r="F2835" i="1"/>
  <c r="G2835" i="1" s="1"/>
  <c r="F2836" i="1"/>
  <c r="G2836" i="1" s="1"/>
  <c r="F2837" i="1"/>
  <c r="G2837" i="1" s="1"/>
  <c r="F2838" i="1"/>
  <c r="G2838" i="1" s="1"/>
  <c r="F2839" i="1"/>
  <c r="G2839" i="1" s="1"/>
  <c r="F2840" i="1"/>
  <c r="G2840" i="1" s="1"/>
  <c r="F2841" i="1"/>
  <c r="G2841" i="1" s="1"/>
  <c r="F2842" i="1"/>
  <c r="G2842" i="1" s="1"/>
  <c r="F2843" i="1"/>
  <c r="G2843" i="1" s="1"/>
  <c r="F2844" i="1"/>
  <c r="G2844" i="1" s="1"/>
  <c r="F2845" i="1"/>
  <c r="G2845" i="1" s="1"/>
  <c r="F2846" i="1"/>
  <c r="G2846" i="1" s="1"/>
  <c r="F2847" i="1"/>
  <c r="G2847" i="1" s="1"/>
  <c r="F2848" i="1"/>
  <c r="G2848" i="1" s="1"/>
  <c r="F2849" i="1"/>
  <c r="G2849" i="1" s="1"/>
  <c r="F2850" i="1"/>
  <c r="G2850" i="1" s="1"/>
  <c r="F2851" i="1"/>
  <c r="G2851" i="1" s="1"/>
  <c r="F2852" i="1"/>
  <c r="G2852" i="1" s="1"/>
  <c r="F2853" i="1"/>
  <c r="G2853" i="1" s="1"/>
  <c r="F2854" i="1"/>
  <c r="G2854" i="1" s="1"/>
  <c r="F2855" i="1"/>
  <c r="G2855" i="1" s="1"/>
  <c r="F2856" i="1"/>
  <c r="G2856" i="1" s="1"/>
  <c r="F2857" i="1"/>
  <c r="G2857" i="1" s="1"/>
  <c r="F2858" i="1"/>
  <c r="G2858" i="1" s="1"/>
  <c r="F2859" i="1"/>
  <c r="G2859" i="1" s="1"/>
  <c r="F2860" i="1"/>
  <c r="G2860" i="1" s="1"/>
  <c r="F2861" i="1"/>
  <c r="G2861" i="1" s="1"/>
  <c r="F2862" i="1"/>
  <c r="G2862" i="1" s="1"/>
  <c r="F2863" i="1"/>
  <c r="G2863" i="1" s="1"/>
  <c r="F2864" i="1"/>
  <c r="G2864" i="1" s="1"/>
  <c r="F2865" i="1"/>
  <c r="G2865" i="1" s="1"/>
  <c r="F2866" i="1"/>
  <c r="G2866" i="1" s="1"/>
  <c r="F2867" i="1"/>
  <c r="G2867" i="1" s="1"/>
  <c r="F2868" i="1"/>
  <c r="G2868" i="1" s="1"/>
  <c r="F2869" i="1"/>
  <c r="G2869" i="1" s="1"/>
  <c r="F2870" i="1"/>
  <c r="G2870" i="1" s="1"/>
  <c r="F2871" i="1"/>
  <c r="G2871" i="1" s="1"/>
  <c r="F2872" i="1"/>
  <c r="G2872" i="1" s="1"/>
  <c r="F2873" i="1"/>
  <c r="G2873" i="1" s="1"/>
  <c r="F2874" i="1"/>
  <c r="G2874" i="1" s="1"/>
  <c r="F2875" i="1"/>
  <c r="G2875" i="1" s="1"/>
  <c r="F2876" i="1"/>
  <c r="G2876" i="1" s="1"/>
  <c r="F2877" i="1"/>
  <c r="G2877" i="1" s="1"/>
  <c r="F2878" i="1"/>
  <c r="G2878" i="1" s="1"/>
  <c r="F2879" i="1"/>
  <c r="G2879" i="1" s="1"/>
  <c r="F2880" i="1"/>
  <c r="G2880" i="1" s="1"/>
  <c r="F2881" i="1"/>
  <c r="G2881" i="1" s="1"/>
  <c r="F2882" i="1"/>
  <c r="G2882" i="1" s="1"/>
  <c r="F2883" i="1"/>
  <c r="G2883" i="1" s="1"/>
  <c r="F2884" i="1"/>
  <c r="G2884" i="1" s="1"/>
  <c r="F2885" i="1"/>
  <c r="G2885" i="1" s="1"/>
  <c r="F2886" i="1"/>
  <c r="G2886" i="1" s="1"/>
  <c r="F2887" i="1"/>
  <c r="G2887" i="1" s="1"/>
  <c r="F2888" i="1"/>
  <c r="G2888" i="1" s="1"/>
  <c r="F2889" i="1"/>
  <c r="G2889" i="1" s="1"/>
  <c r="F2890" i="1"/>
  <c r="G2890" i="1" s="1"/>
  <c r="F2891" i="1"/>
  <c r="G2891" i="1" s="1"/>
  <c r="F2892" i="1"/>
  <c r="G2892" i="1" s="1"/>
  <c r="F2893" i="1"/>
  <c r="G2893" i="1" s="1"/>
  <c r="F2894" i="1"/>
  <c r="G2894" i="1" s="1"/>
  <c r="F2895" i="1"/>
  <c r="G2895" i="1" s="1"/>
  <c r="F2896" i="1"/>
  <c r="G2896" i="1" s="1"/>
  <c r="F2897" i="1"/>
  <c r="G2897" i="1" s="1"/>
  <c r="F2898" i="1"/>
  <c r="G2898" i="1" s="1"/>
  <c r="F2899" i="1"/>
  <c r="G2899" i="1" s="1"/>
  <c r="F2900" i="1"/>
  <c r="G2900" i="1" s="1"/>
  <c r="F2901" i="1"/>
  <c r="G2901" i="1" s="1"/>
  <c r="F2902" i="1"/>
  <c r="G2902" i="1" s="1"/>
  <c r="F2903" i="1"/>
  <c r="G2903" i="1" s="1"/>
  <c r="F2904" i="1"/>
  <c r="G2904" i="1" s="1"/>
  <c r="F2905" i="1"/>
  <c r="G2905" i="1" s="1"/>
  <c r="F2906" i="1"/>
  <c r="G2906" i="1" s="1"/>
  <c r="F2907" i="1"/>
  <c r="G2907" i="1" s="1"/>
  <c r="F2908" i="1"/>
  <c r="G2908" i="1" s="1"/>
  <c r="F2909" i="1"/>
  <c r="G2909" i="1" s="1"/>
  <c r="F2910" i="1"/>
  <c r="G2910" i="1" s="1"/>
  <c r="F2911" i="1"/>
  <c r="G2911" i="1" s="1"/>
  <c r="F2912" i="1"/>
  <c r="G2912" i="1" s="1"/>
  <c r="F2913" i="1"/>
  <c r="G2913" i="1" s="1"/>
  <c r="F2914" i="1"/>
  <c r="G2914" i="1" s="1"/>
  <c r="F2915" i="1"/>
  <c r="G2915" i="1" s="1"/>
  <c r="F2916" i="1"/>
  <c r="G2916" i="1" s="1"/>
  <c r="F2917" i="1"/>
  <c r="G2917" i="1" s="1"/>
  <c r="F2918" i="1"/>
  <c r="G2918" i="1" s="1"/>
  <c r="F2919" i="1"/>
  <c r="G2919" i="1" s="1"/>
  <c r="F2920" i="1"/>
  <c r="G2920" i="1" s="1"/>
  <c r="F2921" i="1"/>
  <c r="G2921" i="1" s="1"/>
  <c r="F2922" i="1"/>
  <c r="G2922" i="1" s="1"/>
  <c r="F2923" i="1"/>
  <c r="G2923" i="1" s="1"/>
  <c r="F2924" i="1"/>
  <c r="G2924" i="1" s="1"/>
  <c r="F2925" i="1"/>
  <c r="G2925" i="1" s="1"/>
  <c r="F2926" i="1"/>
  <c r="G2926" i="1" s="1"/>
  <c r="F2927" i="1"/>
  <c r="G2927" i="1" s="1"/>
  <c r="F2928" i="1"/>
  <c r="G2928" i="1" s="1"/>
  <c r="F2929" i="1"/>
  <c r="G2929" i="1" s="1"/>
  <c r="F2930" i="1"/>
  <c r="G2930" i="1" s="1"/>
  <c r="F2931" i="1"/>
  <c r="G2931" i="1" s="1"/>
  <c r="F2932" i="1"/>
  <c r="G2932" i="1" s="1"/>
  <c r="F2933" i="1"/>
  <c r="G2933" i="1" s="1"/>
  <c r="F2934" i="1"/>
  <c r="G2934" i="1" s="1"/>
  <c r="F2935" i="1"/>
  <c r="G2935" i="1" s="1"/>
  <c r="F2936" i="1"/>
  <c r="G2936" i="1" s="1"/>
  <c r="F2937" i="1"/>
  <c r="G2937" i="1" s="1"/>
  <c r="F2938" i="1"/>
  <c r="G2938" i="1" s="1"/>
  <c r="F2939" i="1"/>
  <c r="G2939" i="1" s="1"/>
  <c r="F2940" i="1"/>
  <c r="G2940" i="1" s="1"/>
  <c r="F2941" i="1"/>
  <c r="G2941" i="1" s="1"/>
  <c r="F2942" i="1"/>
  <c r="G2942" i="1" s="1"/>
  <c r="F2943" i="1"/>
  <c r="G2943" i="1" s="1"/>
  <c r="F2944" i="1"/>
  <c r="G2944" i="1" s="1"/>
  <c r="F2945" i="1"/>
  <c r="G2945" i="1" s="1"/>
  <c r="F2946" i="1"/>
  <c r="G2946" i="1" s="1"/>
  <c r="F2947" i="1"/>
  <c r="G2947" i="1" s="1"/>
  <c r="F2948" i="1"/>
  <c r="G2948" i="1" s="1"/>
  <c r="F2949" i="1"/>
  <c r="G2949" i="1" s="1"/>
  <c r="F2950" i="1"/>
  <c r="G2950" i="1" s="1"/>
  <c r="F2951" i="1"/>
  <c r="G2951" i="1" s="1"/>
  <c r="F2952" i="1"/>
  <c r="G2952" i="1" s="1"/>
  <c r="F2953" i="1"/>
  <c r="G2953" i="1" s="1"/>
  <c r="F2954" i="1"/>
  <c r="G2954" i="1" s="1"/>
  <c r="F2955" i="1"/>
  <c r="G2955" i="1" s="1"/>
  <c r="F2956" i="1"/>
  <c r="G2956" i="1" s="1"/>
  <c r="F2957" i="1"/>
  <c r="G2957" i="1" s="1"/>
  <c r="F2958" i="1"/>
  <c r="G2958" i="1" s="1"/>
  <c r="F2959" i="1"/>
  <c r="G2959" i="1" s="1"/>
  <c r="F2960" i="1"/>
  <c r="G2960" i="1" s="1"/>
  <c r="F2961" i="1"/>
  <c r="G2961" i="1" s="1"/>
  <c r="F2962" i="1"/>
  <c r="G2962" i="1" s="1"/>
  <c r="F2963" i="1"/>
  <c r="G2963" i="1" s="1"/>
  <c r="F2964" i="1"/>
  <c r="G2964" i="1" s="1"/>
  <c r="F2965" i="1"/>
  <c r="G2965" i="1" s="1"/>
  <c r="F2966" i="1"/>
  <c r="G2966" i="1" s="1"/>
  <c r="F2967" i="1"/>
  <c r="G2967" i="1" s="1"/>
  <c r="F2968" i="1"/>
  <c r="G2968" i="1" s="1"/>
  <c r="F2969" i="1"/>
  <c r="G2969" i="1" s="1"/>
  <c r="F2970" i="1"/>
  <c r="G2970" i="1" s="1"/>
  <c r="F2971" i="1"/>
  <c r="G2971" i="1" s="1"/>
  <c r="F2972" i="1"/>
  <c r="G2972" i="1" s="1"/>
  <c r="F2973" i="1"/>
  <c r="G2973" i="1" s="1"/>
  <c r="F2974" i="1"/>
  <c r="G2974" i="1" s="1"/>
  <c r="F2975" i="1"/>
  <c r="G2975" i="1" s="1"/>
  <c r="F2976" i="1"/>
  <c r="G2976" i="1" s="1"/>
  <c r="F2977" i="1"/>
  <c r="G2977" i="1" s="1"/>
  <c r="F2978" i="1"/>
  <c r="G2978" i="1" s="1"/>
  <c r="F2979" i="1"/>
  <c r="G2979" i="1" s="1"/>
  <c r="F2980" i="1"/>
  <c r="G2980" i="1" s="1"/>
  <c r="F2981" i="1"/>
  <c r="G2981" i="1" s="1"/>
  <c r="F2982" i="1"/>
  <c r="G2982" i="1" s="1"/>
  <c r="F2983" i="1"/>
  <c r="G2983" i="1" s="1"/>
  <c r="F2984" i="1"/>
  <c r="G2984" i="1" s="1"/>
  <c r="F2985" i="1"/>
  <c r="G2985" i="1" s="1"/>
  <c r="F2986" i="1"/>
  <c r="G2986" i="1" s="1"/>
  <c r="F2987" i="1"/>
  <c r="G2987" i="1" s="1"/>
  <c r="F2988" i="1"/>
  <c r="G2988" i="1" s="1"/>
  <c r="F2989" i="1"/>
  <c r="G2989" i="1" s="1"/>
  <c r="F2990" i="1"/>
  <c r="G2990" i="1" s="1"/>
  <c r="F2991" i="1"/>
  <c r="G2991" i="1" s="1"/>
  <c r="F2992" i="1"/>
  <c r="G2992" i="1" s="1"/>
  <c r="F2993" i="1"/>
  <c r="G2993" i="1" s="1"/>
  <c r="F2994" i="1"/>
  <c r="G2994" i="1" s="1"/>
  <c r="F2995" i="1"/>
  <c r="G2995" i="1" s="1"/>
  <c r="F2996" i="1"/>
  <c r="G2996" i="1" s="1"/>
  <c r="F2997" i="1"/>
  <c r="G2997" i="1" s="1"/>
  <c r="F2998" i="1"/>
  <c r="G2998" i="1" s="1"/>
  <c r="F2999" i="1"/>
  <c r="G2999" i="1" s="1"/>
  <c r="F3000" i="1"/>
  <c r="G3000" i="1" s="1"/>
  <c r="F3001" i="1"/>
  <c r="G3001" i="1" s="1"/>
  <c r="F3002" i="1"/>
  <c r="G3002" i="1" s="1"/>
  <c r="F3003" i="1"/>
  <c r="G3003" i="1" s="1"/>
  <c r="F3004" i="1"/>
  <c r="G3004" i="1" s="1"/>
  <c r="F3005" i="1"/>
  <c r="G3005" i="1" s="1"/>
  <c r="F3006" i="1"/>
  <c r="G3006" i="1" s="1"/>
  <c r="F3007" i="1"/>
  <c r="G3007" i="1" s="1"/>
  <c r="F3008" i="1"/>
  <c r="G3008" i="1" s="1"/>
  <c r="F3009" i="1"/>
  <c r="G3009" i="1" s="1"/>
  <c r="F3010" i="1"/>
  <c r="G3010" i="1" s="1"/>
  <c r="F3011" i="1"/>
  <c r="G3011" i="1" s="1"/>
  <c r="F3012" i="1"/>
  <c r="G3012" i="1" s="1"/>
  <c r="F3013" i="1"/>
  <c r="G3013" i="1" s="1"/>
  <c r="F3014" i="1"/>
  <c r="G3014" i="1" s="1"/>
  <c r="F3015" i="1"/>
  <c r="G3015" i="1" s="1"/>
  <c r="F3016" i="1"/>
  <c r="G3016" i="1" s="1"/>
  <c r="F3017" i="1"/>
  <c r="G3017" i="1" s="1"/>
  <c r="F3018" i="1"/>
  <c r="G3018" i="1" s="1"/>
  <c r="F3019" i="1"/>
  <c r="G3019" i="1" s="1"/>
  <c r="F3020" i="1"/>
  <c r="G3020" i="1" s="1"/>
  <c r="F3021" i="1"/>
  <c r="G3021" i="1" s="1"/>
  <c r="F3022" i="1"/>
  <c r="G3022" i="1" s="1"/>
  <c r="F3023" i="1"/>
  <c r="G3023" i="1" s="1"/>
  <c r="F3024" i="1"/>
  <c r="G3024" i="1" s="1"/>
  <c r="F3025" i="1"/>
  <c r="G3025" i="1" s="1"/>
  <c r="F3026" i="1"/>
  <c r="G3026" i="1" s="1"/>
  <c r="F3027" i="1"/>
  <c r="G3027" i="1" s="1"/>
  <c r="F3028" i="1"/>
  <c r="G3028" i="1" s="1"/>
  <c r="F3029" i="1"/>
  <c r="G3029" i="1" s="1"/>
  <c r="F3030" i="1"/>
  <c r="G3030" i="1" s="1"/>
  <c r="F3031" i="1"/>
  <c r="G3031" i="1" s="1"/>
  <c r="F3032" i="1"/>
  <c r="G3032" i="1" s="1"/>
  <c r="F3033" i="1"/>
  <c r="G3033" i="1" s="1"/>
  <c r="F3034" i="1"/>
  <c r="G3034" i="1" s="1"/>
  <c r="F3035" i="1"/>
  <c r="G3035" i="1" s="1"/>
  <c r="F3036" i="1"/>
  <c r="G3036" i="1" s="1"/>
  <c r="F3037" i="1"/>
  <c r="G3037" i="1" s="1"/>
  <c r="F3038" i="1"/>
  <c r="G3038" i="1" s="1"/>
  <c r="F3039" i="1"/>
  <c r="G3039" i="1" s="1"/>
  <c r="F3040" i="1"/>
  <c r="G3040" i="1" s="1"/>
  <c r="F3041" i="1"/>
  <c r="G3041" i="1" s="1"/>
  <c r="F3042" i="1"/>
  <c r="G3042" i="1" s="1"/>
  <c r="F3043" i="1"/>
  <c r="G3043" i="1" s="1"/>
  <c r="F3044" i="1"/>
  <c r="G3044" i="1" s="1"/>
  <c r="F3045" i="1"/>
  <c r="G3045" i="1" s="1"/>
  <c r="F3046" i="1"/>
  <c r="G3046" i="1" s="1"/>
  <c r="F3047" i="1"/>
  <c r="G3047" i="1" s="1"/>
  <c r="F3048" i="1"/>
  <c r="G3048" i="1" s="1"/>
  <c r="F3049" i="1"/>
  <c r="G3049" i="1" s="1"/>
  <c r="F3050" i="1"/>
  <c r="G3050" i="1" s="1"/>
  <c r="F3051" i="1"/>
  <c r="G3051" i="1" s="1"/>
  <c r="F3052" i="1"/>
  <c r="G3052" i="1" s="1"/>
  <c r="F3053" i="1"/>
  <c r="G3053" i="1" s="1"/>
  <c r="F3054" i="1"/>
  <c r="G3054" i="1" s="1"/>
  <c r="F3055" i="1"/>
  <c r="G3055" i="1" s="1"/>
  <c r="F3056" i="1"/>
  <c r="G3056" i="1" s="1"/>
  <c r="F3057" i="1"/>
  <c r="G3057" i="1" s="1"/>
  <c r="F3058" i="1"/>
  <c r="G3058" i="1" s="1"/>
  <c r="F3059" i="1"/>
  <c r="G3059" i="1" s="1"/>
  <c r="F3060" i="1"/>
  <c r="G3060" i="1" s="1"/>
  <c r="F3061" i="1"/>
  <c r="G3061" i="1" s="1"/>
  <c r="F3062" i="1"/>
  <c r="G3062" i="1" s="1"/>
  <c r="F3063" i="1"/>
  <c r="G3063" i="1" s="1"/>
  <c r="F3064" i="1"/>
  <c r="G3064" i="1" s="1"/>
  <c r="F3065" i="1"/>
  <c r="G3065" i="1" s="1"/>
  <c r="F3066" i="1"/>
  <c r="G3066" i="1" s="1"/>
  <c r="F3067" i="1"/>
  <c r="G3067" i="1" s="1"/>
  <c r="F3068" i="1"/>
  <c r="G3068" i="1" s="1"/>
  <c r="F3069" i="1"/>
  <c r="G3069" i="1" s="1"/>
  <c r="F3070" i="1"/>
  <c r="G3070" i="1" s="1"/>
  <c r="F3071" i="1"/>
  <c r="G3071" i="1" s="1"/>
  <c r="F3072" i="1"/>
  <c r="G3072" i="1" s="1"/>
  <c r="F3073" i="1"/>
  <c r="G3073" i="1" s="1"/>
  <c r="F3074" i="1"/>
  <c r="G3074" i="1" s="1"/>
  <c r="F3075" i="1"/>
  <c r="G3075" i="1" s="1"/>
  <c r="F3076" i="1"/>
  <c r="G3076" i="1" s="1"/>
  <c r="F3077" i="1"/>
  <c r="G3077" i="1" s="1"/>
  <c r="F3078" i="1"/>
  <c r="G3078" i="1" s="1"/>
  <c r="F3079" i="1"/>
  <c r="G3079" i="1" s="1"/>
  <c r="F3080" i="1"/>
  <c r="G3080" i="1" s="1"/>
  <c r="F3081" i="1"/>
  <c r="G3081" i="1" s="1"/>
  <c r="F3082" i="1"/>
  <c r="G3082" i="1" s="1"/>
  <c r="F3083" i="1"/>
  <c r="G3083" i="1" s="1"/>
  <c r="F3084" i="1"/>
  <c r="G3084" i="1" s="1"/>
  <c r="F3085" i="1"/>
  <c r="G3085" i="1" s="1"/>
  <c r="F3086" i="1"/>
  <c r="G3086" i="1" s="1"/>
  <c r="F3087" i="1"/>
  <c r="G3087" i="1" s="1"/>
  <c r="F3088" i="1"/>
  <c r="G3088" i="1" s="1"/>
  <c r="F3089" i="1"/>
  <c r="G3089" i="1" s="1"/>
  <c r="F3090" i="1"/>
  <c r="G3090" i="1" s="1"/>
  <c r="F3091" i="1"/>
  <c r="G3091" i="1" s="1"/>
  <c r="F3092" i="1"/>
  <c r="G3092" i="1" s="1"/>
  <c r="F3093" i="1"/>
  <c r="G3093" i="1" s="1"/>
  <c r="F3094" i="1"/>
  <c r="G3094" i="1" s="1"/>
  <c r="F3095" i="1"/>
  <c r="G3095" i="1" s="1"/>
  <c r="F3096" i="1"/>
  <c r="G3096" i="1" s="1"/>
  <c r="F3097" i="1"/>
  <c r="G3097" i="1" s="1"/>
  <c r="F3098" i="1"/>
  <c r="G3098" i="1" s="1"/>
  <c r="F3099" i="1"/>
  <c r="G3099" i="1" s="1"/>
  <c r="F3100" i="1"/>
  <c r="G3100" i="1" s="1"/>
  <c r="F3101" i="1"/>
  <c r="G3101" i="1" s="1"/>
  <c r="F3102" i="1"/>
  <c r="G3102" i="1" s="1"/>
  <c r="F3103" i="1"/>
  <c r="G3103" i="1" s="1"/>
  <c r="F3104" i="1"/>
  <c r="G3104" i="1" s="1"/>
  <c r="F3105" i="1"/>
  <c r="G3105" i="1" s="1"/>
  <c r="F3106" i="1"/>
  <c r="G3106" i="1" s="1"/>
  <c r="F3107" i="1"/>
  <c r="G3107" i="1" s="1"/>
  <c r="F3108" i="1"/>
  <c r="G3108" i="1" s="1"/>
  <c r="F3109" i="1"/>
  <c r="G3109" i="1" s="1"/>
  <c r="F3110" i="1"/>
  <c r="G3110" i="1" s="1"/>
  <c r="F3111" i="1"/>
  <c r="G3111" i="1" s="1"/>
  <c r="F3112" i="1"/>
  <c r="G3112" i="1" s="1"/>
  <c r="F3113" i="1"/>
  <c r="G3113" i="1" s="1"/>
  <c r="F3114" i="1"/>
  <c r="G3114" i="1" s="1"/>
  <c r="F3115" i="1"/>
  <c r="G3115" i="1" s="1"/>
  <c r="F3116" i="1"/>
  <c r="G3116" i="1" s="1"/>
  <c r="F3117" i="1"/>
  <c r="G3117" i="1" s="1"/>
  <c r="F3118" i="1"/>
  <c r="G3118" i="1" s="1"/>
  <c r="F3119" i="1"/>
  <c r="G3119" i="1" s="1"/>
  <c r="F3120" i="1"/>
  <c r="G3120" i="1" s="1"/>
  <c r="F3121" i="1"/>
  <c r="G3121" i="1" s="1"/>
  <c r="F3122" i="1"/>
  <c r="G3122" i="1" s="1"/>
  <c r="F3123" i="1"/>
  <c r="G3123" i="1" s="1"/>
  <c r="F3124" i="1"/>
  <c r="G3124" i="1" s="1"/>
  <c r="F3125" i="1"/>
  <c r="G3125" i="1" s="1"/>
  <c r="F3126" i="1"/>
  <c r="G3126" i="1" s="1"/>
  <c r="F3127" i="1"/>
  <c r="G3127" i="1" s="1"/>
  <c r="F3128" i="1"/>
  <c r="G3128" i="1" s="1"/>
  <c r="F3129" i="1"/>
  <c r="G3129" i="1" s="1"/>
  <c r="F3130" i="1"/>
  <c r="G3130" i="1" s="1"/>
  <c r="F3131" i="1"/>
  <c r="G3131" i="1" s="1"/>
  <c r="F3132" i="1"/>
  <c r="G3132" i="1" s="1"/>
  <c r="F3133" i="1"/>
  <c r="G3133" i="1" s="1"/>
  <c r="F3134" i="1"/>
  <c r="G3134" i="1" s="1"/>
  <c r="F3135" i="1"/>
  <c r="G3135" i="1" s="1"/>
  <c r="F3136" i="1"/>
  <c r="G3136" i="1" s="1"/>
  <c r="F3137" i="1"/>
  <c r="G3137" i="1" s="1"/>
  <c r="F3138" i="1"/>
  <c r="G3138" i="1" s="1"/>
  <c r="F3139" i="1"/>
  <c r="G3139" i="1" s="1"/>
  <c r="F3140" i="1"/>
  <c r="G3140" i="1"/>
  <c r="F3141" i="1"/>
  <c r="G3141" i="1" s="1"/>
  <c r="F3142" i="1"/>
  <c r="G3142" i="1" s="1"/>
  <c r="F3143" i="1"/>
  <c r="G3143" i="1" s="1"/>
  <c r="F3144" i="1"/>
  <c r="G3144" i="1" s="1"/>
  <c r="F3145" i="1"/>
  <c r="G3145" i="1" s="1"/>
  <c r="F3146" i="1"/>
  <c r="G3146" i="1" s="1"/>
  <c r="F3147" i="1"/>
  <c r="G3147" i="1" s="1"/>
  <c r="F3148" i="1"/>
  <c r="G3148" i="1" s="1"/>
  <c r="F3149" i="1"/>
  <c r="G3149" i="1" s="1"/>
  <c r="F3150" i="1"/>
  <c r="G3150" i="1" s="1"/>
  <c r="F3151" i="1"/>
  <c r="G3151" i="1" s="1"/>
  <c r="F3152" i="1"/>
  <c r="G3152" i="1" s="1"/>
  <c r="F3153" i="1"/>
  <c r="G3153" i="1" s="1"/>
  <c r="F3154" i="1"/>
  <c r="G3154" i="1" s="1"/>
  <c r="F3155" i="1"/>
  <c r="G3155" i="1" s="1"/>
  <c r="F3156" i="1"/>
  <c r="G3156" i="1" s="1"/>
  <c r="F3157" i="1"/>
  <c r="G3157" i="1" s="1"/>
  <c r="F3158" i="1"/>
  <c r="G3158" i="1" s="1"/>
  <c r="F3159" i="1"/>
  <c r="G3159" i="1" s="1"/>
  <c r="F3160" i="1"/>
  <c r="G3160" i="1" s="1"/>
  <c r="F3161" i="1"/>
  <c r="G3161" i="1" s="1"/>
  <c r="F3162" i="1"/>
  <c r="G3162" i="1" s="1"/>
  <c r="F3163" i="1"/>
  <c r="G3163" i="1" s="1"/>
  <c r="F3164" i="1"/>
  <c r="G3164" i="1" s="1"/>
  <c r="F3165" i="1"/>
  <c r="G3165" i="1" s="1"/>
  <c r="F3166" i="1"/>
  <c r="G3166" i="1" s="1"/>
  <c r="F3167" i="1"/>
  <c r="G3167" i="1" s="1"/>
  <c r="F3168" i="1"/>
  <c r="G3168" i="1" s="1"/>
  <c r="F3169" i="1"/>
  <c r="G3169" i="1" s="1"/>
  <c r="F3170" i="1"/>
  <c r="G3170" i="1" s="1"/>
  <c r="F3171" i="1"/>
  <c r="G3171" i="1" s="1"/>
  <c r="F3172" i="1"/>
  <c r="G3172" i="1" s="1"/>
  <c r="F3173" i="1"/>
  <c r="G3173" i="1" s="1"/>
  <c r="F3174" i="1"/>
  <c r="G3174" i="1" s="1"/>
  <c r="F3175" i="1"/>
  <c r="G3175" i="1" s="1"/>
  <c r="F3176" i="1"/>
  <c r="G3176" i="1" s="1"/>
  <c r="F3177" i="1"/>
  <c r="G3177" i="1" s="1"/>
  <c r="F3178" i="1"/>
  <c r="G3178" i="1" s="1"/>
  <c r="F3179" i="1"/>
  <c r="G3179" i="1" s="1"/>
  <c r="F3180" i="1"/>
  <c r="G3180" i="1" s="1"/>
  <c r="F3181" i="1"/>
  <c r="G3181" i="1" s="1"/>
  <c r="F3182" i="1"/>
  <c r="G3182" i="1" s="1"/>
  <c r="F3183" i="1"/>
  <c r="G3183" i="1" s="1"/>
  <c r="F3184" i="1"/>
  <c r="G3184" i="1" s="1"/>
  <c r="F3185" i="1"/>
  <c r="G3185" i="1" s="1"/>
  <c r="F3186" i="1"/>
  <c r="G3186" i="1" s="1"/>
  <c r="F3187" i="1"/>
  <c r="G3187" i="1" s="1"/>
  <c r="F3188" i="1"/>
  <c r="G3188" i="1" s="1"/>
  <c r="F3189" i="1"/>
  <c r="G3189" i="1" s="1"/>
  <c r="F3190" i="1"/>
  <c r="G3190" i="1" s="1"/>
  <c r="F3191" i="1"/>
  <c r="G3191" i="1" s="1"/>
  <c r="F3192" i="1"/>
  <c r="G3192" i="1" s="1"/>
  <c r="F3193" i="1"/>
  <c r="G3193" i="1" s="1"/>
  <c r="F3194" i="1"/>
  <c r="G3194" i="1" s="1"/>
  <c r="F3195" i="1"/>
  <c r="G3195" i="1" s="1"/>
  <c r="F3196" i="1"/>
  <c r="G3196" i="1" s="1"/>
  <c r="F3197" i="1"/>
  <c r="G3197" i="1" s="1"/>
  <c r="F3198" i="1"/>
  <c r="G3198" i="1" s="1"/>
  <c r="F3199" i="1"/>
  <c r="G3199" i="1" s="1"/>
  <c r="F3200" i="1"/>
  <c r="G3200" i="1" s="1"/>
  <c r="F3201" i="1"/>
  <c r="G3201" i="1" s="1"/>
  <c r="F3202" i="1"/>
  <c r="G3202" i="1" s="1"/>
  <c r="F3203" i="1"/>
  <c r="G3203" i="1" s="1"/>
  <c r="F3204" i="1"/>
  <c r="G3204" i="1" s="1"/>
  <c r="F3205" i="1"/>
  <c r="G3205" i="1" s="1"/>
  <c r="F3206" i="1"/>
  <c r="G3206" i="1" s="1"/>
  <c r="F3207" i="1"/>
  <c r="G3207" i="1" s="1"/>
  <c r="F3208" i="1"/>
  <c r="G3208" i="1" s="1"/>
  <c r="F3209" i="1"/>
  <c r="G3209" i="1" s="1"/>
  <c r="F3210" i="1"/>
  <c r="G3210" i="1" s="1"/>
  <c r="F3211" i="1"/>
  <c r="G3211" i="1" s="1"/>
  <c r="F3212" i="1"/>
  <c r="G3212" i="1" s="1"/>
  <c r="F3213" i="1"/>
  <c r="G3213" i="1" s="1"/>
  <c r="F3214" i="1"/>
  <c r="G3214" i="1" s="1"/>
  <c r="F3215" i="1"/>
  <c r="G3215" i="1" s="1"/>
  <c r="F3216" i="1"/>
  <c r="G3216" i="1" s="1"/>
  <c r="F3217" i="1"/>
  <c r="G3217" i="1" s="1"/>
  <c r="F3218" i="1"/>
  <c r="G3218" i="1" s="1"/>
  <c r="F3219" i="1"/>
  <c r="G3219" i="1" s="1"/>
  <c r="F3220" i="1"/>
  <c r="G3220" i="1" s="1"/>
  <c r="F3221" i="1"/>
  <c r="G3221" i="1" s="1"/>
  <c r="F3222" i="1"/>
  <c r="G3222" i="1" s="1"/>
  <c r="F3223" i="1"/>
  <c r="G3223" i="1" s="1"/>
  <c r="F3224" i="1"/>
  <c r="G3224" i="1" s="1"/>
  <c r="F3225" i="1"/>
  <c r="G3225" i="1" s="1"/>
  <c r="F3226" i="1"/>
  <c r="G3226" i="1" s="1"/>
  <c r="F3227" i="1"/>
  <c r="G3227" i="1" s="1"/>
  <c r="F3228" i="1"/>
  <c r="G3228" i="1" s="1"/>
  <c r="F3229" i="1"/>
  <c r="G3229" i="1" s="1"/>
  <c r="F3230" i="1"/>
  <c r="G3230" i="1" s="1"/>
  <c r="F3231" i="1"/>
  <c r="G3231" i="1" s="1"/>
  <c r="F3232" i="1"/>
  <c r="G3232" i="1" s="1"/>
  <c r="F3233" i="1"/>
  <c r="G3233" i="1" s="1"/>
  <c r="F3234" i="1"/>
  <c r="G3234" i="1" s="1"/>
  <c r="F3235" i="1"/>
  <c r="G3235" i="1" s="1"/>
  <c r="F3236" i="1"/>
  <c r="G3236" i="1" s="1"/>
  <c r="F3237" i="1"/>
  <c r="G3237" i="1" s="1"/>
  <c r="F3238" i="1"/>
  <c r="G3238" i="1" s="1"/>
  <c r="F3239" i="1"/>
  <c r="G3239" i="1" s="1"/>
  <c r="F3240" i="1"/>
  <c r="G3240" i="1" s="1"/>
  <c r="F3241" i="1"/>
  <c r="G3241" i="1" s="1"/>
  <c r="F3242" i="1"/>
  <c r="G3242" i="1" s="1"/>
  <c r="F3243" i="1"/>
  <c r="G3243" i="1" s="1"/>
  <c r="F3244" i="1"/>
  <c r="G3244" i="1" s="1"/>
  <c r="F3245" i="1"/>
  <c r="G3245" i="1" s="1"/>
  <c r="F3246" i="1"/>
  <c r="G3246" i="1" s="1"/>
  <c r="F3247" i="1"/>
  <c r="G3247" i="1" s="1"/>
  <c r="F3248" i="1"/>
  <c r="G3248" i="1" s="1"/>
  <c r="F3249" i="1"/>
  <c r="G3249" i="1" s="1"/>
  <c r="F3250" i="1"/>
  <c r="G3250" i="1" s="1"/>
  <c r="F3251" i="1"/>
  <c r="G3251" i="1" s="1"/>
  <c r="F3252" i="1"/>
  <c r="G3252" i="1" s="1"/>
  <c r="F3253" i="1"/>
  <c r="G3253" i="1" s="1"/>
  <c r="F3254" i="1"/>
  <c r="G3254" i="1" s="1"/>
  <c r="F3255" i="1"/>
  <c r="G3255" i="1" s="1"/>
  <c r="F3256" i="1"/>
  <c r="G3256" i="1" s="1"/>
  <c r="F3257" i="1"/>
  <c r="G3257" i="1" s="1"/>
  <c r="F3258" i="1"/>
  <c r="G3258" i="1" s="1"/>
  <c r="F3259" i="1"/>
  <c r="G3259" i="1" s="1"/>
  <c r="F3260" i="1"/>
  <c r="G3260" i="1" s="1"/>
  <c r="F3261" i="1"/>
  <c r="G3261" i="1" s="1"/>
  <c r="F3262" i="1"/>
  <c r="G3262" i="1" s="1"/>
  <c r="F3263" i="1"/>
  <c r="G3263" i="1" s="1"/>
  <c r="F3264" i="1"/>
  <c r="G3264" i="1" s="1"/>
  <c r="F3265" i="1"/>
  <c r="G3265" i="1" s="1"/>
  <c r="F3266" i="1"/>
  <c r="G3266" i="1" s="1"/>
  <c r="F3267" i="1"/>
  <c r="G3267" i="1" s="1"/>
  <c r="F3268" i="1"/>
  <c r="G3268" i="1" s="1"/>
  <c r="F3269" i="1"/>
  <c r="G3269" i="1" s="1"/>
  <c r="F3270" i="1"/>
  <c r="G3270" i="1" s="1"/>
  <c r="F3271" i="1"/>
  <c r="G3271" i="1" s="1"/>
  <c r="F3272" i="1"/>
  <c r="G3272" i="1" s="1"/>
  <c r="F3273" i="1"/>
  <c r="G3273" i="1" s="1"/>
  <c r="F3274" i="1"/>
  <c r="G3274" i="1" s="1"/>
  <c r="F3275" i="1"/>
  <c r="G3275" i="1" s="1"/>
  <c r="F3276" i="1"/>
  <c r="G3276" i="1" s="1"/>
  <c r="F3277" i="1"/>
  <c r="G3277" i="1" s="1"/>
  <c r="F3278" i="1"/>
  <c r="G3278" i="1" s="1"/>
  <c r="F3279" i="1"/>
  <c r="G3279" i="1" s="1"/>
  <c r="F3280" i="1"/>
  <c r="G3280" i="1" s="1"/>
  <c r="F3281" i="1"/>
  <c r="G3281" i="1" s="1"/>
  <c r="F3282" i="1"/>
  <c r="G3282" i="1" s="1"/>
  <c r="F3283" i="1"/>
  <c r="G3283" i="1" s="1"/>
  <c r="F3284" i="1"/>
  <c r="G3284" i="1" s="1"/>
  <c r="F3285" i="1"/>
  <c r="G3285" i="1" s="1"/>
  <c r="F3286" i="1"/>
  <c r="G3286" i="1" s="1"/>
  <c r="F3287" i="1"/>
  <c r="G3287" i="1" s="1"/>
  <c r="F3288" i="1"/>
  <c r="G3288" i="1" s="1"/>
  <c r="F3289" i="1"/>
  <c r="G3289" i="1" s="1"/>
  <c r="F3290" i="1"/>
  <c r="G3290" i="1" s="1"/>
  <c r="F3291" i="1"/>
  <c r="G3291" i="1" s="1"/>
  <c r="F3292" i="1"/>
  <c r="G3292" i="1" s="1"/>
  <c r="F3293" i="1"/>
  <c r="G3293" i="1" s="1"/>
  <c r="F3294" i="1"/>
  <c r="G3294" i="1" s="1"/>
  <c r="F3295" i="1"/>
  <c r="G3295" i="1" s="1"/>
  <c r="F3296" i="1"/>
  <c r="G3296" i="1" s="1"/>
  <c r="F3297" i="1"/>
  <c r="G3297" i="1" s="1"/>
  <c r="F3298" i="1"/>
  <c r="G3298" i="1" s="1"/>
  <c r="F3299" i="1"/>
  <c r="G3299" i="1" s="1"/>
  <c r="F3300" i="1"/>
  <c r="G3300" i="1" s="1"/>
  <c r="F3301" i="1"/>
  <c r="G3301" i="1" s="1"/>
  <c r="F3302" i="1"/>
  <c r="G3302" i="1" s="1"/>
  <c r="F3303" i="1"/>
  <c r="G3303" i="1" s="1"/>
  <c r="F3304" i="1"/>
  <c r="G3304" i="1" s="1"/>
  <c r="F3305" i="1"/>
  <c r="G3305" i="1" s="1"/>
  <c r="F3306" i="1"/>
  <c r="G3306" i="1" s="1"/>
  <c r="F3307" i="1"/>
  <c r="G3307" i="1" s="1"/>
  <c r="F3308" i="1"/>
  <c r="G3308" i="1" s="1"/>
  <c r="F3309" i="1"/>
  <c r="G3309" i="1" s="1"/>
  <c r="F3310" i="1"/>
  <c r="G3310" i="1" s="1"/>
  <c r="F3311" i="1"/>
  <c r="G3311" i="1" s="1"/>
  <c r="F3312" i="1"/>
  <c r="G3312" i="1" s="1"/>
  <c r="F3313" i="1"/>
  <c r="G3313" i="1" s="1"/>
  <c r="F3314" i="1"/>
  <c r="G3314" i="1" s="1"/>
  <c r="F3315" i="1"/>
  <c r="G3315" i="1" s="1"/>
  <c r="F3316" i="1"/>
  <c r="G3316" i="1" s="1"/>
  <c r="F3317" i="1"/>
  <c r="G3317" i="1" s="1"/>
  <c r="F3318" i="1"/>
  <c r="G3318" i="1" s="1"/>
  <c r="F3319" i="1"/>
  <c r="G3319" i="1" s="1"/>
  <c r="F3320" i="1"/>
  <c r="G3320" i="1" s="1"/>
  <c r="F3321" i="1"/>
  <c r="G3321" i="1" s="1"/>
  <c r="F3322" i="1"/>
  <c r="G3322" i="1" s="1"/>
  <c r="F3323" i="1"/>
  <c r="G3323" i="1" s="1"/>
  <c r="F3324" i="1"/>
  <c r="G3324" i="1" s="1"/>
  <c r="F3325" i="1"/>
  <c r="G3325" i="1" s="1"/>
  <c r="F3326" i="1"/>
  <c r="G3326" i="1" s="1"/>
  <c r="F3327" i="1"/>
  <c r="G3327" i="1" s="1"/>
  <c r="F3328" i="1"/>
  <c r="G3328" i="1" s="1"/>
  <c r="F3329" i="1"/>
  <c r="G3329" i="1" s="1"/>
  <c r="F3330" i="1"/>
  <c r="G3330" i="1" s="1"/>
  <c r="F3331" i="1"/>
  <c r="G3331" i="1" s="1"/>
  <c r="F3332" i="1"/>
  <c r="G3332" i="1" s="1"/>
  <c r="F3333" i="1"/>
  <c r="G3333" i="1" s="1"/>
  <c r="F3334" i="1"/>
  <c r="G3334" i="1" s="1"/>
  <c r="F3335" i="1"/>
  <c r="G3335" i="1" s="1"/>
  <c r="F3336" i="1"/>
  <c r="G3336" i="1" s="1"/>
  <c r="F3337" i="1"/>
  <c r="G3337" i="1" s="1"/>
  <c r="F3338" i="1"/>
  <c r="G3338" i="1" s="1"/>
  <c r="F3339" i="1"/>
  <c r="G3339" i="1" s="1"/>
  <c r="F3340" i="1"/>
  <c r="G3340" i="1" s="1"/>
  <c r="F3341" i="1"/>
  <c r="G3341" i="1" s="1"/>
  <c r="F3342" i="1"/>
  <c r="G3342" i="1" s="1"/>
  <c r="F3343" i="1"/>
  <c r="G3343" i="1" s="1"/>
  <c r="F3344" i="1"/>
  <c r="G3344" i="1" s="1"/>
  <c r="F3345" i="1"/>
  <c r="G3345" i="1" s="1"/>
  <c r="F3346" i="1"/>
  <c r="G3346" i="1" s="1"/>
  <c r="F3347" i="1"/>
  <c r="G3347" i="1" s="1"/>
  <c r="F3348" i="1"/>
  <c r="G3348" i="1" s="1"/>
  <c r="F3349" i="1"/>
  <c r="G3349" i="1" s="1"/>
  <c r="F3350" i="1"/>
  <c r="G3350" i="1" s="1"/>
  <c r="F3351" i="1"/>
  <c r="G3351" i="1" s="1"/>
  <c r="F3352" i="1"/>
  <c r="G3352" i="1" s="1"/>
  <c r="F3353" i="1"/>
  <c r="G3353" i="1" s="1"/>
  <c r="F3354" i="1"/>
  <c r="G3354" i="1" s="1"/>
  <c r="F3355" i="1"/>
  <c r="G3355" i="1" s="1"/>
  <c r="F3356" i="1"/>
  <c r="G3356" i="1" s="1"/>
  <c r="F3357" i="1"/>
  <c r="G3357" i="1" s="1"/>
  <c r="F3358" i="1"/>
  <c r="G3358" i="1" s="1"/>
  <c r="F3359" i="1"/>
  <c r="G3359" i="1" s="1"/>
  <c r="F3360" i="1"/>
  <c r="G3360" i="1" s="1"/>
  <c r="F3361" i="1"/>
  <c r="G3361" i="1" s="1"/>
  <c r="F3362" i="1"/>
  <c r="G3362" i="1" s="1"/>
  <c r="F3363" i="1"/>
  <c r="G3363" i="1" s="1"/>
  <c r="F3364" i="1"/>
  <c r="G3364" i="1" s="1"/>
  <c r="F3365" i="1"/>
  <c r="G3365" i="1" s="1"/>
  <c r="F3366" i="1"/>
  <c r="G3366" i="1" s="1"/>
  <c r="F3367" i="1"/>
  <c r="G3367" i="1" s="1"/>
  <c r="F3368" i="1"/>
  <c r="G3368" i="1" s="1"/>
  <c r="F3369" i="1"/>
  <c r="G3369" i="1" s="1"/>
  <c r="F3370" i="1"/>
  <c r="G3370" i="1" s="1"/>
  <c r="F3371" i="1"/>
  <c r="G3371" i="1" s="1"/>
  <c r="F3372" i="1"/>
  <c r="G3372" i="1" s="1"/>
  <c r="F3373" i="1"/>
  <c r="G3373" i="1" s="1"/>
  <c r="F3374" i="1"/>
  <c r="G3374" i="1" s="1"/>
  <c r="F3375" i="1"/>
  <c r="G3375" i="1" s="1"/>
  <c r="F3376" i="1"/>
  <c r="G3376" i="1" s="1"/>
  <c r="F3377" i="1"/>
  <c r="G3377" i="1" s="1"/>
  <c r="F3378" i="1"/>
  <c r="G3378" i="1" s="1"/>
  <c r="F3379" i="1"/>
  <c r="G3379" i="1" s="1"/>
  <c r="F3380" i="1"/>
  <c r="G3380" i="1" s="1"/>
  <c r="F3381" i="1"/>
  <c r="G3381" i="1" s="1"/>
  <c r="F3382" i="1"/>
  <c r="G3382" i="1" s="1"/>
  <c r="F3383" i="1"/>
  <c r="G3383" i="1" s="1"/>
  <c r="F3384" i="1"/>
  <c r="G3384" i="1" s="1"/>
  <c r="F3385" i="1"/>
  <c r="G3385" i="1" s="1"/>
  <c r="F3386" i="1"/>
  <c r="G3386" i="1" s="1"/>
  <c r="F3387" i="1"/>
  <c r="G3387" i="1" s="1"/>
  <c r="F3388" i="1"/>
  <c r="G3388" i="1" s="1"/>
  <c r="F3389" i="1"/>
  <c r="G3389" i="1" s="1"/>
  <c r="F3390" i="1"/>
  <c r="G3390" i="1" s="1"/>
  <c r="F3391" i="1"/>
  <c r="G3391" i="1" s="1"/>
  <c r="F3392" i="1"/>
  <c r="G3392" i="1" s="1"/>
  <c r="F3393" i="1"/>
  <c r="G3393" i="1" s="1"/>
  <c r="F3394" i="1"/>
  <c r="G3394" i="1" s="1"/>
  <c r="F3395" i="1"/>
  <c r="G3395" i="1" s="1"/>
  <c r="F3396" i="1"/>
  <c r="G3396" i="1" s="1"/>
  <c r="F3397" i="1"/>
  <c r="G3397" i="1" s="1"/>
  <c r="F3398" i="1"/>
  <c r="G3398" i="1" s="1"/>
  <c r="F3399" i="1"/>
  <c r="G3399" i="1" s="1"/>
  <c r="F3400" i="1"/>
  <c r="G3400" i="1" s="1"/>
  <c r="F3401" i="1"/>
  <c r="G3401" i="1" s="1"/>
  <c r="F3402" i="1"/>
  <c r="G3402" i="1" s="1"/>
  <c r="F3403" i="1"/>
  <c r="G3403" i="1" s="1"/>
  <c r="F3404" i="1"/>
  <c r="G3404" i="1" s="1"/>
  <c r="F3405" i="1"/>
  <c r="G3405" i="1" s="1"/>
  <c r="F3406" i="1"/>
  <c r="G3406" i="1" s="1"/>
  <c r="F3407" i="1"/>
  <c r="G3407" i="1" s="1"/>
  <c r="F3408" i="1"/>
  <c r="G3408" i="1" s="1"/>
  <c r="F3409" i="1"/>
  <c r="G3409" i="1" s="1"/>
  <c r="F3410" i="1"/>
  <c r="G3410" i="1" s="1"/>
  <c r="F3411" i="1"/>
  <c r="G3411" i="1" s="1"/>
  <c r="F3412" i="1"/>
  <c r="G3412" i="1" s="1"/>
  <c r="F3413" i="1"/>
  <c r="G3413" i="1" s="1"/>
  <c r="F3414" i="1"/>
  <c r="G3414" i="1" s="1"/>
  <c r="F3415" i="1"/>
  <c r="G3415" i="1" s="1"/>
  <c r="F3416" i="1"/>
  <c r="G3416" i="1" s="1"/>
  <c r="F3417" i="1"/>
  <c r="G3417" i="1" s="1"/>
  <c r="F3418" i="1"/>
  <c r="G3418" i="1" s="1"/>
  <c r="F3419" i="1"/>
  <c r="G3419" i="1" s="1"/>
  <c r="F3420" i="1"/>
  <c r="G3420" i="1" s="1"/>
  <c r="F3421" i="1"/>
  <c r="G3421" i="1" s="1"/>
  <c r="F3422" i="1"/>
  <c r="G3422" i="1" s="1"/>
  <c r="F3423" i="1"/>
  <c r="G3423" i="1" s="1"/>
  <c r="F3424" i="1"/>
  <c r="G3424" i="1" s="1"/>
  <c r="F3425" i="1"/>
  <c r="G3425" i="1" s="1"/>
  <c r="F3426" i="1"/>
  <c r="G3426" i="1" s="1"/>
  <c r="F3427" i="1"/>
  <c r="G3427" i="1" s="1"/>
  <c r="F3428" i="1"/>
  <c r="G3428" i="1" s="1"/>
  <c r="F3429" i="1"/>
  <c r="G3429" i="1" s="1"/>
  <c r="F3430" i="1"/>
  <c r="G3430" i="1" s="1"/>
  <c r="F3431" i="1"/>
  <c r="G3431" i="1" s="1"/>
  <c r="F3432" i="1"/>
  <c r="G3432" i="1" s="1"/>
  <c r="F3433" i="1"/>
  <c r="G3433" i="1" s="1"/>
  <c r="F3434" i="1"/>
  <c r="G3434" i="1" s="1"/>
  <c r="F3435" i="1"/>
  <c r="G3435" i="1" s="1"/>
  <c r="F3436" i="1"/>
  <c r="G3436" i="1" s="1"/>
  <c r="F3437" i="1"/>
  <c r="G3437" i="1" s="1"/>
  <c r="F3438" i="1"/>
  <c r="G3438" i="1" s="1"/>
  <c r="F3439" i="1"/>
  <c r="G3439" i="1" s="1"/>
  <c r="F3440" i="1"/>
  <c r="G3440" i="1" s="1"/>
  <c r="F3441" i="1"/>
  <c r="G3441" i="1" s="1"/>
  <c r="F3442" i="1"/>
  <c r="G3442" i="1" s="1"/>
  <c r="F3443" i="1"/>
  <c r="G3443" i="1" s="1"/>
  <c r="F3444" i="1"/>
  <c r="G3444" i="1" s="1"/>
  <c r="F3445" i="1"/>
  <c r="G3445" i="1" s="1"/>
  <c r="F3446" i="1"/>
  <c r="G3446" i="1" s="1"/>
  <c r="F3447" i="1"/>
  <c r="G3447" i="1" s="1"/>
  <c r="F3448" i="1"/>
  <c r="G3448" i="1" s="1"/>
  <c r="F3449" i="1"/>
  <c r="G3449" i="1" s="1"/>
  <c r="F3450" i="1"/>
  <c r="G3450" i="1" s="1"/>
  <c r="F3451" i="1"/>
  <c r="G3451" i="1" s="1"/>
  <c r="F3452" i="1"/>
  <c r="G3452" i="1" s="1"/>
  <c r="F3453" i="1"/>
  <c r="G3453" i="1" s="1"/>
  <c r="F3454" i="1"/>
  <c r="G3454" i="1" s="1"/>
  <c r="F3455" i="1"/>
  <c r="G3455" i="1" s="1"/>
  <c r="F3456" i="1"/>
  <c r="G3456" i="1" s="1"/>
  <c r="F3457" i="1"/>
  <c r="G3457" i="1" s="1"/>
  <c r="F3458" i="1"/>
  <c r="G3458" i="1" s="1"/>
  <c r="F3459" i="1"/>
  <c r="G3459" i="1" s="1"/>
  <c r="F3460" i="1"/>
  <c r="G3460" i="1" s="1"/>
  <c r="F3461" i="1"/>
  <c r="G3461" i="1" s="1"/>
  <c r="F3462" i="1"/>
  <c r="G3462" i="1" s="1"/>
  <c r="F3463" i="1"/>
  <c r="G3463" i="1" s="1"/>
  <c r="F3464" i="1"/>
  <c r="G3464" i="1" s="1"/>
  <c r="F3465" i="1"/>
  <c r="G3465" i="1" s="1"/>
  <c r="F3466" i="1"/>
  <c r="G3466" i="1" s="1"/>
  <c r="F3467" i="1"/>
  <c r="G3467" i="1" s="1"/>
  <c r="F3468" i="1"/>
  <c r="G3468" i="1" s="1"/>
  <c r="F3469" i="1"/>
  <c r="G3469" i="1" s="1"/>
  <c r="F3470" i="1"/>
  <c r="G3470" i="1" s="1"/>
  <c r="F3471" i="1"/>
  <c r="G3471" i="1" s="1"/>
  <c r="F3472" i="1"/>
  <c r="G3472" i="1" s="1"/>
  <c r="F3473" i="1"/>
  <c r="G3473" i="1" s="1"/>
  <c r="F3474" i="1"/>
  <c r="G3474" i="1" s="1"/>
  <c r="F3475" i="1"/>
  <c r="G3475" i="1" s="1"/>
  <c r="F3476" i="1"/>
  <c r="G3476" i="1" s="1"/>
  <c r="F3477" i="1"/>
  <c r="G3477" i="1" s="1"/>
  <c r="F3478" i="1"/>
  <c r="G3478" i="1" s="1"/>
  <c r="F3479" i="1"/>
  <c r="G3479" i="1" s="1"/>
  <c r="F3480" i="1"/>
  <c r="G3480" i="1" s="1"/>
  <c r="F3481" i="1"/>
  <c r="G3481" i="1" s="1"/>
  <c r="F3482" i="1"/>
  <c r="G3482" i="1" s="1"/>
  <c r="F3483" i="1"/>
  <c r="G3483" i="1" s="1"/>
  <c r="F3484" i="1"/>
  <c r="G3484" i="1" s="1"/>
  <c r="F3485" i="1"/>
  <c r="G3485" i="1" s="1"/>
  <c r="F3486" i="1"/>
  <c r="G3486" i="1" s="1"/>
  <c r="F3487" i="1"/>
  <c r="G3487" i="1" s="1"/>
  <c r="F3488" i="1"/>
  <c r="G3488" i="1" s="1"/>
  <c r="F3489" i="1"/>
  <c r="G3489" i="1" s="1"/>
  <c r="F3490" i="1"/>
  <c r="G3490" i="1" s="1"/>
  <c r="F3491" i="1"/>
  <c r="G3491" i="1" s="1"/>
  <c r="F3492" i="1"/>
  <c r="G3492" i="1" s="1"/>
  <c r="F3493" i="1"/>
  <c r="G3493" i="1" s="1"/>
  <c r="F3494" i="1"/>
  <c r="G3494" i="1" s="1"/>
  <c r="F3495" i="1"/>
  <c r="G3495" i="1" s="1"/>
  <c r="F3496" i="1"/>
  <c r="G3496" i="1" s="1"/>
  <c r="F3497" i="1"/>
  <c r="G3497" i="1" s="1"/>
  <c r="F3498" i="1"/>
  <c r="G3498" i="1" s="1"/>
  <c r="F3499" i="1"/>
  <c r="G3499" i="1" s="1"/>
  <c r="F3500" i="1"/>
  <c r="G3500" i="1" s="1"/>
  <c r="F3501" i="1"/>
  <c r="G3501" i="1" s="1"/>
  <c r="F3502" i="1"/>
  <c r="G3502" i="1" s="1"/>
  <c r="F3503" i="1"/>
  <c r="G3503" i="1" s="1"/>
  <c r="F3504" i="1"/>
  <c r="G3504" i="1" s="1"/>
  <c r="F3505" i="1"/>
  <c r="G3505" i="1" s="1"/>
  <c r="F3506" i="1"/>
  <c r="G3506" i="1" s="1"/>
  <c r="F3507" i="1"/>
  <c r="G3507" i="1" s="1"/>
  <c r="F3508" i="1"/>
  <c r="G3508" i="1" s="1"/>
  <c r="F3509" i="1"/>
  <c r="G3509" i="1" s="1"/>
  <c r="F3510" i="1"/>
  <c r="G3510" i="1" s="1"/>
  <c r="F3511" i="1"/>
  <c r="G3511" i="1" s="1"/>
  <c r="F3512" i="1"/>
  <c r="G3512" i="1" s="1"/>
  <c r="F3513" i="1"/>
  <c r="G3513" i="1" s="1"/>
  <c r="F3514" i="1"/>
  <c r="G3514" i="1" s="1"/>
  <c r="F3515" i="1"/>
  <c r="G3515" i="1" s="1"/>
  <c r="F3516" i="1"/>
  <c r="G3516" i="1" s="1"/>
  <c r="F3517" i="1"/>
  <c r="G3517" i="1" s="1"/>
  <c r="F3518" i="1"/>
  <c r="G3518" i="1" s="1"/>
  <c r="F3519" i="1"/>
  <c r="G3519" i="1" s="1"/>
  <c r="F3520" i="1"/>
  <c r="G3520" i="1" s="1"/>
  <c r="F3521" i="1"/>
  <c r="G3521" i="1" s="1"/>
  <c r="F3522" i="1"/>
  <c r="G3522" i="1" s="1"/>
  <c r="F3523" i="1"/>
  <c r="G3523" i="1" s="1"/>
  <c r="F3524" i="1"/>
  <c r="G3524" i="1" s="1"/>
  <c r="F3525" i="1"/>
  <c r="G3525" i="1" s="1"/>
  <c r="F3526" i="1"/>
  <c r="G3526" i="1" s="1"/>
  <c r="F3527" i="1"/>
  <c r="G3527" i="1" s="1"/>
  <c r="F3528" i="1"/>
  <c r="G3528" i="1" s="1"/>
  <c r="F3529" i="1"/>
  <c r="G3529" i="1" s="1"/>
  <c r="F3530" i="1"/>
  <c r="G3530" i="1" s="1"/>
  <c r="F3531" i="1"/>
  <c r="G3531" i="1" s="1"/>
  <c r="F3532" i="1"/>
  <c r="G3532" i="1" s="1"/>
  <c r="F3533" i="1"/>
  <c r="G3533" i="1" s="1"/>
  <c r="F3534" i="1"/>
  <c r="G3534" i="1" s="1"/>
  <c r="F3535" i="1"/>
  <c r="G3535" i="1" s="1"/>
  <c r="F3536" i="1"/>
  <c r="G3536" i="1" s="1"/>
  <c r="F3537" i="1"/>
  <c r="G3537" i="1" s="1"/>
  <c r="F3538" i="1"/>
  <c r="G3538" i="1" s="1"/>
  <c r="F3539" i="1"/>
  <c r="G3539" i="1" s="1"/>
  <c r="F3540" i="1"/>
  <c r="G3540" i="1" s="1"/>
  <c r="F3541" i="1"/>
  <c r="G3541" i="1" s="1"/>
  <c r="F3542" i="1"/>
  <c r="G3542" i="1" s="1"/>
  <c r="F3543" i="1"/>
  <c r="G3543" i="1" s="1"/>
  <c r="F3544" i="1"/>
  <c r="G3544" i="1" s="1"/>
  <c r="F3545" i="1"/>
  <c r="G3545" i="1" s="1"/>
  <c r="F3546" i="1"/>
  <c r="G3546" i="1" s="1"/>
  <c r="F3547" i="1"/>
  <c r="G3547" i="1" s="1"/>
  <c r="F3548" i="1"/>
  <c r="G3548" i="1" s="1"/>
  <c r="F3549" i="1"/>
  <c r="G3549" i="1" s="1"/>
  <c r="F3550" i="1"/>
  <c r="G3550" i="1" s="1"/>
  <c r="F3551" i="1"/>
  <c r="G3551" i="1" s="1"/>
  <c r="F3552" i="1"/>
  <c r="G3552" i="1" s="1"/>
  <c r="F3553" i="1"/>
  <c r="G3553" i="1" s="1"/>
  <c r="F3554" i="1"/>
  <c r="G3554" i="1" s="1"/>
  <c r="F3555" i="1"/>
  <c r="G3555" i="1" s="1"/>
  <c r="F3556" i="1"/>
  <c r="G3556" i="1" s="1"/>
  <c r="F3557" i="1"/>
  <c r="G3557" i="1" s="1"/>
  <c r="F3558" i="1"/>
  <c r="G3558" i="1" s="1"/>
  <c r="F3559" i="1"/>
  <c r="G3559" i="1" s="1"/>
  <c r="F3560" i="1"/>
  <c r="G3560" i="1" s="1"/>
  <c r="F3561" i="1"/>
  <c r="G3561" i="1" s="1"/>
  <c r="F3562" i="1"/>
  <c r="G3562" i="1" s="1"/>
  <c r="F3563" i="1"/>
  <c r="G3563" i="1" s="1"/>
  <c r="F3564" i="1"/>
  <c r="G3564" i="1" s="1"/>
  <c r="F3565" i="1"/>
  <c r="G3565" i="1" s="1"/>
  <c r="F3566" i="1"/>
  <c r="G3566" i="1" s="1"/>
  <c r="F3567" i="1"/>
  <c r="G3567" i="1" s="1"/>
  <c r="F3568" i="1"/>
  <c r="G3568" i="1" s="1"/>
  <c r="F3569" i="1"/>
  <c r="G3569" i="1" s="1"/>
  <c r="F3570" i="1"/>
  <c r="G3570" i="1" s="1"/>
  <c r="F3571" i="1"/>
  <c r="G3571" i="1" s="1"/>
  <c r="F3572" i="1"/>
  <c r="G3572" i="1" s="1"/>
  <c r="F3573" i="1"/>
  <c r="G3573" i="1" s="1"/>
  <c r="F3574" i="1"/>
  <c r="G3574" i="1" s="1"/>
  <c r="F3575" i="1"/>
  <c r="G3575" i="1" s="1"/>
  <c r="F3576" i="1"/>
  <c r="G3576" i="1" s="1"/>
  <c r="F3577" i="1"/>
  <c r="G3577" i="1" s="1"/>
  <c r="F3578" i="1"/>
  <c r="G3578" i="1" s="1"/>
  <c r="F3579" i="1"/>
  <c r="G3579" i="1" s="1"/>
  <c r="F3580" i="1"/>
  <c r="G3580" i="1" s="1"/>
  <c r="F3581" i="1"/>
  <c r="G3581" i="1" s="1"/>
  <c r="F3582" i="1"/>
  <c r="G3582" i="1" s="1"/>
  <c r="F3583" i="1"/>
  <c r="G3583" i="1" s="1"/>
  <c r="F3584" i="1"/>
  <c r="G3584" i="1" s="1"/>
  <c r="F3585" i="1"/>
  <c r="G3585" i="1" s="1"/>
  <c r="F3586" i="1"/>
  <c r="G3586" i="1" s="1"/>
  <c r="F3587" i="1"/>
  <c r="G3587" i="1" s="1"/>
  <c r="F3588" i="1"/>
  <c r="G3588" i="1" s="1"/>
  <c r="F3589" i="1"/>
  <c r="G3589" i="1" s="1"/>
  <c r="F3590" i="1"/>
  <c r="G3590" i="1" s="1"/>
  <c r="F3591" i="1"/>
  <c r="G3591" i="1" s="1"/>
  <c r="F3592" i="1"/>
  <c r="G3592" i="1" s="1"/>
  <c r="F3593" i="1"/>
  <c r="G3593" i="1" s="1"/>
  <c r="F3594" i="1"/>
  <c r="G3594" i="1" s="1"/>
  <c r="F3595" i="1"/>
  <c r="G3595" i="1" s="1"/>
  <c r="F3596" i="1"/>
  <c r="G3596" i="1" s="1"/>
  <c r="F3597" i="1"/>
  <c r="G3597" i="1" s="1"/>
  <c r="F3598" i="1"/>
  <c r="G3598" i="1" s="1"/>
  <c r="F3599" i="1"/>
  <c r="G3599" i="1" s="1"/>
  <c r="F3600" i="1"/>
  <c r="G3600" i="1" s="1"/>
  <c r="F3601" i="1"/>
  <c r="G3601" i="1" s="1"/>
  <c r="F3602" i="1"/>
  <c r="G3602" i="1" s="1"/>
  <c r="F3603" i="1"/>
  <c r="G3603" i="1" s="1"/>
  <c r="F3604" i="1"/>
  <c r="G3604" i="1" s="1"/>
  <c r="F3605" i="1"/>
  <c r="G3605" i="1" s="1"/>
  <c r="F3606" i="1"/>
  <c r="G3606" i="1" s="1"/>
  <c r="F3607" i="1"/>
  <c r="G3607" i="1" s="1"/>
  <c r="F3608" i="1"/>
  <c r="G3608" i="1" s="1"/>
  <c r="F3609" i="1"/>
  <c r="G3609" i="1" s="1"/>
  <c r="F3610" i="1"/>
  <c r="G3610" i="1" s="1"/>
  <c r="F3611" i="1"/>
  <c r="G3611" i="1" s="1"/>
  <c r="F3612" i="1"/>
  <c r="G3612" i="1" s="1"/>
  <c r="F3613" i="1"/>
  <c r="G3613" i="1" s="1"/>
  <c r="F3614" i="1"/>
  <c r="G3614" i="1" s="1"/>
  <c r="F3615" i="1"/>
  <c r="G3615" i="1" s="1"/>
  <c r="F3616" i="1"/>
  <c r="G3616" i="1" s="1"/>
  <c r="F3617" i="1"/>
  <c r="G3617" i="1" s="1"/>
  <c r="F3618" i="1"/>
  <c r="G3618" i="1" s="1"/>
  <c r="F3619" i="1"/>
  <c r="G3619" i="1" s="1"/>
  <c r="F3620" i="1"/>
  <c r="G3620" i="1" s="1"/>
  <c r="F3621" i="1"/>
  <c r="G3621" i="1" s="1"/>
  <c r="F3622" i="1"/>
  <c r="G3622" i="1" s="1"/>
  <c r="F3623" i="1"/>
  <c r="G3623" i="1" s="1"/>
  <c r="F3624" i="1"/>
  <c r="G3624" i="1" s="1"/>
  <c r="F3625" i="1"/>
  <c r="G3625" i="1" s="1"/>
  <c r="F3626" i="1"/>
  <c r="G3626" i="1" s="1"/>
  <c r="F3627" i="1"/>
  <c r="G3627" i="1" s="1"/>
  <c r="F3628" i="1"/>
  <c r="G3628" i="1" s="1"/>
  <c r="F3629" i="1"/>
  <c r="G3629" i="1" s="1"/>
  <c r="F3630" i="1"/>
  <c r="G3630" i="1" s="1"/>
  <c r="F3631" i="1"/>
  <c r="G3631" i="1" s="1"/>
  <c r="F3632" i="1"/>
  <c r="G3632" i="1" s="1"/>
  <c r="F3633" i="1"/>
  <c r="G3633" i="1" s="1"/>
  <c r="F3634" i="1"/>
  <c r="G3634" i="1" s="1"/>
  <c r="F3635" i="1"/>
  <c r="G3635" i="1" s="1"/>
  <c r="F3636" i="1"/>
  <c r="G3636" i="1" s="1"/>
  <c r="F3637" i="1"/>
  <c r="G3637" i="1" s="1"/>
  <c r="F3638" i="1"/>
  <c r="G3638" i="1" s="1"/>
  <c r="F3639" i="1"/>
  <c r="G3639" i="1" s="1"/>
  <c r="F3640" i="1"/>
  <c r="G3640" i="1" s="1"/>
  <c r="F3641" i="1"/>
  <c r="G3641" i="1" s="1"/>
  <c r="F3642" i="1"/>
  <c r="G3642" i="1" s="1"/>
  <c r="F3643" i="1"/>
  <c r="G3643" i="1" s="1"/>
  <c r="F3644" i="1"/>
  <c r="G3644" i="1" s="1"/>
  <c r="F3645" i="1"/>
  <c r="G3645" i="1" s="1"/>
  <c r="F3646" i="1"/>
  <c r="G3646" i="1" s="1"/>
  <c r="F3647" i="1"/>
  <c r="G3647" i="1" s="1"/>
  <c r="F3648" i="1"/>
  <c r="G3648" i="1" s="1"/>
  <c r="F3649" i="1"/>
  <c r="G3649" i="1" s="1"/>
  <c r="F3650" i="1"/>
  <c r="G3650" i="1" s="1"/>
  <c r="F3651" i="1"/>
  <c r="G3651" i="1" s="1"/>
  <c r="F3652" i="1"/>
  <c r="G3652" i="1" s="1"/>
  <c r="F3653" i="1"/>
  <c r="G3653" i="1" s="1"/>
  <c r="F3654" i="1"/>
  <c r="G3654" i="1" s="1"/>
  <c r="F3655" i="1"/>
  <c r="G3655" i="1" s="1"/>
  <c r="F3656" i="1"/>
  <c r="G3656" i="1" s="1"/>
  <c r="F3657" i="1"/>
  <c r="G3657" i="1" s="1"/>
  <c r="F3658" i="1"/>
  <c r="G3658" i="1" s="1"/>
  <c r="F3659" i="1"/>
  <c r="G3659" i="1" s="1"/>
  <c r="F3660" i="1"/>
  <c r="G3660" i="1" s="1"/>
  <c r="F3661" i="1"/>
  <c r="G3661" i="1" s="1"/>
  <c r="F3662" i="1"/>
  <c r="G3662" i="1" s="1"/>
  <c r="F3663" i="1"/>
  <c r="G3663" i="1" s="1"/>
  <c r="F3664" i="1"/>
  <c r="G3664" i="1" s="1"/>
  <c r="F3665" i="1"/>
  <c r="G3665" i="1" s="1"/>
  <c r="F3666" i="1"/>
  <c r="G3666" i="1" s="1"/>
  <c r="F3667" i="1"/>
  <c r="G3667" i="1" s="1"/>
  <c r="F3668" i="1"/>
  <c r="G3668" i="1" s="1"/>
  <c r="F3669" i="1"/>
  <c r="G3669" i="1" s="1"/>
  <c r="F3670" i="1"/>
  <c r="G3670" i="1" s="1"/>
  <c r="F3671" i="1"/>
  <c r="G3671" i="1" s="1"/>
  <c r="F3672" i="1"/>
  <c r="G3672" i="1" s="1"/>
  <c r="F3673" i="1"/>
  <c r="G3673" i="1" s="1"/>
  <c r="F3674" i="1"/>
  <c r="G3674" i="1" s="1"/>
  <c r="F3675" i="1"/>
  <c r="G3675" i="1" s="1"/>
  <c r="F3676" i="1"/>
  <c r="G3676" i="1" s="1"/>
  <c r="F3677" i="1"/>
  <c r="G3677" i="1" s="1"/>
  <c r="F3678" i="1"/>
  <c r="G3678" i="1" s="1"/>
  <c r="F3679" i="1"/>
  <c r="G3679" i="1" s="1"/>
  <c r="F3680" i="1"/>
  <c r="G3680" i="1" s="1"/>
  <c r="F3681" i="1"/>
  <c r="G3681" i="1" s="1"/>
  <c r="F3682" i="1"/>
  <c r="G3682" i="1" s="1"/>
  <c r="F3683" i="1"/>
  <c r="G3683" i="1" s="1"/>
  <c r="F3684" i="1"/>
  <c r="G3684" i="1" s="1"/>
  <c r="F3685" i="1"/>
  <c r="G3685" i="1" s="1"/>
  <c r="F3686" i="1"/>
  <c r="G3686" i="1" s="1"/>
  <c r="F3687" i="1"/>
  <c r="G3687" i="1" s="1"/>
  <c r="F3688" i="1"/>
  <c r="G3688" i="1" s="1"/>
  <c r="F3689" i="1"/>
  <c r="G3689" i="1" s="1"/>
  <c r="F3690" i="1"/>
  <c r="G3690" i="1" s="1"/>
  <c r="F3691" i="1"/>
  <c r="G3691" i="1" s="1"/>
  <c r="F3692" i="1"/>
  <c r="G3692" i="1" s="1"/>
  <c r="F3693" i="1"/>
  <c r="G3693" i="1" s="1"/>
  <c r="F3694" i="1"/>
  <c r="G3694" i="1" s="1"/>
  <c r="F3695" i="1"/>
  <c r="G3695" i="1" s="1"/>
  <c r="F3696" i="1"/>
  <c r="G3696" i="1" s="1"/>
  <c r="F3697" i="1"/>
  <c r="G3697" i="1" s="1"/>
  <c r="F3698" i="1"/>
  <c r="G3698" i="1" s="1"/>
  <c r="F3699" i="1"/>
  <c r="G3699" i="1" s="1"/>
  <c r="F3700" i="1"/>
  <c r="G3700" i="1" s="1"/>
  <c r="F3701" i="1"/>
  <c r="G3701" i="1" s="1"/>
  <c r="F3702" i="1"/>
  <c r="G3702" i="1" s="1"/>
  <c r="F3703" i="1"/>
  <c r="G3703" i="1" s="1"/>
  <c r="F3704" i="1"/>
  <c r="G3704" i="1" s="1"/>
  <c r="F3705" i="1"/>
  <c r="G3705" i="1" s="1"/>
  <c r="F3706" i="1"/>
  <c r="G3706" i="1" s="1"/>
  <c r="F3707" i="1"/>
  <c r="G3707" i="1" s="1"/>
  <c r="F3708" i="1"/>
  <c r="G3708" i="1" s="1"/>
  <c r="F3709" i="1"/>
  <c r="G3709" i="1" s="1"/>
  <c r="F3710" i="1"/>
  <c r="G3710" i="1" s="1"/>
  <c r="F3711" i="1"/>
  <c r="G3711" i="1" s="1"/>
  <c r="F3712" i="1"/>
  <c r="G3712" i="1" s="1"/>
  <c r="F3713" i="1"/>
  <c r="G3713" i="1" s="1"/>
  <c r="F3714" i="1"/>
  <c r="G3714" i="1" s="1"/>
  <c r="F3715" i="1"/>
  <c r="G3715" i="1" s="1"/>
  <c r="F3716" i="1"/>
  <c r="G3716" i="1" s="1"/>
  <c r="F3717" i="1"/>
  <c r="G3717" i="1" s="1"/>
  <c r="F3718" i="1"/>
  <c r="G3718" i="1" s="1"/>
  <c r="F3719" i="1"/>
  <c r="G3719" i="1" s="1"/>
  <c r="F3720" i="1"/>
  <c r="G3720" i="1" s="1"/>
  <c r="F3721" i="1"/>
  <c r="G3721" i="1" s="1"/>
  <c r="F3722" i="1"/>
  <c r="G3722" i="1" s="1"/>
  <c r="F3723" i="1"/>
  <c r="G3723" i="1" s="1"/>
  <c r="F3724" i="1"/>
  <c r="G3724" i="1" s="1"/>
  <c r="F3725" i="1"/>
  <c r="G3725" i="1" s="1"/>
  <c r="F3726" i="1"/>
  <c r="G3726" i="1" s="1"/>
  <c r="F3727" i="1"/>
  <c r="G3727" i="1" s="1"/>
  <c r="F3728" i="1"/>
  <c r="G3728" i="1" s="1"/>
  <c r="F3729" i="1"/>
  <c r="G3729" i="1" s="1"/>
  <c r="F3730" i="1"/>
  <c r="G3730" i="1" s="1"/>
  <c r="F3731" i="1"/>
  <c r="G3731" i="1" s="1"/>
  <c r="F3732" i="1"/>
  <c r="G3732" i="1" s="1"/>
  <c r="F3733" i="1"/>
  <c r="G3733" i="1" s="1"/>
  <c r="F3734" i="1"/>
  <c r="G3734" i="1" s="1"/>
  <c r="F3735" i="1"/>
  <c r="G3735" i="1" s="1"/>
  <c r="F3736" i="1"/>
  <c r="G3736" i="1" s="1"/>
  <c r="F3737" i="1"/>
  <c r="G3737" i="1" s="1"/>
  <c r="F3738" i="1"/>
  <c r="G3738" i="1" s="1"/>
  <c r="F3739" i="1"/>
  <c r="G3739" i="1" s="1"/>
  <c r="F3740" i="1"/>
  <c r="G3740" i="1" s="1"/>
  <c r="F3741" i="1"/>
  <c r="G3741" i="1" s="1"/>
  <c r="F3742" i="1"/>
  <c r="G3742" i="1" s="1"/>
  <c r="F3743" i="1"/>
  <c r="G3743" i="1" s="1"/>
  <c r="F3744" i="1"/>
  <c r="G3744" i="1" s="1"/>
  <c r="F3745" i="1"/>
  <c r="G3745" i="1" s="1"/>
  <c r="F3746" i="1"/>
  <c r="G3746" i="1" s="1"/>
  <c r="F3747" i="1"/>
  <c r="G3747" i="1" s="1"/>
  <c r="F3748" i="1"/>
  <c r="G3748" i="1" s="1"/>
  <c r="F3749" i="1"/>
  <c r="G3749" i="1" s="1"/>
  <c r="F3750" i="1"/>
  <c r="G3750" i="1" s="1"/>
  <c r="F3751" i="1"/>
  <c r="G3751" i="1" s="1"/>
  <c r="F3752" i="1"/>
  <c r="G3752" i="1" s="1"/>
  <c r="F3753" i="1"/>
  <c r="G3753" i="1" s="1"/>
  <c r="F3754" i="1"/>
  <c r="G3754" i="1" s="1"/>
  <c r="F3755" i="1"/>
  <c r="G3755" i="1" s="1"/>
  <c r="F3756" i="1"/>
  <c r="G3756" i="1" s="1"/>
  <c r="F3757" i="1"/>
  <c r="G3757" i="1" s="1"/>
  <c r="F3758" i="1"/>
  <c r="G3758" i="1" s="1"/>
  <c r="F3759" i="1"/>
  <c r="G3759" i="1" s="1"/>
  <c r="F3760" i="1"/>
  <c r="G3760" i="1" s="1"/>
  <c r="F3761" i="1"/>
  <c r="G3761" i="1" s="1"/>
  <c r="F3762" i="1"/>
  <c r="G3762" i="1" s="1"/>
  <c r="F3763" i="1"/>
  <c r="G3763" i="1" s="1"/>
  <c r="F3764" i="1"/>
  <c r="G3764" i="1" s="1"/>
  <c r="F3765" i="1"/>
  <c r="G3765" i="1" s="1"/>
  <c r="F3766" i="1"/>
  <c r="G3766" i="1" s="1"/>
  <c r="F3767" i="1"/>
  <c r="G3767" i="1" s="1"/>
  <c r="F3768" i="1"/>
  <c r="G3768" i="1" s="1"/>
  <c r="F3769" i="1"/>
  <c r="G3769" i="1" s="1"/>
  <c r="F3770" i="1"/>
  <c r="G3770" i="1" s="1"/>
  <c r="F3771" i="1"/>
  <c r="G3771" i="1" s="1"/>
  <c r="F3772" i="1"/>
  <c r="G3772" i="1" s="1"/>
  <c r="F3773" i="1"/>
  <c r="G3773" i="1" s="1"/>
  <c r="F3774" i="1"/>
  <c r="G3774" i="1" s="1"/>
  <c r="F3775" i="1"/>
  <c r="G3775" i="1" s="1"/>
  <c r="F3776" i="1"/>
  <c r="G3776" i="1" s="1"/>
  <c r="F3777" i="1"/>
  <c r="G3777" i="1" s="1"/>
  <c r="F3778" i="1"/>
  <c r="G3778" i="1" s="1"/>
  <c r="F3779" i="1"/>
  <c r="G3779" i="1" s="1"/>
  <c r="F3780" i="1"/>
  <c r="G3780" i="1" s="1"/>
  <c r="F3781" i="1"/>
  <c r="G3781" i="1" s="1"/>
  <c r="F3782" i="1"/>
  <c r="G3782" i="1" s="1"/>
  <c r="F3783" i="1"/>
  <c r="G3783" i="1" s="1"/>
  <c r="F3784" i="1"/>
  <c r="G3784" i="1" s="1"/>
  <c r="F3785" i="1"/>
  <c r="G3785" i="1" s="1"/>
  <c r="F3786" i="1"/>
  <c r="G3786" i="1" s="1"/>
  <c r="F3787" i="1"/>
  <c r="G3787" i="1" s="1"/>
  <c r="F3788" i="1"/>
  <c r="G3788" i="1" s="1"/>
  <c r="F3789" i="1"/>
  <c r="G3789" i="1" s="1"/>
  <c r="F3790" i="1"/>
  <c r="G3790" i="1" s="1"/>
  <c r="F3791" i="1"/>
  <c r="G3791" i="1" s="1"/>
  <c r="F3792" i="1"/>
  <c r="G3792" i="1" s="1"/>
  <c r="F3793" i="1"/>
  <c r="G3793" i="1" s="1"/>
  <c r="F3794" i="1"/>
  <c r="G3794" i="1" s="1"/>
  <c r="F3795" i="1"/>
  <c r="G3795" i="1" s="1"/>
  <c r="F3796" i="1"/>
  <c r="G3796" i="1" s="1"/>
  <c r="F3797" i="1"/>
  <c r="G3797" i="1" s="1"/>
  <c r="F3798" i="1"/>
  <c r="G3798" i="1" s="1"/>
  <c r="F3799" i="1"/>
  <c r="G3799" i="1" s="1"/>
  <c r="F3800" i="1"/>
  <c r="G3800" i="1" s="1"/>
  <c r="F3801" i="1"/>
  <c r="G3801" i="1" s="1"/>
  <c r="F3802" i="1"/>
  <c r="G3802" i="1" s="1"/>
  <c r="F3803" i="1"/>
  <c r="G3803" i="1" s="1"/>
  <c r="F3804" i="1"/>
  <c r="G3804" i="1" s="1"/>
  <c r="F3805" i="1"/>
  <c r="G3805" i="1" s="1"/>
  <c r="F3806" i="1"/>
  <c r="G3806" i="1" s="1"/>
  <c r="F3807" i="1"/>
  <c r="G3807" i="1" s="1"/>
  <c r="F3808" i="1"/>
  <c r="G3808" i="1" s="1"/>
  <c r="F3809" i="1"/>
  <c r="G3809" i="1" s="1"/>
  <c r="F3810" i="1"/>
  <c r="G3810" i="1" s="1"/>
  <c r="F3811" i="1"/>
  <c r="G3811" i="1" s="1"/>
  <c r="F3812" i="1"/>
  <c r="G3812" i="1" s="1"/>
  <c r="F3813" i="1"/>
  <c r="G3813" i="1" s="1"/>
  <c r="F3814" i="1"/>
  <c r="G3814" i="1" s="1"/>
  <c r="F3815" i="1"/>
  <c r="G3815" i="1" s="1"/>
  <c r="F3816" i="1"/>
  <c r="G3816" i="1" s="1"/>
  <c r="F3817" i="1"/>
  <c r="G3817" i="1" s="1"/>
  <c r="F3818" i="1"/>
  <c r="G3818" i="1" s="1"/>
  <c r="F3819" i="1"/>
  <c r="G3819" i="1" s="1"/>
  <c r="F3820" i="1"/>
  <c r="G3820" i="1" s="1"/>
  <c r="F3821" i="1"/>
  <c r="G3821" i="1" s="1"/>
  <c r="F3822" i="1"/>
  <c r="G3822" i="1" s="1"/>
  <c r="F3823" i="1"/>
  <c r="G3823" i="1" s="1"/>
  <c r="F3824" i="1"/>
  <c r="G3824" i="1" s="1"/>
  <c r="F3825" i="1"/>
  <c r="G3825" i="1" s="1"/>
  <c r="F3826" i="1"/>
  <c r="G3826" i="1" s="1"/>
  <c r="F3827" i="1"/>
  <c r="G3827" i="1" s="1"/>
  <c r="F3828" i="1"/>
  <c r="G3828" i="1" s="1"/>
  <c r="F3829" i="1"/>
  <c r="G3829" i="1" s="1"/>
  <c r="F3830" i="1"/>
  <c r="G3830" i="1" s="1"/>
  <c r="F3831" i="1"/>
  <c r="G3831" i="1" s="1"/>
  <c r="F3832" i="1"/>
  <c r="G3832" i="1" s="1"/>
  <c r="F3833" i="1"/>
  <c r="G3833" i="1" s="1"/>
  <c r="F3834" i="1"/>
  <c r="G3834" i="1" s="1"/>
  <c r="F3835" i="1"/>
  <c r="G3835" i="1" s="1"/>
  <c r="F3836" i="1"/>
  <c r="G3836" i="1" s="1"/>
  <c r="F3837" i="1"/>
  <c r="G3837" i="1" s="1"/>
  <c r="F3838" i="1"/>
  <c r="G3838" i="1" s="1"/>
  <c r="F3839" i="1"/>
  <c r="G3839" i="1" s="1"/>
  <c r="F3840" i="1"/>
  <c r="G3840" i="1" s="1"/>
  <c r="F3841" i="1"/>
  <c r="G3841" i="1" s="1"/>
  <c r="F3842" i="1"/>
  <c r="G3842" i="1" s="1"/>
  <c r="F3843" i="1"/>
  <c r="G3843" i="1" s="1"/>
  <c r="F3844" i="1"/>
  <c r="G3844" i="1" s="1"/>
  <c r="F3845" i="1"/>
  <c r="G3845" i="1" s="1"/>
  <c r="F3846" i="1"/>
  <c r="G3846" i="1" s="1"/>
  <c r="F3847" i="1"/>
  <c r="G3847" i="1" s="1"/>
  <c r="F3848" i="1"/>
  <c r="G3848" i="1" s="1"/>
  <c r="F3849" i="1"/>
  <c r="G3849" i="1" s="1"/>
  <c r="F3850" i="1"/>
  <c r="G3850" i="1" s="1"/>
  <c r="F3851" i="1"/>
  <c r="G3851" i="1" s="1"/>
  <c r="F3852" i="1"/>
  <c r="G3852" i="1" s="1"/>
  <c r="F3853" i="1"/>
  <c r="G3853" i="1" s="1"/>
  <c r="F3854" i="1"/>
  <c r="G3854" i="1" s="1"/>
  <c r="F3855" i="1"/>
  <c r="G3855" i="1" s="1"/>
  <c r="F3856" i="1"/>
  <c r="G3856" i="1" s="1"/>
  <c r="F3857" i="1"/>
  <c r="G3857" i="1" s="1"/>
  <c r="F3858" i="1"/>
  <c r="G3858" i="1" s="1"/>
  <c r="F3859" i="1"/>
  <c r="G3859" i="1" s="1"/>
  <c r="F3860" i="1"/>
  <c r="G3860" i="1" s="1"/>
  <c r="F3861" i="1"/>
  <c r="G3861" i="1" s="1"/>
  <c r="F3862" i="1"/>
  <c r="G3862" i="1" s="1"/>
  <c r="F3863" i="1"/>
  <c r="G3863" i="1" s="1"/>
  <c r="F3864" i="1"/>
  <c r="G3864" i="1" s="1"/>
  <c r="F3865" i="1"/>
  <c r="G3865" i="1" s="1"/>
  <c r="F3866" i="1"/>
  <c r="G3866" i="1" s="1"/>
  <c r="F3867" i="1"/>
  <c r="G3867" i="1" s="1"/>
  <c r="F3868" i="1"/>
  <c r="G3868" i="1" s="1"/>
  <c r="F3869" i="1"/>
  <c r="G3869" i="1" s="1"/>
  <c r="F3870" i="1"/>
  <c r="G3870" i="1" s="1"/>
  <c r="F3871" i="1"/>
  <c r="G3871" i="1" s="1"/>
  <c r="F3872" i="1"/>
  <c r="G3872" i="1" s="1"/>
  <c r="F3873" i="1"/>
  <c r="G3873" i="1" s="1"/>
  <c r="F3874" i="1"/>
  <c r="G3874" i="1" s="1"/>
  <c r="F3875" i="1"/>
  <c r="G3875" i="1" s="1"/>
  <c r="F3876" i="1"/>
  <c r="G3876" i="1" s="1"/>
  <c r="F3877" i="1"/>
  <c r="G3877" i="1" s="1"/>
  <c r="F3878" i="1"/>
  <c r="G3878" i="1" s="1"/>
  <c r="F3879" i="1"/>
  <c r="G3879" i="1" s="1"/>
  <c r="F3880" i="1"/>
  <c r="G3880" i="1" s="1"/>
  <c r="F3881" i="1"/>
  <c r="G3881" i="1" s="1"/>
  <c r="F3882" i="1"/>
  <c r="G3882" i="1" s="1"/>
  <c r="F3883" i="1"/>
  <c r="G3883" i="1" s="1"/>
  <c r="F3884" i="1"/>
  <c r="G3884" i="1" s="1"/>
  <c r="F3885" i="1"/>
  <c r="G3885" i="1" s="1"/>
  <c r="F3886" i="1"/>
  <c r="G3886" i="1" s="1"/>
  <c r="F3887" i="1"/>
  <c r="G3887" i="1" s="1"/>
  <c r="F3888" i="1"/>
  <c r="G3888" i="1" s="1"/>
  <c r="F3889" i="1"/>
  <c r="G3889" i="1" s="1"/>
  <c r="F3890" i="1"/>
  <c r="G3890" i="1" s="1"/>
  <c r="F3891" i="1"/>
  <c r="G3891" i="1" s="1"/>
  <c r="F3892" i="1"/>
  <c r="G3892" i="1" s="1"/>
  <c r="F3893" i="1"/>
  <c r="G3893" i="1" s="1"/>
  <c r="F3894" i="1"/>
  <c r="G3894" i="1" s="1"/>
  <c r="F3895" i="1"/>
  <c r="G3895" i="1" s="1"/>
  <c r="F3896" i="1"/>
  <c r="G3896" i="1" s="1"/>
  <c r="F3897" i="1"/>
  <c r="G3897" i="1" s="1"/>
  <c r="F3898" i="1"/>
  <c r="G3898" i="1" s="1"/>
  <c r="F3899" i="1"/>
  <c r="G3899" i="1" s="1"/>
  <c r="F3900" i="1"/>
  <c r="G3900" i="1" s="1"/>
  <c r="F3901" i="1"/>
  <c r="G3901" i="1" s="1"/>
  <c r="F3902" i="1"/>
  <c r="G3902" i="1" s="1"/>
  <c r="F3903" i="1"/>
  <c r="G3903" i="1" s="1"/>
  <c r="F3904" i="1"/>
  <c r="G3904" i="1" s="1"/>
  <c r="F3905" i="1"/>
  <c r="G3905" i="1" s="1"/>
  <c r="F3906" i="1"/>
  <c r="G3906" i="1" s="1"/>
  <c r="F3907" i="1"/>
  <c r="G3907" i="1" s="1"/>
  <c r="F3908" i="1"/>
  <c r="G3908" i="1" s="1"/>
  <c r="F3909" i="1"/>
  <c r="G3909" i="1" s="1"/>
  <c r="F3910" i="1"/>
  <c r="G3910" i="1" s="1"/>
  <c r="F3911" i="1"/>
  <c r="G3911" i="1" s="1"/>
  <c r="F3912" i="1"/>
  <c r="G3912" i="1" s="1"/>
  <c r="F3913" i="1"/>
  <c r="G3913" i="1" s="1"/>
  <c r="F3914" i="1"/>
  <c r="G3914" i="1" s="1"/>
  <c r="F3915" i="1"/>
  <c r="G3915" i="1" s="1"/>
  <c r="F3916" i="1"/>
  <c r="G3916" i="1" s="1"/>
  <c r="F3917" i="1"/>
  <c r="G3917" i="1" s="1"/>
  <c r="F3918" i="1"/>
  <c r="G3918" i="1" s="1"/>
  <c r="F3919" i="1"/>
  <c r="G3919" i="1" s="1"/>
  <c r="F3920" i="1"/>
  <c r="G3920" i="1" s="1"/>
  <c r="F3921" i="1"/>
  <c r="G3921" i="1" s="1"/>
  <c r="F3922" i="1"/>
  <c r="G3922" i="1" s="1"/>
  <c r="F3923" i="1"/>
  <c r="G3923" i="1" s="1"/>
  <c r="F3924" i="1"/>
  <c r="G3924" i="1" s="1"/>
  <c r="F3925" i="1"/>
  <c r="G3925" i="1" s="1"/>
  <c r="F3926" i="1"/>
  <c r="G3926" i="1" s="1"/>
  <c r="F3927" i="1"/>
  <c r="G3927" i="1" s="1"/>
  <c r="F3928" i="1"/>
  <c r="G3928" i="1" s="1"/>
  <c r="F3929" i="1"/>
  <c r="G3929" i="1" s="1"/>
  <c r="F3930" i="1"/>
  <c r="G3930" i="1" s="1"/>
  <c r="F3931" i="1"/>
  <c r="G3931" i="1" s="1"/>
  <c r="F3932" i="1"/>
  <c r="G3932" i="1" s="1"/>
  <c r="F3933" i="1"/>
  <c r="G3933" i="1" s="1"/>
  <c r="F3934" i="1"/>
  <c r="G3934" i="1" s="1"/>
  <c r="F3935" i="1"/>
  <c r="G3935" i="1" s="1"/>
  <c r="F3936" i="1"/>
  <c r="G3936" i="1" s="1"/>
  <c r="F3937" i="1"/>
  <c r="G3937" i="1" s="1"/>
  <c r="F3938" i="1"/>
  <c r="G3938" i="1" s="1"/>
  <c r="F3939" i="1"/>
  <c r="G3939" i="1" s="1"/>
  <c r="F3940" i="1"/>
  <c r="G3940" i="1" s="1"/>
  <c r="F3941" i="1"/>
  <c r="G3941" i="1" s="1"/>
  <c r="F3942" i="1"/>
  <c r="G3942" i="1" s="1"/>
  <c r="F3943" i="1"/>
  <c r="G3943" i="1" s="1"/>
  <c r="F3944" i="1"/>
  <c r="G3944" i="1" s="1"/>
  <c r="F3945" i="1"/>
  <c r="G3945" i="1" s="1"/>
  <c r="F3946" i="1"/>
  <c r="G3946" i="1" s="1"/>
  <c r="F3947" i="1"/>
  <c r="G3947" i="1" s="1"/>
  <c r="F3948" i="1"/>
  <c r="G3948" i="1" s="1"/>
  <c r="F3949" i="1"/>
  <c r="G3949" i="1" s="1"/>
  <c r="F3950" i="1"/>
  <c r="G3950" i="1" s="1"/>
  <c r="F3951" i="1"/>
  <c r="G3951" i="1" s="1"/>
  <c r="F3952" i="1"/>
  <c r="G3952" i="1" s="1"/>
  <c r="F3953" i="1"/>
  <c r="G3953" i="1" s="1"/>
  <c r="F3954" i="1"/>
  <c r="G3954" i="1" s="1"/>
  <c r="F3955" i="1"/>
  <c r="G3955" i="1" s="1"/>
  <c r="F3956" i="1"/>
  <c r="G3956" i="1" s="1"/>
  <c r="F3957" i="1"/>
  <c r="G3957" i="1" s="1"/>
  <c r="F3958" i="1"/>
  <c r="G3958" i="1" s="1"/>
  <c r="F3959" i="1"/>
  <c r="G3959" i="1" s="1"/>
  <c r="F3960" i="1"/>
  <c r="G3960" i="1" s="1"/>
  <c r="F3961" i="1"/>
  <c r="G3961" i="1" s="1"/>
  <c r="F3962" i="1"/>
  <c r="G3962" i="1" s="1"/>
  <c r="F3963" i="1"/>
  <c r="G3963" i="1" s="1"/>
  <c r="F3964" i="1"/>
  <c r="G3964" i="1" s="1"/>
  <c r="F3965" i="1"/>
  <c r="G3965" i="1" s="1"/>
  <c r="F3966" i="1"/>
  <c r="G3966" i="1" s="1"/>
  <c r="F3967" i="1"/>
  <c r="G3967" i="1" s="1"/>
  <c r="F3968" i="1"/>
  <c r="G3968" i="1" s="1"/>
  <c r="F3969" i="1"/>
  <c r="G3969" i="1" s="1"/>
  <c r="F3970" i="1"/>
  <c r="G3970" i="1" s="1"/>
  <c r="F3971" i="1"/>
  <c r="G3971" i="1" s="1"/>
  <c r="F3972" i="1"/>
  <c r="G3972" i="1" s="1"/>
  <c r="F3973" i="1"/>
  <c r="G3973" i="1" s="1"/>
  <c r="F3974" i="1"/>
  <c r="G3974" i="1" s="1"/>
  <c r="F3975" i="1"/>
  <c r="G3975" i="1" s="1"/>
  <c r="F3976" i="1"/>
  <c r="G3976" i="1" s="1"/>
  <c r="F3977" i="1"/>
  <c r="G3977" i="1" s="1"/>
  <c r="F3978" i="1"/>
  <c r="G3978" i="1" s="1"/>
  <c r="F3979" i="1"/>
  <c r="G3979" i="1" s="1"/>
  <c r="F3980" i="1"/>
  <c r="G3980" i="1" s="1"/>
  <c r="F3981" i="1"/>
  <c r="G3981" i="1" s="1"/>
  <c r="F3982" i="1"/>
  <c r="G3982" i="1" s="1"/>
  <c r="F3983" i="1"/>
  <c r="G3983" i="1" s="1"/>
  <c r="F3984" i="1"/>
  <c r="G3984" i="1" s="1"/>
  <c r="F3985" i="1"/>
  <c r="G3985" i="1" s="1"/>
  <c r="F3986" i="1"/>
  <c r="G3986" i="1" s="1"/>
  <c r="F3987" i="1"/>
  <c r="G3987" i="1" s="1"/>
  <c r="F3988" i="1"/>
  <c r="G3988" i="1" s="1"/>
  <c r="F3989" i="1"/>
  <c r="G3989" i="1" s="1"/>
  <c r="F3990" i="1"/>
  <c r="G3990" i="1" s="1"/>
  <c r="F3991" i="1"/>
  <c r="G3991" i="1" s="1"/>
  <c r="F3992" i="1"/>
  <c r="G3992" i="1" s="1"/>
  <c r="F3993" i="1"/>
  <c r="G3993" i="1" s="1"/>
  <c r="F3994" i="1"/>
  <c r="G3994" i="1" s="1"/>
  <c r="F3995" i="1"/>
  <c r="G3995" i="1" s="1"/>
  <c r="F3996" i="1"/>
  <c r="G3996" i="1" s="1"/>
  <c r="F3997" i="1"/>
  <c r="G3997" i="1" s="1"/>
  <c r="F3998" i="1"/>
  <c r="G3998" i="1" s="1"/>
  <c r="F3999" i="1"/>
  <c r="G3999" i="1" s="1"/>
  <c r="F4000" i="1"/>
  <c r="G4000" i="1" s="1"/>
  <c r="F4001" i="1"/>
  <c r="G4001" i="1" s="1"/>
  <c r="F4002" i="1"/>
  <c r="G4002" i="1" s="1"/>
  <c r="F4003" i="1"/>
  <c r="G4003" i="1" s="1"/>
  <c r="F4004" i="1"/>
  <c r="G4004" i="1" s="1"/>
  <c r="F4005" i="1"/>
  <c r="G4005" i="1" s="1"/>
  <c r="F4006" i="1"/>
  <c r="G4006" i="1" s="1"/>
  <c r="F4007" i="1"/>
  <c r="G4007" i="1" s="1"/>
  <c r="F4008" i="1"/>
  <c r="G4008" i="1" s="1"/>
  <c r="F4009" i="1"/>
  <c r="G4009" i="1" s="1"/>
  <c r="F4010" i="1"/>
  <c r="G4010" i="1" s="1"/>
  <c r="F4011" i="1"/>
  <c r="G4011" i="1" s="1"/>
  <c r="F4012" i="1"/>
  <c r="G4012" i="1" s="1"/>
  <c r="F4013" i="1"/>
  <c r="G4013" i="1" s="1"/>
  <c r="F4014" i="1"/>
  <c r="G4014" i="1" s="1"/>
  <c r="F4015" i="1"/>
  <c r="G4015" i="1" s="1"/>
  <c r="F4016" i="1"/>
  <c r="G4016" i="1" s="1"/>
  <c r="F4017" i="1"/>
  <c r="G4017" i="1" s="1"/>
  <c r="F4018" i="1"/>
  <c r="G4018" i="1" s="1"/>
  <c r="F4019" i="1"/>
  <c r="G4019" i="1" s="1"/>
  <c r="F4020" i="1"/>
  <c r="G4020" i="1" s="1"/>
  <c r="F4021" i="1"/>
  <c r="G4021" i="1" s="1"/>
  <c r="F4022" i="1"/>
  <c r="G4022" i="1" s="1"/>
  <c r="F4023" i="1"/>
  <c r="G4023" i="1" s="1"/>
  <c r="F4024" i="1"/>
  <c r="G4024" i="1" s="1"/>
  <c r="F4025" i="1"/>
  <c r="G4025" i="1" s="1"/>
  <c r="F4026" i="1"/>
  <c r="G4026" i="1" s="1"/>
  <c r="F4027" i="1"/>
  <c r="G4027" i="1" s="1"/>
  <c r="F4028" i="1"/>
  <c r="G4028" i="1" s="1"/>
  <c r="F4029" i="1"/>
  <c r="G4029" i="1" s="1"/>
  <c r="F4030" i="1"/>
  <c r="G4030" i="1" s="1"/>
  <c r="F4031" i="1"/>
  <c r="G4031" i="1" s="1"/>
  <c r="F4032" i="1"/>
  <c r="G4032" i="1" s="1"/>
  <c r="F4033" i="1"/>
  <c r="G4033" i="1" s="1"/>
  <c r="F4034" i="1"/>
  <c r="G4034" i="1" s="1"/>
  <c r="F4035" i="1"/>
  <c r="G4035" i="1" s="1"/>
  <c r="F4036" i="1"/>
  <c r="G4036" i="1" s="1"/>
  <c r="F4037" i="1"/>
  <c r="G4037" i="1" s="1"/>
  <c r="F4038" i="1"/>
  <c r="G4038" i="1" s="1"/>
  <c r="F4039" i="1"/>
  <c r="G4039" i="1" s="1"/>
  <c r="F4040" i="1"/>
  <c r="G4040" i="1" s="1"/>
  <c r="F4041" i="1"/>
  <c r="G4041" i="1" s="1"/>
  <c r="F4042" i="1"/>
  <c r="G4042" i="1" s="1"/>
  <c r="F4043" i="1"/>
  <c r="G4043" i="1" s="1"/>
  <c r="F4044" i="1"/>
  <c r="G4044" i="1" s="1"/>
  <c r="F4045" i="1"/>
  <c r="G4045" i="1"/>
  <c r="F4046" i="1"/>
  <c r="G4046" i="1" s="1"/>
  <c r="F4047" i="1"/>
  <c r="G4047" i="1" s="1"/>
  <c r="F4048" i="1"/>
  <c r="G4048" i="1" s="1"/>
  <c r="F4049" i="1"/>
  <c r="G4049" i="1" s="1"/>
  <c r="F4050" i="1"/>
  <c r="G4050" i="1" s="1"/>
  <c r="F4051" i="1"/>
  <c r="G4051" i="1"/>
  <c r="F4052" i="1"/>
  <c r="G4052" i="1" s="1"/>
  <c r="F4053" i="1"/>
  <c r="G4053" i="1" s="1"/>
  <c r="F4054" i="1"/>
  <c r="G4054" i="1" s="1"/>
  <c r="F4055" i="1"/>
  <c r="G4055" i="1" s="1"/>
  <c r="F4056" i="1"/>
  <c r="G4056" i="1" s="1"/>
  <c r="F4057" i="1"/>
  <c r="G4057" i="1" s="1"/>
  <c r="F4058" i="1"/>
  <c r="G4058" i="1" s="1"/>
  <c r="F4059" i="1"/>
  <c r="G4059" i="1" s="1"/>
  <c r="F4060" i="1"/>
  <c r="G4060" i="1" s="1"/>
  <c r="F4061" i="1"/>
  <c r="G4061" i="1" s="1"/>
  <c r="F4062" i="1"/>
  <c r="G4062" i="1" s="1"/>
  <c r="F4063" i="1"/>
  <c r="G4063" i="1" s="1"/>
  <c r="F4064" i="1"/>
  <c r="G4064" i="1" s="1"/>
  <c r="F4065" i="1"/>
  <c r="G4065" i="1" s="1"/>
  <c r="F4066" i="1"/>
  <c r="G4066" i="1" s="1"/>
  <c r="F4067" i="1"/>
  <c r="G4067" i="1" s="1"/>
  <c r="F4068" i="1"/>
  <c r="G4068" i="1" s="1"/>
  <c r="F4069" i="1"/>
  <c r="G4069" i="1" s="1"/>
  <c r="F4070" i="1"/>
  <c r="G4070" i="1" s="1"/>
  <c r="F4071" i="1"/>
  <c r="G4071" i="1" s="1"/>
  <c r="F4072" i="1"/>
  <c r="G4072" i="1" s="1"/>
  <c r="F4073" i="1"/>
  <c r="G4073" i="1" s="1"/>
  <c r="F4074" i="1"/>
  <c r="G4074" i="1" s="1"/>
  <c r="F4075" i="1"/>
  <c r="G4075" i="1" s="1"/>
  <c r="F4076" i="1"/>
  <c r="G4076" i="1" s="1"/>
  <c r="F4077" i="1"/>
  <c r="G4077" i="1" s="1"/>
  <c r="F4078" i="1"/>
  <c r="G4078" i="1" s="1"/>
  <c r="F4079" i="1"/>
  <c r="G4079" i="1" s="1"/>
  <c r="F4080" i="1"/>
  <c r="G4080" i="1" s="1"/>
  <c r="F4081" i="1"/>
  <c r="G4081" i="1" s="1"/>
  <c r="F4082" i="1"/>
  <c r="G4082" i="1" s="1"/>
  <c r="F4083" i="1"/>
  <c r="G4083" i="1" s="1"/>
  <c r="F4084" i="1"/>
  <c r="G4084" i="1" s="1"/>
  <c r="F4085" i="1"/>
  <c r="G4085" i="1" s="1"/>
  <c r="F4086" i="1"/>
  <c r="G4086" i="1" s="1"/>
  <c r="F4087" i="1"/>
  <c r="G4087" i="1" s="1"/>
  <c r="F4088" i="1"/>
  <c r="G4088" i="1" s="1"/>
  <c r="F4089" i="1"/>
  <c r="G4089" i="1" s="1"/>
  <c r="F4090" i="1"/>
  <c r="G4090" i="1" s="1"/>
  <c r="F4091" i="1"/>
  <c r="G4091" i="1" s="1"/>
  <c r="F4092" i="1"/>
  <c r="G4092" i="1" s="1"/>
  <c r="F4093" i="1"/>
  <c r="G4093" i="1" s="1"/>
  <c r="F4094" i="1"/>
  <c r="G4094" i="1" s="1"/>
  <c r="F4095" i="1"/>
  <c r="G4095" i="1" s="1"/>
  <c r="F4096" i="1"/>
  <c r="G4096" i="1" s="1"/>
  <c r="F4097" i="1"/>
  <c r="G4097" i="1" s="1"/>
  <c r="F4098" i="1"/>
  <c r="G4098" i="1" s="1"/>
  <c r="F4099" i="1"/>
  <c r="G4099" i="1" s="1"/>
  <c r="F4100" i="1"/>
  <c r="G4100" i="1" s="1"/>
  <c r="F4101" i="1"/>
  <c r="G4101" i="1" s="1"/>
  <c r="F4102" i="1"/>
  <c r="G4102" i="1" s="1"/>
  <c r="F4103" i="1"/>
  <c r="G4103" i="1" s="1"/>
  <c r="F4104" i="1"/>
  <c r="G4104" i="1" s="1"/>
  <c r="F4105" i="1"/>
  <c r="G4105" i="1" s="1"/>
  <c r="F4106" i="1"/>
  <c r="G4106" i="1" s="1"/>
  <c r="F4107" i="1"/>
  <c r="G4107" i="1" s="1"/>
  <c r="F4108" i="1"/>
  <c r="G4108" i="1" s="1"/>
  <c r="F4109" i="1"/>
  <c r="G4109" i="1" s="1"/>
  <c r="F4110" i="1"/>
  <c r="G4110" i="1" s="1"/>
  <c r="F4111" i="1"/>
  <c r="G4111" i="1" s="1"/>
  <c r="F4112" i="1"/>
  <c r="G4112" i="1" s="1"/>
  <c r="F4113" i="1"/>
  <c r="G4113" i="1" s="1"/>
  <c r="F4114" i="1"/>
  <c r="G4114" i="1" s="1"/>
  <c r="F4115" i="1"/>
  <c r="G4115" i="1" s="1"/>
  <c r="F4116" i="1"/>
  <c r="G4116" i="1" s="1"/>
  <c r="F4117" i="1"/>
  <c r="G4117" i="1" s="1"/>
  <c r="F4118" i="1"/>
  <c r="G4118" i="1" s="1"/>
  <c r="F4119" i="1"/>
  <c r="G4119" i="1" s="1"/>
  <c r="F4120" i="1"/>
  <c r="G4120" i="1" s="1"/>
  <c r="F4121" i="1"/>
  <c r="G4121" i="1" s="1"/>
  <c r="F4122" i="1"/>
  <c r="G4122" i="1" s="1"/>
  <c r="F4123" i="1"/>
  <c r="G4123" i="1" s="1"/>
  <c r="F4124" i="1"/>
  <c r="G4124" i="1" s="1"/>
  <c r="F4125" i="1"/>
  <c r="G4125" i="1" s="1"/>
  <c r="F4126" i="1"/>
  <c r="G4126" i="1" s="1"/>
  <c r="F4127" i="1"/>
  <c r="G4127" i="1" s="1"/>
  <c r="F4128" i="1"/>
  <c r="G4128" i="1" s="1"/>
  <c r="F4129" i="1"/>
  <c r="G4129" i="1" s="1"/>
  <c r="F4130" i="1"/>
  <c r="G4130" i="1" s="1"/>
  <c r="F4131" i="1"/>
  <c r="G4131" i="1" s="1"/>
  <c r="F4132" i="1"/>
  <c r="G4132" i="1" s="1"/>
  <c r="F4133" i="1"/>
  <c r="G4133" i="1" s="1"/>
  <c r="F4134" i="1"/>
  <c r="G4134" i="1" s="1"/>
  <c r="F4135" i="1"/>
  <c r="G4135" i="1" s="1"/>
  <c r="F4136" i="1"/>
  <c r="G4136" i="1" s="1"/>
  <c r="F4137" i="1"/>
  <c r="G4137" i="1" s="1"/>
  <c r="F4138" i="1"/>
  <c r="G4138" i="1" s="1"/>
  <c r="F4139" i="1"/>
  <c r="G4139" i="1" s="1"/>
  <c r="F4140" i="1"/>
  <c r="G4140" i="1" s="1"/>
  <c r="F4141" i="1"/>
  <c r="G4141" i="1" s="1"/>
  <c r="F4142" i="1"/>
  <c r="G4142" i="1" s="1"/>
  <c r="F4143" i="1"/>
  <c r="G4143" i="1" s="1"/>
  <c r="F4144" i="1"/>
  <c r="G4144" i="1" s="1"/>
  <c r="F4145" i="1"/>
  <c r="G4145" i="1" s="1"/>
  <c r="F4146" i="1"/>
  <c r="G4146" i="1" s="1"/>
  <c r="F4147" i="1"/>
  <c r="G4147" i="1" s="1"/>
  <c r="F4148" i="1"/>
  <c r="G4148" i="1" s="1"/>
  <c r="F4149" i="1"/>
  <c r="G4149" i="1" s="1"/>
  <c r="F4150" i="1"/>
  <c r="G4150" i="1" s="1"/>
  <c r="F4151" i="1"/>
  <c r="G4151" i="1" s="1"/>
  <c r="F4152" i="1"/>
  <c r="G4152" i="1" s="1"/>
  <c r="F4153" i="1"/>
  <c r="G4153" i="1" s="1"/>
  <c r="F4154" i="1"/>
  <c r="G4154" i="1" s="1"/>
  <c r="F4155" i="1"/>
  <c r="G4155" i="1" s="1"/>
  <c r="F4156" i="1"/>
  <c r="G4156" i="1" s="1"/>
  <c r="F4157" i="1"/>
  <c r="G4157" i="1" s="1"/>
  <c r="F4158" i="1"/>
  <c r="G4158" i="1" s="1"/>
  <c r="F4159" i="1"/>
  <c r="G4159" i="1" s="1"/>
  <c r="F4160" i="1"/>
  <c r="G4160" i="1" s="1"/>
  <c r="F4161" i="1"/>
  <c r="G4161" i="1" s="1"/>
  <c r="F4162" i="1"/>
  <c r="G4162" i="1" s="1"/>
  <c r="F4163" i="1"/>
  <c r="G4163" i="1" s="1"/>
  <c r="F4164" i="1"/>
  <c r="G4164" i="1" s="1"/>
  <c r="F4165" i="1"/>
  <c r="G4165" i="1" s="1"/>
  <c r="F4166" i="1"/>
  <c r="G4166" i="1" s="1"/>
  <c r="F4167" i="1"/>
  <c r="G4167" i="1" s="1"/>
  <c r="F4168" i="1"/>
  <c r="G4168" i="1" s="1"/>
  <c r="F4169" i="1"/>
  <c r="G4169" i="1" s="1"/>
  <c r="F4170" i="1"/>
  <c r="G4170" i="1" s="1"/>
  <c r="F4171" i="1"/>
  <c r="G4171" i="1" s="1"/>
  <c r="F4172" i="1"/>
  <c r="G4172" i="1" s="1"/>
  <c r="F4173" i="1"/>
  <c r="G4173" i="1" s="1"/>
  <c r="F4174" i="1"/>
  <c r="G4174" i="1" s="1"/>
  <c r="F4175" i="1"/>
  <c r="G4175" i="1" s="1"/>
  <c r="F4176" i="1"/>
  <c r="G4176" i="1" s="1"/>
  <c r="F4177" i="1"/>
  <c r="G4177" i="1" s="1"/>
  <c r="F4178" i="1"/>
  <c r="G4178" i="1" s="1"/>
  <c r="F4179" i="1"/>
  <c r="G4179" i="1" s="1"/>
  <c r="F4180" i="1"/>
  <c r="G4180" i="1" s="1"/>
  <c r="F4181" i="1"/>
  <c r="G4181" i="1" s="1"/>
  <c r="F4182" i="1"/>
  <c r="G4182" i="1" s="1"/>
  <c r="F4183" i="1"/>
  <c r="G4183" i="1" s="1"/>
  <c r="F4184" i="1"/>
  <c r="G4184" i="1" s="1"/>
  <c r="F4185" i="1"/>
  <c r="G4185" i="1" s="1"/>
  <c r="F4186" i="1"/>
  <c r="G4186" i="1" s="1"/>
  <c r="F4187" i="1"/>
  <c r="G4187" i="1" s="1"/>
  <c r="F4188" i="1"/>
  <c r="G4188" i="1" s="1"/>
  <c r="F4189" i="1"/>
  <c r="G4189" i="1" s="1"/>
  <c r="F4190" i="1"/>
  <c r="G4190" i="1" s="1"/>
  <c r="F4191" i="1"/>
  <c r="G4191" i="1" s="1"/>
  <c r="F4192" i="1"/>
  <c r="G4192" i="1" s="1"/>
  <c r="F4193" i="1"/>
  <c r="G4193" i="1" s="1"/>
  <c r="F4194" i="1"/>
  <c r="G4194" i="1" s="1"/>
  <c r="F4195" i="1"/>
  <c r="G4195" i="1" s="1"/>
  <c r="F4196" i="1"/>
  <c r="G4196" i="1" s="1"/>
  <c r="F4197" i="1"/>
  <c r="G4197" i="1" s="1"/>
  <c r="F4198" i="1"/>
  <c r="G4198" i="1" s="1"/>
  <c r="F4199" i="1"/>
  <c r="G4199" i="1" s="1"/>
  <c r="F4200" i="1"/>
  <c r="G4200" i="1" s="1"/>
  <c r="F4201" i="1"/>
  <c r="G4201" i="1" s="1"/>
  <c r="F4202" i="1"/>
  <c r="G4202" i="1" s="1"/>
  <c r="F4203" i="1"/>
  <c r="G4203" i="1" s="1"/>
  <c r="F4204" i="1"/>
  <c r="G4204" i="1" s="1"/>
  <c r="F4205" i="1"/>
  <c r="G4205" i="1" s="1"/>
  <c r="F4206" i="1"/>
  <c r="G4206" i="1" s="1"/>
  <c r="F4207" i="1"/>
  <c r="G4207" i="1" s="1"/>
  <c r="F4208" i="1"/>
  <c r="G4208" i="1" s="1"/>
  <c r="F4209" i="1"/>
  <c r="G4209" i="1" s="1"/>
  <c r="F4210" i="1"/>
  <c r="G4210" i="1" s="1"/>
  <c r="F4211" i="1"/>
  <c r="G4211" i="1" s="1"/>
  <c r="F4212" i="1"/>
  <c r="G4212" i="1" s="1"/>
  <c r="F4213" i="1"/>
  <c r="G4213" i="1" s="1"/>
  <c r="F4214" i="1"/>
  <c r="G4214" i="1" s="1"/>
  <c r="F4215" i="1"/>
  <c r="G4215" i="1" s="1"/>
  <c r="F4216" i="1"/>
  <c r="G4216" i="1" s="1"/>
  <c r="F4217" i="1"/>
  <c r="G4217" i="1" s="1"/>
  <c r="F4218" i="1"/>
  <c r="G4218" i="1" s="1"/>
  <c r="F4219" i="1"/>
  <c r="G4219" i="1" s="1"/>
  <c r="F4220" i="1"/>
  <c r="G4220" i="1" s="1"/>
  <c r="F4221" i="1"/>
  <c r="G4221" i="1" s="1"/>
  <c r="F4222" i="1"/>
  <c r="G4222" i="1" s="1"/>
  <c r="F4223" i="1"/>
  <c r="G4223" i="1" s="1"/>
  <c r="F4224" i="1"/>
  <c r="G4224" i="1" s="1"/>
  <c r="F4225" i="1"/>
  <c r="G4225" i="1" s="1"/>
  <c r="F4226" i="1"/>
  <c r="G4226" i="1" s="1"/>
  <c r="F4227" i="1"/>
  <c r="G4227" i="1" s="1"/>
  <c r="F4228" i="1"/>
  <c r="G4228" i="1" s="1"/>
  <c r="F4229" i="1"/>
  <c r="G4229" i="1" s="1"/>
  <c r="F4230" i="1"/>
  <c r="G4230" i="1" s="1"/>
  <c r="F4231" i="1"/>
  <c r="G4231" i="1" s="1"/>
  <c r="F4232" i="1"/>
  <c r="G4232" i="1" s="1"/>
  <c r="F4233" i="1"/>
  <c r="G4233" i="1"/>
  <c r="F4234" i="1"/>
  <c r="G4234" i="1" s="1"/>
  <c r="F4235" i="1"/>
  <c r="G4235" i="1" s="1"/>
  <c r="F4236" i="1"/>
  <c r="G4236" i="1" s="1"/>
  <c r="F4237" i="1"/>
  <c r="G4237" i="1" s="1"/>
  <c r="F4238" i="1"/>
  <c r="G4238" i="1" s="1"/>
  <c r="F4239" i="1"/>
  <c r="G4239" i="1" s="1"/>
  <c r="F4240" i="1"/>
  <c r="G4240" i="1" s="1"/>
  <c r="F4241" i="1"/>
  <c r="G4241" i="1" s="1"/>
  <c r="F4242" i="1"/>
  <c r="G4242" i="1" s="1"/>
  <c r="F4243" i="1"/>
  <c r="G4243" i="1" s="1"/>
  <c r="F4244" i="1"/>
  <c r="G4244" i="1" s="1"/>
  <c r="F4245" i="1"/>
  <c r="G4245" i="1" s="1"/>
  <c r="F4246" i="1"/>
  <c r="G4246" i="1" s="1"/>
  <c r="F4247" i="1"/>
  <c r="G4247" i="1" s="1"/>
  <c r="F4248" i="1"/>
  <c r="G4248" i="1" s="1"/>
  <c r="F4249" i="1"/>
  <c r="G4249" i="1" s="1"/>
  <c r="F4250" i="1"/>
  <c r="G4250" i="1" s="1"/>
  <c r="F4251" i="1"/>
  <c r="G4251" i="1" s="1"/>
  <c r="F4252" i="1"/>
  <c r="G4252" i="1" s="1"/>
  <c r="F4253" i="1"/>
  <c r="G4253" i="1" s="1"/>
  <c r="F4254" i="1"/>
  <c r="G4254" i="1" s="1"/>
  <c r="F4255" i="1"/>
  <c r="G4255" i="1" s="1"/>
  <c r="F4256" i="1"/>
  <c r="G4256" i="1" s="1"/>
  <c r="F4257" i="1"/>
  <c r="G4257" i="1" s="1"/>
  <c r="F4258" i="1"/>
  <c r="G4258" i="1" s="1"/>
  <c r="F4259" i="1"/>
  <c r="G4259" i="1" s="1"/>
  <c r="F4260" i="1"/>
  <c r="G4260" i="1" s="1"/>
  <c r="F4261" i="1"/>
  <c r="G4261" i="1" s="1"/>
  <c r="F4262" i="1"/>
  <c r="G4262" i="1" s="1"/>
  <c r="F4263" i="1"/>
  <c r="G4263" i="1" s="1"/>
  <c r="F4264" i="1"/>
  <c r="G4264" i="1" s="1"/>
  <c r="F4265" i="1"/>
  <c r="G4265" i="1" s="1"/>
  <c r="F4266" i="1"/>
  <c r="G4266" i="1" s="1"/>
  <c r="F4267" i="1"/>
  <c r="G4267" i="1" s="1"/>
  <c r="F4268" i="1"/>
  <c r="G4268" i="1" s="1"/>
  <c r="F4269" i="1"/>
  <c r="G4269" i="1" s="1"/>
  <c r="F4270" i="1"/>
  <c r="G4270" i="1" s="1"/>
  <c r="F4271" i="1"/>
  <c r="G4271" i="1" s="1"/>
  <c r="F4272" i="1"/>
  <c r="G4272" i="1" s="1"/>
  <c r="F4273" i="1"/>
  <c r="G4273" i="1" s="1"/>
  <c r="F4274" i="1"/>
  <c r="G4274" i="1" s="1"/>
  <c r="F4275" i="1"/>
  <c r="G4275" i="1" s="1"/>
  <c r="F4276" i="1"/>
  <c r="G4276" i="1" s="1"/>
  <c r="F4277" i="1"/>
  <c r="G4277" i="1" s="1"/>
  <c r="F4278" i="1"/>
  <c r="G4278" i="1" s="1"/>
  <c r="F4279" i="1"/>
  <c r="G4279" i="1" s="1"/>
  <c r="F4280" i="1"/>
  <c r="G4280" i="1" s="1"/>
  <c r="F4281" i="1"/>
  <c r="G4281" i="1" s="1"/>
  <c r="F4282" i="1"/>
  <c r="G4282" i="1" s="1"/>
  <c r="F4283" i="1"/>
  <c r="G4283" i="1" s="1"/>
  <c r="F4284" i="1"/>
  <c r="G4284" i="1" s="1"/>
  <c r="F4285" i="1"/>
  <c r="G4285" i="1" s="1"/>
  <c r="F4286" i="1"/>
  <c r="G4286" i="1" s="1"/>
  <c r="F4287" i="1"/>
  <c r="G4287" i="1" s="1"/>
  <c r="F4288" i="1"/>
  <c r="G4288" i="1" s="1"/>
  <c r="F4289" i="1"/>
  <c r="G4289" i="1" s="1"/>
  <c r="F4290" i="1"/>
  <c r="G4290" i="1" s="1"/>
  <c r="F4291" i="1"/>
  <c r="G4291" i="1" s="1"/>
  <c r="F4292" i="1"/>
  <c r="G4292" i="1" s="1"/>
  <c r="F4293" i="1"/>
  <c r="G4293" i="1" s="1"/>
  <c r="F4294" i="1"/>
  <c r="G4294" i="1" s="1"/>
  <c r="F4295" i="1"/>
  <c r="G4295" i="1" s="1"/>
  <c r="F4296" i="1"/>
  <c r="G4296" i="1" s="1"/>
  <c r="F4297" i="1"/>
  <c r="G4297" i="1" s="1"/>
  <c r="F4298" i="1"/>
  <c r="G4298" i="1" s="1"/>
  <c r="F4299" i="1"/>
  <c r="G4299" i="1" s="1"/>
  <c r="F4300" i="1"/>
  <c r="G4300" i="1" s="1"/>
  <c r="F4301" i="1"/>
  <c r="G4301" i="1" s="1"/>
  <c r="F4302" i="1"/>
  <c r="G4302" i="1" s="1"/>
  <c r="F4303" i="1"/>
  <c r="G4303" i="1" s="1"/>
  <c r="F4304" i="1"/>
  <c r="G4304" i="1" s="1"/>
  <c r="F4305" i="1"/>
  <c r="G4305" i="1" s="1"/>
  <c r="F4306" i="1"/>
  <c r="G4306" i="1" s="1"/>
  <c r="F4307" i="1"/>
  <c r="G4307" i="1" s="1"/>
  <c r="F4308" i="1"/>
  <c r="G4308" i="1" s="1"/>
  <c r="F4309" i="1"/>
  <c r="G4309" i="1" s="1"/>
  <c r="F4310" i="1"/>
  <c r="G4310" i="1" s="1"/>
  <c r="F4311" i="1"/>
  <c r="G4311" i="1" s="1"/>
  <c r="F4312" i="1"/>
  <c r="G4312" i="1" s="1"/>
  <c r="F4313" i="1"/>
  <c r="G4313" i="1" s="1"/>
  <c r="F4314" i="1"/>
  <c r="G4314" i="1" s="1"/>
  <c r="F4315" i="1"/>
  <c r="G4315" i="1" s="1"/>
  <c r="F4316" i="1"/>
  <c r="G4316" i="1" s="1"/>
  <c r="F4317" i="1"/>
  <c r="G4317" i="1" s="1"/>
  <c r="F4318" i="1"/>
  <c r="G4318" i="1" s="1"/>
  <c r="F4319" i="1"/>
  <c r="G4319" i="1" s="1"/>
  <c r="F4320" i="1"/>
  <c r="G4320" i="1" s="1"/>
  <c r="F4321" i="1"/>
  <c r="G4321" i="1" s="1"/>
  <c r="F4322" i="1"/>
  <c r="G4322" i="1" s="1"/>
  <c r="F4323" i="1"/>
  <c r="G4323" i="1" s="1"/>
  <c r="F4324" i="1"/>
  <c r="G4324" i="1" s="1"/>
  <c r="F4325" i="1"/>
  <c r="G4325" i="1" s="1"/>
  <c r="F4326" i="1"/>
  <c r="G4326" i="1" s="1"/>
  <c r="F4327" i="1"/>
  <c r="G4327" i="1" s="1"/>
  <c r="F4328" i="1"/>
  <c r="G4328" i="1" s="1"/>
  <c r="F4329" i="1"/>
  <c r="G4329" i="1" s="1"/>
  <c r="F4330" i="1"/>
  <c r="G4330" i="1" s="1"/>
  <c r="F4331" i="1"/>
  <c r="G4331" i="1" s="1"/>
  <c r="F4332" i="1"/>
  <c r="G4332" i="1" s="1"/>
  <c r="F4333" i="1"/>
  <c r="G4333" i="1" s="1"/>
  <c r="F4334" i="1"/>
  <c r="G4334" i="1" s="1"/>
  <c r="F4335" i="1"/>
  <c r="G4335" i="1" s="1"/>
  <c r="F4336" i="1"/>
  <c r="G4336" i="1" s="1"/>
  <c r="F4337" i="1"/>
  <c r="G4337" i="1" s="1"/>
  <c r="F4338" i="1"/>
  <c r="G4338" i="1" s="1"/>
  <c r="F4339" i="1"/>
  <c r="G4339" i="1" s="1"/>
  <c r="F4340" i="1"/>
  <c r="G4340" i="1" s="1"/>
  <c r="F4341" i="1"/>
  <c r="G4341" i="1" s="1"/>
  <c r="F4342" i="1"/>
  <c r="G4342" i="1" s="1"/>
  <c r="F4343" i="1"/>
  <c r="G4343" i="1" s="1"/>
  <c r="F4344" i="1"/>
  <c r="G4344" i="1" s="1"/>
  <c r="F4345" i="1"/>
  <c r="G4345" i="1" s="1"/>
  <c r="F4346" i="1"/>
  <c r="G4346" i="1" s="1"/>
  <c r="F4347" i="1"/>
  <c r="G4347" i="1" s="1"/>
  <c r="F4348" i="1"/>
  <c r="G4348" i="1" s="1"/>
  <c r="F4349" i="1"/>
  <c r="G4349" i="1" s="1"/>
  <c r="F4350" i="1"/>
  <c r="G4350" i="1" s="1"/>
  <c r="F4351" i="1"/>
  <c r="G4351" i="1" s="1"/>
  <c r="F4352" i="1"/>
  <c r="G4352" i="1" s="1"/>
  <c r="F4353" i="1"/>
  <c r="G4353" i="1" s="1"/>
  <c r="F4354" i="1"/>
  <c r="G4354" i="1" s="1"/>
  <c r="F4355" i="1"/>
  <c r="G4355" i="1" s="1"/>
  <c r="F4356" i="1"/>
  <c r="G4356" i="1" s="1"/>
  <c r="F4357" i="1"/>
  <c r="G4357" i="1" s="1"/>
  <c r="F4358" i="1"/>
  <c r="G4358" i="1" s="1"/>
  <c r="F4359" i="1"/>
  <c r="G4359" i="1" s="1"/>
  <c r="F4360" i="1"/>
  <c r="G4360" i="1" s="1"/>
  <c r="F4361" i="1"/>
  <c r="G4361" i="1" s="1"/>
  <c r="F4362" i="1"/>
  <c r="G4362" i="1" s="1"/>
  <c r="F4363" i="1"/>
  <c r="G4363" i="1" s="1"/>
  <c r="F4364" i="1"/>
  <c r="G4364" i="1" s="1"/>
  <c r="F4365" i="1"/>
  <c r="G4365" i="1" s="1"/>
  <c r="F4366" i="1"/>
  <c r="G4366" i="1" s="1"/>
  <c r="F4367" i="1"/>
  <c r="G4367" i="1" s="1"/>
  <c r="F4368" i="1"/>
  <c r="G4368" i="1" s="1"/>
  <c r="F4369" i="1"/>
  <c r="G4369" i="1" s="1"/>
  <c r="F4370" i="1"/>
  <c r="G4370" i="1" s="1"/>
  <c r="F4371" i="1"/>
  <c r="G4371" i="1" s="1"/>
  <c r="F4372" i="1"/>
  <c r="G4372" i="1" s="1"/>
  <c r="F4373" i="1"/>
  <c r="G4373" i="1" s="1"/>
  <c r="F4374" i="1"/>
  <c r="G4374" i="1" s="1"/>
  <c r="F4375" i="1"/>
  <c r="G4375" i="1" s="1"/>
  <c r="F4376" i="1"/>
  <c r="G4376" i="1" s="1"/>
  <c r="F4377" i="1"/>
  <c r="G4377" i="1" s="1"/>
  <c r="F4378" i="1"/>
  <c r="G4378" i="1" s="1"/>
  <c r="F4379" i="1"/>
  <c r="G4379" i="1" s="1"/>
  <c r="F4380" i="1"/>
  <c r="G4380" i="1" s="1"/>
  <c r="F4381" i="1"/>
  <c r="G4381" i="1" s="1"/>
  <c r="F4382" i="1"/>
  <c r="G4382" i="1" s="1"/>
  <c r="F4383" i="1"/>
  <c r="G4383" i="1" s="1"/>
  <c r="F4384" i="1"/>
  <c r="G4384" i="1" s="1"/>
  <c r="F4385" i="1"/>
  <c r="G4385" i="1" s="1"/>
  <c r="F4386" i="1"/>
  <c r="G4386" i="1" s="1"/>
  <c r="F4387" i="1"/>
  <c r="G4387" i="1" s="1"/>
  <c r="F4388" i="1"/>
  <c r="G4388" i="1" s="1"/>
  <c r="F4389" i="1"/>
  <c r="G4389" i="1" s="1"/>
  <c r="F4390" i="1"/>
  <c r="G4390" i="1" s="1"/>
  <c r="F4391" i="1"/>
  <c r="G4391" i="1" s="1"/>
  <c r="F4392" i="1"/>
  <c r="G4392" i="1" s="1"/>
  <c r="F4393" i="1"/>
  <c r="G4393" i="1" s="1"/>
  <c r="F4394" i="1"/>
  <c r="G4394" i="1" s="1"/>
  <c r="F4395" i="1"/>
  <c r="G4395" i="1" s="1"/>
  <c r="F4396" i="1"/>
  <c r="G4396" i="1" s="1"/>
  <c r="F4397" i="1"/>
  <c r="G4397" i="1" s="1"/>
  <c r="F4398" i="1"/>
  <c r="G4398" i="1" s="1"/>
  <c r="F4399" i="1"/>
  <c r="G4399" i="1" s="1"/>
  <c r="F4400" i="1"/>
  <c r="G4400" i="1" s="1"/>
  <c r="F4401" i="1"/>
  <c r="G4401" i="1" s="1"/>
  <c r="F4402" i="1"/>
  <c r="G4402" i="1" s="1"/>
  <c r="F4403" i="1"/>
  <c r="G4403" i="1" s="1"/>
  <c r="F4404" i="1"/>
  <c r="G4404" i="1" s="1"/>
  <c r="F4405" i="1"/>
  <c r="G4405" i="1" s="1"/>
  <c r="F4406" i="1"/>
  <c r="G4406" i="1" s="1"/>
  <c r="F4407" i="1"/>
  <c r="G4407" i="1" s="1"/>
  <c r="F4408" i="1"/>
  <c r="G4408" i="1" s="1"/>
  <c r="F4409" i="1"/>
  <c r="G4409" i="1" s="1"/>
  <c r="F4410" i="1"/>
  <c r="G4410" i="1" s="1"/>
  <c r="F4411" i="1"/>
  <c r="G4411" i="1" s="1"/>
  <c r="F4412" i="1"/>
  <c r="G4412" i="1" s="1"/>
  <c r="F4413" i="1"/>
  <c r="G4413" i="1" s="1"/>
  <c r="F4414" i="1"/>
  <c r="G4414" i="1" s="1"/>
  <c r="F4415" i="1"/>
  <c r="G4415" i="1" s="1"/>
  <c r="F4416" i="1"/>
  <c r="G4416" i="1" s="1"/>
  <c r="F4417" i="1"/>
  <c r="G4417" i="1" s="1"/>
  <c r="F4418" i="1"/>
  <c r="G4418" i="1" s="1"/>
  <c r="F4419" i="1"/>
  <c r="G4419" i="1" s="1"/>
  <c r="F4420" i="1"/>
  <c r="G4420" i="1" s="1"/>
  <c r="F4421" i="1"/>
  <c r="G4421" i="1" s="1"/>
  <c r="F4422" i="1"/>
  <c r="G4422" i="1" s="1"/>
  <c r="F4423" i="1"/>
  <c r="G4423" i="1" s="1"/>
  <c r="F4424" i="1"/>
  <c r="G4424" i="1" s="1"/>
  <c r="F4425" i="1"/>
  <c r="G4425" i="1" s="1"/>
  <c r="F4426" i="1"/>
  <c r="G4426" i="1" s="1"/>
  <c r="F4427" i="1"/>
  <c r="G4427" i="1" s="1"/>
  <c r="F4428" i="1"/>
  <c r="G4428" i="1" s="1"/>
  <c r="F4429" i="1"/>
  <c r="G4429" i="1" s="1"/>
  <c r="F4430" i="1"/>
  <c r="G4430" i="1" s="1"/>
  <c r="F4431" i="1"/>
  <c r="G4431" i="1" s="1"/>
  <c r="F4432" i="1"/>
  <c r="G4432" i="1" s="1"/>
  <c r="F4433" i="1"/>
  <c r="G4433" i="1" s="1"/>
  <c r="F4434" i="1"/>
  <c r="G4434" i="1" s="1"/>
  <c r="F4435" i="1"/>
  <c r="G4435" i="1" s="1"/>
  <c r="F4436" i="1"/>
  <c r="G4436" i="1" s="1"/>
  <c r="F4437" i="1"/>
  <c r="G4437" i="1" s="1"/>
  <c r="F4438" i="1"/>
  <c r="G4438" i="1" s="1"/>
  <c r="F4439" i="1"/>
  <c r="G4439" i="1" s="1"/>
  <c r="F4440" i="1"/>
  <c r="G4440" i="1" s="1"/>
  <c r="F4441" i="1"/>
  <c r="G4441" i="1" s="1"/>
  <c r="F4442" i="1"/>
  <c r="G4442" i="1" s="1"/>
  <c r="F4443" i="1"/>
  <c r="G4443" i="1" s="1"/>
  <c r="F4444" i="1"/>
  <c r="G4444" i="1" s="1"/>
  <c r="F4445" i="1"/>
  <c r="G4445" i="1" s="1"/>
  <c r="F4446" i="1"/>
  <c r="G4446" i="1" s="1"/>
  <c r="F4447" i="1"/>
  <c r="G4447" i="1" s="1"/>
  <c r="F4448" i="1"/>
  <c r="G4448" i="1" s="1"/>
  <c r="F4449" i="1"/>
  <c r="G4449" i="1" s="1"/>
  <c r="F4450" i="1"/>
  <c r="G4450" i="1" s="1"/>
  <c r="F4451" i="1"/>
  <c r="G4451" i="1" s="1"/>
  <c r="F4452" i="1"/>
  <c r="G4452" i="1" s="1"/>
  <c r="F4453" i="1"/>
  <c r="G4453" i="1" s="1"/>
  <c r="F4454" i="1"/>
  <c r="G4454" i="1" s="1"/>
  <c r="F4455" i="1"/>
  <c r="G4455" i="1" s="1"/>
  <c r="F4456" i="1"/>
  <c r="G4456" i="1" s="1"/>
  <c r="F4457" i="1"/>
  <c r="G4457" i="1" s="1"/>
  <c r="F4458" i="1"/>
  <c r="G4458" i="1" s="1"/>
  <c r="F4459" i="1"/>
  <c r="G4459" i="1" s="1"/>
  <c r="F4460" i="1"/>
  <c r="G4460" i="1" s="1"/>
  <c r="F4461" i="1"/>
  <c r="G4461" i="1" s="1"/>
  <c r="F4462" i="1"/>
  <c r="G4462" i="1" s="1"/>
  <c r="F4463" i="1"/>
  <c r="G4463" i="1" s="1"/>
  <c r="F4464" i="1"/>
  <c r="G4464" i="1" s="1"/>
  <c r="F4465" i="1"/>
  <c r="G4465" i="1" s="1"/>
  <c r="F4466" i="1"/>
  <c r="G4466" i="1" s="1"/>
  <c r="F4467" i="1"/>
  <c r="G4467" i="1" s="1"/>
  <c r="F4468" i="1"/>
  <c r="G4468" i="1" s="1"/>
  <c r="F4469" i="1"/>
  <c r="G4469" i="1" s="1"/>
  <c r="F4470" i="1"/>
  <c r="G4470" i="1" s="1"/>
  <c r="F4471" i="1"/>
  <c r="G4471" i="1" s="1"/>
  <c r="F4472" i="1"/>
  <c r="G4472" i="1" s="1"/>
  <c r="F4473" i="1"/>
  <c r="G4473" i="1" s="1"/>
  <c r="F4474" i="1"/>
  <c r="G4474" i="1" s="1"/>
  <c r="F4475" i="1"/>
  <c r="G4475" i="1" s="1"/>
  <c r="F4476" i="1"/>
  <c r="G4476" i="1" s="1"/>
  <c r="F4477" i="1"/>
  <c r="G4477" i="1" s="1"/>
  <c r="F4478" i="1"/>
  <c r="G4478" i="1" s="1"/>
  <c r="F4479" i="1"/>
  <c r="G4479" i="1" s="1"/>
  <c r="F4480" i="1"/>
  <c r="G4480" i="1" s="1"/>
  <c r="F4481" i="1"/>
  <c r="G4481" i="1" s="1"/>
  <c r="F4482" i="1"/>
  <c r="G4482" i="1" s="1"/>
  <c r="F4483" i="1"/>
  <c r="G4483" i="1" s="1"/>
  <c r="F4484" i="1"/>
  <c r="G4484" i="1" s="1"/>
  <c r="F4485" i="1"/>
  <c r="G4485" i="1" s="1"/>
  <c r="F4486" i="1"/>
  <c r="G4486" i="1" s="1"/>
  <c r="F4487" i="1"/>
  <c r="G4487" i="1" s="1"/>
  <c r="F4488" i="1"/>
  <c r="G4488" i="1" s="1"/>
  <c r="F4489" i="1"/>
  <c r="G4489" i="1" s="1"/>
  <c r="F4490" i="1"/>
  <c r="G4490" i="1" s="1"/>
  <c r="F4491" i="1"/>
  <c r="G4491" i="1" s="1"/>
  <c r="F4492" i="1"/>
  <c r="G4492" i="1" s="1"/>
  <c r="F4493" i="1"/>
  <c r="G4493" i="1" s="1"/>
  <c r="F4494" i="1"/>
  <c r="G4494" i="1" s="1"/>
  <c r="F4495" i="1"/>
  <c r="G4495" i="1" s="1"/>
  <c r="F4496" i="1"/>
  <c r="G4496" i="1" s="1"/>
  <c r="F4497" i="1"/>
  <c r="G4497" i="1" s="1"/>
  <c r="F4498" i="1"/>
  <c r="G4498" i="1" s="1"/>
  <c r="F4499" i="1"/>
  <c r="G4499" i="1" s="1"/>
  <c r="F4500" i="1"/>
  <c r="G4500" i="1" s="1"/>
  <c r="F4501" i="1"/>
  <c r="G4501" i="1" s="1"/>
  <c r="F4502" i="1"/>
  <c r="G4502" i="1" s="1"/>
  <c r="F4503" i="1"/>
  <c r="G4503" i="1" s="1"/>
  <c r="F4504" i="1"/>
  <c r="G4504" i="1" s="1"/>
  <c r="F4505" i="1"/>
  <c r="G4505" i="1" s="1"/>
  <c r="F4506" i="1"/>
  <c r="G4506" i="1" s="1"/>
  <c r="F4507" i="1"/>
  <c r="G4507" i="1" s="1"/>
  <c r="F4508" i="1"/>
  <c r="G4508" i="1" s="1"/>
  <c r="F4509" i="1"/>
  <c r="G4509" i="1" s="1"/>
  <c r="F4510" i="1"/>
  <c r="G4510" i="1" s="1"/>
  <c r="F4511" i="1"/>
  <c r="G4511" i="1" s="1"/>
  <c r="F4512" i="1"/>
  <c r="G4512" i="1" s="1"/>
  <c r="F4513" i="1"/>
  <c r="G4513" i="1" s="1"/>
  <c r="F4514" i="1"/>
  <c r="G4514" i="1" s="1"/>
  <c r="F4515" i="1"/>
  <c r="G4515" i="1" s="1"/>
  <c r="F4516" i="1"/>
  <c r="G4516" i="1" s="1"/>
  <c r="F4517" i="1"/>
  <c r="G4517" i="1" s="1"/>
  <c r="F4518" i="1"/>
  <c r="G4518" i="1" s="1"/>
  <c r="F4519" i="1"/>
  <c r="G4519" i="1" s="1"/>
  <c r="F4520" i="1"/>
  <c r="G4520" i="1" s="1"/>
  <c r="F4521" i="1"/>
  <c r="G4521" i="1" s="1"/>
  <c r="F4522" i="1"/>
  <c r="G4522" i="1" s="1"/>
  <c r="F4523" i="1"/>
  <c r="G4523" i="1" s="1"/>
  <c r="F4524" i="1"/>
  <c r="G4524" i="1" s="1"/>
  <c r="F4525" i="1"/>
  <c r="G4525" i="1" s="1"/>
  <c r="F4526" i="1"/>
  <c r="G4526" i="1" s="1"/>
  <c r="F4527" i="1"/>
  <c r="G4527" i="1" s="1"/>
  <c r="F4528" i="1"/>
  <c r="G4528" i="1" s="1"/>
  <c r="F4529" i="1"/>
  <c r="G4529" i="1" s="1"/>
  <c r="F4530" i="1"/>
  <c r="G4530" i="1" s="1"/>
  <c r="F4531" i="1"/>
  <c r="G4531" i="1" s="1"/>
  <c r="F4532" i="1"/>
  <c r="G4532" i="1" s="1"/>
  <c r="F4533" i="1"/>
  <c r="G4533" i="1" s="1"/>
  <c r="F4534" i="1"/>
  <c r="G4534" i="1" s="1"/>
  <c r="F4535" i="1"/>
  <c r="G4535" i="1" s="1"/>
  <c r="F4536" i="1"/>
  <c r="G4536" i="1" s="1"/>
  <c r="F4537" i="1"/>
  <c r="G4537" i="1" s="1"/>
  <c r="F4538" i="1"/>
  <c r="G4538" i="1" s="1"/>
  <c r="F4539" i="1"/>
  <c r="G4539" i="1" s="1"/>
  <c r="F4540" i="1"/>
  <c r="G4540" i="1" s="1"/>
  <c r="F4541" i="1"/>
  <c r="G4541" i="1" s="1"/>
  <c r="F4542" i="1"/>
  <c r="G4542" i="1" s="1"/>
  <c r="F4543" i="1"/>
  <c r="G4543" i="1" s="1"/>
  <c r="F4544" i="1"/>
  <c r="G4544" i="1" s="1"/>
  <c r="F4545" i="1"/>
  <c r="G4545" i="1" s="1"/>
  <c r="F4546" i="1"/>
  <c r="G4546" i="1" s="1"/>
  <c r="F4547" i="1"/>
  <c r="G4547" i="1" s="1"/>
  <c r="F4548" i="1"/>
  <c r="G4548" i="1" s="1"/>
  <c r="F4549" i="1"/>
  <c r="G4549" i="1" s="1"/>
  <c r="F4550" i="1"/>
  <c r="G4550" i="1" s="1"/>
  <c r="F4551" i="1"/>
  <c r="G4551" i="1" s="1"/>
  <c r="F4552" i="1"/>
  <c r="G4552" i="1" s="1"/>
  <c r="F4553" i="1"/>
  <c r="G4553" i="1" s="1"/>
  <c r="F4554" i="1"/>
  <c r="G4554" i="1" s="1"/>
  <c r="F4555" i="1"/>
  <c r="G4555" i="1" s="1"/>
  <c r="F4556" i="1"/>
  <c r="G4556" i="1" s="1"/>
  <c r="F4557" i="1"/>
  <c r="G4557" i="1" s="1"/>
  <c r="F4558" i="1"/>
  <c r="G4558" i="1" s="1"/>
  <c r="F4559" i="1"/>
  <c r="G4559" i="1" s="1"/>
  <c r="F4560" i="1"/>
  <c r="G4560" i="1" s="1"/>
  <c r="F4561" i="1"/>
  <c r="G4561" i="1" s="1"/>
  <c r="F4562" i="1"/>
  <c r="G4562" i="1" s="1"/>
  <c r="F4563" i="1"/>
  <c r="G4563" i="1" s="1"/>
  <c r="F4564" i="1"/>
  <c r="G4564" i="1" s="1"/>
  <c r="F4565" i="1"/>
  <c r="G4565" i="1" s="1"/>
  <c r="F4566" i="1"/>
  <c r="G4566" i="1" s="1"/>
  <c r="F4567" i="1"/>
  <c r="G4567" i="1" s="1"/>
  <c r="F4568" i="1"/>
  <c r="G4568" i="1" s="1"/>
  <c r="F4569" i="1"/>
  <c r="G4569" i="1" s="1"/>
  <c r="F4570" i="1"/>
  <c r="G4570" i="1" s="1"/>
  <c r="F4571" i="1"/>
  <c r="G4571" i="1" s="1"/>
  <c r="F4572" i="1"/>
  <c r="G4572" i="1" s="1"/>
  <c r="F4573" i="1"/>
  <c r="G4573" i="1" s="1"/>
  <c r="F4574" i="1"/>
  <c r="G4574" i="1" s="1"/>
  <c r="F4575" i="1"/>
  <c r="G4575" i="1" s="1"/>
  <c r="F4576" i="1"/>
  <c r="G4576" i="1" s="1"/>
  <c r="F4577" i="1"/>
  <c r="G4577" i="1" s="1"/>
  <c r="F4578" i="1"/>
  <c r="G4578" i="1" s="1"/>
  <c r="F4579" i="1"/>
  <c r="G4579" i="1" s="1"/>
  <c r="F4580" i="1"/>
  <c r="G4580" i="1" s="1"/>
  <c r="F4581" i="1"/>
  <c r="G4581" i="1" s="1"/>
  <c r="F4582" i="1"/>
  <c r="G4582" i="1" s="1"/>
  <c r="F4583" i="1"/>
  <c r="G4583" i="1" s="1"/>
  <c r="F4584" i="1"/>
  <c r="G4584" i="1" s="1"/>
  <c r="F4585" i="1"/>
  <c r="G4585" i="1" s="1"/>
  <c r="F4586" i="1"/>
  <c r="G4586" i="1" s="1"/>
  <c r="F4587" i="1"/>
  <c r="G4587" i="1" s="1"/>
  <c r="F4588" i="1"/>
  <c r="G4588" i="1" s="1"/>
  <c r="F4589" i="1"/>
  <c r="G4589" i="1" s="1"/>
  <c r="F4590" i="1"/>
  <c r="G4590" i="1" s="1"/>
  <c r="F4591" i="1"/>
  <c r="G4591" i="1" s="1"/>
  <c r="F4592" i="1"/>
  <c r="G4592" i="1" s="1"/>
  <c r="F4593" i="1"/>
  <c r="G4593" i="1" s="1"/>
  <c r="F4594" i="1"/>
  <c r="G4594" i="1" s="1"/>
  <c r="F4595" i="1"/>
  <c r="G4595" i="1" s="1"/>
  <c r="F4596" i="1"/>
  <c r="G4596" i="1" s="1"/>
  <c r="F4597" i="1"/>
  <c r="G4597" i="1" s="1"/>
  <c r="F4598" i="1"/>
  <c r="G4598" i="1" s="1"/>
  <c r="F4599" i="1"/>
  <c r="G4599" i="1" s="1"/>
  <c r="F4600" i="1"/>
  <c r="G4600" i="1" s="1"/>
  <c r="F4601" i="1"/>
  <c r="G4601" i="1" s="1"/>
  <c r="F4602" i="1"/>
  <c r="G4602" i="1" s="1"/>
  <c r="F4603" i="1"/>
  <c r="G4603" i="1" s="1"/>
  <c r="F4604" i="1"/>
  <c r="G4604" i="1" s="1"/>
  <c r="F4605" i="1"/>
  <c r="G4605" i="1" s="1"/>
  <c r="F4606" i="1"/>
  <c r="G4606" i="1" s="1"/>
  <c r="F4607" i="1"/>
  <c r="G4607" i="1" s="1"/>
  <c r="F4608" i="1"/>
  <c r="G4608" i="1" s="1"/>
  <c r="F4609" i="1"/>
  <c r="G4609" i="1" s="1"/>
  <c r="F4610" i="1"/>
  <c r="G4610" i="1" s="1"/>
  <c r="F4611" i="1"/>
  <c r="G4611" i="1" s="1"/>
  <c r="F4612" i="1"/>
  <c r="G4612" i="1" s="1"/>
  <c r="F4613" i="1"/>
  <c r="G4613" i="1" s="1"/>
  <c r="F4614" i="1"/>
  <c r="G4614" i="1" s="1"/>
  <c r="F4615" i="1"/>
  <c r="G4615" i="1" s="1"/>
  <c r="F4616" i="1"/>
  <c r="G4616" i="1" s="1"/>
  <c r="F4617" i="1"/>
  <c r="G4617" i="1" s="1"/>
  <c r="F4618" i="1"/>
  <c r="G4618" i="1" s="1"/>
  <c r="F4619" i="1"/>
  <c r="G4619" i="1" s="1"/>
  <c r="F4620" i="1"/>
  <c r="G4620" i="1" s="1"/>
  <c r="F4621" i="1"/>
  <c r="G4621" i="1" s="1"/>
  <c r="F4622" i="1"/>
  <c r="G4622" i="1" s="1"/>
  <c r="F4623" i="1"/>
  <c r="G4623" i="1" s="1"/>
  <c r="F4624" i="1"/>
  <c r="G4624" i="1" s="1"/>
  <c r="F4625" i="1"/>
  <c r="G4625" i="1" s="1"/>
  <c r="F4626" i="1"/>
  <c r="G4626" i="1" s="1"/>
  <c r="F4627" i="1"/>
  <c r="G4627" i="1" s="1"/>
  <c r="F4628" i="1"/>
  <c r="G4628" i="1" s="1"/>
  <c r="F4629" i="1"/>
  <c r="G4629" i="1" s="1"/>
  <c r="F4630" i="1"/>
  <c r="G4630" i="1" s="1"/>
  <c r="F4631" i="1"/>
  <c r="G4631" i="1" s="1"/>
  <c r="F4632" i="1"/>
  <c r="G4632" i="1" s="1"/>
  <c r="F4633" i="1"/>
  <c r="G4633" i="1" s="1"/>
  <c r="F4634" i="1"/>
  <c r="G4634" i="1" s="1"/>
  <c r="F4635" i="1"/>
  <c r="G4635" i="1" s="1"/>
  <c r="F4636" i="1"/>
  <c r="G4636" i="1" s="1"/>
  <c r="F4637" i="1"/>
  <c r="G4637" i="1" s="1"/>
  <c r="F4638" i="1"/>
  <c r="G4638" i="1" s="1"/>
  <c r="F4639" i="1"/>
  <c r="G4639" i="1" s="1"/>
  <c r="F4640" i="1"/>
  <c r="G4640" i="1" s="1"/>
  <c r="F4641" i="1"/>
  <c r="G4641" i="1" s="1"/>
  <c r="F4642" i="1"/>
  <c r="G4642" i="1" s="1"/>
  <c r="F4643" i="1"/>
  <c r="G4643" i="1" s="1"/>
  <c r="F4644" i="1"/>
  <c r="G4644" i="1" s="1"/>
  <c r="F4645" i="1"/>
  <c r="G4645" i="1" s="1"/>
  <c r="F4646" i="1"/>
  <c r="G4646" i="1" s="1"/>
  <c r="F4647" i="1"/>
  <c r="G4647" i="1" s="1"/>
  <c r="F4648" i="1"/>
  <c r="G4648" i="1" s="1"/>
  <c r="F4649" i="1"/>
  <c r="G4649" i="1" s="1"/>
  <c r="F4650" i="1"/>
  <c r="G4650" i="1" s="1"/>
  <c r="F4651" i="1"/>
  <c r="G4651" i="1" s="1"/>
  <c r="F4652" i="1"/>
  <c r="G4652" i="1" s="1"/>
  <c r="F4653" i="1"/>
  <c r="G4653" i="1" s="1"/>
  <c r="F4654" i="1"/>
  <c r="G4654" i="1" s="1"/>
  <c r="F4655" i="1"/>
  <c r="G4655" i="1" s="1"/>
  <c r="F4656" i="1"/>
  <c r="G4656" i="1" s="1"/>
  <c r="F4657" i="1"/>
  <c r="G4657" i="1" s="1"/>
  <c r="F4658" i="1"/>
  <c r="G4658" i="1" s="1"/>
  <c r="F4659" i="1"/>
  <c r="G4659" i="1" s="1"/>
  <c r="F4660" i="1"/>
  <c r="G4660" i="1" s="1"/>
  <c r="F4661" i="1"/>
  <c r="G4661" i="1" s="1"/>
  <c r="F4662" i="1"/>
  <c r="G4662" i="1" s="1"/>
  <c r="F4663" i="1"/>
  <c r="G4663" i="1" s="1"/>
  <c r="F4664" i="1"/>
  <c r="G4664" i="1" s="1"/>
  <c r="F4665" i="1"/>
  <c r="G4665" i="1" s="1"/>
  <c r="F4666" i="1"/>
  <c r="G4666" i="1" s="1"/>
  <c r="F4667" i="1"/>
  <c r="G4667" i="1" s="1"/>
  <c r="F4668" i="1"/>
  <c r="G4668" i="1" s="1"/>
  <c r="F4669" i="1"/>
  <c r="G4669" i="1" s="1"/>
  <c r="F4670" i="1"/>
  <c r="G4670" i="1" s="1"/>
  <c r="F4671" i="1"/>
  <c r="G4671" i="1" s="1"/>
  <c r="F4672" i="1"/>
  <c r="G4672" i="1" s="1"/>
  <c r="F4673" i="1"/>
  <c r="G4673" i="1" s="1"/>
  <c r="F4674" i="1"/>
  <c r="G4674" i="1" s="1"/>
  <c r="F4675" i="1"/>
  <c r="G4675" i="1" s="1"/>
  <c r="F4676" i="1"/>
  <c r="G4676" i="1" s="1"/>
  <c r="F4677" i="1"/>
  <c r="G4677" i="1" s="1"/>
  <c r="F4678" i="1"/>
  <c r="G4678" i="1" s="1"/>
  <c r="F4679" i="1"/>
  <c r="G4679" i="1" s="1"/>
  <c r="F4680" i="1"/>
  <c r="G4680" i="1" s="1"/>
  <c r="F4681" i="1"/>
  <c r="G4681" i="1" s="1"/>
  <c r="F4682" i="1"/>
  <c r="G4682" i="1" s="1"/>
  <c r="F4683" i="1"/>
  <c r="G4683" i="1" s="1"/>
  <c r="F4684" i="1"/>
  <c r="G4684" i="1" s="1"/>
  <c r="F4685" i="1"/>
  <c r="G4685" i="1" s="1"/>
  <c r="F4686" i="1"/>
  <c r="G4686" i="1" s="1"/>
  <c r="F4687" i="1"/>
  <c r="G4687" i="1" s="1"/>
  <c r="F4688" i="1"/>
  <c r="G4688" i="1" s="1"/>
  <c r="F4689" i="1"/>
  <c r="G4689" i="1" s="1"/>
  <c r="F4690" i="1"/>
  <c r="G4690" i="1" s="1"/>
  <c r="F4691" i="1"/>
  <c r="G4691" i="1" s="1"/>
  <c r="F4692" i="1"/>
  <c r="G4692" i="1" s="1"/>
  <c r="F4693" i="1"/>
  <c r="G4693" i="1" s="1"/>
  <c r="F4694" i="1"/>
  <c r="G4694" i="1" s="1"/>
  <c r="F4695" i="1"/>
  <c r="G4695" i="1" s="1"/>
  <c r="F4696" i="1"/>
  <c r="G4696" i="1" s="1"/>
  <c r="F4697" i="1"/>
  <c r="G4697" i="1" s="1"/>
  <c r="F4698" i="1"/>
  <c r="G4698" i="1" s="1"/>
  <c r="F4699" i="1"/>
  <c r="G4699" i="1" s="1"/>
  <c r="F4700" i="1"/>
  <c r="G4700" i="1" s="1"/>
  <c r="F4701" i="1"/>
  <c r="G4701" i="1" s="1"/>
  <c r="F4702" i="1"/>
  <c r="G4702" i="1" s="1"/>
  <c r="F4703" i="1"/>
  <c r="G4703" i="1" s="1"/>
  <c r="F4704" i="1"/>
  <c r="G4704" i="1" s="1"/>
  <c r="F4705" i="1"/>
  <c r="G4705" i="1" s="1"/>
  <c r="F4706" i="1"/>
  <c r="G4706" i="1" s="1"/>
  <c r="F4707" i="1"/>
  <c r="G4707" i="1" s="1"/>
  <c r="F4708" i="1"/>
  <c r="G4708" i="1" s="1"/>
  <c r="F4709" i="1"/>
  <c r="G4709" i="1" s="1"/>
  <c r="F4710" i="1"/>
  <c r="G4710" i="1" s="1"/>
  <c r="F4711" i="1"/>
  <c r="G4711" i="1" s="1"/>
  <c r="F4712" i="1"/>
  <c r="G4712" i="1" s="1"/>
  <c r="F4713" i="1"/>
  <c r="G4713" i="1" s="1"/>
  <c r="F4714" i="1"/>
  <c r="G4714" i="1" s="1"/>
  <c r="F4715" i="1"/>
  <c r="G4715" i="1" s="1"/>
  <c r="F4716" i="1"/>
  <c r="G4716" i="1" s="1"/>
  <c r="F4717" i="1"/>
  <c r="G4717" i="1" s="1"/>
  <c r="F4718" i="1"/>
  <c r="G4718" i="1" s="1"/>
  <c r="F4719" i="1"/>
  <c r="G4719" i="1" s="1"/>
  <c r="F4720" i="1"/>
  <c r="G4720" i="1" s="1"/>
  <c r="F4721" i="1"/>
  <c r="G4721" i="1" s="1"/>
  <c r="F4722" i="1"/>
  <c r="G4722" i="1" s="1"/>
  <c r="F4723" i="1"/>
  <c r="G4723" i="1"/>
  <c r="F4724" i="1"/>
  <c r="G4724" i="1" s="1"/>
  <c r="F4725" i="1"/>
  <c r="G4725" i="1" s="1"/>
  <c r="F4726" i="1"/>
  <c r="G4726" i="1" s="1"/>
  <c r="F4727" i="1"/>
  <c r="G4727" i="1" s="1"/>
  <c r="F4728" i="1"/>
  <c r="G4728" i="1" s="1"/>
  <c r="F4729" i="1"/>
  <c r="G4729" i="1" s="1"/>
  <c r="F4730" i="1"/>
  <c r="G4730" i="1" s="1"/>
  <c r="F4731" i="1"/>
  <c r="G4731" i="1" s="1"/>
  <c r="F4732" i="1"/>
  <c r="G4732" i="1" s="1"/>
  <c r="F4733" i="1"/>
  <c r="G4733" i="1" s="1"/>
  <c r="F4734" i="1"/>
  <c r="G4734" i="1" s="1"/>
  <c r="F4735" i="1"/>
  <c r="G4735" i="1" s="1"/>
  <c r="F4736" i="1"/>
  <c r="G4736" i="1" s="1"/>
  <c r="F4737" i="1"/>
  <c r="G4737" i="1" s="1"/>
  <c r="F4738" i="1"/>
  <c r="G4738" i="1" s="1"/>
  <c r="F4739" i="1"/>
  <c r="G4739" i="1" s="1"/>
  <c r="F4740" i="1"/>
  <c r="G4740" i="1" s="1"/>
  <c r="F4741" i="1"/>
  <c r="G4741" i="1" s="1"/>
  <c r="F4742" i="1"/>
  <c r="G4742" i="1" s="1"/>
  <c r="F4743" i="1"/>
  <c r="G4743" i="1" s="1"/>
  <c r="F4744" i="1"/>
  <c r="G4744" i="1" s="1"/>
  <c r="F4745" i="1"/>
  <c r="G4745" i="1" s="1"/>
  <c r="F4746" i="1"/>
  <c r="G4746" i="1" s="1"/>
  <c r="F4747" i="1"/>
  <c r="G4747" i="1" s="1"/>
  <c r="F4748" i="1"/>
  <c r="G4748" i="1" s="1"/>
  <c r="F4749" i="1"/>
  <c r="G4749" i="1" s="1"/>
  <c r="F4750" i="1"/>
  <c r="G4750" i="1" s="1"/>
  <c r="F4751" i="1"/>
  <c r="G4751" i="1" s="1"/>
  <c r="F4752" i="1"/>
  <c r="G4752" i="1" s="1"/>
  <c r="F4753" i="1"/>
  <c r="G4753" i="1" s="1"/>
  <c r="F4754" i="1"/>
  <c r="G4754" i="1" s="1"/>
  <c r="F4755" i="1"/>
  <c r="G4755" i="1" s="1"/>
  <c r="F4756" i="1"/>
  <c r="G4756" i="1" s="1"/>
  <c r="F4757" i="1"/>
  <c r="G4757" i="1" s="1"/>
  <c r="F4758" i="1"/>
  <c r="G4758" i="1" s="1"/>
  <c r="F4759" i="1"/>
  <c r="G4759" i="1" s="1"/>
  <c r="F4760" i="1"/>
  <c r="G4760" i="1" s="1"/>
  <c r="F4761" i="1"/>
  <c r="G4761" i="1" s="1"/>
  <c r="F4762" i="1"/>
  <c r="G4762" i="1" s="1"/>
  <c r="F4763" i="1"/>
  <c r="G4763" i="1" s="1"/>
  <c r="F4764" i="1"/>
  <c r="G4764" i="1" s="1"/>
  <c r="F4765" i="1"/>
  <c r="G4765" i="1" s="1"/>
  <c r="F4766" i="1"/>
  <c r="G4766" i="1" s="1"/>
  <c r="F4767" i="1"/>
  <c r="G4767" i="1" s="1"/>
  <c r="F4768" i="1"/>
  <c r="G4768" i="1" s="1"/>
  <c r="F4769" i="1"/>
  <c r="G4769" i="1" s="1"/>
  <c r="F4770" i="1"/>
  <c r="G4770" i="1" s="1"/>
  <c r="F4771" i="1"/>
  <c r="G4771" i="1" s="1"/>
  <c r="F4772" i="1"/>
  <c r="G4772" i="1" s="1"/>
  <c r="F4773" i="1"/>
  <c r="G4773" i="1" s="1"/>
  <c r="F4774" i="1"/>
  <c r="G4774" i="1" s="1"/>
  <c r="F4775" i="1"/>
  <c r="G4775" i="1" s="1"/>
  <c r="F4776" i="1"/>
  <c r="G4776" i="1" s="1"/>
  <c r="F4777" i="1"/>
  <c r="G4777" i="1" s="1"/>
  <c r="F4778" i="1"/>
  <c r="G4778" i="1" s="1"/>
  <c r="F4779" i="1"/>
  <c r="G4779" i="1" s="1"/>
  <c r="F4780" i="1"/>
  <c r="G4780" i="1" s="1"/>
  <c r="F4781" i="1"/>
  <c r="G4781" i="1" s="1"/>
  <c r="F4782" i="1"/>
  <c r="G4782" i="1" s="1"/>
  <c r="F4783" i="1"/>
  <c r="G4783" i="1" s="1"/>
  <c r="F4784" i="1"/>
  <c r="G4784" i="1" s="1"/>
  <c r="F4785" i="1"/>
  <c r="G4785" i="1" s="1"/>
  <c r="F4786" i="1"/>
  <c r="G4786" i="1" s="1"/>
  <c r="F4787" i="1"/>
  <c r="G4787" i="1" s="1"/>
  <c r="F4788" i="1"/>
  <c r="G4788" i="1" s="1"/>
  <c r="F4789" i="1"/>
  <c r="G4789" i="1" s="1"/>
  <c r="F4790" i="1"/>
  <c r="G4790" i="1" s="1"/>
  <c r="F4791" i="1"/>
  <c r="G4791" i="1" s="1"/>
  <c r="F4792" i="1"/>
  <c r="G4792" i="1" s="1"/>
  <c r="F4793" i="1"/>
  <c r="G4793" i="1" s="1"/>
  <c r="F4794" i="1"/>
  <c r="G4794" i="1" s="1"/>
  <c r="F4795" i="1"/>
  <c r="G4795" i="1" s="1"/>
  <c r="F4796" i="1"/>
  <c r="G4796" i="1" s="1"/>
  <c r="F4797" i="1"/>
  <c r="G4797" i="1" s="1"/>
  <c r="F4798" i="1"/>
  <c r="G4798" i="1" s="1"/>
  <c r="F4799" i="1"/>
  <c r="G4799" i="1" s="1"/>
  <c r="F4800" i="1"/>
  <c r="G4800" i="1" s="1"/>
  <c r="F4801" i="1"/>
  <c r="G4801" i="1" s="1"/>
  <c r="F4802" i="1"/>
  <c r="G4802" i="1" s="1"/>
  <c r="F4803" i="1"/>
  <c r="G4803" i="1" s="1"/>
  <c r="F4804" i="1"/>
  <c r="G4804" i="1" s="1"/>
  <c r="F4805" i="1"/>
  <c r="G4805" i="1" s="1"/>
  <c r="F4806" i="1"/>
  <c r="G4806" i="1" s="1"/>
  <c r="F4807" i="1"/>
  <c r="G4807" i="1" s="1"/>
  <c r="F4808" i="1"/>
  <c r="G4808" i="1" s="1"/>
  <c r="F4809" i="1"/>
  <c r="G4809" i="1" s="1"/>
  <c r="F4810" i="1"/>
  <c r="G4810" i="1" s="1"/>
  <c r="F4811" i="1"/>
  <c r="G4811" i="1" s="1"/>
  <c r="F4812" i="1"/>
  <c r="G4812" i="1" s="1"/>
  <c r="F4813" i="1"/>
  <c r="G4813" i="1" s="1"/>
  <c r="F4814" i="1"/>
  <c r="G4814" i="1" s="1"/>
  <c r="F4815" i="1"/>
  <c r="G4815" i="1" s="1"/>
  <c r="F4816" i="1"/>
  <c r="G4816" i="1" s="1"/>
  <c r="F4817" i="1"/>
  <c r="G4817" i="1" s="1"/>
  <c r="F4818" i="1"/>
  <c r="G4818" i="1" s="1"/>
  <c r="F4819" i="1"/>
  <c r="G4819" i="1" s="1"/>
  <c r="F4820" i="1"/>
  <c r="G4820" i="1" s="1"/>
  <c r="F4821" i="1"/>
  <c r="G4821" i="1" s="1"/>
  <c r="F4822" i="1"/>
  <c r="G4822" i="1" s="1"/>
  <c r="F4823" i="1"/>
  <c r="G4823" i="1" s="1"/>
  <c r="F4824" i="1"/>
  <c r="G4824" i="1" s="1"/>
  <c r="F4825" i="1"/>
  <c r="G4825" i="1" s="1"/>
  <c r="F4826" i="1"/>
  <c r="G4826" i="1" s="1"/>
  <c r="F4827" i="1"/>
  <c r="G4827" i="1" s="1"/>
  <c r="F4828" i="1"/>
  <c r="G4828" i="1" s="1"/>
  <c r="F4829" i="1"/>
  <c r="G4829" i="1" s="1"/>
  <c r="F4830" i="1"/>
  <c r="G4830" i="1" s="1"/>
  <c r="F4831" i="1"/>
  <c r="G4831" i="1" s="1"/>
  <c r="F4832" i="1"/>
  <c r="G4832" i="1" s="1"/>
  <c r="F4833" i="1"/>
  <c r="G4833" i="1" s="1"/>
  <c r="F4834" i="1"/>
  <c r="G4834" i="1" s="1"/>
  <c r="F4835" i="1"/>
  <c r="G4835" i="1" s="1"/>
  <c r="F4836" i="1"/>
  <c r="G4836" i="1" s="1"/>
  <c r="F4837" i="1"/>
  <c r="G4837" i="1" s="1"/>
  <c r="F4838" i="1"/>
  <c r="G4838" i="1" s="1"/>
  <c r="F4839" i="1"/>
  <c r="G4839" i="1" s="1"/>
  <c r="F4840" i="1"/>
  <c r="G4840" i="1" s="1"/>
  <c r="F4841" i="1"/>
  <c r="G4841" i="1" s="1"/>
  <c r="F4842" i="1"/>
  <c r="G4842" i="1" s="1"/>
  <c r="F4843" i="1"/>
  <c r="G4843" i="1" s="1"/>
  <c r="F4844" i="1"/>
  <c r="G4844" i="1" s="1"/>
  <c r="F4845" i="1"/>
  <c r="G4845" i="1" s="1"/>
  <c r="F4846" i="1"/>
  <c r="G4846" i="1" s="1"/>
  <c r="F4847" i="1"/>
  <c r="G4847" i="1" s="1"/>
  <c r="F4848" i="1"/>
  <c r="G4848" i="1" s="1"/>
  <c r="F4849" i="1"/>
  <c r="G4849" i="1" s="1"/>
  <c r="F4850" i="1"/>
  <c r="G4850" i="1" s="1"/>
  <c r="F4851" i="1"/>
  <c r="G4851" i="1" s="1"/>
  <c r="F4852" i="1"/>
  <c r="G4852" i="1" s="1"/>
  <c r="F4853" i="1"/>
  <c r="G4853" i="1" s="1"/>
  <c r="F4854" i="1"/>
  <c r="G4854" i="1" s="1"/>
  <c r="F4855" i="1"/>
  <c r="G4855" i="1" s="1"/>
  <c r="F4856" i="1"/>
  <c r="G4856" i="1" s="1"/>
  <c r="F4857" i="1"/>
  <c r="G4857" i="1" s="1"/>
  <c r="F4858" i="1"/>
  <c r="G4858" i="1" s="1"/>
  <c r="F4859" i="1"/>
  <c r="G4859" i="1" s="1"/>
  <c r="F4860" i="1"/>
  <c r="G4860" i="1" s="1"/>
  <c r="F4861" i="1"/>
  <c r="G4861" i="1" s="1"/>
  <c r="F4862" i="1"/>
  <c r="G4862" i="1" s="1"/>
  <c r="F4863" i="1"/>
  <c r="G4863" i="1" s="1"/>
  <c r="F4864" i="1"/>
  <c r="G4864" i="1" s="1"/>
  <c r="F4865" i="1"/>
  <c r="G4865" i="1" s="1"/>
  <c r="F4866" i="1"/>
  <c r="G4866" i="1" s="1"/>
  <c r="F4867" i="1"/>
  <c r="G4867" i="1" s="1"/>
  <c r="F4868" i="1"/>
  <c r="G4868" i="1" s="1"/>
  <c r="F4869" i="1"/>
  <c r="G4869" i="1" s="1"/>
  <c r="F4870" i="1"/>
  <c r="G4870" i="1" s="1"/>
  <c r="F4871" i="1"/>
  <c r="G4871" i="1" s="1"/>
  <c r="F4872" i="1"/>
  <c r="G4872" i="1" s="1"/>
  <c r="F4873" i="1"/>
  <c r="G4873" i="1" s="1"/>
  <c r="F4874" i="1"/>
  <c r="G4874" i="1" s="1"/>
  <c r="F4875" i="1"/>
  <c r="G4875" i="1" s="1"/>
  <c r="F4876" i="1"/>
  <c r="G4876" i="1" s="1"/>
  <c r="F4877" i="1"/>
  <c r="G4877" i="1" s="1"/>
  <c r="F4878" i="1"/>
  <c r="G4878" i="1" s="1"/>
  <c r="F4879" i="1"/>
  <c r="G4879" i="1" s="1"/>
  <c r="F4880" i="1"/>
  <c r="G4880" i="1" s="1"/>
  <c r="F4881" i="1"/>
  <c r="G4881" i="1" s="1"/>
  <c r="F4882" i="1"/>
  <c r="G4882" i="1" s="1"/>
  <c r="F4883" i="1"/>
  <c r="G4883" i="1" s="1"/>
  <c r="F4884" i="1"/>
  <c r="G4884" i="1" s="1"/>
  <c r="F4885" i="1"/>
  <c r="G4885" i="1" s="1"/>
  <c r="F4886" i="1"/>
  <c r="G4886" i="1" s="1"/>
  <c r="F4887" i="1"/>
  <c r="G4887" i="1" s="1"/>
  <c r="F4888" i="1"/>
  <c r="G4888" i="1" s="1"/>
  <c r="F4889" i="1"/>
  <c r="G4889" i="1" s="1"/>
  <c r="F4890" i="1"/>
  <c r="G4890" i="1" s="1"/>
  <c r="F4891" i="1"/>
  <c r="G4891" i="1" s="1"/>
  <c r="F4892" i="1"/>
  <c r="G4892" i="1" s="1"/>
  <c r="F4893" i="1"/>
  <c r="G4893" i="1" s="1"/>
  <c r="F4894" i="1"/>
  <c r="G4894" i="1" s="1"/>
  <c r="F4895" i="1"/>
  <c r="G4895" i="1" s="1"/>
  <c r="F4896" i="1"/>
  <c r="G4896" i="1" s="1"/>
  <c r="F4897" i="1"/>
  <c r="G4897" i="1" s="1"/>
  <c r="F4898" i="1"/>
  <c r="G4898" i="1" s="1"/>
  <c r="F4899" i="1"/>
  <c r="G4899" i="1" s="1"/>
  <c r="F4900" i="1"/>
  <c r="G4900" i="1" s="1"/>
  <c r="F4901" i="1"/>
  <c r="G4901" i="1" s="1"/>
  <c r="F4902" i="1"/>
  <c r="G4902" i="1" s="1"/>
  <c r="F4903" i="1"/>
  <c r="G4903" i="1" s="1"/>
  <c r="F4904" i="1"/>
  <c r="G4904" i="1" s="1"/>
  <c r="F4905" i="1"/>
  <c r="G4905" i="1" s="1"/>
  <c r="F4906" i="1"/>
  <c r="G4906" i="1" s="1"/>
  <c r="F4907" i="1"/>
  <c r="G4907" i="1" s="1"/>
  <c r="F4908" i="1"/>
  <c r="G4908" i="1" s="1"/>
  <c r="F4909" i="1"/>
  <c r="G4909" i="1" s="1"/>
  <c r="F4910" i="1"/>
  <c r="G4910" i="1" s="1"/>
  <c r="F4911" i="1"/>
  <c r="G4911" i="1" s="1"/>
  <c r="F4912" i="1"/>
  <c r="G4912" i="1" s="1"/>
  <c r="F4913" i="1"/>
  <c r="G4913" i="1" s="1"/>
  <c r="F4914" i="1"/>
  <c r="G4914" i="1" s="1"/>
  <c r="F4915" i="1"/>
  <c r="G4915" i="1" s="1"/>
  <c r="F4916" i="1"/>
  <c r="G4916" i="1" s="1"/>
  <c r="F4917" i="1"/>
  <c r="G4917" i="1" s="1"/>
  <c r="F4918" i="1"/>
  <c r="G4918" i="1" s="1"/>
  <c r="F4919" i="1"/>
  <c r="G4919" i="1" s="1"/>
  <c r="F4920" i="1"/>
  <c r="G4920" i="1" s="1"/>
  <c r="F4921" i="1"/>
  <c r="G4921" i="1" s="1"/>
  <c r="F4922" i="1"/>
  <c r="G4922" i="1" s="1"/>
  <c r="F4923" i="1"/>
  <c r="G4923" i="1" s="1"/>
  <c r="F4924" i="1"/>
  <c r="G4924" i="1" s="1"/>
  <c r="F4925" i="1"/>
  <c r="G4925" i="1" s="1"/>
  <c r="F4926" i="1"/>
  <c r="G4926" i="1" s="1"/>
  <c r="F4927" i="1"/>
  <c r="G4927" i="1" s="1"/>
  <c r="F4928" i="1"/>
  <c r="G4928" i="1" s="1"/>
  <c r="F4929" i="1"/>
  <c r="G4929" i="1" s="1"/>
  <c r="F4930" i="1"/>
  <c r="G4930" i="1" s="1"/>
  <c r="F4931" i="1"/>
  <c r="G4931" i="1" s="1"/>
  <c r="F4932" i="1"/>
  <c r="G4932" i="1" s="1"/>
  <c r="F4933" i="1"/>
  <c r="G4933" i="1" s="1"/>
  <c r="F4934" i="1"/>
  <c r="G4934" i="1" s="1"/>
  <c r="F4935" i="1"/>
  <c r="G4935" i="1" s="1"/>
  <c r="F4936" i="1"/>
  <c r="G4936" i="1" s="1"/>
  <c r="F4937" i="1"/>
  <c r="G4937" i="1" s="1"/>
  <c r="F4938" i="1"/>
  <c r="G4938" i="1" s="1"/>
  <c r="F4939" i="1"/>
  <c r="G4939" i="1" s="1"/>
  <c r="F4940" i="1"/>
  <c r="G4940" i="1" s="1"/>
  <c r="F4941" i="1"/>
  <c r="G4941" i="1" s="1"/>
  <c r="F4942" i="1"/>
  <c r="G4942" i="1" s="1"/>
  <c r="F4943" i="1"/>
  <c r="G4943" i="1" s="1"/>
  <c r="F4944" i="1"/>
  <c r="G4944" i="1" s="1"/>
  <c r="F4945" i="1"/>
  <c r="G4945" i="1" s="1"/>
  <c r="F4946" i="1"/>
  <c r="G4946" i="1" s="1"/>
  <c r="F4947" i="1"/>
  <c r="G4947" i="1" s="1"/>
  <c r="F4948" i="1"/>
  <c r="G4948" i="1" s="1"/>
  <c r="F4949" i="1"/>
  <c r="G4949" i="1" s="1"/>
  <c r="F4950" i="1"/>
  <c r="G4950" i="1" s="1"/>
  <c r="F4951" i="1"/>
  <c r="G4951" i="1" s="1"/>
  <c r="F4952" i="1"/>
  <c r="G4952" i="1" s="1"/>
  <c r="F4953" i="1"/>
  <c r="G4953" i="1" s="1"/>
  <c r="F4954" i="1"/>
  <c r="G4954" i="1" s="1"/>
  <c r="F4955" i="1"/>
  <c r="G4955" i="1" s="1"/>
  <c r="F4956" i="1"/>
  <c r="G4956" i="1" s="1"/>
  <c r="F4957" i="1"/>
  <c r="G4957" i="1" s="1"/>
  <c r="F4958" i="1"/>
  <c r="G4958" i="1" s="1"/>
  <c r="F4959" i="1"/>
  <c r="G4959" i="1" s="1"/>
  <c r="F4960" i="1"/>
  <c r="G4960" i="1" s="1"/>
  <c r="F4961" i="1"/>
  <c r="G4961" i="1" s="1"/>
  <c r="F4962" i="1"/>
  <c r="G4962" i="1" s="1"/>
  <c r="F4963" i="1"/>
  <c r="G4963" i="1" s="1"/>
  <c r="F4964" i="1"/>
  <c r="G4964" i="1" s="1"/>
  <c r="F4965" i="1"/>
  <c r="G4965" i="1" s="1"/>
  <c r="F4966" i="1"/>
  <c r="G4966" i="1"/>
  <c r="F4967" i="1"/>
  <c r="G4967" i="1" s="1"/>
  <c r="F4968" i="1"/>
  <c r="G4968" i="1" s="1"/>
  <c r="F4969" i="1"/>
  <c r="G4969" i="1" s="1"/>
  <c r="F4970" i="1"/>
  <c r="G4970" i="1" s="1"/>
  <c r="F4971" i="1"/>
  <c r="G4971" i="1" s="1"/>
  <c r="F4972" i="1"/>
  <c r="G4972" i="1" s="1"/>
  <c r="F4973" i="1"/>
  <c r="G4973" i="1" s="1"/>
  <c r="F4974" i="1"/>
  <c r="G4974" i="1" s="1"/>
  <c r="F4975" i="1"/>
  <c r="G4975" i="1" s="1"/>
  <c r="F4976" i="1"/>
  <c r="G4976" i="1" s="1"/>
  <c r="F4977" i="1"/>
  <c r="G4977" i="1" s="1"/>
  <c r="F4978" i="1"/>
  <c r="G4978" i="1" s="1"/>
  <c r="F4979" i="1"/>
  <c r="G4979" i="1" s="1"/>
  <c r="F4980" i="1"/>
  <c r="G4980" i="1" s="1"/>
  <c r="F4981" i="1"/>
  <c r="G4981" i="1" s="1"/>
  <c r="F4982" i="1"/>
  <c r="G4982" i="1" s="1"/>
  <c r="F4983" i="1"/>
  <c r="G4983" i="1" s="1"/>
  <c r="F4984" i="1"/>
  <c r="G4984" i="1" s="1"/>
  <c r="F4985" i="1"/>
  <c r="G4985" i="1" s="1"/>
  <c r="F4986" i="1"/>
  <c r="G4986" i="1" s="1"/>
  <c r="F4987" i="1"/>
  <c r="G4987" i="1" s="1"/>
  <c r="F4988" i="1"/>
  <c r="G4988" i="1" s="1"/>
  <c r="F4989" i="1"/>
  <c r="G4989" i="1" s="1"/>
  <c r="F4990" i="1"/>
  <c r="G4990" i="1" s="1"/>
  <c r="F4991" i="1"/>
  <c r="G4991" i="1" s="1"/>
  <c r="F4992" i="1"/>
  <c r="G4992" i="1" s="1"/>
  <c r="F4993" i="1"/>
  <c r="G4993" i="1" s="1"/>
  <c r="F4994" i="1"/>
  <c r="G4994" i="1" s="1"/>
  <c r="F4995" i="1"/>
  <c r="G4995" i="1" s="1"/>
  <c r="F4996" i="1"/>
  <c r="G4996" i="1" s="1"/>
  <c r="F4997" i="1"/>
  <c r="G4997" i="1" s="1"/>
  <c r="F4998" i="1"/>
  <c r="G4998" i="1" s="1"/>
  <c r="F4999" i="1"/>
  <c r="G4999" i="1" s="1"/>
  <c r="F5000" i="1"/>
  <c r="G5000" i="1" s="1"/>
  <c r="F5001" i="1"/>
  <c r="G5001" i="1" s="1"/>
  <c r="F5002" i="1"/>
  <c r="G5002" i="1" s="1"/>
  <c r="F5003" i="1"/>
  <c r="G5003" i="1" s="1"/>
  <c r="F5004" i="1"/>
  <c r="G5004" i="1" s="1"/>
  <c r="F5005" i="1"/>
  <c r="G5005" i="1" s="1"/>
  <c r="F5006" i="1"/>
  <c r="G5006" i="1" s="1"/>
  <c r="F5007" i="1"/>
  <c r="G5007" i="1" s="1"/>
  <c r="F5008" i="1"/>
  <c r="G5008" i="1" s="1"/>
  <c r="F5009" i="1"/>
  <c r="G5009" i="1" s="1"/>
  <c r="F5010" i="1"/>
  <c r="G5010" i="1" s="1"/>
  <c r="F5011" i="1"/>
  <c r="G5011" i="1" s="1"/>
  <c r="F5012" i="1"/>
  <c r="G5012" i="1" s="1"/>
  <c r="F5013" i="1"/>
  <c r="G5013" i="1" s="1"/>
  <c r="F5014" i="1"/>
  <c r="G5014" i="1" s="1"/>
  <c r="F5015" i="1"/>
  <c r="G5015" i="1" s="1"/>
  <c r="F5016" i="1"/>
  <c r="G5016" i="1" s="1"/>
  <c r="F5017" i="1"/>
  <c r="G5017" i="1" s="1"/>
  <c r="F5018" i="1"/>
  <c r="G5018" i="1" s="1"/>
  <c r="F5019" i="1"/>
  <c r="G5019" i="1" s="1"/>
  <c r="F5020" i="1"/>
  <c r="G5020" i="1" s="1"/>
  <c r="F5021" i="1"/>
  <c r="G5021" i="1" s="1"/>
  <c r="F5022" i="1"/>
  <c r="G5022" i="1" s="1"/>
  <c r="F5023" i="1"/>
  <c r="G5023" i="1" s="1"/>
  <c r="F5024" i="1"/>
  <c r="G5024" i="1" s="1"/>
  <c r="F5025" i="1"/>
  <c r="G5025" i="1" s="1"/>
  <c r="F5026" i="1"/>
  <c r="G5026" i="1" s="1"/>
  <c r="F5027" i="1"/>
  <c r="G5027" i="1" s="1"/>
  <c r="F5028" i="1"/>
  <c r="G5028" i="1" s="1"/>
  <c r="F5029" i="1"/>
  <c r="G5029" i="1" s="1"/>
  <c r="F5030" i="1"/>
  <c r="G5030" i="1" s="1"/>
  <c r="F5031" i="1"/>
  <c r="G5031" i="1" s="1"/>
  <c r="F5032" i="1"/>
  <c r="G5032" i="1" s="1"/>
  <c r="F5033" i="1"/>
  <c r="G5033" i="1" s="1"/>
  <c r="F5034" i="1"/>
  <c r="G5034" i="1" s="1"/>
  <c r="F5035" i="1"/>
  <c r="G5035" i="1" s="1"/>
  <c r="F5036" i="1"/>
  <c r="G5036" i="1" s="1"/>
  <c r="F5037" i="1"/>
  <c r="G5037" i="1" s="1"/>
  <c r="F5038" i="1"/>
  <c r="G5038" i="1" s="1"/>
  <c r="F5039" i="1"/>
  <c r="G5039" i="1" s="1"/>
  <c r="F5040" i="1"/>
  <c r="G5040" i="1" s="1"/>
  <c r="F5041" i="1"/>
  <c r="G5041" i="1" s="1"/>
  <c r="F5042" i="1"/>
  <c r="G5042" i="1" s="1"/>
  <c r="F5043" i="1"/>
  <c r="G5043" i="1" s="1"/>
  <c r="F5044" i="1"/>
  <c r="G5044" i="1" s="1"/>
  <c r="F5045" i="1"/>
  <c r="G5045" i="1" s="1"/>
  <c r="F5046" i="1"/>
  <c r="G5046" i="1" s="1"/>
  <c r="F5047" i="1"/>
  <c r="G5047" i="1" s="1"/>
  <c r="F5048" i="1"/>
  <c r="G5048" i="1" s="1"/>
  <c r="F5049" i="1"/>
  <c r="G5049" i="1" s="1"/>
  <c r="F5050" i="1"/>
  <c r="G5050" i="1" s="1"/>
  <c r="F5051" i="1"/>
  <c r="G5051" i="1" s="1"/>
  <c r="F5052" i="1"/>
  <c r="G5052" i="1" s="1"/>
  <c r="F5053" i="1"/>
  <c r="G5053" i="1" s="1"/>
  <c r="F5054" i="1"/>
  <c r="G5054" i="1" s="1"/>
  <c r="F5055" i="1"/>
  <c r="G5055" i="1" s="1"/>
  <c r="F5056" i="1"/>
  <c r="G5056" i="1" s="1"/>
  <c r="F5057" i="1"/>
  <c r="G5057" i="1" s="1"/>
  <c r="F5058" i="1"/>
  <c r="G5058" i="1" s="1"/>
  <c r="F5059" i="1"/>
  <c r="G5059" i="1" s="1"/>
  <c r="F5060" i="1"/>
  <c r="G5060" i="1" s="1"/>
  <c r="F5061" i="1"/>
  <c r="G5061" i="1" s="1"/>
  <c r="F5062" i="1"/>
  <c r="G5062" i="1" s="1"/>
  <c r="F5063" i="1"/>
  <c r="G5063" i="1" s="1"/>
  <c r="F5064" i="1"/>
  <c r="G5064" i="1" s="1"/>
  <c r="F5065" i="1"/>
  <c r="G5065" i="1" s="1"/>
  <c r="F5066" i="1"/>
  <c r="G5066" i="1" s="1"/>
  <c r="F5067" i="1"/>
  <c r="G5067" i="1" s="1"/>
  <c r="F5068" i="1"/>
  <c r="G5068" i="1" s="1"/>
  <c r="F5069" i="1"/>
  <c r="G5069" i="1" s="1"/>
  <c r="F5070" i="1"/>
  <c r="G5070" i="1" s="1"/>
  <c r="F5071" i="1"/>
  <c r="G5071" i="1" s="1"/>
  <c r="F5072" i="1"/>
  <c r="G5072" i="1" s="1"/>
  <c r="F5073" i="1"/>
  <c r="G5073" i="1" s="1"/>
  <c r="F5074" i="1"/>
  <c r="G5074" i="1" s="1"/>
  <c r="F5075" i="1"/>
  <c r="G5075" i="1" s="1"/>
  <c r="F5076" i="1"/>
  <c r="G5076" i="1" s="1"/>
  <c r="F5077" i="1"/>
  <c r="G5077" i="1" s="1"/>
  <c r="F5078" i="1"/>
  <c r="G5078" i="1" s="1"/>
  <c r="F5079" i="1"/>
  <c r="G5079" i="1" s="1"/>
  <c r="F5080" i="1"/>
  <c r="G5080" i="1" s="1"/>
  <c r="F5081" i="1"/>
  <c r="G5081" i="1" s="1"/>
  <c r="F5082" i="1"/>
  <c r="G5082" i="1" s="1"/>
  <c r="F5083" i="1"/>
  <c r="G5083" i="1" s="1"/>
  <c r="F5084" i="1"/>
  <c r="G5084" i="1" s="1"/>
  <c r="F5085" i="1"/>
  <c r="G5085" i="1" s="1"/>
  <c r="F5086" i="1"/>
  <c r="G5086" i="1" s="1"/>
  <c r="F5087" i="1"/>
  <c r="G5087" i="1" s="1"/>
  <c r="F5088" i="1"/>
  <c r="G5088" i="1" s="1"/>
  <c r="F5089" i="1"/>
  <c r="G5089" i="1" s="1"/>
  <c r="F5090" i="1"/>
  <c r="G5090" i="1" s="1"/>
  <c r="F5091" i="1"/>
  <c r="G5091" i="1" s="1"/>
  <c r="F5092" i="1"/>
  <c r="G5092" i="1"/>
  <c r="F5093" i="1"/>
  <c r="G5093" i="1" s="1"/>
  <c r="F5094" i="1"/>
  <c r="G5094" i="1" s="1"/>
  <c r="F5095" i="1"/>
  <c r="G5095" i="1" s="1"/>
  <c r="F5096" i="1"/>
  <c r="G5096" i="1" s="1"/>
  <c r="F5097" i="1"/>
  <c r="G5097" i="1" s="1"/>
  <c r="F5098" i="1"/>
  <c r="G5098" i="1" s="1"/>
  <c r="F5099" i="1"/>
  <c r="G5099" i="1" s="1"/>
  <c r="F5100" i="1"/>
  <c r="G5100" i="1" s="1"/>
  <c r="F5101" i="1"/>
  <c r="G5101" i="1" s="1"/>
  <c r="F5102" i="1"/>
  <c r="G5102" i="1" s="1"/>
  <c r="F5103" i="1"/>
  <c r="G5103" i="1" s="1"/>
  <c r="F5104" i="1"/>
  <c r="G5104" i="1" s="1"/>
  <c r="F5105" i="1"/>
  <c r="G5105" i="1" s="1"/>
  <c r="F5106" i="1"/>
  <c r="G5106" i="1"/>
  <c r="F5107" i="1"/>
  <c r="G5107" i="1" s="1"/>
  <c r="F5108" i="1"/>
  <c r="G5108" i="1" s="1"/>
  <c r="F5109" i="1"/>
  <c r="G5109" i="1" s="1"/>
  <c r="F5110" i="1"/>
  <c r="G5110" i="1" s="1"/>
  <c r="F5111" i="1"/>
  <c r="G5111" i="1" s="1"/>
  <c r="F5112" i="1"/>
  <c r="G5112" i="1" s="1"/>
  <c r="F5113" i="1"/>
  <c r="G5113" i="1" s="1"/>
  <c r="F5114" i="1"/>
  <c r="G5114" i="1" s="1"/>
  <c r="F5115" i="1"/>
  <c r="G5115" i="1" s="1"/>
  <c r="F5116" i="1"/>
  <c r="G5116" i="1" s="1"/>
  <c r="F5117" i="1"/>
  <c r="G5117" i="1" s="1"/>
  <c r="F5118" i="1"/>
  <c r="G5118" i="1" s="1"/>
  <c r="F5119" i="1"/>
  <c r="G5119" i="1" s="1"/>
  <c r="F5120" i="1"/>
  <c r="G5120" i="1" s="1"/>
  <c r="F5121" i="1"/>
  <c r="G5121" i="1" s="1"/>
  <c r="F5122" i="1"/>
  <c r="G5122" i="1" s="1"/>
  <c r="F5123" i="1"/>
  <c r="G5123" i="1" s="1"/>
  <c r="F5124" i="1"/>
  <c r="G5124" i="1" s="1"/>
  <c r="F5125" i="1"/>
  <c r="G5125" i="1" s="1"/>
  <c r="F5126" i="1"/>
  <c r="G5126" i="1" s="1"/>
  <c r="F5127" i="1"/>
  <c r="G5127" i="1" s="1"/>
  <c r="F5128" i="1"/>
  <c r="G5128" i="1"/>
  <c r="F5129" i="1"/>
  <c r="G5129" i="1" s="1"/>
  <c r="F5130" i="1"/>
  <c r="G5130" i="1" s="1"/>
  <c r="F5131" i="1"/>
  <c r="G5131" i="1" s="1"/>
  <c r="F5132" i="1"/>
  <c r="G5132" i="1" s="1"/>
  <c r="F5133" i="1"/>
  <c r="G5133" i="1" s="1"/>
  <c r="F5134" i="1"/>
  <c r="G5134" i="1" s="1"/>
  <c r="F5135" i="1"/>
  <c r="G5135" i="1" s="1"/>
  <c r="F5136" i="1"/>
  <c r="G5136" i="1" s="1"/>
  <c r="F5137" i="1"/>
  <c r="G5137" i="1" s="1"/>
  <c r="F5138" i="1"/>
  <c r="G5138" i="1"/>
  <c r="F5139" i="1"/>
  <c r="G5139" i="1" s="1"/>
  <c r="F5140" i="1"/>
  <c r="G5140" i="1" s="1"/>
  <c r="F5141" i="1"/>
  <c r="G5141" i="1" s="1"/>
  <c r="F5142" i="1"/>
  <c r="G5142" i="1" s="1"/>
  <c r="F5143" i="1"/>
  <c r="G5143" i="1" s="1"/>
  <c r="F5144" i="1"/>
  <c r="G5144" i="1" s="1"/>
  <c r="F5145" i="1"/>
  <c r="G5145" i="1" s="1"/>
  <c r="F5146" i="1"/>
  <c r="G5146" i="1" s="1"/>
  <c r="F5147" i="1"/>
  <c r="G5147" i="1" s="1"/>
  <c r="F5148" i="1"/>
  <c r="G5148" i="1" s="1"/>
  <c r="F5149" i="1"/>
  <c r="G5149" i="1" s="1"/>
  <c r="F5150" i="1"/>
  <c r="G5150" i="1" s="1"/>
  <c r="F5151" i="1"/>
  <c r="G5151" i="1" s="1"/>
  <c r="F5152" i="1"/>
  <c r="G5152" i="1" s="1"/>
  <c r="F5153" i="1"/>
  <c r="G5153" i="1" s="1"/>
  <c r="F5154" i="1"/>
  <c r="G5154" i="1" s="1"/>
  <c r="F5155" i="1"/>
  <c r="G5155" i="1" s="1"/>
  <c r="F5156" i="1"/>
  <c r="G5156" i="1" s="1"/>
  <c r="F5157" i="1"/>
  <c r="G5157" i="1" s="1"/>
  <c r="F5158" i="1"/>
  <c r="G5158" i="1" s="1"/>
  <c r="F5159" i="1"/>
  <c r="G5159" i="1" s="1"/>
  <c r="F5160" i="1"/>
  <c r="G5160" i="1" s="1"/>
  <c r="F5161" i="1"/>
  <c r="G5161" i="1" s="1"/>
  <c r="F5162" i="1"/>
  <c r="G5162" i="1" s="1"/>
  <c r="F5163" i="1"/>
  <c r="G5163" i="1" s="1"/>
  <c r="F5164" i="1"/>
  <c r="G5164" i="1" s="1"/>
  <c r="F5165" i="1"/>
  <c r="G5165" i="1" s="1"/>
  <c r="F5166" i="1"/>
  <c r="G5166" i="1" s="1"/>
  <c r="F5167" i="1"/>
  <c r="G5167" i="1" s="1"/>
  <c r="F5168" i="1"/>
  <c r="G5168" i="1" s="1"/>
  <c r="F5169" i="1"/>
  <c r="G5169" i="1" s="1"/>
  <c r="F5170" i="1"/>
  <c r="G5170" i="1" s="1"/>
  <c r="F5171" i="1"/>
  <c r="G5171" i="1" s="1"/>
  <c r="F5172" i="1"/>
  <c r="G5172" i="1" s="1"/>
  <c r="F5173" i="1"/>
  <c r="G5173" i="1" s="1"/>
  <c r="F5174" i="1"/>
  <c r="G5174" i="1" s="1"/>
  <c r="F5175" i="1"/>
  <c r="G5175" i="1" s="1"/>
  <c r="F5176" i="1"/>
  <c r="G5176" i="1" s="1"/>
  <c r="F5177" i="1"/>
  <c r="G5177" i="1" s="1"/>
  <c r="F5178" i="1"/>
  <c r="G5178" i="1" s="1"/>
  <c r="F5179" i="1"/>
  <c r="G5179" i="1" s="1"/>
  <c r="F5180" i="1"/>
  <c r="G5180" i="1" s="1"/>
  <c r="F5181" i="1"/>
  <c r="G5181" i="1" s="1"/>
  <c r="F5182" i="1"/>
  <c r="G5182" i="1" s="1"/>
  <c r="F5183" i="1"/>
  <c r="G5183" i="1" s="1"/>
  <c r="F5184" i="1"/>
  <c r="G5184" i="1" s="1"/>
  <c r="F5185" i="1"/>
  <c r="G5185" i="1" s="1"/>
  <c r="F5186" i="1"/>
  <c r="G5186" i="1" s="1"/>
  <c r="F5187" i="1"/>
  <c r="G5187" i="1" s="1"/>
  <c r="F5188" i="1"/>
  <c r="G5188" i="1" s="1"/>
  <c r="F5189" i="1"/>
  <c r="G5189" i="1" s="1"/>
  <c r="F5190" i="1"/>
  <c r="G5190" i="1" s="1"/>
  <c r="F5191" i="1"/>
  <c r="G5191" i="1" s="1"/>
  <c r="F5192" i="1"/>
  <c r="G5192" i="1" s="1"/>
  <c r="F5193" i="1"/>
  <c r="G5193" i="1" s="1"/>
  <c r="F5194" i="1"/>
  <c r="G5194" i="1" s="1"/>
  <c r="F5195" i="1"/>
  <c r="G5195" i="1" s="1"/>
  <c r="F5196" i="1"/>
  <c r="G5196" i="1" s="1"/>
  <c r="F5197" i="1"/>
  <c r="G5197" i="1" s="1"/>
  <c r="F5198" i="1"/>
  <c r="G5198" i="1" s="1"/>
  <c r="F5199" i="1"/>
  <c r="G5199" i="1" s="1"/>
  <c r="F5200" i="1"/>
  <c r="G5200" i="1" s="1"/>
  <c r="F5201" i="1"/>
  <c r="G5201" i="1" s="1"/>
  <c r="F5202" i="1"/>
  <c r="G5202" i="1" s="1"/>
  <c r="F5203" i="1"/>
  <c r="G5203" i="1" s="1"/>
  <c r="F5204" i="1"/>
  <c r="G5204" i="1" s="1"/>
  <c r="F5205" i="1"/>
  <c r="G5205" i="1" s="1"/>
  <c r="F5206" i="1"/>
  <c r="G5206" i="1" s="1"/>
  <c r="F5207" i="1"/>
  <c r="G5207" i="1" s="1"/>
  <c r="F5208" i="1"/>
  <c r="G5208" i="1" s="1"/>
  <c r="F5209" i="1"/>
  <c r="G5209" i="1" s="1"/>
  <c r="F5210" i="1"/>
  <c r="G5210" i="1" s="1"/>
  <c r="F5211" i="1"/>
  <c r="G5211" i="1" s="1"/>
  <c r="F5212" i="1"/>
  <c r="G5212" i="1" s="1"/>
  <c r="F5213" i="1"/>
  <c r="G5213" i="1" s="1"/>
  <c r="F5214" i="1"/>
  <c r="G5214" i="1" s="1"/>
  <c r="F5215" i="1"/>
  <c r="G5215" i="1" s="1"/>
  <c r="F5216" i="1"/>
  <c r="G5216" i="1" s="1"/>
  <c r="F5217" i="1"/>
  <c r="G5217" i="1" s="1"/>
  <c r="F5218" i="1"/>
  <c r="G5218" i="1" s="1"/>
  <c r="F5219" i="1"/>
  <c r="G5219" i="1" s="1"/>
  <c r="F5220" i="1"/>
  <c r="G5220" i="1" s="1"/>
  <c r="F5221" i="1"/>
  <c r="G5221" i="1" s="1"/>
  <c r="F5222" i="1"/>
  <c r="G5222" i="1" s="1"/>
  <c r="F5223" i="1"/>
  <c r="G5223" i="1" s="1"/>
  <c r="F5224" i="1"/>
  <c r="G5224" i="1" s="1"/>
  <c r="F5225" i="1"/>
  <c r="G5225" i="1" s="1"/>
  <c r="F5226" i="1"/>
  <c r="G5226" i="1" s="1"/>
  <c r="F5227" i="1"/>
  <c r="G5227" i="1" s="1"/>
  <c r="F5228" i="1"/>
  <c r="G5228" i="1" s="1"/>
  <c r="F5229" i="1"/>
  <c r="G5229" i="1" s="1"/>
  <c r="F5230" i="1"/>
  <c r="G5230" i="1" s="1"/>
  <c r="F5231" i="1"/>
  <c r="G5231" i="1" s="1"/>
  <c r="F5232" i="1"/>
  <c r="G5232" i="1" s="1"/>
  <c r="F5233" i="1"/>
  <c r="G5233" i="1" s="1"/>
  <c r="F5234" i="1"/>
  <c r="G5234" i="1" s="1"/>
  <c r="F5235" i="1"/>
  <c r="G5235" i="1" s="1"/>
  <c r="F5236" i="1"/>
  <c r="G5236" i="1" s="1"/>
  <c r="F5237" i="1"/>
  <c r="G5237" i="1" s="1"/>
  <c r="F5238" i="1"/>
  <c r="G5238" i="1" s="1"/>
  <c r="F5239" i="1"/>
  <c r="G5239" i="1" s="1"/>
  <c r="F5240" i="1"/>
  <c r="G5240" i="1" s="1"/>
  <c r="F5241" i="1"/>
  <c r="G5241" i="1" s="1"/>
  <c r="F5242" i="1"/>
  <c r="G5242" i="1" s="1"/>
  <c r="F5243" i="1"/>
  <c r="G5243" i="1" s="1"/>
  <c r="F5244" i="1"/>
  <c r="G5244" i="1" s="1"/>
  <c r="F5245" i="1"/>
  <c r="G5245" i="1" s="1"/>
  <c r="F5246" i="1"/>
  <c r="G5246" i="1" s="1"/>
  <c r="F5247" i="1"/>
  <c r="G5247" i="1" s="1"/>
  <c r="F5248" i="1"/>
  <c r="G5248" i="1" s="1"/>
  <c r="F5249" i="1"/>
  <c r="G5249" i="1" s="1"/>
  <c r="F5250" i="1"/>
  <c r="G5250" i="1" s="1"/>
  <c r="F5251" i="1"/>
  <c r="G5251" i="1" s="1"/>
  <c r="F5252" i="1"/>
  <c r="G5252" i="1" s="1"/>
  <c r="F5253" i="1"/>
  <c r="G5253" i="1" s="1"/>
  <c r="F5254" i="1"/>
  <c r="G5254" i="1" s="1"/>
  <c r="F5255" i="1"/>
  <c r="G5255" i="1" s="1"/>
  <c r="F5256" i="1"/>
  <c r="G5256" i="1" s="1"/>
  <c r="F5257" i="1"/>
  <c r="G5257" i="1" s="1"/>
  <c r="F5258" i="1"/>
  <c r="G5258" i="1" s="1"/>
  <c r="F5259" i="1"/>
  <c r="G5259" i="1" s="1"/>
  <c r="F5260" i="1"/>
  <c r="G5260" i="1" s="1"/>
  <c r="F5261" i="1"/>
  <c r="G5261" i="1" s="1"/>
  <c r="F5262" i="1"/>
  <c r="G5262" i="1" s="1"/>
  <c r="F5263" i="1"/>
  <c r="G5263" i="1" s="1"/>
  <c r="F5264" i="1"/>
  <c r="G5264" i="1" s="1"/>
  <c r="F5265" i="1"/>
  <c r="G5265" i="1" s="1"/>
  <c r="F5266" i="1"/>
  <c r="G5266" i="1" s="1"/>
  <c r="F5267" i="1"/>
  <c r="G5267" i="1" s="1"/>
  <c r="F5268" i="1"/>
  <c r="G5268" i="1" s="1"/>
  <c r="F5269" i="1"/>
  <c r="G5269" i="1" s="1"/>
  <c r="F5270" i="1"/>
  <c r="G5270" i="1" s="1"/>
  <c r="F5271" i="1"/>
  <c r="G5271" i="1" s="1"/>
  <c r="F5272" i="1"/>
  <c r="G5272" i="1" s="1"/>
  <c r="F5273" i="1"/>
  <c r="G5273" i="1" s="1"/>
  <c r="F5274" i="1"/>
  <c r="G5274" i="1" s="1"/>
  <c r="F5275" i="1"/>
  <c r="G5275" i="1" s="1"/>
  <c r="F5276" i="1"/>
  <c r="G5276" i="1" s="1"/>
  <c r="F5277" i="1"/>
  <c r="G5277" i="1" s="1"/>
  <c r="F5278" i="1"/>
  <c r="G5278" i="1" s="1"/>
  <c r="F5279" i="1"/>
  <c r="G5279" i="1" s="1"/>
  <c r="F5280" i="1"/>
  <c r="G5280" i="1" s="1"/>
  <c r="F5281" i="1"/>
  <c r="G5281" i="1" s="1"/>
  <c r="F5282" i="1"/>
  <c r="G5282" i="1" s="1"/>
  <c r="F5283" i="1"/>
  <c r="G5283" i="1" s="1"/>
  <c r="F5284" i="1"/>
  <c r="G5284" i="1" s="1"/>
  <c r="F5285" i="1"/>
  <c r="G5285" i="1" s="1"/>
  <c r="F5286" i="1"/>
  <c r="G5286" i="1" s="1"/>
  <c r="F5287" i="1"/>
  <c r="G5287" i="1" s="1"/>
  <c r="F5288" i="1"/>
  <c r="G5288" i="1" s="1"/>
  <c r="F5289" i="1"/>
  <c r="G5289" i="1" s="1"/>
  <c r="F5290" i="1"/>
  <c r="G5290" i="1" s="1"/>
  <c r="F5291" i="1"/>
  <c r="G5291" i="1" s="1"/>
  <c r="F5292" i="1"/>
  <c r="G5292" i="1" s="1"/>
  <c r="F5293" i="1"/>
  <c r="G5293" i="1" s="1"/>
  <c r="F5294" i="1"/>
  <c r="G5294" i="1" s="1"/>
  <c r="F5295" i="1"/>
  <c r="G5295" i="1" s="1"/>
  <c r="F5296" i="1"/>
  <c r="G5296" i="1" s="1"/>
  <c r="F5297" i="1"/>
  <c r="G5297" i="1" s="1"/>
  <c r="F5298" i="1"/>
  <c r="G5298" i="1" s="1"/>
  <c r="F5299" i="1"/>
  <c r="G5299" i="1" s="1"/>
  <c r="F5300" i="1"/>
  <c r="G5300" i="1" s="1"/>
  <c r="F5301" i="1"/>
  <c r="G5301" i="1" s="1"/>
  <c r="F5302" i="1"/>
  <c r="G5302" i="1" s="1"/>
  <c r="F5303" i="1"/>
  <c r="G5303" i="1" s="1"/>
  <c r="F5304" i="1"/>
  <c r="G5304" i="1" s="1"/>
  <c r="F5305" i="1"/>
  <c r="G5305" i="1" s="1"/>
  <c r="F5306" i="1"/>
  <c r="G5306" i="1" s="1"/>
  <c r="F5307" i="1"/>
  <c r="G5307" i="1" s="1"/>
  <c r="F5308" i="1"/>
  <c r="G5308" i="1" s="1"/>
  <c r="F5309" i="1"/>
  <c r="G5309" i="1" s="1"/>
  <c r="F5310" i="1"/>
  <c r="G5310" i="1" s="1"/>
  <c r="F5311" i="1"/>
  <c r="G5311" i="1" s="1"/>
  <c r="F5312" i="1"/>
  <c r="G5312" i="1" s="1"/>
  <c r="F5313" i="1"/>
  <c r="G5313" i="1" s="1"/>
  <c r="F5314" i="1"/>
  <c r="G5314" i="1" s="1"/>
  <c r="F5315" i="1"/>
  <c r="G5315" i="1" s="1"/>
  <c r="F5316" i="1"/>
  <c r="G5316" i="1" s="1"/>
  <c r="F5317" i="1"/>
  <c r="G5317" i="1" s="1"/>
  <c r="F5318" i="1"/>
  <c r="G5318" i="1" s="1"/>
  <c r="F5319" i="1"/>
  <c r="G5319" i="1" s="1"/>
  <c r="F5320" i="1"/>
  <c r="G5320" i="1" s="1"/>
  <c r="F5321" i="1"/>
  <c r="G5321" i="1" s="1"/>
  <c r="F5322" i="1"/>
  <c r="G5322" i="1" s="1"/>
  <c r="F5323" i="1"/>
  <c r="G5323" i="1" s="1"/>
  <c r="F5324" i="1"/>
  <c r="G5324" i="1" s="1"/>
  <c r="F5325" i="1"/>
  <c r="G5325" i="1" s="1"/>
  <c r="F5326" i="1"/>
  <c r="G5326" i="1" s="1"/>
  <c r="F5327" i="1"/>
  <c r="G5327" i="1" s="1"/>
  <c r="F5328" i="1"/>
  <c r="G5328" i="1" s="1"/>
  <c r="F5329" i="1"/>
  <c r="G5329" i="1" s="1"/>
  <c r="F5330" i="1"/>
  <c r="G5330" i="1" s="1"/>
  <c r="F5331" i="1"/>
  <c r="G5331" i="1" s="1"/>
  <c r="F5332" i="1"/>
  <c r="G5332" i="1" s="1"/>
  <c r="F5333" i="1"/>
  <c r="G5333" i="1" s="1"/>
  <c r="F5334" i="1"/>
  <c r="G5334" i="1" s="1"/>
  <c r="F5335" i="1"/>
  <c r="G5335" i="1" s="1"/>
  <c r="F5336" i="1"/>
  <c r="G5336" i="1" s="1"/>
  <c r="F5337" i="1"/>
  <c r="G5337" i="1" s="1"/>
  <c r="F5338" i="1"/>
  <c r="G5338" i="1" s="1"/>
  <c r="F5339" i="1"/>
  <c r="G5339" i="1" s="1"/>
  <c r="F5340" i="1"/>
  <c r="G5340" i="1" s="1"/>
  <c r="F5341" i="1"/>
  <c r="G5341" i="1" s="1"/>
  <c r="F5342" i="1"/>
  <c r="G5342" i="1" s="1"/>
  <c r="F5343" i="1"/>
  <c r="G5343" i="1" s="1"/>
  <c r="F5344" i="1"/>
  <c r="G5344" i="1" s="1"/>
  <c r="F5345" i="1"/>
  <c r="G5345" i="1" s="1"/>
  <c r="F5346" i="1"/>
  <c r="G5346" i="1" s="1"/>
  <c r="F5347" i="1"/>
  <c r="G5347" i="1" s="1"/>
  <c r="F5348" i="1"/>
  <c r="G5348" i="1" s="1"/>
  <c r="F5349" i="1"/>
  <c r="G5349" i="1" s="1"/>
  <c r="F5350" i="1"/>
  <c r="G5350" i="1" s="1"/>
  <c r="F5351" i="1"/>
  <c r="G5351" i="1" s="1"/>
  <c r="F5352" i="1"/>
  <c r="G5352" i="1" s="1"/>
  <c r="F5353" i="1"/>
  <c r="G5353" i="1" s="1"/>
  <c r="F5354" i="1"/>
  <c r="G5354" i="1" s="1"/>
  <c r="F5355" i="1"/>
  <c r="G5355" i="1" s="1"/>
  <c r="F5356" i="1"/>
  <c r="G5356" i="1" s="1"/>
  <c r="F5357" i="1"/>
  <c r="G5357" i="1" s="1"/>
  <c r="F5358" i="1"/>
  <c r="G5358" i="1" s="1"/>
  <c r="F5359" i="1"/>
  <c r="G5359" i="1" s="1"/>
  <c r="F5360" i="1"/>
  <c r="G5360" i="1" s="1"/>
  <c r="F5361" i="1"/>
  <c r="G5361" i="1" s="1"/>
  <c r="F5362" i="1"/>
  <c r="G5362" i="1" s="1"/>
  <c r="F5363" i="1"/>
  <c r="G5363" i="1" s="1"/>
  <c r="F5364" i="1"/>
  <c r="G5364" i="1" s="1"/>
  <c r="F5365" i="1"/>
  <c r="G5365" i="1" s="1"/>
  <c r="F5366" i="1"/>
  <c r="G5366" i="1" s="1"/>
  <c r="F5367" i="1"/>
  <c r="G5367" i="1" s="1"/>
  <c r="F5368" i="1"/>
  <c r="G5368" i="1" s="1"/>
  <c r="F5369" i="1"/>
  <c r="G5369" i="1" s="1"/>
  <c r="F5370" i="1"/>
  <c r="G5370" i="1" s="1"/>
  <c r="F5371" i="1"/>
  <c r="G5371" i="1" s="1"/>
  <c r="F5372" i="1"/>
  <c r="G5372" i="1" s="1"/>
  <c r="F5373" i="1"/>
  <c r="G5373" i="1" s="1"/>
  <c r="F5374" i="1"/>
  <c r="G5374" i="1" s="1"/>
  <c r="F5375" i="1"/>
  <c r="G5375" i="1" s="1"/>
  <c r="F5376" i="1"/>
  <c r="G5376" i="1" s="1"/>
  <c r="F5377" i="1"/>
  <c r="G5377" i="1" s="1"/>
  <c r="F5378" i="1"/>
  <c r="G5378" i="1" s="1"/>
  <c r="F5379" i="1"/>
  <c r="G5379" i="1" s="1"/>
  <c r="F5380" i="1"/>
  <c r="G5380" i="1"/>
  <c r="F5381" i="1"/>
  <c r="G5381" i="1" s="1"/>
  <c r="F5382" i="1"/>
  <c r="G5382" i="1" s="1"/>
  <c r="F5383" i="1"/>
  <c r="G5383" i="1" s="1"/>
  <c r="F5384" i="1"/>
  <c r="G5384" i="1" s="1"/>
  <c r="F5385" i="1"/>
  <c r="G5385" i="1" s="1"/>
  <c r="F5386" i="1"/>
  <c r="G5386" i="1" s="1"/>
  <c r="F5387" i="1"/>
  <c r="G5387" i="1" s="1"/>
  <c r="F5388" i="1"/>
  <c r="G5388" i="1" s="1"/>
  <c r="F5389" i="1"/>
  <c r="G5389" i="1" s="1"/>
  <c r="F5390" i="1"/>
  <c r="G5390" i="1" s="1"/>
  <c r="F5391" i="1"/>
  <c r="G5391" i="1" s="1"/>
  <c r="F5392" i="1"/>
  <c r="G5392" i="1" s="1"/>
  <c r="F5393" i="1"/>
  <c r="G5393" i="1" s="1"/>
  <c r="F5394" i="1"/>
  <c r="G5394" i="1" s="1"/>
  <c r="F5395" i="1"/>
  <c r="G5395" i="1" s="1"/>
  <c r="F5396" i="1"/>
  <c r="G5396" i="1" s="1"/>
  <c r="F5397" i="1"/>
  <c r="G5397" i="1" s="1"/>
  <c r="F5398" i="1"/>
  <c r="G5398" i="1" s="1"/>
  <c r="F5399" i="1"/>
  <c r="G5399" i="1" s="1"/>
  <c r="F5400" i="1"/>
  <c r="G5400" i="1" s="1"/>
  <c r="F5401" i="1"/>
  <c r="G5401" i="1" s="1"/>
  <c r="F5402" i="1"/>
  <c r="G5402" i="1" s="1"/>
  <c r="F5403" i="1"/>
  <c r="G5403" i="1" s="1"/>
  <c r="F5404" i="1"/>
  <c r="G5404" i="1" s="1"/>
  <c r="F5405" i="1"/>
  <c r="G5405" i="1" s="1"/>
  <c r="F5406" i="1"/>
  <c r="G5406" i="1" s="1"/>
  <c r="F5407" i="1"/>
  <c r="G5407" i="1" s="1"/>
  <c r="F5408" i="1"/>
  <c r="G5408" i="1" s="1"/>
  <c r="F5409" i="1"/>
  <c r="G5409" i="1" s="1"/>
  <c r="F5410" i="1"/>
  <c r="G5410" i="1" s="1"/>
  <c r="F5411" i="1"/>
  <c r="G5411" i="1" s="1"/>
  <c r="F5412" i="1"/>
  <c r="G5412" i="1" s="1"/>
  <c r="F5413" i="1"/>
  <c r="G5413" i="1" s="1"/>
  <c r="F5414" i="1"/>
  <c r="G5414" i="1" s="1"/>
  <c r="F5415" i="1"/>
  <c r="G5415" i="1" s="1"/>
  <c r="F5416" i="1"/>
  <c r="G5416" i="1" s="1"/>
  <c r="F5417" i="1"/>
  <c r="G5417" i="1" s="1"/>
  <c r="F5418" i="1"/>
  <c r="G5418" i="1" s="1"/>
  <c r="F5419" i="1"/>
  <c r="G5419" i="1" s="1"/>
  <c r="F5420" i="1"/>
  <c r="G5420" i="1" s="1"/>
  <c r="F5421" i="1"/>
  <c r="G5421" i="1" s="1"/>
  <c r="F5422" i="1"/>
  <c r="G5422" i="1" s="1"/>
  <c r="F5423" i="1"/>
  <c r="G5423" i="1" s="1"/>
  <c r="F5424" i="1"/>
  <c r="G5424" i="1" s="1"/>
  <c r="F5425" i="1"/>
  <c r="G5425" i="1" s="1"/>
  <c r="F5426" i="1"/>
  <c r="G5426" i="1" s="1"/>
  <c r="F5427" i="1"/>
  <c r="G5427" i="1" s="1"/>
  <c r="F5428" i="1"/>
  <c r="G5428" i="1" s="1"/>
  <c r="F5429" i="1"/>
  <c r="G5429" i="1" s="1"/>
  <c r="F5430" i="1"/>
  <c r="G5430" i="1" s="1"/>
  <c r="F5431" i="1"/>
  <c r="G5431" i="1" s="1"/>
  <c r="F5432" i="1"/>
  <c r="G5432" i="1" s="1"/>
  <c r="F5433" i="1"/>
  <c r="G5433" i="1" s="1"/>
  <c r="F5434" i="1"/>
  <c r="G5434" i="1" s="1"/>
  <c r="F5435" i="1"/>
  <c r="G5435" i="1" s="1"/>
  <c r="F5436" i="1"/>
  <c r="G5436" i="1" s="1"/>
  <c r="F5437" i="1"/>
  <c r="G5437" i="1" s="1"/>
  <c r="F5438" i="1"/>
  <c r="G5438" i="1" s="1"/>
  <c r="F5439" i="1"/>
  <c r="G5439" i="1" s="1"/>
  <c r="F5440" i="1"/>
  <c r="G5440" i="1" s="1"/>
  <c r="F5441" i="1"/>
  <c r="G5441" i="1" s="1"/>
  <c r="F5442" i="1"/>
  <c r="G5442" i="1" s="1"/>
  <c r="F5443" i="1"/>
  <c r="G5443" i="1" s="1"/>
  <c r="F5444" i="1"/>
  <c r="G5444" i="1" s="1"/>
  <c r="F5445" i="1"/>
  <c r="G5445" i="1" s="1"/>
  <c r="F5446" i="1"/>
  <c r="G5446" i="1" s="1"/>
  <c r="F5447" i="1"/>
  <c r="G5447" i="1" s="1"/>
  <c r="F5448" i="1"/>
  <c r="G5448" i="1" s="1"/>
  <c r="F5449" i="1"/>
  <c r="G5449" i="1" s="1"/>
  <c r="F5450" i="1"/>
  <c r="G5450" i="1" s="1"/>
  <c r="F5451" i="1"/>
  <c r="G5451" i="1" s="1"/>
  <c r="F5452" i="1"/>
  <c r="G5452" i="1" s="1"/>
  <c r="F5453" i="1"/>
  <c r="G5453" i="1" s="1"/>
  <c r="F5454" i="1"/>
  <c r="G5454" i="1" s="1"/>
  <c r="F5455" i="1"/>
  <c r="G5455" i="1" s="1"/>
  <c r="F5456" i="1"/>
  <c r="G5456" i="1" s="1"/>
  <c r="F5457" i="1"/>
  <c r="G5457" i="1" s="1"/>
  <c r="F5458" i="1"/>
  <c r="G5458" i="1" s="1"/>
  <c r="F5459" i="1"/>
  <c r="G5459" i="1" s="1"/>
  <c r="F5460" i="1"/>
  <c r="G5460" i="1" s="1"/>
  <c r="F5461" i="1"/>
  <c r="G5461" i="1" s="1"/>
  <c r="F5462" i="1"/>
  <c r="G5462" i="1" s="1"/>
  <c r="F5463" i="1"/>
  <c r="G5463" i="1" s="1"/>
  <c r="F5464" i="1"/>
  <c r="G5464" i="1" s="1"/>
  <c r="F5465" i="1"/>
  <c r="G5465" i="1" s="1"/>
  <c r="F5466" i="1"/>
  <c r="G5466" i="1" s="1"/>
  <c r="F5467" i="1"/>
  <c r="G5467" i="1" s="1"/>
  <c r="F5468" i="1"/>
  <c r="G5468" i="1" s="1"/>
  <c r="F5469" i="1"/>
  <c r="G5469" i="1" s="1"/>
  <c r="F5470" i="1"/>
  <c r="G5470" i="1" s="1"/>
  <c r="F5471" i="1"/>
  <c r="G5471" i="1" s="1"/>
  <c r="F5472" i="1"/>
  <c r="G5472" i="1" s="1"/>
  <c r="F5473" i="1"/>
  <c r="G5473" i="1" s="1"/>
  <c r="F5474" i="1"/>
  <c r="G5474" i="1" s="1"/>
  <c r="F5475" i="1"/>
  <c r="G5475" i="1" s="1"/>
  <c r="F5476" i="1"/>
  <c r="G5476" i="1" s="1"/>
  <c r="F5477" i="1"/>
  <c r="G5477" i="1" s="1"/>
  <c r="F5478" i="1"/>
  <c r="G5478" i="1" s="1"/>
  <c r="F5479" i="1"/>
  <c r="G5479" i="1" s="1"/>
  <c r="F5480" i="1"/>
  <c r="G5480" i="1" s="1"/>
  <c r="F5481" i="1"/>
  <c r="G5481" i="1" s="1"/>
  <c r="F5482" i="1"/>
  <c r="G5482" i="1" s="1"/>
  <c r="F5483" i="1"/>
  <c r="G5483" i="1" s="1"/>
  <c r="F5484" i="1"/>
  <c r="G5484" i="1" s="1"/>
  <c r="F5485" i="1"/>
  <c r="G5485" i="1" s="1"/>
  <c r="F5486" i="1"/>
  <c r="G5486" i="1" s="1"/>
  <c r="F5487" i="1"/>
  <c r="G5487" i="1" s="1"/>
  <c r="F5488" i="1"/>
  <c r="G5488" i="1" s="1"/>
  <c r="F5489" i="1"/>
  <c r="G5489" i="1" s="1"/>
  <c r="F5490" i="1"/>
  <c r="G5490" i="1" s="1"/>
  <c r="F5491" i="1"/>
  <c r="G5491" i="1" s="1"/>
  <c r="F5492" i="1"/>
  <c r="G5492" i="1" s="1"/>
  <c r="F5493" i="1"/>
  <c r="G5493" i="1" s="1"/>
  <c r="F5494" i="1"/>
  <c r="G5494" i="1" s="1"/>
  <c r="F5495" i="1"/>
  <c r="G5495" i="1" s="1"/>
  <c r="F5496" i="1"/>
  <c r="G5496" i="1" s="1"/>
  <c r="F5497" i="1"/>
  <c r="G5497" i="1" s="1"/>
  <c r="F5498" i="1"/>
  <c r="G5498" i="1" s="1"/>
  <c r="F5499" i="1"/>
  <c r="G5499" i="1" s="1"/>
  <c r="F5500" i="1"/>
  <c r="G5500" i="1" s="1"/>
  <c r="F5501" i="1"/>
  <c r="G5501" i="1" s="1"/>
  <c r="F5502" i="1"/>
  <c r="G5502" i="1" s="1"/>
  <c r="F5503" i="1"/>
  <c r="G5503" i="1" s="1"/>
  <c r="F5504" i="1"/>
  <c r="G5504" i="1" s="1"/>
  <c r="F5505" i="1"/>
  <c r="G5505" i="1" s="1"/>
  <c r="F5506" i="1"/>
  <c r="G5506" i="1" s="1"/>
  <c r="F5507" i="1"/>
  <c r="G5507" i="1" s="1"/>
  <c r="F5508" i="1"/>
  <c r="G5508" i="1" s="1"/>
  <c r="F5509" i="1"/>
  <c r="G5509" i="1" s="1"/>
  <c r="F5510" i="1"/>
  <c r="G5510" i="1" s="1"/>
  <c r="F5511" i="1"/>
  <c r="G5511" i="1" s="1"/>
  <c r="F5512" i="1"/>
  <c r="G5512" i="1" s="1"/>
  <c r="F5513" i="1"/>
  <c r="G5513" i="1" s="1"/>
  <c r="F5514" i="1"/>
  <c r="G5514" i="1" s="1"/>
  <c r="F5515" i="1"/>
  <c r="G5515" i="1" s="1"/>
  <c r="F5516" i="1"/>
  <c r="G5516" i="1" s="1"/>
  <c r="F5517" i="1"/>
  <c r="G5517" i="1" s="1"/>
  <c r="F5518" i="1"/>
  <c r="G5518" i="1" s="1"/>
  <c r="F5519" i="1"/>
  <c r="G5519" i="1" s="1"/>
  <c r="F5520" i="1"/>
  <c r="G5520" i="1" s="1"/>
  <c r="F5521" i="1"/>
  <c r="G5521" i="1" s="1"/>
  <c r="F5522" i="1"/>
  <c r="G5522" i="1" s="1"/>
  <c r="F5523" i="1"/>
  <c r="G5523" i="1" s="1"/>
  <c r="F5524" i="1"/>
  <c r="G5524" i="1" s="1"/>
  <c r="F5525" i="1"/>
  <c r="G5525" i="1" s="1"/>
  <c r="F5526" i="1"/>
  <c r="G5526" i="1"/>
  <c r="F5527" i="1"/>
  <c r="G5527" i="1" s="1"/>
  <c r="F5528" i="1"/>
  <c r="G5528" i="1" s="1"/>
  <c r="F5529" i="1"/>
  <c r="G5529" i="1" s="1"/>
  <c r="F5530" i="1"/>
  <c r="G5530" i="1" s="1"/>
  <c r="F5531" i="1"/>
  <c r="G5531" i="1" s="1"/>
  <c r="F5532" i="1"/>
  <c r="G5532" i="1" s="1"/>
  <c r="F5533" i="1"/>
  <c r="G5533" i="1" s="1"/>
  <c r="F5534" i="1"/>
  <c r="G5534" i="1" s="1"/>
  <c r="F5535" i="1"/>
  <c r="G5535" i="1" s="1"/>
  <c r="F5536" i="1"/>
  <c r="G5536" i="1" s="1"/>
  <c r="F5537" i="1"/>
  <c r="G5537" i="1" s="1"/>
  <c r="F5538" i="1"/>
  <c r="G5538" i="1" s="1"/>
  <c r="F5539" i="1"/>
  <c r="G5539" i="1" s="1"/>
  <c r="F5540" i="1"/>
  <c r="G5540" i="1" s="1"/>
  <c r="F5541" i="1"/>
  <c r="G5541" i="1" s="1"/>
  <c r="F5542" i="1"/>
  <c r="G5542" i="1" s="1"/>
  <c r="F5543" i="1"/>
  <c r="G5543" i="1" s="1"/>
  <c r="F5544" i="1"/>
  <c r="G5544" i="1" s="1"/>
  <c r="F5545" i="1"/>
  <c r="G5545" i="1" s="1"/>
  <c r="F5546" i="1"/>
  <c r="G5546" i="1" s="1"/>
  <c r="F5547" i="1"/>
  <c r="G5547" i="1" s="1"/>
  <c r="F5548" i="1"/>
  <c r="G5548" i="1" s="1"/>
  <c r="F5549" i="1"/>
  <c r="G5549" i="1" s="1"/>
  <c r="F5550" i="1"/>
  <c r="G5550" i="1" s="1"/>
  <c r="F5551" i="1"/>
  <c r="G5551" i="1" s="1"/>
  <c r="F5552" i="1"/>
  <c r="G5552" i="1" s="1"/>
  <c r="F5553" i="1"/>
  <c r="G5553" i="1" s="1"/>
  <c r="F5554" i="1"/>
  <c r="G5554" i="1" s="1"/>
  <c r="F5555" i="1"/>
  <c r="G5555" i="1" s="1"/>
  <c r="F5556" i="1"/>
  <c r="G5556" i="1" s="1"/>
  <c r="F5557" i="1"/>
  <c r="G5557" i="1" s="1"/>
  <c r="F5558" i="1"/>
  <c r="G5558" i="1" s="1"/>
  <c r="F5559" i="1"/>
  <c r="G5559" i="1" s="1"/>
  <c r="F5560" i="1"/>
  <c r="G5560" i="1" s="1"/>
  <c r="F5561" i="1"/>
  <c r="G5561" i="1" s="1"/>
  <c r="F5562" i="1"/>
  <c r="G5562" i="1" s="1"/>
  <c r="F5563" i="1"/>
  <c r="G5563" i="1" s="1"/>
  <c r="F5564" i="1"/>
  <c r="G5564" i="1" s="1"/>
  <c r="F5565" i="1"/>
  <c r="G5565" i="1" s="1"/>
  <c r="F5566" i="1"/>
  <c r="G5566" i="1" s="1"/>
  <c r="F5567" i="1"/>
  <c r="G5567" i="1" s="1"/>
  <c r="F5568" i="1"/>
  <c r="G5568" i="1" s="1"/>
  <c r="F5569" i="1"/>
  <c r="G5569" i="1" s="1"/>
  <c r="F5570" i="1"/>
  <c r="G5570" i="1" s="1"/>
  <c r="F5571" i="1"/>
  <c r="G5571" i="1" s="1"/>
  <c r="F5572" i="1"/>
  <c r="G5572" i="1" s="1"/>
  <c r="F5573" i="1"/>
  <c r="G5573" i="1" s="1"/>
  <c r="F5574" i="1"/>
  <c r="G5574" i="1" s="1"/>
  <c r="F5575" i="1"/>
  <c r="G5575" i="1" s="1"/>
  <c r="F5576" i="1"/>
  <c r="G5576" i="1" s="1"/>
  <c r="F5577" i="1"/>
  <c r="G5577" i="1" s="1"/>
  <c r="F5578" i="1"/>
  <c r="G5578" i="1" s="1"/>
  <c r="F5579" i="1"/>
  <c r="G5579" i="1" s="1"/>
  <c r="F5580" i="1"/>
  <c r="G5580" i="1" s="1"/>
  <c r="F5581" i="1"/>
  <c r="G5581" i="1" s="1"/>
  <c r="F5582" i="1"/>
  <c r="G5582" i="1" s="1"/>
  <c r="F5583" i="1"/>
  <c r="G5583" i="1" s="1"/>
  <c r="F5584" i="1"/>
  <c r="G5584" i="1" s="1"/>
  <c r="F5585" i="1"/>
  <c r="G5585" i="1" s="1"/>
  <c r="F5586" i="1"/>
  <c r="G5586" i="1" s="1"/>
  <c r="F5587" i="1"/>
  <c r="G5587" i="1" s="1"/>
  <c r="F5588" i="1"/>
  <c r="G5588" i="1" s="1"/>
  <c r="F5589" i="1"/>
  <c r="G5589" i="1" s="1"/>
  <c r="F5590" i="1"/>
  <c r="G5590" i="1" s="1"/>
  <c r="F5591" i="1"/>
  <c r="G5591" i="1" s="1"/>
  <c r="F5592" i="1"/>
  <c r="G5592" i="1" s="1"/>
  <c r="F5593" i="1"/>
  <c r="G5593" i="1" s="1"/>
  <c r="F5594" i="1"/>
  <c r="G5594" i="1" s="1"/>
  <c r="F5595" i="1"/>
  <c r="G5595" i="1" s="1"/>
  <c r="F5596" i="1"/>
  <c r="G5596" i="1" s="1"/>
  <c r="F5597" i="1"/>
  <c r="G5597" i="1" s="1"/>
  <c r="F5598" i="1"/>
  <c r="G5598" i="1" s="1"/>
  <c r="F5599" i="1"/>
  <c r="G5599" i="1" s="1"/>
  <c r="F5600" i="1"/>
  <c r="G5600" i="1" s="1"/>
  <c r="F5601" i="1"/>
  <c r="G5601" i="1" s="1"/>
  <c r="F5602" i="1"/>
  <c r="G5602" i="1" s="1"/>
  <c r="F5603" i="1"/>
  <c r="G5603" i="1" s="1"/>
  <c r="F5604" i="1"/>
  <c r="G5604" i="1" s="1"/>
  <c r="F5605" i="1"/>
  <c r="G5605" i="1" s="1"/>
  <c r="F5606" i="1"/>
  <c r="G5606" i="1" s="1"/>
  <c r="F5607" i="1"/>
  <c r="G5607" i="1" s="1"/>
  <c r="F5608" i="1"/>
  <c r="G5608" i="1" s="1"/>
  <c r="F5609" i="1"/>
  <c r="G5609" i="1" s="1"/>
  <c r="F5610" i="1"/>
  <c r="G5610" i="1" s="1"/>
  <c r="F5611" i="1"/>
  <c r="G5611" i="1" s="1"/>
  <c r="F5612" i="1"/>
  <c r="G5612" i="1" s="1"/>
  <c r="F5613" i="1"/>
  <c r="G5613" i="1" s="1"/>
  <c r="F5614" i="1"/>
  <c r="G5614" i="1" s="1"/>
  <c r="F5615" i="1"/>
  <c r="G5615" i="1" s="1"/>
  <c r="F5616" i="1"/>
  <c r="G5616" i="1" s="1"/>
  <c r="F5617" i="1"/>
  <c r="G5617" i="1" s="1"/>
  <c r="F5618" i="1"/>
  <c r="G5618" i="1" s="1"/>
  <c r="F5619" i="1"/>
  <c r="G5619" i="1" s="1"/>
  <c r="F5620" i="1"/>
  <c r="G5620" i="1" s="1"/>
  <c r="F5621" i="1"/>
  <c r="G5621" i="1" s="1"/>
  <c r="F5622" i="1"/>
  <c r="G5622" i="1" s="1"/>
  <c r="F5623" i="1"/>
  <c r="G5623" i="1" s="1"/>
  <c r="F5624" i="1"/>
  <c r="G5624" i="1" s="1"/>
  <c r="F5625" i="1"/>
  <c r="G5625" i="1" s="1"/>
  <c r="F5626" i="1"/>
  <c r="G5626" i="1" s="1"/>
  <c r="F5627" i="1"/>
  <c r="G5627" i="1" s="1"/>
  <c r="F5628" i="1"/>
  <c r="G5628" i="1" s="1"/>
  <c r="F5629" i="1"/>
  <c r="G5629" i="1" s="1"/>
  <c r="F5630" i="1"/>
  <c r="G5630" i="1" s="1"/>
  <c r="F5631" i="1"/>
  <c r="G5631" i="1" s="1"/>
  <c r="F5632" i="1"/>
  <c r="G5632" i="1" s="1"/>
  <c r="F5633" i="1"/>
  <c r="G5633" i="1" s="1"/>
  <c r="F5634" i="1"/>
  <c r="G5634" i="1" s="1"/>
  <c r="F5635" i="1"/>
  <c r="G5635" i="1" s="1"/>
  <c r="F5636" i="1"/>
  <c r="G5636" i="1" s="1"/>
  <c r="F5637" i="1"/>
  <c r="G5637" i="1" s="1"/>
  <c r="F5638" i="1"/>
  <c r="G5638" i="1" s="1"/>
  <c r="F5639" i="1"/>
  <c r="G5639" i="1" s="1"/>
  <c r="F5640" i="1"/>
  <c r="G5640" i="1" s="1"/>
  <c r="F5641" i="1"/>
  <c r="G5641" i="1" s="1"/>
  <c r="F5642" i="1"/>
  <c r="G5642" i="1" s="1"/>
  <c r="F5643" i="1"/>
  <c r="G5643" i="1" s="1"/>
  <c r="F5644" i="1"/>
  <c r="G5644" i="1" s="1"/>
  <c r="F5645" i="1"/>
  <c r="G5645" i="1" s="1"/>
  <c r="F5646" i="1"/>
  <c r="G5646" i="1" s="1"/>
  <c r="F5647" i="1"/>
  <c r="G5647" i="1" s="1"/>
  <c r="F5648" i="1"/>
  <c r="G5648" i="1" s="1"/>
  <c r="F5649" i="1"/>
  <c r="G5649" i="1" s="1"/>
  <c r="F5650" i="1"/>
  <c r="G5650" i="1" s="1"/>
  <c r="F5651" i="1"/>
  <c r="G5651" i="1" s="1"/>
  <c r="F5652" i="1"/>
  <c r="G5652" i="1" s="1"/>
  <c r="F5653" i="1"/>
  <c r="G5653" i="1" s="1"/>
  <c r="F5654" i="1"/>
  <c r="G5654" i="1" s="1"/>
  <c r="F5655" i="1"/>
  <c r="G5655" i="1" s="1"/>
  <c r="F5656" i="1"/>
  <c r="G5656" i="1" s="1"/>
  <c r="F5657" i="1"/>
  <c r="G5657" i="1" s="1"/>
  <c r="F5658" i="1"/>
  <c r="G5658" i="1" s="1"/>
  <c r="F5659" i="1"/>
  <c r="G5659" i="1" s="1"/>
  <c r="F5660" i="1"/>
  <c r="G5660" i="1" s="1"/>
  <c r="F5661" i="1"/>
  <c r="G5661" i="1" s="1"/>
  <c r="F5662" i="1"/>
  <c r="G5662" i="1" s="1"/>
  <c r="F5663" i="1"/>
  <c r="G5663" i="1" s="1"/>
  <c r="F5664" i="1"/>
  <c r="G5664" i="1" s="1"/>
  <c r="F5665" i="1"/>
  <c r="G5665" i="1" s="1"/>
  <c r="F5666" i="1"/>
  <c r="G5666" i="1" s="1"/>
  <c r="F5667" i="1"/>
  <c r="G5667" i="1" s="1"/>
  <c r="F5668" i="1"/>
  <c r="G5668" i="1" s="1"/>
  <c r="F5669" i="1"/>
  <c r="G5669" i="1" s="1"/>
  <c r="F5670" i="1"/>
  <c r="G5670" i="1" s="1"/>
  <c r="F5671" i="1"/>
  <c r="G5671" i="1" s="1"/>
  <c r="F5672" i="1"/>
  <c r="G5672" i="1" s="1"/>
  <c r="F5673" i="1"/>
  <c r="G5673" i="1" s="1"/>
  <c r="F5674" i="1"/>
  <c r="G5674" i="1" s="1"/>
  <c r="F5675" i="1"/>
  <c r="G5675" i="1" s="1"/>
  <c r="F5676" i="1"/>
  <c r="G5676" i="1" s="1"/>
  <c r="F5677" i="1"/>
  <c r="G5677" i="1" s="1"/>
  <c r="F5678" i="1"/>
  <c r="G5678" i="1" s="1"/>
  <c r="F5679" i="1"/>
  <c r="G5679" i="1" s="1"/>
  <c r="F5680" i="1"/>
  <c r="G5680" i="1" s="1"/>
  <c r="F5681" i="1"/>
  <c r="G5681" i="1" s="1"/>
  <c r="F5682" i="1"/>
  <c r="G5682" i="1" s="1"/>
  <c r="F5683" i="1"/>
  <c r="G5683" i="1" s="1"/>
  <c r="F5684" i="1"/>
  <c r="G5684" i="1" s="1"/>
  <c r="F5685" i="1"/>
  <c r="G5685" i="1" s="1"/>
  <c r="F5686" i="1"/>
  <c r="G5686" i="1" s="1"/>
  <c r="F5687" i="1"/>
  <c r="G5687" i="1" s="1"/>
  <c r="F5688" i="1"/>
  <c r="G5688" i="1" s="1"/>
  <c r="F5689" i="1"/>
  <c r="G5689" i="1" s="1"/>
  <c r="F5690" i="1"/>
  <c r="G5690" i="1" s="1"/>
  <c r="F5691" i="1"/>
  <c r="G5691" i="1" s="1"/>
  <c r="F5692" i="1"/>
  <c r="G5692" i="1" s="1"/>
  <c r="F5693" i="1"/>
  <c r="G5693" i="1" s="1"/>
  <c r="F5694" i="1"/>
  <c r="G5694" i="1" s="1"/>
  <c r="F5695" i="1"/>
  <c r="G5695" i="1" s="1"/>
  <c r="F5696" i="1"/>
  <c r="G5696" i="1" s="1"/>
  <c r="F5697" i="1"/>
  <c r="G5697" i="1" s="1"/>
  <c r="F5698" i="1"/>
  <c r="G5698" i="1" s="1"/>
  <c r="F5699" i="1"/>
  <c r="G5699" i="1" s="1"/>
  <c r="F5700" i="1"/>
  <c r="G5700" i="1"/>
  <c r="F5701" i="1"/>
  <c r="G5701" i="1" s="1"/>
  <c r="F5702" i="1"/>
  <c r="G5702" i="1" s="1"/>
  <c r="F5703" i="1"/>
  <c r="G5703" i="1" s="1"/>
  <c r="F5704" i="1"/>
  <c r="G5704" i="1" s="1"/>
  <c r="F5705" i="1"/>
  <c r="G5705" i="1" s="1"/>
  <c r="F5706" i="1"/>
  <c r="G5706" i="1" s="1"/>
  <c r="F5707" i="1"/>
  <c r="G5707" i="1" s="1"/>
  <c r="F5708" i="1"/>
  <c r="G5708" i="1" s="1"/>
  <c r="F5709" i="1"/>
  <c r="G5709" i="1" s="1"/>
  <c r="F5710" i="1"/>
  <c r="G5710" i="1" s="1"/>
  <c r="F5711" i="1"/>
  <c r="G5711" i="1" s="1"/>
  <c r="F5712" i="1"/>
  <c r="G5712" i="1" s="1"/>
  <c r="F5713" i="1"/>
  <c r="G5713" i="1" s="1"/>
  <c r="F5714" i="1"/>
  <c r="G5714" i="1" s="1"/>
  <c r="F5715" i="1"/>
  <c r="G5715" i="1" s="1"/>
  <c r="F5716" i="1"/>
  <c r="G5716" i="1" s="1"/>
  <c r="F5717" i="1"/>
  <c r="G5717" i="1" s="1"/>
  <c r="F5718" i="1"/>
  <c r="G5718" i="1" s="1"/>
  <c r="F5719" i="1"/>
  <c r="G5719" i="1" s="1"/>
  <c r="F5720" i="1"/>
  <c r="G5720" i="1" s="1"/>
  <c r="F5721" i="1"/>
  <c r="G5721" i="1" s="1"/>
  <c r="F5722" i="1"/>
  <c r="G5722" i="1" s="1"/>
  <c r="F5723" i="1"/>
  <c r="G5723" i="1" s="1"/>
  <c r="F5724" i="1"/>
  <c r="G5724" i="1" s="1"/>
  <c r="F5725" i="1"/>
  <c r="G5725" i="1" s="1"/>
  <c r="F5726" i="1"/>
  <c r="G5726" i="1" s="1"/>
  <c r="F5727" i="1"/>
  <c r="G5727" i="1" s="1"/>
  <c r="F5728" i="1"/>
  <c r="G5728" i="1" s="1"/>
  <c r="F5729" i="1"/>
  <c r="G5729" i="1" s="1"/>
  <c r="F5730" i="1"/>
  <c r="G5730" i="1" s="1"/>
  <c r="F5731" i="1"/>
  <c r="G5731" i="1" s="1"/>
  <c r="F5732" i="1"/>
  <c r="G5732" i="1" s="1"/>
  <c r="F5733" i="1"/>
  <c r="G5733" i="1" s="1"/>
  <c r="F5734" i="1"/>
  <c r="G5734" i="1" s="1"/>
  <c r="F5735" i="1"/>
  <c r="G5735" i="1" s="1"/>
  <c r="F5736" i="1"/>
  <c r="G5736" i="1" s="1"/>
  <c r="F5737" i="1"/>
  <c r="G5737" i="1" s="1"/>
  <c r="F5738" i="1"/>
  <c r="G5738" i="1" s="1"/>
  <c r="F5739" i="1"/>
  <c r="G5739" i="1" s="1"/>
  <c r="F5740" i="1"/>
  <c r="G5740" i="1" s="1"/>
  <c r="F5741" i="1"/>
  <c r="G5741" i="1" s="1"/>
  <c r="F5742" i="1"/>
  <c r="G5742" i="1" s="1"/>
  <c r="F5743" i="1"/>
  <c r="G5743" i="1" s="1"/>
  <c r="F5744" i="1"/>
  <c r="G5744" i="1" s="1"/>
  <c r="F5745" i="1"/>
  <c r="G5745" i="1" s="1"/>
  <c r="F5746" i="1"/>
  <c r="G5746" i="1" s="1"/>
  <c r="F5747" i="1"/>
  <c r="G5747" i="1" s="1"/>
  <c r="F5748" i="1"/>
  <c r="G5748" i="1" s="1"/>
  <c r="F5749" i="1"/>
  <c r="G5749" i="1" s="1"/>
  <c r="F5750" i="1"/>
  <c r="G5750" i="1" s="1"/>
  <c r="F5751" i="1"/>
  <c r="G5751" i="1" s="1"/>
  <c r="F5752" i="1"/>
  <c r="G5752" i="1" s="1"/>
  <c r="F5753" i="1"/>
  <c r="G5753" i="1" s="1"/>
  <c r="F5754" i="1"/>
  <c r="G5754" i="1" s="1"/>
  <c r="F5755" i="1"/>
  <c r="G5755" i="1" s="1"/>
  <c r="F5756" i="1"/>
  <c r="G5756" i="1" s="1"/>
  <c r="F5757" i="1"/>
  <c r="G5757" i="1" s="1"/>
  <c r="F5758" i="1"/>
  <c r="G5758" i="1" s="1"/>
  <c r="F5759" i="1"/>
  <c r="G5759" i="1" s="1"/>
  <c r="F5760" i="1"/>
  <c r="G5760" i="1" s="1"/>
  <c r="F5761" i="1"/>
  <c r="G5761" i="1" s="1"/>
  <c r="F5762" i="1"/>
  <c r="G5762" i="1" s="1"/>
  <c r="F5763" i="1"/>
  <c r="G5763" i="1" s="1"/>
  <c r="F5764" i="1"/>
  <c r="G5764" i="1" s="1"/>
  <c r="F5765" i="1"/>
  <c r="G5765" i="1" s="1"/>
  <c r="F5766" i="1"/>
  <c r="G5766" i="1" s="1"/>
  <c r="F5767" i="1"/>
  <c r="G5767" i="1" s="1"/>
  <c r="F5768" i="1"/>
  <c r="G5768" i="1" s="1"/>
  <c r="F5769" i="1"/>
  <c r="G5769" i="1" s="1"/>
  <c r="F5770" i="1"/>
  <c r="G5770" i="1" s="1"/>
  <c r="F5771" i="1"/>
  <c r="G5771" i="1" s="1"/>
  <c r="F5772" i="1"/>
  <c r="G5772" i="1" s="1"/>
  <c r="F5773" i="1"/>
  <c r="G5773" i="1" s="1"/>
  <c r="F5774" i="1"/>
  <c r="G5774" i="1" s="1"/>
  <c r="F5775" i="1"/>
  <c r="G5775" i="1" s="1"/>
  <c r="F5776" i="1"/>
  <c r="G5776" i="1" s="1"/>
  <c r="F5777" i="1"/>
  <c r="G5777" i="1" s="1"/>
  <c r="F5778" i="1"/>
  <c r="G5778" i="1" s="1"/>
  <c r="F5779" i="1"/>
  <c r="G5779" i="1" s="1"/>
  <c r="F5780" i="1"/>
  <c r="G5780" i="1" s="1"/>
  <c r="F5781" i="1"/>
  <c r="G5781" i="1" s="1"/>
  <c r="F5782" i="1"/>
  <c r="G5782" i="1" s="1"/>
  <c r="F5783" i="1"/>
  <c r="G5783" i="1" s="1"/>
  <c r="F5784" i="1"/>
  <c r="G5784" i="1" s="1"/>
  <c r="F5785" i="1"/>
  <c r="G5785" i="1" s="1"/>
  <c r="F5786" i="1"/>
  <c r="G5786" i="1" s="1"/>
  <c r="F5787" i="1"/>
  <c r="G5787" i="1" s="1"/>
  <c r="F5788" i="1"/>
  <c r="G5788" i="1" s="1"/>
  <c r="F5789" i="1"/>
  <c r="G5789" i="1" s="1"/>
  <c r="F5790" i="1"/>
  <c r="G5790" i="1" s="1"/>
  <c r="F5791" i="1"/>
  <c r="G5791" i="1" s="1"/>
  <c r="F5792" i="1"/>
  <c r="G5792" i="1" s="1"/>
  <c r="F5793" i="1"/>
  <c r="G5793" i="1" s="1"/>
  <c r="F5794" i="1"/>
  <c r="G5794" i="1" s="1"/>
  <c r="F5795" i="1"/>
  <c r="G5795" i="1" s="1"/>
  <c r="F5796" i="1"/>
  <c r="G5796" i="1" s="1"/>
  <c r="F5797" i="1"/>
  <c r="G5797" i="1" s="1"/>
  <c r="F5798" i="1"/>
  <c r="G5798" i="1" s="1"/>
  <c r="F5799" i="1"/>
  <c r="G5799" i="1" s="1"/>
  <c r="F5800" i="1"/>
  <c r="G5800" i="1" s="1"/>
  <c r="F5801" i="1"/>
  <c r="G5801" i="1" s="1"/>
  <c r="F5802" i="1"/>
  <c r="G5802" i="1" s="1"/>
  <c r="F5803" i="1"/>
  <c r="G5803" i="1" s="1"/>
  <c r="F5804" i="1"/>
  <c r="G5804" i="1" s="1"/>
  <c r="F5805" i="1"/>
  <c r="G5805" i="1" s="1"/>
  <c r="F5806" i="1"/>
  <c r="G5806" i="1" s="1"/>
  <c r="F5807" i="1"/>
  <c r="G5807" i="1" s="1"/>
  <c r="F5808" i="1"/>
  <c r="G5808" i="1" s="1"/>
  <c r="F5809" i="1"/>
  <c r="G5809" i="1" s="1"/>
  <c r="F5810" i="1"/>
  <c r="G5810" i="1" s="1"/>
  <c r="F5811" i="1"/>
  <c r="G5811" i="1" s="1"/>
  <c r="F5812" i="1"/>
  <c r="G5812" i="1" s="1"/>
  <c r="F5813" i="1"/>
  <c r="G5813" i="1" s="1"/>
  <c r="F5814" i="1"/>
  <c r="G5814" i="1" s="1"/>
  <c r="F5815" i="1"/>
  <c r="G5815" i="1" s="1"/>
  <c r="F5816" i="1"/>
  <c r="G5816" i="1" s="1"/>
  <c r="F5817" i="1"/>
  <c r="G5817" i="1" s="1"/>
  <c r="F5818" i="1"/>
  <c r="G5818" i="1" s="1"/>
  <c r="F5819" i="1"/>
  <c r="G5819" i="1" s="1"/>
  <c r="F5820" i="1"/>
  <c r="G5820" i="1" s="1"/>
  <c r="F5821" i="1"/>
  <c r="G5821" i="1" s="1"/>
  <c r="F5822" i="1"/>
  <c r="G5822" i="1" s="1"/>
  <c r="F5823" i="1"/>
  <c r="G5823" i="1" s="1"/>
  <c r="F5824" i="1"/>
  <c r="G5824" i="1" s="1"/>
  <c r="F5825" i="1"/>
  <c r="G5825" i="1" s="1"/>
  <c r="F5826" i="1"/>
  <c r="G5826" i="1" s="1"/>
  <c r="F5827" i="1"/>
  <c r="G5827" i="1" s="1"/>
  <c r="F5828" i="1"/>
  <c r="G5828" i="1" s="1"/>
  <c r="F5829" i="1"/>
  <c r="G5829" i="1" s="1"/>
  <c r="F5830" i="1"/>
  <c r="G5830" i="1" s="1"/>
  <c r="F5831" i="1"/>
  <c r="G5831" i="1" s="1"/>
  <c r="F5832" i="1"/>
  <c r="G5832" i="1" s="1"/>
  <c r="F5833" i="1"/>
  <c r="G5833" i="1" s="1"/>
  <c r="F5834" i="1"/>
  <c r="G5834" i="1" s="1"/>
  <c r="F5835" i="1"/>
  <c r="G5835" i="1" s="1"/>
  <c r="F5836" i="1"/>
  <c r="G5836" i="1" s="1"/>
  <c r="F5837" i="1"/>
  <c r="G5837" i="1" s="1"/>
  <c r="F5838" i="1"/>
  <c r="G5838" i="1" s="1"/>
  <c r="F5839" i="1"/>
  <c r="G5839" i="1" s="1"/>
  <c r="F5840" i="1"/>
  <c r="G5840" i="1" s="1"/>
  <c r="F5841" i="1"/>
  <c r="G5841" i="1" s="1"/>
  <c r="F5842" i="1"/>
  <c r="G5842" i="1" s="1"/>
  <c r="F5843" i="1"/>
  <c r="G5843" i="1" s="1"/>
  <c r="F5844" i="1"/>
  <c r="G5844" i="1" s="1"/>
  <c r="F5845" i="1"/>
  <c r="G5845" i="1" s="1"/>
  <c r="F5846" i="1"/>
  <c r="G5846" i="1" s="1"/>
  <c r="F5847" i="1"/>
  <c r="G5847" i="1" s="1"/>
  <c r="F5848" i="1"/>
  <c r="G5848" i="1" s="1"/>
  <c r="F5849" i="1"/>
  <c r="G5849" i="1" s="1"/>
  <c r="F5850" i="1"/>
  <c r="G5850" i="1" s="1"/>
  <c r="F5851" i="1"/>
  <c r="G5851" i="1" s="1"/>
  <c r="F5852" i="1"/>
  <c r="G5852" i="1" s="1"/>
  <c r="F5853" i="1"/>
  <c r="G5853" i="1" s="1"/>
  <c r="F5854" i="1"/>
  <c r="G5854" i="1" s="1"/>
  <c r="F5855" i="1"/>
  <c r="G5855" i="1" s="1"/>
  <c r="F5856" i="1"/>
  <c r="G5856" i="1" s="1"/>
  <c r="F5857" i="1"/>
  <c r="G5857" i="1" s="1"/>
  <c r="F5858" i="1"/>
  <c r="G5858" i="1" s="1"/>
  <c r="F5859" i="1"/>
  <c r="G5859" i="1" s="1"/>
  <c r="F5860" i="1"/>
  <c r="G5860" i="1" s="1"/>
  <c r="F5861" i="1"/>
  <c r="G5861" i="1" s="1"/>
  <c r="F5862" i="1"/>
  <c r="G5862" i="1" s="1"/>
  <c r="F5863" i="1"/>
  <c r="G5863" i="1" s="1"/>
  <c r="F5864" i="1"/>
  <c r="G5864" i="1" s="1"/>
  <c r="F5865" i="1"/>
  <c r="G5865" i="1" s="1"/>
  <c r="F5866" i="1"/>
  <c r="G5866" i="1" s="1"/>
  <c r="F5867" i="1"/>
  <c r="G5867" i="1" s="1"/>
  <c r="F5868" i="1"/>
  <c r="G5868" i="1" s="1"/>
  <c r="F5869" i="1"/>
  <c r="G5869" i="1" s="1"/>
  <c r="F5870" i="1"/>
  <c r="G5870" i="1" s="1"/>
  <c r="F5871" i="1"/>
  <c r="G5871" i="1" s="1"/>
  <c r="F5872" i="1"/>
  <c r="G5872" i="1" s="1"/>
  <c r="F5873" i="1"/>
  <c r="G5873" i="1" s="1"/>
  <c r="F5874" i="1"/>
  <c r="G5874" i="1" s="1"/>
  <c r="F5875" i="1"/>
  <c r="G5875" i="1" s="1"/>
  <c r="F5876" i="1"/>
  <c r="G5876" i="1" s="1"/>
  <c r="F5877" i="1"/>
  <c r="G5877" i="1" s="1"/>
  <c r="F5878" i="1"/>
  <c r="G5878" i="1" s="1"/>
  <c r="F5879" i="1"/>
  <c r="G5879" i="1" s="1"/>
  <c r="F5880" i="1"/>
  <c r="G5880" i="1" s="1"/>
  <c r="F5881" i="1"/>
  <c r="G5881" i="1" s="1"/>
  <c r="F5882" i="1"/>
  <c r="G5882" i="1" s="1"/>
  <c r="F5883" i="1"/>
  <c r="G5883" i="1" s="1"/>
  <c r="F5884" i="1"/>
  <c r="G5884" i="1" s="1"/>
  <c r="F5885" i="1"/>
  <c r="G5885" i="1" s="1"/>
  <c r="F5886" i="1"/>
  <c r="G5886" i="1" s="1"/>
  <c r="F5887" i="1"/>
  <c r="G5887" i="1" s="1"/>
  <c r="F5888" i="1"/>
  <c r="G5888" i="1" s="1"/>
  <c r="F5889" i="1"/>
  <c r="G5889" i="1" s="1"/>
  <c r="F5890" i="1"/>
  <c r="G5890" i="1" s="1"/>
  <c r="F5891" i="1"/>
  <c r="G5891" i="1" s="1"/>
  <c r="F5892" i="1"/>
  <c r="G5892" i="1" s="1"/>
  <c r="F5893" i="1"/>
  <c r="G5893" i="1" s="1"/>
  <c r="F5894" i="1"/>
  <c r="G5894" i="1" s="1"/>
  <c r="F5895" i="1"/>
  <c r="G5895" i="1" s="1"/>
  <c r="F5896" i="1"/>
  <c r="G5896" i="1" s="1"/>
  <c r="F5897" i="1"/>
  <c r="G5897" i="1" s="1"/>
  <c r="F5898" i="1"/>
  <c r="G5898" i="1" s="1"/>
  <c r="F5899" i="1"/>
  <c r="G5899" i="1" s="1"/>
  <c r="F5900" i="1"/>
  <c r="G5900" i="1" s="1"/>
  <c r="F5901" i="1"/>
  <c r="G5901" i="1" s="1"/>
  <c r="F5902" i="1"/>
  <c r="G5902" i="1" s="1"/>
  <c r="F5903" i="1"/>
  <c r="G5903" i="1" s="1"/>
  <c r="F5904" i="1"/>
  <c r="G5904" i="1" s="1"/>
  <c r="F5905" i="1"/>
  <c r="G5905" i="1" s="1"/>
  <c r="F5906" i="1"/>
  <c r="G5906" i="1" s="1"/>
  <c r="F5907" i="1"/>
  <c r="G5907" i="1" s="1"/>
  <c r="F5908" i="1"/>
  <c r="G5908" i="1" s="1"/>
  <c r="F5909" i="1"/>
  <c r="G5909" i="1" s="1"/>
  <c r="F5910" i="1"/>
  <c r="G5910" i="1" s="1"/>
  <c r="F5911" i="1"/>
  <c r="G5911" i="1" s="1"/>
  <c r="F5912" i="1"/>
  <c r="G5912" i="1" s="1"/>
  <c r="F5913" i="1"/>
  <c r="G5913" i="1" s="1"/>
  <c r="F5914" i="1"/>
  <c r="G5914" i="1" s="1"/>
  <c r="F5915" i="1"/>
  <c r="G5915" i="1" s="1"/>
  <c r="F5916" i="1"/>
  <c r="G5916" i="1" s="1"/>
  <c r="F5917" i="1"/>
  <c r="G5917" i="1" s="1"/>
  <c r="F5918" i="1"/>
  <c r="G5918" i="1" s="1"/>
  <c r="F5919" i="1"/>
  <c r="G5919" i="1" s="1"/>
  <c r="F5920" i="1"/>
  <c r="G5920" i="1" s="1"/>
  <c r="F5921" i="1"/>
  <c r="G5921" i="1" s="1"/>
  <c r="F5922" i="1"/>
  <c r="G5922" i="1" s="1"/>
  <c r="F5923" i="1"/>
  <c r="G5923" i="1" s="1"/>
  <c r="F5924" i="1"/>
  <c r="G5924" i="1" s="1"/>
  <c r="F5925" i="1"/>
  <c r="G5925" i="1" s="1"/>
  <c r="F5926" i="1"/>
  <c r="G5926" i="1" s="1"/>
  <c r="F5927" i="1"/>
  <c r="G5927" i="1" s="1"/>
  <c r="F5928" i="1"/>
  <c r="G5928" i="1" s="1"/>
  <c r="F5929" i="1"/>
  <c r="G5929" i="1" s="1"/>
  <c r="F5930" i="1"/>
  <c r="G5930" i="1" s="1"/>
  <c r="F5931" i="1"/>
  <c r="G5931" i="1" s="1"/>
  <c r="F5932" i="1"/>
  <c r="G5932" i="1" s="1"/>
  <c r="F5933" i="1"/>
  <c r="G5933" i="1" s="1"/>
  <c r="F5934" i="1"/>
  <c r="G5934" i="1" s="1"/>
  <c r="F5935" i="1"/>
  <c r="G5935" i="1" s="1"/>
  <c r="F5936" i="1"/>
  <c r="G5936" i="1" s="1"/>
  <c r="F5937" i="1"/>
  <c r="G5937" i="1" s="1"/>
  <c r="F5938" i="1"/>
  <c r="G5938" i="1" s="1"/>
  <c r="F5939" i="1"/>
  <c r="G5939" i="1" s="1"/>
  <c r="F5940" i="1"/>
  <c r="G5940" i="1" s="1"/>
  <c r="F5941" i="1"/>
  <c r="G5941" i="1" s="1"/>
  <c r="F5942" i="1"/>
  <c r="G5942" i="1" s="1"/>
  <c r="F5943" i="1"/>
  <c r="G5943" i="1" s="1"/>
  <c r="F5944" i="1"/>
  <c r="G5944" i="1" s="1"/>
  <c r="F5945" i="1"/>
  <c r="G5945" i="1" s="1"/>
  <c r="F5946" i="1"/>
  <c r="G5946" i="1" s="1"/>
  <c r="F5947" i="1"/>
  <c r="G5947" i="1" s="1"/>
  <c r="F5948" i="1"/>
  <c r="G5948" i="1" s="1"/>
  <c r="F5949" i="1"/>
  <c r="G5949" i="1" s="1"/>
  <c r="F5950" i="1"/>
  <c r="G5950" i="1" s="1"/>
  <c r="F5951" i="1"/>
  <c r="G5951" i="1" s="1"/>
  <c r="F5952" i="1"/>
  <c r="G5952" i="1" s="1"/>
  <c r="F5953" i="1"/>
  <c r="G5953" i="1" s="1"/>
  <c r="F5954" i="1"/>
  <c r="G5954" i="1" s="1"/>
  <c r="F5955" i="1"/>
  <c r="G5955" i="1" s="1"/>
  <c r="F5956" i="1"/>
  <c r="G5956" i="1" s="1"/>
  <c r="F5957" i="1"/>
  <c r="G5957" i="1" s="1"/>
  <c r="F5958" i="1"/>
  <c r="G5958" i="1" s="1"/>
  <c r="F5959" i="1"/>
  <c r="G5959" i="1" s="1"/>
  <c r="F5960" i="1"/>
  <c r="G5960" i="1" s="1"/>
  <c r="F5961" i="1"/>
  <c r="G5961" i="1" s="1"/>
  <c r="F5962" i="1"/>
  <c r="G5962" i="1" s="1"/>
  <c r="F5963" i="1"/>
  <c r="G5963" i="1" s="1"/>
  <c r="F5964" i="1"/>
  <c r="G5964" i="1" s="1"/>
  <c r="F5965" i="1"/>
  <c r="G5965" i="1" s="1"/>
  <c r="F5966" i="1"/>
  <c r="G5966" i="1" s="1"/>
  <c r="F5967" i="1"/>
  <c r="G5967" i="1" s="1"/>
  <c r="F5968" i="1"/>
  <c r="G5968" i="1" s="1"/>
  <c r="F5969" i="1"/>
  <c r="G5969" i="1" s="1"/>
  <c r="F5970" i="1"/>
  <c r="G5970" i="1" s="1"/>
  <c r="F5971" i="1"/>
  <c r="G5971" i="1" s="1"/>
  <c r="F5972" i="1"/>
  <c r="G5972" i="1" s="1"/>
  <c r="F5973" i="1"/>
  <c r="G5973" i="1" s="1"/>
  <c r="F5974" i="1"/>
  <c r="G5974" i="1" s="1"/>
  <c r="F5975" i="1"/>
  <c r="G5975" i="1" s="1"/>
  <c r="F5976" i="1"/>
  <c r="G5976" i="1" s="1"/>
  <c r="F5977" i="1"/>
  <c r="G5977" i="1" s="1"/>
  <c r="F5978" i="1"/>
  <c r="G5978" i="1" s="1"/>
  <c r="F5979" i="1"/>
  <c r="G5979" i="1" s="1"/>
  <c r="F5980" i="1"/>
  <c r="G5980" i="1" s="1"/>
  <c r="F5981" i="1"/>
  <c r="G5981" i="1" s="1"/>
  <c r="F5982" i="1"/>
  <c r="G5982" i="1" s="1"/>
  <c r="F5983" i="1"/>
  <c r="G5983" i="1" s="1"/>
  <c r="F5984" i="1"/>
  <c r="G5984" i="1" s="1"/>
  <c r="F5985" i="1"/>
  <c r="G5985" i="1" s="1"/>
  <c r="F5986" i="1"/>
  <c r="G5986" i="1" s="1"/>
  <c r="F5987" i="1"/>
  <c r="G5987" i="1" s="1"/>
  <c r="F5988" i="1"/>
  <c r="G5988" i="1" s="1"/>
  <c r="F5989" i="1"/>
  <c r="G5989" i="1" s="1"/>
  <c r="F5990" i="1"/>
  <c r="G5990" i="1" s="1"/>
  <c r="F5991" i="1"/>
  <c r="G5991" i="1" s="1"/>
  <c r="F5992" i="1"/>
  <c r="G5992" i="1" s="1"/>
  <c r="F5993" i="1"/>
  <c r="G5993" i="1" s="1"/>
  <c r="F5994" i="1"/>
  <c r="G5994" i="1" s="1"/>
  <c r="F5995" i="1"/>
  <c r="G5995" i="1" s="1"/>
  <c r="F5996" i="1"/>
  <c r="G5996" i="1" s="1"/>
  <c r="F5997" i="1"/>
  <c r="G5997" i="1" s="1"/>
  <c r="F5998" i="1"/>
  <c r="G5998" i="1" s="1"/>
  <c r="F5999" i="1"/>
  <c r="G5999" i="1" s="1"/>
  <c r="F6000" i="1"/>
  <c r="G6000" i="1" s="1"/>
  <c r="F6001" i="1"/>
  <c r="G6001" i="1" s="1"/>
  <c r="F6002" i="1"/>
  <c r="G6002" i="1" s="1"/>
  <c r="F6003" i="1"/>
  <c r="G6003" i="1" s="1"/>
  <c r="F6004" i="1"/>
  <c r="G6004" i="1" s="1"/>
  <c r="F6005" i="1"/>
  <c r="G6005" i="1" s="1"/>
  <c r="F6006" i="1"/>
  <c r="G6006" i="1" s="1"/>
  <c r="F6007" i="1"/>
  <c r="G6007" i="1" s="1"/>
  <c r="F6008" i="1"/>
  <c r="G6008" i="1" s="1"/>
  <c r="F6009" i="1"/>
  <c r="G6009" i="1" s="1"/>
  <c r="F6010" i="1"/>
  <c r="G6010" i="1" s="1"/>
  <c r="F6011" i="1"/>
  <c r="G6011" i="1" s="1"/>
  <c r="F6012" i="1"/>
  <c r="G6012" i="1" s="1"/>
  <c r="F6013" i="1"/>
  <c r="G6013" i="1" s="1"/>
  <c r="F6014" i="1"/>
  <c r="G6014" i="1" s="1"/>
  <c r="F6015" i="1"/>
  <c r="G6015" i="1" s="1"/>
  <c r="F6016" i="1"/>
  <c r="G6016" i="1" s="1"/>
  <c r="F6017" i="1"/>
  <c r="G6017" i="1" s="1"/>
  <c r="F6018" i="1"/>
  <c r="G6018" i="1" s="1"/>
  <c r="F6019" i="1"/>
  <c r="G6019" i="1" s="1"/>
  <c r="F6020" i="1"/>
  <c r="G6020" i="1" s="1"/>
  <c r="F6021" i="1"/>
  <c r="G6021" i="1" s="1"/>
  <c r="F6022" i="1"/>
  <c r="G6022" i="1" s="1"/>
  <c r="F6023" i="1"/>
  <c r="G6023" i="1" s="1"/>
  <c r="F6024" i="1"/>
  <c r="G6024" i="1" s="1"/>
  <c r="F6025" i="1"/>
  <c r="G6025" i="1" s="1"/>
  <c r="F6026" i="1"/>
  <c r="G6026" i="1" s="1"/>
  <c r="F6027" i="1"/>
  <c r="G6027" i="1" s="1"/>
  <c r="F6028" i="1"/>
  <c r="G6028" i="1" s="1"/>
  <c r="F6029" i="1"/>
  <c r="G6029" i="1" s="1"/>
  <c r="F6030" i="1"/>
  <c r="G6030" i="1" s="1"/>
  <c r="F6031" i="1"/>
  <c r="G6031" i="1" s="1"/>
  <c r="F6032" i="1"/>
  <c r="G6032" i="1" s="1"/>
  <c r="F6033" i="1"/>
  <c r="G6033" i="1" s="1"/>
  <c r="F6034" i="1"/>
  <c r="G6034" i="1" s="1"/>
  <c r="F6035" i="1"/>
  <c r="G6035" i="1" s="1"/>
  <c r="F6036" i="1"/>
  <c r="G6036" i="1" s="1"/>
  <c r="F6037" i="1"/>
  <c r="G6037" i="1" s="1"/>
  <c r="F6038" i="1"/>
  <c r="G6038" i="1" s="1"/>
  <c r="F6039" i="1"/>
  <c r="G6039" i="1" s="1"/>
  <c r="F6040" i="1"/>
  <c r="G6040" i="1" s="1"/>
  <c r="F6041" i="1"/>
  <c r="G6041" i="1" s="1"/>
  <c r="F6042" i="1"/>
  <c r="G6042" i="1" s="1"/>
  <c r="F6043" i="1"/>
  <c r="G6043" i="1"/>
  <c r="F6044" i="1"/>
  <c r="G6044" i="1" s="1"/>
  <c r="F6045" i="1"/>
  <c r="G6045" i="1" s="1"/>
  <c r="F6046" i="1"/>
  <c r="G6046" i="1" s="1"/>
  <c r="F6047" i="1"/>
  <c r="G6047" i="1" s="1"/>
  <c r="F6048" i="1"/>
  <c r="G6048" i="1" s="1"/>
  <c r="F6049" i="1"/>
  <c r="G6049" i="1" s="1"/>
  <c r="F6050" i="1"/>
  <c r="G6050" i="1" s="1"/>
  <c r="F6051" i="1"/>
  <c r="G6051" i="1" s="1"/>
  <c r="F6052" i="1"/>
  <c r="G6052" i="1" s="1"/>
  <c r="F6053" i="1"/>
  <c r="G6053" i="1" s="1"/>
  <c r="F6054" i="1"/>
  <c r="G6054" i="1" s="1"/>
  <c r="F6055" i="1"/>
  <c r="G6055" i="1" s="1"/>
  <c r="F6056" i="1"/>
  <c r="G6056" i="1" s="1"/>
  <c r="F6057" i="1"/>
  <c r="G6057" i="1" s="1"/>
  <c r="F6058" i="1"/>
  <c r="G6058" i="1" s="1"/>
  <c r="F6059" i="1"/>
  <c r="G6059" i="1" s="1"/>
  <c r="F6060" i="1"/>
  <c r="G6060" i="1" s="1"/>
  <c r="F6061" i="1"/>
  <c r="G6061" i="1" s="1"/>
  <c r="F6062" i="1"/>
  <c r="G6062" i="1" s="1"/>
  <c r="F6063" i="1"/>
  <c r="G6063" i="1" s="1"/>
  <c r="F6064" i="1"/>
  <c r="G6064" i="1" s="1"/>
  <c r="F6065" i="1"/>
  <c r="G6065" i="1" s="1"/>
  <c r="F6066" i="1"/>
  <c r="G6066" i="1" s="1"/>
  <c r="F6067" i="1"/>
  <c r="G6067" i="1" s="1"/>
  <c r="F6068" i="1"/>
  <c r="G6068" i="1" s="1"/>
  <c r="F6069" i="1"/>
  <c r="G6069" i="1" s="1"/>
  <c r="F6070" i="1"/>
  <c r="G6070" i="1" s="1"/>
  <c r="F6071" i="1"/>
  <c r="G6071" i="1" s="1"/>
  <c r="F6072" i="1"/>
  <c r="G6072" i="1" s="1"/>
  <c r="F6073" i="1"/>
  <c r="G6073" i="1" s="1"/>
  <c r="F6074" i="1"/>
  <c r="G6074" i="1" s="1"/>
  <c r="F6075" i="1"/>
  <c r="G6075" i="1" s="1"/>
  <c r="F6076" i="1"/>
  <c r="G6076" i="1" s="1"/>
  <c r="F6077" i="1"/>
  <c r="G6077" i="1" s="1"/>
  <c r="F6078" i="1"/>
  <c r="G6078" i="1" s="1"/>
  <c r="F6079" i="1"/>
  <c r="G6079" i="1" s="1"/>
  <c r="F6080" i="1"/>
  <c r="G6080" i="1" s="1"/>
  <c r="F6081" i="1"/>
  <c r="G6081" i="1" s="1"/>
  <c r="F6082" i="1"/>
  <c r="G6082" i="1" s="1"/>
  <c r="F6083" i="1"/>
  <c r="G6083" i="1" s="1"/>
  <c r="F6084" i="1"/>
  <c r="G6084" i="1" s="1"/>
  <c r="F6085" i="1"/>
  <c r="G6085" i="1" s="1"/>
  <c r="F6086" i="1"/>
  <c r="G6086" i="1" s="1"/>
  <c r="F6087" i="1"/>
  <c r="G6087" i="1" s="1"/>
  <c r="F6088" i="1"/>
  <c r="G6088" i="1" s="1"/>
  <c r="F6089" i="1"/>
  <c r="G6089" i="1" s="1"/>
  <c r="F6090" i="1"/>
  <c r="G6090" i="1" s="1"/>
  <c r="F6091" i="1"/>
  <c r="G6091" i="1" s="1"/>
  <c r="F6092" i="1"/>
  <c r="G6092" i="1" s="1"/>
  <c r="F6093" i="1"/>
  <c r="G6093" i="1" s="1"/>
  <c r="F6094" i="1"/>
  <c r="G6094" i="1"/>
  <c r="F6095" i="1"/>
  <c r="G6095" i="1" s="1"/>
  <c r="F6096" i="1"/>
  <c r="G6096" i="1" s="1"/>
  <c r="F6097" i="1"/>
  <c r="G6097" i="1" s="1"/>
  <c r="F6098" i="1"/>
  <c r="G6098" i="1" s="1"/>
  <c r="F6099" i="1"/>
  <c r="G6099" i="1" s="1"/>
  <c r="F6100" i="1"/>
  <c r="G6100" i="1" s="1"/>
  <c r="F6101" i="1"/>
  <c r="G6101" i="1" s="1"/>
  <c r="F6102" i="1"/>
  <c r="G6102" i="1" s="1"/>
  <c r="F6103" i="1"/>
  <c r="G6103" i="1" s="1"/>
  <c r="F6104" i="1"/>
  <c r="G6104" i="1" s="1"/>
  <c r="F6105" i="1"/>
  <c r="G6105" i="1" s="1"/>
  <c r="F6106" i="1"/>
  <c r="G6106" i="1" s="1"/>
  <c r="F6107" i="1"/>
  <c r="G6107" i="1" s="1"/>
  <c r="F6108" i="1"/>
  <c r="G6108" i="1" s="1"/>
  <c r="F6109" i="1"/>
  <c r="G6109" i="1" s="1"/>
  <c r="F6110" i="1"/>
  <c r="G6110" i="1" s="1"/>
  <c r="F6111" i="1"/>
  <c r="G6111" i="1" s="1"/>
  <c r="F6112" i="1"/>
  <c r="G6112" i="1" s="1"/>
  <c r="F6113" i="1"/>
  <c r="G6113" i="1" s="1"/>
  <c r="F6114" i="1"/>
  <c r="G6114" i="1" s="1"/>
  <c r="F6115" i="1"/>
  <c r="G6115" i="1" s="1"/>
  <c r="F6116" i="1"/>
  <c r="G6116" i="1" s="1"/>
  <c r="F6117" i="1"/>
  <c r="G6117" i="1" s="1"/>
  <c r="F6118" i="1"/>
  <c r="G6118" i="1" s="1"/>
  <c r="F6119" i="1"/>
  <c r="G6119" i="1" s="1"/>
  <c r="F6120" i="1"/>
  <c r="G6120" i="1" s="1"/>
  <c r="F6121" i="1"/>
  <c r="G6121" i="1" s="1"/>
  <c r="F6122" i="1"/>
  <c r="G6122" i="1" s="1"/>
  <c r="F6123" i="1"/>
  <c r="G6123" i="1" s="1"/>
  <c r="F6124" i="1"/>
  <c r="G6124" i="1" s="1"/>
  <c r="F6125" i="1"/>
  <c r="G6125" i="1" s="1"/>
  <c r="F6126" i="1"/>
  <c r="G6126" i="1" s="1"/>
  <c r="F6127" i="1"/>
  <c r="G6127" i="1" s="1"/>
  <c r="F6128" i="1"/>
  <c r="G6128" i="1" s="1"/>
  <c r="F6129" i="1"/>
  <c r="G6129" i="1" s="1"/>
  <c r="F6130" i="1"/>
  <c r="G6130" i="1" s="1"/>
  <c r="F6131" i="1"/>
  <c r="G6131" i="1" s="1"/>
  <c r="F6132" i="1"/>
  <c r="G6132" i="1" s="1"/>
  <c r="F6133" i="1"/>
  <c r="G6133" i="1" s="1"/>
  <c r="F6134" i="1"/>
  <c r="G6134" i="1" s="1"/>
  <c r="F6135" i="1"/>
  <c r="G6135" i="1" s="1"/>
  <c r="F6136" i="1"/>
  <c r="G6136" i="1" s="1"/>
  <c r="F6137" i="1"/>
  <c r="G6137" i="1" s="1"/>
  <c r="F6138" i="1"/>
  <c r="G6138" i="1" s="1"/>
  <c r="F6139" i="1"/>
  <c r="G6139" i="1" s="1"/>
  <c r="F6140" i="1"/>
  <c r="G6140" i="1" s="1"/>
  <c r="F6141" i="1"/>
  <c r="G6141" i="1" s="1"/>
  <c r="F6142" i="1"/>
  <c r="G6142" i="1" s="1"/>
  <c r="F6143" i="1"/>
  <c r="G6143" i="1" s="1"/>
  <c r="F6144" i="1"/>
  <c r="G6144" i="1" s="1"/>
  <c r="F6145" i="1"/>
  <c r="G6145" i="1" s="1"/>
  <c r="F6146" i="1"/>
  <c r="G6146" i="1" s="1"/>
  <c r="F6147" i="1"/>
  <c r="G6147" i="1" s="1"/>
  <c r="F6148" i="1"/>
  <c r="G6148" i="1" s="1"/>
  <c r="F6149" i="1"/>
  <c r="G6149" i="1" s="1"/>
  <c r="F6150" i="1"/>
  <c r="G6150" i="1" s="1"/>
  <c r="F6151" i="1"/>
  <c r="G6151" i="1" s="1"/>
  <c r="F6152" i="1"/>
  <c r="G6152" i="1" s="1"/>
  <c r="F6153" i="1"/>
  <c r="G6153" i="1" s="1"/>
  <c r="F6154" i="1"/>
  <c r="G6154" i="1" s="1"/>
  <c r="F6155" i="1"/>
  <c r="G6155" i="1" s="1"/>
  <c r="F6156" i="1"/>
  <c r="G6156" i="1" s="1"/>
  <c r="F6157" i="1"/>
  <c r="G6157" i="1" s="1"/>
  <c r="F6158" i="1"/>
  <c r="G6158" i="1" s="1"/>
  <c r="F6159" i="1"/>
  <c r="G6159" i="1" s="1"/>
  <c r="F6160" i="1"/>
  <c r="G6160" i="1" s="1"/>
  <c r="F6161" i="1"/>
  <c r="G6161" i="1" s="1"/>
  <c r="F6162" i="1"/>
  <c r="G6162" i="1" s="1"/>
  <c r="F6163" i="1"/>
  <c r="G6163" i="1" s="1"/>
  <c r="F6164" i="1"/>
  <c r="G6164" i="1" s="1"/>
  <c r="F6165" i="1"/>
  <c r="G6165" i="1" s="1"/>
  <c r="F6166" i="1"/>
  <c r="G6166" i="1" s="1"/>
  <c r="F6167" i="1"/>
  <c r="G6167" i="1" s="1"/>
  <c r="F6168" i="1"/>
  <c r="G6168" i="1" s="1"/>
  <c r="F6169" i="1"/>
  <c r="G6169" i="1" s="1"/>
  <c r="F6170" i="1"/>
  <c r="G6170" i="1" s="1"/>
  <c r="F6171" i="1"/>
  <c r="G6171" i="1" s="1"/>
  <c r="F6172" i="1"/>
  <c r="G6172" i="1" s="1"/>
  <c r="F6173" i="1"/>
  <c r="G6173" i="1" s="1"/>
  <c r="F6174" i="1"/>
  <c r="G6174" i="1" s="1"/>
  <c r="F6175" i="1"/>
  <c r="G6175" i="1" s="1"/>
  <c r="F6176" i="1"/>
  <c r="G6176" i="1" s="1"/>
  <c r="F6177" i="1"/>
  <c r="G6177" i="1" s="1"/>
  <c r="F6178" i="1"/>
  <c r="G6178" i="1" s="1"/>
  <c r="F6179" i="1"/>
  <c r="G6179" i="1" s="1"/>
  <c r="F6180" i="1"/>
  <c r="G6180" i="1" s="1"/>
  <c r="F6181" i="1"/>
  <c r="G6181" i="1" s="1"/>
  <c r="F6182" i="1"/>
  <c r="G6182" i="1" s="1"/>
  <c r="F6183" i="1"/>
  <c r="G6183" i="1" s="1"/>
  <c r="F6184" i="1"/>
  <c r="G6184" i="1" s="1"/>
  <c r="F6185" i="1"/>
  <c r="G6185" i="1" s="1"/>
  <c r="F6186" i="1"/>
  <c r="G6186" i="1" s="1"/>
  <c r="F6187" i="1"/>
  <c r="G6187" i="1" s="1"/>
  <c r="F6188" i="1"/>
  <c r="G6188" i="1" s="1"/>
  <c r="F6189" i="1"/>
  <c r="G6189" i="1" s="1"/>
  <c r="F6190" i="1"/>
  <c r="G6190" i="1" s="1"/>
  <c r="F6191" i="1"/>
  <c r="G6191" i="1" s="1"/>
  <c r="F6192" i="1"/>
  <c r="G6192" i="1" s="1"/>
  <c r="F6193" i="1"/>
  <c r="G6193" i="1" s="1"/>
  <c r="F6194" i="1"/>
  <c r="G6194" i="1" s="1"/>
  <c r="F6195" i="1"/>
  <c r="G6195" i="1" s="1"/>
  <c r="F6196" i="1"/>
  <c r="G6196" i="1" s="1"/>
  <c r="F6197" i="1"/>
  <c r="G6197" i="1" s="1"/>
  <c r="F6198" i="1"/>
  <c r="G6198" i="1" s="1"/>
  <c r="F6199" i="1"/>
  <c r="G6199" i="1" s="1"/>
  <c r="F6200" i="1"/>
  <c r="G6200" i="1" s="1"/>
  <c r="F6201" i="1"/>
  <c r="G6201" i="1" s="1"/>
  <c r="F6202" i="1"/>
  <c r="G6202" i="1" s="1"/>
  <c r="F6203" i="1"/>
  <c r="G6203" i="1" s="1"/>
  <c r="F6204" i="1"/>
  <c r="G6204" i="1" s="1"/>
  <c r="F6205" i="1"/>
  <c r="G6205" i="1" s="1"/>
  <c r="F6206" i="1"/>
  <c r="G6206" i="1" s="1"/>
  <c r="F6207" i="1"/>
  <c r="G6207" i="1" s="1"/>
  <c r="F6208" i="1"/>
  <c r="G6208" i="1" s="1"/>
  <c r="F6209" i="1"/>
  <c r="G6209" i="1" s="1"/>
  <c r="F6210" i="1"/>
  <c r="G6210" i="1" s="1"/>
  <c r="F6211" i="1"/>
  <c r="G6211" i="1" s="1"/>
  <c r="F6212" i="1"/>
  <c r="G6212" i="1" s="1"/>
  <c r="F6213" i="1"/>
  <c r="G6213" i="1" s="1"/>
  <c r="F6214" i="1"/>
  <c r="G6214" i="1" s="1"/>
  <c r="F6215" i="1"/>
  <c r="G6215" i="1" s="1"/>
  <c r="F6216" i="1"/>
  <c r="G6216" i="1" s="1"/>
  <c r="F6217" i="1"/>
  <c r="G6217" i="1" s="1"/>
  <c r="F6218" i="1"/>
  <c r="G6218" i="1" s="1"/>
  <c r="F6219" i="1"/>
  <c r="G6219" i="1" s="1"/>
  <c r="F6220" i="1"/>
  <c r="G6220" i="1" s="1"/>
  <c r="F6221" i="1"/>
  <c r="G6221" i="1" s="1"/>
  <c r="F6222" i="1"/>
  <c r="G6222" i="1" s="1"/>
  <c r="F6223" i="1"/>
  <c r="G6223" i="1" s="1"/>
  <c r="F6224" i="1"/>
  <c r="G6224" i="1" s="1"/>
  <c r="F6225" i="1"/>
  <c r="G6225" i="1" s="1"/>
  <c r="F6226" i="1"/>
  <c r="G6226" i="1" s="1"/>
  <c r="F6227" i="1"/>
  <c r="G6227" i="1" s="1"/>
  <c r="F6228" i="1"/>
  <c r="G6228" i="1" s="1"/>
  <c r="F6229" i="1"/>
  <c r="G6229" i="1" s="1"/>
  <c r="F6230" i="1"/>
  <c r="G6230" i="1" s="1"/>
  <c r="F6231" i="1"/>
  <c r="G6231" i="1" s="1"/>
  <c r="F6232" i="1"/>
  <c r="G6232" i="1" s="1"/>
  <c r="F6233" i="1"/>
  <c r="G6233" i="1" s="1"/>
  <c r="F6234" i="1"/>
  <c r="G6234" i="1" s="1"/>
  <c r="F6235" i="1"/>
  <c r="G6235" i="1" s="1"/>
  <c r="F6236" i="1"/>
  <c r="G6236" i="1" s="1"/>
  <c r="F6237" i="1"/>
  <c r="G6237" i="1" s="1"/>
  <c r="F6238" i="1"/>
  <c r="G6238" i="1" s="1"/>
  <c r="F6239" i="1"/>
  <c r="G6239" i="1" s="1"/>
  <c r="F6240" i="1"/>
  <c r="G6240" i="1" s="1"/>
  <c r="F6241" i="1"/>
  <c r="G6241" i="1" s="1"/>
  <c r="F6242" i="1"/>
  <c r="G6242" i="1" s="1"/>
  <c r="F6243" i="1"/>
  <c r="G6243" i="1" s="1"/>
  <c r="F6244" i="1"/>
  <c r="G6244" i="1" s="1"/>
  <c r="F6245" i="1"/>
  <c r="G6245" i="1" s="1"/>
  <c r="F6246" i="1"/>
  <c r="G6246" i="1" s="1"/>
  <c r="F6247" i="1"/>
  <c r="G6247" i="1" s="1"/>
  <c r="F6248" i="1"/>
  <c r="G6248" i="1" s="1"/>
  <c r="F6249" i="1"/>
  <c r="G6249" i="1" s="1"/>
  <c r="F6250" i="1"/>
  <c r="G6250" i="1" s="1"/>
  <c r="F6251" i="1"/>
  <c r="G6251" i="1" s="1"/>
  <c r="F6252" i="1"/>
  <c r="G6252" i="1" s="1"/>
  <c r="F6253" i="1"/>
  <c r="G6253" i="1" s="1"/>
  <c r="F6254" i="1"/>
  <c r="G6254" i="1" s="1"/>
  <c r="F6255" i="1"/>
  <c r="G6255" i="1" s="1"/>
  <c r="F6256" i="1"/>
  <c r="G6256" i="1" s="1"/>
  <c r="F6257" i="1"/>
  <c r="G6257" i="1" s="1"/>
  <c r="F6258" i="1"/>
  <c r="G6258" i="1" s="1"/>
  <c r="F6259" i="1"/>
  <c r="G6259" i="1" s="1"/>
  <c r="F6260" i="1"/>
  <c r="G6260" i="1" s="1"/>
  <c r="F6261" i="1"/>
  <c r="G6261" i="1" s="1"/>
  <c r="F6262" i="1"/>
  <c r="G6262" i="1" s="1"/>
  <c r="F6263" i="1"/>
  <c r="G6263" i="1" s="1"/>
  <c r="F6264" i="1"/>
  <c r="G6264" i="1" s="1"/>
  <c r="F6265" i="1"/>
  <c r="G6265" i="1" s="1"/>
  <c r="F6266" i="1"/>
  <c r="G6266" i="1" s="1"/>
  <c r="F6267" i="1"/>
  <c r="G6267" i="1" s="1"/>
  <c r="F6268" i="1"/>
  <c r="G6268" i="1" s="1"/>
  <c r="F6269" i="1"/>
  <c r="G6269" i="1" s="1"/>
  <c r="F6270" i="1"/>
  <c r="G6270" i="1" s="1"/>
  <c r="F6271" i="1"/>
  <c r="G6271" i="1" s="1"/>
  <c r="F6272" i="1"/>
  <c r="G6272" i="1" s="1"/>
  <c r="F6273" i="1"/>
  <c r="G6273" i="1" s="1"/>
  <c r="F6274" i="1"/>
  <c r="G6274" i="1" s="1"/>
  <c r="F6275" i="1"/>
  <c r="G6275" i="1" s="1"/>
  <c r="F6276" i="1"/>
  <c r="G6276" i="1" s="1"/>
  <c r="F6277" i="1"/>
  <c r="G6277" i="1" s="1"/>
  <c r="F6278" i="1"/>
  <c r="G6278" i="1" s="1"/>
  <c r="F6279" i="1"/>
  <c r="G6279" i="1" s="1"/>
  <c r="F6280" i="1"/>
  <c r="G6280" i="1" s="1"/>
  <c r="F6281" i="1"/>
  <c r="G6281" i="1" s="1"/>
  <c r="F6282" i="1"/>
  <c r="G6282" i="1" s="1"/>
  <c r="F6283" i="1"/>
  <c r="G6283" i="1" s="1"/>
  <c r="F6284" i="1"/>
  <c r="G6284" i="1" s="1"/>
  <c r="F6285" i="1"/>
  <c r="G6285" i="1" s="1"/>
  <c r="F6286" i="1"/>
  <c r="G6286" i="1" s="1"/>
  <c r="F6287" i="1"/>
  <c r="G6287" i="1" s="1"/>
  <c r="F6288" i="1"/>
  <c r="G6288" i="1" s="1"/>
  <c r="F6289" i="1"/>
  <c r="G6289" i="1" s="1"/>
  <c r="F6290" i="1"/>
  <c r="G6290" i="1" s="1"/>
  <c r="F6291" i="1"/>
  <c r="G6291" i="1" s="1"/>
  <c r="F6292" i="1"/>
  <c r="G6292" i="1" s="1"/>
  <c r="F6293" i="1"/>
  <c r="G6293" i="1" s="1"/>
  <c r="F6294" i="1"/>
  <c r="G6294" i="1" s="1"/>
  <c r="F6295" i="1"/>
  <c r="G6295" i="1" s="1"/>
  <c r="F6296" i="1"/>
  <c r="G6296" i="1" s="1"/>
  <c r="F6297" i="1"/>
  <c r="G6297" i="1" s="1"/>
  <c r="F6298" i="1"/>
  <c r="G6298" i="1" s="1"/>
  <c r="F6299" i="1"/>
  <c r="G6299" i="1" s="1"/>
  <c r="F6300" i="1"/>
  <c r="G6300" i="1" s="1"/>
  <c r="F6301" i="1"/>
  <c r="G6301" i="1" s="1"/>
  <c r="F6302" i="1"/>
  <c r="G6302" i="1" s="1"/>
  <c r="F6303" i="1"/>
  <c r="G6303" i="1" s="1"/>
  <c r="F6304" i="1"/>
  <c r="G6304" i="1" s="1"/>
  <c r="F6305" i="1"/>
  <c r="G6305" i="1" s="1"/>
  <c r="F6306" i="1"/>
  <c r="G6306" i="1" s="1"/>
  <c r="F6307" i="1"/>
  <c r="G6307" i="1" s="1"/>
  <c r="F6308" i="1"/>
  <c r="G6308" i="1" s="1"/>
  <c r="F6309" i="1"/>
  <c r="G6309" i="1" s="1"/>
  <c r="F6310" i="1"/>
  <c r="G6310" i="1" s="1"/>
  <c r="F6311" i="1"/>
  <c r="G6311" i="1" s="1"/>
  <c r="F6312" i="1"/>
  <c r="G6312" i="1" s="1"/>
  <c r="F6313" i="1"/>
  <c r="G6313" i="1" s="1"/>
  <c r="F6314" i="1"/>
  <c r="G6314" i="1" s="1"/>
  <c r="F6315" i="1"/>
  <c r="G6315" i="1" s="1"/>
  <c r="F6316" i="1"/>
  <c r="G6316" i="1" s="1"/>
  <c r="F6317" i="1"/>
  <c r="G6317" i="1" s="1"/>
  <c r="F6318" i="1"/>
  <c r="G6318" i="1" s="1"/>
  <c r="F6319" i="1"/>
  <c r="G6319" i="1" s="1"/>
  <c r="F6320" i="1"/>
  <c r="G6320" i="1" s="1"/>
  <c r="F6321" i="1"/>
  <c r="G6321" i="1" s="1"/>
  <c r="F6322" i="1"/>
  <c r="G6322" i="1" s="1"/>
  <c r="F6323" i="1"/>
  <c r="G6323" i="1" s="1"/>
  <c r="F6324" i="1"/>
  <c r="G6324" i="1" s="1"/>
  <c r="F6325" i="1"/>
  <c r="G6325" i="1" s="1"/>
  <c r="F6326" i="1"/>
  <c r="G6326" i="1" s="1"/>
  <c r="F6327" i="1"/>
  <c r="G6327" i="1" s="1"/>
  <c r="F6328" i="1"/>
  <c r="G6328" i="1" s="1"/>
  <c r="F6329" i="1"/>
  <c r="G6329" i="1" s="1"/>
  <c r="F6330" i="1"/>
  <c r="G6330" i="1" s="1"/>
  <c r="F6331" i="1"/>
  <c r="G6331" i="1" s="1"/>
  <c r="F6332" i="1"/>
  <c r="G6332" i="1" s="1"/>
  <c r="F6333" i="1"/>
  <c r="G6333" i="1" s="1"/>
  <c r="F6334" i="1"/>
  <c r="G6334" i="1" s="1"/>
  <c r="F6335" i="1"/>
  <c r="G6335" i="1" s="1"/>
  <c r="F6336" i="1"/>
  <c r="G6336" i="1" s="1"/>
  <c r="F6337" i="1"/>
  <c r="G6337" i="1" s="1"/>
  <c r="F6338" i="1"/>
  <c r="G6338" i="1" s="1"/>
  <c r="F6339" i="1"/>
  <c r="G6339" i="1" s="1"/>
  <c r="F6340" i="1"/>
  <c r="G6340" i="1" s="1"/>
  <c r="F6341" i="1"/>
  <c r="G6341" i="1" s="1"/>
  <c r="F6342" i="1"/>
  <c r="G6342" i="1" s="1"/>
  <c r="F6343" i="1"/>
  <c r="G6343" i="1" s="1"/>
  <c r="F6344" i="1"/>
  <c r="G6344" i="1" s="1"/>
  <c r="F6345" i="1"/>
  <c r="G6345" i="1" s="1"/>
  <c r="F6346" i="1"/>
  <c r="G6346" i="1" s="1"/>
  <c r="F6347" i="1"/>
  <c r="G6347" i="1" s="1"/>
  <c r="F6348" i="1"/>
  <c r="G6348" i="1" s="1"/>
  <c r="F6349" i="1"/>
  <c r="G6349" i="1" s="1"/>
  <c r="F6350" i="1"/>
  <c r="G6350" i="1" s="1"/>
  <c r="F6351" i="1"/>
  <c r="G6351" i="1" s="1"/>
  <c r="F6352" i="1"/>
  <c r="G6352" i="1" s="1"/>
  <c r="F6353" i="1"/>
  <c r="G6353" i="1" s="1"/>
  <c r="F6354" i="1"/>
  <c r="G6354" i="1" s="1"/>
  <c r="F6355" i="1"/>
  <c r="G6355" i="1" s="1"/>
  <c r="F6356" i="1"/>
  <c r="G6356" i="1" s="1"/>
  <c r="F6357" i="1"/>
  <c r="G6357" i="1" s="1"/>
  <c r="F6358" i="1"/>
  <c r="G6358" i="1" s="1"/>
  <c r="F6359" i="1"/>
  <c r="G6359" i="1" s="1"/>
  <c r="F6360" i="1"/>
  <c r="G6360" i="1" s="1"/>
  <c r="F6361" i="1"/>
  <c r="G6361" i="1" s="1"/>
  <c r="F6362" i="1"/>
  <c r="G6362" i="1" s="1"/>
  <c r="F6363" i="1"/>
  <c r="G6363" i="1" s="1"/>
  <c r="F6364" i="1"/>
  <c r="G6364" i="1" s="1"/>
  <c r="F6365" i="1"/>
  <c r="G6365" i="1" s="1"/>
  <c r="F6366" i="1"/>
  <c r="G6366" i="1" s="1"/>
  <c r="F6367" i="1"/>
  <c r="G6367" i="1" s="1"/>
  <c r="F6368" i="1"/>
  <c r="G6368" i="1" s="1"/>
  <c r="F6369" i="1"/>
  <c r="G6369" i="1" s="1"/>
  <c r="F6370" i="1"/>
  <c r="G6370" i="1" s="1"/>
  <c r="F6371" i="1"/>
  <c r="G6371" i="1" s="1"/>
  <c r="F6372" i="1"/>
  <c r="G6372" i="1" s="1"/>
  <c r="F6373" i="1"/>
  <c r="G6373" i="1" s="1"/>
  <c r="F6374" i="1"/>
  <c r="G6374" i="1" s="1"/>
  <c r="F6375" i="1"/>
  <c r="G6375" i="1" s="1"/>
  <c r="F6376" i="1"/>
  <c r="G6376" i="1" s="1"/>
  <c r="F6377" i="1"/>
  <c r="G6377" i="1" s="1"/>
  <c r="F6378" i="1"/>
  <c r="G6378" i="1" s="1"/>
  <c r="F6379" i="1"/>
  <c r="G6379" i="1" s="1"/>
  <c r="F6380" i="1"/>
  <c r="G6380" i="1" s="1"/>
  <c r="F6381" i="1"/>
  <c r="G6381" i="1" s="1"/>
  <c r="F6382" i="1"/>
  <c r="G6382" i="1" s="1"/>
  <c r="F6383" i="1"/>
  <c r="G6383" i="1" s="1"/>
  <c r="F6384" i="1"/>
  <c r="G6384" i="1" s="1"/>
  <c r="F6385" i="1"/>
  <c r="G6385" i="1" s="1"/>
  <c r="F6386" i="1"/>
  <c r="G6386" i="1" s="1"/>
  <c r="F6387" i="1"/>
  <c r="G6387" i="1" s="1"/>
  <c r="F6388" i="1"/>
  <c r="G6388" i="1" s="1"/>
  <c r="F6389" i="1"/>
  <c r="G6389" i="1" s="1"/>
  <c r="F6390" i="1"/>
  <c r="G6390" i="1" s="1"/>
  <c r="F6391" i="1"/>
  <c r="G6391" i="1" s="1"/>
  <c r="F6392" i="1"/>
  <c r="G6392" i="1" s="1"/>
  <c r="F6393" i="1"/>
  <c r="G6393" i="1" s="1"/>
  <c r="F6394" i="1"/>
  <c r="G6394" i="1" s="1"/>
  <c r="F6395" i="1"/>
  <c r="G6395" i="1" s="1"/>
  <c r="F6396" i="1"/>
  <c r="G6396" i="1" s="1"/>
  <c r="F6397" i="1"/>
  <c r="G6397" i="1" s="1"/>
  <c r="F6398" i="1"/>
  <c r="G6398" i="1" s="1"/>
  <c r="F6399" i="1"/>
  <c r="G6399" i="1" s="1"/>
  <c r="F6400" i="1"/>
  <c r="G6400" i="1" s="1"/>
  <c r="F6401" i="1"/>
  <c r="G6401" i="1" s="1"/>
  <c r="F6402" i="1"/>
  <c r="G6402" i="1" s="1"/>
  <c r="F6403" i="1"/>
  <c r="G6403" i="1" s="1"/>
  <c r="F6404" i="1"/>
  <c r="G6404" i="1" s="1"/>
  <c r="F6405" i="1"/>
  <c r="G6405" i="1" s="1"/>
  <c r="F6406" i="1"/>
  <c r="G6406" i="1" s="1"/>
  <c r="F6407" i="1"/>
  <c r="G6407" i="1" s="1"/>
  <c r="F6408" i="1"/>
  <c r="G6408" i="1" s="1"/>
  <c r="F6409" i="1"/>
  <c r="G6409" i="1" s="1"/>
  <c r="F6410" i="1"/>
  <c r="G6410" i="1" s="1"/>
  <c r="F6411" i="1"/>
  <c r="G6411" i="1" s="1"/>
  <c r="F6412" i="1"/>
  <c r="G6412" i="1" s="1"/>
  <c r="F6413" i="1"/>
  <c r="G6413" i="1" s="1"/>
  <c r="F6414" i="1"/>
  <c r="G6414" i="1" s="1"/>
  <c r="F6415" i="1"/>
  <c r="G6415" i="1" s="1"/>
  <c r="F6416" i="1"/>
  <c r="G6416" i="1" s="1"/>
  <c r="F6417" i="1"/>
  <c r="G6417" i="1" s="1"/>
  <c r="F6418" i="1"/>
  <c r="G6418" i="1" s="1"/>
  <c r="F6419" i="1"/>
  <c r="G6419" i="1" s="1"/>
  <c r="F6420" i="1"/>
  <c r="G6420" i="1" s="1"/>
  <c r="F6421" i="1"/>
  <c r="G6421" i="1" s="1"/>
  <c r="F6422" i="1"/>
  <c r="G6422" i="1" s="1"/>
  <c r="F6423" i="1"/>
  <c r="G6423" i="1" s="1"/>
  <c r="F6424" i="1"/>
  <c r="G6424" i="1" s="1"/>
  <c r="F6425" i="1"/>
  <c r="G6425" i="1" s="1"/>
  <c r="F6426" i="1"/>
  <c r="G6426" i="1" s="1"/>
  <c r="F6427" i="1"/>
  <c r="G6427" i="1" s="1"/>
  <c r="F6428" i="1"/>
  <c r="G6428" i="1" s="1"/>
  <c r="F6429" i="1"/>
  <c r="G6429" i="1" s="1"/>
  <c r="F6430" i="1"/>
  <c r="G6430" i="1" s="1"/>
  <c r="F6431" i="1"/>
  <c r="G6431" i="1" s="1"/>
  <c r="F6432" i="1"/>
  <c r="G6432" i="1" s="1"/>
  <c r="F6433" i="1"/>
  <c r="G6433" i="1" s="1"/>
  <c r="F6434" i="1"/>
  <c r="G6434" i="1" s="1"/>
  <c r="F6435" i="1"/>
  <c r="G6435" i="1" s="1"/>
  <c r="F6436" i="1"/>
  <c r="G6436" i="1" s="1"/>
  <c r="F6437" i="1"/>
  <c r="G6437" i="1" s="1"/>
  <c r="F6438" i="1"/>
  <c r="G6438" i="1" s="1"/>
  <c r="F6439" i="1"/>
  <c r="G6439" i="1" s="1"/>
  <c r="F6440" i="1"/>
  <c r="G6440" i="1" s="1"/>
  <c r="F6441" i="1"/>
  <c r="G6441" i="1" s="1"/>
  <c r="F6442" i="1"/>
  <c r="G6442" i="1" s="1"/>
  <c r="F6443" i="1"/>
  <c r="G6443" i="1" s="1"/>
  <c r="F6444" i="1"/>
  <c r="G6444" i="1" s="1"/>
  <c r="F6445" i="1"/>
  <c r="G6445" i="1" s="1"/>
  <c r="F6446" i="1"/>
  <c r="G6446" i="1" s="1"/>
  <c r="F6447" i="1"/>
  <c r="G6447" i="1" s="1"/>
  <c r="F6448" i="1"/>
  <c r="G6448" i="1" s="1"/>
  <c r="F6449" i="1"/>
  <c r="G6449" i="1" s="1"/>
  <c r="F6450" i="1"/>
  <c r="G6450" i="1" s="1"/>
  <c r="F6451" i="1"/>
  <c r="G6451" i="1" s="1"/>
  <c r="F6452" i="1"/>
  <c r="G6452" i="1" s="1"/>
  <c r="F6453" i="1"/>
  <c r="G6453" i="1" s="1"/>
  <c r="F6454" i="1"/>
  <c r="G6454" i="1" s="1"/>
  <c r="F6455" i="1"/>
  <c r="G6455" i="1" s="1"/>
  <c r="F6456" i="1"/>
  <c r="G6456" i="1" s="1"/>
  <c r="F6457" i="1"/>
  <c r="G6457" i="1" s="1"/>
  <c r="F6458" i="1"/>
  <c r="G6458" i="1" s="1"/>
  <c r="F6459" i="1"/>
  <c r="G6459" i="1" s="1"/>
  <c r="F6460" i="1"/>
  <c r="G6460" i="1" s="1"/>
  <c r="F6461" i="1"/>
  <c r="G6461" i="1" s="1"/>
  <c r="F6462" i="1"/>
  <c r="G6462" i="1" s="1"/>
  <c r="F6463" i="1"/>
  <c r="G6463" i="1" s="1"/>
  <c r="F6464" i="1"/>
  <c r="G6464" i="1" s="1"/>
  <c r="F6465" i="1"/>
  <c r="G6465" i="1" s="1"/>
  <c r="F6466" i="1"/>
  <c r="G6466" i="1" s="1"/>
  <c r="F6467" i="1"/>
  <c r="G6467" i="1" s="1"/>
  <c r="F6468" i="1"/>
  <c r="G6468" i="1" s="1"/>
  <c r="F6469" i="1"/>
  <c r="G6469" i="1" s="1"/>
  <c r="F6470" i="1"/>
  <c r="G6470" i="1" s="1"/>
  <c r="F6471" i="1"/>
  <c r="G6471" i="1" s="1"/>
  <c r="F6472" i="1"/>
  <c r="G6472" i="1" s="1"/>
  <c r="F6473" i="1"/>
  <c r="G6473" i="1" s="1"/>
  <c r="F6474" i="1"/>
  <c r="G6474" i="1" s="1"/>
  <c r="F6475" i="1"/>
  <c r="G6475" i="1" s="1"/>
  <c r="F6476" i="1"/>
  <c r="G6476" i="1" s="1"/>
  <c r="F6477" i="1"/>
  <c r="G6477" i="1" s="1"/>
  <c r="F6478" i="1"/>
  <c r="G6478" i="1" s="1"/>
  <c r="F6479" i="1"/>
  <c r="G6479" i="1" s="1"/>
  <c r="F6480" i="1"/>
  <c r="G6480" i="1" s="1"/>
  <c r="F6481" i="1"/>
  <c r="G6481" i="1" s="1"/>
  <c r="F6482" i="1"/>
  <c r="G6482" i="1" s="1"/>
  <c r="F6483" i="1"/>
  <c r="G6483" i="1" s="1"/>
  <c r="F6484" i="1"/>
  <c r="G6484" i="1" s="1"/>
  <c r="F6485" i="1"/>
  <c r="G6485" i="1" s="1"/>
  <c r="F6486" i="1"/>
  <c r="G6486" i="1" s="1"/>
  <c r="F6487" i="1"/>
  <c r="G6487" i="1" s="1"/>
  <c r="F6488" i="1"/>
  <c r="G6488" i="1" s="1"/>
  <c r="F6489" i="1"/>
  <c r="G6489" i="1" s="1"/>
  <c r="F6490" i="1"/>
  <c r="G6490" i="1" s="1"/>
  <c r="F6491" i="1"/>
  <c r="G6491" i="1" s="1"/>
  <c r="F6492" i="1"/>
  <c r="G6492" i="1" s="1"/>
  <c r="F6493" i="1"/>
  <c r="G6493" i="1" s="1"/>
  <c r="F6494" i="1"/>
  <c r="G6494" i="1" s="1"/>
  <c r="F6495" i="1"/>
  <c r="G6495" i="1" s="1"/>
  <c r="F6496" i="1"/>
  <c r="G6496" i="1" s="1"/>
  <c r="F6497" i="1"/>
  <c r="G6497" i="1" s="1"/>
  <c r="F6498" i="1"/>
  <c r="G6498" i="1" s="1"/>
  <c r="F6499" i="1"/>
  <c r="G6499" i="1" s="1"/>
  <c r="F6500" i="1"/>
  <c r="G6500" i="1" s="1"/>
  <c r="F6501" i="1"/>
  <c r="G6501" i="1" s="1"/>
  <c r="F6502" i="1"/>
  <c r="G6502" i="1" s="1"/>
  <c r="F6503" i="1"/>
  <c r="G6503" i="1" s="1"/>
  <c r="F6504" i="1"/>
  <c r="G6504" i="1" s="1"/>
  <c r="F6505" i="1"/>
  <c r="G6505" i="1" s="1"/>
  <c r="F6506" i="1"/>
  <c r="G6506" i="1" s="1"/>
  <c r="F6507" i="1"/>
  <c r="G6507" i="1" s="1"/>
  <c r="F6508" i="1"/>
  <c r="G6508" i="1" s="1"/>
  <c r="F6509" i="1"/>
  <c r="G6509" i="1" s="1"/>
  <c r="F6510" i="1"/>
  <c r="G6510" i="1" s="1"/>
  <c r="F6511" i="1"/>
  <c r="G6511" i="1" s="1"/>
  <c r="F6512" i="1"/>
  <c r="G6512" i="1" s="1"/>
  <c r="F6513" i="1"/>
  <c r="G6513" i="1" s="1"/>
  <c r="F6514" i="1"/>
  <c r="G6514" i="1" s="1"/>
  <c r="F6515" i="1"/>
  <c r="G6515" i="1" s="1"/>
  <c r="F6516" i="1"/>
  <c r="G6516" i="1" s="1"/>
  <c r="F6517" i="1"/>
  <c r="G6517" i="1" s="1"/>
  <c r="F6518" i="1"/>
  <c r="G6518" i="1" s="1"/>
  <c r="F6519" i="1"/>
  <c r="G6519" i="1" s="1"/>
  <c r="F6520" i="1"/>
  <c r="G6520" i="1" s="1"/>
  <c r="F6521" i="1"/>
  <c r="G6521" i="1" s="1"/>
  <c r="F6522" i="1"/>
  <c r="G6522" i="1" s="1"/>
  <c r="F6523" i="1"/>
  <c r="G6523" i="1" s="1"/>
  <c r="F6524" i="1"/>
  <c r="G6524" i="1" s="1"/>
  <c r="F6525" i="1"/>
  <c r="G6525" i="1" s="1"/>
  <c r="F6526" i="1"/>
  <c r="G6526" i="1" s="1"/>
  <c r="F6527" i="1"/>
  <c r="G6527" i="1" s="1"/>
  <c r="F6528" i="1"/>
  <c r="G6528" i="1" s="1"/>
  <c r="F6529" i="1"/>
  <c r="G6529" i="1" s="1"/>
  <c r="F6530" i="1"/>
  <c r="G6530" i="1" s="1"/>
  <c r="F6531" i="1"/>
  <c r="G6531" i="1" s="1"/>
  <c r="F6532" i="1"/>
  <c r="G6532" i="1" s="1"/>
  <c r="F6533" i="1"/>
  <c r="G6533" i="1" s="1"/>
  <c r="F6534" i="1"/>
  <c r="G6534" i="1" s="1"/>
  <c r="F6535" i="1"/>
  <c r="G6535" i="1" s="1"/>
  <c r="F6536" i="1"/>
  <c r="G6536" i="1" s="1"/>
  <c r="F6537" i="1"/>
  <c r="G6537" i="1" s="1"/>
  <c r="F6538" i="1"/>
  <c r="G6538" i="1" s="1"/>
  <c r="F6539" i="1"/>
  <c r="G6539" i="1" s="1"/>
  <c r="F6540" i="1"/>
  <c r="G6540" i="1" s="1"/>
  <c r="F6541" i="1"/>
  <c r="G6541" i="1" s="1"/>
  <c r="F6542" i="1"/>
  <c r="G6542" i="1" s="1"/>
  <c r="F6543" i="1"/>
  <c r="G6543" i="1" s="1"/>
  <c r="F6544" i="1"/>
  <c r="G6544" i="1" s="1"/>
  <c r="F6545" i="1"/>
  <c r="G6545" i="1" s="1"/>
  <c r="F6546" i="1"/>
  <c r="G6546" i="1" s="1"/>
  <c r="F6547" i="1"/>
  <c r="G6547" i="1" s="1"/>
  <c r="F6548" i="1"/>
  <c r="G6548" i="1" s="1"/>
  <c r="F6549" i="1"/>
  <c r="G6549" i="1" s="1"/>
  <c r="F6550" i="1"/>
  <c r="G6550" i="1" s="1"/>
  <c r="F6551" i="1"/>
  <c r="G6551" i="1" s="1"/>
  <c r="F6552" i="1"/>
  <c r="G6552" i="1" s="1"/>
  <c r="F6553" i="1"/>
  <c r="G6553" i="1" s="1"/>
  <c r="F6554" i="1"/>
  <c r="G6554" i="1" s="1"/>
  <c r="F6555" i="1"/>
  <c r="G6555" i="1" s="1"/>
  <c r="F6556" i="1"/>
  <c r="G6556" i="1" s="1"/>
  <c r="F6557" i="1"/>
  <c r="G6557" i="1" s="1"/>
  <c r="F6558" i="1"/>
  <c r="G6558" i="1" s="1"/>
  <c r="F6559" i="1"/>
  <c r="G6559" i="1" s="1"/>
  <c r="F6560" i="1"/>
  <c r="G6560" i="1" s="1"/>
  <c r="F6561" i="1"/>
  <c r="G6561" i="1" s="1"/>
  <c r="F6562" i="1"/>
  <c r="G6562" i="1" s="1"/>
  <c r="F6563" i="1"/>
  <c r="G6563" i="1" s="1"/>
  <c r="F6564" i="1"/>
  <c r="G6564" i="1" s="1"/>
  <c r="F6565" i="1"/>
  <c r="G6565" i="1" s="1"/>
  <c r="F6566" i="1"/>
  <c r="G6566" i="1" s="1"/>
  <c r="F6567" i="1"/>
  <c r="G6567" i="1" s="1"/>
  <c r="F6568" i="1"/>
  <c r="G6568" i="1" s="1"/>
  <c r="F6569" i="1"/>
  <c r="G6569" i="1" s="1"/>
  <c r="F6570" i="1"/>
  <c r="G6570" i="1" s="1"/>
  <c r="F6571" i="1"/>
  <c r="G6571" i="1" s="1"/>
  <c r="F6572" i="1"/>
  <c r="G6572" i="1" s="1"/>
  <c r="F6573" i="1"/>
  <c r="G6573" i="1" s="1"/>
  <c r="F6574" i="1"/>
  <c r="G6574" i="1" s="1"/>
  <c r="F6575" i="1"/>
  <c r="G6575" i="1" s="1"/>
  <c r="F6576" i="1"/>
  <c r="G6576" i="1" s="1"/>
  <c r="F6577" i="1"/>
  <c r="G6577" i="1" s="1"/>
  <c r="F6578" i="1"/>
  <c r="G6578" i="1" s="1"/>
  <c r="F6579" i="1"/>
  <c r="G6579" i="1" s="1"/>
  <c r="F6580" i="1"/>
  <c r="G6580" i="1" s="1"/>
  <c r="F6581" i="1"/>
  <c r="G6581" i="1" s="1"/>
  <c r="F6582" i="1"/>
  <c r="G6582" i="1" s="1"/>
  <c r="F6583" i="1"/>
  <c r="G6583" i="1" s="1"/>
  <c r="F6584" i="1"/>
  <c r="G6584" i="1" s="1"/>
  <c r="F6585" i="1"/>
  <c r="G6585" i="1" s="1"/>
  <c r="F6586" i="1"/>
  <c r="G6586" i="1" s="1"/>
  <c r="F6587" i="1"/>
  <c r="G6587" i="1" s="1"/>
  <c r="F6588" i="1"/>
  <c r="G6588" i="1" s="1"/>
  <c r="F6589" i="1"/>
  <c r="G6589" i="1" s="1"/>
  <c r="F6590" i="1"/>
  <c r="G6590" i="1" s="1"/>
  <c r="F6591" i="1"/>
  <c r="G6591" i="1" s="1"/>
  <c r="F6592" i="1"/>
  <c r="G6592" i="1" s="1"/>
  <c r="F6593" i="1"/>
  <c r="G6593" i="1" s="1"/>
  <c r="F6594" i="1"/>
  <c r="G6594" i="1" s="1"/>
  <c r="F6595" i="1"/>
  <c r="G6595" i="1" s="1"/>
  <c r="F6596" i="1"/>
  <c r="G6596" i="1" s="1"/>
  <c r="F6597" i="1"/>
  <c r="G6597" i="1" s="1"/>
  <c r="F6598" i="1"/>
  <c r="G6598" i="1" s="1"/>
  <c r="F6599" i="1"/>
  <c r="G6599" i="1" s="1"/>
  <c r="F6600" i="1"/>
  <c r="G6600" i="1" s="1"/>
  <c r="F6601" i="1"/>
  <c r="G6601" i="1" s="1"/>
  <c r="F6602" i="1"/>
  <c r="G6602" i="1" s="1"/>
  <c r="F6603" i="1"/>
  <c r="G6603" i="1" s="1"/>
  <c r="F6604" i="1"/>
  <c r="G6604" i="1" s="1"/>
  <c r="F6605" i="1"/>
  <c r="G6605" i="1" s="1"/>
  <c r="F6606" i="1"/>
  <c r="G6606" i="1" s="1"/>
  <c r="F6607" i="1"/>
  <c r="G6607" i="1" s="1"/>
  <c r="F6608" i="1"/>
  <c r="G6608" i="1" s="1"/>
  <c r="F6609" i="1"/>
  <c r="G6609" i="1" s="1"/>
  <c r="F6610" i="1"/>
  <c r="G6610" i="1" s="1"/>
  <c r="F6611" i="1"/>
  <c r="G6611" i="1" s="1"/>
  <c r="F6612" i="1"/>
  <c r="G6612" i="1" s="1"/>
  <c r="F6613" i="1"/>
  <c r="G6613" i="1" s="1"/>
  <c r="F6614" i="1"/>
  <c r="G6614" i="1" s="1"/>
  <c r="F6615" i="1"/>
  <c r="G6615" i="1" s="1"/>
  <c r="F6616" i="1"/>
  <c r="G6616" i="1" s="1"/>
  <c r="F6617" i="1"/>
  <c r="G6617" i="1" s="1"/>
  <c r="F6618" i="1"/>
  <c r="G6618" i="1" s="1"/>
  <c r="F6619" i="1"/>
  <c r="G6619" i="1" s="1"/>
  <c r="F6620" i="1"/>
  <c r="G6620" i="1" s="1"/>
  <c r="F6621" i="1"/>
  <c r="G6621" i="1" s="1"/>
  <c r="F6622" i="1"/>
  <c r="G6622" i="1" s="1"/>
  <c r="F6623" i="1"/>
  <c r="G6623" i="1" s="1"/>
  <c r="F6624" i="1"/>
  <c r="G6624" i="1" s="1"/>
  <c r="F6625" i="1"/>
  <c r="G6625" i="1" s="1"/>
  <c r="F6626" i="1"/>
  <c r="G6626" i="1" s="1"/>
  <c r="F6627" i="1"/>
  <c r="G6627" i="1" s="1"/>
  <c r="F6628" i="1"/>
  <c r="G6628" i="1" s="1"/>
  <c r="F6629" i="1"/>
  <c r="G6629" i="1" s="1"/>
  <c r="F6630" i="1"/>
  <c r="G6630" i="1" s="1"/>
  <c r="F6631" i="1"/>
  <c r="G6631" i="1" s="1"/>
  <c r="F6632" i="1"/>
  <c r="G6632" i="1" s="1"/>
  <c r="F6633" i="1"/>
  <c r="G6633" i="1" s="1"/>
  <c r="F6634" i="1"/>
  <c r="G6634" i="1" s="1"/>
  <c r="F6635" i="1"/>
  <c r="G6635" i="1" s="1"/>
  <c r="F6636" i="1"/>
  <c r="G6636" i="1" s="1"/>
  <c r="F6637" i="1"/>
  <c r="G6637" i="1" s="1"/>
  <c r="F6638" i="1"/>
  <c r="G6638" i="1" s="1"/>
  <c r="F6639" i="1"/>
  <c r="G6639" i="1" s="1"/>
  <c r="F6640" i="1"/>
  <c r="G6640" i="1" s="1"/>
  <c r="F6641" i="1"/>
  <c r="G6641" i="1" s="1"/>
  <c r="F6642" i="1"/>
  <c r="G6642" i="1" s="1"/>
  <c r="F6643" i="1"/>
  <c r="G6643" i="1" s="1"/>
  <c r="F6644" i="1"/>
  <c r="G6644" i="1" s="1"/>
  <c r="F6645" i="1"/>
  <c r="G6645" i="1" s="1"/>
  <c r="F6646" i="1"/>
  <c r="G6646" i="1" s="1"/>
  <c r="F6647" i="1"/>
  <c r="G6647" i="1" s="1"/>
  <c r="F6648" i="1"/>
  <c r="G6648" i="1" s="1"/>
  <c r="F6649" i="1"/>
  <c r="G6649" i="1" s="1"/>
  <c r="F6650" i="1"/>
  <c r="G6650" i="1" s="1"/>
  <c r="F6651" i="1"/>
  <c r="G6651" i="1" s="1"/>
  <c r="F6652" i="1"/>
  <c r="G6652" i="1" s="1"/>
  <c r="F6653" i="1"/>
  <c r="G6653" i="1" s="1"/>
  <c r="F6654" i="1"/>
  <c r="G6654" i="1" s="1"/>
  <c r="F6655" i="1"/>
  <c r="G6655" i="1" s="1"/>
  <c r="F6656" i="1"/>
  <c r="G6656" i="1" s="1"/>
  <c r="F6657" i="1"/>
  <c r="G6657" i="1" s="1"/>
  <c r="F6658" i="1"/>
  <c r="G6658" i="1" s="1"/>
  <c r="F6659" i="1"/>
  <c r="G6659" i="1" s="1"/>
  <c r="F6660" i="1"/>
  <c r="G6660" i="1" s="1"/>
  <c r="F6661" i="1"/>
  <c r="G6661" i="1" s="1"/>
  <c r="F6662" i="1"/>
  <c r="G6662" i="1" s="1"/>
  <c r="F6663" i="1"/>
  <c r="G6663" i="1" s="1"/>
  <c r="F6664" i="1"/>
  <c r="G6664" i="1" s="1"/>
  <c r="F6665" i="1"/>
  <c r="G6665" i="1" s="1"/>
  <c r="F6666" i="1"/>
  <c r="G6666" i="1" s="1"/>
  <c r="F6667" i="1"/>
  <c r="G6667" i="1" s="1"/>
  <c r="F6668" i="1"/>
  <c r="G6668" i="1" s="1"/>
  <c r="F6669" i="1"/>
  <c r="G6669" i="1" s="1"/>
  <c r="F6670" i="1"/>
  <c r="G6670" i="1" s="1"/>
  <c r="F6671" i="1"/>
  <c r="G6671" i="1" s="1"/>
  <c r="F6672" i="1"/>
  <c r="G6672" i="1" s="1"/>
  <c r="F6673" i="1"/>
  <c r="G6673" i="1" s="1"/>
  <c r="F6674" i="1"/>
  <c r="G6674" i="1" s="1"/>
  <c r="F6675" i="1"/>
  <c r="G6675" i="1" s="1"/>
  <c r="F6676" i="1"/>
  <c r="G6676" i="1" s="1"/>
  <c r="F6677" i="1"/>
  <c r="G6677" i="1" s="1"/>
  <c r="F6678" i="1"/>
  <c r="G6678" i="1" s="1"/>
  <c r="F6679" i="1"/>
  <c r="G6679" i="1" s="1"/>
  <c r="F6680" i="1"/>
  <c r="G6680" i="1" s="1"/>
  <c r="F6681" i="1"/>
  <c r="G6681" i="1" s="1"/>
  <c r="F6682" i="1"/>
  <c r="G6682" i="1" s="1"/>
  <c r="F6683" i="1"/>
  <c r="G6683" i="1" s="1"/>
  <c r="F6684" i="1"/>
  <c r="G6684" i="1" s="1"/>
  <c r="F6685" i="1"/>
  <c r="G6685" i="1" s="1"/>
  <c r="F6686" i="1"/>
  <c r="G6686" i="1" s="1"/>
  <c r="F6687" i="1"/>
  <c r="G6687" i="1" s="1"/>
  <c r="F6688" i="1"/>
  <c r="G6688" i="1" s="1"/>
  <c r="F6689" i="1"/>
  <c r="G6689" i="1" s="1"/>
  <c r="F6690" i="1"/>
  <c r="G6690" i="1" s="1"/>
  <c r="F6691" i="1"/>
  <c r="G6691" i="1" s="1"/>
  <c r="F6692" i="1"/>
  <c r="G6692" i="1" s="1"/>
  <c r="F6693" i="1"/>
  <c r="G6693" i="1" s="1"/>
  <c r="F6694" i="1"/>
  <c r="G6694" i="1" s="1"/>
  <c r="F6695" i="1"/>
  <c r="G6695" i="1" s="1"/>
  <c r="F6696" i="1"/>
  <c r="G6696" i="1" s="1"/>
  <c r="F6697" i="1"/>
  <c r="G6697" i="1" s="1"/>
  <c r="F6698" i="1"/>
  <c r="G6698" i="1" s="1"/>
  <c r="F6699" i="1"/>
  <c r="G6699" i="1" s="1"/>
  <c r="F6700" i="1"/>
  <c r="G6700" i="1" s="1"/>
  <c r="F6701" i="1"/>
  <c r="G6701" i="1" s="1"/>
  <c r="F6702" i="1"/>
  <c r="G6702" i="1" s="1"/>
  <c r="F6703" i="1"/>
  <c r="G6703" i="1" s="1"/>
  <c r="F6704" i="1"/>
  <c r="G6704" i="1" s="1"/>
  <c r="F6705" i="1"/>
  <c r="G6705" i="1" s="1"/>
  <c r="F6706" i="1"/>
  <c r="G6706" i="1" s="1"/>
  <c r="F6707" i="1"/>
  <c r="G6707" i="1" s="1"/>
  <c r="F6708" i="1"/>
  <c r="G6708" i="1" s="1"/>
  <c r="F6709" i="1"/>
  <c r="G6709" i="1" s="1"/>
  <c r="F6710" i="1"/>
  <c r="G6710" i="1" s="1"/>
  <c r="F6711" i="1"/>
  <c r="G6711" i="1" s="1"/>
  <c r="F6712" i="1"/>
  <c r="G6712" i="1" s="1"/>
  <c r="F6713" i="1"/>
  <c r="G6713" i="1" s="1"/>
  <c r="F6714" i="1"/>
  <c r="G6714" i="1" s="1"/>
  <c r="F6715" i="1"/>
  <c r="G6715" i="1" s="1"/>
  <c r="F6716" i="1"/>
  <c r="G6716" i="1" s="1"/>
  <c r="F6717" i="1"/>
  <c r="G6717" i="1" s="1"/>
  <c r="F6718" i="1"/>
  <c r="G6718" i="1" s="1"/>
  <c r="F6719" i="1"/>
  <c r="G6719" i="1" s="1"/>
  <c r="F6720" i="1"/>
  <c r="G6720" i="1" s="1"/>
  <c r="F6721" i="1"/>
  <c r="G6721" i="1" s="1"/>
  <c r="F6722" i="1"/>
  <c r="G6722" i="1" s="1"/>
  <c r="F6723" i="1"/>
  <c r="G6723" i="1" s="1"/>
  <c r="F6724" i="1"/>
  <c r="G6724" i="1" s="1"/>
  <c r="F6725" i="1"/>
  <c r="G6725" i="1" s="1"/>
  <c r="F6726" i="1"/>
  <c r="G6726" i="1" s="1"/>
  <c r="F6727" i="1"/>
  <c r="G6727" i="1" s="1"/>
  <c r="F6728" i="1"/>
  <c r="G6728" i="1" s="1"/>
  <c r="F6729" i="1"/>
  <c r="G6729" i="1" s="1"/>
  <c r="F6730" i="1"/>
  <c r="G6730" i="1" s="1"/>
  <c r="F6731" i="1"/>
  <c r="G6731" i="1" s="1"/>
  <c r="F6732" i="1"/>
  <c r="G6732" i="1" s="1"/>
  <c r="F6733" i="1"/>
  <c r="G6733" i="1" s="1"/>
  <c r="F6734" i="1"/>
  <c r="G6734" i="1" s="1"/>
  <c r="F6735" i="1"/>
  <c r="G6735" i="1" s="1"/>
  <c r="F6736" i="1"/>
  <c r="G6736" i="1" s="1"/>
  <c r="F6737" i="1"/>
  <c r="G6737" i="1" s="1"/>
  <c r="F6738" i="1"/>
  <c r="G6738" i="1" s="1"/>
  <c r="F6739" i="1"/>
  <c r="G6739" i="1" s="1"/>
  <c r="F6740" i="1"/>
  <c r="G6740" i="1" s="1"/>
  <c r="F6741" i="1"/>
  <c r="G6741" i="1" s="1"/>
  <c r="F6742" i="1"/>
  <c r="G6742" i="1" s="1"/>
  <c r="F6743" i="1"/>
  <c r="G6743" i="1" s="1"/>
  <c r="F6744" i="1"/>
  <c r="G6744" i="1" s="1"/>
  <c r="F6745" i="1"/>
  <c r="G6745" i="1" s="1"/>
  <c r="F6746" i="1"/>
  <c r="G6746" i="1" s="1"/>
  <c r="F6747" i="1"/>
  <c r="G6747" i="1" s="1"/>
  <c r="F6748" i="1"/>
  <c r="G6748" i="1" s="1"/>
  <c r="F6749" i="1"/>
  <c r="G6749" i="1" s="1"/>
  <c r="F6750" i="1"/>
  <c r="G6750" i="1" s="1"/>
  <c r="F6751" i="1"/>
  <c r="G6751" i="1" s="1"/>
  <c r="F6752" i="1"/>
  <c r="G6752" i="1" s="1"/>
  <c r="F6753" i="1"/>
  <c r="G6753" i="1" s="1"/>
  <c r="F6754" i="1"/>
  <c r="G6754" i="1" s="1"/>
  <c r="F6755" i="1"/>
  <c r="G6755" i="1" s="1"/>
  <c r="F6756" i="1"/>
  <c r="G6756" i="1" s="1"/>
  <c r="F6757" i="1"/>
  <c r="G6757" i="1" s="1"/>
  <c r="F6758" i="1"/>
  <c r="G6758" i="1" s="1"/>
  <c r="F6759" i="1"/>
  <c r="G6759" i="1" s="1"/>
  <c r="F6760" i="1"/>
  <c r="G6760" i="1" s="1"/>
  <c r="F6761" i="1"/>
  <c r="G6761" i="1" s="1"/>
  <c r="F6762" i="1"/>
  <c r="G6762" i="1" s="1"/>
  <c r="F6763" i="1"/>
  <c r="G6763" i="1" s="1"/>
  <c r="F6764" i="1"/>
  <c r="G6764" i="1" s="1"/>
  <c r="F6765" i="1"/>
  <c r="G6765" i="1" s="1"/>
  <c r="F6766" i="1"/>
  <c r="G6766" i="1" s="1"/>
  <c r="F6767" i="1"/>
  <c r="G6767" i="1" s="1"/>
  <c r="F6768" i="1"/>
  <c r="G6768" i="1" s="1"/>
  <c r="F6769" i="1"/>
  <c r="G6769" i="1" s="1"/>
  <c r="F6770" i="1"/>
  <c r="G6770" i="1" s="1"/>
  <c r="F6771" i="1"/>
  <c r="G6771" i="1" s="1"/>
  <c r="F6772" i="1"/>
  <c r="G6772" i="1" s="1"/>
  <c r="F6773" i="1"/>
  <c r="G6773" i="1" s="1"/>
  <c r="F6774" i="1"/>
  <c r="G6774" i="1" s="1"/>
  <c r="F6775" i="1"/>
  <c r="G6775" i="1" s="1"/>
  <c r="F6776" i="1"/>
  <c r="G6776" i="1" s="1"/>
  <c r="F6777" i="1"/>
  <c r="G6777" i="1" s="1"/>
  <c r="F6778" i="1"/>
  <c r="G6778" i="1" s="1"/>
  <c r="F6779" i="1"/>
  <c r="G6779" i="1" s="1"/>
  <c r="F6780" i="1"/>
  <c r="G6780" i="1" s="1"/>
  <c r="F6781" i="1"/>
  <c r="G6781" i="1" s="1"/>
  <c r="F6782" i="1"/>
  <c r="G6782" i="1" s="1"/>
  <c r="F6783" i="1"/>
  <c r="G6783" i="1" s="1"/>
  <c r="F6784" i="1"/>
  <c r="G6784" i="1" s="1"/>
  <c r="F6785" i="1"/>
  <c r="G6785" i="1" s="1"/>
  <c r="F6786" i="1"/>
  <c r="G6786" i="1" s="1"/>
  <c r="F6787" i="1"/>
  <c r="G6787" i="1" s="1"/>
  <c r="F6788" i="1"/>
  <c r="G6788" i="1" s="1"/>
  <c r="F6789" i="1"/>
  <c r="G6789" i="1" s="1"/>
  <c r="F6790" i="1"/>
  <c r="G6790" i="1" s="1"/>
  <c r="F6791" i="1"/>
  <c r="G6791" i="1" s="1"/>
  <c r="F6792" i="1"/>
  <c r="G6792" i="1" s="1"/>
  <c r="F6793" i="1"/>
  <c r="G6793" i="1" s="1"/>
  <c r="F6794" i="1"/>
  <c r="G6794" i="1" s="1"/>
  <c r="F6795" i="1"/>
  <c r="G6795" i="1" s="1"/>
  <c r="F6796" i="1"/>
  <c r="G6796" i="1" s="1"/>
  <c r="F6797" i="1"/>
  <c r="G6797" i="1" s="1"/>
  <c r="F6798" i="1"/>
  <c r="G6798" i="1" s="1"/>
  <c r="F6799" i="1"/>
  <c r="G6799" i="1" s="1"/>
  <c r="F6800" i="1"/>
  <c r="G6800" i="1" s="1"/>
  <c r="F6801" i="1"/>
  <c r="G6801" i="1" s="1"/>
  <c r="F6802" i="1"/>
  <c r="G6802" i="1" s="1"/>
  <c r="F6803" i="1"/>
  <c r="G6803" i="1" s="1"/>
  <c r="F6804" i="1"/>
  <c r="G6804" i="1" s="1"/>
  <c r="F6805" i="1"/>
  <c r="G6805" i="1" s="1"/>
  <c r="F6806" i="1"/>
  <c r="G6806" i="1" s="1"/>
  <c r="F6807" i="1"/>
  <c r="G6807" i="1" s="1"/>
  <c r="F6808" i="1"/>
  <c r="G6808" i="1" s="1"/>
  <c r="F6809" i="1"/>
  <c r="G6809" i="1" s="1"/>
  <c r="F6810" i="1"/>
  <c r="G6810" i="1" s="1"/>
  <c r="F6811" i="1"/>
  <c r="G6811" i="1" s="1"/>
  <c r="F6812" i="1"/>
  <c r="G6812" i="1" s="1"/>
  <c r="F6813" i="1"/>
  <c r="G6813" i="1" s="1"/>
  <c r="F6814" i="1"/>
  <c r="G6814" i="1" s="1"/>
  <c r="F6815" i="1"/>
  <c r="G6815" i="1" s="1"/>
  <c r="F6816" i="1"/>
  <c r="G6816" i="1" s="1"/>
  <c r="F6817" i="1"/>
  <c r="G6817" i="1" s="1"/>
  <c r="F6818" i="1"/>
  <c r="G6818" i="1" s="1"/>
  <c r="F6819" i="1"/>
  <c r="G6819" i="1" s="1"/>
  <c r="F6820" i="1"/>
  <c r="G6820" i="1" s="1"/>
  <c r="F6821" i="1"/>
  <c r="G6821" i="1" s="1"/>
  <c r="F6822" i="1"/>
  <c r="G6822" i="1" s="1"/>
  <c r="F6823" i="1"/>
  <c r="G6823" i="1" s="1"/>
  <c r="F6824" i="1"/>
  <c r="G6824" i="1" s="1"/>
  <c r="F6825" i="1"/>
  <c r="G6825" i="1" s="1"/>
  <c r="F6826" i="1"/>
  <c r="G6826" i="1" s="1"/>
  <c r="F6827" i="1"/>
  <c r="G6827" i="1" s="1"/>
  <c r="F6828" i="1"/>
  <c r="G6828" i="1" s="1"/>
  <c r="F6829" i="1"/>
  <c r="G6829" i="1" s="1"/>
  <c r="F6830" i="1"/>
  <c r="G6830" i="1" s="1"/>
  <c r="F6831" i="1"/>
  <c r="G6831" i="1" s="1"/>
  <c r="F6832" i="1"/>
  <c r="G6832" i="1" s="1"/>
  <c r="F6833" i="1"/>
  <c r="G6833" i="1" s="1"/>
  <c r="F6834" i="1"/>
  <c r="G6834" i="1" s="1"/>
  <c r="F6835" i="1"/>
  <c r="G6835" i="1" s="1"/>
  <c r="F6836" i="1"/>
  <c r="G6836" i="1" s="1"/>
  <c r="F6837" i="1"/>
  <c r="G6837" i="1" s="1"/>
  <c r="F6838" i="1"/>
  <c r="G6838" i="1" s="1"/>
  <c r="F6839" i="1"/>
  <c r="G6839" i="1" s="1"/>
  <c r="F6840" i="1"/>
  <c r="G6840" i="1" s="1"/>
  <c r="F6841" i="1"/>
  <c r="G6841" i="1" s="1"/>
  <c r="F6842" i="1"/>
  <c r="G6842" i="1" s="1"/>
  <c r="F6843" i="1"/>
  <c r="G6843" i="1" s="1"/>
  <c r="F6844" i="1"/>
  <c r="G6844" i="1" s="1"/>
  <c r="F6845" i="1"/>
  <c r="G6845" i="1" s="1"/>
  <c r="F6846" i="1"/>
  <c r="G6846" i="1" s="1"/>
  <c r="F6847" i="1"/>
  <c r="G6847" i="1" s="1"/>
  <c r="F6848" i="1"/>
  <c r="G6848" i="1" s="1"/>
  <c r="F6849" i="1"/>
  <c r="G6849" i="1" s="1"/>
  <c r="F6850" i="1"/>
  <c r="G6850" i="1" s="1"/>
  <c r="F6851" i="1"/>
  <c r="G6851" i="1" s="1"/>
  <c r="F6852" i="1"/>
  <c r="G6852" i="1" s="1"/>
  <c r="F6853" i="1"/>
  <c r="G6853" i="1" s="1"/>
  <c r="F6854" i="1"/>
  <c r="G6854" i="1" s="1"/>
  <c r="F6855" i="1"/>
  <c r="G6855" i="1" s="1"/>
  <c r="F6856" i="1"/>
  <c r="G6856" i="1" s="1"/>
  <c r="F6857" i="1"/>
  <c r="G6857" i="1" s="1"/>
  <c r="F6858" i="1"/>
  <c r="G6858" i="1" s="1"/>
  <c r="F6859" i="1"/>
  <c r="G6859" i="1" s="1"/>
  <c r="F6860" i="1"/>
  <c r="G6860" i="1" s="1"/>
  <c r="F6861" i="1"/>
  <c r="G6861" i="1" s="1"/>
  <c r="F6862" i="1"/>
  <c r="G6862" i="1"/>
  <c r="F6863" i="1"/>
  <c r="G6863" i="1" s="1"/>
  <c r="F6864" i="1"/>
  <c r="G6864" i="1" s="1"/>
  <c r="F6865" i="1"/>
  <c r="G6865" i="1" s="1"/>
  <c r="F6866" i="1"/>
  <c r="G6866" i="1" s="1"/>
  <c r="F6867" i="1"/>
  <c r="G6867" i="1" s="1"/>
  <c r="F6868" i="1"/>
  <c r="G6868" i="1" s="1"/>
  <c r="F6869" i="1"/>
  <c r="G6869" i="1" s="1"/>
  <c r="F6870" i="1"/>
  <c r="G6870" i="1" s="1"/>
  <c r="F6871" i="1"/>
  <c r="G6871" i="1" s="1"/>
  <c r="F6872" i="1"/>
  <c r="G6872" i="1" s="1"/>
  <c r="F6873" i="1"/>
  <c r="G6873" i="1" s="1"/>
  <c r="F6874" i="1"/>
  <c r="G6874" i="1" s="1"/>
  <c r="F6875" i="1"/>
  <c r="G6875" i="1" s="1"/>
  <c r="F6876" i="1"/>
  <c r="G6876" i="1" s="1"/>
  <c r="F6877" i="1"/>
  <c r="G6877" i="1" s="1"/>
  <c r="F6878" i="1"/>
  <c r="G6878" i="1" s="1"/>
  <c r="F6879" i="1"/>
  <c r="G6879" i="1" s="1"/>
  <c r="F6880" i="1"/>
  <c r="G6880" i="1" s="1"/>
  <c r="F6881" i="1"/>
  <c r="G6881" i="1" s="1"/>
  <c r="F6882" i="1"/>
  <c r="G6882" i="1" s="1"/>
  <c r="F6883" i="1"/>
  <c r="G6883" i="1" s="1"/>
  <c r="F6884" i="1"/>
  <c r="G6884" i="1" s="1"/>
  <c r="F6885" i="1"/>
  <c r="G6885" i="1" s="1"/>
  <c r="F6886" i="1"/>
  <c r="G6886" i="1" s="1"/>
  <c r="F6887" i="1"/>
  <c r="G6887" i="1" s="1"/>
  <c r="F6888" i="1"/>
  <c r="G6888" i="1" s="1"/>
  <c r="F6889" i="1"/>
  <c r="G6889" i="1" s="1"/>
  <c r="F6890" i="1"/>
  <c r="G6890" i="1" s="1"/>
  <c r="F6891" i="1"/>
  <c r="G6891" i="1" s="1"/>
  <c r="F6892" i="1"/>
  <c r="G6892" i="1" s="1"/>
  <c r="F6893" i="1"/>
  <c r="G6893" i="1" s="1"/>
  <c r="F6894" i="1"/>
  <c r="G6894" i="1" s="1"/>
  <c r="F6895" i="1"/>
  <c r="G6895" i="1" s="1"/>
  <c r="F6896" i="1"/>
  <c r="G6896" i="1" s="1"/>
  <c r="F6897" i="1"/>
  <c r="G6897" i="1" s="1"/>
  <c r="F6898" i="1"/>
  <c r="G6898" i="1" s="1"/>
  <c r="F6899" i="1"/>
  <c r="G6899" i="1" s="1"/>
  <c r="F6900" i="1"/>
  <c r="G6900" i="1" s="1"/>
  <c r="F6901" i="1"/>
  <c r="G6901" i="1" s="1"/>
  <c r="F6902" i="1"/>
  <c r="G6902" i="1" s="1"/>
  <c r="F6903" i="1"/>
  <c r="G6903" i="1" s="1"/>
  <c r="F6904" i="1"/>
  <c r="G6904" i="1" s="1"/>
  <c r="F6905" i="1"/>
  <c r="G6905" i="1" s="1"/>
  <c r="F6906" i="1"/>
  <c r="G6906" i="1" s="1"/>
  <c r="F6907" i="1"/>
  <c r="G6907" i="1" s="1"/>
  <c r="F6908" i="1"/>
  <c r="G6908" i="1" s="1"/>
  <c r="F6909" i="1"/>
  <c r="G6909" i="1" s="1"/>
  <c r="F6910" i="1"/>
  <c r="G6910" i="1" s="1"/>
  <c r="F6911" i="1"/>
  <c r="G6911" i="1" s="1"/>
  <c r="F6912" i="1"/>
  <c r="G6912" i="1" s="1"/>
  <c r="F6913" i="1"/>
  <c r="G6913" i="1" s="1"/>
  <c r="F6914" i="1"/>
  <c r="G6914" i="1" s="1"/>
  <c r="F6915" i="1"/>
  <c r="G6915" i="1" s="1"/>
  <c r="F6916" i="1"/>
  <c r="G6916" i="1" s="1"/>
  <c r="F6917" i="1"/>
  <c r="G6917" i="1" s="1"/>
  <c r="F6918" i="1"/>
  <c r="G6918" i="1" s="1"/>
  <c r="F6919" i="1"/>
  <c r="G6919" i="1" s="1"/>
  <c r="F6920" i="1"/>
  <c r="G6920" i="1" s="1"/>
  <c r="F6921" i="1"/>
  <c r="G6921" i="1" s="1"/>
  <c r="F6922" i="1"/>
  <c r="G6922" i="1" s="1"/>
  <c r="F6923" i="1"/>
  <c r="G6923" i="1" s="1"/>
  <c r="F6924" i="1"/>
  <c r="G6924" i="1" s="1"/>
  <c r="F6925" i="1"/>
  <c r="G6925" i="1" s="1"/>
  <c r="F6926" i="1"/>
  <c r="G6926" i="1" s="1"/>
  <c r="F6927" i="1"/>
  <c r="G6927" i="1" s="1"/>
  <c r="F6928" i="1"/>
  <c r="G6928" i="1" s="1"/>
  <c r="F6929" i="1"/>
  <c r="G6929" i="1" s="1"/>
  <c r="F6930" i="1"/>
  <c r="G6930" i="1" s="1"/>
  <c r="F6931" i="1"/>
  <c r="G6931" i="1" s="1"/>
  <c r="F6932" i="1"/>
  <c r="G6932" i="1" s="1"/>
  <c r="F6933" i="1"/>
  <c r="G6933" i="1" s="1"/>
  <c r="F6934" i="1"/>
  <c r="G6934" i="1" s="1"/>
  <c r="F6935" i="1"/>
  <c r="G6935" i="1" s="1"/>
  <c r="F6936" i="1"/>
  <c r="G6936" i="1" s="1"/>
  <c r="F6937" i="1"/>
  <c r="G6937" i="1" s="1"/>
  <c r="F6938" i="1"/>
  <c r="G6938" i="1" s="1"/>
  <c r="F6939" i="1"/>
  <c r="G6939" i="1" s="1"/>
  <c r="F6940" i="1"/>
  <c r="G6940" i="1" s="1"/>
  <c r="F6941" i="1"/>
  <c r="G6941" i="1" s="1"/>
  <c r="F6942" i="1"/>
  <c r="G6942" i="1" s="1"/>
  <c r="F6943" i="1"/>
  <c r="G6943" i="1" s="1"/>
  <c r="F6944" i="1"/>
  <c r="G6944" i="1" s="1"/>
  <c r="F6945" i="1"/>
  <c r="G6945" i="1" s="1"/>
  <c r="F6946" i="1"/>
  <c r="G6946" i="1" s="1"/>
  <c r="F6947" i="1"/>
  <c r="G6947" i="1" s="1"/>
  <c r="F6948" i="1"/>
  <c r="G6948" i="1" s="1"/>
  <c r="F6949" i="1"/>
  <c r="G6949" i="1" s="1"/>
  <c r="F6950" i="1"/>
  <c r="G6950" i="1" s="1"/>
  <c r="F6951" i="1"/>
  <c r="G6951" i="1" s="1"/>
  <c r="F6952" i="1"/>
  <c r="G6952" i="1" s="1"/>
  <c r="F6953" i="1"/>
  <c r="G6953" i="1" s="1"/>
  <c r="F6954" i="1"/>
  <c r="G6954" i="1" s="1"/>
  <c r="F6955" i="1"/>
  <c r="G6955" i="1" s="1"/>
  <c r="F6956" i="1"/>
  <c r="G6956" i="1" s="1"/>
  <c r="F6957" i="1"/>
  <c r="G6957" i="1" s="1"/>
  <c r="F6958" i="1"/>
  <c r="G6958" i="1" s="1"/>
  <c r="F6959" i="1"/>
  <c r="G6959" i="1" s="1"/>
  <c r="F6960" i="1"/>
  <c r="G6960" i="1" s="1"/>
  <c r="F6961" i="1"/>
  <c r="G6961" i="1" s="1"/>
  <c r="F6962" i="1"/>
  <c r="G6962" i="1" s="1"/>
  <c r="F6963" i="1"/>
  <c r="G6963" i="1" s="1"/>
  <c r="F6964" i="1"/>
  <c r="G6964" i="1" s="1"/>
  <c r="F6965" i="1"/>
  <c r="G6965" i="1" s="1"/>
  <c r="F6966" i="1"/>
  <c r="G6966" i="1" s="1"/>
  <c r="F6967" i="1"/>
  <c r="G6967" i="1" s="1"/>
  <c r="F6968" i="1"/>
  <c r="G6968" i="1" s="1"/>
  <c r="F6969" i="1"/>
  <c r="G6969" i="1" s="1"/>
  <c r="F6970" i="1"/>
  <c r="G6970" i="1" s="1"/>
  <c r="F6971" i="1"/>
  <c r="G6971" i="1" s="1"/>
  <c r="F6972" i="1"/>
  <c r="G6972" i="1" s="1"/>
  <c r="F6973" i="1"/>
  <c r="G6973" i="1" s="1"/>
  <c r="F6974" i="1"/>
  <c r="G6974" i="1" s="1"/>
  <c r="F6975" i="1"/>
  <c r="G6975" i="1" s="1"/>
  <c r="F6976" i="1"/>
  <c r="G6976" i="1" s="1"/>
  <c r="F6977" i="1"/>
  <c r="G6977" i="1" s="1"/>
  <c r="F6978" i="1"/>
  <c r="G6978" i="1" s="1"/>
  <c r="F6979" i="1"/>
  <c r="G6979" i="1" s="1"/>
  <c r="F6980" i="1"/>
  <c r="G6980" i="1" s="1"/>
  <c r="F6981" i="1"/>
  <c r="G6981" i="1" s="1"/>
  <c r="F6982" i="1"/>
  <c r="G6982" i="1" s="1"/>
  <c r="F6983" i="1"/>
  <c r="G6983" i="1" s="1"/>
  <c r="F6984" i="1"/>
  <c r="G6984" i="1" s="1"/>
  <c r="F6985" i="1"/>
  <c r="G6985" i="1" s="1"/>
  <c r="F6986" i="1"/>
  <c r="G6986" i="1" s="1"/>
  <c r="F6987" i="1"/>
  <c r="G6987" i="1" s="1"/>
  <c r="F6988" i="1"/>
  <c r="G6988" i="1" s="1"/>
  <c r="F6989" i="1"/>
  <c r="G6989" i="1" s="1"/>
  <c r="F6990" i="1"/>
  <c r="G6990" i="1" s="1"/>
  <c r="F6991" i="1"/>
  <c r="G6991" i="1" s="1"/>
  <c r="F6992" i="1"/>
  <c r="G6992" i="1" s="1"/>
  <c r="F6993" i="1"/>
  <c r="G6993" i="1" s="1"/>
  <c r="F6994" i="1"/>
  <c r="G6994" i="1" s="1"/>
  <c r="F6995" i="1"/>
  <c r="G6995" i="1" s="1"/>
  <c r="F6996" i="1"/>
  <c r="G6996" i="1" s="1"/>
  <c r="F6997" i="1"/>
  <c r="G6997" i="1" s="1"/>
  <c r="F6998" i="1"/>
  <c r="G6998" i="1" s="1"/>
  <c r="F6999" i="1"/>
  <c r="G6999" i="1" s="1"/>
  <c r="F7000" i="1"/>
  <c r="G7000" i="1" s="1"/>
  <c r="F7001" i="1"/>
  <c r="G7001" i="1" s="1"/>
  <c r="F7002" i="1"/>
  <c r="G7002" i="1" s="1"/>
  <c r="F7003" i="1"/>
  <c r="G7003" i="1" s="1"/>
  <c r="F7004" i="1"/>
  <c r="G7004" i="1" s="1"/>
  <c r="F7005" i="1"/>
  <c r="G7005" i="1" s="1"/>
  <c r="F7006" i="1"/>
  <c r="G7006" i="1" s="1"/>
  <c r="F7007" i="1"/>
  <c r="G7007" i="1" s="1"/>
  <c r="F7008" i="1"/>
  <c r="G7008" i="1" s="1"/>
  <c r="F7009" i="1"/>
  <c r="G7009" i="1" s="1"/>
  <c r="F7010" i="1"/>
  <c r="G7010" i="1" s="1"/>
  <c r="F7011" i="1"/>
  <c r="G7011" i="1" s="1"/>
  <c r="F7012" i="1"/>
  <c r="G7012" i="1" s="1"/>
  <c r="F7013" i="1"/>
  <c r="G7013" i="1" s="1"/>
  <c r="F7014" i="1"/>
  <c r="G7014" i="1" s="1"/>
  <c r="F7015" i="1"/>
  <c r="G7015" i="1" s="1"/>
  <c r="F7016" i="1"/>
  <c r="G7016" i="1" s="1"/>
  <c r="F7017" i="1"/>
  <c r="G7017" i="1" s="1"/>
  <c r="F7018" i="1"/>
  <c r="G7018" i="1" s="1"/>
  <c r="F7019" i="1"/>
  <c r="G7019" i="1" s="1"/>
  <c r="F7020" i="1"/>
  <c r="G7020" i="1" s="1"/>
  <c r="F7021" i="1"/>
  <c r="G7021" i="1" s="1"/>
  <c r="F7022" i="1"/>
  <c r="G7022" i="1" s="1"/>
  <c r="F7023" i="1"/>
  <c r="G7023" i="1" s="1"/>
  <c r="F7024" i="1"/>
  <c r="G7024" i="1" s="1"/>
  <c r="F7025" i="1"/>
  <c r="G7025" i="1" s="1"/>
  <c r="F7026" i="1"/>
  <c r="G7026" i="1" s="1"/>
  <c r="F7027" i="1"/>
  <c r="G7027" i="1" s="1"/>
  <c r="F7028" i="1"/>
  <c r="G7028" i="1" s="1"/>
  <c r="F7029" i="1"/>
  <c r="G7029" i="1" s="1"/>
  <c r="F7030" i="1"/>
  <c r="G7030" i="1" s="1"/>
  <c r="F7031" i="1"/>
  <c r="G7031" i="1" s="1"/>
  <c r="F7032" i="1"/>
  <c r="G7032" i="1" s="1"/>
  <c r="F7033" i="1"/>
  <c r="G7033" i="1" s="1"/>
  <c r="F7034" i="1"/>
  <c r="G7034" i="1" s="1"/>
  <c r="F7035" i="1"/>
  <c r="G7035" i="1" s="1"/>
  <c r="F7036" i="1"/>
  <c r="G7036" i="1" s="1"/>
  <c r="F7037" i="1"/>
  <c r="G7037" i="1" s="1"/>
  <c r="F7038" i="1"/>
  <c r="G7038" i="1" s="1"/>
  <c r="F7039" i="1"/>
  <c r="G7039" i="1" s="1"/>
  <c r="F7040" i="1"/>
  <c r="G7040" i="1" s="1"/>
  <c r="F7041" i="1"/>
  <c r="G7041" i="1" s="1"/>
  <c r="F7042" i="1"/>
  <c r="G7042" i="1" s="1"/>
  <c r="F7043" i="1"/>
  <c r="G7043" i="1" s="1"/>
  <c r="F7044" i="1"/>
  <c r="G7044" i="1" s="1"/>
  <c r="F7045" i="1"/>
  <c r="G7045" i="1" s="1"/>
  <c r="F7046" i="1"/>
  <c r="G7046" i="1" s="1"/>
  <c r="F7047" i="1"/>
  <c r="G7047" i="1" s="1"/>
  <c r="F7048" i="1"/>
  <c r="G7048" i="1" s="1"/>
  <c r="F7049" i="1"/>
  <c r="G7049" i="1" s="1"/>
  <c r="F7050" i="1"/>
  <c r="G7050" i="1" s="1"/>
  <c r="F7051" i="1"/>
  <c r="G7051" i="1" s="1"/>
  <c r="F7052" i="1"/>
  <c r="G7052" i="1"/>
  <c r="F7053" i="1"/>
  <c r="G7053" i="1" s="1"/>
  <c r="F7054" i="1"/>
  <c r="G7054" i="1" s="1"/>
  <c r="F7055" i="1"/>
  <c r="G7055" i="1" s="1"/>
  <c r="F7056" i="1"/>
  <c r="G7056" i="1" s="1"/>
  <c r="F7057" i="1"/>
  <c r="G7057" i="1" s="1"/>
  <c r="F7058" i="1"/>
  <c r="G7058" i="1" s="1"/>
  <c r="F7059" i="1"/>
  <c r="G7059" i="1" s="1"/>
  <c r="F7060" i="1"/>
  <c r="G7060" i="1" s="1"/>
  <c r="F7061" i="1"/>
  <c r="G7061" i="1" s="1"/>
  <c r="F7062" i="1"/>
  <c r="G7062" i="1" s="1"/>
  <c r="F7063" i="1"/>
  <c r="G7063" i="1" s="1"/>
  <c r="F7064" i="1"/>
  <c r="G7064" i="1" s="1"/>
  <c r="F7065" i="1"/>
  <c r="G7065" i="1" s="1"/>
  <c r="F7066" i="1"/>
  <c r="G7066" i="1" s="1"/>
  <c r="F7067" i="1"/>
  <c r="G7067" i="1" s="1"/>
  <c r="F7068" i="1"/>
  <c r="G7068" i="1" s="1"/>
  <c r="F7069" i="1"/>
  <c r="G7069" i="1" s="1"/>
  <c r="F7070" i="1"/>
  <c r="G7070" i="1" s="1"/>
  <c r="F7071" i="1"/>
  <c r="G7071" i="1" s="1"/>
  <c r="F7072" i="1"/>
  <c r="G7072" i="1" s="1"/>
  <c r="F7073" i="1"/>
  <c r="G7073" i="1" s="1"/>
  <c r="F7074" i="1"/>
  <c r="G7074" i="1" s="1"/>
  <c r="F7075" i="1"/>
  <c r="G7075" i="1" s="1"/>
  <c r="F7076" i="1"/>
  <c r="G7076" i="1" s="1"/>
  <c r="F7077" i="1"/>
  <c r="G7077" i="1" s="1"/>
  <c r="F7078" i="1"/>
  <c r="G7078" i="1" s="1"/>
  <c r="F7079" i="1"/>
  <c r="G7079" i="1" s="1"/>
  <c r="F7080" i="1"/>
  <c r="G7080" i="1" s="1"/>
  <c r="F7081" i="1"/>
  <c r="G7081" i="1" s="1"/>
  <c r="F7082" i="1"/>
  <c r="G7082" i="1" s="1"/>
  <c r="F7083" i="1"/>
  <c r="G7083" i="1" s="1"/>
  <c r="F7084" i="1"/>
  <c r="G7084" i="1" s="1"/>
  <c r="F7085" i="1"/>
  <c r="G7085" i="1" s="1"/>
  <c r="F7086" i="1"/>
  <c r="G7086" i="1" s="1"/>
  <c r="F7087" i="1"/>
  <c r="G7087" i="1" s="1"/>
  <c r="F7088" i="1"/>
  <c r="G7088" i="1" s="1"/>
  <c r="F7089" i="1"/>
  <c r="G7089" i="1" s="1"/>
  <c r="F7090" i="1"/>
  <c r="G7090" i="1" s="1"/>
  <c r="F7091" i="1"/>
  <c r="G7091" i="1" s="1"/>
  <c r="F7092" i="1"/>
  <c r="G7092" i="1" s="1"/>
  <c r="F7093" i="1"/>
  <c r="G7093" i="1" s="1"/>
  <c r="F7094" i="1"/>
  <c r="G7094" i="1" s="1"/>
  <c r="F7095" i="1"/>
  <c r="G7095" i="1" s="1"/>
  <c r="F7096" i="1"/>
  <c r="G7096" i="1" s="1"/>
  <c r="F7097" i="1"/>
  <c r="G7097" i="1" s="1"/>
  <c r="F7098" i="1"/>
  <c r="G7098" i="1" s="1"/>
  <c r="F7099" i="1"/>
  <c r="G7099" i="1" s="1"/>
  <c r="F7100" i="1"/>
  <c r="G7100" i="1" s="1"/>
  <c r="F7101" i="1"/>
  <c r="G7101" i="1" s="1"/>
  <c r="F7102" i="1"/>
  <c r="G7102" i="1" s="1"/>
  <c r="F7103" i="1"/>
  <c r="G7103" i="1" s="1"/>
  <c r="F7104" i="1"/>
  <c r="G7104" i="1" s="1"/>
  <c r="F7105" i="1"/>
  <c r="G7105" i="1" s="1"/>
  <c r="F7106" i="1"/>
  <c r="G7106" i="1" s="1"/>
  <c r="F7107" i="1"/>
  <c r="G7107" i="1" s="1"/>
  <c r="F7108" i="1"/>
  <c r="G7108" i="1" s="1"/>
  <c r="F7109" i="1"/>
  <c r="G7109" i="1" s="1"/>
  <c r="F7110" i="1"/>
  <c r="G7110" i="1" s="1"/>
  <c r="F7111" i="1"/>
  <c r="G7111" i="1" s="1"/>
  <c r="F7112" i="1"/>
  <c r="G7112" i="1" s="1"/>
  <c r="F7113" i="1"/>
  <c r="G7113" i="1" s="1"/>
  <c r="F7114" i="1"/>
  <c r="G7114" i="1" s="1"/>
  <c r="F7115" i="1"/>
  <c r="G7115" i="1" s="1"/>
  <c r="F7116" i="1"/>
  <c r="G7116" i="1" s="1"/>
  <c r="F7117" i="1"/>
  <c r="G7117" i="1" s="1"/>
  <c r="F7118" i="1"/>
  <c r="G7118" i="1" s="1"/>
  <c r="F7119" i="1"/>
  <c r="G7119" i="1" s="1"/>
  <c r="F7120" i="1"/>
  <c r="G7120" i="1" s="1"/>
  <c r="F7121" i="1"/>
  <c r="G7121" i="1" s="1"/>
  <c r="F7122" i="1"/>
  <c r="G7122" i="1" s="1"/>
  <c r="F7123" i="1"/>
  <c r="G7123" i="1" s="1"/>
  <c r="F7124" i="1"/>
  <c r="G7124" i="1" s="1"/>
  <c r="F7125" i="1"/>
  <c r="G7125" i="1" s="1"/>
  <c r="F7126" i="1"/>
  <c r="G7126" i="1" s="1"/>
  <c r="F7127" i="1"/>
  <c r="G7127" i="1" s="1"/>
  <c r="F7128" i="1"/>
  <c r="G7128" i="1" s="1"/>
  <c r="F7129" i="1"/>
  <c r="G7129" i="1" s="1"/>
  <c r="F7130" i="1"/>
  <c r="G7130" i="1" s="1"/>
  <c r="F7131" i="1"/>
  <c r="G7131" i="1" s="1"/>
  <c r="F7132" i="1"/>
  <c r="G7132" i="1" s="1"/>
  <c r="F7133" i="1"/>
  <c r="G7133" i="1" s="1"/>
  <c r="F7134" i="1"/>
  <c r="G7134" i="1" s="1"/>
  <c r="F7135" i="1"/>
  <c r="G7135" i="1" s="1"/>
  <c r="F7136" i="1"/>
  <c r="G7136" i="1" s="1"/>
  <c r="F7137" i="1"/>
  <c r="G7137" i="1" s="1"/>
  <c r="F7138" i="1"/>
  <c r="G7138" i="1" s="1"/>
  <c r="F7139" i="1"/>
  <c r="G7139" i="1" s="1"/>
  <c r="F7140" i="1"/>
  <c r="G7140" i="1" s="1"/>
  <c r="F7141" i="1"/>
  <c r="G7141" i="1" s="1"/>
  <c r="F7142" i="1"/>
  <c r="G7142" i="1" s="1"/>
  <c r="F7143" i="1"/>
  <c r="G7143" i="1" s="1"/>
  <c r="F7144" i="1"/>
  <c r="G7144" i="1" s="1"/>
  <c r="F7145" i="1"/>
  <c r="G7145" i="1" s="1"/>
  <c r="F7146" i="1"/>
  <c r="G7146" i="1" s="1"/>
  <c r="F7147" i="1"/>
  <c r="G7147" i="1" s="1"/>
  <c r="F7148" i="1"/>
  <c r="G7148" i="1" s="1"/>
  <c r="F7149" i="1"/>
  <c r="G7149" i="1" s="1"/>
  <c r="F7150" i="1"/>
  <c r="G7150" i="1" s="1"/>
  <c r="F7151" i="1"/>
  <c r="G7151" i="1" s="1"/>
  <c r="F7152" i="1"/>
  <c r="G7152" i="1" s="1"/>
  <c r="F7153" i="1"/>
  <c r="G7153" i="1" s="1"/>
  <c r="F7154" i="1"/>
  <c r="G7154" i="1" s="1"/>
  <c r="F7155" i="1"/>
  <c r="G7155" i="1" s="1"/>
  <c r="F7156" i="1"/>
  <c r="G7156" i="1" s="1"/>
  <c r="F7157" i="1"/>
  <c r="G7157" i="1" s="1"/>
  <c r="F7158" i="1"/>
  <c r="G7158" i="1" s="1"/>
  <c r="F7159" i="1"/>
  <c r="G7159" i="1" s="1"/>
  <c r="F7160" i="1"/>
  <c r="G7160" i="1" s="1"/>
  <c r="F7161" i="1"/>
  <c r="G7161" i="1" s="1"/>
  <c r="F7162" i="1"/>
  <c r="G7162" i="1" s="1"/>
  <c r="F7163" i="1"/>
  <c r="G7163" i="1" s="1"/>
  <c r="F7164" i="1"/>
  <c r="G7164" i="1" s="1"/>
  <c r="F7165" i="1"/>
  <c r="G7165" i="1" s="1"/>
  <c r="F7166" i="1"/>
  <c r="G7166" i="1" s="1"/>
  <c r="F7167" i="1"/>
  <c r="G7167" i="1" s="1"/>
  <c r="F7168" i="1"/>
  <c r="G7168" i="1" s="1"/>
  <c r="F7169" i="1"/>
  <c r="G7169" i="1" s="1"/>
  <c r="F7170" i="1"/>
  <c r="G7170" i="1" s="1"/>
  <c r="F7171" i="1"/>
  <c r="G7171" i="1" s="1"/>
  <c r="F7172" i="1"/>
  <c r="G7172" i="1" s="1"/>
  <c r="F7173" i="1"/>
  <c r="G7173" i="1" s="1"/>
  <c r="F7174" i="1"/>
  <c r="G7174" i="1" s="1"/>
  <c r="F7175" i="1"/>
  <c r="G7175" i="1" s="1"/>
  <c r="F7176" i="1"/>
  <c r="G7176" i="1" s="1"/>
  <c r="F7177" i="1"/>
  <c r="G7177" i="1" s="1"/>
  <c r="F7178" i="1"/>
  <c r="G7178" i="1" s="1"/>
  <c r="F7179" i="1"/>
  <c r="G7179" i="1" s="1"/>
  <c r="F7180" i="1"/>
  <c r="G7180" i="1" s="1"/>
  <c r="F7181" i="1"/>
  <c r="G7181" i="1" s="1"/>
  <c r="F7182" i="1"/>
  <c r="G7182" i="1" s="1"/>
  <c r="F7183" i="1"/>
  <c r="G7183" i="1" s="1"/>
  <c r="F7184" i="1"/>
  <c r="G7184" i="1" s="1"/>
  <c r="F7185" i="1"/>
  <c r="G7185" i="1" s="1"/>
  <c r="F7186" i="1"/>
  <c r="G7186" i="1" s="1"/>
  <c r="F7187" i="1"/>
  <c r="G7187" i="1" s="1"/>
  <c r="F7188" i="1"/>
  <c r="G7188" i="1" s="1"/>
  <c r="F7189" i="1"/>
  <c r="G7189" i="1" s="1"/>
  <c r="F7190" i="1"/>
  <c r="G7190" i="1" s="1"/>
  <c r="F7191" i="1"/>
  <c r="G7191" i="1" s="1"/>
  <c r="F7192" i="1"/>
  <c r="G7192" i="1" s="1"/>
  <c r="F7193" i="1"/>
  <c r="G7193" i="1" s="1"/>
  <c r="F7194" i="1"/>
  <c r="G7194" i="1" s="1"/>
  <c r="F7195" i="1"/>
  <c r="G7195" i="1" s="1"/>
  <c r="F7196" i="1"/>
  <c r="G7196" i="1" s="1"/>
  <c r="F7197" i="1"/>
  <c r="G7197" i="1" s="1"/>
  <c r="F7198" i="1"/>
  <c r="G7198" i="1" s="1"/>
  <c r="F7199" i="1"/>
  <c r="G7199" i="1" s="1"/>
  <c r="F7200" i="1"/>
  <c r="G7200" i="1" s="1"/>
  <c r="F7201" i="1"/>
  <c r="G7201" i="1" s="1"/>
  <c r="F7202" i="1"/>
  <c r="G7202" i="1" s="1"/>
  <c r="F7203" i="1"/>
  <c r="G7203" i="1" s="1"/>
  <c r="F7204" i="1"/>
  <c r="G7204" i="1" s="1"/>
  <c r="F7205" i="1"/>
  <c r="G7205" i="1" s="1"/>
  <c r="F7206" i="1"/>
  <c r="G7206" i="1" s="1"/>
  <c r="F7207" i="1"/>
  <c r="G7207" i="1" s="1"/>
  <c r="F7208" i="1"/>
  <c r="G7208" i="1" s="1"/>
  <c r="F7209" i="1"/>
  <c r="G7209" i="1" s="1"/>
  <c r="F7210" i="1"/>
  <c r="G7210" i="1" s="1"/>
  <c r="F7211" i="1"/>
  <c r="G7211" i="1" s="1"/>
  <c r="F7212" i="1"/>
  <c r="G7212" i="1" s="1"/>
  <c r="F7213" i="1"/>
  <c r="G7213" i="1" s="1"/>
  <c r="F7214" i="1"/>
  <c r="G7214" i="1" s="1"/>
  <c r="F7215" i="1"/>
  <c r="G7215" i="1" s="1"/>
  <c r="F7216" i="1"/>
  <c r="G7216" i="1" s="1"/>
  <c r="F7217" i="1"/>
  <c r="G7217" i="1" s="1"/>
  <c r="F7218" i="1"/>
  <c r="G7218" i="1" s="1"/>
  <c r="F7219" i="1"/>
  <c r="G7219" i="1" s="1"/>
  <c r="F7220" i="1"/>
  <c r="G7220" i="1" s="1"/>
  <c r="F7221" i="1"/>
  <c r="G7221" i="1" s="1"/>
  <c r="F7222" i="1"/>
  <c r="G7222" i="1" s="1"/>
  <c r="F7223" i="1"/>
  <c r="G7223" i="1" s="1"/>
  <c r="F7224" i="1"/>
  <c r="G7224" i="1" s="1"/>
  <c r="F7225" i="1"/>
  <c r="G7225" i="1" s="1"/>
  <c r="F7226" i="1"/>
  <c r="G7226" i="1" s="1"/>
  <c r="F7227" i="1"/>
  <c r="G7227" i="1" s="1"/>
  <c r="F7228" i="1"/>
  <c r="G7228" i="1" s="1"/>
  <c r="F7229" i="1"/>
  <c r="G7229" i="1" s="1"/>
  <c r="F7230" i="1"/>
  <c r="G7230" i="1" s="1"/>
  <c r="F7231" i="1"/>
  <c r="G7231" i="1" s="1"/>
  <c r="F7232" i="1"/>
  <c r="G7232" i="1" s="1"/>
  <c r="F7233" i="1"/>
  <c r="G7233" i="1" s="1"/>
  <c r="F7234" i="1"/>
  <c r="G7234" i="1" s="1"/>
  <c r="F7235" i="1"/>
  <c r="G7235" i="1" s="1"/>
  <c r="F7236" i="1"/>
  <c r="G7236" i="1" s="1"/>
  <c r="F7237" i="1"/>
  <c r="G7237" i="1" s="1"/>
  <c r="F7238" i="1"/>
  <c r="G7238" i="1" s="1"/>
  <c r="F7239" i="1"/>
  <c r="G7239" i="1" s="1"/>
  <c r="F7240" i="1"/>
  <c r="G7240" i="1" s="1"/>
  <c r="F7241" i="1"/>
  <c r="G7241" i="1" s="1"/>
  <c r="F7242" i="1"/>
  <c r="G7242" i="1" s="1"/>
  <c r="F7243" i="1"/>
  <c r="G7243" i="1" s="1"/>
  <c r="F7244" i="1"/>
  <c r="G7244" i="1" s="1"/>
  <c r="F7245" i="1"/>
  <c r="G7245" i="1" s="1"/>
  <c r="F7246" i="1"/>
  <c r="G7246" i="1" s="1"/>
  <c r="F7247" i="1"/>
  <c r="G7247" i="1" s="1"/>
  <c r="F7248" i="1"/>
  <c r="G7248" i="1" s="1"/>
  <c r="F7249" i="1"/>
  <c r="G7249" i="1" s="1"/>
  <c r="F7250" i="1"/>
  <c r="G7250" i="1" s="1"/>
  <c r="F7251" i="1"/>
  <c r="G7251" i="1" s="1"/>
  <c r="F7252" i="1"/>
  <c r="G7252" i="1" s="1"/>
  <c r="F7253" i="1"/>
  <c r="G7253" i="1" s="1"/>
  <c r="F7254" i="1"/>
  <c r="G7254" i="1" s="1"/>
  <c r="F7255" i="1"/>
  <c r="G7255" i="1" s="1"/>
  <c r="F7256" i="1"/>
  <c r="G7256" i="1" s="1"/>
  <c r="F7257" i="1"/>
  <c r="G7257" i="1" s="1"/>
  <c r="F7258" i="1"/>
  <c r="G7258" i="1" s="1"/>
  <c r="F7259" i="1"/>
  <c r="G7259" i="1" s="1"/>
  <c r="F7260" i="1"/>
  <c r="G7260" i="1" s="1"/>
  <c r="F7261" i="1"/>
  <c r="G7261" i="1" s="1"/>
  <c r="F7262" i="1"/>
  <c r="G7262" i="1" s="1"/>
  <c r="F7263" i="1"/>
  <c r="G7263" i="1" s="1"/>
  <c r="F7264" i="1"/>
  <c r="G7264" i="1" s="1"/>
  <c r="F7265" i="1"/>
  <c r="G7265" i="1" s="1"/>
  <c r="F7266" i="1"/>
  <c r="G7266" i="1" s="1"/>
  <c r="F7267" i="1"/>
  <c r="G7267" i="1" s="1"/>
  <c r="F7268" i="1"/>
  <c r="G7268" i="1" s="1"/>
  <c r="F7269" i="1"/>
  <c r="G7269" i="1" s="1"/>
  <c r="F7270" i="1"/>
  <c r="G7270" i="1" s="1"/>
  <c r="F7271" i="1"/>
  <c r="G7271" i="1" s="1"/>
  <c r="F7272" i="1"/>
  <c r="G7272" i="1" s="1"/>
  <c r="F7273" i="1"/>
  <c r="G7273" i="1" s="1"/>
  <c r="F7274" i="1"/>
  <c r="G7274" i="1" s="1"/>
  <c r="F7275" i="1"/>
  <c r="G7275" i="1" s="1"/>
  <c r="F7276" i="1"/>
  <c r="G7276" i="1" s="1"/>
  <c r="F7277" i="1"/>
  <c r="G7277" i="1" s="1"/>
  <c r="F7278" i="1"/>
  <c r="G7278" i="1" s="1"/>
  <c r="F7279" i="1"/>
  <c r="G7279" i="1" s="1"/>
  <c r="F7280" i="1"/>
  <c r="G7280" i="1" s="1"/>
  <c r="F7281" i="1"/>
  <c r="G7281" i="1" s="1"/>
  <c r="F7282" i="1"/>
  <c r="G7282" i="1" s="1"/>
  <c r="F7283" i="1"/>
  <c r="G7283" i="1" s="1"/>
  <c r="F7284" i="1"/>
  <c r="G7284" i="1" s="1"/>
  <c r="F7285" i="1"/>
  <c r="G7285" i="1" s="1"/>
  <c r="F7286" i="1"/>
  <c r="G7286" i="1" s="1"/>
  <c r="F7287" i="1"/>
  <c r="G7287" i="1" s="1"/>
  <c r="F7288" i="1"/>
  <c r="G7288" i="1" s="1"/>
  <c r="F7289" i="1"/>
  <c r="G7289" i="1" s="1"/>
  <c r="F7290" i="1"/>
  <c r="G7290" i="1" s="1"/>
  <c r="F7291" i="1"/>
  <c r="G7291" i="1" s="1"/>
  <c r="F7292" i="1"/>
  <c r="G7292" i="1" s="1"/>
  <c r="F7293" i="1"/>
  <c r="G7293" i="1" s="1"/>
  <c r="F7294" i="1"/>
  <c r="G7294" i="1" s="1"/>
  <c r="F7295" i="1"/>
  <c r="G7295" i="1" s="1"/>
  <c r="F7296" i="1"/>
  <c r="G7296" i="1" s="1"/>
  <c r="F7297" i="1"/>
  <c r="G7297" i="1" s="1"/>
  <c r="F7298" i="1"/>
  <c r="G7298" i="1" s="1"/>
  <c r="F7299" i="1"/>
  <c r="G7299" i="1" s="1"/>
  <c r="F7300" i="1"/>
  <c r="G7300" i="1" s="1"/>
  <c r="F7301" i="1"/>
  <c r="G7301" i="1" s="1"/>
  <c r="F7302" i="1"/>
  <c r="G7302" i="1" s="1"/>
  <c r="F7303" i="1"/>
  <c r="G7303" i="1" s="1"/>
  <c r="F7304" i="1"/>
  <c r="G7304" i="1" s="1"/>
  <c r="F7305" i="1"/>
  <c r="G7305" i="1" s="1"/>
  <c r="F7306" i="1"/>
  <c r="G7306" i="1" s="1"/>
  <c r="F7307" i="1"/>
  <c r="G7307" i="1" s="1"/>
  <c r="F7308" i="1"/>
  <c r="G7308" i="1" s="1"/>
  <c r="F7309" i="1"/>
  <c r="G7309" i="1" s="1"/>
  <c r="F7310" i="1"/>
  <c r="G7310" i="1" s="1"/>
  <c r="F7311" i="1"/>
  <c r="G7311" i="1" s="1"/>
  <c r="F7312" i="1"/>
  <c r="G7312" i="1" s="1"/>
  <c r="F7313" i="1"/>
  <c r="G7313" i="1" s="1"/>
  <c r="F7314" i="1"/>
  <c r="G7314" i="1" s="1"/>
  <c r="F7315" i="1"/>
  <c r="G7315" i="1" s="1"/>
  <c r="F7316" i="1"/>
  <c r="G7316" i="1" s="1"/>
  <c r="F7317" i="1"/>
  <c r="G7317" i="1" s="1"/>
  <c r="F7318" i="1"/>
  <c r="G7318" i="1" s="1"/>
  <c r="F7319" i="1"/>
  <c r="G7319" i="1" s="1"/>
  <c r="F7320" i="1"/>
  <c r="G7320" i="1" s="1"/>
  <c r="F7321" i="1"/>
  <c r="G7321" i="1" s="1"/>
  <c r="F7322" i="1"/>
  <c r="G7322" i="1" s="1"/>
  <c r="F7323" i="1"/>
  <c r="G7323" i="1" s="1"/>
  <c r="F7324" i="1"/>
  <c r="G7324" i="1" s="1"/>
  <c r="F7325" i="1"/>
  <c r="G7325" i="1" s="1"/>
  <c r="F7326" i="1"/>
  <c r="G7326" i="1" s="1"/>
  <c r="F7327" i="1"/>
  <c r="G7327" i="1" s="1"/>
  <c r="F7328" i="1"/>
  <c r="G7328" i="1" s="1"/>
  <c r="F7329" i="1"/>
  <c r="G7329" i="1" s="1"/>
  <c r="F7330" i="1"/>
  <c r="G7330" i="1" s="1"/>
  <c r="F7331" i="1"/>
  <c r="G7331" i="1" s="1"/>
  <c r="F7332" i="1"/>
  <c r="G7332" i="1" s="1"/>
  <c r="F7333" i="1"/>
  <c r="G7333" i="1" s="1"/>
  <c r="F7334" i="1"/>
  <c r="G7334" i="1" s="1"/>
  <c r="F7335" i="1"/>
  <c r="G7335" i="1" s="1"/>
  <c r="F7336" i="1"/>
  <c r="G7336" i="1" s="1"/>
  <c r="F7337" i="1"/>
  <c r="G7337" i="1" s="1"/>
  <c r="F7338" i="1"/>
  <c r="G7338" i="1" s="1"/>
  <c r="F7339" i="1"/>
  <c r="G7339" i="1" s="1"/>
  <c r="F7340" i="1"/>
  <c r="G7340" i="1" s="1"/>
  <c r="F7341" i="1"/>
  <c r="G7341" i="1" s="1"/>
  <c r="F7342" i="1"/>
  <c r="G7342" i="1" s="1"/>
  <c r="F7343" i="1"/>
  <c r="G7343" i="1" s="1"/>
  <c r="F7344" i="1"/>
  <c r="G7344" i="1" s="1"/>
  <c r="F7345" i="1"/>
  <c r="G7345" i="1" s="1"/>
  <c r="F7346" i="1"/>
  <c r="G7346" i="1" s="1"/>
  <c r="F7347" i="1"/>
  <c r="G7347" i="1" s="1"/>
  <c r="F7348" i="1"/>
  <c r="G7348" i="1" s="1"/>
  <c r="F7349" i="1"/>
  <c r="G7349" i="1" s="1"/>
  <c r="F7350" i="1"/>
  <c r="G7350" i="1" s="1"/>
  <c r="F7351" i="1"/>
  <c r="G7351" i="1" s="1"/>
  <c r="F7352" i="1"/>
  <c r="G7352" i="1" s="1"/>
  <c r="F7353" i="1"/>
  <c r="G7353" i="1" s="1"/>
  <c r="F7354" i="1"/>
  <c r="G7354" i="1" s="1"/>
  <c r="F7355" i="1"/>
  <c r="G7355" i="1" s="1"/>
  <c r="F7356" i="1"/>
  <c r="G7356" i="1" s="1"/>
  <c r="F7357" i="1"/>
  <c r="G7357" i="1" s="1"/>
  <c r="F7358" i="1"/>
  <c r="G7358" i="1" s="1"/>
  <c r="F7359" i="1"/>
  <c r="G7359" i="1" s="1"/>
  <c r="F7360" i="1"/>
  <c r="G7360" i="1" s="1"/>
  <c r="F7361" i="1"/>
  <c r="G7361" i="1" s="1"/>
  <c r="F7362" i="1"/>
  <c r="G7362" i="1" s="1"/>
  <c r="F7363" i="1"/>
  <c r="G7363" i="1" s="1"/>
  <c r="F7364" i="1"/>
  <c r="G7364" i="1" s="1"/>
  <c r="F7365" i="1"/>
  <c r="G7365" i="1" s="1"/>
  <c r="F7366" i="1"/>
  <c r="G7366" i="1" s="1"/>
  <c r="F7367" i="1"/>
  <c r="G7367" i="1" s="1"/>
  <c r="F7368" i="1"/>
  <c r="G7368" i="1" s="1"/>
  <c r="F7369" i="1"/>
  <c r="G7369" i="1" s="1"/>
  <c r="F7370" i="1"/>
  <c r="G7370" i="1" s="1"/>
  <c r="F7371" i="1"/>
  <c r="G7371" i="1" s="1"/>
  <c r="F7372" i="1"/>
  <c r="G7372" i="1" s="1"/>
  <c r="F7373" i="1"/>
  <c r="G7373" i="1" s="1"/>
  <c r="F7374" i="1"/>
  <c r="G7374" i="1" s="1"/>
  <c r="F7375" i="1"/>
  <c r="G7375" i="1" s="1"/>
  <c r="F7376" i="1"/>
  <c r="G7376" i="1" s="1"/>
  <c r="F7377" i="1"/>
  <c r="G7377" i="1" s="1"/>
  <c r="F7378" i="1"/>
  <c r="G7378" i="1" s="1"/>
  <c r="F7379" i="1"/>
  <c r="G7379" i="1" s="1"/>
  <c r="F7380" i="1"/>
  <c r="G7380" i="1" s="1"/>
  <c r="F7381" i="1"/>
  <c r="G7381" i="1" s="1"/>
  <c r="F7382" i="1"/>
  <c r="G7382" i="1" s="1"/>
  <c r="F7383" i="1"/>
  <c r="G7383" i="1" s="1"/>
  <c r="F7384" i="1"/>
  <c r="G7384" i="1" s="1"/>
  <c r="F7385" i="1"/>
  <c r="G7385" i="1" s="1"/>
  <c r="F7386" i="1"/>
  <c r="G7386" i="1" s="1"/>
  <c r="F7387" i="1"/>
  <c r="G7387" i="1" s="1"/>
  <c r="F7388" i="1"/>
  <c r="G7388" i="1" s="1"/>
  <c r="F7389" i="1"/>
  <c r="G7389" i="1" s="1"/>
  <c r="F7390" i="1"/>
  <c r="G7390" i="1" s="1"/>
  <c r="F7391" i="1"/>
  <c r="G7391" i="1" s="1"/>
  <c r="F7392" i="1"/>
  <c r="G7392" i="1" s="1"/>
  <c r="F7393" i="1"/>
  <c r="G7393" i="1" s="1"/>
  <c r="F7394" i="1"/>
  <c r="G7394" i="1" s="1"/>
  <c r="F7395" i="1"/>
  <c r="G7395" i="1" s="1"/>
  <c r="F7396" i="1"/>
  <c r="G7396" i="1" s="1"/>
  <c r="F7397" i="1"/>
  <c r="G7397" i="1" s="1"/>
  <c r="F7398" i="1"/>
  <c r="G7398" i="1" s="1"/>
  <c r="F7399" i="1"/>
  <c r="G7399" i="1" s="1"/>
  <c r="F7400" i="1"/>
  <c r="G7400" i="1" s="1"/>
  <c r="F7401" i="1"/>
  <c r="G7401" i="1" s="1"/>
  <c r="F7402" i="1"/>
  <c r="G7402" i="1" s="1"/>
  <c r="F7403" i="1"/>
  <c r="G7403" i="1" s="1"/>
  <c r="F7404" i="1"/>
  <c r="G7404" i="1" s="1"/>
  <c r="F7405" i="1"/>
  <c r="G7405" i="1" s="1"/>
  <c r="F7406" i="1"/>
  <c r="G7406" i="1" s="1"/>
  <c r="F7407" i="1"/>
  <c r="G7407" i="1" s="1"/>
  <c r="F7408" i="1"/>
  <c r="G7408" i="1" s="1"/>
  <c r="F7409" i="1"/>
  <c r="G7409" i="1" s="1"/>
  <c r="F7410" i="1"/>
  <c r="G7410" i="1" s="1"/>
  <c r="F7411" i="1"/>
  <c r="G7411" i="1" s="1"/>
  <c r="F7412" i="1"/>
  <c r="G7412" i="1" s="1"/>
  <c r="F7413" i="1"/>
  <c r="G7413" i="1" s="1"/>
  <c r="F7414" i="1"/>
  <c r="G7414" i="1" s="1"/>
  <c r="F7415" i="1"/>
  <c r="G7415" i="1" s="1"/>
  <c r="F7416" i="1"/>
  <c r="G7416" i="1" s="1"/>
  <c r="F7417" i="1"/>
  <c r="G7417" i="1" s="1"/>
  <c r="F7418" i="1"/>
  <c r="G7418" i="1" s="1"/>
  <c r="F7419" i="1"/>
  <c r="G7419" i="1" s="1"/>
  <c r="F7420" i="1"/>
  <c r="G7420" i="1" s="1"/>
  <c r="F7421" i="1"/>
  <c r="G7421" i="1" s="1"/>
  <c r="F7422" i="1"/>
  <c r="G7422" i="1" s="1"/>
  <c r="F7423" i="1"/>
  <c r="G7423" i="1" s="1"/>
  <c r="F7424" i="1"/>
  <c r="G7424" i="1" s="1"/>
  <c r="F7425" i="1"/>
  <c r="G7425" i="1" s="1"/>
  <c r="F7426" i="1"/>
  <c r="G7426" i="1" s="1"/>
  <c r="F7427" i="1"/>
  <c r="G7427" i="1" s="1"/>
  <c r="F7428" i="1"/>
  <c r="G7428" i="1" s="1"/>
  <c r="F7429" i="1"/>
  <c r="G7429" i="1" s="1"/>
  <c r="F7430" i="1"/>
  <c r="G7430" i="1" s="1"/>
  <c r="F7431" i="1"/>
  <c r="G7431" i="1" s="1"/>
  <c r="F7432" i="1"/>
  <c r="G7432" i="1" s="1"/>
  <c r="F7433" i="1"/>
  <c r="G7433" i="1" s="1"/>
  <c r="F7434" i="1"/>
  <c r="G7434" i="1" s="1"/>
  <c r="F7435" i="1"/>
  <c r="G7435" i="1" s="1"/>
  <c r="F7436" i="1"/>
  <c r="G7436" i="1" s="1"/>
  <c r="F7437" i="1"/>
  <c r="G7437" i="1" s="1"/>
  <c r="F7438" i="1"/>
  <c r="G7438" i="1" s="1"/>
  <c r="F7439" i="1"/>
  <c r="G7439" i="1" s="1"/>
  <c r="F7440" i="1"/>
  <c r="G7440" i="1" s="1"/>
  <c r="F7441" i="1"/>
  <c r="G7441" i="1" s="1"/>
  <c r="F7442" i="1"/>
  <c r="G7442" i="1" s="1"/>
  <c r="F7443" i="1"/>
  <c r="G7443" i="1" s="1"/>
  <c r="F7444" i="1"/>
  <c r="G7444" i="1" s="1"/>
  <c r="F7445" i="1"/>
  <c r="G7445" i="1" s="1"/>
  <c r="F7446" i="1"/>
  <c r="G7446" i="1" s="1"/>
  <c r="F7447" i="1"/>
  <c r="G7447" i="1" s="1"/>
  <c r="F7448" i="1"/>
  <c r="G7448" i="1" s="1"/>
  <c r="F7449" i="1"/>
  <c r="G7449" i="1" s="1"/>
  <c r="F7450" i="1"/>
  <c r="G7450" i="1" s="1"/>
  <c r="F7451" i="1"/>
  <c r="G7451" i="1" s="1"/>
  <c r="F7452" i="1"/>
  <c r="G7452" i="1" s="1"/>
  <c r="F7453" i="1"/>
  <c r="G7453" i="1" s="1"/>
  <c r="F7454" i="1"/>
  <c r="G7454" i="1" s="1"/>
  <c r="F7455" i="1"/>
  <c r="G7455" i="1" s="1"/>
  <c r="F7456" i="1"/>
  <c r="G7456" i="1" s="1"/>
  <c r="F7457" i="1"/>
  <c r="G7457" i="1" s="1"/>
  <c r="F7458" i="1"/>
  <c r="G7458" i="1" s="1"/>
  <c r="F7459" i="1"/>
  <c r="G7459" i="1" s="1"/>
  <c r="F7460" i="1"/>
  <c r="G7460" i="1" s="1"/>
  <c r="F7461" i="1"/>
  <c r="G7461" i="1" s="1"/>
  <c r="F7462" i="1"/>
  <c r="G7462" i="1" s="1"/>
  <c r="F7463" i="1"/>
  <c r="G7463" i="1" s="1"/>
  <c r="F7464" i="1"/>
  <c r="G7464" i="1" s="1"/>
  <c r="F7465" i="1"/>
  <c r="G7465" i="1" s="1"/>
  <c r="F7466" i="1"/>
  <c r="G7466" i="1" s="1"/>
  <c r="F7467" i="1"/>
  <c r="G7467" i="1" s="1"/>
  <c r="F7468" i="1"/>
  <c r="G7468" i="1" s="1"/>
  <c r="F7469" i="1"/>
  <c r="G7469" i="1" s="1"/>
  <c r="F7470" i="1"/>
  <c r="G7470" i="1" s="1"/>
  <c r="F7471" i="1"/>
  <c r="G7471" i="1" s="1"/>
  <c r="F7472" i="1"/>
  <c r="G7472" i="1" s="1"/>
  <c r="F7473" i="1"/>
  <c r="G7473" i="1" s="1"/>
  <c r="F7474" i="1"/>
  <c r="G7474" i="1" s="1"/>
  <c r="F7475" i="1"/>
  <c r="G7475" i="1" s="1"/>
  <c r="F7476" i="1"/>
  <c r="G7476" i="1" s="1"/>
  <c r="F7477" i="1"/>
  <c r="G7477" i="1" s="1"/>
  <c r="F7478" i="1"/>
  <c r="G7478" i="1" s="1"/>
  <c r="F7479" i="1"/>
  <c r="G7479" i="1" s="1"/>
  <c r="F7480" i="1"/>
  <c r="G7480" i="1" s="1"/>
  <c r="F7481" i="1"/>
  <c r="G7481" i="1" s="1"/>
  <c r="F7482" i="1"/>
  <c r="G7482" i="1" s="1"/>
  <c r="F7483" i="1"/>
  <c r="G7483" i="1" s="1"/>
  <c r="F7484" i="1"/>
  <c r="G7484" i="1" s="1"/>
  <c r="F7485" i="1"/>
  <c r="G7485" i="1" s="1"/>
  <c r="F7486" i="1"/>
  <c r="G7486" i="1" s="1"/>
  <c r="F7487" i="1"/>
  <c r="G7487" i="1" s="1"/>
  <c r="F7488" i="1"/>
  <c r="G7488" i="1" s="1"/>
  <c r="F7489" i="1"/>
  <c r="G7489" i="1" s="1"/>
  <c r="F7490" i="1"/>
  <c r="G7490" i="1" s="1"/>
  <c r="F7491" i="1"/>
  <c r="G7491" i="1" s="1"/>
  <c r="F7492" i="1"/>
  <c r="G7492" i="1" s="1"/>
  <c r="F7493" i="1"/>
  <c r="G7493" i="1" s="1"/>
  <c r="F7494" i="1"/>
  <c r="G7494" i="1" s="1"/>
  <c r="F7495" i="1"/>
  <c r="G7495" i="1" s="1"/>
  <c r="F7496" i="1"/>
  <c r="G7496" i="1" s="1"/>
  <c r="F7497" i="1"/>
  <c r="G7497" i="1" s="1"/>
  <c r="F7498" i="1"/>
  <c r="G7498" i="1" s="1"/>
  <c r="F7499" i="1"/>
  <c r="G7499" i="1" s="1"/>
  <c r="F7500" i="1"/>
  <c r="G7500" i="1" s="1"/>
  <c r="F7501" i="1"/>
  <c r="G7501" i="1" s="1"/>
  <c r="F7502" i="1"/>
  <c r="G7502" i="1" s="1"/>
  <c r="F7503" i="1"/>
  <c r="G7503" i="1" s="1"/>
  <c r="F7504" i="1"/>
  <c r="G7504" i="1" s="1"/>
  <c r="F7505" i="1"/>
  <c r="G7505" i="1" s="1"/>
  <c r="F7506" i="1"/>
  <c r="G7506" i="1" s="1"/>
  <c r="F7507" i="1"/>
  <c r="G7507" i="1" s="1"/>
  <c r="F7508" i="1"/>
  <c r="G7508" i="1" s="1"/>
  <c r="F7509" i="1"/>
  <c r="G7509" i="1" s="1"/>
  <c r="F7510" i="1"/>
  <c r="G7510" i="1" s="1"/>
  <c r="F7511" i="1"/>
  <c r="G7511" i="1" s="1"/>
  <c r="F7512" i="1"/>
  <c r="G7512" i="1" s="1"/>
  <c r="F7513" i="1"/>
  <c r="G7513" i="1" s="1"/>
  <c r="F7514" i="1"/>
  <c r="G7514" i="1" s="1"/>
  <c r="F7515" i="1"/>
  <c r="G7515" i="1" s="1"/>
  <c r="F7516" i="1"/>
  <c r="G7516" i="1" s="1"/>
  <c r="F7517" i="1"/>
  <c r="G7517" i="1" s="1"/>
  <c r="F7518" i="1"/>
  <c r="G7518" i="1" s="1"/>
  <c r="F7519" i="1"/>
  <c r="G7519" i="1" s="1"/>
  <c r="F7520" i="1"/>
  <c r="G7520" i="1" s="1"/>
  <c r="F7521" i="1"/>
  <c r="G7521" i="1" s="1"/>
  <c r="F7522" i="1"/>
  <c r="G7522" i="1" s="1"/>
  <c r="F7523" i="1"/>
  <c r="G7523" i="1" s="1"/>
  <c r="F7524" i="1"/>
  <c r="G7524" i="1" s="1"/>
  <c r="F7525" i="1"/>
  <c r="G7525" i="1" s="1"/>
  <c r="F7526" i="1"/>
  <c r="G7526" i="1" s="1"/>
  <c r="F7527" i="1"/>
  <c r="G7527" i="1" s="1"/>
  <c r="F7528" i="1"/>
  <c r="G7528" i="1" s="1"/>
  <c r="F7529" i="1"/>
  <c r="G7529" i="1" s="1"/>
  <c r="F7530" i="1"/>
  <c r="G7530" i="1" s="1"/>
  <c r="F7531" i="1"/>
  <c r="G7531" i="1" s="1"/>
  <c r="F7532" i="1"/>
  <c r="G7532" i="1" s="1"/>
  <c r="F7533" i="1"/>
  <c r="G7533" i="1" s="1"/>
  <c r="F7534" i="1"/>
  <c r="G7534" i="1" s="1"/>
  <c r="F7535" i="1"/>
  <c r="G7535" i="1" s="1"/>
  <c r="F7536" i="1"/>
  <c r="G7536" i="1" s="1"/>
  <c r="F7537" i="1"/>
  <c r="G7537" i="1" s="1"/>
  <c r="F7538" i="1"/>
  <c r="G7538" i="1" s="1"/>
  <c r="F7539" i="1"/>
  <c r="G7539" i="1" s="1"/>
  <c r="F7540" i="1"/>
  <c r="G7540" i="1" s="1"/>
  <c r="F7541" i="1"/>
  <c r="G7541" i="1" s="1"/>
  <c r="F7542" i="1"/>
  <c r="G7542" i="1" s="1"/>
  <c r="F7543" i="1"/>
  <c r="G7543" i="1" s="1"/>
  <c r="F7544" i="1"/>
  <c r="G7544" i="1" s="1"/>
  <c r="F7545" i="1"/>
  <c r="G7545" i="1" s="1"/>
  <c r="F7546" i="1"/>
  <c r="G7546" i="1" s="1"/>
  <c r="F7547" i="1"/>
  <c r="G7547" i="1" s="1"/>
  <c r="F7548" i="1"/>
  <c r="G7548" i="1" s="1"/>
  <c r="F7549" i="1"/>
  <c r="G7549" i="1" s="1"/>
  <c r="F7550" i="1"/>
  <c r="G7550" i="1" s="1"/>
  <c r="F7551" i="1"/>
  <c r="G7551" i="1" s="1"/>
  <c r="F7552" i="1"/>
  <c r="G7552" i="1" s="1"/>
  <c r="F7553" i="1"/>
  <c r="G7553" i="1" s="1"/>
  <c r="F7554" i="1"/>
  <c r="G7554" i="1" s="1"/>
  <c r="F7555" i="1"/>
  <c r="G7555" i="1" s="1"/>
  <c r="F7556" i="1"/>
  <c r="G7556" i="1" s="1"/>
  <c r="F7557" i="1"/>
  <c r="G7557" i="1" s="1"/>
  <c r="F7558" i="1"/>
  <c r="G7558" i="1" s="1"/>
  <c r="F7559" i="1"/>
  <c r="G7559" i="1" s="1"/>
  <c r="F7560" i="1"/>
  <c r="G7560" i="1" s="1"/>
  <c r="F7561" i="1"/>
  <c r="G7561" i="1" s="1"/>
  <c r="F7562" i="1"/>
  <c r="G7562" i="1" s="1"/>
  <c r="F7563" i="1"/>
  <c r="G7563" i="1" s="1"/>
  <c r="F7564" i="1"/>
  <c r="G7564" i="1" s="1"/>
  <c r="F7565" i="1"/>
  <c r="G7565" i="1" s="1"/>
  <c r="F7566" i="1"/>
  <c r="G7566" i="1" s="1"/>
  <c r="F7567" i="1"/>
  <c r="G7567" i="1" s="1"/>
  <c r="F7568" i="1"/>
  <c r="G7568" i="1" s="1"/>
  <c r="F7569" i="1"/>
  <c r="G7569" i="1" s="1"/>
  <c r="F7570" i="1"/>
  <c r="G7570" i="1" s="1"/>
  <c r="F7571" i="1"/>
  <c r="G7571" i="1" s="1"/>
  <c r="F7572" i="1"/>
  <c r="G7572" i="1" s="1"/>
  <c r="F7573" i="1"/>
  <c r="G7573" i="1" s="1"/>
  <c r="F7574" i="1"/>
  <c r="G7574" i="1" s="1"/>
  <c r="F7575" i="1"/>
  <c r="G7575" i="1" s="1"/>
  <c r="F7576" i="1"/>
  <c r="G7576" i="1" s="1"/>
  <c r="F7577" i="1"/>
  <c r="G7577" i="1" s="1"/>
  <c r="F7578" i="1"/>
  <c r="G7578" i="1" s="1"/>
  <c r="F7579" i="1"/>
  <c r="G7579" i="1" s="1"/>
  <c r="F7580" i="1"/>
  <c r="G7580" i="1" s="1"/>
  <c r="F7581" i="1"/>
  <c r="G7581" i="1" s="1"/>
  <c r="F7582" i="1"/>
  <c r="G7582" i="1" s="1"/>
  <c r="F7583" i="1"/>
  <c r="G7583" i="1" s="1"/>
  <c r="F7584" i="1"/>
  <c r="G7584" i="1" s="1"/>
  <c r="F7585" i="1"/>
  <c r="G7585" i="1" s="1"/>
  <c r="F7586" i="1"/>
  <c r="G7586" i="1" s="1"/>
  <c r="F7587" i="1"/>
  <c r="G7587" i="1" s="1"/>
  <c r="F7588" i="1"/>
  <c r="G7588" i="1" s="1"/>
  <c r="F7589" i="1"/>
  <c r="G7589" i="1" s="1"/>
  <c r="F7590" i="1"/>
  <c r="G7590" i="1" s="1"/>
  <c r="F7591" i="1"/>
  <c r="G7591" i="1" s="1"/>
  <c r="F7592" i="1"/>
  <c r="G7592" i="1" s="1"/>
  <c r="F7593" i="1"/>
  <c r="G7593" i="1" s="1"/>
  <c r="F7594" i="1"/>
  <c r="G7594" i="1" s="1"/>
  <c r="F7595" i="1"/>
  <c r="G7595" i="1" s="1"/>
  <c r="F7596" i="1"/>
  <c r="G7596" i="1" s="1"/>
  <c r="F7597" i="1"/>
  <c r="G7597" i="1" s="1"/>
  <c r="F7598" i="1"/>
  <c r="G7598" i="1" s="1"/>
  <c r="F7599" i="1"/>
  <c r="G7599" i="1" s="1"/>
  <c r="F7600" i="1"/>
  <c r="G7600" i="1" s="1"/>
  <c r="F7601" i="1"/>
  <c r="G7601" i="1" s="1"/>
  <c r="F7602" i="1"/>
  <c r="G7602" i="1" s="1"/>
  <c r="F7603" i="1"/>
  <c r="G7603" i="1" s="1"/>
  <c r="F7604" i="1"/>
  <c r="G7604" i="1" s="1"/>
  <c r="F7605" i="1"/>
  <c r="G7605" i="1" s="1"/>
  <c r="F7606" i="1"/>
  <c r="G7606" i="1" s="1"/>
  <c r="F7607" i="1"/>
  <c r="G7607" i="1" s="1"/>
  <c r="F7608" i="1"/>
  <c r="G7608" i="1" s="1"/>
  <c r="F7609" i="1"/>
  <c r="G7609" i="1" s="1"/>
  <c r="F7610" i="1"/>
  <c r="G7610" i="1" s="1"/>
  <c r="F7611" i="1"/>
  <c r="G7611" i="1" s="1"/>
  <c r="F7612" i="1"/>
  <c r="G7612" i="1" s="1"/>
  <c r="F7613" i="1"/>
  <c r="G7613" i="1" s="1"/>
  <c r="F7614" i="1"/>
  <c r="G7614" i="1" s="1"/>
  <c r="F7615" i="1"/>
  <c r="G7615" i="1" s="1"/>
  <c r="F7616" i="1"/>
  <c r="G7616" i="1" s="1"/>
  <c r="F7617" i="1"/>
  <c r="G7617" i="1" s="1"/>
  <c r="F7618" i="1"/>
  <c r="G7618" i="1" s="1"/>
  <c r="F7619" i="1"/>
  <c r="G7619" i="1" s="1"/>
  <c r="F7620" i="1"/>
  <c r="G7620" i="1" s="1"/>
  <c r="F7621" i="1"/>
  <c r="G7621" i="1" s="1"/>
  <c r="F7622" i="1"/>
  <c r="G7622" i="1" s="1"/>
  <c r="F7623" i="1"/>
  <c r="G7623" i="1" s="1"/>
  <c r="F7624" i="1"/>
  <c r="G7624" i="1" s="1"/>
  <c r="F7625" i="1"/>
  <c r="G7625" i="1" s="1"/>
  <c r="F7626" i="1"/>
  <c r="G7626" i="1" s="1"/>
  <c r="F7627" i="1"/>
  <c r="G7627" i="1" s="1"/>
  <c r="F7628" i="1"/>
  <c r="G7628" i="1" s="1"/>
  <c r="F7629" i="1"/>
  <c r="G7629" i="1" s="1"/>
  <c r="F7630" i="1"/>
  <c r="G7630" i="1" s="1"/>
  <c r="F7631" i="1"/>
  <c r="G7631" i="1" s="1"/>
  <c r="F7632" i="1"/>
  <c r="G7632" i="1" s="1"/>
  <c r="F7633" i="1"/>
  <c r="G7633" i="1" s="1"/>
  <c r="F7634" i="1"/>
  <c r="G7634" i="1" s="1"/>
  <c r="F7635" i="1"/>
  <c r="G7635" i="1" s="1"/>
  <c r="F7636" i="1"/>
  <c r="G7636" i="1" s="1"/>
  <c r="F7637" i="1"/>
  <c r="G7637" i="1" s="1"/>
  <c r="F7638" i="1"/>
  <c r="G7638" i="1" s="1"/>
  <c r="F7639" i="1"/>
  <c r="G7639" i="1" s="1"/>
  <c r="F7640" i="1"/>
  <c r="G7640" i="1" s="1"/>
  <c r="F7641" i="1"/>
  <c r="G7641" i="1" s="1"/>
  <c r="F7642" i="1"/>
  <c r="G7642" i="1" s="1"/>
  <c r="F7643" i="1"/>
  <c r="G7643" i="1" s="1"/>
  <c r="F7644" i="1"/>
  <c r="G7644" i="1" s="1"/>
  <c r="F7645" i="1"/>
  <c r="G7645" i="1" s="1"/>
  <c r="F7646" i="1"/>
  <c r="G7646" i="1" s="1"/>
  <c r="F7647" i="1"/>
  <c r="G7647" i="1" s="1"/>
  <c r="F7648" i="1"/>
  <c r="G7648" i="1" s="1"/>
  <c r="F7649" i="1"/>
  <c r="G7649" i="1" s="1"/>
  <c r="F7650" i="1"/>
  <c r="G7650" i="1" s="1"/>
  <c r="F7651" i="1"/>
  <c r="G7651" i="1" s="1"/>
  <c r="F7652" i="1"/>
  <c r="G7652" i="1" s="1"/>
  <c r="F7653" i="1"/>
  <c r="G7653" i="1" s="1"/>
  <c r="F7654" i="1"/>
  <c r="G7654" i="1" s="1"/>
  <c r="F7655" i="1"/>
  <c r="G7655" i="1" s="1"/>
  <c r="F7656" i="1"/>
  <c r="G7656" i="1" s="1"/>
  <c r="F7657" i="1"/>
  <c r="G7657" i="1" s="1"/>
  <c r="F7658" i="1"/>
  <c r="G7658" i="1" s="1"/>
  <c r="F7659" i="1"/>
  <c r="G7659" i="1" s="1"/>
  <c r="F7660" i="1"/>
  <c r="G7660" i="1" s="1"/>
  <c r="F7661" i="1"/>
  <c r="G7661" i="1" s="1"/>
  <c r="F7662" i="1"/>
  <c r="G7662" i="1" s="1"/>
  <c r="F7663" i="1"/>
  <c r="G7663" i="1" s="1"/>
  <c r="F7664" i="1"/>
  <c r="G7664" i="1" s="1"/>
  <c r="F7665" i="1"/>
  <c r="G7665" i="1" s="1"/>
  <c r="F7666" i="1"/>
  <c r="G7666" i="1" s="1"/>
  <c r="F7667" i="1"/>
  <c r="G7667" i="1" s="1"/>
  <c r="F7668" i="1"/>
  <c r="G7668" i="1" s="1"/>
  <c r="F7669" i="1"/>
  <c r="G7669" i="1" s="1"/>
  <c r="F7670" i="1"/>
  <c r="G7670" i="1" s="1"/>
  <c r="F7671" i="1"/>
  <c r="G7671" i="1" s="1"/>
  <c r="F7672" i="1"/>
  <c r="G7672" i="1" s="1"/>
  <c r="F7673" i="1"/>
  <c r="G7673" i="1" s="1"/>
  <c r="F7674" i="1"/>
  <c r="G7674" i="1" s="1"/>
  <c r="F7675" i="1"/>
  <c r="G7675" i="1" s="1"/>
  <c r="F7676" i="1"/>
  <c r="G7676" i="1" s="1"/>
  <c r="F7677" i="1"/>
  <c r="G7677" i="1" s="1"/>
  <c r="F7678" i="1"/>
  <c r="G7678" i="1" s="1"/>
  <c r="F7679" i="1"/>
  <c r="G7679" i="1" s="1"/>
  <c r="F7680" i="1"/>
  <c r="G7680" i="1" s="1"/>
  <c r="F7681" i="1"/>
  <c r="G7681" i="1" s="1"/>
  <c r="F7682" i="1"/>
  <c r="G7682" i="1" s="1"/>
  <c r="F7683" i="1"/>
  <c r="G7683" i="1" s="1"/>
  <c r="F7684" i="1"/>
  <c r="G7684" i="1" s="1"/>
  <c r="F7685" i="1"/>
  <c r="G7685" i="1" s="1"/>
  <c r="F7686" i="1"/>
  <c r="G7686" i="1" s="1"/>
  <c r="F7687" i="1"/>
  <c r="G7687" i="1" s="1"/>
  <c r="F7688" i="1"/>
  <c r="G7688" i="1" s="1"/>
  <c r="F7689" i="1"/>
  <c r="G7689" i="1" s="1"/>
  <c r="F7690" i="1"/>
  <c r="G7690" i="1" s="1"/>
  <c r="F7691" i="1"/>
  <c r="G7691" i="1" s="1"/>
  <c r="F7692" i="1"/>
  <c r="G7692" i="1" s="1"/>
  <c r="F7693" i="1"/>
  <c r="G7693" i="1" s="1"/>
  <c r="F7694" i="1"/>
  <c r="G7694" i="1" s="1"/>
  <c r="F7695" i="1"/>
  <c r="G7695" i="1" s="1"/>
  <c r="F7696" i="1"/>
  <c r="G7696" i="1" s="1"/>
  <c r="F7697" i="1"/>
  <c r="G7697" i="1" s="1"/>
  <c r="F7698" i="1"/>
  <c r="G7698" i="1" s="1"/>
  <c r="F7699" i="1"/>
  <c r="G7699" i="1" s="1"/>
  <c r="F7700" i="1"/>
  <c r="G7700" i="1" s="1"/>
  <c r="F7701" i="1"/>
  <c r="G7701" i="1" s="1"/>
  <c r="F7702" i="1"/>
  <c r="G7702" i="1" s="1"/>
  <c r="F7703" i="1"/>
  <c r="G7703" i="1" s="1"/>
  <c r="F7704" i="1"/>
  <c r="G7704" i="1" s="1"/>
  <c r="F7705" i="1"/>
  <c r="G7705" i="1" s="1"/>
  <c r="F7706" i="1"/>
  <c r="G7706" i="1" s="1"/>
  <c r="F7707" i="1"/>
  <c r="G7707" i="1" s="1"/>
  <c r="F7708" i="1"/>
  <c r="G7708" i="1" s="1"/>
  <c r="F7709" i="1"/>
  <c r="G7709" i="1" s="1"/>
  <c r="F7710" i="1"/>
  <c r="G7710" i="1" s="1"/>
  <c r="F7711" i="1"/>
  <c r="G7711" i="1" s="1"/>
  <c r="F7712" i="1"/>
  <c r="G7712" i="1" s="1"/>
  <c r="F7713" i="1"/>
  <c r="G7713" i="1" s="1"/>
  <c r="F7714" i="1"/>
  <c r="G7714" i="1" s="1"/>
  <c r="F7715" i="1"/>
  <c r="G7715" i="1" s="1"/>
  <c r="F7716" i="1"/>
  <c r="G7716" i="1" s="1"/>
  <c r="F7717" i="1"/>
  <c r="G7717" i="1" s="1"/>
  <c r="F7718" i="1"/>
  <c r="G7718" i="1" s="1"/>
  <c r="F7719" i="1"/>
  <c r="G7719" i="1" s="1"/>
  <c r="F7720" i="1"/>
  <c r="G7720" i="1" s="1"/>
  <c r="F7721" i="1"/>
  <c r="G7721" i="1" s="1"/>
  <c r="F7722" i="1"/>
  <c r="G7722" i="1" s="1"/>
  <c r="F7723" i="1"/>
  <c r="G7723" i="1" s="1"/>
  <c r="F7724" i="1"/>
  <c r="G7724" i="1" s="1"/>
  <c r="F7725" i="1"/>
  <c r="G7725" i="1" s="1"/>
  <c r="F7726" i="1"/>
  <c r="G7726" i="1" s="1"/>
  <c r="F7727" i="1"/>
  <c r="G7727" i="1" s="1"/>
  <c r="F7728" i="1"/>
  <c r="G7728" i="1" s="1"/>
  <c r="F7729" i="1"/>
  <c r="G7729" i="1" s="1"/>
  <c r="F7730" i="1"/>
  <c r="G7730" i="1" s="1"/>
  <c r="F7731" i="1"/>
  <c r="G7731" i="1" s="1"/>
  <c r="F7732" i="1"/>
  <c r="G7732" i="1" s="1"/>
  <c r="F7733" i="1"/>
  <c r="G7733" i="1" s="1"/>
  <c r="F7734" i="1"/>
  <c r="G7734" i="1" s="1"/>
  <c r="F7735" i="1"/>
  <c r="G7735" i="1" s="1"/>
  <c r="F7736" i="1"/>
  <c r="G7736" i="1" s="1"/>
  <c r="F7737" i="1"/>
  <c r="G7737" i="1" s="1"/>
  <c r="F7738" i="1"/>
  <c r="G7738" i="1" s="1"/>
  <c r="F7739" i="1"/>
  <c r="G7739" i="1" s="1"/>
  <c r="F7740" i="1"/>
  <c r="G7740" i="1" s="1"/>
  <c r="F7741" i="1"/>
  <c r="G7741" i="1" s="1"/>
  <c r="F7742" i="1"/>
  <c r="G7742" i="1" s="1"/>
  <c r="F7743" i="1"/>
  <c r="G7743" i="1" s="1"/>
  <c r="F7744" i="1"/>
  <c r="G7744" i="1" s="1"/>
  <c r="F7745" i="1"/>
  <c r="G7745" i="1" s="1"/>
  <c r="F7746" i="1"/>
  <c r="G7746" i="1" s="1"/>
  <c r="F7747" i="1"/>
  <c r="G7747" i="1" s="1"/>
  <c r="F7748" i="1"/>
  <c r="G7748" i="1" s="1"/>
  <c r="F7749" i="1"/>
  <c r="G7749" i="1" s="1"/>
  <c r="F7750" i="1"/>
  <c r="G7750" i="1" s="1"/>
  <c r="F7751" i="1"/>
  <c r="G7751" i="1" s="1"/>
  <c r="F7752" i="1"/>
  <c r="G7752" i="1" s="1"/>
  <c r="F7753" i="1"/>
  <c r="G7753" i="1" s="1"/>
  <c r="F7754" i="1"/>
  <c r="G7754" i="1" s="1"/>
  <c r="F7755" i="1"/>
  <c r="G7755" i="1" s="1"/>
  <c r="F7756" i="1"/>
  <c r="G7756" i="1" s="1"/>
  <c r="F7757" i="1"/>
  <c r="G7757" i="1" s="1"/>
  <c r="F7758" i="1"/>
  <c r="G7758" i="1" s="1"/>
  <c r="F7759" i="1"/>
  <c r="G7759" i="1" s="1"/>
  <c r="F7760" i="1"/>
  <c r="G7760" i="1" s="1"/>
  <c r="F7761" i="1"/>
  <c r="G7761" i="1" s="1"/>
  <c r="F7762" i="1"/>
  <c r="G7762" i="1" s="1"/>
  <c r="F7763" i="1"/>
  <c r="G7763" i="1" s="1"/>
  <c r="F7764" i="1"/>
  <c r="G7764" i="1" s="1"/>
  <c r="F7765" i="1"/>
  <c r="G7765" i="1" s="1"/>
  <c r="F7766" i="1"/>
  <c r="G7766" i="1" s="1"/>
  <c r="F7767" i="1"/>
  <c r="G7767" i="1" s="1"/>
  <c r="F7768" i="1"/>
  <c r="G7768" i="1" s="1"/>
  <c r="F7769" i="1"/>
  <c r="G7769" i="1" s="1"/>
  <c r="F7770" i="1"/>
  <c r="G7770" i="1" s="1"/>
  <c r="F7771" i="1"/>
  <c r="G7771" i="1" s="1"/>
  <c r="F7772" i="1"/>
  <c r="G7772" i="1" s="1"/>
  <c r="F7773" i="1"/>
  <c r="G7773" i="1" s="1"/>
  <c r="F7774" i="1"/>
  <c r="G7774" i="1" s="1"/>
  <c r="F7775" i="1"/>
  <c r="G7775" i="1" s="1"/>
  <c r="F7776" i="1"/>
  <c r="G7776" i="1" s="1"/>
  <c r="F7777" i="1"/>
  <c r="G7777" i="1" s="1"/>
  <c r="F7778" i="1"/>
  <c r="G7778" i="1" s="1"/>
  <c r="F7779" i="1"/>
  <c r="G7779" i="1" s="1"/>
  <c r="F7780" i="1"/>
  <c r="G7780" i="1" s="1"/>
  <c r="F7781" i="1"/>
  <c r="G7781" i="1" s="1"/>
  <c r="F7782" i="1"/>
  <c r="G7782" i="1" s="1"/>
  <c r="F7783" i="1"/>
  <c r="G7783" i="1" s="1"/>
  <c r="F7784" i="1"/>
  <c r="G7784" i="1" s="1"/>
  <c r="F7785" i="1"/>
  <c r="G7785" i="1" s="1"/>
  <c r="F7786" i="1"/>
  <c r="G7786" i="1" s="1"/>
  <c r="F7787" i="1"/>
  <c r="G7787" i="1" s="1"/>
  <c r="F7788" i="1"/>
  <c r="G7788" i="1" s="1"/>
  <c r="F7789" i="1"/>
  <c r="G7789" i="1" s="1"/>
  <c r="F7790" i="1"/>
  <c r="G7790" i="1" s="1"/>
  <c r="F7791" i="1"/>
  <c r="G7791" i="1" s="1"/>
  <c r="F7792" i="1"/>
  <c r="G7792" i="1" s="1"/>
  <c r="F7793" i="1"/>
  <c r="G7793" i="1" s="1"/>
  <c r="F7794" i="1"/>
  <c r="G7794" i="1" s="1"/>
  <c r="F7795" i="1"/>
  <c r="G7795" i="1" s="1"/>
  <c r="F7796" i="1"/>
  <c r="G7796" i="1" s="1"/>
  <c r="F7797" i="1"/>
  <c r="G7797" i="1" s="1"/>
  <c r="F7798" i="1"/>
  <c r="G7798" i="1" s="1"/>
  <c r="F7799" i="1"/>
  <c r="G7799" i="1" s="1"/>
  <c r="F7800" i="1"/>
  <c r="G7800" i="1" s="1"/>
  <c r="F7801" i="1"/>
  <c r="G7801" i="1" s="1"/>
  <c r="F7802" i="1"/>
  <c r="G7802" i="1" s="1"/>
  <c r="F7803" i="1"/>
  <c r="G7803" i="1" s="1"/>
  <c r="F7804" i="1"/>
  <c r="G7804" i="1" s="1"/>
  <c r="F7805" i="1"/>
  <c r="G7805" i="1" s="1"/>
  <c r="F7806" i="1"/>
  <c r="G7806" i="1" s="1"/>
  <c r="F7807" i="1"/>
  <c r="G7807" i="1" s="1"/>
  <c r="F7808" i="1"/>
  <c r="G7808" i="1" s="1"/>
  <c r="F7809" i="1"/>
  <c r="G7809" i="1" s="1"/>
  <c r="F7810" i="1"/>
  <c r="G7810" i="1" s="1"/>
  <c r="F7811" i="1"/>
  <c r="G7811" i="1" s="1"/>
  <c r="F7812" i="1"/>
  <c r="G7812" i="1" s="1"/>
  <c r="F7813" i="1"/>
  <c r="G7813" i="1" s="1"/>
  <c r="F7814" i="1"/>
  <c r="G7814" i="1" s="1"/>
  <c r="F7815" i="1"/>
  <c r="G7815" i="1" s="1"/>
  <c r="F7816" i="1"/>
  <c r="G7816" i="1" s="1"/>
  <c r="F7817" i="1"/>
  <c r="G7817" i="1" s="1"/>
  <c r="F7818" i="1"/>
  <c r="G7818" i="1" s="1"/>
  <c r="F7819" i="1"/>
  <c r="G7819" i="1" s="1"/>
  <c r="F7820" i="1"/>
  <c r="G7820" i="1" s="1"/>
  <c r="F7821" i="1"/>
  <c r="G7821" i="1" s="1"/>
  <c r="F7822" i="1"/>
  <c r="G7822" i="1" s="1"/>
  <c r="F7823" i="1"/>
  <c r="G7823" i="1" s="1"/>
  <c r="F7824" i="1"/>
  <c r="G7824" i="1" s="1"/>
  <c r="F7825" i="1"/>
  <c r="G7825" i="1" s="1"/>
  <c r="F7826" i="1"/>
  <c r="G7826" i="1" s="1"/>
  <c r="F7827" i="1"/>
  <c r="G7827" i="1" s="1"/>
  <c r="F7828" i="1"/>
  <c r="G7828" i="1" s="1"/>
  <c r="F7829" i="1"/>
  <c r="G7829" i="1" s="1"/>
  <c r="F7830" i="1"/>
  <c r="G7830" i="1" s="1"/>
  <c r="F7831" i="1"/>
  <c r="G7831" i="1" s="1"/>
  <c r="F7832" i="1"/>
  <c r="G7832" i="1" s="1"/>
  <c r="F7833" i="1"/>
  <c r="G7833" i="1" s="1"/>
  <c r="F7834" i="1"/>
  <c r="G7834" i="1" s="1"/>
  <c r="F7835" i="1"/>
  <c r="G7835" i="1" s="1"/>
  <c r="F7836" i="1"/>
  <c r="G7836" i="1" s="1"/>
  <c r="F7837" i="1"/>
  <c r="G7837" i="1" s="1"/>
  <c r="F7838" i="1"/>
  <c r="G7838" i="1" s="1"/>
  <c r="F7839" i="1"/>
  <c r="G7839" i="1" s="1"/>
  <c r="F7840" i="1"/>
  <c r="G7840" i="1" s="1"/>
  <c r="F7841" i="1"/>
  <c r="G7841" i="1" s="1"/>
  <c r="F7842" i="1"/>
  <c r="G7842" i="1" s="1"/>
  <c r="F7843" i="1"/>
  <c r="G7843" i="1" s="1"/>
  <c r="F7844" i="1"/>
  <c r="G7844" i="1" s="1"/>
  <c r="F7845" i="1"/>
  <c r="G7845" i="1" s="1"/>
  <c r="F7846" i="1"/>
  <c r="G7846" i="1" s="1"/>
  <c r="F7847" i="1"/>
  <c r="G7847" i="1" s="1"/>
  <c r="F7848" i="1"/>
  <c r="G7848" i="1" s="1"/>
  <c r="F7849" i="1"/>
  <c r="G7849" i="1" s="1"/>
  <c r="F7850" i="1"/>
  <c r="G7850" i="1" s="1"/>
  <c r="F7851" i="1"/>
  <c r="G7851" i="1" s="1"/>
  <c r="F7852" i="1"/>
  <c r="G7852" i="1" s="1"/>
  <c r="F7853" i="1"/>
  <c r="G7853" i="1" s="1"/>
  <c r="F7854" i="1"/>
  <c r="G7854" i="1" s="1"/>
  <c r="F7855" i="1"/>
  <c r="G7855" i="1" s="1"/>
  <c r="F7856" i="1"/>
  <c r="G7856" i="1" s="1"/>
  <c r="F7857" i="1"/>
  <c r="G7857" i="1" s="1"/>
  <c r="F7858" i="1"/>
  <c r="G7858" i="1" s="1"/>
  <c r="F7859" i="1"/>
  <c r="G7859" i="1" s="1"/>
  <c r="F7860" i="1"/>
  <c r="G7860" i="1" s="1"/>
  <c r="F7861" i="1"/>
  <c r="G7861" i="1" s="1"/>
  <c r="F7862" i="1"/>
  <c r="G7862" i="1" s="1"/>
  <c r="F7863" i="1"/>
  <c r="G7863" i="1" s="1"/>
  <c r="F7864" i="1"/>
  <c r="G7864" i="1" s="1"/>
  <c r="F7865" i="1"/>
  <c r="G7865" i="1" s="1"/>
  <c r="F7866" i="1"/>
  <c r="G7866" i="1" s="1"/>
  <c r="F7867" i="1"/>
  <c r="G7867" i="1" s="1"/>
  <c r="F7868" i="1"/>
  <c r="G7868" i="1" s="1"/>
  <c r="F7869" i="1"/>
  <c r="G7869" i="1" s="1"/>
  <c r="F7870" i="1"/>
  <c r="G7870" i="1" s="1"/>
  <c r="F7871" i="1"/>
  <c r="G7871" i="1" s="1"/>
  <c r="F7872" i="1"/>
  <c r="G7872" i="1" s="1"/>
  <c r="F7873" i="1"/>
  <c r="G7873" i="1" s="1"/>
  <c r="F7874" i="1"/>
  <c r="G7874" i="1" s="1"/>
  <c r="F7875" i="1"/>
  <c r="G7875" i="1" s="1"/>
  <c r="F7876" i="1"/>
  <c r="G7876" i="1" s="1"/>
  <c r="F7877" i="1"/>
  <c r="G7877" i="1" s="1"/>
  <c r="F7878" i="1"/>
  <c r="G7878" i="1" s="1"/>
  <c r="F7879" i="1"/>
  <c r="G7879" i="1" s="1"/>
  <c r="F7880" i="1"/>
  <c r="G7880" i="1" s="1"/>
  <c r="F7881" i="1"/>
  <c r="G7881" i="1" s="1"/>
  <c r="F7882" i="1"/>
  <c r="G7882" i="1" s="1"/>
  <c r="F7883" i="1"/>
  <c r="G7883" i="1" s="1"/>
  <c r="F7884" i="1"/>
  <c r="G7884" i="1" s="1"/>
  <c r="F7885" i="1"/>
  <c r="G7885" i="1" s="1"/>
  <c r="F7886" i="1"/>
  <c r="G7886" i="1" s="1"/>
  <c r="F7887" i="1"/>
  <c r="G7887" i="1" s="1"/>
  <c r="F7888" i="1"/>
  <c r="G7888" i="1" s="1"/>
  <c r="F7889" i="1"/>
  <c r="G7889" i="1" s="1"/>
  <c r="F7890" i="1"/>
  <c r="G7890" i="1" s="1"/>
  <c r="F7891" i="1"/>
  <c r="G7891" i="1" s="1"/>
  <c r="F7892" i="1"/>
  <c r="G7892" i="1" s="1"/>
  <c r="F7893" i="1"/>
  <c r="G7893" i="1" s="1"/>
  <c r="F7894" i="1"/>
  <c r="G7894" i="1" s="1"/>
  <c r="F7895" i="1"/>
  <c r="G7895" i="1" s="1"/>
  <c r="F7896" i="1"/>
  <c r="G7896" i="1" s="1"/>
  <c r="F7897" i="1"/>
  <c r="G7897" i="1" s="1"/>
  <c r="F7898" i="1"/>
  <c r="G7898" i="1" s="1"/>
  <c r="F7899" i="1"/>
  <c r="G7899" i="1" s="1"/>
  <c r="F7900" i="1"/>
  <c r="G7900" i="1" s="1"/>
  <c r="F7901" i="1"/>
  <c r="G7901" i="1" s="1"/>
  <c r="F7902" i="1"/>
  <c r="G7902" i="1" s="1"/>
  <c r="F7903" i="1"/>
  <c r="G7903" i="1" s="1"/>
  <c r="F7904" i="1"/>
  <c r="G7904" i="1" s="1"/>
  <c r="F7905" i="1"/>
  <c r="G7905" i="1" s="1"/>
  <c r="F7906" i="1"/>
  <c r="G7906" i="1" s="1"/>
  <c r="F7907" i="1"/>
  <c r="G7907" i="1" s="1"/>
  <c r="F7908" i="1"/>
  <c r="G7908" i="1" s="1"/>
  <c r="F7909" i="1"/>
  <c r="G7909" i="1" s="1"/>
  <c r="F7910" i="1"/>
  <c r="G7910" i="1" s="1"/>
  <c r="F7911" i="1"/>
  <c r="G7911" i="1" s="1"/>
  <c r="F7912" i="1"/>
  <c r="G7912" i="1" s="1"/>
  <c r="F7913" i="1"/>
  <c r="G7913" i="1"/>
  <c r="F7914" i="1"/>
  <c r="G7914" i="1" s="1"/>
  <c r="F7915" i="1"/>
  <c r="G7915" i="1" s="1"/>
  <c r="F7916" i="1"/>
  <c r="G7916" i="1" s="1"/>
  <c r="F7917" i="1"/>
  <c r="G7917" i="1" s="1"/>
  <c r="F7918" i="1"/>
  <c r="G7918" i="1" s="1"/>
  <c r="F7919" i="1"/>
  <c r="G7919" i="1" s="1"/>
  <c r="F7920" i="1"/>
  <c r="G7920" i="1" s="1"/>
  <c r="F7921" i="1"/>
  <c r="G7921" i="1" s="1"/>
  <c r="F7922" i="1"/>
  <c r="G7922" i="1" s="1"/>
  <c r="F7923" i="1"/>
  <c r="G7923" i="1" s="1"/>
  <c r="F7924" i="1"/>
  <c r="G7924" i="1" s="1"/>
  <c r="F7925" i="1"/>
  <c r="G7925" i="1" s="1"/>
  <c r="F7926" i="1"/>
  <c r="G7926" i="1" s="1"/>
  <c r="F7927" i="1"/>
  <c r="G7927" i="1" s="1"/>
  <c r="F7928" i="1"/>
  <c r="G7928" i="1" s="1"/>
  <c r="F7929" i="1"/>
  <c r="G7929" i="1" s="1"/>
  <c r="F7930" i="1"/>
  <c r="G7930" i="1" s="1"/>
  <c r="F7931" i="1"/>
  <c r="G7931" i="1" s="1"/>
  <c r="F7932" i="1"/>
  <c r="G7932" i="1" s="1"/>
  <c r="F7933" i="1"/>
  <c r="G7933" i="1" s="1"/>
  <c r="F7934" i="1"/>
  <c r="G7934" i="1" s="1"/>
  <c r="F7935" i="1"/>
  <c r="G7935" i="1" s="1"/>
  <c r="F7936" i="1"/>
  <c r="G7936" i="1" s="1"/>
  <c r="F7937" i="1"/>
  <c r="G7937" i="1" s="1"/>
  <c r="F7938" i="1"/>
  <c r="G7938" i="1" s="1"/>
  <c r="F7939" i="1"/>
  <c r="G7939" i="1" s="1"/>
  <c r="F7940" i="1"/>
  <c r="G7940" i="1" s="1"/>
  <c r="F7941" i="1"/>
  <c r="G7941" i="1" s="1"/>
  <c r="F7942" i="1"/>
  <c r="G7942" i="1" s="1"/>
  <c r="F7943" i="1"/>
  <c r="G7943" i="1" s="1"/>
  <c r="F7944" i="1"/>
  <c r="G7944" i="1" s="1"/>
  <c r="F7945" i="1"/>
  <c r="G7945" i="1" s="1"/>
  <c r="F7946" i="1"/>
  <c r="G7946" i="1" s="1"/>
  <c r="F7947" i="1"/>
  <c r="G7947" i="1" s="1"/>
  <c r="F7948" i="1"/>
  <c r="G7948" i="1" s="1"/>
  <c r="F7949" i="1"/>
  <c r="G7949" i="1" s="1"/>
  <c r="F7950" i="1"/>
  <c r="G7950" i="1" s="1"/>
  <c r="F7951" i="1"/>
  <c r="G7951" i="1" s="1"/>
  <c r="F7952" i="1"/>
  <c r="G7952" i="1" s="1"/>
  <c r="F7953" i="1"/>
  <c r="G7953" i="1" s="1"/>
  <c r="F7954" i="1"/>
  <c r="G7954" i="1" s="1"/>
  <c r="F7955" i="1"/>
  <c r="G7955" i="1" s="1"/>
  <c r="F7956" i="1"/>
  <c r="G7956" i="1" s="1"/>
  <c r="F7957" i="1"/>
  <c r="G7957" i="1" s="1"/>
  <c r="F7958" i="1"/>
  <c r="G7958" i="1" s="1"/>
  <c r="F7959" i="1"/>
  <c r="G7959" i="1" s="1"/>
  <c r="F7960" i="1"/>
  <c r="G7960" i="1" s="1"/>
  <c r="F7961" i="1"/>
  <c r="G7961" i="1" s="1"/>
  <c r="F7962" i="1"/>
  <c r="G7962" i="1" s="1"/>
  <c r="F7963" i="1"/>
  <c r="G7963" i="1" s="1"/>
  <c r="F7964" i="1"/>
  <c r="G7964" i="1" s="1"/>
  <c r="F7965" i="1"/>
  <c r="G7965" i="1" s="1"/>
  <c r="F7966" i="1"/>
  <c r="G7966" i="1" s="1"/>
  <c r="F7967" i="1"/>
  <c r="G7967" i="1" s="1"/>
  <c r="F7968" i="1"/>
  <c r="G7968" i="1" s="1"/>
  <c r="F7969" i="1"/>
  <c r="G7969" i="1" s="1"/>
  <c r="F7970" i="1"/>
  <c r="G7970" i="1" s="1"/>
  <c r="F7971" i="1"/>
  <c r="G7971" i="1" s="1"/>
  <c r="F7972" i="1"/>
  <c r="G7972" i="1" s="1"/>
  <c r="F7973" i="1"/>
  <c r="G7973" i="1" s="1"/>
  <c r="F7974" i="1"/>
  <c r="G7974" i="1" s="1"/>
  <c r="F7975" i="1"/>
  <c r="G7975" i="1" s="1"/>
  <c r="F7976" i="1"/>
  <c r="G7976" i="1" s="1"/>
  <c r="F7977" i="1"/>
  <c r="G7977" i="1" s="1"/>
  <c r="F7978" i="1"/>
  <c r="G7978" i="1" s="1"/>
  <c r="F7979" i="1"/>
  <c r="G7979" i="1" s="1"/>
  <c r="F7980" i="1"/>
  <c r="G7980" i="1" s="1"/>
  <c r="F7981" i="1"/>
  <c r="G7981" i="1" s="1"/>
  <c r="F7982" i="1"/>
  <c r="G7982" i="1" s="1"/>
  <c r="F7983" i="1"/>
  <c r="G7983" i="1" s="1"/>
  <c r="F7984" i="1"/>
  <c r="G7984" i="1" s="1"/>
  <c r="F7985" i="1"/>
  <c r="G7985" i="1" s="1"/>
  <c r="F7986" i="1"/>
  <c r="G7986" i="1" s="1"/>
  <c r="F7987" i="1"/>
  <c r="G7987" i="1" s="1"/>
  <c r="F7988" i="1"/>
  <c r="G7988" i="1" s="1"/>
  <c r="F7989" i="1"/>
  <c r="G7989" i="1" s="1"/>
  <c r="F7990" i="1"/>
  <c r="G7990" i="1" s="1"/>
  <c r="F7991" i="1"/>
  <c r="G7991" i="1" s="1"/>
  <c r="F7992" i="1"/>
  <c r="G7992" i="1" s="1"/>
  <c r="F7993" i="1"/>
  <c r="G7993" i="1" s="1"/>
  <c r="F7994" i="1"/>
  <c r="G7994" i="1" s="1"/>
  <c r="F7995" i="1"/>
  <c r="G7995" i="1" s="1"/>
  <c r="F7996" i="1"/>
  <c r="G7996" i="1" s="1"/>
  <c r="F7997" i="1"/>
  <c r="G7997" i="1" s="1"/>
  <c r="F7998" i="1"/>
  <c r="G7998" i="1" s="1"/>
  <c r="F7999" i="1"/>
  <c r="G7999" i="1" s="1"/>
  <c r="F8000" i="1"/>
  <c r="G8000" i="1" s="1"/>
  <c r="F8001" i="1"/>
  <c r="G8001" i="1" s="1"/>
  <c r="F8002" i="1"/>
  <c r="G8002" i="1" s="1"/>
  <c r="F8003" i="1"/>
  <c r="G8003" i="1" s="1"/>
  <c r="F8004" i="1"/>
  <c r="G8004" i="1" s="1"/>
  <c r="F8005" i="1"/>
  <c r="G8005" i="1" s="1"/>
  <c r="F8006" i="1"/>
  <c r="G8006" i="1" s="1"/>
  <c r="F8007" i="1"/>
  <c r="G8007" i="1" s="1"/>
  <c r="F8008" i="1"/>
  <c r="G8008" i="1" s="1"/>
  <c r="F8009" i="1"/>
  <c r="G8009" i="1" s="1"/>
  <c r="F8010" i="1"/>
  <c r="G8010" i="1" s="1"/>
  <c r="F8011" i="1"/>
  <c r="G8011" i="1" s="1"/>
  <c r="F8012" i="1"/>
  <c r="G8012" i="1" s="1"/>
  <c r="F8013" i="1"/>
  <c r="G8013" i="1" s="1"/>
  <c r="F8014" i="1"/>
  <c r="G8014" i="1" s="1"/>
  <c r="F8015" i="1"/>
  <c r="G8015" i="1" s="1"/>
  <c r="F8016" i="1"/>
  <c r="G8016" i="1" s="1"/>
  <c r="F8017" i="1"/>
  <c r="G8017" i="1" s="1"/>
  <c r="F8018" i="1"/>
  <c r="G8018" i="1" s="1"/>
  <c r="F8019" i="1"/>
  <c r="G8019" i="1" s="1"/>
  <c r="F8020" i="1"/>
  <c r="G8020" i="1" s="1"/>
  <c r="F8021" i="1"/>
  <c r="G8021" i="1" s="1"/>
  <c r="F8022" i="1"/>
  <c r="G8022" i="1" s="1"/>
  <c r="F8023" i="1"/>
  <c r="G8023" i="1" s="1"/>
  <c r="F8024" i="1"/>
  <c r="G8024" i="1" s="1"/>
  <c r="F8025" i="1"/>
  <c r="G8025" i="1" s="1"/>
  <c r="F8026" i="1"/>
  <c r="G8026" i="1" s="1"/>
  <c r="F8027" i="1"/>
  <c r="G8027" i="1" s="1"/>
  <c r="F8028" i="1"/>
  <c r="G8028" i="1" s="1"/>
  <c r="F8029" i="1"/>
  <c r="G8029" i="1" s="1"/>
  <c r="F8030" i="1"/>
  <c r="G8030" i="1" s="1"/>
  <c r="F8031" i="1"/>
  <c r="G8031" i="1" s="1"/>
  <c r="F8032" i="1"/>
  <c r="G8032" i="1" s="1"/>
  <c r="F8033" i="1"/>
  <c r="G8033" i="1" s="1"/>
  <c r="F8034" i="1"/>
  <c r="G8034" i="1" s="1"/>
  <c r="F8035" i="1"/>
  <c r="G8035" i="1" s="1"/>
  <c r="F8036" i="1"/>
  <c r="G8036" i="1" s="1"/>
  <c r="F8037" i="1"/>
  <c r="G8037" i="1" s="1"/>
  <c r="F8038" i="1"/>
  <c r="G8038" i="1" s="1"/>
  <c r="F8039" i="1"/>
  <c r="G8039" i="1" s="1"/>
  <c r="F8040" i="1"/>
  <c r="G8040" i="1" s="1"/>
  <c r="F8041" i="1"/>
  <c r="G8041" i="1" s="1"/>
  <c r="F8042" i="1"/>
  <c r="G8042" i="1" s="1"/>
  <c r="F8043" i="1"/>
  <c r="G8043" i="1" s="1"/>
  <c r="F8044" i="1"/>
  <c r="G8044" i="1" s="1"/>
  <c r="F8045" i="1"/>
  <c r="G8045" i="1" s="1"/>
  <c r="F8046" i="1"/>
  <c r="G8046" i="1" s="1"/>
  <c r="F8047" i="1"/>
  <c r="G8047" i="1" s="1"/>
  <c r="F8048" i="1"/>
  <c r="G8048" i="1" s="1"/>
  <c r="F8049" i="1"/>
  <c r="G8049" i="1" s="1"/>
  <c r="F8050" i="1"/>
  <c r="G8050" i="1" s="1"/>
  <c r="F8051" i="1"/>
  <c r="G8051" i="1" s="1"/>
  <c r="F8052" i="1"/>
  <c r="G8052" i="1" s="1"/>
  <c r="F8053" i="1"/>
  <c r="G8053" i="1" s="1"/>
  <c r="F8054" i="1"/>
  <c r="G8054" i="1" s="1"/>
  <c r="F8055" i="1"/>
  <c r="G8055" i="1" s="1"/>
  <c r="F8056" i="1"/>
  <c r="G8056" i="1" s="1"/>
  <c r="F8057" i="1"/>
  <c r="G8057" i="1" s="1"/>
  <c r="F8058" i="1"/>
  <c r="G8058" i="1" s="1"/>
  <c r="F8059" i="1"/>
  <c r="G8059" i="1" s="1"/>
  <c r="F8060" i="1"/>
  <c r="G8060" i="1" s="1"/>
  <c r="F8061" i="1"/>
  <c r="G8061" i="1" s="1"/>
  <c r="F8062" i="1"/>
  <c r="G8062" i="1" s="1"/>
  <c r="F8063" i="1"/>
  <c r="G8063" i="1" s="1"/>
  <c r="F8064" i="1"/>
  <c r="G8064" i="1" s="1"/>
  <c r="F8065" i="1"/>
  <c r="G8065" i="1" s="1"/>
  <c r="F8066" i="1"/>
  <c r="G8066" i="1" s="1"/>
  <c r="F8067" i="1"/>
  <c r="G8067" i="1" s="1"/>
  <c r="F8068" i="1"/>
  <c r="G8068" i="1" s="1"/>
  <c r="F8069" i="1"/>
  <c r="G8069" i="1" s="1"/>
  <c r="F8070" i="1"/>
  <c r="G8070" i="1" s="1"/>
  <c r="F8071" i="1"/>
  <c r="G8071" i="1" s="1"/>
  <c r="F8072" i="1"/>
  <c r="G8072" i="1" s="1"/>
  <c r="F8073" i="1"/>
  <c r="G8073" i="1" s="1"/>
  <c r="F8074" i="1"/>
  <c r="G8074" i="1" s="1"/>
  <c r="F8075" i="1"/>
  <c r="G8075" i="1" s="1"/>
  <c r="F8076" i="1"/>
  <c r="G8076" i="1" s="1"/>
  <c r="F8077" i="1"/>
  <c r="G8077" i="1" s="1"/>
  <c r="F8078" i="1"/>
  <c r="G8078" i="1" s="1"/>
  <c r="F8079" i="1"/>
  <c r="G8079" i="1" s="1"/>
  <c r="F8080" i="1"/>
  <c r="G8080" i="1" s="1"/>
  <c r="F8081" i="1"/>
  <c r="G8081" i="1" s="1"/>
  <c r="F8082" i="1"/>
  <c r="G8082" i="1" s="1"/>
  <c r="F8083" i="1"/>
  <c r="G8083" i="1" s="1"/>
  <c r="F8084" i="1"/>
  <c r="G8084" i="1" s="1"/>
  <c r="F8085" i="1"/>
  <c r="G8085" i="1" s="1"/>
  <c r="F8086" i="1"/>
  <c r="G8086" i="1" s="1"/>
  <c r="F8087" i="1"/>
  <c r="G8087" i="1" s="1"/>
  <c r="F8088" i="1"/>
  <c r="G8088" i="1" s="1"/>
  <c r="F8089" i="1"/>
  <c r="G8089" i="1" s="1"/>
  <c r="F8090" i="1"/>
  <c r="G8090" i="1" s="1"/>
  <c r="F8091" i="1"/>
  <c r="G8091" i="1" s="1"/>
  <c r="F8092" i="1"/>
  <c r="G8092" i="1" s="1"/>
  <c r="F8093" i="1"/>
  <c r="G8093" i="1" s="1"/>
  <c r="F8094" i="1"/>
  <c r="G8094" i="1" s="1"/>
  <c r="F8095" i="1"/>
  <c r="G8095" i="1" s="1"/>
  <c r="F8096" i="1"/>
  <c r="G8096" i="1" s="1"/>
  <c r="F8097" i="1"/>
  <c r="G8097" i="1" s="1"/>
  <c r="F8098" i="1"/>
  <c r="G8098" i="1" s="1"/>
  <c r="F8099" i="1"/>
  <c r="G8099" i="1" s="1"/>
  <c r="F8100" i="1"/>
  <c r="G8100" i="1" s="1"/>
  <c r="F8101" i="1"/>
  <c r="G8101" i="1" s="1"/>
  <c r="F8102" i="1"/>
  <c r="G8102" i="1" s="1"/>
  <c r="F8103" i="1"/>
  <c r="G8103" i="1" s="1"/>
  <c r="F8104" i="1"/>
  <c r="G8104" i="1" s="1"/>
  <c r="F8105" i="1"/>
  <c r="G8105" i="1" s="1"/>
  <c r="F8106" i="1"/>
  <c r="G8106" i="1" s="1"/>
  <c r="F8107" i="1"/>
  <c r="G8107" i="1" s="1"/>
  <c r="F8108" i="1"/>
  <c r="G8108" i="1" s="1"/>
  <c r="F8109" i="1"/>
  <c r="G8109" i="1" s="1"/>
  <c r="F8110" i="1"/>
  <c r="G8110" i="1" s="1"/>
  <c r="F8111" i="1"/>
  <c r="G8111" i="1" s="1"/>
  <c r="F8112" i="1"/>
  <c r="G8112" i="1" s="1"/>
  <c r="F8113" i="1"/>
  <c r="G8113" i="1" s="1"/>
  <c r="F8114" i="1"/>
  <c r="G8114" i="1" s="1"/>
  <c r="F8115" i="1"/>
  <c r="G8115" i="1" s="1"/>
  <c r="F8116" i="1"/>
  <c r="G8116" i="1" s="1"/>
  <c r="F8117" i="1"/>
  <c r="G8117" i="1" s="1"/>
  <c r="F8118" i="1"/>
  <c r="G8118" i="1" s="1"/>
  <c r="F8119" i="1"/>
  <c r="G8119" i="1" s="1"/>
  <c r="F8120" i="1"/>
  <c r="G8120" i="1" s="1"/>
  <c r="F8121" i="1"/>
  <c r="G8121" i="1" s="1"/>
  <c r="F8122" i="1"/>
  <c r="G8122" i="1" s="1"/>
  <c r="F8123" i="1"/>
  <c r="G8123" i="1" s="1"/>
  <c r="F8124" i="1"/>
  <c r="G8124" i="1" s="1"/>
  <c r="F8125" i="1"/>
  <c r="G8125" i="1" s="1"/>
  <c r="F8126" i="1"/>
  <c r="G8126" i="1" s="1"/>
  <c r="F8127" i="1"/>
  <c r="G8127" i="1" s="1"/>
  <c r="F8128" i="1"/>
  <c r="G8128" i="1" s="1"/>
  <c r="F8129" i="1"/>
  <c r="G8129" i="1" s="1"/>
  <c r="F8130" i="1"/>
  <c r="G8130" i="1" s="1"/>
  <c r="F8131" i="1"/>
  <c r="G8131" i="1" s="1"/>
  <c r="F8132" i="1"/>
  <c r="G8132" i="1" s="1"/>
  <c r="F8133" i="1"/>
  <c r="G8133" i="1" s="1"/>
  <c r="F8134" i="1"/>
  <c r="G8134" i="1" s="1"/>
  <c r="F8135" i="1"/>
  <c r="G8135" i="1" s="1"/>
  <c r="F8136" i="1"/>
  <c r="G8136" i="1" s="1"/>
  <c r="F8137" i="1"/>
  <c r="G8137" i="1" s="1"/>
  <c r="F8138" i="1"/>
  <c r="G8138" i="1" s="1"/>
  <c r="F8139" i="1"/>
  <c r="G8139" i="1" s="1"/>
  <c r="F8140" i="1"/>
  <c r="G8140" i="1" s="1"/>
  <c r="F8141" i="1"/>
  <c r="G8141" i="1" s="1"/>
  <c r="F8142" i="1"/>
  <c r="G8142" i="1" s="1"/>
  <c r="F8143" i="1"/>
  <c r="G8143" i="1" s="1"/>
  <c r="F8144" i="1"/>
  <c r="G8144" i="1" s="1"/>
  <c r="F8145" i="1"/>
  <c r="G8145" i="1" s="1"/>
  <c r="F8146" i="1"/>
  <c r="G8146" i="1" s="1"/>
  <c r="F8147" i="1"/>
  <c r="G8147" i="1" s="1"/>
  <c r="F8148" i="1"/>
  <c r="G8148" i="1" s="1"/>
  <c r="F8149" i="1"/>
  <c r="G8149" i="1" s="1"/>
  <c r="F8150" i="1"/>
  <c r="G8150" i="1" s="1"/>
  <c r="F8151" i="1"/>
  <c r="G8151" i="1" s="1"/>
  <c r="F8152" i="1"/>
  <c r="G8152" i="1" s="1"/>
  <c r="F8153" i="1"/>
  <c r="G8153" i="1" s="1"/>
  <c r="F8154" i="1"/>
  <c r="G8154" i="1" s="1"/>
  <c r="F8155" i="1"/>
  <c r="G8155" i="1" s="1"/>
  <c r="F8156" i="1"/>
  <c r="G8156" i="1" s="1"/>
  <c r="F8157" i="1"/>
  <c r="G8157" i="1" s="1"/>
  <c r="F8158" i="1"/>
  <c r="G8158" i="1" s="1"/>
  <c r="F8159" i="1"/>
  <c r="G8159" i="1" s="1"/>
  <c r="F8160" i="1"/>
  <c r="G8160" i="1" s="1"/>
  <c r="F8161" i="1"/>
  <c r="G8161" i="1" s="1"/>
  <c r="F8162" i="1"/>
  <c r="G8162" i="1" s="1"/>
  <c r="F8163" i="1"/>
  <c r="G8163" i="1" s="1"/>
  <c r="F8164" i="1"/>
  <c r="G8164" i="1" s="1"/>
  <c r="F8165" i="1"/>
  <c r="G8165" i="1" s="1"/>
  <c r="F8166" i="1"/>
  <c r="G8166" i="1" s="1"/>
  <c r="F8167" i="1"/>
  <c r="G8167" i="1" s="1"/>
  <c r="F8168" i="1"/>
  <c r="G8168" i="1"/>
  <c r="F8169" i="1"/>
  <c r="G8169" i="1" s="1"/>
  <c r="F8170" i="1"/>
  <c r="G8170" i="1" s="1"/>
  <c r="F8171" i="1"/>
  <c r="G8171" i="1" s="1"/>
  <c r="F8172" i="1"/>
  <c r="G8172" i="1" s="1"/>
  <c r="F8173" i="1"/>
  <c r="G8173" i="1" s="1"/>
  <c r="F8174" i="1"/>
  <c r="G8174" i="1" s="1"/>
  <c r="F8175" i="1"/>
  <c r="G8175" i="1" s="1"/>
  <c r="F8176" i="1"/>
  <c r="G8176" i="1" s="1"/>
  <c r="F8177" i="1"/>
  <c r="G8177" i="1" s="1"/>
  <c r="F8178" i="1"/>
  <c r="G8178" i="1" s="1"/>
  <c r="F8179" i="1"/>
  <c r="G8179" i="1" s="1"/>
  <c r="F8180" i="1"/>
  <c r="G8180" i="1" s="1"/>
  <c r="F8181" i="1"/>
  <c r="G8181" i="1" s="1"/>
  <c r="F8182" i="1"/>
  <c r="G8182" i="1" s="1"/>
  <c r="F8183" i="1"/>
  <c r="G8183" i="1" s="1"/>
  <c r="F8184" i="1"/>
  <c r="G8184" i="1" s="1"/>
  <c r="F8185" i="1"/>
  <c r="G8185" i="1" s="1"/>
  <c r="F8186" i="1"/>
  <c r="G8186" i="1" s="1"/>
  <c r="F8187" i="1"/>
  <c r="G8187" i="1" s="1"/>
  <c r="F8188" i="1"/>
  <c r="G8188" i="1" s="1"/>
  <c r="F8189" i="1"/>
  <c r="G8189" i="1" s="1"/>
  <c r="F8190" i="1"/>
  <c r="G8190" i="1" s="1"/>
  <c r="F8191" i="1"/>
  <c r="G8191" i="1" s="1"/>
  <c r="F8192" i="1"/>
  <c r="G8192" i="1" s="1"/>
  <c r="F8193" i="1"/>
  <c r="G8193" i="1" s="1"/>
  <c r="F8194" i="1"/>
  <c r="G8194" i="1" s="1"/>
  <c r="F8195" i="1"/>
  <c r="G8195" i="1" s="1"/>
  <c r="F8196" i="1"/>
  <c r="G8196" i="1" s="1"/>
  <c r="F8197" i="1"/>
  <c r="G8197" i="1" s="1"/>
  <c r="F8198" i="1"/>
  <c r="G8198" i="1" s="1"/>
  <c r="F8199" i="1"/>
  <c r="G8199" i="1" s="1"/>
  <c r="F8200" i="1"/>
  <c r="G8200" i="1" s="1"/>
  <c r="F8201" i="1"/>
  <c r="G8201" i="1" s="1"/>
  <c r="F8202" i="1"/>
  <c r="G8202" i="1" s="1"/>
  <c r="F8203" i="1"/>
  <c r="G8203" i="1" s="1"/>
  <c r="F8204" i="1"/>
  <c r="G8204" i="1" s="1"/>
  <c r="F8205" i="1"/>
  <c r="G8205" i="1" s="1"/>
  <c r="F8206" i="1"/>
  <c r="G8206" i="1" s="1"/>
  <c r="F8207" i="1"/>
  <c r="G8207" i="1" s="1"/>
  <c r="F8208" i="1"/>
  <c r="G8208" i="1" s="1"/>
  <c r="F8209" i="1"/>
  <c r="G8209" i="1" s="1"/>
  <c r="F8210" i="1"/>
  <c r="G8210" i="1" s="1"/>
  <c r="F8211" i="1"/>
  <c r="G8211" i="1" s="1"/>
  <c r="F8212" i="1"/>
  <c r="G8212" i="1" s="1"/>
  <c r="F8213" i="1"/>
  <c r="G8213" i="1" s="1"/>
  <c r="F8214" i="1"/>
  <c r="G8214" i="1" s="1"/>
  <c r="F8215" i="1"/>
  <c r="G8215" i="1" s="1"/>
  <c r="F8216" i="1"/>
  <c r="G8216" i="1" s="1"/>
  <c r="F8217" i="1"/>
  <c r="G8217" i="1" s="1"/>
  <c r="F8218" i="1"/>
  <c r="G8218" i="1" s="1"/>
  <c r="F8219" i="1"/>
  <c r="G8219" i="1" s="1"/>
  <c r="F8220" i="1"/>
  <c r="G8220" i="1" s="1"/>
  <c r="F8221" i="1"/>
  <c r="G8221" i="1" s="1"/>
  <c r="F8222" i="1"/>
  <c r="G8222" i="1" s="1"/>
  <c r="F8223" i="1"/>
  <c r="G8223" i="1" s="1"/>
  <c r="F8224" i="1"/>
  <c r="G8224" i="1" s="1"/>
  <c r="F8225" i="1"/>
  <c r="G8225" i="1" s="1"/>
  <c r="F8226" i="1"/>
  <c r="G8226" i="1" s="1"/>
  <c r="F8227" i="1"/>
  <c r="G8227" i="1" s="1"/>
  <c r="F8228" i="1"/>
  <c r="G8228" i="1" s="1"/>
  <c r="F8229" i="1"/>
  <c r="G8229" i="1" s="1"/>
  <c r="F8230" i="1"/>
  <c r="G8230" i="1" s="1"/>
  <c r="F8231" i="1"/>
  <c r="G8231" i="1" s="1"/>
  <c r="F8232" i="1"/>
  <c r="G8232" i="1" s="1"/>
  <c r="F8233" i="1"/>
  <c r="G8233" i="1" s="1"/>
  <c r="F8234" i="1"/>
  <c r="G8234" i="1" s="1"/>
  <c r="F8235" i="1"/>
  <c r="G8235" i="1" s="1"/>
  <c r="F8236" i="1"/>
  <c r="G8236" i="1" s="1"/>
  <c r="F8237" i="1"/>
  <c r="G8237" i="1" s="1"/>
  <c r="F8238" i="1"/>
  <c r="G8238" i="1" s="1"/>
  <c r="F8239" i="1"/>
  <c r="G8239" i="1" s="1"/>
  <c r="F8240" i="1"/>
  <c r="G8240" i="1" s="1"/>
  <c r="F8241" i="1"/>
  <c r="G8241" i="1" s="1"/>
  <c r="F8242" i="1"/>
  <c r="G8242" i="1" s="1"/>
  <c r="F8243" i="1"/>
  <c r="G8243" i="1" s="1"/>
  <c r="F8244" i="1"/>
  <c r="G8244" i="1" s="1"/>
  <c r="F8245" i="1"/>
  <c r="G8245" i="1" s="1"/>
  <c r="F8246" i="1"/>
  <c r="G8246" i="1" s="1"/>
  <c r="F8247" i="1"/>
  <c r="G8247" i="1" s="1"/>
  <c r="F8248" i="1"/>
  <c r="G8248" i="1" s="1"/>
  <c r="F8249" i="1"/>
  <c r="G8249" i="1" s="1"/>
  <c r="F8250" i="1"/>
  <c r="G8250" i="1" s="1"/>
  <c r="F8251" i="1"/>
  <c r="G8251" i="1" s="1"/>
  <c r="F8252" i="1"/>
  <c r="G8252" i="1" s="1"/>
  <c r="F8253" i="1"/>
  <c r="G8253" i="1" s="1"/>
  <c r="F8254" i="1"/>
  <c r="G8254" i="1" s="1"/>
  <c r="F8255" i="1"/>
  <c r="G8255" i="1" s="1"/>
  <c r="F8256" i="1"/>
  <c r="G8256" i="1" s="1"/>
  <c r="F8257" i="1"/>
  <c r="G8257" i="1" s="1"/>
  <c r="F8258" i="1"/>
  <c r="G8258" i="1" s="1"/>
  <c r="F8259" i="1"/>
  <c r="G8259" i="1" s="1"/>
  <c r="F8260" i="1"/>
  <c r="G8260" i="1" s="1"/>
  <c r="F8261" i="1"/>
  <c r="G8261" i="1" s="1"/>
  <c r="F8262" i="1"/>
  <c r="G8262" i="1" s="1"/>
  <c r="F8263" i="1"/>
  <c r="G8263" i="1" s="1"/>
  <c r="F8264" i="1"/>
  <c r="G8264" i="1" s="1"/>
  <c r="F8265" i="1"/>
  <c r="G8265" i="1" s="1"/>
  <c r="F8266" i="1"/>
  <c r="G8266" i="1" s="1"/>
  <c r="F8267" i="1"/>
  <c r="G8267" i="1" s="1"/>
  <c r="F8268" i="1"/>
  <c r="G8268" i="1" s="1"/>
  <c r="F8269" i="1"/>
  <c r="G8269" i="1" s="1"/>
  <c r="F8270" i="1"/>
  <c r="G8270" i="1" s="1"/>
  <c r="F8271" i="1"/>
  <c r="G8271" i="1" s="1"/>
  <c r="F8272" i="1"/>
  <c r="G8272" i="1" s="1"/>
  <c r="F8273" i="1"/>
  <c r="G8273" i="1" s="1"/>
  <c r="F8274" i="1"/>
  <c r="G8274" i="1" s="1"/>
  <c r="F8275" i="1"/>
  <c r="G8275" i="1" s="1"/>
  <c r="F8276" i="1"/>
  <c r="G8276" i="1" s="1"/>
  <c r="F8277" i="1"/>
  <c r="G8277" i="1" s="1"/>
  <c r="F8278" i="1"/>
  <c r="G8278" i="1" s="1"/>
  <c r="F8279" i="1"/>
  <c r="G8279" i="1" s="1"/>
  <c r="F8280" i="1"/>
  <c r="G8280" i="1" s="1"/>
  <c r="F8281" i="1"/>
  <c r="G8281" i="1" s="1"/>
  <c r="F8282" i="1"/>
  <c r="G8282" i="1" s="1"/>
  <c r="F8283" i="1"/>
  <c r="G8283" i="1" s="1"/>
  <c r="F8284" i="1"/>
  <c r="G8284" i="1" s="1"/>
  <c r="F8285" i="1"/>
  <c r="G8285" i="1" s="1"/>
  <c r="F8286" i="1"/>
  <c r="G8286" i="1" s="1"/>
  <c r="F8287" i="1"/>
  <c r="G8287" i="1" s="1"/>
  <c r="F8288" i="1"/>
  <c r="G8288" i="1" s="1"/>
  <c r="F8289" i="1"/>
  <c r="G8289" i="1" s="1"/>
  <c r="F8290" i="1"/>
  <c r="G8290" i="1" s="1"/>
  <c r="F8291" i="1"/>
  <c r="G8291" i="1" s="1"/>
  <c r="F8292" i="1"/>
  <c r="G8292" i="1" s="1"/>
  <c r="F8293" i="1"/>
  <c r="G8293" i="1" s="1"/>
  <c r="F8294" i="1"/>
  <c r="G8294" i="1" s="1"/>
  <c r="F8295" i="1"/>
  <c r="G8295" i="1" s="1"/>
  <c r="F8296" i="1"/>
  <c r="G8296" i="1" s="1"/>
  <c r="F8297" i="1"/>
  <c r="G8297" i="1" s="1"/>
  <c r="F8298" i="1"/>
  <c r="G8298" i="1" s="1"/>
  <c r="F8299" i="1"/>
  <c r="G8299" i="1" s="1"/>
  <c r="F8300" i="1"/>
  <c r="G8300" i="1" s="1"/>
  <c r="F8301" i="1"/>
  <c r="G8301" i="1" s="1"/>
  <c r="F8302" i="1"/>
  <c r="G8302" i="1" s="1"/>
  <c r="F8303" i="1"/>
  <c r="G8303" i="1" s="1"/>
  <c r="F8304" i="1"/>
  <c r="G8304" i="1" s="1"/>
  <c r="F8305" i="1"/>
  <c r="G8305" i="1" s="1"/>
  <c r="F8306" i="1"/>
  <c r="G8306" i="1" s="1"/>
  <c r="F8307" i="1"/>
  <c r="G8307" i="1" s="1"/>
  <c r="F8308" i="1"/>
  <c r="G8308" i="1" s="1"/>
  <c r="F8309" i="1"/>
  <c r="G8309" i="1" s="1"/>
  <c r="F8310" i="1"/>
  <c r="G8310" i="1" s="1"/>
  <c r="F8311" i="1"/>
  <c r="G8311" i="1" s="1"/>
  <c r="F8312" i="1"/>
  <c r="G8312" i="1" s="1"/>
  <c r="F8313" i="1"/>
  <c r="G8313" i="1" s="1"/>
  <c r="F8314" i="1"/>
  <c r="G8314" i="1" s="1"/>
  <c r="F8315" i="1"/>
  <c r="G8315" i="1" s="1"/>
  <c r="F8316" i="1"/>
  <c r="G8316" i="1" s="1"/>
  <c r="F8317" i="1"/>
  <c r="G8317" i="1" s="1"/>
  <c r="F8318" i="1"/>
  <c r="G8318" i="1" s="1"/>
  <c r="F8319" i="1"/>
  <c r="G8319" i="1" s="1"/>
  <c r="F8320" i="1"/>
  <c r="G8320" i="1" s="1"/>
  <c r="F8321" i="1"/>
  <c r="G8321" i="1" s="1"/>
  <c r="F8322" i="1"/>
  <c r="G8322" i="1" s="1"/>
  <c r="F8323" i="1"/>
  <c r="G8323" i="1" s="1"/>
  <c r="F8324" i="1"/>
  <c r="G8324" i="1" s="1"/>
  <c r="F8325" i="1"/>
  <c r="G8325" i="1" s="1"/>
  <c r="F8326" i="1"/>
  <c r="G8326" i="1" s="1"/>
  <c r="F8327" i="1"/>
  <c r="G8327" i="1" s="1"/>
  <c r="F8328" i="1"/>
  <c r="G8328" i="1" s="1"/>
  <c r="F8329" i="1"/>
  <c r="G8329" i="1" s="1"/>
  <c r="F8330" i="1"/>
  <c r="G8330" i="1" s="1"/>
  <c r="F8331" i="1"/>
  <c r="G8331" i="1" s="1"/>
  <c r="F8332" i="1"/>
  <c r="G8332" i="1" s="1"/>
  <c r="F8333" i="1"/>
  <c r="G8333" i="1" s="1"/>
  <c r="F8334" i="1"/>
  <c r="G8334" i="1" s="1"/>
  <c r="F8335" i="1"/>
  <c r="G8335" i="1" s="1"/>
  <c r="F8336" i="1"/>
  <c r="G8336" i="1" s="1"/>
  <c r="F8337" i="1"/>
  <c r="G8337" i="1" s="1"/>
  <c r="F8338" i="1"/>
  <c r="G8338" i="1" s="1"/>
  <c r="F8339" i="1"/>
  <c r="G8339" i="1" s="1"/>
  <c r="F8340" i="1"/>
  <c r="G8340" i="1" s="1"/>
  <c r="F8341" i="1"/>
  <c r="G8341" i="1" s="1"/>
  <c r="F8342" i="1"/>
  <c r="G8342" i="1" s="1"/>
  <c r="F8343" i="1"/>
  <c r="G8343" i="1" s="1"/>
  <c r="F8344" i="1"/>
  <c r="G8344" i="1" s="1"/>
  <c r="F8345" i="1"/>
  <c r="G8345" i="1" s="1"/>
  <c r="F8346" i="1"/>
  <c r="G8346" i="1" s="1"/>
  <c r="F8347" i="1"/>
  <c r="G8347" i="1" s="1"/>
  <c r="F8348" i="1"/>
  <c r="G8348" i="1" s="1"/>
  <c r="F8349" i="1"/>
  <c r="G8349" i="1" s="1"/>
  <c r="F8350" i="1"/>
  <c r="G8350" i="1" s="1"/>
  <c r="F8351" i="1"/>
  <c r="G8351" i="1" s="1"/>
  <c r="F8352" i="1"/>
  <c r="G8352" i="1" s="1"/>
  <c r="F8353" i="1"/>
  <c r="G8353" i="1" s="1"/>
  <c r="F8354" i="1"/>
  <c r="G8354" i="1" s="1"/>
  <c r="F8355" i="1"/>
  <c r="G8355" i="1" s="1"/>
  <c r="F8356" i="1"/>
  <c r="G8356" i="1" s="1"/>
  <c r="F8357" i="1"/>
  <c r="G8357" i="1" s="1"/>
  <c r="F8358" i="1"/>
  <c r="G8358" i="1" s="1"/>
  <c r="F8359" i="1"/>
  <c r="G8359" i="1" s="1"/>
  <c r="F8360" i="1"/>
  <c r="G8360" i="1" s="1"/>
  <c r="F8361" i="1"/>
  <c r="G8361" i="1" s="1"/>
  <c r="F8362" i="1"/>
  <c r="G8362" i="1" s="1"/>
  <c r="F8363" i="1"/>
  <c r="G8363" i="1" s="1"/>
  <c r="F8364" i="1"/>
  <c r="G8364" i="1" s="1"/>
  <c r="F8365" i="1"/>
  <c r="G8365" i="1" s="1"/>
  <c r="F8366" i="1"/>
  <c r="G8366" i="1" s="1"/>
  <c r="F8367" i="1"/>
  <c r="G8367" i="1" s="1"/>
  <c r="F8368" i="1"/>
  <c r="G8368" i="1" s="1"/>
  <c r="F8369" i="1"/>
  <c r="G8369" i="1" s="1"/>
  <c r="F8370" i="1"/>
  <c r="G8370" i="1" s="1"/>
  <c r="F8371" i="1"/>
  <c r="G8371" i="1" s="1"/>
  <c r="F8372" i="1"/>
  <c r="G8372" i="1" s="1"/>
  <c r="F8373" i="1"/>
  <c r="G8373" i="1" s="1"/>
  <c r="F8374" i="1"/>
  <c r="G8374" i="1" s="1"/>
  <c r="F8375" i="1"/>
  <c r="G8375" i="1" s="1"/>
  <c r="F8376" i="1"/>
  <c r="G8376" i="1" s="1"/>
  <c r="F8377" i="1"/>
  <c r="G8377" i="1" s="1"/>
  <c r="F8378" i="1"/>
  <c r="G8378" i="1" s="1"/>
  <c r="F8379" i="1"/>
  <c r="G8379" i="1" s="1"/>
  <c r="F8380" i="1"/>
  <c r="G8380" i="1" s="1"/>
  <c r="F8381" i="1"/>
  <c r="G8381" i="1" s="1"/>
  <c r="F8382" i="1"/>
  <c r="G8382" i="1" s="1"/>
  <c r="F8383" i="1"/>
  <c r="G8383" i="1" s="1"/>
  <c r="F8384" i="1"/>
  <c r="G8384" i="1" s="1"/>
  <c r="F8385" i="1"/>
  <c r="G8385" i="1" s="1"/>
  <c r="F8386" i="1"/>
  <c r="G8386" i="1" s="1"/>
  <c r="F8387" i="1"/>
  <c r="G8387" i="1" s="1"/>
  <c r="F8388" i="1"/>
  <c r="G8388" i="1" s="1"/>
  <c r="F8389" i="1"/>
  <c r="G8389" i="1" s="1"/>
  <c r="F8390" i="1"/>
  <c r="G8390" i="1" s="1"/>
  <c r="F8391" i="1"/>
  <c r="G8391" i="1" s="1"/>
  <c r="F8392" i="1"/>
  <c r="G8392" i="1" s="1"/>
  <c r="F8393" i="1"/>
  <c r="G8393" i="1" s="1"/>
  <c r="F8394" i="1"/>
  <c r="G8394" i="1" s="1"/>
  <c r="F8395" i="1"/>
  <c r="G8395" i="1" s="1"/>
  <c r="F8396" i="1"/>
  <c r="G8396" i="1" s="1"/>
  <c r="F8397" i="1"/>
  <c r="G8397" i="1" s="1"/>
  <c r="F8398" i="1"/>
  <c r="G8398" i="1" s="1"/>
  <c r="F8399" i="1"/>
  <c r="G8399" i="1" s="1"/>
  <c r="F8400" i="1"/>
  <c r="G8400" i="1" s="1"/>
  <c r="F8401" i="1"/>
  <c r="G8401" i="1" s="1"/>
  <c r="F8402" i="1"/>
  <c r="G8402" i="1" s="1"/>
  <c r="F8403" i="1"/>
  <c r="G8403" i="1" s="1"/>
  <c r="F8404" i="1"/>
  <c r="G8404" i="1" s="1"/>
  <c r="F8405" i="1"/>
  <c r="G8405" i="1" s="1"/>
  <c r="F8406" i="1"/>
  <c r="G8406" i="1" s="1"/>
  <c r="F8407" i="1"/>
  <c r="G8407" i="1" s="1"/>
  <c r="F8408" i="1"/>
  <c r="G8408" i="1" s="1"/>
  <c r="F8409" i="1"/>
  <c r="G8409" i="1" s="1"/>
  <c r="F8410" i="1"/>
  <c r="G8410" i="1" s="1"/>
  <c r="F8411" i="1"/>
  <c r="G8411" i="1" s="1"/>
  <c r="F8412" i="1"/>
  <c r="G8412" i="1" s="1"/>
  <c r="F8413" i="1"/>
  <c r="G8413" i="1" s="1"/>
  <c r="F8414" i="1"/>
  <c r="G8414" i="1" s="1"/>
  <c r="F8415" i="1"/>
  <c r="G8415" i="1" s="1"/>
  <c r="F8416" i="1"/>
  <c r="G8416" i="1" s="1"/>
  <c r="F8417" i="1"/>
  <c r="G8417" i="1" s="1"/>
  <c r="F8418" i="1"/>
  <c r="G8418" i="1" s="1"/>
  <c r="F8419" i="1"/>
  <c r="G8419" i="1" s="1"/>
  <c r="F8420" i="1"/>
  <c r="G8420" i="1" s="1"/>
  <c r="F8421" i="1"/>
  <c r="G8421" i="1" s="1"/>
  <c r="F8422" i="1"/>
  <c r="G8422" i="1" s="1"/>
  <c r="F8423" i="1"/>
  <c r="G8423" i="1" s="1"/>
  <c r="F8424" i="1"/>
  <c r="G8424" i="1" s="1"/>
  <c r="F8425" i="1"/>
  <c r="G8425" i="1" s="1"/>
  <c r="F8426" i="1"/>
  <c r="G8426" i="1" s="1"/>
  <c r="F8427" i="1"/>
  <c r="G8427" i="1" s="1"/>
  <c r="F8428" i="1"/>
  <c r="G8428" i="1" s="1"/>
  <c r="F8429" i="1"/>
  <c r="G8429" i="1" s="1"/>
  <c r="F8430" i="1"/>
  <c r="G8430" i="1" s="1"/>
  <c r="F8431" i="1"/>
  <c r="G8431" i="1" s="1"/>
  <c r="F8432" i="1"/>
  <c r="G8432" i="1" s="1"/>
  <c r="F8433" i="1"/>
  <c r="G8433" i="1" s="1"/>
  <c r="F8434" i="1"/>
  <c r="G8434" i="1" s="1"/>
  <c r="F8435" i="1"/>
  <c r="G8435" i="1" s="1"/>
  <c r="F8436" i="1"/>
  <c r="G8436" i="1" s="1"/>
  <c r="F8437" i="1"/>
  <c r="G8437" i="1" s="1"/>
  <c r="F8438" i="1"/>
  <c r="G8438" i="1" s="1"/>
  <c r="F8439" i="1"/>
  <c r="G8439" i="1" s="1"/>
  <c r="F8440" i="1"/>
  <c r="G8440" i="1" s="1"/>
  <c r="F8441" i="1"/>
  <c r="G8441" i="1" s="1"/>
  <c r="F8442" i="1"/>
  <c r="G8442" i="1" s="1"/>
  <c r="F8443" i="1"/>
  <c r="G8443" i="1" s="1"/>
  <c r="F8444" i="1"/>
  <c r="G8444" i="1" s="1"/>
  <c r="F8445" i="1"/>
  <c r="G8445" i="1" s="1"/>
  <c r="F8446" i="1"/>
  <c r="G8446" i="1" s="1"/>
  <c r="F8447" i="1"/>
  <c r="G8447" i="1" s="1"/>
  <c r="F8448" i="1"/>
  <c r="G8448" i="1" s="1"/>
  <c r="F8449" i="1"/>
  <c r="G8449" i="1" s="1"/>
  <c r="F8450" i="1"/>
  <c r="G8450" i="1" s="1"/>
  <c r="F8451" i="1"/>
  <c r="G8451" i="1" s="1"/>
  <c r="F8452" i="1"/>
  <c r="G8452" i="1" s="1"/>
  <c r="F8453" i="1"/>
  <c r="G8453" i="1" s="1"/>
  <c r="F8454" i="1"/>
  <c r="G8454" i="1" s="1"/>
  <c r="F8455" i="1"/>
  <c r="G8455" i="1" s="1"/>
  <c r="F8456" i="1"/>
  <c r="G8456" i="1" s="1"/>
  <c r="F8457" i="1"/>
  <c r="G8457" i="1" s="1"/>
  <c r="F8458" i="1"/>
  <c r="G8458" i="1" s="1"/>
  <c r="F8459" i="1"/>
  <c r="G8459" i="1" s="1"/>
  <c r="F8460" i="1"/>
  <c r="G8460" i="1" s="1"/>
  <c r="F8461" i="1"/>
  <c r="G8461" i="1" s="1"/>
  <c r="F8462" i="1"/>
  <c r="G8462" i="1" s="1"/>
  <c r="F8463" i="1"/>
  <c r="G8463" i="1" s="1"/>
  <c r="F8464" i="1"/>
  <c r="G8464" i="1" s="1"/>
  <c r="F8465" i="1"/>
  <c r="G8465" i="1" s="1"/>
  <c r="F8466" i="1"/>
  <c r="G8466" i="1" s="1"/>
  <c r="F8467" i="1"/>
  <c r="G8467" i="1" s="1"/>
  <c r="F8468" i="1"/>
  <c r="G8468" i="1" s="1"/>
  <c r="F8469" i="1"/>
  <c r="G8469" i="1" s="1"/>
  <c r="F8470" i="1"/>
  <c r="G8470" i="1" s="1"/>
  <c r="F8471" i="1"/>
  <c r="G8471" i="1" s="1"/>
  <c r="F8472" i="1"/>
  <c r="G8472" i="1" s="1"/>
  <c r="F8473" i="1"/>
  <c r="G8473" i="1" s="1"/>
  <c r="F8474" i="1"/>
  <c r="G8474" i="1" s="1"/>
  <c r="F8475" i="1"/>
  <c r="G8475" i="1" s="1"/>
  <c r="F8476" i="1"/>
  <c r="G8476" i="1" s="1"/>
  <c r="F8477" i="1"/>
  <c r="G8477" i="1" s="1"/>
  <c r="F8478" i="1"/>
  <c r="G8478" i="1" s="1"/>
  <c r="F8479" i="1"/>
  <c r="G8479" i="1" s="1"/>
  <c r="F8480" i="1"/>
  <c r="G8480" i="1" s="1"/>
  <c r="F8481" i="1"/>
  <c r="G8481" i="1" s="1"/>
  <c r="F8482" i="1"/>
  <c r="G8482" i="1" s="1"/>
  <c r="F8483" i="1"/>
  <c r="G8483" i="1" s="1"/>
  <c r="F8484" i="1"/>
  <c r="G8484" i="1" s="1"/>
  <c r="F8485" i="1"/>
  <c r="G8485" i="1" s="1"/>
  <c r="F8486" i="1"/>
  <c r="G8486" i="1" s="1"/>
  <c r="F8487" i="1"/>
  <c r="G8487" i="1" s="1"/>
  <c r="F8488" i="1"/>
  <c r="G8488" i="1" s="1"/>
  <c r="F8489" i="1"/>
  <c r="G8489" i="1" s="1"/>
  <c r="F8490" i="1"/>
  <c r="G8490" i="1" s="1"/>
  <c r="F8491" i="1"/>
  <c r="G8491" i="1" s="1"/>
  <c r="F8492" i="1"/>
  <c r="G8492" i="1" s="1"/>
  <c r="F8493" i="1"/>
  <c r="G8493" i="1" s="1"/>
  <c r="F8494" i="1"/>
  <c r="G8494" i="1" s="1"/>
  <c r="F8495" i="1"/>
  <c r="G8495" i="1" s="1"/>
  <c r="F8496" i="1"/>
  <c r="G8496" i="1" s="1"/>
  <c r="F8497" i="1"/>
  <c r="G8497" i="1" s="1"/>
  <c r="F8498" i="1"/>
  <c r="G8498" i="1" s="1"/>
  <c r="F8499" i="1"/>
  <c r="G8499" i="1" s="1"/>
  <c r="F8500" i="1"/>
  <c r="G8500" i="1" s="1"/>
  <c r="F8501" i="1"/>
  <c r="G8501" i="1" s="1"/>
  <c r="F8502" i="1"/>
  <c r="G8502" i="1" s="1"/>
  <c r="F8503" i="1"/>
  <c r="G8503" i="1" s="1"/>
  <c r="F8504" i="1"/>
  <c r="G8504" i="1" s="1"/>
  <c r="F8505" i="1"/>
  <c r="G8505" i="1" s="1"/>
  <c r="F8506" i="1"/>
  <c r="G8506" i="1" s="1"/>
  <c r="F8507" i="1"/>
  <c r="G8507" i="1" s="1"/>
  <c r="F8508" i="1"/>
  <c r="G8508" i="1" s="1"/>
  <c r="F8509" i="1"/>
  <c r="G8509" i="1" s="1"/>
  <c r="F8510" i="1"/>
  <c r="G8510" i="1" s="1"/>
  <c r="F8511" i="1"/>
  <c r="G8511" i="1"/>
  <c r="F8512" i="1"/>
  <c r="G8512" i="1" s="1"/>
  <c r="F8513" i="1"/>
  <c r="G8513" i="1" s="1"/>
  <c r="F8514" i="1"/>
  <c r="G8514" i="1" s="1"/>
  <c r="F8515" i="1"/>
  <c r="G8515" i="1" s="1"/>
  <c r="F8516" i="1"/>
  <c r="G8516" i="1" s="1"/>
  <c r="F8517" i="1"/>
  <c r="G8517" i="1" s="1"/>
  <c r="F8518" i="1"/>
  <c r="G8518" i="1" s="1"/>
  <c r="F8519" i="1"/>
  <c r="G8519" i="1" s="1"/>
  <c r="F8520" i="1"/>
  <c r="G8520" i="1" s="1"/>
  <c r="F8521" i="1"/>
  <c r="G8521" i="1" s="1"/>
  <c r="F8522" i="1"/>
  <c r="G8522" i="1" s="1"/>
  <c r="F8523" i="1"/>
  <c r="G8523" i="1" s="1"/>
  <c r="F8524" i="1"/>
  <c r="G8524" i="1" s="1"/>
  <c r="F8525" i="1"/>
  <c r="G8525" i="1" s="1"/>
  <c r="F8526" i="1"/>
  <c r="G8526" i="1" s="1"/>
  <c r="F8527" i="1"/>
  <c r="G8527" i="1" s="1"/>
  <c r="F8528" i="1"/>
  <c r="G8528" i="1" s="1"/>
  <c r="F8529" i="1"/>
  <c r="G8529" i="1" s="1"/>
  <c r="F8530" i="1"/>
  <c r="G8530" i="1" s="1"/>
  <c r="F8531" i="1"/>
  <c r="G8531" i="1" s="1"/>
  <c r="F8532" i="1"/>
  <c r="G8532" i="1" s="1"/>
  <c r="F8533" i="1"/>
  <c r="G8533" i="1" s="1"/>
  <c r="F8534" i="1"/>
  <c r="G8534" i="1" s="1"/>
  <c r="F8535" i="1"/>
  <c r="G8535" i="1" s="1"/>
  <c r="F8536" i="1"/>
  <c r="G8536" i="1" s="1"/>
  <c r="F8537" i="1"/>
  <c r="G8537" i="1"/>
  <c r="F8538" i="1"/>
  <c r="G8538" i="1" s="1"/>
  <c r="F8539" i="1"/>
  <c r="G8539" i="1" s="1"/>
  <c r="F8540" i="1"/>
  <c r="G8540" i="1" s="1"/>
  <c r="F8541" i="1"/>
  <c r="G8541" i="1" s="1"/>
  <c r="F8542" i="1"/>
  <c r="G8542" i="1" s="1"/>
  <c r="F8543" i="1"/>
  <c r="G8543" i="1" s="1"/>
  <c r="F8544" i="1"/>
  <c r="G8544" i="1" s="1"/>
  <c r="F8545" i="1"/>
  <c r="G8545" i="1" s="1"/>
  <c r="F8546" i="1"/>
  <c r="G8546" i="1" s="1"/>
  <c r="F8547" i="1"/>
  <c r="G8547" i="1" s="1"/>
  <c r="F8548" i="1"/>
  <c r="G8548" i="1" s="1"/>
  <c r="F8549" i="1"/>
  <c r="G8549" i="1" s="1"/>
  <c r="F8550" i="1"/>
  <c r="G8550" i="1" s="1"/>
  <c r="F8551" i="1"/>
  <c r="G8551" i="1" s="1"/>
  <c r="F8552" i="1"/>
  <c r="G8552" i="1" s="1"/>
  <c r="F8553" i="1"/>
  <c r="G8553" i="1" s="1"/>
  <c r="F8554" i="1"/>
  <c r="G8554" i="1" s="1"/>
  <c r="F8555" i="1"/>
  <c r="G8555" i="1" s="1"/>
  <c r="F8556" i="1"/>
  <c r="G8556" i="1" s="1"/>
  <c r="F8557" i="1"/>
  <c r="G8557" i="1" s="1"/>
  <c r="F8558" i="1"/>
  <c r="G8558" i="1" s="1"/>
  <c r="F8559" i="1"/>
  <c r="G8559" i="1" s="1"/>
  <c r="F8560" i="1"/>
  <c r="G8560" i="1" s="1"/>
  <c r="F8561" i="1"/>
  <c r="G8561" i="1" s="1"/>
  <c r="F8562" i="1"/>
  <c r="G8562" i="1" s="1"/>
  <c r="F8563" i="1"/>
  <c r="G8563" i="1" s="1"/>
  <c r="F8564" i="1"/>
  <c r="G8564" i="1" s="1"/>
  <c r="F8565" i="1"/>
  <c r="G8565" i="1" s="1"/>
  <c r="F8566" i="1"/>
  <c r="G8566" i="1" s="1"/>
  <c r="F8567" i="1"/>
  <c r="G8567" i="1" s="1"/>
  <c r="F8568" i="1"/>
  <c r="G8568" i="1" s="1"/>
  <c r="F8569" i="1"/>
  <c r="G8569" i="1" s="1"/>
  <c r="F8570" i="1"/>
  <c r="G8570" i="1" s="1"/>
  <c r="F8571" i="1"/>
  <c r="G8571" i="1" s="1"/>
  <c r="F8572" i="1"/>
  <c r="G8572" i="1" s="1"/>
  <c r="F8573" i="1"/>
  <c r="G8573" i="1" s="1"/>
  <c r="F8574" i="1"/>
  <c r="G8574" i="1" s="1"/>
  <c r="F8575" i="1"/>
  <c r="G8575" i="1" s="1"/>
  <c r="F8576" i="1"/>
  <c r="G8576" i="1" s="1"/>
  <c r="F8577" i="1"/>
  <c r="G8577" i="1" s="1"/>
  <c r="F8578" i="1"/>
  <c r="G8578" i="1" s="1"/>
  <c r="F8579" i="1"/>
  <c r="G8579" i="1" s="1"/>
  <c r="F8580" i="1"/>
  <c r="G8580" i="1" s="1"/>
  <c r="F8581" i="1"/>
  <c r="G8581" i="1" s="1"/>
  <c r="F8582" i="1"/>
  <c r="G8582" i="1" s="1"/>
  <c r="F8583" i="1"/>
  <c r="G8583" i="1" s="1"/>
  <c r="F8584" i="1"/>
  <c r="G8584" i="1" s="1"/>
  <c r="F8585" i="1"/>
  <c r="G8585" i="1" s="1"/>
  <c r="F8586" i="1"/>
  <c r="G8586" i="1" s="1"/>
  <c r="F8587" i="1"/>
  <c r="G8587" i="1" s="1"/>
  <c r="F8588" i="1"/>
  <c r="G8588" i="1" s="1"/>
  <c r="F8589" i="1"/>
  <c r="G8589" i="1" s="1"/>
  <c r="F8590" i="1"/>
  <c r="G8590" i="1" s="1"/>
  <c r="F8591" i="1"/>
  <c r="G8591" i="1" s="1"/>
  <c r="F8592" i="1"/>
  <c r="G8592" i="1" s="1"/>
  <c r="F8593" i="1"/>
  <c r="G8593" i="1" s="1"/>
  <c r="F8594" i="1"/>
  <c r="G8594" i="1" s="1"/>
  <c r="F8595" i="1"/>
  <c r="G8595" i="1" s="1"/>
  <c r="F8596" i="1"/>
  <c r="G8596" i="1" s="1"/>
  <c r="F8597" i="1"/>
  <c r="G8597" i="1" s="1"/>
  <c r="F8598" i="1"/>
  <c r="G8598" i="1" s="1"/>
  <c r="F8599" i="1"/>
  <c r="G8599" i="1" s="1"/>
  <c r="F8600" i="1"/>
  <c r="G8600" i="1" s="1"/>
  <c r="F8601" i="1"/>
  <c r="G8601" i="1" s="1"/>
  <c r="F2" i="1"/>
  <c r="G2" i="1" s="1"/>
  <c r="I85" i="2"/>
  <c r="H85" i="2" s="1"/>
  <c r="I225" i="2"/>
  <c r="H225" i="2" s="1"/>
  <c r="I226" i="2"/>
  <c r="H226" i="2" s="1"/>
  <c r="I227" i="2"/>
  <c r="H227" i="2" s="1"/>
  <c r="I228" i="2"/>
  <c r="H228" i="2" s="1"/>
  <c r="I229" i="2"/>
  <c r="H229" i="2" s="1"/>
  <c r="I230" i="2"/>
  <c r="H230" i="2" s="1"/>
  <c r="I231" i="2"/>
  <c r="H231" i="2" s="1"/>
  <c r="I232" i="2"/>
  <c r="H232" i="2" s="1"/>
  <c r="I233" i="2"/>
  <c r="H233" i="2" s="1"/>
  <c r="I234" i="2"/>
  <c r="H234" i="2" s="1"/>
  <c r="I235" i="2"/>
  <c r="H235" i="2" s="1"/>
  <c r="I236" i="2"/>
  <c r="H236" i="2" s="1"/>
  <c r="I237" i="2"/>
  <c r="H237" i="2" s="1"/>
  <c r="I238" i="2"/>
  <c r="H238" i="2" s="1"/>
  <c r="I239" i="2"/>
  <c r="H239" i="2" s="1"/>
  <c r="I240" i="2"/>
  <c r="H240" i="2" s="1"/>
  <c r="I241" i="2"/>
  <c r="H241" i="2" s="1"/>
  <c r="I242" i="2"/>
  <c r="H242" i="2" s="1"/>
  <c r="I243" i="2"/>
  <c r="H243" i="2" s="1"/>
  <c r="I223" i="2"/>
  <c r="H223" i="2" s="1"/>
  <c r="I244" i="2"/>
  <c r="H244" i="2" s="1"/>
  <c r="I245" i="2"/>
  <c r="H245" i="2" s="1"/>
  <c r="I246" i="2"/>
  <c r="H246" i="2" s="1"/>
  <c r="I247" i="2"/>
  <c r="H247" i="2" s="1"/>
  <c r="I248" i="2"/>
  <c r="H248" i="2" s="1"/>
  <c r="I249" i="2"/>
  <c r="H249" i="2" s="1"/>
  <c r="I250" i="2"/>
  <c r="H250" i="2" s="1"/>
  <c r="I251" i="2"/>
  <c r="H251" i="2" s="1"/>
  <c r="I252" i="2"/>
  <c r="H252" i="2" s="1"/>
  <c r="I253" i="2"/>
  <c r="H253" i="2" s="1"/>
  <c r="I254" i="2"/>
  <c r="H254" i="2" s="1"/>
  <c r="I255" i="2"/>
  <c r="H255" i="2" s="1"/>
  <c r="I256" i="2"/>
  <c r="H256" i="2" s="1"/>
  <c r="I257" i="2"/>
  <c r="H257" i="2" s="1"/>
  <c r="I258" i="2"/>
  <c r="H258" i="2" s="1"/>
  <c r="I259" i="2"/>
  <c r="H259" i="2" s="1"/>
  <c r="I260" i="2"/>
  <c r="H260" i="2" s="1"/>
  <c r="I261" i="2"/>
  <c r="H261" i="2" s="1"/>
  <c r="I224" i="2"/>
  <c r="H224" i="2" s="1"/>
  <c r="I262" i="2"/>
  <c r="H262" i="2" s="1"/>
  <c r="I263" i="2"/>
  <c r="H263" i="2" s="1"/>
  <c r="I264" i="2"/>
  <c r="H264" i="2" s="1"/>
  <c r="I265" i="2"/>
  <c r="H265" i="2" s="1"/>
  <c r="I266" i="2"/>
  <c r="H266" i="2" s="1"/>
  <c r="I267" i="2"/>
  <c r="H267" i="2" s="1"/>
  <c r="I268" i="2"/>
  <c r="H268" i="2" s="1"/>
  <c r="I269" i="2"/>
  <c r="H269" i="2" s="1"/>
  <c r="I270" i="2"/>
  <c r="H270" i="2" s="1"/>
  <c r="I271" i="2"/>
  <c r="H271" i="2" s="1"/>
  <c r="I73" i="2"/>
  <c r="H73" i="2" s="1"/>
  <c r="I74" i="2"/>
  <c r="H74" i="2" s="1"/>
  <c r="I272" i="2"/>
  <c r="H272" i="2" s="1"/>
  <c r="I273" i="2"/>
  <c r="H273" i="2" s="1"/>
  <c r="I274" i="2"/>
  <c r="H274" i="2" s="1"/>
  <c r="I275" i="2"/>
  <c r="H275" i="2" s="1"/>
  <c r="I276" i="2"/>
  <c r="H276" i="2" s="1"/>
  <c r="I277" i="2"/>
  <c r="H277" i="2" s="1"/>
  <c r="I75" i="2"/>
  <c r="H75" i="2" s="1"/>
  <c r="I278" i="2"/>
  <c r="H278" i="2" s="1"/>
  <c r="I279" i="2"/>
  <c r="H279" i="2" s="1"/>
  <c r="I280" i="2"/>
  <c r="H280" i="2" s="1"/>
  <c r="I281" i="2"/>
  <c r="H281" i="2" s="1"/>
  <c r="I282" i="2"/>
  <c r="H282" i="2" s="1"/>
  <c r="I283" i="2"/>
  <c r="H283" i="2" s="1"/>
  <c r="I284" i="2"/>
  <c r="H284" i="2" s="1"/>
  <c r="I285" i="2"/>
  <c r="H285" i="2" s="1"/>
  <c r="I286" i="2"/>
  <c r="H286" i="2" s="1"/>
  <c r="I287" i="2"/>
  <c r="H287" i="2" s="1"/>
  <c r="I288" i="2"/>
  <c r="H288" i="2" s="1"/>
  <c r="I76" i="2"/>
  <c r="H76" i="2" s="1"/>
  <c r="I289" i="2"/>
  <c r="H289" i="2" s="1"/>
  <c r="I290" i="2"/>
  <c r="H290" i="2" s="1"/>
  <c r="I291" i="2"/>
  <c r="H291" i="2" s="1"/>
  <c r="I292" i="2"/>
  <c r="H292" i="2" s="1"/>
  <c r="I293" i="2"/>
  <c r="H293" i="2" s="1"/>
  <c r="I294" i="2"/>
  <c r="H294" i="2" s="1"/>
  <c r="I295" i="2"/>
  <c r="H295" i="2" s="1"/>
  <c r="I296" i="2"/>
  <c r="H296" i="2" s="1"/>
  <c r="I297" i="2"/>
  <c r="H297" i="2" s="1"/>
  <c r="I298" i="2"/>
  <c r="H298" i="2" s="1"/>
  <c r="I299" i="2"/>
  <c r="H299" i="2" s="1"/>
  <c r="I300" i="2"/>
  <c r="H300" i="2" s="1"/>
  <c r="I301" i="2"/>
  <c r="H301" i="2" s="1"/>
  <c r="I302" i="2"/>
  <c r="H302" i="2" s="1"/>
  <c r="I303" i="2"/>
  <c r="H303" i="2" s="1"/>
  <c r="I304" i="2"/>
  <c r="H304" i="2" s="1"/>
  <c r="I305" i="2"/>
  <c r="H305" i="2" s="1"/>
  <c r="I306" i="2"/>
  <c r="H306" i="2" s="1"/>
  <c r="I307" i="2"/>
  <c r="H307" i="2" s="1"/>
  <c r="I308" i="2"/>
  <c r="H308" i="2" s="1"/>
  <c r="I309" i="2"/>
  <c r="H309" i="2" s="1"/>
  <c r="I310" i="2"/>
  <c r="H310" i="2" s="1"/>
  <c r="I311" i="2"/>
  <c r="H311" i="2" s="1"/>
  <c r="I312" i="2"/>
  <c r="H312" i="2" s="1"/>
  <c r="I313" i="2"/>
  <c r="H313" i="2" s="1"/>
  <c r="I314" i="2"/>
  <c r="H314" i="2" s="1"/>
  <c r="I315" i="2"/>
  <c r="H315" i="2" s="1"/>
  <c r="I316" i="2"/>
  <c r="H316" i="2" s="1"/>
  <c r="I317" i="2"/>
  <c r="H317" i="2" s="1"/>
  <c r="I318" i="2"/>
  <c r="H318" i="2" s="1"/>
  <c r="I319" i="2"/>
  <c r="H319" i="2" s="1"/>
  <c r="I320" i="2"/>
  <c r="H320" i="2" s="1"/>
  <c r="I321" i="2"/>
  <c r="H321" i="2" s="1"/>
  <c r="I322" i="2"/>
  <c r="H322" i="2" s="1"/>
  <c r="I323" i="2"/>
  <c r="H323" i="2" s="1"/>
  <c r="I324" i="2"/>
  <c r="H324" i="2" s="1"/>
  <c r="I325" i="2"/>
  <c r="H325" i="2" s="1"/>
  <c r="I326" i="2"/>
  <c r="H326" i="2" s="1"/>
  <c r="I327" i="2"/>
  <c r="H327" i="2" s="1"/>
  <c r="I328" i="2"/>
  <c r="H328" i="2" s="1"/>
  <c r="I329" i="2"/>
  <c r="H329" i="2" s="1"/>
  <c r="I330" i="2"/>
  <c r="H330" i="2" s="1"/>
  <c r="I331" i="2"/>
  <c r="H331" i="2" s="1"/>
  <c r="I332" i="2"/>
  <c r="H332" i="2" s="1"/>
  <c r="I333" i="2"/>
  <c r="H333" i="2" s="1"/>
  <c r="I77" i="2"/>
  <c r="H77" i="2" s="1"/>
  <c r="I334" i="2"/>
  <c r="H334" i="2" s="1"/>
  <c r="I335" i="2"/>
  <c r="H335" i="2" s="1"/>
  <c r="I336" i="2"/>
  <c r="H336" i="2" s="1"/>
  <c r="I337" i="2"/>
  <c r="H337" i="2" s="1"/>
  <c r="I338" i="2"/>
  <c r="H338" i="2" s="1"/>
  <c r="I339" i="2"/>
  <c r="H339" i="2" s="1"/>
  <c r="I340" i="2"/>
  <c r="H340" i="2" s="1"/>
  <c r="I78" i="2"/>
  <c r="H78" i="2" s="1"/>
  <c r="I17" i="2"/>
  <c r="H17" i="2" s="1"/>
  <c r="I341" i="2"/>
  <c r="H341" i="2" s="1"/>
  <c r="I342" i="2"/>
  <c r="H342" i="2" s="1"/>
  <c r="I343" i="2"/>
  <c r="H343" i="2" s="1"/>
  <c r="I113" i="2"/>
  <c r="H113" i="2" s="1"/>
  <c r="I344" i="2"/>
  <c r="H344" i="2" s="1"/>
  <c r="I345" i="2"/>
  <c r="H345" i="2" s="1"/>
  <c r="I346" i="2"/>
  <c r="H346" i="2" s="1"/>
  <c r="I347" i="2"/>
  <c r="H347" i="2" s="1"/>
  <c r="I348" i="2"/>
  <c r="H348" i="2" s="1"/>
  <c r="I349" i="2"/>
  <c r="H349" i="2" s="1"/>
  <c r="I350" i="2"/>
  <c r="H350" i="2" s="1"/>
  <c r="I351" i="2"/>
  <c r="H351" i="2" s="1"/>
  <c r="I352" i="2"/>
  <c r="H352" i="2" s="1"/>
  <c r="I353" i="2"/>
  <c r="H353" i="2" s="1"/>
  <c r="I354" i="2"/>
  <c r="H354" i="2" s="1"/>
  <c r="I355" i="2"/>
  <c r="H355" i="2" s="1"/>
  <c r="I356" i="2"/>
  <c r="H356" i="2" s="1"/>
  <c r="I86" i="2"/>
  <c r="H86" i="2" s="1"/>
  <c r="I357" i="2"/>
  <c r="H357" i="2" s="1"/>
  <c r="I358" i="2"/>
  <c r="H358" i="2" s="1"/>
  <c r="I359" i="2"/>
  <c r="H359" i="2" s="1"/>
  <c r="I360" i="2"/>
  <c r="H360" i="2" s="1"/>
  <c r="I361" i="2"/>
  <c r="H361" i="2" s="1"/>
  <c r="I362" i="2"/>
  <c r="H362" i="2" s="1"/>
  <c r="I363" i="2"/>
  <c r="H363" i="2" s="1"/>
  <c r="I364" i="2"/>
  <c r="H364" i="2" s="1"/>
  <c r="I365" i="2"/>
  <c r="H365" i="2" s="1"/>
  <c r="I366" i="2"/>
  <c r="H366" i="2" s="1"/>
  <c r="I367" i="2"/>
  <c r="H367" i="2" s="1"/>
  <c r="I368" i="2"/>
  <c r="H368" i="2" s="1"/>
  <c r="I369" i="2"/>
  <c r="H369" i="2" s="1"/>
  <c r="I370" i="2"/>
  <c r="H370" i="2" s="1"/>
  <c r="I371" i="2"/>
  <c r="H371" i="2" s="1"/>
  <c r="I372" i="2"/>
  <c r="H372" i="2" s="1"/>
  <c r="I373" i="2"/>
  <c r="H373" i="2" s="1"/>
  <c r="I374" i="2"/>
  <c r="H374" i="2" s="1"/>
  <c r="I375" i="2"/>
  <c r="H375" i="2" s="1"/>
  <c r="I376" i="2"/>
  <c r="H376" i="2" s="1"/>
  <c r="I377" i="2"/>
  <c r="H377" i="2" s="1"/>
  <c r="I378" i="2"/>
  <c r="H378" i="2" s="1"/>
  <c r="I379" i="2"/>
  <c r="H379" i="2" s="1"/>
  <c r="I380" i="2"/>
  <c r="H380" i="2" s="1"/>
  <c r="I87" i="2"/>
  <c r="H87" i="2" s="1"/>
  <c r="I381" i="2"/>
  <c r="H381" i="2" s="1"/>
  <c r="I382" i="2"/>
  <c r="H382" i="2" s="1"/>
  <c r="I383" i="2"/>
  <c r="H383" i="2" s="1"/>
  <c r="I384" i="2"/>
  <c r="H384" i="2" s="1"/>
  <c r="I385" i="2"/>
  <c r="H385" i="2" s="1"/>
  <c r="I386" i="2"/>
  <c r="H386" i="2" s="1"/>
  <c r="I387" i="2"/>
  <c r="H387" i="2" s="1"/>
  <c r="I388" i="2"/>
  <c r="H388" i="2" s="1"/>
  <c r="I389" i="2"/>
  <c r="H389" i="2" s="1"/>
  <c r="I390" i="2"/>
  <c r="H390" i="2" s="1"/>
  <c r="I391" i="2"/>
  <c r="H391" i="2" s="1"/>
  <c r="I392" i="2"/>
  <c r="H392" i="2" s="1"/>
  <c r="I393" i="2"/>
  <c r="H393" i="2" s="1"/>
  <c r="I394" i="2"/>
  <c r="H394" i="2" s="1"/>
  <c r="I395" i="2"/>
  <c r="H395" i="2" s="1"/>
  <c r="I396" i="2"/>
  <c r="H396" i="2" s="1"/>
  <c r="I397" i="2"/>
  <c r="H397" i="2" s="1"/>
  <c r="I398" i="2"/>
  <c r="H398" i="2" s="1"/>
  <c r="I399" i="2"/>
  <c r="H399" i="2" s="1"/>
  <c r="I400" i="2"/>
  <c r="H400" i="2" s="1"/>
  <c r="I401" i="2"/>
  <c r="H401" i="2" s="1"/>
  <c r="I402" i="2"/>
  <c r="H402" i="2" s="1"/>
  <c r="I403" i="2"/>
  <c r="H403" i="2" s="1"/>
  <c r="I404" i="2"/>
  <c r="H404" i="2" s="1"/>
  <c r="I79" i="2"/>
  <c r="H79" i="2" s="1"/>
  <c r="I405" i="2"/>
  <c r="H405" i="2" s="1"/>
  <c r="I406" i="2"/>
  <c r="H406" i="2" s="1"/>
  <c r="I407" i="2"/>
  <c r="H407" i="2" s="1"/>
  <c r="I408" i="2"/>
  <c r="H408" i="2" s="1"/>
  <c r="I409" i="2"/>
  <c r="H409" i="2" s="1"/>
  <c r="I410" i="2"/>
  <c r="H410" i="2" s="1"/>
  <c r="I411" i="2"/>
  <c r="H411" i="2" s="1"/>
  <c r="I412" i="2"/>
  <c r="H412" i="2" s="1"/>
  <c r="I413" i="2"/>
  <c r="H413" i="2" s="1"/>
  <c r="I80" i="2"/>
  <c r="H80" i="2" s="1"/>
  <c r="I414" i="2"/>
  <c r="H414" i="2" s="1"/>
  <c r="I415" i="2"/>
  <c r="H415" i="2" s="1"/>
  <c r="I416" i="2"/>
  <c r="H416" i="2" s="1"/>
  <c r="I417" i="2"/>
  <c r="H417" i="2" s="1"/>
  <c r="I418" i="2"/>
  <c r="H418" i="2" s="1"/>
  <c r="I419" i="2"/>
  <c r="H419" i="2" s="1"/>
  <c r="I420" i="2"/>
  <c r="H420" i="2" s="1"/>
  <c r="I421" i="2"/>
  <c r="H421" i="2" s="1"/>
  <c r="I422" i="2"/>
  <c r="H422" i="2" s="1"/>
  <c r="I423" i="2"/>
  <c r="H423" i="2" s="1"/>
  <c r="I424" i="2"/>
  <c r="H424" i="2" s="1"/>
  <c r="I425" i="2"/>
  <c r="H425" i="2" s="1"/>
  <c r="I426" i="2"/>
  <c r="H426" i="2" s="1"/>
  <c r="I427" i="2"/>
  <c r="H427" i="2" s="1"/>
  <c r="I428" i="2"/>
  <c r="H428" i="2" s="1"/>
  <c r="I429" i="2"/>
  <c r="H429" i="2" s="1"/>
  <c r="I430" i="2"/>
  <c r="H430" i="2" s="1"/>
  <c r="I431" i="2"/>
  <c r="H431" i="2" s="1"/>
  <c r="I432" i="2"/>
  <c r="H432" i="2" s="1"/>
  <c r="I433" i="2"/>
  <c r="H433" i="2" s="1"/>
  <c r="I434" i="2"/>
  <c r="H434" i="2" s="1"/>
  <c r="I435" i="2"/>
  <c r="H435" i="2" s="1"/>
  <c r="I88" i="2"/>
  <c r="H88" i="2" s="1"/>
  <c r="I436" i="2"/>
  <c r="H436" i="2" s="1"/>
  <c r="I437" i="2"/>
  <c r="H437" i="2" s="1"/>
  <c r="I438" i="2"/>
  <c r="H438" i="2" s="1"/>
  <c r="I439" i="2"/>
  <c r="H439" i="2" s="1"/>
  <c r="I440" i="2"/>
  <c r="H440" i="2" s="1"/>
  <c r="I441" i="2"/>
  <c r="H441" i="2" s="1"/>
  <c r="I442" i="2"/>
  <c r="H442" i="2" s="1"/>
  <c r="I443" i="2"/>
  <c r="H443" i="2" s="1"/>
  <c r="I444" i="2"/>
  <c r="H444" i="2" s="1"/>
  <c r="I445" i="2"/>
  <c r="H445" i="2" s="1"/>
  <c r="I446" i="2"/>
  <c r="H446" i="2" s="1"/>
  <c r="I447" i="2"/>
  <c r="H447" i="2" s="1"/>
  <c r="I448" i="2"/>
  <c r="H448" i="2" s="1"/>
  <c r="I449" i="2"/>
  <c r="H449" i="2" s="1"/>
  <c r="I450" i="2"/>
  <c r="H450" i="2" s="1"/>
  <c r="I451" i="2"/>
  <c r="H451" i="2" s="1"/>
  <c r="I452" i="2"/>
  <c r="H452" i="2" s="1"/>
  <c r="I453" i="2"/>
  <c r="H453" i="2" s="1"/>
  <c r="I454" i="2"/>
  <c r="H454" i="2" s="1"/>
  <c r="I455" i="2"/>
  <c r="H455" i="2" s="1"/>
  <c r="I456" i="2"/>
  <c r="H456" i="2" s="1"/>
  <c r="I457" i="2"/>
  <c r="H457" i="2" s="1"/>
  <c r="I458" i="2"/>
  <c r="H458" i="2" s="1"/>
  <c r="I459" i="2"/>
  <c r="H459" i="2" s="1"/>
  <c r="I460" i="2"/>
  <c r="H460" i="2" s="1"/>
  <c r="I461" i="2"/>
  <c r="H461" i="2" s="1"/>
  <c r="I462" i="2"/>
  <c r="H462" i="2" s="1"/>
  <c r="I463" i="2"/>
  <c r="H463" i="2" s="1"/>
  <c r="I464" i="2"/>
  <c r="H464" i="2" s="1"/>
  <c r="I465" i="2"/>
  <c r="H465" i="2" s="1"/>
  <c r="I81" i="2"/>
  <c r="H81" i="2" s="1"/>
  <c r="I466" i="2"/>
  <c r="H466" i="2" s="1"/>
  <c r="I467" i="2"/>
  <c r="H467" i="2" s="1"/>
  <c r="I468" i="2"/>
  <c r="H468" i="2" s="1"/>
  <c r="I469" i="2"/>
  <c r="H469" i="2" s="1"/>
  <c r="I470" i="2"/>
  <c r="H470" i="2" s="1"/>
  <c r="I471" i="2"/>
  <c r="H471" i="2" s="1"/>
  <c r="I472" i="2"/>
  <c r="H472" i="2" s="1"/>
  <c r="I473" i="2"/>
  <c r="H473" i="2" s="1"/>
  <c r="I474" i="2"/>
  <c r="H474" i="2" s="1"/>
  <c r="I475" i="2"/>
  <c r="H475" i="2" s="1"/>
  <c r="I476" i="2"/>
  <c r="H476" i="2" s="1"/>
  <c r="I477" i="2"/>
  <c r="H477" i="2" s="1"/>
  <c r="I478" i="2"/>
  <c r="H478" i="2" s="1"/>
  <c r="I479" i="2"/>
  <c r="H479" i="2" s="1"/>
  <c r="I480" i="2"/>
  <c r="H480" i="2" s="1"/>
  <c r="I481" i="2"/>
  <c r="H481" i="2" s="1"/>
  <c r="I482" i="2"/>
  <c r="H482" i="2" s="1"/>
  <c r="I483" i="2"/>
  <c r="H483" i="2" s="1"/>
  <c r="I484" i="2"/>
  <c r="H484" i="2" s="1"/>
  <c r="I485" i="2"/>
  <c r="H485" i="2" s="1"/>
  <c r="I486" i="2"/>
  <c r="H486" i="2" s="1"/>
  <c r="I487" i="2"/>
  <c r="H487" i="2" s="1"/>
  <c r="I488" i="2"/>
  <c r="H488" i="2" s="1"/>
  <c r="I489" i="2"/>
  <c r="H489" i="2" s="1"/>
  <c r="I490" i="2"/>
  <c r="H490" i="2" s="1"/>
  <c r="I491" i="2"/>
  <c r="H491" i="2" s="1"/>
  <c r="I492" i="2"/>
  <c r="H492" i="2" s="1"/>
  <c r="I493" i="2"/>
  <c r="H493" i="2" s="1"/>
  <c r="I494" i="2"/>
  <c r="H494" i="2" s="1"/>
  <c r="I495" i="2"/>
  <c r="H495" i="2" s="1"/>
  <c r="I496" i="2"/>
  <c r="H496" i="2" s="1"/>
  <c r="I497" i="2"/>
  <c r="H497" i="2" s="1"/>
  <c r="I498" i="2"/>
  <c r="H498" i="2" s="1"/>
  <c r="I499" i="2"/>
  <c r="H499" i="2" s="1"/>
  <c r="I500" i="2"/>
  <c r="H500" i="2" s="1"/>
  <c r="I89" i="2"/>
  <c r="H89" i="2" s="1"/>
  <c r="I501" i="2"/>
  <c r="H501" i="2" s="1"/>
  <c r="I502" i="2"/>
  <c r="H502" i="2" s="1"/>
  <c r="I503" i="2"/>
  <c r="H503" i="2" s="1"/>
  <c r="I504" i="2"/>
  <c r="H504" i="2" s="1"/>
  <c r="I505" i="2"/>
  <c r="H505" i="2" s="1"/>
  <c r="I506" i="2"/>
  <c r="H506" i="2" s="1"/>
  <c r="I507" i="2"/>
  <c r="H507" i="2" s="1"/>
  <c r="I508" i="2"/>
  <c r="H508" i="2" s="1"/>
  <c r="I509" i="2"/>
  <c r="H509" i="2" s="1"/>
  <c r="I510" i="2"/>
  <c r="H510" i="2" s="1"/>
  <c r="I511" i="2"/>
  <c r="H511" i="2" s="1"/>
  <c r="I512" i="2"/>
  <c r="H512" i="2" s="1"/>
  <c r="I513" i="2"/>
  <c r="H513" i="2" s="1"/>
  <c r="I514" i="2"/>
  <c r="H514" i="2" s="1"/>
  <c r="I515" i="2"/>
  <c r="H515" i="2" s="1"/>
  <c r="I516" i="2"/>
  <c r="H516" i="2" s="1"/>
  <c r="I517" i="2"/>
  <c r="H517" i="2" s="1"/>
  <c r="I518" i="2"/>
  <c r="H518" i="2" s="1"/>
  <c r="I519" i="2"/>
  <c r="H519" i="2" s="1"/>
  <c r="I520" i="2"/>
  <c r="H520" i="2" s="1"/>
  <c r="I521" i="2"/>
  <c r="H521" i="2" s="1"/>
  <c r="I522" i="2"/>
  <c r="H522" i="2" s="1"/>
  <c r="I523" i="2"/>
  <c r="H523" i="2" s="1"/>
  <c r="I524" i="2"/>
  <c r="H524" i="2" s="1"/>
  <c r="I525" i="2"/>
  <c r="H525" i="2" s="1"/>
  <c r="I526" i="2"/>
  <c r="H526" i="2" s="1"/>
  <c r="I527" i="2"/>
  <c r="H527" i="2" s="1"/>
  <c r="I528" i="2"/>
  <c r="H528" i="2" s="1"/>
  <c r="I529" i="2"/>
  <c r="H529" i="2" s="1"/>
  <c r="I530" i="2"/>
  <c r="H530" i="2" s="1"/>
  <c r="I531" i="2"/>
  <c r="H531" i="2" s="1"/>
  <c r="I532" i="2"/>
  <c r="H532" i="2" s="1"/>
  <c r="I533" i="2"/>
  <c r="H533" i="2" s="1"/>
  <c r="I534" i="2"/>
  <c r="H534" i="2" s="1"/>
  <c r="I90" i="2"/>
  <c r="H90" i="2" s="1"/>
  <c r="I535" i="2"/>
  <c r="H535" i="2" s="1"/>
  <c r="I536" i="2"/>
  <c r="H536" i="2" s="1"/>
  <c r="I537" i="2"/>
  <c r="H537" i="2" s="1"/>
  <c r="I538" i="2"/>
  <c r="H538" i="2" s="1"/>
  <c r="I539" i="2"/>
  <c r="H539" i="2" s="1"/>
  <c r="I540" i="2"/>
  <c r="H540" i="2" s="1"/>
  <c r="I541" i="2"/>
  <c r="H541" i="2" s="1"/>
  <c r="I542" i="2"/>
  <c r="H542" i="2" s="1"/>
  <c r="I543" i="2"/>
  <c r="H543" i="2" s="1"/>
  <c r="I544" i="2"/>
  <c r="H544" i="2" s="1"/>
  <c r="I545" i="2"/>
  <c r="H545" i="2" s="1"/>
  <c r="I18" i="2"/>
  <c r="H18" i="2" s="1"/>
  <c r="I546" i="2"/>
  <c r="H546" i="2" s="1"/>
  <c r="I547" i="2"/>
  <c r="H547" i="2" s="1"/>
  <c r="I548" i="2"/>
  <c r="H548" i="2" s="1"/>
  <c r="I549" i="2"/>
  <c r="H549" i="2" s="1"/>
  <c r="I550" i="2"/>
  <c r="H550" i="2" s="1"/>
  <c r="I551" i="2"/>
  <c r="H551" i="2" s="1"/>
  <c r="I552" i="2"/>
  <c r="H552" i="2" s="1"/>
  <c r="I553" i="2"/>
  <c r="H553" i="2" s="1"/>
  <c r="I554" i="2"/>
  <c r="H554" i="2" s="1"/>
  <c r="I19" i="2"/>
  <c r="H19" i="2" s="1"/>
  <c r="I555" i="2"/>
  <c r="H555" i="2" s="1"/>
  <c r="I556" i="2"/>
  <c r="H556" i="2" s="1"/>
  <c r="I557" i="2"/>
  <c r="H557" i="2" s="1"/>
  <c r="I558" i="2"/>
  <c r="H558" i="2" s="1"/>
  <c r="I16" i="2"/>
  <c r="H16" i="2" s="1"/>
  <c r="I559" i="2"/>
  <c r="H559" i="2" s="1"/>
  <c r="I560" i="2"/>
  <c r="H560" i="2" s="1"/>
  <c r="I561" i="2"/>
  <c r="H561" i="2" s="1"/>
  <c r="I562" i="2"/>
  <c r="H562" i="2" s="1"/>
  <c r="I563" i="2"/>
  <c r="H563" i="2" s="1"/>
  <c r="I564" i="2"/>
  <c r="H564" i="2" s="1"/>
  <c r="I565" i="2"/>
  <c r="H565" i="2" s="1"/>
  <c r="I566" i="2"/>
  <c r="H566" i="2" s="1"/>
  <c r="I567" i="2"/>
  <c r="H567" i="2" s="1"/>
  <c r="I568" i="2"/>
  <c r="H568" i="2" s="1"/>
  <c r="I569" i="2"/>
  <c r="H569" i="2" s="1"/>
  <c r="I570" i="2"/>
  <c r="H570" i="2" s="1"/>
  <c r="I571" i="2"/>
  <c r="H571" i="2" s="1"/>
  <c r="I572" i="2"/>
  <c r="H572" i="2" s="1"/>
  <c r="I573" i="2"/>
  <c r="H573" i="2" s="1"/>
  <c r="I574" i="2"/>
  <c r="H574" i="2" s="1"/>
  <c r="I575" i="2"/>
  <c r="H575" i="2" s="1"/>
  <c r="I576" i="2"/>
  <c r="H576" i="2" s="1"/>
  <c r="I577" i="2"/>
  <c r="H577" i="2" s="1"/>
  <c r="I578" i="2"/>
  <c r="H578" i="2" s="1"/>
  <c r="I579" i="2"/>
  <c r="H579" i="2" s="1"/>
  <c r="I91" i="2"/>
  <c r="H91" i="2" s="1"/>
  <c r="I580" i="2"/>
  <c r="H580" i="2" s="1"/>
  <c r="I581" i="2"/>
  <c r="H581" i="2" s="1"/>
  <c r="I582" i="2"/>
  <c r="H582" i="2" s="1"/>
  <c r="I583" i="2"/>
  <c r="H583" i="2" s="1"/>
  <c r="I584" i="2"/>
  <c r="H584" i="2" s="1"/>
  <c r="I585" i="2"/>
  <c r="H585" i="2" s="1"/>
  <c r="I586" i="2"/>
  <c r="H586" i="2" s="1"/>
  <c r="I587" i="2"/>
  <c r="H587" i="2" s="1"/>
  <c r="I588" i="2"/>
  <c r="H588" i="2" s="1"/>
  <c r="I589" i="2"/>
  <c r="H589" i="2" s="1"/>
  <c r="I590" i="2"/>
  <c r="H590" i="2" s="1"/>
  <c r="I591" i="2"/>
  <c r="H591" i="2" s="1"/>
  <c r="I592" i="2"/>
  <c r="H592" i="2" s="1"/>
  <c r="I593" i="2"/>
  <c r="H593" i="2" s="1"/>
  <c r="I594" i="2"/>
  <c r="H594" i="2" s="1"/>
  <c r="I595" i="2"/>
  <c r="H595" i="2" s="1"/>
  <c r="I82" i="2"/>
  <c r="H82" i="2" s="1"/>
  <c r="I596" i="2"/>
  <c r="H596" i="2" s="1"/>
  <c r="I597" i="2"/>
  <c r="H597" i="2" s="1"/>
  <c r="I598" i="2"/>
  <c r="H598" i="2" s="1"/>
  <c r="I599" i="2"/>
  <c r="H599" i="2" s="1"/>
  <c r="I600" i="2"/>
  <c r="H600" i="2" s="1"/>
  <c r="I92" i="2"/>
  <c r="H92" i="2" s="1"/>
  <c r="I601" i="2"/>
  <c r="H601" i="2" s="1"/>
  <c r="I602" i="2"/>
  <c r="H602" i="2" s="1"/>
  <c r="I603" i="2"/>
  <c r="H603" i="2" s="1"/>
  <c r="I93" i="2"/>
  <c r="H93" i="2" s="1"/>
  <c r="I604" i="2"/>
  <c r="H604" i="2" s="1"/>
  <c r="I605" i="2"/>
  <c r="H605" i="2" s="1"/>
  <c r="I606" i="2"/>
  <c r="H606" i="2" s="1"/>
  <c r="I607" i="2"/>
  <c r="H607" i="2" s="1"/>
  <c r="I608" i="2"/>
  <c r="H608" i="2" s="1"/>
  <c r="I609" i="2"/>
  <c r="H609" i="2" s="1"/>
  <c r="I610" i="2"/>
  <c r="H610" i="2" s="1"/>
  <c r="I611" i="2"/>
  <c r="H611" i="2" s="1"/>
  <c r="I612" i="2"/>
  <c r="H612" i="2" s="1"/>
  <c r="I613" i="2"/>
  <c r="H613" i="2" s="1"/>
  <c r="I614" i="2"/>
  <c r="H614" i="2" s="1"/>
  <c r="I615" i="2"/>
  <c r="H615" i="2" s="1"/>
  <c r="I616" i="2"/>
  <c r="H616" i="2" s="1"/>
  <c r="I617" i="2"/>
  <c r="H617" i="2" s="1"/>
  <c r="I618" i="2"/>
  <c r="H618" i="2" s="1"/>
  <c r="I619" i="2"/>
  <c r="H619" i="2" s="1"/>
  <c r="I620" i="2"/>
  <c r="H620" i="2" s="1"/>
  <c r="I94" i="2"/>
  <c r="H94" i="2" s="1"/>
  <c r="I621" i="2"/>
  <c r="H621" i="2" s="1"/>
  <c r="I622" i="2"/>
  <c r="H622" i="2" s="1"/>
  <c r="I20" i="2"/>
  <c r="H20" i="2" s="1"/>
  <c r="I623" i="2"/>
  <c r="H623" i="2" s="1"/>
  <c r="I624" i="2"/>
  <c r="H624" i="2" s="1"/>
  <c r="I21" i="2"/>
  <c r="H21" i="2" s="1"/>
  <c r="I625" i="2"/>
  <c r="H625" i="2" s="1"/>
  <c r="I626" i="2"/>
  <c r="H626" i="2" s="1"/>
  <c r="I627" i="2"/>
  <c r="H627" i="2" s="1"/>
  <c r="I628" i="2"/>
  <c r="H628" i="2" s="1"/>
  <c r="I629" i="2"/>
  <c r="H629" i="2" s="1"/>
  <c r="I630" i="2"/>
  <c r="H630" i="2" s="1"/>
  <c r="I631" i="2"/>
  <c r="H631" i="2" s="1"/>
  <c r="I95" i="2"/>
  <c r="H95" i="2" s="1"/>
  <c r="I632" i="2"/>
  <c r="H632" i="2" s="1"/>
  <c r="I22" i="2"/>
  <c r="H22" i="2" s="1"/>
  <c r="I633" i="2"/>
  <c r="H633" i="2" s="1"/>
  <c r="I23" i="2"/>
  <c r="H23" i="2" s="1"/>
  <c r="I634" i="2"/>
  <c r="H634" i="2" s="1"/>
  <c r="I635" i="2"/>
  <c r="H635" i="2" s="1"/>
  <c r="I636" i="2"/>
  <c r="H636" i="2" s="1"/>
  <c r="I637" i="2"/>
  <c r="H637" i="2" s="1"/>
  <c r="I638" i="2"/>
  <c r="H638" i="2" s="1"/>
  <c r="I96" i="2"/>
  <c r="H96" i="2" s="1"/>
  <c r="I639" i="2"/>
  <c r="H639" i="2" s="1"/>
  <c r="I640" i="2"/>
  <c r="H640" i="2" s="1"/>
  <c r="I641" i="2"/>
  <c r="H641" i="2" s="1"/>
  <c r="I97" i="2"/>
  <c r="H97" i="2" s="1"/>
  <c r="I642" i="2"/>
  <c r="H642" i="2" s="1"/>
  <c r="I643" i="2"/>
  <c r="H643" i="2" s="1"/>
  <c r="I644" i="2"/>
  <c r="H644" i="2" s="1"/>
  <c r="I645" i="2"/>
  <c r="H645" i="2" s="1"/>
  <c r="I646" i="2"/>
  <c r="H646" i="2" s="1"/>
  <c r="I647" i="2"/>
  <c r="H647" i="2" s="1"/>
  <c r="I648" i="2"/>
  <c r="H648" i="2" s="1"/>
  <c r="I83" i="2"/>
  <c r="H83" i="2" s="1"/>
  <c r="I649" i="2"/>
  <c r="H649" i="2" s="1"/>
  <c r="I650" i="2"/>
  <c r="H650" i="2" s="1"/>
  <c r="I651" i="2"/>
  <c r="H651" i="2" s="1"/>
  <c r="I652" i="2"/>
  <c r="H652" i="2" s="1"/>
  <c r="I653" i="2"/>
  <c r="H653" i="2" s="1"/>
  <c r="I654" i="2"/>
  <c r="H654" i="2" s="1"/>
  <c r="I655" i="2"/>
  <c r="H655" i="2" s="1"/>
  <c r="I656" i="2"/>
  <c r="H656" i="2" s="1"/>
  <c r="I657" i="2"/>
  <c r="H657" i="2" s="1"/>
  <c r="I658" i="2"/>
  <c r="H658" i="2" s="1"/>
  <c r="I659" i="2"/>
  <c r="H659" i="2" s="1"/>
  <c r="I660" i="2"/>
  <c r="H660" i="2" s="1"/>
  <c r="I661" i="2"/>
  <c r="H661" i="2" s="1"/>
  <c r="I662" i="2"/>
  <c r="H662" i="2" s="1"/>
  <c r="I84" i="2"/>
  <c r="H84" i="2" s="1"/>
  <c r="I663" i="2"/>
  <c r="H663" i="2" s="1"/>
  <c r="I664" i="2"/>
  <c r="H664" i="2" s="1"/>
  <c r="I665" i="2"/>
  <c r="H665" i="2" s="1"/>
  <c r="I666" i="2"/>
  <c r="H666" i="2" s="1"/>
  <c r="I667" i="2"/>
  <c r="H667" i="2" s="1"/>
  <c r="I668" i="2"/>
  <c r="H668" i="2" s="1"/>
  <c r="I669" i="2"/>
  <c r="H669" i="2" s="1"/>
  <c r="I670" i="2"/>
  <c r="H670" i="2" s="1"/>
  <c r="I671" i="2"/>
  <c r="H671" i="2" s="1"/>
  <c r="I672" i="2"/>
  <c r="H672" i="2" s="1"/>
  <c r="I673" i="2"/>
  <c r="H673" i="2" s="1"/>
  <c r="I674" i="2"/>
  <c r="H674" i="2" s="1"/>
  <c r="I675" i="2"/>
  <c r="H675" i="2" s="1"/>
  <c r="I676" i="2"/>
  <c r="H676" i="2" s="1"/>
  <c r="I677" i="2"/>
  <c r="H677" i="2" s="1"/>
  <c r="I678" i="2"/>
  <c r="H678" i="2" s="1"/>
  <c r="I679" i="2"/>
  <c r="H679" i="2" s="1"/>
  <c r="I680" i="2"/>
  <c r="H680" i="2" s="1"/>
  <c r="I681" i="2"/>
  <c r="H681" i="2" s="1"/>
  <c r="I682" i="2"/>
  <c r="H682" i="2" s="1"/>
  <c r="I683" i="2"/>
  <c r="H683" i="2" s="1"/>
  <c r="I54" i="2"/>
  <c r="H54" i="2" s="1"/>
  <c r="I684" i="2"/>
  <c r="H684" i="2" s="1"/>
  <c r="I685" i="2"/>
  <c r="H685" i="2" s="1"/>
  <c r="I686" i="2"/>
  <c r="H686" i="2" s="1"/>
  <c r="I687" i="2"/>
  <c r="H687" i="2" s="1"/>
  <c r="I688" i="2"/>
  <c r="H688" i="2" s="1"/>
  <c r="I689" i="2"/>
  <c r="H689" i="2" s="1"/>
  <c r="I690" i="2"/>
  <c r="H690" i="2" s="1"/>
  <c r="I24" i="2"/>
  <c r="H24" i="2" s="1"/>
  <c r="I691" i="2"/>
  <c r="H691" i="2" s="1"/>
  <c r="I692" i="2"/>
  <c r="H692" i="2" s="1"/>
  <c r="I693" i="2"/>
  <c r="H693" i="2" s="1"/>
  <c r="I694" i="2"/>
  <c r="H694" i="2" s="1"/>
  <c r="I695" i="2"/>
  <c r="H695" i="2" s="1"/>
  <c r="I25" i="2"/>
  <c r="H25" i="2" s="1"/>
  <c r="I696" i="2"/>
  <c r="H696" i="2" s="1"/>
  <c r="I697" i="2"/>
  <c r="H697" i="2" s="1"/>
  <c r="I698" i="2"/>
  <c r="H698" i="2" s="1"/>
  <c r="I699" i="2"/>
  <c r="H699" i="2" s="1"/>
  <c r="I700" i="2"/>
  <c r="H700" i="2" s="1"/>
  <c r="I701" i="2"/>
  <c r="H701" i="2" s="1"/>
  <c r="I702" i="2"/>
  <c r="H702" i="2" s="1"/>
  <c r="I703" i="2"/>
  <c r="H703" i="2" s="1"/>
  <c r="I704" i="2"/>
  <c r="H704" i="2" s="1"/>
  <c r="I705" i="2"/>
  <c r="H705" i="2" s="1"/>
  <c r="I706" i="2"/>
  <c r="H706" i="2" s="1"/>
  <c r="I707" i="2"/>
  <c r="H707" i="2" s="1"/>
  <c r="I708" i="2"/>
  <c r="H708" i="2" s="1"/>
  <c r="I709" i="2"/>
  <c r="H709" i="2" s="1"/>
  <c r="I710" i="2"/>
  <c r="H710" i="2" s="1"/>
  <c r="I711" i="2"/>
  <c r="H711" i="2" s="1"/>
  <c r="I712" i="2"/>
  <c r="H712" i="2" s="1"/>
  <c r="I26" i="2"/>
  <c r="H26" i="2" s="1"/>
  <c r="I713" i="2"/>
  <c r="H713" i="2" s="1"/>
  <c r="I714" i="2"/>
  <c r="H714" i="2" s="1"/>
  <c r="I715" i="2"/>
  <c r="H715" i="2" s="1"/>
  <c r="I716" i="2"/>
  <c r="H716" i="2" s="1"/>
  <c r="I717" i="2"/>
  <c r="H717" i="2" s="1"/>
  <c r="I718" i="2"/>
  <c r="H718" i="2" s="1"/>
  <c r="I719" i="2"/>
  <c r="H719" i="2" s="1"/>
  <c r="I27" i="2"/>
  <c r="H27" i="2" s="1"/>
  <c r="I720" i="2"/>
  <c r="H720" i="2" s="1"/>
  <c r="I721" i="2"/>
  <c r="H721" i="2" s="1"/>
  <c r="I722" i="2"/>
  <c r="H722" i="2" s="1"/>
  <c r="I128" i="2"/>
  <c r="H128" i="2" s="1"/>
  <c r="I723" i="2"/>
  <c r="H723" i="2" s="1"/>
  <c r="I724" i="2"/>
  <c r="H724" i="2" s="1"/>
  <c r="I725" i="2"/>
  <c r="H725" i="2" s="1"/>
  <c r="I98" i="2"/>
  <c r="H98" i="2" s="1"/>
  <c r="I99" i="2"/>
  <c r="H99" i="2" s="1"/>
  <c r="I726" i="2"/>
  <c r="H726" i="2" s="1"/>
  <c r="I727" i="2"/>
  <c r="H727" i="2" s="1"/>
  <c r="I728" i="2"/>
  <c r="H728" i="2" s="1"/>
  <c r="I729" i="2"/>
  <c r="H729" i="2" s="1"/>
  <c r="I730" i="2"/>
  <c r="H730" i="2" s="1"/>
  <c r="I731" i="2"/>
  <c r="H731" i="2" s="1"/>
  <c r="I732" i="2"/>
  <c r="H732" i="2" s="1"/>
  <c r="I733" i="2"/>
  <c r="H733" i="2" s="1"/>
  <c r="I734" i="2"/>
  <c r="H734" i="2" s="1"/>
  <c r="I735" i="2"/>
  <c r="H735" i="2" s="1"/>
  <c r="I736" i="2"/>
  <c r="H736" i="2" s="1"/>
  <c r="I2" i="2"/>
  <c r="H2" i="2" s="1"/>
  <c r="I737" i="2"/>
  <c r="H737" i="2" s="1"/>
  <c r="I738" i="2"/>
  <c r="H738" i="2" s="1"/>
  <c r="I739" i="2"/>
  <c r="H739" i="2" s="1"/>
  <c r="I740" i="2"/>
  <c r="H740" i="2" s="1"/>
  <c r="I741" i="2"/>
  <c r="H741" i="2" s="1"/>
  <c r="I742" i="2"/>
  <c r="H742" i="2" s="1"/>
  <c r="I743" i="2"/>
  <c r="H743" i="2" s="1"/>
  <c r="I744" i="2"/>
  <c r="H744" i="2" s="1"/>
  <c r="I745" i="2"/>
  <c r="H745" i="2" s="1"/>
  <c r="I746" i="2"/>
  <c r="H746" i="2" s="1"/>
  <c r="I747" i="2"/>
  <c r="H747" i="2" s="1"/>
  <c r="I748" i="2"/>
  <c r="H748" i="2" s="1"/>
  <c r="I749" i="2"/>
  <c r="H749" i="2" s="1"/>
  <c r="I750" i="2"/>
  <c r="H750" i="2" s="1"/>
  <c r="I751" i="2"/>
  <c r="H751" i="2" s="1"/>
  <c r="I752" i="2"/>
  <c r="H752" i="2" s="1"/>
  <c r="I753" i="2"/>
  <c r="H753" i="2" s="1"/>
  <c r="I754" i="2"/>
  <c r="H754" i="2" s="1"/>
  <c r="I755" i="2"/>
  <c r="H755" i="2" s="1"/>
  <c r="I756" i="2"/>
  <c r="H756" i="2" s="1"/>
  <c r="I757" i="2"/>
  <c r="H757" i="2" s="1"/>
  <c r="I758" i="2"/>
  <c r="H758" i="2" s="1"/>
  <c r="I759" i="2"/>
  <c r="H759" i="2" s="1"/>
  <c r="I760" i="2"/>
  <c r="H760" i="2" s="1"/>
  <c r="I761" i="2"/>
  <c r="H761" i="2" s="1"/>
  <c r="I28" i="2"/>
  <c r="H28" i="2" s="1"/>
  <c r="I762" i="2"/>
  <c r="H762" i="2" s="1"/>
  <c r="I763" i="2"/>
  <c r="H763" i="2" s="1"/>
  <c r="I764" i="2"/>
  <c r="H764" i="2" s="1"/>
  <c r="I765" i="2"/>
  <c r="H765" i="2" s="1"/>
  <c r="I29" i="2"/>
  <c r="H29" i="2" s="1"/>
  <c r="I766" i="2"/>
  <c r="H766" i="2" s="1"/>
  <c r="I767" i="2"/>
  <c r="H767" i="2" s="1"/>
  <c r="I768" i="2"/>
  <c r="H768" i="2" s="1"/>
  <c r="I30" i="2"/>
  <c r="H30" i="2" s="1"/>
  <c r="I769" i="2"/>
  <c r="H769" i="2" s="1"/>
  <c r="I770" i="2"/>
  <c r="H770" i="2" s="1"/>
  <c r="I771" i="2"/>
  <c r="H771" i="2" s="1"/>
  <c r="I772" i="2"/>
  <c r="H772" i="2" s="1"/>
  <c r="I773" i="2"/>
  <c r="H773" i="2" s="1"/>
  <c r="I774" i="2"/>
  <c r="H774" i="2" s="1"/>
  <c r="I775" i="2"/>
  <c r="H775" i="2" s="1"/>
  <c r="I776" i="2"/>
  <c r="H776" i="2" s="1"/>
  <c r="I777" i="2"/>
  <c r="H777" i="2" s="1"/>
  <c r="I778" i="2"/>
  <c r="H778" i="2" s="1"/>
  <c r="I779" i="2"/>
  <c r="H779" i="2" s="1"/>
  <c r="I55" i="2"/>
  <c r="H55" i="2" s="1"/>
  <c r="I780" i="2"/>
  <c r="H780" i="2" s="1"/>
  <c r="I781" i="2"/>
  <c r="H781" i="2" s="1"/>
  <c r="I782" i="2"/>
  <c r="H782" i="2" s="1"/>
  <c r="I783" i="2"/>
  <c r="H783" i="2" s="1"/>
  <c r="I784" i="2"/>
  <c r="H784" i="2" s="1"/>
  <c r="I785" i="2"/>
  <c r="H785" i="2" s="1"/>
  <c r="I786" i="2"/>
  <c r="H786" i="2" s="1"/>
  <c r="I787" i="2"/>
  <c r="H787" i="2" s="1"/>
  <c r="I788" i="2"/>
  <c r="H788" i="2" s="1"/>
  <c r="I789" i="2"/>
  <c r="H789" i="2" s="1"/>
  <c r="I790" i="2"/>
  <c r="H790" i="2" s="1"/>
  <c r="I791" i="2"/>
  <c r="H791" i="2" s="1"/>
  <c r="I792" i="2"/>
  <c r="H792" i="2" s="1"/>
  <c r="I222" i="2"/>
  <c r="H222" i="2" s="1"/>
  <c r="I793" i="2"/>
  <c r="H793" i="2" s="1"/>
  <c r="I794" i="2"/>
  <c r="H794" i="2" s="1"/>
  <c r="I795" i="2"/>
  <c r="H795" i="2" s="1"/>
  <c r="I796" i="2"/>
  <c r="H796" i="2" s="1"/>
  <c r="I31" i="2"/>
  <c r="H31" i="2" s="1"/>
  <c r="I797" i="2"/>
  <c r="H797" i="2" s="1"/>
  <c r="I798" i="2"/>
  <c r="H798" i="2" s="1"/>
  <c r="I799" i="2"/>
  <c r="H799" i="2" s="1"/>
  <c r="I800" i="2"/>
  <c r="H800" i="2" s="1"/>
  <c r="I801" i="2"/>
  <c r="H801" i="2" s="1"/>
  <c r="I802" i="2"/>
  <c r="H802" i="2" s="1"/>
  <c r="I803" i="2"/>
  <c r="H803" i="2" s="1"/>
  <c r="I804" i="2"/>
  <c r="H804" i="2" s="1"/>
  <c r="I805" i="2"/>
  <c r="H805" i="2" s="1"/>
  <c r="I806" i="2"/>
  <c r="H806" i="2" s="1"/>
  <c r="I807" i="2"/>
  <c r="H807" i="2" s="1"/>
  <c r="I808" i="2"/>
  <c r="H808" i="2" s="1"/>
  <c r="I3" i="2"/>
  <c r="H3" i="2" s="1"/>
  <c r="I129" i="2"/>
  <c r="H129" i="2" s="1"/>
  <c r="I809" i="2"/>
  <c r="H809" i="2" s="1"/>
  <c r="I810" i="2"/>
  <c r="H810" i="2" s="1"/>
  <c r="I32" i="2"/>
  <c r="H32" i="2" s="1"/>
  <c r="I811" i="2"/>
  <c r="H811" i="2" s="1"/>
  <c r="I812" i="2"/>
  <c r="H812" i="2" s="1"/>
  <c r="I813" i="2"/>
  <c r="H813" i="2" s="1"/>
  <c r="I814" i="2"/>
  <c r="H814" i="2" s="1"/>
  <c r="I815" i="2"/>
  <c r="H815" i="2" s="1"/>
  <c r="I816" i="2"/>
  <c r="H816" i="2" s="1"/>
  <c r="I817" i="2"/>
  <c r="H817" i="2" s="1"/>
  <c r="I818" i="2"/>
  <c r="H818" i="2" s="1"/>
  <c r="I819" i="2"/>
  <c r="H819" i="2" s="1"/>
  <c r="I820" i="2"/>
  <c r="H820" i="2" s="1"/>
  <c r="I821" i="2"/>
  <c r="H821" i="2" s="1"/>
  <c r="I822" i="2"/>
  <c r="H822" i="2" s="1"/>
  <c r="I823" i="2"/>
  <c r="H823" i="2" s="1"/>
  <c r="I824" i="2"/>
  <c r="H824" i="2" s="1"/>
  <c r="I825" i="2"/>
  <c r="H825" i="2" s="1"/>
  <c r="I826" i="2"/>
  <c r="H826" i="2" s="1"/>
  <c r="I827" i="2"/>
  <c r="H827" i="2" s="1"/>
  <c r="I828" i="2"/>
  <c r="H828" i="2" s="1"/>
  <c r="I829" i="2"/>
  <c r="H829" i="2" s="1"/>
  <c r="I830" i="2"/>
  <c r="H830" i="2" s="1"/>
  <c r="I33" i="2"/>
  <c r="H33" i="2" s="1"/>
  <c r="I831" i="2"/>
  <c r="H831" i="2" s="1"/>
  <c r="I832" i="2"/>
  <c r="H832" i="2" s="1"/>
  <c r="I833" i="2"/>
  <c r="H833" i="2" s="1"/>
  <c r="I4" i="2"/>
  <c r="H4" i="2" s="1"/>
  <c r="I116" i="2"/>
  <c r="H116" i="2" s="1"/>
  <c r="I834" i="2"/>
  <c r="H834" i="2" s="1"/>
  <c r="I130" i="2"/>
  <c r="H130" i="2" s="1"/>
  <c r="I835" i="2"/>
  <c r="H835" i="2" s="1"/>
  <c r="I836" i="2"/>
  <c r="H836" i="2" s="1"/>
  <c r="I131" i="2"/>
  <c r="H131" i="2" s="1"/>
  <c r="I837" i="2"/>
  <c r="H837" i="2" s="1"/>
  <c r="I838" i="2"/>
  <c r="H838" i="2" s="1"/>
  <c r="I839" i="2"/>
  <c r="H839" i="2" s="1"/>
  <c r="I840" i="2"/>
  <c r="H840" i="2" s="1"/>
  <c r="I841" i="2"/>
  <c r="H841" i="2" s="1"/>
  <c r="I100" i="2"/>
  <c r="H100" i="2" s="1"/>
  <c r="I842" i="2"/>
  <c r="H842" i="2" s="1"/>
  <c r="I843" i="2"/>
  <c r="H843" i="2" s="1"/>
  <c r="I844" i="2"/>
  <c r="H844" i="2" s="1"/>
  <c r="I845" i="2"/>
  <c r="H845" i="2" s="1"/>
  <c r="I132" i="2"/>
  <c r="H132" i="2" s="1"/>
  <c r="I114" i="2"/>
  <c r="H114" i="2" s="1"/>
  <c r="I133" i="2"/>
  <c r="H133" i="2" s="1"/>
  <c r="I846" i="2"/>
  <c r="H846" i="2" s="1"/>
  <c r="I847" i="2"/>
  <c r="H847" i="2" s="1"/>
  <c r="I848" i="2"/>
  <c r="H848" i="2" s="1"/>
  <c r="I849" i="2"/>
  <c r="H849" i="2" s="1"/>
  <c r="I850" i="2"/>
  <c r="H850" i="2" s="1"/>
  <c r="I851" i="2"/>
  <c r="H851" i="2" s="1"/>
  <c r="I852" i="2"/>
  <c r="H852" i="2" s="1"/>
  <c r="I853" i="2"/>
  <c r="H853" i="2" s="1"/>
  <c r="I134" i="2"/>
  <c r="H134" i="2" s="1"/>
  <c r="I854" i="2"/>
  <c r="H854" i="2" s="1"/>
  <c r="I855" i="2"/>
  <c r="H855" i="2" s="1"/>
  <c r="I856" i="2"/>
  <c r="H856" i="2" s="1"/>
  <c r="I857" i="2"/>
  <c r="H857" i="2" s="1"/>
  <c r="I858" i="2"/>
  <c r="H858" i="2" s="1"/>
  <c r="I859" i="2"/>
  <c r="H859" i="2" s="1"/>
  <c r="I135" i="2"/>
  <c r="H135" i="2" s="1"/>
  <c r="I860" i="2"/>
  <c r="H860" i="2" s="1"/>
  <c r="I861" i="2"/>
  <c r="H861" i="2" s="1"/>
  <c r="I862" i="2"/>
  <c r="H862" i="2" s="1"/>
  <c r="I863" i="2"/>
  <c r="H863" i="2" s="1"/>
  <c r="I864" i="2"/>
  <c r="H864" i="2" s="1"/>
  <c r="I865" i="2"/>
  <c r="H865" i="2" s="1"/>
  <c r="I866" i="2"/>
  <c r="H866" i="2" s="1"/>
  <c r="I867" i="2"/>
  <c r="H867" i="2" s="1"/>
  <c r="I868" i="2"/>
  <c r="H868" i="2" s="1"/>
  <c r="I5" i="2"/>
  <c r="H5" i="2" s="1"/>
  <c r="I869" i="2"/>
  <c r="H869" i="2" s="1"/>
  <c r="I870" i="2"/>
  <c r="H870" i="2" s="1"/>
  <c r="I871" i="2"/>
  <c r="H871" i="2" s="1"/>
  <c r="I872" i="2"/>
  <c r="H872" i="2" s="1"/>
  <c r="I56" i="2"/>
  <c r="H56" i="2" s="1"/>
  <c r="I873" i="2"/>
  <c r="H873" i="2" s="1"/>
  <c r="I6" i="2"/>
  <c r="H6" i="2" s="1"/>
  <c r="I874" i="2"/>
  <c r="H874" i="2" s="1"/>
  <c r="I875" i="2"/>
  <c r="H875" i="2" s="1"/>
  <c r="I876" i="2"/>
  <c r="H876" i="2" s="1"/>
  <c r="I877" i="2"/>
  <c r="H877" i="2" s="1"/>
  <c r="I878" i="2"/>
  <c r="H878" i="2" s="1"/>
  <c r="I879" i="2"/>
  <c r="H879" i="2" s="1"/>
  <c r="I880" i="2"/>
  <c r="H880" i="2" s="1"/>
  <c r="I881" i="2"/>
  <c r="H881" i="2" s="1"/>
  <c r="I882" i="2"/>
  <c r="H882" i="2" s="1"/>
  <c r="I883" i="2"/>
  <c r="H883" i="2" s="1"/>
  <c r="I884" i="2"/>
  <c r="H884" i="2" s="1"/>
  <c r="I136" i="2"/>
  <c r="H136" i="2" s="1"/>
  <c r="I885" i="2"/>
  <c r="H885" i="2" s="1"/>
  <c r="I886" i="2"/>
  <c r="H886" i="2" s="1"/>
  <c r="I887" i="2"/>
  <c r="H887" i="2" s="1"/>
  <c r="I34" i="2"/>
  <c r="H34" i="2" s="1"/>
  <c r="I888" i="2"/>
  <c r="H888" i="2" s="1"/>
  <c r="I137" i="2"/>
  <c r="H137" i="2" s="1"/>
  <c r="I889" i="2"/>
  <c r="H889" i="2" s="1"/>
  <c r="I890" i="2"/>
  <c r="H890" i="2" s="1"/>
  <c r="I891" i="2"/>
  <c r="H891" i="2" s="1"/>
  <c r="I892" i="2"/>
  <c r="H892" i="2" s="1"/>
  <c r="I893" i="2"/>
  <c r="H893" i="2" s="1"/>
  <c r="I894" i="2"/>
  <c r="H894" i="2" s="1"/>
  <c r="I895" i="2"/>
  <c r="H895" i="2" s="1"/>
  <c r="I896" i="2"/>
  <c r="H896" i="2" s="1"/>
  <c r="I138" i="2"/>
  <c r="H138" i="2" s="1"/>
  <c r="I897" i="2"/>
  <c r="H897" i="2" s="1"/>
  <c r="I898" i="2"/>
  <c r="H898" i="2" s="1"/>
  <c r="I899" i="2"/>
  <c r="H899" i="2" s="1"/>
  <c r="I900" i="2"/>
  <c r="H900" i="2" s="1"/>
  <c r="I901" i="2"/>
  <c r="H901" i="2" s="1"/>
  <c r="I902" i="2"/>
  <c r="H902" i="2" s="1"/>
  <c r="I903" i="2"/>
  <c r="H903" i="2" s="1"/>
  <c r="I904" i="2"/>
  <c r="H904" i="2" s="1"/>
  <c r="I905" i="2"/>
  <c r="H905" i="2" s="1"/>
  <c r="I906" i="2"/>
  <c r="H906" i="2" s="1"/>
  <c r="I907" i="2"/>
  <c r="H907" i="2" s="1"/>
  <c r="I908" i="2"/>
  <c r="H908" i="2" s="1"/>
  <c r="I909" i="2"/>
  <c r="H909" i="2" s="1"/>
  <c r="I910" i="2"/>
  <c r="H910" i="2" s="1"/>
  <c r="I911" i="2"/>
  <c r="H911" i="2" s="1"/>
  <c r="I912" i="2"/>
  <c r="H912" i="2" s="1"/>
  <c r="I913" i="2"/>
  <c r="H913" i="2" s="1"/>
  <c r="I914" i="2"/>
  <c r="H914" i="2" s="1"/>
  <c r="I915" i="2"/>
  <c r="H915" i="2" s="1"/>
  <c r="I916" i="2"/>
  <c r="H916" i="2" s="1"/>
  <c r="I917" i="2"/>
  <c r="H917" i="2" s="1"/>
  <c r="I918" i="2"/>
  <c r="H918" i="2" s="1"/>
  <c r="I919" i="2"/>
  <c r="H919" i="2" s="1"/>
  <c r="I920" i="2"/>
  <c r="H920" i="2" s="1"/>
  <c r="I921" i="2"/>
  <c r="H921" i="2" s="1"/>
  <c r="I922" i="2"/>
  <c r="H922" i="2" s="1"/>
  <c r="I923" i="2"/>
  <c r="H923" i="2" s="1"/>
  <c r="I924" i="2"/>
  <c r="H924" i="2" s="1"/>
  <c r="I925" i="2"/>
  <c r="H925" i="2" s="1"/>
  <c r="I926" i="2"/>
  <c r="H926" i="2" s="1"/>
  <c r="I927" i="2"/>
  <c r="H927" i="2" s="1"/>
  <c r="I928" i="2"/>
  <c r="H928" i="2" s="1"/>
  <c r="I929" i="2"/>
  <c r="H929" i="2" s="1"/>
  <c r="I930" i="2"/>
  <c r="H930" i="2" s="1"/>
  <c r="I931" i="2"/>
  <c r="H931" i="2" s="1"/>
  <c r="I932" i="2"/>
  <c r="H932" i="2" s="1"/>
  <c r="I933" i="2"/>
  <c r="H933" i="2" s="1"/>
  <c r="I934" i="2"/>
  <c r="H934" i="2" s="1"/>
  <c r="I935" i="2"/>
  <c r="H935" i="2" s="1"/>
  <c r="I936" i="2"/>
  <c r="H936" i="2" s="1"/>
  <c r="I937" i="2"/>
  <c r="H937" i="2" s="1"/>
  <c r="I938" i="2"/>
  <c r="H938" i="2" s="1"/>
  <c r="I939" i="2"/>
  <c r="H939" i="2" s="1"/>
  <c r="I940" i="2"/>
  <c r="H940" i="2" s="1"/>
  <c r="I941" i="2"/>
  <c r="H941" i="2" s="1"/>
  <c r="I942" i="2"/>
  <c r="H942" i="2" s="1"/>
  <c r="I943" i="2"/>
  <c r="H943" i="2" s="1"/>
  <c r="I944" i="2"/>
  <c r="H944" i="2" s="1"/>
  <c r="I945" i="2"/>
  <c r="H945" i="2" s="1"/>
  <c r="I946" i="2"/>
  <c r="H946" i="2" s="1"/>
  <c r="I947" i="2"/>
  <c r="H947" i="2" s="1"/>
  <c r="I948" i="2"/>
  <c r="H948" i="2" s="1"/>
  <c r="I949" i="2"/>
  <c r="H949" i="2" s="1"/>
  <c r="I950" i="2"/>
  <c r="H950" i="2" s="1"/>
  <c r="I951" i="2"/>
  <c r="H951" i="2" s="1"/>
  <c r="I952" i="2"/>
  <c r="H952" i="2" s="1"/>
  <c r="I953" i="2"/>
  <c r="H953" i="2" s="1"/>
  <c r="I139" i="2"/>
  <c r="H139" i="2" s="1"/>
  <c r="I954" i="2"/>
  <c r="H954" i="2" s="1"/>
  <c r="I955" i="2"/>
  <c r="H955" i="2" s="1"/>
  <c r="I956" i="2"/>
  <c r="H956" i="2" s="1"/>
  <c r="I957" i="2"/>
  <c r="H957" i="2" s="1"/>
  <c r="I958" i="2"/>
  <c r="H958" i="2" s="1"/>
  <c r="I140" i="2"/>
  <c r="H140" i="2" s="1"/>
  <c r="I35" i="2"/>
  <c r="H35" i="2" s="1"/>
  <c r="I141" i="2"/>
  <c r="H141" i="2" s="1"/>
  <c r="I959" i="2"/>
  <c r="H959" i="2" s="1"/>
  <c r="I142" i="2"/>
  <c r="H142" i="2" s="1"/>
  <c r="I960" i="2"/>
  <c r="H960" i="2" s="1"/>
  <c r="I143" i="2"/>
  <c r="H143" i="2" s="1"/>
  <c r="I961" i="2"/>
  <c r="H961" i="2" s="1"/>
  <c r="I962" i="2"/>
  <c r="H962" i="2" s="1"/>
  <c r="I963" i="2"/>
  <c r="H963" i="2" s="1"/>
  <c r="I964" i="2"/>
  <c r="H964" i="2" s="1"/>
  <c r="I965" i="2"/>
  <c r="H965" i="2" s="1"/>
  <c r="I966" i="2"/>
  <c r="H966" i="2" s="1"/>
  <c r="I967" i="2"/>
  <c r="H967" i="2" s="1"/>
  <c r="I144" i="2"/>
  <c r="H144" i="2" s="1"/>
  <c r="I968" i="2"/>
  <c r="H968" i="2" s="1"/>
  <c r="I969" i="2"/>
  <c r="H969" i="2" s="1"/>
  <c r="I970" i="2"/>
  <c r="H970" i="2" s="1"/>
  <c r="I971" i="2"/>
  <c r="H971" i="2" s="1"/>
  <c r="I972" i="2"/>
  <c r="H972" i="2" s="1"/>
  <c r="I973" i="2"/>
  <c r="H973" i="2" s="1"/>
  <c r="I974" i="2"/>
  <c r="H974" i="2" s="1"/>
  <c r="I975" i="2"/>
  <c r="H975" i="2" s="1"/>
  <c r="I976" i="2"/>
  <c r="H976" i="2" s="1"/>
  <c r="I977" i="2"/>
  <c r="H977" i="2" s="1"/>
  <c r="I978" i="2"/>
  <c r="H978" i="2" s="1"/>
  <c r="I145" i="2"/>
  <c r="H145" i="2" s="1"/>
  <c r="I979" i="2"/>
  <c r="H979" i="2" s="1"/>
  <c r="I980" i="2"/>
  <c r="H980" i="2" s="1"/>
  <c r="I981" i="2"/>
  <c r="H981" i="2" s="1"/>
  <c r="I982" i="2"/>
  <c r="H982" i="2" s="1"/>
  <c r="I983" i="2"/>
  <c r="H983" i="2" s="1"/>
  <c r="I984" i="2"/>
  <c r="H984" i="2" s="1"/>
  <c r="I985" i="2"/>
  <c r="H985" i="2" s="1"/>
  <c r="I986" i="2"/>
  <c r="H986" i="2" s="1"/>
  <c r="I987" i="2"/>
  <c r="H987" i="2" s="1"/>
  <c r="I988" i="2"/>
  <c r="H988" i="2" s="1"/>
  <c r="I989" i="2"/>
  <c r="H989" i="2" s="1"/>
  <c r="I36" i="2"/>
  <c r="H36" i="2" s="1"/>
  <c r="I990" i="2"/>
  <c r="H990" i="2" s="1"/>
  <c r="I991" i="2"/>
  <c r="H991" i="2" s="1"/>
  <c r="I992" i="2"/>
  <c r="H992" i="2" s="1"/>
  <c r="I993" i="2"/>
  <c r="H993" i="2" s="1"/>
  <c r="I994" i="2"/>
  <c r="H994" i="2" s="1"/>
  <c r="I995" i="2"/>
  <c r="H995" i="2" s="1"/>
  <c r="I7" i="2"/>
  <c r="H7" i="2" s="1"/>
  <c r="I146" i="2"/>
  <c r="H146" i="2" s="1"/>
  <c r="I996" i="2"/>
  <c r="H996" i="2" s="1"/>
  <c r="I997" i="2"/>
  <c r="H997" i="2" s="1"/>
  <c r="I101" i="2"/>
  <c r="H101" i="2" s="1"/>
  <c r="I998" i="2"/>
  <c r="H998" i="2" s="1"/>
  <c r="I999" i="2"/>
  <c r="H999" i="2" s="1"/>
  <c r="I102" i="2"/>
  <c r="H102" i="2" s="1"/>
  <c r="I1000" i="2"/>
  <c r="H1000" i="2" s="1"/>
  <c r="I1001" i="2"/>
  <c r="H1001" i="2" s="1"/>
  <c r="I1002" i="2"/>
  <c r="H1002" i="2" s="1"/>
  <c r="I1003" i="2"/>
  <c r="H1003" i="2" s="1"/>
  <c r="I1004" i="2"/>
  <c r="H1004" i="2" s="1"/>
  <c r="I1005" i="2"/>
  <c r="H1005" i="2" s="1"/>
  <c r="I1006" i="2"/>
  <c r="H1006" i="2" s="1"/>
  <c r="I1007" i="2"/>
  <c r="H1007" i="2" s="1"/>
  <c r="I1008" i="2"/>
  <c r="H1008" i="2" s="1"/>
  <c r="I1009" i="2"/>
  <c r="H1009" i="2" s="1"/>
  <c r="I1010" i="2"/>
  <c r="H1010" i="2" s="1"/>
  <c r="I1011" i="2"/>
  <c r="H1011" i="2" s="1"/>
  <c r="I1012" i="2"/>
  <c r="H1012" i="2" s="1"/>
  <c r="I1013" i="2"/>
  <c r="H1013" i="2" s="1"/>
  <c r="I1014" i="2"/>
  <c r="H1014" i="2" s="1"/>
  <c r="I1015" i="2"/>
  <c r="H1015" i="2" s="1"/>
  <c r="I103" i="2"/>
  <c r="H103" i="2" s="1"/>
  <c r="I1016" i="2"/>
  <c r="H1016" i="2" s="1"/>
  <c r="I1017" i="2"/>
  <c r="H1017" i="2" s="1"/>
  <c r="I1018" i="2"/>
  <c r="H1018" i="2" s="1"/>
  <c r="I1019" i="2"/>
  <c r="H1019" i="2" s="1"/>
  <c r="I1020" i="2"/>
  <c r="H1020" i="2" s="1"/>
  <c r="I1021" i="2"/>
  <c r="H1021" i="2" s="1"/>
  <c r="I1022" i="2"/>
  <c r="H1022" i="2" s="1"/>
  <c r="I1023" i="2"/>
  <c r="H1023" i="2" s="1"/>
  <c r="I1024" i="2"/>
  <c r="H1024" i="2" s="1"/>
  <c r="I1025" i="2"/>
  <c r="H1025" i="2" s="1"/>
  <c r="I1026" i="2"/>
  <c r="H1026" i="2" s="1"/>
  <c r="I1027" i="2"/>
  <c r="H1027" i="2" s="1"/>
  <c r="I1028" i="2"/>
  <c r="H1028" i="2" s="1"/>
  <c r="I1029" i="2"/>
  <c r="H1029" i="2" s="1"/>
  <c r="I1030" i="2"/>
  <c r="H1030" i="2" s="1"/>
  <c r="I1031" i="2"/>
  <c r="H1031" i="2" s="1"/>
  <c r="I1032" i="2"/>
  <c r="H1032" i="2" s="1"/>
  <c r="I57" i="2"/>
  <c r="H57" i="2" s="1"/>
  <c r="I1033" i="2"/>
  <c r="H1033" i="2" s="1"/>
  <c r="I1034" i="2"/>
  <c r="H1034" i="2" s="1"/>
  <c r="I1035" i="2"/>
  <c r="H1035" i="2" s="1"/>
  <c r="I1036" i="2"/>
  <c r="H1036" i="2" s="1"/>
  <c r="I1037" i="2"/>
  <c r="H1037" i="2" s="1"/>
  <c r="I1038" i="2"/>
  <c r="H1038" i="2" s="1"/>
  <c r="I1039" i="2"/>
  <c r="H1039" i="2" s="1"/>
  <c r="I1040" i="2"/>
  <c r="H1040" i="2" s="1"/>
  <c r="I1041" i="2"/>
  <c r="H1041" i="2" s="1"/>
  <c r="I1042" i="2"/>
  <c r="H1042" i="2" s="1"/>
  <c r="I1043" i="2"/>
  <c r="H1043" i="2" s="1"/>
  <c r="I1044" i="2"/>
  <c r="H1044" i="2" s="1"/>
  <c r="I1045" i="2"/>
  <c r="H1045" i="2" s="1"/>
  <c r="I1046" i="2"/>
  <c r="H1046" i="2" s="1"/>
  <c r="I1047" i="2"/>
  <c r="H1047" i="2" s="1"/>
  <c r="I1048" i="2"/>
  <c r="H1048" i="2" s="1"/>
  <c r="I37" i="2"/>
  <c r="H37" i="2" s="1"/>
  <c r="I147" i="2"/>
  <c r="H147" i="2" s="1"/>
  <c r="I1049" i="2"/>
  <c r="H1049" i="2" s="1"/>
  <c r="I1050" i="2"/>
  <c r="H1050" i="2" s="1"/>
  <c r="I1051" i="2"/>
  <c r="H1051" i="2" s="1"/>
  <c r="I1052" i="2"/>
  <c r="H1052" i="2" s="1"/>
  <c r="I1053" i="2"/>
  <c r="H1053" i="2" s="1"/>
  <c r="I1054" i="2"/>
  <c r="H1054" i="2" s="1"/>
  <c r="I148" i="2"/>
  <c r="H148" i="2" s="1"/>
  <c r="I38" i="2"/>
  <c r="H38" i="2" s="1"/>
  <c r="I1055" i="2"/>
  <c r="H1055" i="2" s="1"/>
  <c r="I1056" i="2"/>
  <c r="H1056" i="2" s="1"/>
  <c r="I1057" i="2"/>
  <c r="H1057" i="2" s="1"/>
  <c r="I1058" i="2"/>
  <c r="H1058" i="2" s="1"/>
  <c r="I1059" i="2"/>
  <c r="H1059" i="2" s="1"/>
  <c r="I8" i="2"/>
  <c r="H8" i="2" s="1"/>
  <c r="I1060" i="2"/>
  <c r="H1060" i="2" s="1"/>
  <c r="I1061" i="2"/>
  <c r="H1061" i="2" s="1"/>
  <c r="I1062" i="2"/>
  <c r="H1062" i="2" s="1"/>
  <c r="I1063" i="2"/>
  <c r="H1063" i="2" s="1"/>
  <c r="I58" i="2"/>
  <c r="H58" i="2" s="1"/>
  <c r="I117" i="2"/>
  <c r="H117" i="2" s="1"/>
  <c r="I1064" i="2"/>
  <c r="H1064" i="2" s="1"/>
  <c r="I9" i="2"/>
  <c r="H9" i="2" s="1"/>
  <c r="I1065" i="2"/>
  <c r="H1065" i="2" s="1"/>
  <c r="I1066" i="2"/>
  <c r="H1066" i="2" s="1"/>
  <c r="I1067" i="2"/>
  <c r="H1067" i="2" s="1"/>
  <c r="I1068" i="2"/>
  <c r="H1068" i="2" s="1"/>
  <c r="I149" i="2"/>
  <c r="H149" i="2" s="1"/>
  <c r="I150" i="2"/>
  <c r="H150" i="2" s="1"/>
  <c r="I1069" i="2"/>
  <c r="H1069" i="2" s="1"/>
  <c r="I1070" i="2"/>
  <c r="H1070" i="2" s="1"/>
  <c r="I118" i="2"/>
  <c r="H118" i="2" s="1"/>
  <c r="I1071" i="2"/>
  <c r="H1071" i="2" s="1"/>
  <c r="I1072" i="2"/>
  <c r="H1072" i="2" s="1"/>
  <c r="I1073" i="2"/>
  <c r="H1073" i="2" s="1"/>
  <c r="I1074" i="2"/>
  <c r="H1074" i="2" s="1"/>
  <c r="I1075" i="2"/>
  <c r="H1075" i="2" s="1"/>
  <c r="I1076" i="2"/>
  <c r="H1076" i="2" s="1"/>
  <c r="I1077" i="2"/>
  <c r="H1077" i="2" s="1"/>
  <c r="I1078" i="2"/>
  <c r="H1078" i="2" s="1"/>
  <c r="I1079" i="2"/>
  <c r="H1079" i="2" s="1"/>
  <c r="I1080" i="2"/>
  <c r="H1080" i="2" s="1"/>
  <c r="I1081" i="2"/>
  <c r="H1081" i="2" s="1"/>
  <c r="I1082" i="2"/>
  <c r="H1082" i="2" s="1"/>
  <c r="I1083" i="2"/>
  <c r="H1083" i="2" s="1"/>
  <c r="I1084" i="2"/>
  <c r="H1084" i="2" s="1"/>
  <c r="I1085" i="2"/>
  <c r="H1085" i="2" s="1"/>
  <c r="I1086" i="2"/>
  <c r="H1086" i="2" s="1"/>
  <c r="I39" i="2"/>
  <c r="H39" i="2" s="1"/>
  <c r="I1087" i="2"/>
  <c r="H1087" i="2" s="1"/>
  <c r="I1088" i="2"/>
  <c r="H1088" i="2" s="1"/>
  <c r="I1089" i="2"/>
  <c r="H1089" i="2" s="1"/>
  <c r="I1090" i="2"/>
  <c r="H1090" i="2" s="1"/>
  <c r="I1091" i="2"/>
  <c r="H1091" i="2" s="1"/>
  <c r="I1092" i="2"/>
  <c r="H1092" i="2" s="1"/>
  <c r="I1093" i="2"/>
  <c r="H1093" i="2" s="1"/>
  <c r="I1094" i="2"/>
  <c r="H1094" i="2" s="1"/>
  <c r="I1095" i="2"/>
  <c r="H1095" i="2" s="1"/>
  <c r="I1096" i="2"/>
  <c r="H1096" i="2" s="1"/>
  <c r="I59" i="2"/>
  <c r="H59" i="2" s="1"/>
  <c r="I151" i="2"/>
  <c r="H151" i="2" s="1"/>
  <c r="I1097" i="2"/>
  <c r="H1097" i="2" s="1"/>
  <c r="I1098" i="2"/>
  <c r="H1098" i="2" s="1"/>
  <c r="I1099" i="2"/>
  <c r="H1099" i="2" s="1"/>
  <c r="I1100" i="2"/>
  <c r="H1100" i="2" s="1"/>
  <c r="I104" i="2"/>
  <c r="H104" i="2" s="1"/>
  <c r="I1101" i="2"/>
  <c r="H1101" i="2" s="1"/>
  <c r="I1102" i="2"/>
  <c r="H1102" i="2" s="1"/>
  <c r="I1103" i="2"/>
  <c r="H1103" i="2" s="1"/>
  <c r="I1104" i="2"/>
  <c r="H1104" i="2" s="1"/>
  <c r="I1105" i="2"/>
  <c r="H1105" i="2" s="1"/>
  <c r="I1106" i="2"/>
  <c r="H1106" i="2" s="1"/>
  <c r="I1107" i="2"/>
  <c r="H1107" i="2" s="1"/>
  <c r="I1108" i="2"/>
  <c r="H1108" i="2" s="1"/>
  <c r="I1109" i="2"/>
  <c r="H1109" i="2" s="1"/>
  <c r="I1110" i="2"/>
  <c r="H1110" i="2" s="1"/>
  <c r="I152" i="2"/>
  <c r="H152" i="2" s="1"/>
  <c r="I1111" i="2"/>
  <c r="H1111" i="2" s="1"/>
  <c r="I1112" i="2"/>
  <c r="H1112" i="2" s="1"/>
  <c r="I105" i="2"/>
  <c r="H105" i="2" s="1"/>
  <c r="I153" i="2"/>
  <c r="H153" i="2" s="1"/>
  <c r="I1113" i="2"/>
  <c r="H1113" i="2" s="1"/>
  <c r="I1114" i="2"/>
  <c r="H1114" i="2" s="1"/>
  <c r="I1115" i="2"/>
  <c r="H1115" i="2" s="1"/>
  <c r="I154" i="2"/>
  <c r="H154" i="2" s="1"/>
  <c r="I1116" i="2"/>
  <c r="H1116" i="2" s="1"/>
  <c r="I1117" i="2"/>
  <c r="H1117" i="2" s="1"/>
  <c r="I1118" i="2"/>
  <c r="H1118" i="2" s="1"/>
  <c r="I1119" i="2"/>
  <c r="H1119" i="2" s="1"/>
  <c r="I1120" i="2"/>
  <c r="H1120" i="2" s="1"/>
  <c r="I1121" i="2"/>
  <c r="H1121" i="2" s="1"/>
  <c r="I1122" i="2"/>
  <c r="H1122" i="2" s="1"/>
  <c r="I1123" i="2"/>
  <c r="H1123" i="2" s="1"/>
  <c r="I1124" i="2"/>
  <c r="H1124" i="2" s="1"/>
  <c r="I1125" i="2"/>
  <c r="H1125" i="2" s="1"/>
  <c r="I1126" i="2"/>
  <c r="H1126" i="2" s="1"/>
  <c r="I1127" i="2"/>
  <c r="H1127" i="2" s="1"/>
  <c r="I1128" i="2"/>
  <c r="H1128" i="2" s="1"/>
  <c r="I1129" i="2"/>
  <c r="H1129" i="2" s="1"/>
  <c r="I1130" i="2"/>
  <c r="H1130" i="2" s="1"/>
  <c r="I1131" i="2"/>
  <c r="H1131" i="2" s="1"/>
  <c r="I1132" i="2"/>
  <c r="H1132" i="2" s="1"/>
  <c r="I1133" i="2"/>
  <c r="H1133" i="2" s="1"/>
  <c r="I1134" i="2"/>
  <c r="H1134" i="2" s="1"/>
  <c r="I1135" i="2"/>
  <c r="H1135" i="2" s="1"/>
  <c r="I1136" i="2"/>
  <c r="H1136" i="2" s="1"/>
  <c r="I1137" i="2"/>
  <c r="H1137" i="2" s="1"/>
  <c r="I1138" i="2"/>
  <c r="H1138" i="2" s="1"/>
  <c r="I1139" i="2"/>
  <c r="H1139" i="2" s="1"/>
  <c r="I1140" i="2"/>
  <c r="H1140" i="2" s="1"/>
  <c r="I155" i="2"/>
  <c r="H155" i="2" s="1"/>
  <c r="I156" i="2"/>
  <c r="H156" i="2" s="1"/>
  <c r="I1141" i="2"/>
  <c r="H1141" i="2" s="1"/>
  <c r="I157" i="2"/>
  <c r="H157" i="2" s="1"/>
  <c r="I1142" i="2"/>
  <c r="H1142" i="2" s="1"/>
  <c r="I1143" i="2"/>
  <c r="H1143" i="2" s="1"/>
  <c r="I1144" i="2"/>
  <c r="H1144" i="2" s="1"/>
  <c r="I1145" i="2"/>
  <c r="H1145" i="2" s="1"/>
  <c r="I1146" i="2"/>
  <c r="H1146" i="2" s="1"/>
  <c r="I1147" i="2"/>
  <c r="H1147" i="2" s="1"/>
  <c r="I1148" i="2"/>
  <c r="H1148" i="2" s="1"/>
  <c r="I1149" i="2"/>
  <c r="H1149" i="2" s="1"/>
  <c r="I1150" i="2"/>
  <c r="H1150" i="2" s="1"/>
  <c r="I1151" i="2"/>
  <c r="H1151" i="2" s="1"/>
  <c r="I1152" i="2"/>
  <c r="H1152" i="2" s="1"/>
  <c r="I1153" i="2"/>
  <c r="H1153" i="2" s="1"/>
  <c r="I1154" i="2"/>
  <c r="H1154" i="2" s="1"/>
  <c r="I1155" i="2"/>
  <c r="H1155" i="2" s="1"/>
  <c r="I1156" i="2"/>
  <c r="H1156" i="2" s="1"/>
  <c r="I1157" i="2"/>
  <c r="H1157" i="2" s="1"/>
  <c r="I1158" i="2"/>
  <c r="H1158" i="2" s="1"/>
  <c r="I1159" i="2"/>
  <c r="H1159" i="2" s="1"/>
  <c r="I1160" i="2"/>
  <c r="H1160" i="2" s="1"/>
  <c r="I1161" i="2"/>
  <c r="H1161" i="2" s="1"/>
  <c r="I1162" i="2"/>
  <c r="H1162" i="2" s="1"/>
  <c r="I158" i="2"/>
  <c r="H158" i="2" s="1"/>
  <c r="I1163" i="2"/>
  <c r="H1163" i="2" s="1"/>
  <c r="I1164" i="2"/>
  <c r="H1164" i="2" s="1"/>
  <c r="I1165" i="2"/>
  <c r="H1165" i="2" s="1"/>
  <c r="I40" i="2"/>
  <c r="H40" i="2" s="1"/>
  <c r="I1166" i="2"/>
  <c r="H1166" i="2" s="1"/>
  <c r="I1167" i="2"/>
  <c r="H1167" i="2" s="1"/>
  <c r="I1168" i="2"/>
  <c r="H1168" i="2" s="1"/>
  <c r="I1169" i="2"/>
  <c r="H1169" i="2" s="1"/>
  <c r="I1170" i="2"/>
  <c r="H1170" i="2" s="1"/>
  <c r="I1171" i="2"/>
  <c r="H1171" i="2" s="1"/>
  <c r="I1172" i="2"/>
  <c r="H1172" i="2" s="1"/>
  <c r="I1173" i="2"/>
  <c r="H1173" i="2" s="1"/>
  <c r="I1174" i="2"/>
  <c r="H1174" i="2" s="1"/>
  <c r="I1175" i="2"/>
  <c r="H1175" i="2" s="1"/>
  <c r="I1176" i="2"/>
  <c r="H1176" i="2" s="1"/>
  <c r="I41" i="2"/>
  <c r="H41" i="2" s="1"/>
  <c r="I1177" i="2"/>
  <c r="H1177" i="2" s="1"/>
  <c r="I60" i="2"/>
  <c r="H60" i="2" s="1"/>
  <c r="I1178" i="2"/>
  <c r="H1178" i="2" s="1"/>
  <c r="I1179" i="2"/>
  <c r="H1179" i="2" s="1"/>
  <c r="I1180" i="2"/>
  <c r="H1180" i="2" s="1"/>
  <c r="I1181" i="2"/>
  <c r="H1181" i="2" s="1"/>
  <c r="I42" i="2"/>
  <c r="H42" i="2" s="1"/>
  <c r="I1182" i="2"/>
  <c r="H1182" i="2" s="1"/>
  <c r="I1183" i="2"/>
  <c r="H1183" i="2" s="1"/>
  <c r="I1184" i="2"/>
  <c r="H1184" i="2" s="1"/>
  <c r="I1185" i="2"/>
  <c r="H1185" i="2" s="1"/>
  <c r="I1186" i="2"/>
  <c r="H1186" i="2" s="1"/>
  <c r="I159" i="2"/>
  <c r="H159" i="2" s="1"/>
  <c r="I1187" i="2"/>
  <c r="H1187" i="2" s="1"/>
  <c r="I1188" i="2"/>
  <c r="H1188" i="2" s="1"/>
  <c r="I1189" i="2"/>
  <c r="H1189" i="2" s="1"/>
  <c r="I1190" i="2"/>
  <c r="H1190" i="2" s="1"/>
  <c r="I1191" i="2"/>
  <c r="H1191" i="2" s="1"/>
  <c r="I43" i="2"/>
  <c r="H43" i="2" s="1"/>
  <c r="I61" i="2"/>
  <c r="H61" i="2" s="1"/>
  <c r="I1192" i="2"/>
  <c r="H1192" i="2" s="1"/>
  <c r="I62" i="2"/>
  <c r="H62" i="2" s="1"/>
  <c r="I1193" i="2"/>
  <c r="H1193" i="2" s="1"/>
  <c r="I1194" i="2"/>
  <c r="H1194" i="2" s="1"/>
  <c r="I1195" i="2"/>
  <c r="H1195" i="2" s="1"/>
  <c r="I1196" i="2"/>
  <c r="H1196" i="2" s="1"/>
  <c r="I1197" i="2"/>
  <c r="H1197" i="2" s="1"/>
  <c r="I1198" i="2"/>
  <c r="H1198" i="2" s="1"/>
  <c r="I1199" i="2"/>
  <c r="H1199" i="2" s="1"/>
  <c r="I1200" i="2"/>
  <c r="H1200" i="2" s="1"/>
  <c r="I1201" i="2"/>
  <c r="H1201" i="2" s="1"/>
  <c r="I1202" i="2"/>
  <c r="H1202" i="2" s="1"/>
  <c r="I1203" i="2"/>
  <c r="H1203" i="2" s="1"/>
  <c r="I1204" i="2"/>
  <c r="H1204" i="2" s="1"/>
  <c r="I160" i="2"/>
  <c r="H160" i="2" s="1"/>
  <c r="I1205" i="2"/>
  <c r="H1205" i="2" s="1"/>
  <c r="I1206" i="2"/>
  <c r="H1206" i="2" s="1"/>
  <c r="I1207" i="2"/>
  <c r="H1207" i="2" s="1"/>
  <c r="I1208" i="2"/>
  <c r="H1208" i="2" s="1"/>
  <c r="I1209" i="2"/>
  <c r="H1209" i="2" s="1"/>
  <c r="I1210" i="2"/>
  <c r="H1210" i="2" s="1"/>
  <c r="I1211" i="2"/>
  <c r="H1211" i="2" s="1"/>
  <c r="I1212" i="2"/>
  <c r="H1212" i="2" s="1"/>
  <c r="I1213" i="2"/>
  <c r="H1213" i="2" s="1"/>
  <c r="I1214" i="2"/>
  <c r="H1214" i="2" s="1"/>
  <c r="I1215" i="2"/>
  <c r="H1215" i="2" s="1"/>
  <c r="I1216" i="2"/>
  <c r="H1216" i="2" s="1"/>
  <c r="I1217" i="2"/>
  <c r="H1217" i="2" s="1"/>
  <c r="I1218" i="2"/>
  <c r="H1218" i="2" s="1"/>
  <c r="I1219" i="2"/>
  <c r="H1219" i="2" s="1"/>
  <c r="I1220" i="2"/>
  <c r="H1220" i="2" s="1"/>
  <c r="I1221" i="2"/>
  <c r="H1221" i="2" s="1"/>
  <c r="I1222" i="2"/>
  <c r="H1222" i="2" s="1"/>
  <c r="I1223" i="2"/>
  <c r="H1223" i="2" s="1"/>
  <c r="I1224" i="2"/>
  <c r="H1224" i="2" s="1"/>
  <c r="I1225" i="2"/>
  <c r="H1225" i="2" s="1"/>
  <c r="I1226" i="2"/>
  <c r="H1226" i="2" s="1"/>
  <c r="I1227" i="2"/>
  <c r="H1227" i="2" s="1"/>
  <c r="I1228" i="2"/>
  <c r="H1228" i="2" s="1"/>
  <c r="I1229" i="2"/>
  <c r="H1229" i="2" s="1"/>
  <c r="I1230" i="2"/>
  <c r="H1230" i="2" s="1"/>
  <c r="I1231" i="2"/>
  <c r="H1231" i="2" s="1"/>
  <c r="I1232" i="2"/>
  <c r="H1232" i="2" s="1"/>
  <c r="I1233" i="2"/>
  <c r="H1233" i="2" s="1"/>
  <c r="I1234" i="2"/>
  <c r="H1234" i="2" s="1"/>
  <c r="I1235" i="2"/>
  <c r="H1235" i="2" s="1"/>
  <c r="I1236" i="2"/>
  <c r="H1236" i="2" s="1"/>
  <c r="I1237" i="2"/>
  <c r="H1237" i="2" s="1"/>
  <c r="I1238" i="2"/>
  <c r="H1238" i="2" s="1"/>
  <c r="I1239" i="2"/>
  <c r="H1239" i="2" s="1"/>
  <c r="I1240" i="2"/>
  <c r="H1240" i="2" s="1"/>
  <c r="I1241" i="2"/>
  <c r="H1241" i="2" s="1"/>
  <c r="I1242" i="2"/>
  <c r="H1242" i="2" s="1"/>
  <c r="I1243" i="2"/>
  <c r="H1243" i="2" s="1"/>
  <c r="I1244" i="2"/>
  <c r="H1244" i="2" s="1"/>
  <c r="I1245" i="2"/>
  <c r="H1245" i="2" s="1"/>
  <c r="I1246" i="2"/>
  <c r="H1246" i="2" s="1"/>
  <c r="I1247" i="2"/>
  <c r="H1247" i="2" s="1"/>
  <c r="I1248" i="2"/>
  <c r="H1248" i="2" s="1"/>
  <c r="I1249" i="2"/>
  <c r="H1249" i="2" s="1"/>
  <c r="I1250" i="2"/>
  <c r="H1250" i="2" s="1"/>
  <c r="I1251" i="2"/>
  <c r="H1251" i="2" s="1"/>
  <c r="I1252" i="2"/>
  <c r="H1252" i="2" s="1"/>
  <c r="I1253" i="2"/>
  <c r="H1253" i="2" s="1"/>
  <c r="I1254" i="2"/>
  <c r="H1254" i="2" s="1"/>
  <c r="I1255" i="2"/>
  <c r="H1255" i="2" s="1"/>
  <c r="I1256" i="2"/>
  <c r="H1256" i="2" s="1"/>
  <c r="I1257" i="2"/>
  <c r="H1257" i="2" s="1"/>
  <c r="I1258" i="2"/>
  <c r="H1258" i="2" s="1"/>
  <c r="I1259" i="2"/>
  <c r="H1259" i="2" s="1"/>
  <c r="I1260" i="2"/>
  <c r="H1260" i="2" s="1"/>
  <c r="I161" i="2"/>
  <c r="H161" i="2" s="1"/>
  <c r="I10" i="2"/>
  <c r="H10" i="2" s="1"/>
  <c r="I115" i="2"/>
  <c r="H115" i="2" s="1"/>
  <c r="I1261" i="2"/>
  <c r="H1261" i="2" s="1"/>
  <c r="I1262" i="2"/>
  <c r="H1262" i="2" s="1"/>
  <c r="I1263" i="2"/>
  <c r="H1263" i="2" s="1"/>
  <c r="I1264" i="2"/>
  <c r="H1264" i="2" s="1"/>
  <c r="I162" i="2"/>
  <c r="H162" i="2" s="1"/>
  <c r="I1265" i="2"/>
  <c r="H1265" i="2" s="1"/>
  <c r="I1266" i="2"/>
  <c r="H1266" i="2" s="1"/>
  <c r="I1267" i="2"/>
  <c r="H1267" i="2" s="1"/>
  <c r="I1268" i="2"/>
  <c r="H1268" i="2" s="1"/>
  <c r="I1269" i="2"/>
  <c r="H1269" i="2" s="1"/>
  <c r="I1270" i="2"/>
  <c r="H1270" i="2" s="1"/>
  <c r="I1271" i="2"/>
  <c r="H1271" i="2" s="1"/>
  <c r="I1272" i="2"/>
  <c r="H1272" i="2" s="1"/>
  <c r="I1273" i="2"/>
  <c r="H1273" i="2" s="1"/>
  <c r="I163" i="2"/>
  <c r="H163" i="2" s="1"/>
  <c r="I1274" i="2"/>
  <c r="H1274" i="2" s="1"/>
  <c r="I1275" i="2"/>
  <c r="H1275" i="2" s="1"/>
  <c r="I1276" i="2"/>
  <c r="H1276" i="2" s="1"/>
  <c r="I1277" i="2"/>
  <c r="H1277" i="2" s="1"/>
  <c r="I1278" i="2"/>
  <c r="H1278" i="2" s="1"/>
  <c r="I1279" i="2"/>
  <c r="H1279" i="2" s="1"/>
  <c r="I1280" i="2"/>
  <c r="H1280" i="2" s="1"/>
  <c r="I1281" i="2"/>
  <c r="H1281" i="2" s="1"/>
  <c r="I1282" i="2"/>
  <c r="H1282" i="2" s="1"/>
  <c r="I1283" i="2"/>
  <c r="H1283" i="2" s="1"/>
  <c r="I1284" i="2"/>
  <c r="H1284" i="2" s="1"/>
  <c r="I1285" i="2"/>
  <c r="H1285" i="2" s="1"/>
  <c r="I1286" i="2"/>
  <c r="H1286" i="2" s="1"/>
  <c r="I1287" i="2"/>
  <c r="H1287" i="2" s="1"/>
  <c r="I44" i="2"/>
  <c r="H44" i="2" s="1"/>
  <c r="I1288" i="2"/>
  <c r="H1288" i="2" s="1"/>
  <c r="I1289" i="2"/>
  <c r="H1289" i="2" s="1"/>
  <c r="I1290" i="2"/>
  <c r="H1290" i="2" s="1"/>
  <c r="I164" i="2"/>
  <c r="H164" i="2" s="1"/>
  <c r="I1291" i="2"/>
  <c r="H1291" i="2" s="1"/>
  <c r="I1292" i="2"/>
  <c r="H1292" i="2" s="1"/>
  <c r="I1293" i="2"/>
  <c r="H1293" i="2" s="1"/>
  <c r="I63" i="2"/>
  <c r="H63" i="2" s="1"/>
  <c r="I1294" i="2"/>
  <c r="H1294" i="2" s="1"/>
  <c r="I1295" i="2"/>
  <c r="H1295" i="2" s="1"/>
  <c r="I1296" i="2"/>
  <c r="H1296" i="2" s="1"/>
  <c r="I1297" i="2"/>
  <c r="H1297" i="2" s="1"/>
  <c r="I1298" i="2"/>
  <c r="H1298" i="2" s="1"/>
  <c r="I1299" i="2"/>
  <c r="H1299" i="2" s="1"/>
  <c r="I1300" i="2"/>
  <c r="H1300" i="2" s="1"/>
  <c r="I1301" i="2"/>
  <c r="H1301" i="2" s="1"/>
  <c r="I165" i="2"/>
  <c r="H165" i="2" s="1"/>
  <c r="I1302" i="2"/>
  <c r="H1302" i="2" s="1"/>
  <c r="I1303" i="2"/>
  <c r="H1303" i="2" s="1"/>
  <c r="I1304" i="2"/>
  <c r="H1304" i="2" s="1"/>
  <c r="I1305" i="2"/>
  <c r="H1305" i="2" s="1"/>
  <c r="I166" i="2"/>
  <c r="H166" i="2" s="1"/>
  <c r="I1306" i="2"/>
  <c r="H1306" i="2" s="1"/>
  <c r="I1307" i="2"/>
  <c r="H1307" i="2" s="1"/>
  <c r="I1308" i="2"/>
  <c r="H1308" i="2" s="1"/>
  <c r="I1309" i="2"/>
  <c r="H1309" i="2" s="1"/>
  <c r="I1310" i="2"/>
  <c r="H1310" i="2" s="1"/>
  <c r="I1311" i="2"/>
  <c r="H1311" i="2" s="1"/>
  <c r="I167" i="2"/>
  <c r="H167" i="2" s="1"/>
  <c r="I1312" i="2"/>
  <c r="H1312" i="2" s="1"/>
  <c r="I1313" i="2"/>
  <c r="H1313" i="2" s="1"/>
  <c r="I1314" i="2"/>
  <c r="H1314" i="2" s="1"/>
  <c r="I1315" i="2"/>
  <c r="H1315" i="2" s="1"/>
  <c r="I11" i="2"/>
  <c r="H11" i="2" s="1"/>
  <c r="I168" i="2"/>
  <c r="H168" i="2" s="1"/>
  <c r="I1316" i="2"/>
  <c r="H1316" i="2" s="1"/>
  <c r="I169" i="2"/>
  <c r="H169" i="2" s="1"/>
  <c r="I1317" i="2"/>
  <c r="H1317" i="2" s="1"/>
  <c r="I1318" i="2"/>
  <c r="H1318" i="2" s="1"/>
  <c r="I1319" i="2"/>
  <c r="H1319" i="2" s="1"/>
  <c r="I1320" i="2"/>
  <c r="H1320" i="2" s="1"/>
  <c r="I1321" i="2"/>
  <c r="H1321" i="2" s="1"/>
  <c r="I1322" i="2"/>
  <c r="H1322" i="2" s="1"/>
  <c r="I1323" i="2"/>
  <c r="H1323" i="2" s="1"/>
  <c r="I1324" i="2"/>
  <c r="H1324" i="2" s="1"/>
  <c r="I1325" i="2"/>
  <c r="H1325" i="2" s="1"/>
  <c r="I1326" i="2"/>
  <c r="H1326" i="2" s="1"/>
  <c r="I1327" i="2"/>
  <c r="H1327" i="2" s="1"/>
  <c r="I1328" i="2"/>
  <c r="H1328" i="2" s="1"/>
  <c r="I1329" i="2"/>
  <c r="H1329" i="2" s="1"/>
  <c r="I1330" i="2"/>
  <c r="H1330" i="2" s="1"/>
  <c r="I1331" i="2"/>
  <c r="H1331" i="2" s="1"/>
  <c r="I1332" i="2"/>
  <c r="H1332" i="2" s="1"/>
  <c r="I1333" i="2"/>
  <c r="H1333" i="2" s="1"/>
  <c r="I106" i="2"/>
  <c r="H106" i="2" s="1"/>
  <c r="I1334" i="2"/>
  <c r="H1334" i="2" s="1"/>
  <c r="I1335" i="2"/>
  <c r="H1335" i="2" s="1"/>
  <c r="I15" i="2"/>
  <c r="H15" i="2" s="1"/>
  <c r="I1336" i="2"/>
  <c r="H1336" i="2" s="1"/>
  <c r="I1337" i="2"/>
  <c r="H1337" i="2" s="1"/>
  <c r="I1338" i="2"/>
  <c r="H1338" i="2" s="1"/>
  <c r="I1339" i="2"/>
  <c r="H1339" i="2" s="1"/>
  <c r="I1340" i="2"/>
  <c r="H1340" i="2" s="1"/>
  <c r="I1341" i="2"/>
  <c r="H1341" i="2" s="1"/>
  <c r="I1342" i="2"/>
  <c r="H1342" i="2" s="1"/>
  <c r="I1343" i="2"/>
  <c r="H1343" i="2" s="1"/>
  <c r="I1344" i="2"/>
  <c r="H1344" i="2" s="1"/>
  <c r="I1345" i="2"/>
  <c r="H1345" i="2" s="1"/>
  <c r="I1346" i="2"/>
  <c r="H1346" i="2" s="1"/>
  <c r="I1347" i="2"/>
  <c r="H1347" i="2" s="1"/>
  <c r="I1348" i="2"/>
  <c r="H1348" i="2" s="1"/>
  <c r="I1349" i="2"/>
  <c r="H1349" i="2" s="1"/>
  <c r="I170" i="2"/>
  <c r="H170" i="2" s="1"/>
  <c r="I1350" i="2"/>
  <c r="H1350" i="2" s="1"/>
  <c r="I1351" i="2"/>
  <c r="H1351" i="2" s="1"/>
  <c r="I171" i="2"/>
  <c r="H171" i="2" s="1"/>
  <c r="I1352" i="2"/>
  <c r="H1352" i="2" s="1"/>
  <c r="I1353" i="2"/>
  <c r="H1353" i="2" s="1"/>
  <c r="I1354" i="2"/>
  <c r="H1354" i="2" s="1"/>
  <c r="I1355" i="2"/>
  <c r="H1355" i="2" s="1"/>
  <c r="I1356" i="2"/>
  <c r="H1356" i="2" s="1"/>
  <c r="I1357" i="2"/>
  <c r="H1357" i="2" s="1"/>
  <c r="I1358" i="2"/>
  <c r="H1358" i="2" s="1"/>
  <c r="I1359" i="2"/>
  <c r="H1359" i="2" s="1"/>
  <c r="I1360" i="2"/>
  <c r="H1360" i="2" s="1"/>
  <c r="I1361" i="2"/>
  <c r="H1361" i="2" s="1"/>
  <c r="I172" i="2"/>
  <c r="H172" i="2" s="1"/>
  <c r="I1362" i="2"/>
  <c r="H1362" i="2" s="1"/>
  <c r="I1363" i="2"/>
  <c r="H1363" i="2" s="1"/>
  <c r="I1364" i="2"/>
  <c r="H1364" i="2" s="1"/>
  <c r="I173" i="2"/>
  <c r="H173" i="2" s="1"/>
  <c r="I1365" i="2"/>
  <c r="H1365" i="2" s="1"/>
  <c r="I1366" i="2"/>
  <c r="H1366" i="2" s="1"/>
  <c r="I1367" i="2"/>
  <c r="H1367" i="2" s="1"/>
  <c r="I1368" i="2"/>
  <c r="H1368" i="2" s="1"/>
  <c r="I1369" i="2"/>
  <c r="H1369" i="2" s="1"/>
  <c r="I1370" i="2"/>
  <c r="H1370" i="2" s="1"/>
  <c r="I174" i="2"/>
  <c r="H174" i="2" s="1"/>
  <c r="I12" i="2"/>
  <c r="H12" i="2" s="1"/>
  <c r="I1371" i="2"/>
  <c r="H1371" i="2" s="1"/>
  <c r="I1372" i="2"/>
  <c r="H1372" i="2" s="1"/>
  <c r="I1373" i="2"/>
  <c r="H1373" i="2" s="1"/>
  <c r="I1374" i="2"/>
  <c r="H1374" i="2" s="1"/>
  <c r="I1375" i="2"/>
  <c r="H1375" i="2" s="1"/>
  <c r="I1376" i="2"/>
  <c r="H1376" i="2" s="1"/>
  <c r="I1377" i="2"/>
  <c r="H1377" i="2" s="1"/>
  <c r="I1378" i="2"/>
  <c r="H1378" i="2" s="1"/>
  <c r="I1379" i="2"/>
  <c r="H1379" i="2" s="1"/>
  <c r="I1380" i="2"/>
  <c r="H1380" i="2" s="1"/>
  <c r="I1381" i="2"/>
  <c r="H1381" i="2" s="1"/>
  <c r="I1382" i="2"/>
  <c r="H1382" i="2" s="1"/>
  <c r="I119" i="2"/>
  <c r="H119" i="2" s="1"/>
  <c r="I1383" i="2"/>
  <c r="H1383" i="2" s="1"/>
  <c r="I1384" i="2"/>
  <c r="H1384" i="2" s="1"/>
  <c r="I1385" i="2"/>
  <c r="H1385" i="2" s="1"/>
  <c r="I1386" i="2"/>
  <c r="H1386" i="2" s="1"/>
  <c r="I1387" i="2"/>
  <c r="H1387" i="2" s="1"/>
  <c r="I1388" i="2"/>
  <c r="H1388" i="2" s="1"/>
  <c r="I1389" i="2"/>
  <c r="H1389" i="2" s="1"/>
  <c r="I1390" i="2"/>
  <c r="H1390" i="2" s="1"/>
  <c r="I1391" i="2"/>
  <c r="H1391" i="2" s="1"/>
  <c r="I45" i="2"/>
  <c r="H45" i="2" s="1"/>
  <c r="I1392" i="2"/>
  <c r="H1392" i="2" s="1"/>
  <c r="I1393" i="2"/>
  <c r="H1393" i="2" s="1"/>
  <c r="I1394" i="2"/>
  <c r="H1394" i="2" s="1"/>
  <c r="I1395" i="2"/>
  <c r="H1395" i="2" s="1"/>
  <c r="I175" i="2"/>
  <c r="H175" i="2" s="1"/>
  <c r="I1396" i="2"/>
  <c r="H1396" i="2" s="1"/>
  <c r="I1397" i="2"/>
  <c r="H1397" i="2" s="1"/>
  <c r="I1398" i="2"/>
  <c r="H1398" i="2" s="1"/>
  <c r="I1399" i="2"/>
  <c r="H1399" i="2" s="1"/>
  <c r="I1400" i="2"/>
  <c r="H1400" i="2" s="1"/>
  <c r="I1401" i="2"/>
  <c r="H1401" i="2" s="1"/>
  <c r="I64" i="2"/>
  <c r="H64" i="2" s="1"/>
  <c r="I1402" i="2"/>
  <c r="H1402" i="2" s="1"/>
  <c r="I1403" i="2"/>
  <c r="H1403" i="2" s="1"/>
  <c r="I1404" i="2"/>
  <c r="H1404" i="2" s="1"/>
  <c r="I1405" i="2"/>
  <c r="H1405" i="2" s="1"/>
  <c r="I1406" i="2"/>
  <c r="H1406" i="2" s="1"/>
  <c r="I1407" i="2"/>
  <c r="H1407" i="2" s="1"/>
  <c r="I13" i="2"/>
  <c r="H13" i="2" s="1"/>
  <c r="I176" i="2"/>
  <c r="H176" i="2" s="1"/>
  <c r="I1408" i="2"/>
  <c r="H1408" i="2" s="1"/>
  <c r="I1409" i="2"/>
  <c r="H1409" i="2" s="1"/>
  <c r="I1410" i="2"/>
  <c r="H1410" i="2" s="1"/>
  <c r="I1411" i="2"/>
  <c r="H1411" i="2" s="1"/>
  <c r="I177" i="2"/>
  <c r="H177" i="2" s="1"/>
  <c r="I1412" i="2"/>
  <c r="H1412" i="2" s="1"/>
  <c r="I1413" i="2"/>
  <c r="H1413" i="2" s="1"/>
  <c r="I1414" i="2"/>
  <c r="H1414" i="2" s="1"/>
  <c r="I65" i="2"/>
  <c r="H65" i="2" s="1"/>
  <c r="I178" i="2"/>
  <c r="H178" i="2" s="1"/>
  <c r="I1415" i="2"/>
  <c r="H1415" i="2" s="1"/>
  <c r="I1416" i="2"/>
  <c r="H1416" i="2" s="1"/>
  <c r="I1417" i="2"/>
  <c r="H1417" i="2" s="1"/>
  <c r="I1418" i="2"/>
  <c r="H1418" i="2" s="1"/>
  <c r="I1419" i="2"/>
  <c r="H1419" i="2" s="1"/>
  <c r="I1420" i="2"/>
  <c r="H1420" i="2" s="1"/>
  <c r="I1421" i="2"/>
  <c r="H1421" i="2" s="1"/>
  <c r="I1422" i="2"/>
  <c r="H1422" i="2" s="1"/>
  <c r="I1423" i="2"/>
  <c r="H1423" i="2" s="1"/>
  <c r="I1424" i="2"/>
  <c r="H1424" i="2" s="1"/>
  <c r="I1425" i="2"/>
  <c r="H1425" i="2" s="1"/>
  <c r="I1426" i="2"/>
  <c r="H1426" i="2" s="1"/>
  <c r="I1427" i="2"/>
  <c r="H1427" i="2" s="1"/>
  <c r="I1428" i="2"/>
  <c r="H1428" i="2" s="1"/>
  <c r="I1429" i="2"/>
  <c r="H1429" i="2" s="1"/>
  <c r="I14" i="2"/>
  <c r="H14" i="2" s="1"/>
  <c r="I1430" i="2"/>
  <c r="H1430" i="2" s="1"/>
  <c r="I1431" i="2"/>
  <c r="H1431" i="2" s="1"/>
  <c r="I1432" i="2"/>
  <c r="H1432" i="2" s="1"/>
  <c r="I1433" i="2"/>
  <c r="H1433" i="2" s="1"/>
  <c r="I1434" i="2"/>
  <c r="H1434" i="2" s="1"/>
  <c r="I1435" i="2"/>
  <c r="H1435" i="2" s="1"/>
  <c r="I179" i="2"/>
  <c r="H179" i="2" s="1"/>
  <c r="I46" i="2"/>
  <c r="H46" i="2" s="1"/>
  <c r="I1436" i="2"/>
  <c r="H1436" i="2" s="1"/>
  <c r="I1437" i="2"/>
  <c r="H1437" i="2" s="1"/>
  <c r="I1438" i="2"/>
  <c r="H1438" i="2" s="1"/>
  <c r="I47" i="2"/>
  <c r="H47" i="2" s="1"/>
  <c r="I1439" i="2"/>
  <c r="H1439" i="2" s="1"/>
  <c r="I1440" i="2"/>
  <c r="H1440" i="2" s="1"/>
  <c r="I1441" i="2"/>
  <c r="H1441" i="2" s="1"/>
  <c r="I1442" i="2"/>
  <c r="H1442" i="2" s="1"/>
  <c r="I1443" i="2"/>
  <c r="H1443" i="2" s="1"/>
  <c r="I180" i="2"/>
  <c r="H180" i="2" s="1"/>
  <c r="I1444" i="2"/>
  <c r="H1444" i="2" s="1"/>
  <c r="I48" i="2"/>
  <c r="H48" i="2" s="1"/>
  <c r="I1445" i="2"/>
  <c r="H1445" i="2" s="1"/>
  <c r="I1446" i="2"/>
  <c r="H1446" i="2" s="1"/>
  <c r="I1447" i="2"/>
  <c r="H1447" i="2" s="1"/>
  <c r="I1448" i="2"/>
  <c r="H1448" i="2" s="1"/>
  <c r="I1449" i="2"/>
  <c r="H1449" i="2" s="1"/>
  <c r="I1450" i="2"/>
  <c r="H1450" i="2" s="1"/>
  <c r="I1451" i="2"/>
  <c r="H1451" i="2" s="1"/>
  <c r="I1452" i="2"/>
  <c r="H1452" i="2" s="1"/>
  <c r="I1453" i="2"/>
  <c r="H1453" i="2" s="1"/>
  <c r="I1454" i="2"/>
  <c r="H1454" i="2" s="1"/>
  <c r="I1455" i="2"/>
  <c r="H1455" i="2" s="1"/>
  <c r="I1456" i="2"/>
  <c r="H1456" i="2" s="1"/>
  <c r="I1457" i="2"/>
  <c r="H1457" i="2" s="1"/>
  <c r="I1458" i="2"/>
  <c r="H1458" i="2" s="1"/>
  <c r="I1459" i="2"/>
  <c r="H1459" i="2" s="1"/>
  <c r="I1460" i="2"/>
  <c r="H1460" i="2" s="1"/>
  <c r="I181" i="2"/>
  <c r="H181" i="2" s="1"/>
  <c r="I1461" i="2"/>
  <c r="H1461" i="2" s="1"/>
  <c r="I1462" i="2"/>
  <c r="H1462" i="2" s="1"/>
  <c r="I1463" i="2"/>
  <c r="H1463" i="2" s="1"/>
  <c r="I1464" i="2"/>
  <c r="H1464" i="2" s="1"/>
  <c r="I1465" i="2"/>
  <c r="H1465" i="2" s="1"/>
  <c r="I1466" i="2"/>
  <c r="H1466" i="2" s="1"/>
  <c r="I1467" i="2"/>
  <c r="H1467" i="2" s="1"/>
  <c r="I1468" i="2"/>
  <c r="H1468" i="2" s="1"/>
  <c r="I1469" i="2"/>
  <c r="H1469" i="2" s="1"/>
  <c r="I1470" i="2"/>
  <c r="H1470" i="2" s="1"/>
  <c r="I1471" i="2"/>
  <c r="H1471" i="2" s="1"/>
  <c r="I1472" i="2"/>
  <c r="H1472" i="2" s="1"/>
  <c r="I1473" i="2"/>
  <c r="H1473" i="2" s="1"/>
  <c r="I1474" i="2"/>
  <c r="H1474" i="2" s="1"/>
  <c r="I1475" i="2"/>
  <c r="H1475" i="2" s="1"/>
  <c r="I1476" i="2"/>
  <c r="H1476" i="2" s="1"/>
  <c r="I1477" i="2"/>
  <c r="H1477" i="2" s="1"/>
  <c r="I1478" i="2"/>
  <c r="H1478" i="2" s="1"/>
  <c r="I1479" i="2"/>
  <c r="H1479" i="2" s="1"/>
  <c r="I1480" i="2"/>
  <c r="H1480" i="2" s="1"/>
  <c r="I1481" i="2"/>
  <c r="H1481" i="2" s="1"/>
  <c r="I1482" i="2"/>
  <c r="H1482" i="2" s="1"/>
  <c r="I1483" i="2"/>
  <c r="H1483" i="2" s="1"/>
  <c r="I1484" i="2"/>
  <c r="H1484" i="2" s="1"/>
  <c r="I1485" i="2"/>
  <c r="H1485" i="2" s="1"/>
  <c r="I1486" i="2"/>
  <c r="H1486" i="2" s="1"/>
  <c r="I1487" i="2"/>
  <c r="H1487" i="2" s="1"/>
  <c r="I1488" i="2"/>
  <c r="H1488" i="2" s="1"/>
  <c r="I1489" i="2"/>
  <c r="H1489" i="2" s="1"/>
  <c r="I1490" i="2"/>
  <c r="H1490" i="2" s="1"/>
  <c r="I1491" i="2"/>
  <c r="H1491" i="2" s="1"/>
  <c r="I1492" i="2"/>
  <c r="H1492" i="2" s="1"/>
  <c r="I1493" i="2"/>
  <c r="H1493" i="2" s="1"/>
  <c r="I1494" i="2"/>
  <c r="H1494" i="2" s="1"/>
  <c r="I1495" i="2"/>
  <c r="H1495" i="2" s="1"/>
  <c r="I1496" i="2"/>
  <c r="H1496" i="2" s="1"/>
  <c r="I1497" i="2"/>
  <c r="H1497" i="2" s="1"/>
  <c r="I1498" i="2"/>
  <c r="H1498" i="2" s="1"/>
  <c r="I1499" i="2"/>
  <c r="H1499" i="2" s="1"/>
  <c r="I1500" i="2"/>
  <c r="H1500" i="2" s="1"/>
  <c r="I1501" i="2"/>
  <c r="H1501" i="2" s="1"/>
  <c r="I1502" i="2"/>
  <c r="H1502" i="2" s="1"/>
  <c r="I1503" i="2"/>
  <c r="H1503" i="2" s="1"/>
  <c r="I1504" i="2"/>
  <c r="H1504" i="2" s="1"/>
  <c r="I1505" i="2"/>
  <c r="H1505" i="2" s="1"/>
  <c r="I1506" i="2"/>
  <c r="H1506" i="2" s="1"/>
  <c r="I1507" i="2"/>
  <c r="H1507" i="2" s="1"/>
  <c r="I1508" i="2"/>
  <c r="H1508" i="2" s="1"/>
  <c r="I1509" i="2"/>
  <c r="H1509" i="2" s="1"/>
  <c r="I1510" i="2"/>
  <c r="H1510" i="2" s="1"/>
  <c r="I1511" i="2"/>
  <c r="H1511" i="2" s="1"/>
  <c r="I1512" i="2"/>
  <c r="H1512" i="2" s="1"/>
  <c r="I1513" i="2"/>
  <c r="H1513" i="2" s="1"/>
  <c r="I1514" i="2"/>
  <c r="H1514" i="2" s="1"/>
  <c r="I1515" i="2"/>
  <c r="H1515" i="2" s="1"/>
  <c r="I1516" i="2"/>
  <c r="H1516" i="2" s="1"/>
  <c r="I1517" i="2"/>
  <c r="H1517" i="2" s="1"/>
  <c r="I49" i="2"/>
  <c r="H49" i="2" s="1"/>
  <c r="I1518" i="2"/>
  <c r="H1518" i="2" s="1"/>
  <c r="I1519" i="2"/>
  <c r="H1519" i="2" s="1"/>
  <c r="I1520" i="2"/>
  <c r="H1520" i="2" s="1"/>
  <c r="I1521" i="2"/>
  <c r="H1521" i="2" s="1"/>
  <c r="I1522" i="2"/>
  <c r="H1522" i="2" s="1"/>
  <c r="I1523" i="2"/>
  <c r="H1523" i="2" s="1"/>
  <c r="I1524" i="2"/>
  <c r="H1524" i="2" s="1"/>
  <c r="I1525" i="2"/>
  <c r="H1525" i="2" s="1"/>
  <c r="I1526" i="2"/>
  <c r="H1526" i="2" s="1"/>
  <c r="I1527" i="2"/>
  <c r="H1527" i="2" s="1"/>
  <c r="I1528" i="2"/>
  <c r="H1528" i="2" s="1"/>
  <c r="I1529" i="2"/>
  <c r="H1529" i="2" s="1"/>
  <c r="I107" i="2"/>
  <c r="H107" i="2" s="1"/>
  <c r="I1530" i="2"/>
  <c r="H1530" i="2" s="1"/>
  <c r="I1531" i="2"/>
  <c r="H1531" i="2" s="1"/>
  <c r="I1532" i="2"/>
  <c r="H1532" i="2" s="1"/>
  <c r="I1533" i="2"/>
  <c r="H1533" i="2" s="1"/>
  <c r="I1534" i="2"/>
  <c r="H1534" i="2" s="1"/>
  <c r="I1535" i="2"/>
  <c r="H1535" i="2" s="1"/>
  <c r="I1536" i="2"/>
  <c r="H1536" i="2" s="1"/>
  <c r="I1537" i="2"/>
  <c r="H1537" i="2" s="1"/>
  <c r="I1538" i="2"/>
  <c r="H1538" i="2" s="1"/>
  <c r="I1539" i="2"/>
  <c r="H1539" i="2" s="1"/>
  <c r="I1540" i="2"/>
  <c r="H1540" i="2" s="1"/>
  <c r="I1541" i="2"/>
  <c r="H1541" i="2" s="1"/>
  <c r="I182" i="2"/>
  <c r="H182" i="2" s="1"/>
  <c r="I183" i="2"/>
  <c r="H183" i="2" s="1"/>
  <c r="I120" i="2"/>
  <c r="H120" i="2" s="1"/>
  <c r="I1542" i="2"/>
  <c r="H1542" i="2" s="1"/>
  <c r="I1543" i="2"/>
  <c r="H1543" i="2" s="1"/>
  <c r="I1544" i="2"/>
  <c r="H1544" i="2" s="1"/>
  <c r="I1545" i="2"/>
  <c r="H1545" i="2" s="1"/>
  <c r="I1546" i="2"/>
  <c r="H1546" i="2" s="1"/>
  <c r="I1547" i="2"/>
  <c r="H1547" i="2" s="1"/>
  <c r="I1548" i="2"/>
  <c r="H1548" i="2" s="1"/>
  <c r="I1549" i="2"/>
  <c r="H1549" i="2" s="1"/>
  <c r="I1550" i="2"/>
  <c r="H1550" i="2" s="1"/>
  <c r="I1551" i="2"/>
  <c r="H1551" i="2" s="1"/>
  <c r="I1552" i="2"/>
  <c r="H1552" i="2" s="1"/>
  <c r="I184" i="2"/>
  <c r="H184" i="2" s="1"/>
  <c r="I185" i="2"/>
  <c r="H185" i="2" s="1"/>
  <c r="I1553" i="2"/>
  <c r="H1553" i="2" s="1"/>
  <c r="I1554" i="2"/>
  <c r="H1554" i="2" s="1"/>
  <c r="I1555" i="2"/>
  <c r="H1555" i="2" s="1"/>
  <c r="I1556" i="2"/>
  <c r="H1556" i="2" s="1"/>
  <c r="I1557" i="2"/>
  <c r="H1557" i="2" s="1"/>
  <c r="I1558" i="2"/>
  <c r="H1558" i="2" s="1"/>
  <c r="I1559" i="2"/>
  <c r="H1559" i="2" s="1"/>
  <c r="I1560" i="2"/>
  <c r="H1560" i="2" s="1"/>
  <c r="I1561" i="2"/>
  <c r="H1561" i="2" s="1"/>
  <c r="I1562" i="2"/>
  <c r="H1562" i="2" s="1"/>
  <c r="I1563" i="2"/>
  <c r="H1563" i="2" s="1"/>
  <c r="I1564" i="2"/>
  <c r="H1564" i="2" s="1"/>
  <c r="I1565" i="2"/>
  <c r="H1565" i="2" s="1"/>
  <c r="I1566" i="2"/>
  <c r="H1566" i="2" s="1"/>
  <c r="I186" i="2"/>
  <c r="H186" i="2" s="1"/>
  <c r="I1567" i="2"/>
  <c r="H1567" i="2" s="1"/>
  <c r="I1568" i="2"/>
  <c r="H1568" i="2" s="1"/>
  <c r="I1569" i="2"/>
  <c r="H1569" i="2" s="1"/>
  <c r="I1570" i="2"/>
  <c r="H1570" i="2" s="1"/>
  <c r="I187" i="2"/>
  <c r="H187" i="2" s="1"/>
  <c r="I1571" i="2"/>
  <c r="H1571" i="2" s="1"/>
  <c r="I188" i="2"/>
  <c r="H188" i="2" s="1"/>
  <c r="I1572" i="2"/>
  <c r="H1572" i="2" s="1"/>
  <c r="I1573" i="2"/>
  <c r="H1573" i="2" s="1"/>
  <c r="I1574" i="2"/>
  <c r="H1574" i="2" s="1"/>
  <c r="I1575" i="2"/>
  <c r="H1575" i="2" s="1"/>
  <c r="I189" i="2"/>
  <c r="H189" i="2" s="1"/>
  <c r="I1576" i="2"/>
  <c r="H1576" i="2" s="1"/>
  <c r="I1577" i="2"/>
  <c r="H1577" i="2" s="1"/>
  <c r="I1578" i="2"/>
  <c r="H1578" i="2" s="1"/>
  <c r="I1579" i="2"/>
  <c r="H1579" i="2" s="1"/>
  <c r="I1580" i="2"/>
  <c r="H1580" i="2" s="1"/>
  <c r="I1581" i="2"/>
  <c r="H1581" i="2" s="1"/>
  <c r="I1582" i="2"/>
  <c r="H1582" i="2" s="1"/>
  <c r="I1583" i="2"/>
  <c r="H1583" i="2" s="1"/>
  <c r="I1584" i="2"/>
  <c r="H1584" i="2" s="1"/>
  <c r="I1585" i="2"/>
  <c r="H1585" i="2" s="1"/>
  <c r="I1586" i="2"/>
  <c r="H1586" i="2" s="1"/>
  <c r="I1587" i="2"/>
  <c r="H1587" i="2" s="1"/>
  <c r="I1588" i="2"/>
  <c r="H1588" i="2" s="1"/>
  <c r="I1589" i="2"/>
  <c r="H1589" i="2" s="1"/>
  <c r="I1590" i="2"/>
  <c r="H1590" i="2" s="1"/>
  <c r="I1591" i="2"/>
  <c r="H1591" i="2" s="1"/>
  <c r="I1592" i="2"/>
  <c r="H1592" i="2" s="1"/>
  <c r="I1593" i="2"/>
  <c r="H1593" i="2" s="1"/>
  <c r="I1594" i="2"/>
  <c r="H1594" i="2" s="1"/>
  <c r="I1595" i="2"/>
  <c r="H1595" i="2" s="1"/>
  <c r="I1596" i="2"/>
  <c r="H1596" i="2" s="1"/>
  <c r="I1597" i="2"/>
  <c r="H1597" i="2" s="1"/>
  <c r="I1598" i="2"/>
  <c r="H1598" i="2" s="1"/>
  <c r="I1599" i="2"/>
  <c r="H1599" i="2" s="1"/>
  <c r="I1600" i="2"/>
  <c r="H1600" i="2" s="1"/>
  <c r="I190" i="2"/>
  <c r="H190" i="2" s="1"/>
  <c r="I1601" i="2"/>
  <c r="H1601" i="2" s="1"/>
  <c r="I1602" i="2"/>
  <c r="H1602" i="2" s="1"/>
  <c r="I1603" i="2"/>
  <c r="H1603" i="2" s="1"/>
  <c r="I50" i="2"/>
  <c r="H50" i="2" s="1"/>
  <c r="I1604" i="2"/>
  <c r="H1604" i="2" s="1"/>
  <c r="I1605" i="2"/>
  <c r="H1605" i="2" s="1"/>
  <c r="I1606" i="2"/>
  <c r="H1606" i="2" s="1"/>
  <c r="I1607" i="2"/>
  <c r="H1607" i="2" s="1"/>
  <c r="I121" i="2"/>
  <c r="H121" i="2" s="1"/>
  <c r="I1608" i="2"/>
  <c r="H1608" i="2" s="1"/>
  <c r="I191" i="2"/>
  <c r="H191" i="2" s="1"/>
  <c r="I1609" i="2"/>
  <c r="H1609" i="2" s="1"/>
  <c r="I1610" i="2"/>
  <c r="H1610" i="2" s="1"/>
  <c r="I1611" i="2"/>
  <c r="H1611" i="2" s="1"/>
  <c r="I1612" i="2"/>
  <c r="H1612" i="2" s="1"/>
  <c r="I192" i="2"/>
  <c r="H192" i="2" s="1"/>
  <c r="I1613" i="2"/>
  <c r="H1613" i="2" s="1"/>
  <c r="I1614" i="2"/>
  <c r="H1614" i="2" s="1"/>
  <c r="I1615" i="2"/>
  <c r="H1615" i="2" s="1"/>
  <c r="I1616" i="2"/>
  <c r="H1616" i="2" s="1"/>
  <c r="I1617" i="2"/>
  <c r="H1617" i="2" s="1"/>
  <c r="I1618" i="2"/>
  <c r="H1618" i="2" s="1"/>
  <c r="I1619" i="2"/>
  <c r="H1619" i="2" s="1"/>
  <c r="I1620" i="2"/>
  <c r="H1620" i="2" s="1"/>
  <c r="I1621" i="2"/>
  <c r="H1621" i="2" s="1"/>
  <c r="I1622" i="2"/>
  <c r="H1622" i="2" s="1"/>
  <c r="I1623" i="2"/>
  <c r="H1623" i="2" s="1"/>
  <c r="I66" i="2"/>
  <c r="H66" i="2" s="1"/>
  <c r="I1624" i="2"/>
  <c r="H1624" i="2" s="1"/>
  <c r="I1625" i="2"/>
  <c r="H1625" i="2" s="1"/>
  <c r="I1626" i="2"/>
  <c r="H1626" i="2" s="1"/>
  <c r="I51" i="2"/>
  <c r="H51" i="2" s="1"/>
  <c r="I1627" i="2"/>
  <c r="H1627" i="2" s="1"/>
  <c r="I1628" i="2"/>
  <c r="H1628" i="2" s="1"/>
  <c r="I193" i="2"/>
  <c r="H193" i="2" s="1"/>
  <c r="I1629" i="2"/>
  <c r="H1629" i="2" s="1"/>
  <c r="I1630" i="2"/>
  <c r="H1630" i="2" s="1"/>
  <c r="I1631" i="2"/>
  <c r="H1631" i="2" s="1"/>
  <c r="I1632" i="2"/>
  <c r="H1632" i="2" s="1"/>
  <c r="I1633" i="2"/>
  <c r="H1633" i="2" s="1"/>
  <c r="I1634" i="2"/>
  <c r="H1634" i="2" s="1"/>
  <c r="I1635" i="2"/>
  <c r="H1635" i="2" s="1"/>
  <c r="I1636" i="2"/>
  <c r="H1636" i="2" s="1"/>
  <c r="I1637" i="2"/>
  <c r="H1637" i="2" s="1"/>
  <c r="I1638" i="2"/>
  <c r="H1638" i="2" s="1"/>
  <c r="I1639" i="2"/>
  <c r="H1639" i="2" s="1"/>
  <c r="I1640" i="2"/>
  <c r="H1640" i="2" s="1"/>
  <c r="I1641" i="2"/>
  <c r="H1641" i="2" s="1"/>
  <c r="I1642" i="2"/>
  <c r="H1642" i="2" s="1"/>
  <c r="I1643" i="2"/>
  <c r="H1643" i="2" s="1"/>
  <c r="I194" i="2"/>
  <c r="H194" i="2" s="1"/>
  <c r="I1644" i="2"/>
  <c r="H1644" i="2" s="1"/>
  <c r="I1645" i="2"/>
  <c r="H1645" i="2" s="1"/>
  <c r="I1646" i="2"/>
  <c r="H1646" i="2" s="1"/>
  <c r="I1647" i="2"/>
  <c r="H1647" i="2" s="1"/>
  <c r="I1648" i="2"/>
  <c r="H1648" i="2" s="1"/>
  <c r="I1649" i="2"/>
  <c r="H1649" i="2" s="1"/>
  <c r="I1650" i="2"/>
  <c r="H1650" i="2" s="1"/>
  <c r="I1651" i="2"/>
  <c r="H1651" i="2" s="1"/>
  <c r="I195" i="2"/>
  <c r="H195" i="2" s="1"/>
  <c r="I1652" i="2"/>
  <c r="H1652" i="2" s="1"/>
  <c r="I1653" i="2"/>
  <c r="H1653" i="2" s="1"/>
  <c r="I1654" i="2"/>
  <c r="H1654" i="2" s="1"/>
  <c r="I1655" i="2"/>
  <c r="H1655" i="2" s="1"/>
  <c r="I1656" i="2"/>
  <c r="H1656" i="2" s="1"/>
  <c r="I1657" i="2"/>
  <c r="H1657" i="2" s="1"/>
  <c r="I1658" i="2"/>
  <c r="H1658" i="2" s="1"/>
  <c r="I1659" i="2"/>
  <c r="H1659" i="2" s="1"/>
  <c r="I1660" i="2"/>
  <c r="H1660" i="2" s="1"/>
  <c r="I1661" i="2"/>
  <c r="H1661" i="2" s="1"/>
  <c r="I52" i="2"/>
  <c r="H52" i="2" s="1"/>
  <c r="I1662" i="2"/>
  <c r="H1662" i="2" s="1"/>
  <c r="I1663" i="2"/>
  <c r="H1663" i="2" s="1"/>
  <c r="I1664" i="2"/>
  <c r="H1664" i="2" s="1"/>
  <c r="I196" i="2"/>
  <c r="H196" i="2" s="1"/>
  <c r="I1665" i="2"/>
  <c r="H1665" i="2" s="1"/>
  <c r="I1666" i="2"/>
  <c r="H1666" i="2" s="1"/>
  <c r="I1667" i="2"/>
  <c r="H1667" i="2" s="1"/>
  <c r="I1668" i="2"/>
  <c r="H1668" i="2" s="1"/>
  <c r="I1669" i="2"/>
  <c r="H1669" i="2" s="1"/>
  <c r="I1670" i="2"/>
  <c r="H1670" i="2" s="1"/>
  <c r="I197" i="2"/>
  <c r="H197" i="2" s="1"/>
  <c r="I198" i="2"/>
  <c r="H198" i="2" s="1"/>
  <c r="I1671" i="2"/>
  <c r="H1671" i="2" s="1"/>
  <c r="I1672" i="2"/>
  <c r="H1672" i="2" s="1"/>
  <c r="I1673" i="2"/>
  <c r="H1673" i="2" s="1"/>
  <c r="I1674" i="2"/>
  <c r="H1674" i="2" s="1"/>
  <c r="I1675" i="2"/>
  <c r="H1675" i="2" s="1"/>
  <c r="I1676" i="2"/>
  <c r="H1676" i="2" s="1"/>
  <c r="I1677" i="2"/>
  <c r="H1677" i="2" s="1"/>
  <c r="I1678" i="2"/>
  <c r="H1678" i="2" s="1"/>
  <c r="I1679" i="2"/>
  <c r="H1679" i="2" s="1"/>
  <c r="I1680" i="2"/>
  <c r="H1680" i="2" s="1"/>
  <c r="I1681" i="2"/>
  <c r="H1681" i="2" s="1"/>
  <c r="I1682" i="2"/>
  <c r="H1682" i="2" s="1"/>
  <c r="I199" i="2"/>
  <c r="H199" i="2" s="1"/>
  <c r="I1683" i="2"/>
  <c r="H1683" i="2" s="1"/>
  <c r="I1684" i="2"/>
  <c r="H1684" i="2" s="1"/>
  <c r="I1685" i="2"/>
  <c r="H1685" i="2" s="1"/>
  <c r="I1686" i="2"/>
  <c r="H1686" i="2" s="1"/>
  <c r="I1687" i="2"/>
  <c r="H1687" i="2" s="1"/>
  <c r="I1688" i="2"/>
  <c r="H1688" i="2" s="1"/>
  <c r="I1689" i="2"/>
  <c r="H1689" i="2" s="1"/>
  <c r="I1690" i="2"/>
  <c r="H1690" i="2" s="1"/>
  <c r="I1691" i="2"/>
  <c r="H1691" i="2" s="1"/>
  <c r="I1692" i="2"/>
  <c r="H1692" i="2" s="1"/>
  <c r="I1693" i="2"/>
  <c r="H1693" i="2" s="1"/>
  <c r="I1694" i="2"/>
  <c r="H1694" i="2" s="1"/>
  <c r="I1695" i="2"/>
  <c r="H1695" i="2" s="1"/>
  <c r="I1696" i="2"/>
  <c r="H1696" i="2" s="1"/>
  <c r="I1697" i="2"/>
  <c r="H1697" i="2" s="1"/>
  <c r="I1698" i="2"/>
  <c r="H1698" i="2" s="1"/>
  <c r="I200" i="2"/>
  <c r="H200" i="2" s="1"/>
  <c r="I1699" i="2"/>
  <c r="H1699" i="2" s="1"/>
  <c r="I1700" i="2"/>
  <c r="H1700" i="2" s="1"/>
  <c r="I1701" i="2"/>
  <c r="H1701" i="2" s="1"/>
  <c r="I1702" i="2"/>
  <c r="H1702" i="2" s="1"/>
  <c r="I1703" i="2"/>
  <c r="H1703" i="2" s="1"/>
  <c r="I1704" i="2"/>
  <c r="H1704" i="2" s="1"/>
  <c r="I1705" i="2"/>
  <c r="H1705" i="2" s="1"/>
  <c r="I1706" i="2"/>
  <c r="H1706" i="2" s="1"/>
  <c r="I1707" i="2"/>
  <c r="H1707" i="2" s="1"/>
  <c r="I1708" i="2"/>
  <c r="H1708" i="2" s="1"/>
  <c r="I1709" i="2"/>
  <c r="H1709" i="2" s="1"/>
  <c r="I1710" i="2"/>
  <c r="H1710" i="2" s="1"/>
  <c r="I1711" i="2"/>
  <c r="H1711" i="2" s="1"/>
  <c r="I1712" i="2"/>
  <c r="H1712" i="2" s="1"/>
  <c r="I1713" i="2"/>
  <c r="H1713" i="2" s="1"/>
  <c r="I1714" i="2"/>
  <c r="H1714" i="2" s="1"/>
  <c r="I1715" i="2"/>
  <c r="H1715" i="2" s="1"/>
  <c r="I1716" i="2"/>
  <c r="H1716" i="2" s="1"/>
  <c r="I201" i="2"/>
  <c r="H201" i="2" s="1"/>
  <c r="I122" i="2"/>
  <c r="H122" i="2" s="1"/>
  <c r="I67" i="2"/>
  <c r="H67" i="2" s="1"/>
  <c r="I1717" i="2"/>
  <c r="H1717" i="2" s="1"/>
  <c r="I123" i="2"/>
  <c r="H123" i="2" s="1"/>
  <c r="I1718" i="2"/>
  <c r="H1718" i="2" s="1"/>
  <c r="I1719" i="2"/>
  <c r="H1719" i="2" s="1"/>
  <c r="I1720" i="2"/>
  <c r="H1720" i="2" s="1"/>
  <c r="I1721" i="2"/>
  <c r="H1721" i="2" s="1"/>
  <c r="I1722" i="2"/>
  <c r="H1722" i="2" s="1"/>
  <c r="I1723" i="2"/>
  <c r="H1723" i="2" s="1"/>
  <c r="I1724" i="2"/>
  <c r="H1724" i="2" s="1"/>
  <c r="I1725" i="2"/>
  <c r="H1725" i="2" s="1"/>
  <c r="I1726" i="2"/>
  <c r="H1726" i="2" s="1"/>
  <c r="I1727" i="2"/>
  <c r="H1727" i="2" s="1"/>
  <c r="I1728" i="2"/>
  <c r="H1728" i="2" s="1"/>
  <c r="I1729" i="2"/>
  <c r="H1729" i="2" s="1"/>
  <c r="I1730" i="2"/>
  <c r="H1730" i="2" s="1"/>
  <c r="I1731" i="2"/>
  <c r="H1731" i="2" s="1"/>
  <c r="I1732" i="2"/>
  <c r="H1732" i="2" s="1"/>
  <c r="I1733" i="2"/>
  <c r="H1733" i="2" s="1"/>
  <c r="I1734" i="2"/>
  <c r="H1734" i="2" s="1"/>
  <c r="I1735" i="2"/>
  <c r="H1735" i="2" s="1"/>
  <c r="I1736" i="2"/>
  <c r="H1736" i="2" s="1"/>
  <c r="I1737" i="2"/>
  <c r="H1737" i="2" s="1"/>
  <c r="I1738" i="2"/>
  <c r="H1738" i="2" s="1"/>
  <c r="I1739" i="2"/>
  <c r="H1739" i="2" s="1"/>
  <c r="I1740" i="2"/>
  <c r="H1740" i="2" s="1"/>
  <c r="I1741" i="2"/>
  <c r="H1741" i="2" s="1"/>
  <c r="I1742" i="2"/>
  <c r="H1742" i="2" s="1"/>
  <c r="I1743" i="2"/>
  <c r="H1743" i="2" s="1"/>
  <c r="I1744" i="2"/>
  <c r="H1744" i="2" s="1"/>
  <c r="I1745" i="2"/>
  <c r="H1745" i="2" s="1"/>
  <c r="I1746" i="2"/>
  <c r="H1746" i="2" s="1"/>
  <c r="I1747" i="2"/>
  <c r="H1747" i="2" s="1"/>
  <c r="I1748" i="2"/>
  <c r="H1748" i="2" s="1"/>
  <c r="I1749" i="2"/>
  <c r="H1749" i="2" s="1"/>
  <c r="I1750" i="2"/>
  <c r="H1750" i="2" s="1"/>
  <c r="I1751" i="2"/>
  <c r="H1751" i="2" s="1"/>
  <c r="I1752" i="2"/>
  <c r="H1752" i="2" s="1"/>
  <c r="I1753" i="2"/>
  <c r="H1753" i="2" s="1"/>
  <c r="I1754" i="2"/>
  <c r="H1754" i="2" s="1"/>
  <c r="I1755" i="2"/>
  <c r="H1755" i="2" s="1"/>
  <c r="I202" i="2"/>
  <c r="H202" i="2" s="1"/>
  <c r="I1756" i="2"/>
  <c r="H1756" i="2" s="1"/>
  <c r="I1757" i="2"/>
  <c r="H1757" i="2" s="1"/>
  <c r="I1758" i="2"/>
  <c r="H1758" i="2" s="1"/>
  <c r="I1759" i="2"/>
  <c r="H1759" i="2" s="1"/>
  <c r="I1760" i="2"/>
  <c r="H1760" i="2" s="1"/>
  <c r="I1761" i="2"/>
  <c r="H1761" i="2" s="1"/>
  <c r="I1762" i="2"/>
  <c r="H1762" i="2" s="1"/>
  <c r="I203" i="2"/>
  <c r="H203" i="2" s="1"/>
  <c r="I1763" i="2"/>
  <c r="H1763" i="2" s="1"/>
  <c r="I1764" i="2"/>
  <c r="H1764" i="2" s="1"/>
  <c r="I204" i="2"/>
  <c r="H204" i="2" s="1"/>
  <c r="I1765" i="2"/>
  <c r="H1765" i="2" s="1"/>
  <c r="I68" i="2"/>
  <c r="H68" i="2" s="1"/>
  <c r="I1766" i="2"/>
  <c r="H1766" i="2" s="1"/>
  <c r="I1767" i="2"/>
  <c r="H1767" i="2" s="1"/>
  <c r="I1768" i="2"/>
  <c r="H1768" i="2" s="1"/>
  <c r="I1769" i="2"/>
  <c r="H1769" i="2" s="1"/>
  <c r="I1770" i="2"/>
  <c r="H1770" i="2" s="1"/>
  <c r="I1771" i="2"/>
  <c r="H1771" i="2" s="1"/>
  <c r="I1772" i="2"/>
  <c r="H1772" i="2" s="1"/>
  <c r="I1773" i="2"/>
  <c r="H1773" i="2" s="1"/>
  <c r="I1774" i="2"/>
  <c r="H1774" i="2" s="1"/>
  <c r="I1775" i="2"/>
  <c r="H1775" i="2" s="1"/>
  <c r="I1776" i="2"/>
  <c r="H1776" i="2" s="1"/>
  <c r="I1777" i="2"/>
  <c r="H1777" i="2" s="1"/>
  <c r="I1778" i="2"/>
  <c r="H1778" i="2" s="1"/>
  <c r="I1779" i="2"/>
  <c r="H1779" i="2" s="1"/>
  <c r="I1780" i="2"/>
  <c r="H1780" i="2" s="1"/>
  <c r="I1781" i="2"/>
  <c r="H1781" i="2" s="1"/>
  <c r="I1782" i="2"/>
  <c r="H1782" i="2" s="1"/>
  <c r="I1783" i="2"/>
  <c r="H1783" i="2" s="1"/>
  <c r="I1784" i="2"/>
  <c r="H1784" i="2" s="1"/>
  <c r="I1785" i="2"/>
  <c r="H1785" i="2" s="1"/>
  <c r="I205" i="2"/>
  <c r="H205" i="2" s="1"/>
  <c r="I1786" i="2"/>
  <c r="H1786" i="2" s="1"/>
  <c r="I1787" i="2"/>
  <c r="H1787" i="2" s="1"/>
  <c r="I1788" i="2"/>
  <c r="H1788" i="2" s="1"/>
  <c r="I1789" i="2"/>
  <c r="H1789" i="2" s="1"/>
  <c r="I206" i="2"/>
  <c r="H206" i="2" s="1"/>
  <c r="I1790" i="2"/>
  <c r="H1790" i="2" s="1"/>
  <c r="I1791" i="2"/>
  <c r="H1791" i="2" s="1"/>
  <c r="I1792" i="2"/>
  <c r="H1792" i="2" s="1"/>
  <c r="I1793" i="2"/>
  <c r="H1793" i="2" s="1"/>
  <c r="I1794" i="2"/>
  <c r="H1794" i="2" s="1"/>
  <c r="I1795" i="2"/>
  <c r="H1795" i="2" s="1"/>
  <c r="I1796" i="2"/>
  <c r="H1796" i="2" s="1"/>
  <c r="I1797" i="2"/>
  <c r="H1797" i="2" s="1"/>
  <c r="I1798" i="2"/>
  <c r="H1798" i="2" s="1"/>
  <c r="I207" i="2"/>
  <c r="H207" i="2" s="1"/>
  <c r="I1799" i="2"/>
  <c r="H1799" i="2" s="1"/>
  <c r="I1800" i="2"/>
  <c r="H1800" i="2" s="1"/>
  <c r="I1801" i="2"/>
  <c r="H1801" i="2" s="1"/>
  <c r="I1802" i="2"/>
  <c r="H1802" i="2" s="1"/>
  <c r="I1803" i="2"/>
  <c r="H1803" i="2" s="1"/>
  <c r="I1804" i="2"/>
  <c r="H1804" i="2" s="1"/>
  <c r="I1805" i="2"/>
  <c r="H1805" i="2" s="1"/>
  <c r="I208" i="2"/>
  <c r="H208" i="2" s="1"/>
  <c r="I209" i="2"/>
  <c r="H209" i="2" s="1"/>
  <c r="I1806" i="2"/>
  <c r="H1806" i="2" s="1"/>
  <c r="I1807" i="2"/>
  <c r="H1807" i="2" s="1"/>
  <c r="I1808" i="2"/>
  <c r="H1808" i="2" s="1"/>
  <c r="I1809" i="2"/>
  <c r="H1809" i="2" s="1"/>
  <c r="I1810" i="2"/>
  <c r="H1810" i="2" s="1"/>
  <c r="I1811" i="2"/>
  <c r="H1811" i="2" s="1"/>
  <c r="I1812" i="2"/>
  <c r="H1812" i="2" s="1"/>
  <c r="I1813" i="2"/>
  <c r="H1813" i="2" s="1"/>
  <c r="I108" i="2"/>
  <c r="H108" i="2" s="1"/>
  <c r="I1814" i="2"/>
  <c r="H1814" i="2" s="1"/>
  <c r="I1815" i="2"/>
  <c r="H1815" i="2" s="1"/>
  <c r="I1816" i="2"/>
  <c r="H1816" i="2" s="1"/>
  <c r="I1817" i="2"/>
  <c r="H1817" i="2" s="1"/>
  <c r="I109" i="2"/>
  <c r="H109" i="2" s="1"/>
  <c r="I210" i="2"/>
  <c r="H210" i="2" s="1"/>
  <c r="I1818" i="2"/>
  <c r="H1818" i="2" s="1"/>
  <c r="I1819" i="2"/>
  <c r="H1819" i="2" s="1"/>
  <c r="I1820" i="2"/>
  <c r="H1820" i="2" s="1"/>
  <c r="I211" i="2"/>
  <c r="H211" i="2" s="1"/>
  <c r="I1821" i="2"/>
  <c r="H1821" i="2" s="1"/>
  <c r="I1822" i="2"/>
  <c r="H1822" i="2" s="1"/>
  <c r="I1823" i="2"/>
  <c r="H1823" i="2" s="1"/>
  <c r="I1824" i="2"/>
  <c r="H1824" i="2" s="1"/>
  <c r="I1825" i="2"/>
  <c r="H1825" i="2" s="1"/>
  <c r="I1826" i="2"/>
  <c r="H1826" i="2" s="1"/>
  <c r="I1827" i="2"/>
  <c r="H1827" i="2" s="1"/>
  <c r="I1828" i="2"/>
  <c r="H1828" i="2" s="1"/>
  <c r="I1829" i="2"/>
  <c r="H1829" i="2" s="1"/>
  <c r="I1830" i="2"/>
  <c r="H1830" i="2" s="1"/>
  <c r="I1831" i="2"/>
  <c r="H1831" i="2" s="1"/>
  <c r="I1832" i="2"/>
  <c r="H1832" i="2" s="1"/>
  <c r="I1833" i="2"/>
  <c r="H1833" i="2" s="1"/>
  <c r="I1834" i="2"/>
  <c r="H1834" i="2" s="1"/>
  <c r="I1835" i="2"/>
  <c r="H1835" i="2" s="1"/>
  <c r="I1836" i="2"/>
  <c r="H1836" i="2" s="1"/>
  <c r="I69" i="2"/>
  <c r="H69" i="2" s="1"/>
  <c r="I1837" i="2"/>
  <c r="H1837" i="2" s="1"/>
  <c r="I1838" i="2"/>
  <c r="H1838" i="2" s="1"/>
  <c r="I1839" i="2"/>
  <c r="H1839" i="2" s="1"/>
  <c r="I1840" i="2"/>
  <c r="H1840" i="2" s="1"/>
  <c r="I1841" i="2"/>
  <c r="H1841" i="2" s="1"/>
  <c r="I1842" i="2"/>
  <c r="H1842" i="2" s="1"/>
  <c r="I1843" i="2"/>
  <c r="H1843" i="2" s="1"/>
  <c r="I1844" i="2"/>
  <c r="H1844" i="2" s="1"/>
  <c r="I1845" i="2"/>
  <c r="H1845" i="2" s="1"/>
  <c r="I1846" i="2"/>
  <c r="H1846" i="2" s="1"/>
  <c r="I1847" i="2"/>
  <c r="H1847" i="2" s="1"/>
  <c r="I1848" i="2"/>
  <c r="H1848" i="2" s="1"/>
  <c r="I1849" i="2"/>
  <c r="H1849" i="2" s="1"/>
  <c r="I1850" i="2"/>
  <c r="H1850" i="2" s="1"/>
  <c r="I1851" i="2"/>
  <c r="H1851" i="2" s="1"/>
  <c r="I1852" i="2"/>
  <c r="H1852" i="2" s="1"/>
  <c r="I1853" i="2"/>
  <c r="H1853" i="2" s="1"/>
  <c r="I1854" i="2"/>
  <c r="H1854" i="2" s="1"/>
  <c r="I1855" i="2"/>
  <c r="H1855" i="2" s="1"/>
  <c r="I1856" i="2"/>
  <c r="H1856" i="2" s="1"/>
  <c r="I72" i="2"/>
  <c r="H72" i="2" s="1"/>
  <c r="I1857" i="2"/>
  <c r="H1857" i="2" s="1"/>
  <c r="I1858" i="2"/>
  <c r="H1858" i="2" s="1"/>
  <c r="I1859" i="2"/>
  <c r="H1859" i="2" s="1"/>
  <c r="I1860" i="2"/>
  <c r="H1860" i="2" s="1"/>
  <c r="I1861" i="2"/>
  <c r="H1861" i="2" s="1"/>
  <c r="I1862" i="2"/>
  <c r="H1862" i="2" s="1"/>
  <c r="I1863" i="2"/>
  <c r="H1863" i="2" s="1"/>
  <c r="I1864" i="2"/>
  <c r="H1864" i="2" s="1"/>
  <c r="I212" i="2"/>
  <c r="H212" i="2" s="1"/>
  <c r="I1865" i="2"/>
  <c r="H1865" i="2" s="1"/>
  <c r="I1866" i="2"/>
  <c r="H1866" i="2" s="1"/>
  <c r="I1867" i="2"/>
  <c r="H1867" i="2" s="1"/>
  <c r="I1868" i="2"/>
  <c r="H1868" i="2" s="1"/>
  <c r="I1869" i="2"/>
  <c r="H1869" i="2" s="1"/>
  <c r="I1870" i="2"/>
  <c r="H1870" i="2" s="1"/>
  <c r="I1871" i="2"/>
  <c r="H1871" i="2" s="1"/>
  <c r="I1872" i="2"/>
  <c r="H1872" i="2" s="1"/>
  <c r="I1873" i="2"/>
  <c r="H1873" i="2" s="1"/>
  <c r="I1874" i="2"/>
  <c r="H1874" i="2" s="1"/>
  <c r="I1875" i="2"/>
  <c r="H1875" i="2" s="1"/>
  <c r="I1876" i="2"/>
  <c r="H1876" i="2" s="1"/>
  <c r="I1877" i="2"/>
  <c r="H1877" i="2" s="1"/>
  <c r="I1878" i="2"/>
  <c r="H1878" i="2" s="1"/>
  <c r="I1879" i="2"/>
  <c r="H1879" i="2" s="1"/>
  <c r="I1880" i="2"/>
  <c r="H1880" i="2" s="1"/>
  <c r="I1881" i="2"/>
  <c r="H1881" i="2" s="1"/>
  <c r="I1882" i="2"/>
  <c r="H1882" i="2" s="1"/>
  <c r="I213" i="2"/>
  <c r="H213" i="2" s="1"/>
  <c r="I1883" i="2"/>
  <c r="H1883" i="2" s="1"/>
  <c r="I1884" i="2"/>
  <c r="H1884" i="2" s="1"/>
  <c r="I214" i="2"/>
  <c r="H214" i="2" s="1"/>
  <c r="I1885" i="2"/>
  <c r="H1885" i="2" s="1"/>
  <c r="I1886" i="2"/>
  <c r="H1886" i="2" s="1"/>
  <c r="I1887" i="2"/>
  <c r="H1887" i="2" s="1"/>
  <c r="I1888" i="2"/>
  <c r="H1888" i="2" s="1"/>
  <c r="I1889" i="2"/>
  <c r="H1889" i="2" s="1"/>
  <c r="I1890" i="2"/>
  <c r="H1890" i="2" s="1"/>
  <c r="I1891" i="2"/>
  <c r="H1891" i="2" s="1"/>
  <c r="I1892" i="2"/>
  <c r="H1892" i="2" s="1"/>
  <c r="I1893" i="2"/>
  <c r="H1893" i="2" s="1"/>
  <c r="I1894" i="2"/>
  <c r="H1894" i="2" s="1"/>
  <c r="I1895" i="2"/>
  <c r="H1895" i="2" s="1"/>
  <c r="I1896" i="2"/>
  <c r="H1896" i="2" s="1"/>
  <c r="I1897" i="2"/>
  <c r="H1897" i="2" s="1"/>
  <c r="I1898" i="2"/>
  <c r="H1898" i="2" s="1"/>
  <c r="I1899" i="2"/>
  <c r="H1899" i="2" s="1"/>
  <c r="I215" i="2"/>
  <c r="H215" i="2" s="1"/>
  <c r="I1900" i="2"/>
  <c r="H1900" i="2" s="1"/>
  <c r="I1901" i="2"/>
  <c r="H1901" i="2" s="1"/>
  <c r="I1902" i="2"/>
  <c r="H1902" i="2" s="1"/>
  <c r="I1903" i="2"/>
  <c r="H1903" i="2" s="1"/>
  <c r="I1904" i="2"/>
  <c r="H1904" i="2" s="1"/>
  <c r="I1905" i="2"/>
  <c r="H1905" i="2" s="1"/>
  <c r="I1906" i="2"/>
  <c r="H1906" i="2" s="1"/>
  <c r="I1907" i="2"/>
  <c r="H1907" i="2" s="1"/>
  <c r="I1908" i="2"/>
  <c r="H1908" i="2" s="1"/>
  <c r="I1909" i="2"/>
  <c r="H1909" i="2" s="1"/>
  <c r="I1910" i="2"/>
  <c r="H1910" i="2" s="1"/>
  <c r="I53" i="2"/>
  <c r="H53" i="2" s="1"/>
  <c r="I1911" i="2"/>
  <c r="H1911" i="2" s="1"/>
  <c r="I1912" i="2"/>
  <c r="H1912" i="2" s="1"/>
  <c r="I1913" i="2"/>
  <c r="H1913" i="2" s="1"/>
  <c r="I1914" i="2"/>
  <c r="H1914" i="2" s="1"/>
  <c r="I1915" i="2"/>
  <c r="H1915" i="2" s="1"/>
  <c r="I1916" i="2"/>
  <c r="H1916" i="2" s="1"/>
  <c r="I1917" i="2"/>
  <c r="H1917" i="2" s="1"/>
  <c r="I1918" i="2"/>
  <c r="H1918" i="2" s="1"/>
  <c r="I1919" i="2"/>
  <c r="H1919" i="2" s="1"/>
  <c r="I1920" i="2"/>
  <c r="H1920" i="2" s="1"/>
  <c r="I1921" i="2"/>
  <c r="H1921" i="2" s="1"/>
  <c r="I1922" i="2"/>
  <c r="H1922" i="2" s="1"/>
  <c r="I1923" i="2"/>
  <c r="H1923" i="2" s="1"/>
  <c r="I216" i="2"/>
  <c r="H216" i="2" s="1"/>
  <c r="I1924" i="2"/>
  <c r="H1924" i="2" s="1"/>
  <c r="I1925" i="2"/>
  <c r="H1925" i="2" s="1"/>
  <c r="I1926" i="2"/>
  <c r="H1926" i="2" s="1"/>
  <c r="I1927" i="2"/>
  <c r="H1927" i="2" s="1"/>
  <c r="I1928" i="2"/>
  <c r="H1928" i="2" s="1"/>
  <c r="I1929" i="2"/>
  <c r="H1929" i="2" s="1"/>
  <c r="I1930" i="2"/>
  <c r="H1930" i="2" s="1"/>
  <c r="I1931" i="2"/>
  <c r="H1931" i="2" s="1"/>
  <c r="I1932" i="2"/>
  <c r="H1932" i="2" s="1"/>
  <c r="I1933" i="2"/>
  <c r="H1933" i="2" s="1"/>
  <c r="I1934" i="2"/>
  <c r="H1934" i="2" s="1"/>
  <c r="I1935" i="2"/>
  <c r="H1935" i="2" s="1"/>
  <c r="I1936" i="2"/>
  <c r="H1936" i="2" s="1"/>
  <c r="I124" i="2"/>
  <c r="H124" i="2" s="1"/>
  <c r="I1937" i="2"/>
  <c r="H1937" i="2" s="1"/>
  <c r="I1938" i="2"/>
  <c r="H1938" i="2" s="1"/>
  <c r="I1939" i="2"/>
  <c r="H1939" i="2" s="1"/>
  <c r="I1940" i="2"/>
  <c r="H1940" i="2" s="1"/>
  <c r="I1941" i="2"/>
  <c r="H1941" i="2" s="1"/>
  <c r="I1942" i="2"/>
  <c r="H1942" i="2" s="1"/>
  <c r="I1943" i="2"/>
  <c r="H1943" i="2" s="1"/>
  <c r="I1944" i="2"/>
  <c r="H1944" i="2" s="1"/>
  <c r="I1945" i="2"/>
  <c r="H1945" i="2" s="1"/>
  <c r="I1946" i="2"/>
  <c r="H1946" i="2" s="1"/>
  <c r="I1947" i="2"/>
  <c r="H1947" i="2" s="1"/>
  <c r="I1948" i="2"/>
  <c r="H1948" i="2" s="1"/>
  <c r="I1949" i="2"/>
  <c r="H1949" i="2" s="1"/>
  <c r="I1950" i="2"/>
  <c r="H1950" i="2" s="1"/>
  <c r="I1951" i="2"/>
  <c r="H1951" i="2" s="1"/>
  <c r="I1952" i="2"/>
  <c r="H1952" i="2" s="1"/>
  <c r="I70" i="2"/>
  <c r="H70" i="2" s="1"/>
  <c r="I1953" i="2"/>
  <c r="H1953" i="2" s="1"/>
  <c r="I71" i="2"/>
  <c r="H71" i="2" s="1"/>
  <c r="I1954" i="2"/>
  <c r="H1954" i="2" s="1"/>
  <c r="I125" i="2"/>
  <c r="H125" i="2" s="1"/>
  <c r="I1955" i="2"/>
  <c r="H1955" i="2" s="1"/>
  <c r="I1956" i="2"/>
  <c r="H1956" i="2" s="1"/>
  <c r="I1957" i="2"/>
  <c r="H1957" i="2" s="1"/>
  <c r="I1958" i="2"/>
  <c r="H1958" i="2" s="1"/>
  <c r="I1959" i="2"/>
  <c r="H1959" i="2" s="1"/>
  <c r="I1960" i="2"/>
  <c r="H1960" i="2" s="1"/>
  <c r="I1961" i="2"/>
  <c r="H1961" i="2" s="1"/>
  <c r="I1962" i="2"/>
  <c r="H1962" i="2" s="1"/>
  <c r="I1963" i="2"/>
  <c r="H1963" i="2" s="1"/>
  <c r="I1964" i="2"/>
  <c r="H1964" i="2" s="1"/>
  <c r="I1965" i="2"/>
  <c r="H1965" i="2" s="1"/>
  <c r="I1966" i="2"/>
  <c r="H1966" i="2" s="1"/>
  <c r="I1967" i="2"/>
  <c r="H1967" i="2" s="1"/>
  <c r="I1968" i="2"/>
  <c r="H1968" i="2" s="1"/>
  <c r="I1969" i="2"/>
  <c r="H1969" i="2" s="1"/>
  <c r="I1970" i="2"/>
  <c r="H1970" i="2" s="1"/>
  <c r="I1971" i="2"/>
  <c r="H1971" i="2" s="1"/>
  <c r="I1972" i="2"/>
  <c r="H1972" i="2" s="1"/>
  <c r="I1973" i="2"/>
  <c r="H1973" i="2" s="1"/>
  <c r="I1974" i="2"/>
  <c r="H1974" i="2" s="1"/>
  <c r="I1975" i="2"/>
  <c r="H1975" i="2" s="1"/>
  <c r="I1976" i="2"/>
  <c r="H1976" i="2" s="1"/>
  <c r="I1977" i="2"/>
  <c r="H1977" i="2" s="1"/>
  <c r="I1978" i="2"/>
  <c r="H1978" i="2" s="1"/>
  <c r="I1979" i="2"/>
  <c r="H1979" i="2" s="1"/>
  <c r="I1980" i="2"/>
  <c r="H1980" i="2" s="1"/>
  <c r="I1981" i="2"/>
  <c r="H1981" i="2" s="1"/>
  <c r="I1982" i="2"/>
  <c r="H1982" i="2" s="1"/>
  <c r="I1983" i="2"/>
  <c r="H1983" i="2" s="1"/>
  <c r="I1984" i="2"/>
  <c r="H1984" i="2" s="1"/>
  <c r="I217" i="2"/>
  <c r="H217" i="2" s="1"/>
  <c r="I1985" i="2"/>
  <c r="H1985" i="2" s="1"/>
  <c r="I1986" i="2"/>
  <c r="H1986" i="2" s="1"/>
  <c r="I1987" i="2"/>
  <c r="H1987" i="2" s="1"/>
  <c r="I1988" i="2"/>
  <c r="H1988" i="2" s="1"/>
  <c r="I1989" i="2"/>
  <c r="H1989" i="2" s="1"/>
  <c r="I126" i="2"/>
  <c r="H126" i="2" s="1"/>
  <c r="I1990" i="2"/>
  <c r="H1990" i="2" s="1"/>
  <c r="I1991" i="2"/>
  <c r="H1991" i="2" s="1"/>
  <c r="I1992" i="2"/>
  <c r="H1992" i="2" s="1"/>
  <c r="I1993" i="2"/>
  <c r="H1993" i="2" s="1"/>
  <c r="I1994" i="2"/>
  <c r="H1994" i="2" s="1"/>
  <c r="I110" i="2"/>
  <c r="H110" i="2" s="1"/>
  <c r="I1995" i="2"/>
  <c r="H1995" i="2" s="1"/>
  <c r="I1996" i="2"/>
  <c r="H1996" i="2" s="1"/>
  <c r="I1997" i="2"/>
  <c r="H1997" i="2" s="1"/>
  <c r="I1998" i="2"/>
  <c r="H1998" i="2" s="1"/>
  <c r="I1999" i="2"/>
  <c r="H1999" i="2" s="1"/>
  <c r="I2000" i="2"/>
  <c r="H2000" i="2" s="1"/>
  <c r="I2001" i="2"/>
  <c r="H2001" i="2" s="1"/>
  <c r="I2002" i="2"/>
  <c r="H2002" i="2" s="1"/>
  <c r="I2003" i="2"/>
  <c r="H2003" i="2" s="1"/>
  <c r="I2004" i="2"/>
  <c r="H2004" i="2" s="1"/>
  <c r="I2005" i="2"/>
  <c r="H2005" i="2" s="1"/>
  <c r="I2006" i="2"/>
  <c r="H2006" i="2" s="1"/>
  <c r="I2007" i="2"/>
  <c r="H2007" i="2" s="1"/>
  <c r="I2008" i="2"/>
  <c r="H2008" i="2" s="1"/>
  <c r="I2009" i="2"/>
  <c r="H2009" i="2" s="1"/>
  <c r="I218" i="2"/>
  <c r="H218" i="2" s="1"/>
  <c r="I2010" i="2"/>
  <c r="H2010" i="2" s="1"/>
  <c r="I2011" i="2"/>
  <c r="H2011" i="2" s="1"/>
  <c r="I219" i="2"/>
  <c r="H219" i="2" s="1"/>
  <c r="I2012" i="2"/>
  <c r="H2012" i="2" s="1"/>
  <c r="I2013" i="2"/>
  <c r="H2013" i="2" s="1"/>
  <c r="I2014" i="2"/>
  <c r="H2014" i="2" s="1"/>
  <c r="I2015" i="2"/>
  <c r="H2015" i="2" s="1"/>
  <c r="I220" i="2"/>
  <c r="H220" i="2" s="1"/>
  <c r="I2016" i="2"/>
  <c r="H2016" i="2" s="1"/>
  <c r="I111" i="2"/>
  <c r="H111" i="2" s="1"/>
  <c r="I2017" i="2"/>
  <c r="H2017" i="2" s="1"/>
  <c r="I2018" i="2"/>
  <c r="H2018" i="2" s="1"/>
  <c r="I2019" i="2"/>
  <c r="H2019" i="2" s="1"/>
  <c r="I2020" i="2"/>
  <c r="H2020" i="2" s="1"/>
  <c r="I2021" i="2"/>
  <c r="H2021" i="2" s="1"/>
  <c r="I2022" i="2"/>
  <c r="H2022" i="2" s="1"/>
  <c r="I2023" i="2"/>
  <c r="H2023" i="2" s="1"/>
  <c r="I2024" i="2"/>
  <c r="H2024" i="2" s="1"/>
  <c r="I2025" i="2"/>
  <c r="H2025" i="2" s="1"/>
  <c r="I2026" i="2"/>
  <c r="H2026" i="2" s="1"/>
  <c r="I221" i="2"/>
  <c r="H221" i="2" s="1"/>
  <c r="I2027" i="2"/>
  <c r="H2027" i="2" s="1"/>
  <c r="I2028" i="2"/>
  <c r="H2028" i="2" s="1"/>
  <c r="I112" i="2"/>
  <c r="H112" i="2" s="1"/>
  <c r="I2029" i="2"/>
  <c r="H2029" i="2" s="1"/>
  <c r="I2030" i="2"/>
  <c r="H2030" i="2" s="1"/>
  <c r="I127" i="2"/>
  <c r="H127" i="2" s="1"/>
  <c r="I2031" i="2"/>
  <c r="H2031" i="2" s="1"/>
  <c r="I2032" i="2"/>
  <c r="H2032" i="2" s="1"/>
  <c r="I2033" i="2"/>
  <c r="H2033" i="2" s="1"/>
  <c r="I2034" i="2"/>
  <c r="H2034" i="2" s="1"/>
  <c r="I2035" i="2"/>
  <c r="H2035" i="2" s="1"/>
  <c r="I2036" i="2"/>
  <c r="H2036" i="2" s="1"/>
  <c r="I2037" i="2"/>
  <c r="H2037" i="2" s="1"/>
  <c r="I2038" i="2"/>
  <c r="H2038" i="2" s="1"/>
  <c r="I2039" i="2"/>
  <c r="H2039" i="2" s="1"/>
  <c r="I2040" i="2"/>
  <c r="H2040" i="2" s="1"/>
  <c r="I2041" i="2"/>
  <c r="H2041" i="2" s="1"/>
  <c r="I2042" i="2"/>
  <c r="H2042" i="2" s="1"/>
  <c r="I2043" i="2"/>
  <c r="H2043" i="2" s="1"/>
  <c r="I2044" i="2"/>
  <c r="H2044" i="2" s="1"/>
  <c r="I2045" i="2"/>
  <c r="H2045" i="2" s="1"/>
  <c r="I2046" i="2"/>
  <c r="H2046" i="2" s="1"/>
  <c r="I2047" i="2"/>
  <c r="H2047" i="2" s="1"/>
  <c r="I2048" i="2"/>
  <c r="H2048" i="2" s="1"/>
  <c r="I2049" i="2"/>
  <c r="H2049" i="2" s="1"/>
  <c r="I2050" i="2"/>
  <c r="H2050" i="2" s="1"/>
  <c r="I2051" i="2"/>
  <c r="H2051" i="2" s="1"/>
  <c r="I2052" i="2"/>
  <c r="H2052" i="2" s="1"/>
  <c r="I2053" i="2"/>
  <c r="H2053" i="2" s="1"/>
  <c r="I2054" i="2"/>
  <c r="H2054" i="2" s="1"/>
  <c r="I2055" i="2"/>
  <c r="H2055" i="2" s="1"/>
  <c r="I2056" i="2"/>
  <c r="H2056" i="2" s="1"/>
  <c r="I2057" i="2"/>
  <c r="H2057" i="2" s="1"/>
  <c r="I2058" i="2"/>
  <c r="H2058" i="2" s="1"/>
  <c r="I2059" i="2"/>
  <c r="H2059" i="2" s="1"/>
  <c r="I2060" i="2"/>
  <c r="H2060" i="2" s="1"/>
  <c r="I2061" i="2"/>
  <c r="H2061" i="2" s="1"/>
  <c r="I2062" i="2"/>
  <c r="H2062" i="2" s="1"/>
  <c r="I2063" i="2"/>
  <c r="H2063" i="2" s="1"/>
  <c r="I2064" i="2"/>
  <c r="H2064" i="2" s="1"/>
  <c r="I2065" i="2"/>
  <c r="H2065" i="2" s="1"/>
  <c r="I2066" i="2"/>
  <c r="H2066" i="2" s="1"/>
  <c r="I2067" i="2"/>
  <c r="H2067" i="2" s="1"/>
  <c r="I2068" i="2"/>
  <c r="H2068" i="2" s="1"/>
  <c r="I2069" i="2"/>
  <c r="H2069" i="2" s="1"/>
  <c r="I2070" i="2"/>
  <c r="H2070" i="2" s="1"/>
  <c r="I2071" i="2"/>
  <c r="H2071" i="2" s="1"/>
  <c r="I2072" i="2"/>
  <c r="H2072" i="2" s="1"/>
  <c r="I2073" i="2"/>
  <c r="H2073" i="2" s="1"/>
  <c r="I2074" i="2"/>
  <c r="H2074" i="2" s="1"/>
  <c r="I2075" i="2"/>
  <c r="H2075" i="2" s="1"/>
  <c r="I2076" i="2"/>
  <c r="H2076" i="2" s="1"/>
  <c r="I2077" i="2"/>
  <c r="H2077" i="2" s="1"/>
  <c r="I2078" i="2"/>
  <c r="H2078" i="2" s="1"/>
  <c r="I2079" i="2"/>
  <c r="H2079" i="2" s="1"/>
  <c r="I2080" i="2"/>
  <c r="H2080" i="2" s="1"/>
  <c r="I2081" i="2"/>
  <c r="H2081" i="2" s="1"/>
  <c r="I2082" i="2"/>
  <c r="H2082" i="2" s="1"/>
  <c r="I2083" i="2"/>
  <c r="H2083" i="2" s="1"/>
  <c r="I2084" i="2"/>
  <c r="H2084" i="2" s="1"/>
  <c r="I2085" i="2"/>
  <c r="H2085" i="2" s="1"/>
  <c r="I2086" i="2"/>
  <c r="H2086" i="2" s="1"/>
  <c r="I2087" i="2"/>
  <c r="H2087" i="2" s="1"/>
  <c r="I2088" i="2"/>
  <c r="H2088" i="2" s="1"/>
  <c r="I2089" i="2"/>
  <c r="H2089" i="2" s="1"/>
  <c r="I2090" i="2"/>
  <c r="H2090" i="2" s="1"/>
  <c r="I2091" i="2"/>
  <c r="H2091" i="2" s="1"/>
  <c r="I2092" i="2"/>
  <c r="H2092" i="2" s="1"/>
  <c r="I2093" i="2"/>
  <c r="H2093" i="2" s="1"/>
  <c r="I2094" i="2"/>
  <c r="H2094" i="2" s="1"/>
  <c r="I2095" i="2"/>
  <c r="H2095" i="2" s="1"/>
  <c r="I2096" i="2"/>
  <c r="H2096" i="2" s="1"/>
  <c r="I2097" i="2"/>
  <c r="H2097" i="2" s="1"/>
  <c r="I2098" i="2"/>
  <c r="H2098" i="2" s="1"/>
  <c r="I2099" i="2"/>
  <c r="H2099" i="2" s="1"/>
  <c r="I2100" i="2"/>
  <c r="H2100" i="2" s="1"/>
  <c r="I2101" i="2"/>
  <c r="H2101" i="2" s="1"/>
  <c r="I2102" i="2"/>
  <c r="H2102" i="2" s="1"/>
  <c r="I2103" i="2"/>
  <c r="H2103" i="2" s="1"/>
  <c r="I2104" i="2"/>
  <c r="H2104" i="2" s="1"/>
  <c r="I2105" i="2"/>
  <c r="H2105" i="2" s="1"/>
  <c r="I2106" i="2"/>
  <c r="H2106" i="2" s="1"/>
  <c r="I2107" i="2"/>
  <c r="H2107" i="2" s="1"/>
  <c r="I2108" i="2"/>
  <c r="H2108" i="2" s="1"/>
  <c r="I2109" i="2"/>
  <c r="H2109" i="2" s="1"/>
  <c r="I2110" i="2"/>
  <c r="H2110" i="2" s="1"/>
  <c r="I2111" i="2"/>
  <c r="H2111" i="2" s="1"/>
  <c r="I2112" i="2"/>
  <c r="H2112" i="2" s="1"/>
  <c r="I2113" i="2"/>
  <c r="H2113" i="2" s="1"/>
  <c r="I2114" i="2"/>
  <c r="H2114" i="2" s="1"/>
  <c r="I2115" i="2"/>
  <c r="H2115" i="2" s="1"/>
  <c r="I2116" i="2"/>
  <c r="H2116" i="2" s="1"/>
  <c r="I2117" i="2"/>
  <c r="H2117" i="2" s="1"/>
  <c r="I2118" i="2"/>
  <c r="H2118" i="2" s="1"/>
  <c r="I2119" i="2"/>
  <c r="H2119" i="2" s="1"/>
  <c r="I2120" i="2"/>
  <c r="H2120" i="2" s="1"/>
  <c r="I2121" i="2"/>
  <c r="H2121" i="2" s="1"/>
  <c r="I2122" i="2"/>
  <c r="H2122" i="2" s="1"/>
  <c r="I2123" i="2"/>
  <c r="H2123" i="2" s="1"/>
  <c r="I2124" i="2"/>
  <c r="H2124" i="2" s="1"/>
  <c r="I2125" i="2"/>
  <c r="H2125" i="2" s="1"/>
  <c r="I2126" i="2"/>
  <c r="H2126" i="2" s="1"/>
  <c r="I2127" i="2"/>
  <c r="H2127" i="2" s="1"/>
  <c r="I2128" i="2"/>
  <c r="H2128" i="2" s="1"/>
  <c r="I2129" i="2"/>
  <c r="H2129" i="2" s="1"/>
  <c r="I2130" i="2"/>
  <c r="H2130" i="2" s="1"/>
  <c r="I2131" i="2"/>
  <c r="H2131" i="2" s="1"/>
  <c r="I2132" i="2"/>
  <c r="H2132" i="2" s="1"/>
  <c r="I2133" i="2"/>
  <c r="H2133" i="2" s="1"/>
  <c r="I2134" i="2"/>
  <c r="H2134" i="2" s="1"/>
  <c r="I2135" i="2"/>
  <c r="H2135" i="2" s="1"/>
  <c r="I2136" i="2"/>
  <c r="H2136" i="2" s="1"/>
  <c r="I2137" i="2"/>
  <c r="H2137" i="2" s="1"/>
  <c r="I2138" i="2"/>
  <c r="H2138" i="2" s="1"/>
  <c r="I2139" i="2"/>
  <c r="H2139" i="2" s="1"/>
  <c r="I2140" i="2"/>
  <c r="H2140" i="2" s="1"/>
  <c r="I2141" i="2"/>
  <c r="H2141" i="2" s="1"/>
  <c r="I2142" i="2"/>
  <c r="H2142" i="2" s="1"/>
  <c r="I2143" i="2"/>
  <c r="H2143" i="2" s="1"/>
  <c r="I2144" i="2"/>
  <c r="H2144" i="2" s="1"/>
  <c r="I2145" i="2"/>
  <c r="H2145" i="2" s="1"/>
  <c r="I2146" i="2"/>
  <c r="H2146" i="2" s="1"/>
  <c r="I2147" i="2"/>
  <c r="H2147" i="2" s="1"/>
  <c r="I2148" i="2"/>
  <c r="H2148" i="2" s="1"/>
  <c r="I2149" i="2"/>
  <c r="H2149" i="2" s="1"/>
  <c r="I2150" i="2"/>
  <c r="H2150" i="2" s="1"/>
  <c r="I2151" i="2"/>
  <c r="H2151" i="2" s="1"/>
  <c r="I2152" i="2"/>
  <c r="H2152" i="2" s="1"/>
  <c r="I2153" i="2"/>
  <c r="H2153" i="2" s="1"/>
  <c r="I2154" i="2"/>
  <c r="H2154" i="2" s="1"/>
  <c r="I2155" i="2"/>
  <c r="H2155" i="2" s="1"/>
  <c r="I2156" i="2"/>
  <c r="H2156" i="2" s="1"/>
  <c r="I2157" i="2"/>
  <c r="H2157" i="2" s="1"/>
  <c r="I2158" i="2"/>
  <c r="H2158" i="2" s="1"/>
  <c r="I2159" i="2"/>
  <c r="H2159" i="2" s="1"/>
  <c r="I2160" i="2"/>
  <c r="H2160" i="2" s="1"/>
  <c r="I2161" i="2"/>
  <c r="H2161" i="2" s="1"/>
  <c r="I2162" i="2"/>
  <c r="H2162" i="2" s="1"/>
  <c r="I2163" i="2"/>
  <c r="H2163" i="2" s="1"/>
  <c r="I2164" i="2"/>
  <c r="H2164" i="2" s="1"/>
  <c r="I2165" i="2"/>
  <c r="H2165" i="2" s="1"/>
  <c r="I2166" i="2"/>
  <c r="H2166" i="2" s="1"/>
  <c r="I2167" i="2"/>
  <c r="H2167" i="2" s="1"/>
  <c r="I2168" i="2"/>
  <c r="H2168" i="2" s="1"/>
  <c r="I2169" i="2"/>
  <c r="H2169" i="2" s="1"/>
  <c r="I2170" i="2"/>
  <c r="H2170" i="2" s="1"/>
  <c r="I2171" i="2"/>
  <c r="H2171" i="2" s="1"/>
  <c r="I2172" i="2"/>
  <c r="H2172" i="2" s="1"/>
  <c r="I2173" i="2"/>
  <c r="H2173" i="2" s="1"/>
  <c r="I2174" i="2"/>
  <c r="H2174" i="2" s="1"/>
  <c r="I2175" i="2"/>
  <c r="H2175" i="2" s="1"/>
  <c r="I2176" i="2"/>
  <c r="H2176" i="2" s="1"/>
  <c r="I2177" i="2"/>
  <c r="H2177" i="2" s="1"/>
  <c r="I2178" i="2"/>
  <c r="H2178" i="2" s="1"/>
  <c r="I2179" i="2"/>
  <c r="H2179" i="2" s="1"/>
  <c r="I2180" i="2"/>
  <c r="H2180" i="2" s="1"/>
  <c r="I2181" i="2"/>
  <c r="H2181" i="2" s="1"/>
  <c r="I2182" i="2"/>
  <c r="H2182" i="2" s="1"/>
  <c r="I2183" i="2"/>
  <c r="H2183" i="2" s="1"/>
  <c r="I2184" i="2"/>
  <c r="H2184" i="2" s="1"/>
  <c r="I2185" i="2"/>
  <c r="H2185" i="2" s="1"/>
  <c r="I2186" i="2"/>
  <c r="H2186" i="2" s="1"/>
  <c r="I2187" i="2"/>
  <c r="H2187" i="2" s="1"/>
  <c r="I2188" i="2"/>
  <c r="H2188" i="2" s="1"/>
  <c r="I2189" i="2"/>
  <c r="H2189" i="2" s="1"/>
  <c r="I2190" i="2"/>
  <c r="H2190" i="2" s="1"/>
  <c r="I2191" i="2"/>
  <c r="H2191" i="2" s="1"/>
  <c r="I2192" i="2"/>
  <c r="H2192" i="2" s="1"/>
  <c r="I2193" i="2"/>
  <c r="H2193" i="2" s="1"/>
  <c r="I2194" i="2"/>
  <c r="H2194" i="2" s="1"/>
  <c r="I2195" i="2"/>
  <c r="H2195" i="2" s="1"/>
  <c r="I2196" i="2"/>
  <c r="H2196" i="2" s="1"/>
  <c r="I2197" i="2"/>
  <c r="H2197" i="2" s="1"/>
  <c r="I2198" i="2"/>
  <c r="H2198" i="2" s="1"/>
  <c r="I2199" i="2"/>
  <c r="H2199" i="2" s="1"/>
  <c r="I2200" i="2"/>
  <c r="H2200" i="2" s="1"/>
  <c r="I2201" i="2"/>
  <c r="H2201" i="2" s="1"/>
  <c r="I2202" i="2"/>
  <c r="H2202" i="2" s="1"/>
  <c r="I2203" i="2"/>
  <c r="H2203" i="2" s="1"/>
  <c r="I2204" i="2"/>
  <c r="H2204" i="2" s="1"/>
  <c r="I2205" i="2"/>
  <c r="H2205" i="2" s="1"/>
  <c r="I2206" i="2"/>
  <c r="H2206" i="2" s="1"/>
  <c r="I2207" i="2"/>
  <c r="H2207" i="2" s="1"/>
  <c r="I2208" i="2"/>
  <c r="H2208" i="2" s="1"/>
  <c r="I2209" i="2"/>
  <c r="H2209" i="2" s="1"/>
  <c r="I2210" i="2"/>
  <c r="H2210" i="2" s="1"/>
  <c r="I2211" i="2"/>
  <c r="H2211" i="2" s="1"/>
  <c r="I2212" i="2"/>
  <c r="H2212" i="2" s="1"/>
  <c r="I2213" i="2"/>
  <c r="H2213" i="2" s="1"/>
  <c r="I2214" i="2"/>
  <c r="H2214" i="2" s="1"/>
  <c r="I2215" i="2"/>
  <c r="H2215" i="2" s="1"/>
  <c r="I2216" i="2"/>
  <c r="H2216" i="2" s="1"/>
  <c r="I2217" i="2"/>
  <c r="H2217" i="2" s="1"/>
  <c r="I2218" i="2"/>
  <c r="H2218" i="2" s="1"/>
  <c r="I2219" i="2"/>
  <c r="H2219" i="2" s="1"/>
  <c r="I2220" i="2"/>
  <c r="H2220" i="2" s="1"/>
  <c r="I2221" i="2"/>
  <c r="H2221" i="2" s="1"/>
  <c r="I2222" i="2"/>
  <c r="H2222" i="2" s="1"/>
  <c r="I2223" i="2"/>
  <c r="H2223" i="2" s="1"/>
  <c r="I2224" i="2"/>
  <c r="H2224" i="2" s="1"/>
  <c r="I2225" i="2"/>
  <c r="H2225" i="2" s="1"/>
  <c r="I2226" i="2"/>
  <c r="H2226" i="2" s="1"/>
  <c r="I2227" i="2"/>
  <c r="H2227" i="2" s="1"/>
  <c r="I2228" i="2"/>
  <c r="H2228" i="2" s="1"/>
  <c r="I2229" i="2"/>
  <c r="H2229" i="2" s="1"/>
  <c r="I2230" i="2"/>
  <c r="H2230" i="2" s="1"/>
  <c r="I2231" i="2"/>
  <c r="H2231" i="2" s="1"/>
  <c r="I2232" i="2"/>
  <c r="H2232" i="2" s="1"/>
  <c r="I2233" i="2"/>
  <c r="H2233" i="2" s="1"/>
  <c r="I2234" i="2"/>
  <c r="H2234" i="2" s="1"/>
  <c r="I2235" i="2"/>
  <c r="H2235" i="2" s="1"/>
  <c r="I2236" i="2"/>
  <c r="H2236" i="2" s="1"/>
  <c r="J1881" i="2" l="1"/>
  <c r="J1858" i="2"/>
  <c r="J1843" i="2"/>
  <c r="J1815" i="2"/>
  <c r="J1795" i="2"/>
  <c r="J1773" i="2"/>
  <c r="J1760" i="2"/>
  <c r="J1620" i="2"/>
  <c r="J1183" i="2"/>
  <c r="J484" i="2"/>
  <c r="J476" i="2"/>
  <c r="J449" i="2"/>
  <c r="J434" i="2"/>
  <c r="J411" i="2"/>
  <c r="J400" i="2"/>
  <c r="J365" i="2"/>
  <c r="J346" i="2"/>
  <c r="J1887" i="2"/>
  <c r="J1877" i="2"/>
  <c r="J1855" i="2"/>
  <c r="J1847" i="2"/>
  <c r="J1824" i="2"/>
  <c r="J1812" i="2"/>
  <c r="J1802" i="2"/>
  <c r="J1777" i="2"/>
  <c r="J1763" i="2"/>
  <c r="J1725" i="2"/>
  <c r="J480" i="2"/>
  <c r="J468" i="2"/>
  <c r="J461" i="2"/>
  <c r="J441" i="2"/>
  <c r="J426" i="2"/>
  <c r="J418" i="2"/>
  <c r="J404" i="2"/>
  <c r="J377" i="2"/>
  <c r="J357" i="2"/>
  <c r="J350" i="2"/>
  <c r="J467" i="2"/>
  <c r="J1891" i="2"/>
  <c r="J1865" i="2"/>
  <c r="J1851" i="2"/>
  <c r="J1839" i="2"/>
  <c r="J1808" i="2"/>
  <c r="J1781" i="2"/>
  <c r="J1769" i="2"/>
  <c r="J1756" i="2"/>
  <c r="J597" i="2"/>
  <c r="J472" i="2"/>
  <c r="J457" i="2"/>
  <c r="J422" i="2"/>
  <c r="J407" i="2"/>
  <c r="J392" i="2"/>
  <c r="J369" i="2"/>
  <c r="J354" i="2"/>
  <c r="J1873" i="2"/>
  <c r="J1788" i="2"/>
  <c r="J1648" i="2"/>
  <c r="J1376" i="2"/>
  <c r="J1366" i="2"/>
  <c r="J1360" i="2"/>
  <c r="J1352" i="2"/>
  <c r="J1342" i="2"/>
  <c r="J1335" i="2"/>
  <c r="J1328" i="2"/>
  <c r="J1320" i="2"/>
  <c r="J1298" i="2"/>
  <c r="J1291" i="2"/>
  <c r="J1288" i="2"/>
  <c r="J1270" i="2"/>
  <c r="J1258" i="2"/>
  <c r="J1250" i="2"/>
  <c r="J1242" i="2"/>
  <c r="J1141" i="2"/>
  <c r="J247" i="2"/>
  <c r="J1869" i="2"/>
  <c r="J1836" i="2"/>
  <c r="J1791" i="2"/>
  <c r="J1370" i="2"/>
  <c r="J1363" i="2"/>
  <c r="J1356" i="2"/>
  <c r="J1346" i="2"/>
  <c r="J1338" i="2"/>
  <c r="J1332" i="2"/>
  <c r="J1324" i="2"/>
  <c r="J1315" i="2"/>
  <c r="J1294" i="2"/>
  <c r="J1281" i="2"/>
  <c r="J1277" i="2"/>
  <c r="J1266" i="2"/>
  <c r="J1254" i="2"/>
  <c r="J1246" i="2"/>
  <c r="J1721" i="2"/>
  <c r="J1512" i="2"/>
  <c r="J992" i="2"/>
  <c r="J905" i="2"/>
  <c r="J1655" i="2"/>
  <c r="J1516" i="2"/>
  <c r="J1152" i="2"/>
  <c r="J1698" i="2"/>
  <c r="J1665" i="2"/>
  <c r="J1500" i="2"/>
  <c r="J1423" i="2"/>
  <c r="J1410" i="2"/>
  <c r="J1199" i="2"/>
  <c r="J1170" i="2"/>
  <c r="J1163" i="2"/>
  <c r="J1902" i="2"/>
  <c r="J1832" i="2"/>
  <c r="J1694" i="2"/>
  <c r="J1686" i="2"/>
  <c r="J1436" i="2"/>
  <c r="J1415" i="2"/>
  <c r="J1401" i="2"/>
  <c r="J1174" i="2"/>
  <c r="J1166" i="2"/>
  <c r="J1160" i="2"/>
  <c r="J1156" i="2"/>
  <c r="J925" i="2"/>
  <c r="J901" i="2"/>
  <c r="J871" i="2"/>
  <c r="J823" i="2"/>
  <c r="J806" i="2"/>
  <c r="J792" i="2"/>
  <c r="J740" i="2"/>
  <c r="J698" i="2"/>
  <c r="J681" i="2"/>
  <c r="J654" i="2"/>
  <c r="J594" i="2"/>
  <c r="J897" i="2"/>
  <c r="J846" i="2"/>
  <c r="J819" i="2"/>
  <c r="J798" i="2"/>
  <c r="J748" i="2"/>
  <c r="J710" i="2"/>
  <c r="J684" i="2"/>
  <c r="J677" i="2"/>
  <c r="J619" i="2"/>
  <c r="J590" i="2"/>
  <c r="J586" i="2"/>
  <c r="J116" i="2"/>
  <c r="J121" i="2"/>
  <c r="J563" i="2"/>
  <c r="J240" i="2"/>
  <c r="J2028" i="2"/>
  <c r="J2021" i="2"/>
  <c r="J2015" i="2"/>
  <c r="J2005" i="2"/>
  <c r="J2001" i="2"/>
  <c r="J1990" i="2"/>
  <c r="J1987" i="2"/>
  <c r="J1976" i="2"/>
  <c r="J1968" i="2"/>
  <c r="J1960" i="2"/>
  <c r="J1947" i="2"/>
  <c r="J1943" i="2"/>
  <c r="J1932" i="2"/>
  <c r="J1921" i="2"/>
  <c r="J1917" i="2"/>
  <c r="J1910" i="2"/>
  <c r="J1884" i="2"/>
  <c r="J1862" i="2"/>
  <c r="J1828" i="2"/>
  <c r="J1785" i="2"/>
  <c r="J1753" i="2"/>
  <c r="J1745" i="2"/>
  <c r="J1741" i="2"/>
  <c r="J1729" i="2"/>
  <c r="J123" i="2"/>
  <c r="J1713" i="2"/>
  <c r="J1705" i="2"/>
  <c r="J1690" i="2"/>
  <c r="J1679" i="2"/>
  <c r="J1675" i="2"/>
  <c r="J1662" i="2"/>
  <c r="J1641" i="2"/>
  <c r="J1633" i="2"/>
  <c r="J51" i="2"/>
  <c r="J1616" i="2"/>
  <c r="J1609" i="2"/>
  <c r="J1607" i="2"/>
  <c r="J1593" i="2"/>
  <c r="J1585" i="2"/>
  <c r="J1577" i="2"/>
  <c r="J1571" i="2"/>
  <c r="J1565" i="2"/>
  <c r="J1553" i="2"/>
  <c r="J1551" i="2"/>
  <c r="J1534" i="2"/>
  <c r="J1527" i="2"/>
  <c r="J1519" i="2"/>
  <c r="J1508" i="2"/>
  <c r="J1496" i="2"/>
  <c r="J1492" i="2"/>
  <c r="J1480" i="2"/>
  <c r="J1476" i="2"/>
  <c r="J1464" i="2"/>
  <c r="J1449" i="2"/>
  <c r="J1445" i="2"/>
  <c r="J1430" i="2"/>
  <c r="J1413" i="2"/>
  <c r="J1397" i="2"/>
  <c r="J1387" i="2"/>
  <c r="J1383" i="2"/>
  <c r="J127" i="2"/>
  <c r="J2017" i="2"/>
  <c r="J2009" i="2"/>
  <c r="J1994" i="2"/>
  <c r="J1980" i="2"/>
  <c r="J1964" i="2"/>
  <c r="J1951" i="2"/>
  <c r="J1936" i="2"/>
  <c r="J1928" i="2"/>
  <c r="J1913" i="2"/>
  <c r="J1899" i="2"/>
  <c r="J1749" i="2"/>
  <c r="J1733" i="2"/>
  <c r="J1701" i="2"/>
  <c r="J1669" i="2"/>
  <c r="J1637" i="2"/>
  <c r="J1597" i="2"/>
  <c r="J1581" i="2"/>
  <c r="J1568" i="2"/>
  <c r="J1557" i="2"/>
  <c r="J1543" i="2"/>
  <c r="J1530" i="2"/>
  <c r="J1504" i="2"/>
  <c r="J1488" i="2"/>
  <c r="J1468" i="2"/>
  <c r="J1453" i="2"/>
  <c r="J1439" i="2"/>
  <c r="J1427" i="2"/>
  <c r="J1404" i="2"/>
  <c r="J1391" i="2"/>
  <c r="J1372" i="2"/>
  <c r="J1308" i="2"/>
  <c r="J1285" i="2"/>
  <c r="J1263" i="2"/>
  <c r="J1238" i="2"/>
  <c r="J1230" i="2"/>
  <c r="J1222" i="2"/>
  <c r="J1214" i="2"/>
  <c r="J1206" i="2"/>
  <c r="J1192" i="2"/>
  <c r="J1177" i="2"/>
  <c r="J1148" i="2"/>
  <c r="J1135" i="2"/>
  <c r="J1127" i="2"/>
  <c r="J1119" i="2"/>
  <c r="J1107" i="2"/>
  <c r="J1100" i="2"/>
  <c r="J1094" i="2"/>
  <c r="J1083" i="2"/>
  <c r="J1079" i="2"/>
  <c r="J2025" i="2"/>
  <c r="J1997" i="2"/>
  <c r="J1984" i="2"/>
  <c r="J1972" i="2"/>
  <c r="J1956" i="2"/>
  <c r="J1939" i="2"/>
  <c r="J1924" i="2"/>
  <c r="J1906" i="2"/>
  <c r="J1895" i="2"/>
  <c r="J1737" i="2"/>
  <c r="J1709" i="2"/>
  <c r="J1671" i="2"/>
  <c r="J1659" i="2"/>
  <c r="J1644" i="2"/>
  <c r="J1629" i="2"/>
  <c r="J50" i="2"/>
  <c r="J1589" i="2"/>
  <c r="J1574" i="2"/>
  <c r="J1561" i="2"/>
  <c r="J1547" i="2"/>
  <c r="J1538" i="2"/>
  <c r="J1523" i="2"/>
  <c r="J1484" i="2"/>
  <c r="J1472" i="2"/>
  <c r="J1457" i="2"/>
  <c r="J1443" i="2"/>
  <c r="J1434" i="2"/>
  <c r="J1419" i="2"/>
  <c r="J13" i="2"/>
  <c r="J1394" i="2"/>
  <c r="J1380" i="2"/>
  <c r="J1305" i="2"/>
  <c r="J10" i="2"/>
  <c r="J1234" i="2"/>
  <c r="J1226" i="2"/>
  <c r="J1218" i="2"/>
  <c r="J1210" i="2"/>
  <c r="J1203" i="2"/>
  <c r="J1195" i="2"/>
  <c r="J1190" i="2"/>
  <c r="J1180" i="2"/>
  <c r="J1144" i="2"/>
  <c r="J1139" i="2"/>
  <c r="J1131" i="2"/>
  <c r="J1123" i="2"/>
  <c r="J1103" i="2"/>
  <c r="J1090" i="2"/>
  <c r="J39" i="2"/>
  <c r="J1075" i="2"/>
  <c r="J1071" i="2"/>
  <c r="J1066" i="2"/>
  <c r="J1061" i="2"/>
  <c r="J38" i="2"/>
  <c r="J1042" i="2"/>
  <c r="J1034" i="2"/>
  <c r="J1027" i="2"/>
  <c r="J1019" i="2"/>
  <c r="J1012" i="2"/>
  <c r="J1004" i="2"/>
  <c r="J101" i="2"/>
  <c r="J985" i="2"/>
  <c r="J978" i="2"/>
  <c r="J970" i="2"/>
  <c r="J963" i="2"/>
  <c r="J35" i="2"/>
  <c r="J953" i="2"/>
  <c r="J945" i="2"/>
  <c r="J937" i="2"/>
  <c r="J929" i="2"/>
  <c r="J921" i="2"/>
  <c r="J913" i="2"/>
  <c r="J890" i="2"/>
  <c r="J877" i="2"/>
  <c r="J864" i="2"/>
  <c r="J857" i="2"/>
  <c r="J850" i="2"/>
  <c r="J845" i="2"/>
  <c r="J838" i="2"/>
  <c r="J4" i="2"/>
  <c r="J827" i="2"/>
  <c r="J811" i="2"/>
  <c r="J802" i="2"/>
  <c r="J795" i="2"/>
  <c r="J788" i="2"/>
  <c r="J780" i="2"/>
  <c r="J773" i="2"/>
  <c r="J766" i="2"/>
  <c r="J760" i="2"/>
  <c r="J752" i="2"/>
  <c r="J702" i="2"/>
  <c r="J695" i="2"/>
  <c r="J688" i="2"/>
  <c r="J669" i="2"/>
  <c r="J647" i="2"/>
  <c r="J640" i="2"/>
  <c r="J23" i="2"/>
  <c r="J21" i="2"/>
  <c r="J615" i="2"/>
  <c r="J607" i="2"/>
  <c r="J92" i="2"/>
  <c r="J582" i="2"/>
  <c r="J571" i="2"/>
  <c r="J556" i="2"/>
  <c r="J553" i="2"/>
  <c r="J18" i="2"/>
  <c r="J538" i="2"/>
  <c r="J531" i="2"/>
  <c r="J523" i="2"/>
  <c r="J515" i="2"/>
  <c r="J507" i="2"/>
  <c r="J500" i="2"/>
  <c r="J488" i="2"/>
  <c r="J437" i="2"/>
  <c r="J396" i="2"/>
  <c r="J87" i="2"/>
  <c r="J361" i="2"/>
  <c r="J330" i="2"/>
  <c r="J322" i="2"/>
  <c r="J314" i="2"/>
  <c r="J306" i="2"/>
  <c r="J294" i="2"/>
  <c r="J287" i="2"/>
  <c r="J279" i="2"/>
  <c r="J276" i="2"/>
  <c r="J270" i="2"/>
  <c r="J259" i="2"/>
  <c r="J251" i="2"/>
  <c r="J232" i="2"/>
  <c r="J85" i="2"/>
  <c r="J117" i="2"/>
  <c r="J1058" i="2"/>
  <c r="J1052" i="2"/>
  <c r="J1046" i="2"/>
  <c r="J1038" i="2"/>
  <c r="J1031" i="2"/>
  <c r="J1023" i="2"/>
  <c r="J103" i="2"/>
  <c r="J1008" i="2"/>
  <c r="J1000" i="2"/>
  <c r="J7" i="2"/>
  <c r="J989" i="2"/>
  <c r="J981" i="2"/>
  <c r="J974" i="2"/>
  <c r="J967" i="2"/>
  <c r="J960" i="2"/>
  <c r="J956" i="2"/>
  <c r="J949" i="2"/>
  <c r="J941" i="2"/>
  <c r="J933" i="2"/>
  <c r="J917" i="2"/>
  <c r="J909" i="2"/>
  <c r="J894" i="2"/>
  <c r="J34" i="2"/>
  <c r="J881" i="2"/>
  <c r="J6" i="2"/>
  <c r="J868" i="2"/>
  <c r="J860" i="2"/>
  <c r="J100" i="2"/>
  <c r="J835" i="2"/>
  <c r="J33" i="2"/>
  <c r="J815" i="2"/>
  <c r="J784" i="2"/>
  <c r="J777" i="2"/>
  <c r="J769" i="2"/>
  <c r="J763" i="2"/>
  <c r="J756" i="2"/>
  <c r="J744" i="2"/>
  <c r="J2" i="2"/>
  <c r="J729" i="2"/>
  <c r="J99" i="2"/>
  <c r="J723" i="2"/>
  <c r="J720" i="2"/>
  <c r="J717" i="2"/>
  <c r="J706" i="2"/>
  <c r="J691" i="2"/>
  <c r="J658" i="2"/>
  <c r="J650" i="2"/>
  <c r="J643" i="2"/>
  <c r="J637" i="2"/>
  <c r="J95" i="2"/>
  <c r="J611" i="2"/>
  <c r="J93" i="2"/>
  <c r="J579" i="2"/>
  <c r="J575" i="2"/>
  <c r="J567" i="2"/>
  <c r="J559" i="2"/>
  <c r="J549" i="2"/>
  <c r="J542" i="2"/>
  <c r="J90" i="2"/>
  <c r="J527" i="2"/>
  <c r="J519" i="2"/>
  <c r="J511" i="2"/>
  <c r="J503" i="2"/>
  <c r="J496" i="2"/>
  <c r="J445" i="2"/>
  <c r="J430" i="2"/>
  <c r="J388" i="2"/>
  <c r="J373" i="2"/>
  <c r="J337" i="2"/>
  <c r="J326" i="2"/>
  <c r="J318" i="2"/>
  <c r="J310" i="2"/>
  <c r="J302" i="2"/>
  <c r="J298" i="2"/>
  <c r="J290" i="2"/>
  <c r="J283" i="2"/>
  <c r="J272" i="2"/>
  <c r="J266" i="2"/>
  <c r="J262" i="2"/>
  <c r="J255" i="2"/>
  <c r="J236" i="2"/>
  <c r="J228" i="2"/>
  <c r="J25" i="2"/>
  <c r="J20" i="2"/>
  <c r="J2020" i="2"/>
  <c r="J111" i="2"/>
  <c r="J2030" i="2"/>
  <c r="J2027" i="2"/>
  <c r="J2024" i="2"/>
  <c r="J2014" i="2"/>
  <c r="J2008" i="2"/>
  <c r="J1993" i="2"/>
  <c r="J1979" i="2"/>
  <c r="J1963" i="2"/>
  <c r="J1953" i="2"/>
  <c r="J1935" i="2"/>
  <c r="J1920" i="2"/>
  <c r="J1909" i="2"/>
  <c r="J1894" i="2"/>
  <c r="J1876" i="2"/>
  <c r="J1861" i="2"/>
  <c r="J1850" i="2"/>
  <c r="J1835" i="2"/>
  <c r="J1820" i="2"/>
  <c r="J1807" i="2"/>
  <c r="J1801" i="2"/>
  <c r="J1784" i="2"/>
  <c r="J1768" i="2"/>
  <c r="J1748" i="2"/>
  <c r="J1732" i="2"/>
  <c r="J1720" i="2"/>
  <c r="J1708" i="2"/>
  <c r="J1693" i="2"/>
  <c r="J1678" i="2"/>
  <c r="J1668" i="2"/>
  <c r="J1654" i="2"/>
  <c r="J1640" i="2"/>
  <c r="J1626" i="2"/>
  <c r="J1615" i="2"/>
  <c r="J1603" i="2"/>
  <c r="J1588" i="2"/>
  <c r="J1580" i="2"/>
  <c r="J1564" i="2"/>
  <c r="J1550" i="2"/>
  <c r="J1542" i="2"/>
  <c r="J107" i="2"/>
  <c r="J1515" i="2"/>
  <c r="J1499" i="2"/>
  <c r="J1483" i="2"/>
  <c r="J1467" i="2"/>
  <c r="J1452" i="2"/>
  <c r="J47" i="2"/>
  <c r="J1426" i="2"/>
  <c r="J1403" i="2"/>
  <c r="J1390" i="2"/>
  <c r="J1379" i="2"/>
  <c r="J1362" i="2"/>
  <c r="J1337" i="2"/>
  <c r="J1323" i="2"/>
  <c r="J1311" i="2"/>
  <c r="J1297" i="2"/>
  <c r="J44" i="2"/>
  <c r="J1273" i="2"/>
  <c r="J1249" i="2"/>
  <c r="J1233" i="2"/>
  <c r="J1221" i="2"/>
  <c r="J1205" i="2"/>
  <c r="J1179" i="2"/>
  <c r="J40" i="2"/>
  <c r="J1155" i="2"/>
  <c r="J1130" i="2"/>
  <c r="J1115" i="2"/>
  <c r="J1102" i="2"/>
  <c r="J1086" i="2"/>
  <c r="J118" i="2"/>
  <c r="J1065" i="2"/>
  <c r="J1041" i="2"/>
  <c r="J1026" i="2"/>
  <c r="J1015" i="2"/>
  <c r="J102" i="2"/>
  <c r="J984" i="2"/>
  <c r="J969" i="2"/>
  <c r="J948" i="2"/>
  <c r="J936" i="2"/>
  <c r="J920" i="2"/>
  <c r="J904" i="2"/>
  <c r="J893" i="2"/>
  <c r="J876" i="2"/>
  <c r="J863" i="2"/>
  <c r="J853" i="2"/>
  <c r="J841" i="2"/>
  <c r="J833" i="2"/>
  <c r="J822" i="2"/>
  <c r="J32" i="2"/>
  <c r="J805" i="2"/>
  <c r="J794" i="2"/>
  <c r="J783" i="2"/>
  <c r="J772" i="2"/>
  <c r="J743" i="2"/>
  <c r="J728" i="2"/>
  <c r="J27" i="2"/>
  <c r="J705" i="2"/>
  <c r="J24" i="2"/>
  <c r="J680" i="2"/>
  <c r="J664" i="2"/>
  <c r="J649" i="2"/>
  <c r="J639" i="2"/>
  <c r="J614" i="2"/>
  <c r="J600" i="2"/>
  <c r="J585" i="2"/>
  <c r="J570" i="2"/>
  <c r="J555" i="2"/>
  <c r="J541" i="2"/>
  <c r="J534" i="2"/>
  <c r="J518" i="2"/>
  <c r="J502" i="2"/>
  <c r="J491" i="2"/>
  <c r="J464" i="2"/>
  <c r="J448" i="2"/>
  <c r="J421" i="2"/>
  <c r="J406" i="2"/>
  <c r="J395" i="2"/>
  <c r="J380" i="2"/>
  <c r="J364" i="2"/>
  <c r="J353" i="2"/>
  <c r="J340" i="2"/>
  <c r="J325" i="2"/>
  <c r="J309" i="2"/>
  <c r="J293" i="2"/>
  <c r="J275" i="2"/>
  <c r="J250" i="2"/>
  <c r="J231" i="2"/>
  <c r="J2029" i="2"/>
  <c r="J2023" i="2"/>
  <c r="J2019" i="2"/>
  <c r="J2016" i="2"/>
  <c r="J2013" i="2"/>
  <c r="J2010" i="2"/>
  <c r="J2007" i="2"/>
  <c r="J2003" i="2"/>
  <c r="J1999" i="2"/>
  <c r="J1995" i="2"/>
  <c r="J1992" i="2"/>
  <c r="J1989" i="2"/>
  <c r="J1985" i="2"/>
  <c r="J1982" i="2"/>
  <c r="J1978" i="2"/>
  <c r="J1974" i="2"/>
  <c r="J2011" i="2"/>
  <c r="J2000" i="2"/>
  <c r="J1996" i="2"/>
  <c r="J1986" i="2"/>
  <c r="J1983" i="2"/>
  <c r="J1971" i="2"/>
  <c r="J1967" i="2"/>
  <c r="J1955" i="2"/>
  <c r="J1946" i="2"/>
  <c r="J1942" i="2"/>
  <c r="J1931" i="2"/>
  <c r="J1927" i="2"/>
  <c r="J1916" i="2"/>
  <c r="J1912" i="2"/>
  <c r="J1901" i="2"/>
  <c r="J1898" i="2"/>
  <c r="J1886" i="2"/>
  <c r="J1883" i="2"/>
  <c r="J1872" i="2"/>
  <c r="J1868" i="2"/>
  <c r="J1857" i="2"/>
  <c r="J1846" i="2"/>
  <c r="J1842" i="2"/>
  <c r="J1831" i="2"/>
  <c r="J1827" i="2"/>
  <c r="J109" i="2"/>
  <c r="J1814" i="2"/>
  <c r="J1805" i="2"/>
  <c r="J1794" i="2"/>
  <c r="J1790" i="2"/>
  <c r="J1780" i="2"/>
  <c r="J1776" i="2"/>
  <c r="J1765" i="2"/>
  <c r="J1752" i="2"/>
  <c r="J1744" i="2"/>
  <c r="J1736" i="2"/>
  <c r="J1724" i="2"/>
  <c r="J1717" i="2"/>
  <c r="J1712" i="2"/>
  <c r="J1700" i="2"/>
  <c r="J1697" i="2"/>
  <c r="J1685" i="2"/>
  <c r="J1682" i="2"/>
  <c r="J1658" i="2"/>
  <c r="J1651" i="2"/>
  <c r="J1636" i="2"/>
  <c r="J1623" i="2"/>
  <c r="J1612" i="2"/>
  <c r="J1600" i="2"/>
  <c r="J1596" i="2"/>
  <c r="J1584" i="2"/>
  <c r="J1573" i="2"/>
  <c r="J1560" i="2"/>
  <c r="J1546" i="2"/>
  <c r="J1537" i="2"/>
  <c r="J1533" i="2"/>
  <c r="J1522" i="2"/>
  <c r="J1518" i="2"/>
  <c r="J1507" i="2"/>
  <c r="J1503" i="2"/>
  <c r="J1491" i="2"/>
  <c r="J1479" i="2"/>
  <c r="J1475" i="2"/>
  <c r="J1463" i="2"/>
  <c r="J1460" i="2"/>
  <c r="J1448" i="2"/>
  <c r="J48" i="2"/>
  <c r="J46" i="2"/>
  <c r="J14" i="2"/>
  <c r="J1422" i="2"/>
  <c r="J1412" i="2"/>
  <c r="J1409" i="2"/>
  <c r="J1400" i="2"/>
  <c r="J1393" i="2"/>
  <c r="J1386" i="2"/>
  <c r="J1375" i="2"/>
  <c r="J1371" i="2"/>
  <c r="J1365" i="2"/>
  <c r="J1355" i="2"/>
  <c r="J1349" i="2"/>
  <c r="J1341" i="2"/>
  <c r="J1334" i="2"/>
  <c r="J1327" i="2"/>
  <c r="J1319" i="2"/>
  <c r="J1314" i="2"/>
  <c r="J1307" i="2"/>
  <c r="J1301" i="2"/>
  <c r="J1284" i="2"/>
  <c r="J1280" i="2"/>
  <c r="J1269" i="2"/>
  <c r="J1262" i="2"/>
  <c r="J1253" i="2"/>
  <c r="J1245" i="2"/>
  <c r="J1237" i="2"/>
  <c r="J1229" i="2"/>
  <c r="J1217" i="2"/>
  <c r="J1213" i="2"/>
  <c r="J1202" i="2"/>
  <c r="J1198" i="2"/>
  <c r="J1189" i="2"/>
  <c r="J1186" i="2"/>
  <c r="J41" i="2"/>
  <c r="J1173" i="2"/>
  <c r="J1159" i="2"/>
  <c r="J1147" i="2"/>
  <c r="J1143" i="2"/>
  <c r="J1134" i="2"/>
  <c r="J1122" i="2"/>
  <c r="J1118" i="2"/>
  <c r="J1110" i="2"/>
  <c r="J1106" i="2"/>
  <c r="J1093" i="2"/>
  <c r="J1082" i="2"/>
  <c r="J1078" i="2"/>
  <c r="J1060" i="2"/>
  <c r="J1057" i="2"/>
  <c r="J37" i="2"/>
  <c r="J1045" i="2"/>
  <c r="J1033" i="2"/>
  <c r="J1030" i="2"/>
  <c r="J1018" i="2"/>
  <c r="J1011" i="2"/>
  <c r="J1003" i="2"/>
  <c r="J995" i="2"/>
  <c r="J991" i="2"/>
  <c r="J980" i="2"/>
  <c r="J977" i="2"/>
  <c r="J966" i="2"/>
  <c r="J955" i="2"/>
  <c r="J944" i="2"/>
  <c r="J940" i="2"/>
  <c r="J928" i="2"/>
  <c r="J924" i="2"/>
  <c r="J912" i="2"/>
  <c r="J908" i="2"/>
  <c r="J889" i="2"/>
  <c r="J884" i="2"/>
  <c r="J873" i="2"/>
  <c r="J870" i="2"/>
  <c r="J856" i="2"/>
  <c r="J837" i="2"/>
  <c r="J826" i="2"/>
  <c r="J818" i="2"/>
  <c r="J814" i="2"/>
  <c r="J3" i="2"/>
  <c r="J801" i="2"/>
  <c r="J797" i="2"/>
  <c r="J791" i="2"/>
  <c r="J776" i="2"/>
  <c r="J29" i="2"/>
  <c r="J762" i="2"/>
  <c r="J751" i="2"/>
  <c r="J747" i="2"/>
  <c r="J736" i="2"/>
  <c r="J98" i="2"/>
  <c r="J26" i="2"/>
  <c r="J709" i="2"/>
  <c r="J697" i="2"/>
  <c r="J694" i="2"/>
  <c r="J672" i="2"/>
  <c r="J668" i="2"/>
  <c r="J657" i="2"/>
  <c r="J653" i="2"/>
  <c r="J642" i="2"/>
  <c r="J636" i="2"/>
  <c r="J631" i="2"/>
  <c r="J624" i="2"/>
  <c r="J618" i="2"/>
  <c r="J603" i="2"/>
  <c r="J593" i="2"/>
  <c r="J589" i="2"/>
  <c r="J578" i="2"/>
  <c r="J566" i="2"/>
  <c r="J562" i="2"/>
  <c r="J552" i="2"/>
  <c r="J545" i="2"/>
  <c r="J537" i="2"/>
  <c r="J526" i="2"/>
  <c r="J522" i="2"/>
  <c r="J510" i="2"/>
  <c r="J506" i="2"/>
  <c r="J495" i="2"/>
  <c r="J487" i="2"/>
  <c r="J479" i="2"/>
  <c r="J471" i="2"/>
  <c r="J456" i="2"/>
  <c r="J444" i="2"/>
  <c r="J440" i="2"/>
  <c r="J429" i="2"/>
  <c r="J410" i="2"/>
  <c r="J399" i="2"/>
  <c r="J391" i="2"/>
  <c r="J383" i="2"/>
  <c r="J376" i="2"/>
  <c r="J368" i="2"/>
  <c r="J360" i="2"/>
  <c r="J349" i="2"/>
  <c r="J342" i="2"/>
  <c r="J336" i="2"/>
  <c r="J329" i="2"/>
  <c r="J321" i="2"/>
  <c r="J301" i="2"/>
  <c r="J297" i="2"/>
  <c r="J286" i="2"/>
  <c r="J282" i="2"/>
  <c r="J265" i="2"/>
  <c r="J258" i="2"/>
  <c r="J246" i="2"/>
  <c r="J239" i="2"/>
  <c r="J235" i="2"/>
  <c r="J227" i="2"/>
  <c r="J2031" i="2"/>
  <c r="J112" i="2"/>
  <c r="J2026" i="2"/>
  <c r="J2022" i="2"/>
  <c r="J2018" i="2"/>
  <c r="J2012" i="2"/>
  <c r="J2006" i="2"/>
  <c r="J2002" i="2"/>
  <c r="J1998" i="2"/>
  <c r="J110" i="2"/>
  <c r="J1991" i="2"/>
  <c r="J1988" i="2"/>
  <c r="J1981" i="2"/>
  <c r="J1977" i="2"/>
  <c r="J1973" i="2"/>
  <c r="J1969" i="2"/>
  <c r="J1965" i="2"/>
  <c r="J1961" i="2"/>
  <c r="J1957" i="2"/>
  <c r="J1954" i="2"/>
  <c r="J1952" i="2"/>
  <c r="J1948" i="2"/>
  <c r="J1944" i="2"/>
  <c r="J1940" i="2"/>
  <c r="J124" i="2"/>
  <c r="J1933" i="2"/>
  <c r="J1929" i="2"/>
  <c r="J1925" i="2"/>
  <c r="J1922" i="2"/>
  <c r="J1918" i="2"/>
  <c r="J1914" i="2"/>
  <c r="J53" i="2"/>
  <c r="J1907" i="2"/>
  <c r="J1903" i="2"/>
  <c r="J1896" i="2"/>
  <c r="J1892" i="2"/>
  <c r="J1888" i="2"/>
  <c r="J1882" i="2"/>
  <c r="J1878" i="2"/>
  <c r="J1874" i="2"/>
  <c r="J1870" i="2"/>
  <c r="J1866" i="2"/>
  <c r="J1863" i="2"/>
  <c r="J1859" i="2"/>
  <c r="J1856" i="2"/>
  <c r="J1852" i="2"/>
  <c r="J1848" i="2"/>
  <c r="J1844" i="2"/>
  <c r="J1840" i="2"/>
  <c r="J1833" i="2"/>
  <c r="J1829" i="2"/>
  <c r="J1825" i="2"/>
  <c r="J1821" i="2"/>
  <c r="J1818" i="2"/>
  <c r="J1816" i="2"/>
  <c r="J1813" i="2"/>
  <c r="J1809" i="2"/>
  <c r="J1803" i="2"/>
  <c r="J1799" i="2"/>
  <c r="J1796" i="2"/>
  <c r="J1792" i="2"/>
  <c r="J1789" i="2"/>
  <c r="J1782" i="2"/>
  <c r="J1778" i="2"/>
  <c r="J1774" i="2"/>
  <c r="J1770" i="2"/>
  <c r="J1766" i="2"/>
  <c r="J1764" i="2"/>
  <c r="J1761" i="2"/>
  <c r="J1757" i="2"/>
  <c r="J1754" i="2"/>
  <c r="J1750" i="2"/>
  <c r="J1746" i="2"/>
  <c r="J1742" i="2"/>
  <c r="J1738" i="2"/>
  <c r="J1734" i="2"/>
  <c r="J1730" i="2"/>
  <c r="J1726" i="2"/>
  <c r="J1722" i="2"/>
  <c r="J1718" i="2"/>
  <c r="J122" i="2"/>
  <c r="J1714" i="2"/>
  <c r="J1710" i="2"/>
  <c r="J1706" i="2"/>
  <c r="J1702" i="2"/>
  <c r="J1695" i="2"/>
  <c r="J1691" i="2"/>
  <c r="J1687" i="2"/>
  <c r="J1683" i="2"/>
  <c r="J1680" i="2"/>
  <c r="J1676" i="2"/>
  <c r="J1672" i="2"/>
  <c r="J1670" i="2"/>
  <c r="J1666" i="2"/>
  <c r="J1663" i="2"/>
  <c r="J2004" i="2"/>
  <c r="J126" i="2"/>
  <c r="J1975" i="2"/>
  <c r="J1959" i="2"/>
  <c r="J1950" i="2"/>
  <c r="J1938" i="2"/>
  <c r="J1905" i="2"/>
  <c r="J1890" i="2"/>
  <c r="J1880" i="2"/>
  <c r="J1854" i="2"/>
  <c r="J1838" i="2"/>
  <c r="J1823" i="2"/>
  <c r="J1811" i="2"/>
  <c r="J1798" i="2"/>
  <c r="J1787" i="2"/>
  <c r="J1772" i="2"/>
  <c r="J1759" i="2"/>
  <c r="J1740" i="2"/>
  <c r="J1728" i="2"/>
  <c r="J1716" i="2"/>
  <c r="J1704" i="2"/>
  <c r="J1689" i="2"/>
  <c r="J1674" i="2"/>
  <c r="J52" i="2"/>
  <c r="J1647" i="2"/>
  <c r="J1632" i="2"/>
  <c r="J1619" i="2"/>
  <c r="J1606" i="2"/>
  <c r="J1592" i="2"/>
  <c r="J1576" i="2"/>
  <c r="J1567" i="2"/>
  <c r="J1556" i="2"/>
  <c r="J1541" i="2"/>
  <c r="J1526" i="2"/>
  <c r="J1511" i="2"/>
  <c r="J1495" i="2"/>
  <c r="J1487" i="2"/>
  <c r="J1471" i="2"/>
  <c r="J1456" i="2"/>
  <c r="J1442" i="2"/>
  <c r="J1433" i="2"/>
  <c r="J1418" i="2"/>
  <c r="J1407" i="2"/>
  <c r="J1396" i="2"/>
  <c r="J119" i="2"/>
  <c r="J1369" i="2"/>
  <c r="J1359" i="2"/>
  <c r="J1345" i="2"/>
  <c r="J1331" i="2"/>
  <c r="J1316" i="2"/>
  <c r="J1304" i="2"/>
  <c r="J1276" i="2"/>
  <c r="J1265" i="2"/>
  <c r="J1257" i="2"/>
  <c r="J1241" i="2"/>
  <c r="J1225" i="2"/>
  <c r="J1209" i="2"/>
  <c r="J1194" i="2"/>
  <c r="J1182" i="2"/>
  <c r="J1169" i="2"/>
  <c r="J1151" i="2"/>
  <c r="J1138" i="2"/>
  <c r="J1126" i="2"/>
  <c r="J105" i="2"/>
  <c r="J1099" i="2"/>
  <c r="J1089" i="2"/>
  <c r="J1074" i="2"/>
  <c r="J1051" i="2"/>
  <c r="J1037" i="2"/>
  <c r="J1022" i="2"/>
  <c r="J1007" i="2"/>
  <c r="J997" i="2"/>
  <c r="J988" i="2"/>
  <c r="J973" i="2"/>
  <c r="J962" i="2"/>
  <c r="J952" i="2"/>
  <c r="J932" i="2"/>
  <c r="J916" i="2"/>
  <c r="J900" i="2"/>
  <c r="J887" i="2"/>
  <c r="J880" i="2"/>
  <c r="J867" i="2"/>
  <c r="J849" i="2"/>
  <c r="J844" i="2"/>
  <c r="J830" i="2"/>
  <c r="J787" i="2"/>
  <c r="J30" i="2"/>
  <c r="J759" i="2"/>
  <c r="J739" i="2"/>
  <c r="J732" i="2"/>
  <c r="J716" i="2"/>
  <c r="J701" i="2"/>
  <c r="J687" i="2"/>
  <c r="J676" i="2"/>
  <c r="J661" i="2"/>
  <c r="J646" i="2"/>
  <c r="J633" i="2"/>
  <c r="J621" i="2"/>
  <c r="J606" i="2"/>
  <c r="J596" i="2"/>
  <c r="J574" i="2"/>
  <c r="J16" i="2"/>
  <c r="J548" i="2"/>
  <c r="J530" i="2"/>
  <c r="J514" i="2"/>
  <c r="J499" i="2"/>
  <c r="J483" i="2"/>
  <c r="J452" i="2"/>
  <c r="J433" i="2"/>
  <c r="J417" i="2"/>
  <c r="J403" i="2"/>
  <c r="J372" i="2"/>
  <c r="J86" i="2"/>
  <c r="J345" i="2"/>
  <c r="J333" i="2"/>
  <c r="J317" i="2"/>
  <c r="J305" i="2"/>
  <c r="J289" i="2"/>
  <c r="J278" i="2"/>
  <c r="J269" i="2"/>
  <c r="J254" i="2"/>
  <c r="J243" i="2"/>
  <c r="J1970" i="2"/>
  <c r="J1966" i="2"/>
  <c r="J1962" i="2"/>
  <c r="J1958" i="2"/>
  <c r="J125" i="2"/>
  <c r="J1949" i="2"/>
  <c r="J1945" i="2"/>
  <c r="J1941" i="2"/>
  <c r="J1937" i="2"/>
  <c r="J1934" i="2"/>
  <c r="J1930" i="2"/>
  <c r="J1926" i="2"/>
  <c r="J1923" i="2"/>
  <c r="J1919" i="2"/>
  <c r="J1915" i="2"/>
  <c r="J1911" i="2"/>
  <c r="J1908" i="2"/>
  <c r="J1904" i="2"/>
  <c r="J1900" i="2"/>
  <c r="J1897" i="2"/>
  <c r="J1893" i="2"/>
  <c r="J1889" i="2"/>
  <c r="J1885" i="2"/>
  <c r="J1879" i="2"/>
  <c r="J1875" i="2"/>
  <c r="J1871" i="2"/>
  <c r="J1867" i="2"/>
  <c r="J1864" i="2"/>
  <c r="J1860" i="2"/>
  <c r="J1853" i="2"/>
  <c r="J1849" i="2"/>
  <c r="J1845" i="2"/>
  <c r="J1841" i="2"/>
  <c r="J1837" i="2"/>
  <c r="J1834" i="2"/>
  <c r="J1830" i="2"/>
  <c r="J1826" i="2"/>
  <c r="J1822" i="2"/>
  <c r="J1819" i="2"/>
  <c r="J1817" i="2"/>
  <c r="J108" i="2"/>
  <c r="J1810" i="2"/>
  <c r="J1806" i="2"/>
  <c r="J1804" i="2"/>
  <c r="J1800" i="2"/>
  <c r="J1797" i="2"/>
  <c r="J1793" i="2"/>
  <c r="J1786" i="2"/>
  <c r="J1783" i="2"/>
  <c r="J1779" i="2"/>
  <c r="J1775" i="2"/>
  <c r="J1771" i="2"/>
  <c r="J1767" i="2"/>
  <c r="J1762" i="2"/>
  <c r="J1758" i="2"/>
  <c r="J1755" i="2"/>
  <c r="J1751" i="2"/>
  <c r="J1747" i="2"/>
  <c r="J1743" i="2"/>
  <c r="J1739" i="2"/>
  <c r="J1735" i="2"/>
  <c r="J1731" i="2"/>
  <c r="J1727" i="2"/>
  <c r="J1723" i="2"/>
  <c r="J1660" i="2"/>
  <c r="J1656" i="2"/>
  <c r="J1652" i="2"/>
  <c r="J1649" i="2"/>
  <c r="J1645" i="2"/>
  <c r="J1642" i="2"/>
  <c r="J1638" i="2"/>
  <c r="J1634" i="2"/>
  <c r="J1630" i="2"/>
  <c r="J1627" i="2"/>
  <c r="J1624" i="2"/>
  <c r="J1621" i="2"/>
  <c r="J1617" i="2"/>
  <c r="J1613" i="2"/>
  <c r="J1610" i="2"/>
  <c r="J1604" i="2"/>
  <c r="J1601" i="2"/>
  <c r="J1598" i="2"/>
  <c r="J1594" i="2"/>
  <c r="J1590" i="2"/>
  <c r="J1586" i="2"/>
  <c r="J1582" i="2"/>
  <c r="J1578" i="2"/>
  <c r="J1575" i="2"/>
  <c r="J1569" i="2"/>
  <c r="J1566" i="2"/>
  <c r="J1562" i="2"/>
  <c r="J1558" i="2"/>
  <c r="J1554" i="2"/>
  <c r="J1552" i="2"/>
  <c r="J1548" i="2"/>
  <c r="J1544" i="2"/>
  <c r="J1539" i="2"/>
  <c r="J1535" i="2"/>
  <c r="J1531" i="2"/>
  <c r="J1528" i="2"/>
  <c r="J1524" i="2"/>
  <c r="J1520" i="2"/>
  <c r="J1517" i="2"/>
  <c r="J1513" i="2"/>
  <c r="J1509" i="2"/>
  <c r="J1505" i="2"/>
  <c r="J1501" i="2"/>
  <c r="J1497" i="2"/>
  <c r="J1493" i="2"/>
  <c r="J1489" i="2"/>
  <c r="J1485" i="2"/>
  <c r="J1481" i="2"/>
  <c r="J1477" i="2"/>
  <c r="J1473" i="2"/>
  <c r="J1469" i="2"/>
  <c r="J1465" i="2"/>
  <c r="J1461" i="2"/>
  <c r="J1458" i="2"/>
  <c r="J1454" i="2"/>
  <c r="J1450" i="2"/>
  <c r="J1446" i="2"/>
  <c r="J1440" i="2"/>
  <c r="J1437" i="2"/>
  <c r="J1435" i="2"/>
  <c r="J1431" i="2"/>
  <c r="J1428" i="2"/>
  <c r="J1424" i="2"/>
  <c r="J1420" i="2"/>
  <c r="J1416" i="2"/>
  <c r="J1414" i="2"/>
  <c r="J1411" i="2"/>
  <c r="J1405" i="2"/>
  <c r="J1398" i="2"/>
  <c r="J1395" i="2"/>
  <c r="J45" i="2"/>
  <c r="J1388" i="2"/>
  <c r="J1384" i="2"/>
  <c r="J1381" i="2"/>
  <c r="J1377" i="2"/>
  <c r="J1373" i="2"/>
  <c r="J1367" i="2"/>
  <c r="J1364" i="2"/>
  <c r="J1361" i="2"/>
  <c r="J1357" i="2"/>
  <c r="J1353" i="2"/>
  <c r="J1350" i="2"/>
  <c r="J1347" i="2"/>
  <c r="J1343" i="2"/>
  <c r="J1339" i="2"/>
  <c r="J15" i="2"/>
  <c r="J1333" i="2"/>
  <c r="J1329" i="2"/>
  <c r="J1325" i="2"/>
  <c r="J1321" i="2"/>
  <c r="J1317" i="2"/>
  <c r="J11" i="2"/>
  <c r="J1312" i="2"/>
  <c r="J1309" i="2"/>
  <c r="J1302" i="2"/>
  <c r="J1299" i="2"/>
  <c r="J1295" i="2"/>
  <c r="J1292" i="2"/>
  <c r="J1289" i="2"/>
  <c r="J1286" i="2"/>
  <c r="J1282" i="2"/>
  <c r="J1278" i="2"/>
  <c r="J1274" i="2"/>
  <c r="J1271" i="2"/>
  <c r="J1267" i="2"/>
  <c r="J1264" i="2"/>
  <c r="J115" i="2"/>
  <c r="J1259" i="2"/>
  <c r="J1255" i="2"/>
  <c r="J1251" i="2"/>
  <c r="J1247" i="2"/>
  <c r="J1243" i="2"/>
  <c r="J1239" i="2"/>
  <c r="J1235" i="2"/>
  <c r="J1231" i="2"/>
  <c r="J1227" i="2"/>
  <c r="J1223" i="2"/>
  <c r="J1219" i="2"/>
  <c r="J1215" i="2"/>
  <c r="J1211" i="2"/>
  <c r="J1207" i="2"/>
  <c r="J1204" i="2"/>
  <c r="J1200" i="2"/>
  <c r="J1196" i="2"/>
  <c r="J1191" i="2"/>
  <c r="J1187" i="2"/>
  <c r="J1184" i="2"/>
  <c r="J1181" i="2"/>
  <c r="J1175" i="2"/>
  <c r="J1171" i="2"/>
  <c r="J1167" i="2"/>
  <c r="J1164" i="2"/>
  <c r="J1161" i="2"/>
  <c r="J1157" i="2"/>
  <c r="J1153" i="2"/>
  <c r="J1149" i="2"/>
  <c r="J1145" i="2"/>
  <c r="J1140" i="2"/>
  <c r="J1136" i="2"/>
  <c r="J1132" i="2"/>
  <c r="J1128" i="2"/>
  <c r="J1124" i="2"/>
  <c r="J1120" i="2"/>
  <c r="J1116" i="2"/>
  <c r="J1113" i="2"/>
  <c r="J1111" i="2"/>
  <c r="J1108" i="2"/>
  <c r="J1104" i="2"/>
  <c r="J104" i="2"/>
  <c r="J1097" i="2"/>
  <c r="J1095" i="2"/>
  <c r="J1091" i="2"/>
  <c r="J1087" i="2"/>
  <c r="J1084" i="2"/>
  <c r="J1080" i="2"/>
  <c r="J1076" i="2"/>
  <c r="J1072" i="2"/>
  <c r="J1069" i="2"/>
  <c r="J1067" i="2"/>
  <c r="J1064" i="2"/>
  <c r="J1062" i="2"/>
  <c r="J1059" i="2"/>
  <c r="J1055" i="2"/>
  <c r="J1053" i="2"/>
  <c r="J1049" i="2"/>
  <c r="J1047" i="2"/>
  <c r="J1043" i="2"/>
  <c r="J1039" i="2"/>
  <c r="J1035" i="2"/>
  <c r="J1032" i="2"/>
  <c r="J1028" i="2"/>
  <c r="J1024" i="2"/>
  <c r="J1020" i="2"/>
  <c r="J1016" i="2"/>
  <c r="J1013" i="2"/>
  <c r="J1009" i="2"/>
  <c r="J1005" i="2"/>
  <c r="J1001" i="2"/>
  <c r="J998" i="2"/>
  <c r="J993" i="2"/>
  <c r="J36" i="2"/>
  <c r="J986" i="2"/>
  <c r="J982" i="2"/>
  <c r="J975" i="2"/>
  <c r="J971" i="2"/>
  <c r="J964" i="2"/>
  <c r="J957" i="2"/>
  <c r="J950" i="2"/>
  <c r="J946" i="2"/>
  <c r="J942" i="2"/>
  <c r="J938" i="2"/>
  <c r="J934" i="2"/>
  <c r="J930" i="2"/>
  <c r="J926" i="2"/>
  <c r="J922" i="2"/>
  <c r="J918" i="2"/>
  <c r="J914" i="2"/>
  <c r="J910" i="2"/>
  <c r="J906" i="2"/>
  <c r="J902" i="2"/>
  <c r="J898" i="2"/>
  <c r="J895" i="2"/>
  <c r="J891" i="2"/>
  <c r="J888" i="2"/>
  <c r="J885" i="2"/>
  <c r="J882" i="2"/>
  <c r="J878" i="2"/>
  <c r="J874" i="2"/>
  <c r="J872" i="2"/>
  <c r="J5" i="2"/>
  <c r="J865" i="2"/>
  <c r="J861" i="2"/>
  <c r="J858" i="2"/>
  <c r="J854" i="2"/>
  <c r="J851" i="2"/>
  <c r="J847" i="2"/>
  <c r="J842" i="2"/>
  <c r="J839" i="2"/>
  <c r="J836" i="2"/>
  <c r="J831" i="2"/>
  <c r="J828" i="2"/>
  <c r="J824" i="2"/>
  <c r="J820" i="2"/>
  <c r="J816" i="2"/>
  <c r="J812" i="2"/>
  <c r="J809" i="2"/>
  <c r="J807" i="2"/>
  <c r="J803" i="2"/>
  <c r="J799" i="2"/>
  <c r="J796" i="2"/>
  <c r="J789" i="2"/>
  <c r="J785" i="2"/>
  <c r="J781" i="2"/>
  <c r="J778" i="2"/>
  <c r="J774" i="2"/>
  <c r="J1719" i="2"/>
  <c r="J1715" i="2"/>
  <c r="J1711" i="2"/>
  <c r="J1707" i="2"/>
  <c r="J1703" i="2"/>
  <c r="J1699" i="2"/>
  <c r="J1696" i="2"/>
  <c r="J1692" i="2"/>
  <c r="J1688" i="2"/>
  <c r="J1684" i="2"/>
  <c r="J1681" i="2"/>
  <c r="J1677" i="2"/>
  <c r="J1673" i="2"/>
  <c r="J1667" i="2"/>
  <c r="J1664" i="2"/>
  <c r="J1661" i="2"/>
  <c r="J1657" i="2"/>
  <c r="J1653" i="2"/>
  <c r="J1650" i="2"/>
  <c r="J1646" i="2"/>
  <c r="J1643" i="2"/>
  <c r="J1639" i="2"/>
  <c r="J1635" i="2"/>
  <c r="J1631" i="2"/>
  <c r="J1628" i="2"/>
  <c r="J1625" i="2"/>
  <c r="J1622" i="2"/>
  <c r="J1618" i="2"/>
  <c r="J1614" i="2"/>
  <c r="J1611" i="2"/>
  <c r="J1608" i="2"/>
  <c r="J1605" i="2"/>
  <c r="J1602" i="2"/>
  <c r="J1599" i="2"/>
  <c r="J1595" i="2"/>
  <c r="J1591" i="2"/>
  <c r="J1587" i="2"/>
  <c r="J1583" i="2"/>
  <c r="J1579" i="2"/>
  <c r="J1572" i="2"/>
  <c r="J1570" i="2"/>
  <c r="J1563" i="2"/>
  <c r="J1559" i="2"/>
  <c r="J1555" i="2"/>
  <c r="J1549" i="2"/>
  <c r="J1545" i="2"/>
  <c r="J120" i="2"/>
  <c r="J1540" i="2"/>
  <c r="J1536" i="2"/>
  <c r="J1532" i="2"/>
  <c r="J1529" i="2"/>
  <c r="J1525" i="2"/>
  <c r="J1521" i="2"/>
  <c r="J49" i="2"/>
  <c r="J1514" i="2"/>
  <c r="J1510" i="2"/>
  <c r="J1506" i="2"/>
  <c r="J1502" i="2"/>
  <c r="J1498" i="2"/>
  <c r="J1494" i="2"/>
  <c r="J1490" i="2"/>
  <c r="J1486" i="2"/>
  <c r="J1482" i="2"/>
  <c r="J1478" i="2"/>
  <c r="J1474" i="2"/>
  <c r="J1470" i="2"/>
  <c r="J1466" i="2"/>
  <c r="J1462" i="2"/>
  <c r="J1459" i="2"/>
  <c r="J1455" i="2"/>
  <c r="J1451" i="2"/>
  <c r="J1447" i="2"/>
  <c r="J1444" i="2"/>
  <c r="J1441" i="2"/>
  <c r="J1438" i="2"/>
  <c r="J1432" i="2"/>
  <c r="J1429" i="2"/>
  <c r="J1425" i="2"/>
  <c r="J1421" i="2"/>
  <c r="J1417" i="2"/>
  <c r="J1408" i="2"/>
  <c r="J1406" i="2"/>
  <c r="J1402" i="2"/>
  <c r="J1399" i="2"/>
  <c r="J1392" i="2"/>
  <c r="J1389" i="2"/>
  <c r="J1385" i="2"/>
  <c r="J1382" i="2"/>
  <c r="J1378" i="2"/>
  <c r="J1374" i="2"/>
  <c r="J12" i="2"/>
  <c r="J1368" i="2"/>
  <c r="J1358" i="2"/>
  <c r="J1354" i="2"/>
  <c r="J1351" i="2"/>
  <c r="J1348" i="2"/>
  <c r="J1344" i="2"/>
  <c r="J1340" i="2"/>
  <c r="J1336" i="2"/>
  <c r="J106" i="2"/>
  <c r="J1330" i="2"/>
  <c r="J1326" i="2"/>
  <c r="J1322" i="2"/>
  <c r="J1318" i="2"/>
  <c r="J1313" i="2"/>
  <c r="J1310" i="2"/>
  <c r="J1306" i="2"/>
  <c r="J1303" i="2"/>
  <c r="J1300" i="2"/>
  <c r="J1296" i="2"/>
  <c r="J1293" i="2"/>
  <c r="J1290" i="2"/>
  <c r="J1287" i="2"/>
  <c r="J1283" i="2"/>
  <c r="J1279" i="2"/>
  <c r="J1275" i="2"/>
  <c r="J1272" i="2"/>
  <c r="J1268" i="2"/>
  <c r="J1261" i="2"/>
  <c r="J1260" i="2"/>
  <c r="J1256" i="2"/>
  <c r="J1252" i="2"/>
  <c r="J1248" i="2"/>
  <c r="J1244" i="2"/>
  <c r="J1240" i="2"/>
  <c r="J1236" i="2"/>
  <c r="J1232" i="2"/>
  <c r="J1228" i="2"/>
  <c r="J1224" i="2"/>
  <c r="J1220" i="2"/>
  <c r="J1216" i="2"/>
  <c r="J1212" i="2"/>
  <c r="J1208" i="2"/>
  <c r="J1201" i="2"/>
  <c r="J1197" i="2"/>
  <c r="J1193" i="2"/>
  <c r="J43" i="2"/>
  <c r="J1188" i="2"/>
  <c r="J1185" i="2"/>
  <c r="J42" i="2"/>
  <c r="J1178" i="2"/>
  <c r="J1176" i="2"/>
  <c r="J1172" i="2"/>
  <c r="J1168" i="2"/>
  <c r="J1165" i="2"/>
  <c r="J1162" i="2"/>
  <c r="J1158" i="2"/>
  <c r="J1154" i="2"/>
  <c r="J1150" i="2"/>
  <c r="J1146" i="2"/>
  <c r="J1142" i="2"/>
  <c r="J1137" i="2"/>
  <c r="J1133" i="2"/>
  <c r="J1129" i="2"/>
  <c r="J1125" i="2"/>
  <c r="J1121" i="2"/>
  <c r="J1117" i="2"/>
  <c r="J1114" i="2"/>
  <c r="J1112" i="2"/>
  <c r="J1109" i="2"/>
  <c r="J1105" i="2"/>
  <c r="J1101" i="2"/>
  <c r="J1098" i="2"/>
  <c r="J1096" i="2"/>
  <c r="J1092" i="2"/>
  <c r="J1088" i="2"/>
  <c r="J1085" i="2"/>
  <c r="J1081" i="2"/>
  <c r="J1077" i="2"/>
  <c r="J1073" i="2"/>
  <c r="J1070" i="2"/>
  <c r="J1068" i="2"/>
  <c r="J9" i="2"/>
  <c r="J1063" i="2"/>
  <c r="J8" i="2"/>
  <c r="J1056" i="2"/>
  <c r="J1054" i="2"/>
  <c r="J1050" i="2"/>
  <c r="J1048" i="2"/>
  <c r="J1044" i="2"/>
  <c r="J1040" i="2"/>
  <c r="J1036" i="2"/>
  <c r="J1029" i="2"/>
  <c r="J1025" i="2"/>
  <c r="J1021" i="2"/>
  <c r="J1017" i="2"/>
  <c r="J1014" i="2"/>
  <c r="J1010" i="2"/>
  <c r="J1006" i="2"/>
  <c r="J1002" i="2"/>
  <c r="J999" i="2"/>
  <c r="J996" i="2"/>
  <c r="J994" i="2"/>
  <c r="J990" i="2"/>
  <c r="J987" i="2"/>
  <c r="J983" i="2"/>
  <c r="J979" i="2"/>
  <c r="J976" i="2"/>
  <c r="J972" i="2"/>
  <c r="J968" i="2"/>
  <c r="J965" i="2"/>
  <c r="J961" i="2"/>
  <c r="J959" i="2"/>
  <c r="J958" i="2"/>
  <c r="J954" i="2"/>
  <c r="J951" i="2"/>
  <c r="J947" i="2"/>
  <c r="J943" i="2"/>
  <c r="J939" i="2"/>
  <c r="J935" i="2"/>
  <c r="J931" i="2"/>
  <c r="J927" i="2"/>
  <c r="J923" i="2"/>
  <c r="J919" i="2"/>
  <c r="J915" i="2"/>
  <c r="J911" i="2"/>
  <c r="J907" i="2"/>
  <c r="J903" i="2"/>
  <c r="J899" i="2"/>
  <c r="J896" i="2"/>
  <c r="J892" i="2"/>
  <c r="J886" i="2"/>
  <c r="J883" i="2"/>
  <c r="J879" i="2"/>
  <c r="J875" i="2"/>
  <c r="J869" i="2"/>
  <c r="J866" i="2"/>
  <c r="J862" i="2"/>
  <c r="J859" i="2"/>
  <c r="J855" i="2"/>
  <c r="J852" i="2"/>
  <c r="J848" i="2"/>
  <c r="J114" i="2"/>
  <c r="J843" i="2"/>
  <c r="J840" i="2"/>
  <c r="J834" i="2"/>
  <c r="J832" i="2"/>
  <c r="J829" i="2"/>
  <c r="J825" i="2"/>
  <c r="J821" i="2"/>
  <c r="J817" i="2"/>
  <c r="J813" i="2"/>
  <c r="J810" i="2"/>
  <c r="J808" i="2"/>
  <c r="J804" i="2"/>
  <c r="J800" i="2"/>
  <c r="J31" i="2"/>
  <c r="J793" i="2"/>
  <c r="J790" i="2"/>
  <c r="J786" i="2"/>
  <c r="J775" i="2"/>
  <c r="J771" i="2"/>
  <c r="J768" i="2"/>
  <c r="J765" i="2"/>
  <c r="J28" i="2"/>
  <c r="J758" i="2"/>
  <c r="J750" i="2"/>
  <c r="J746" i="2"/>
  <c r="J742" i="2"/>
  <c r="J735" i="2"/>
  <c r="J731" i="2"/>
  <c r="J727" i="2"/>
  <c r="J725" i="2"/>
  <c r="J722" i="2"/>
  <c r="J719" i="2"/>
  <c r="J715" i="2"/>
  <c r="J712" i="2"/>
  <c r="J708" i="2"/>
  <c r="J704" i="2"/>
  <c r="J700" i="2"/>
  <c r="J693" i="2"/>
  <c r="J690" i="2"/>
  <c r="J679" i="2"/>
  <c r="J675" i="2"/>
  <c r="J671" i="2"/>
  <c r="J667" i="2"/>
  <c r="J663" i="2"/>
  <c r="J660" i="2"/>
  <c r="J656" i="2"/>
  <c r="J652" i="2"/>
  <c r="J645" i="2"/>
  <c r="J97" i="2"/>
  <c r="J96" i="2"/>
  <c r="J635" i="2"/>
  <c r="J22" i="2"/>
  <c r="J630" i="2"/>
  <c r="J626" i="2"/>
  <c r="J623" i="2"/>
  <c r="J94" i="2"/>
  <c r="J617" i="2"/>
  <c r="J613" i="2"/>
  <c r="J609" i="2"/>
  <c r="J605" i="2"/>
  <c r="J602" i="2"/>
  <c r="J599" i="2"/>
  <c r="J592" i="2"/>
  <c r="J588" i="2"/>
  <c r="J584" i="2"/>
  <c r="J565" i="2"/>
  <c r="J561" i="2"/>
  <c r="J558" i="2"/>
  <c r="J19" i="2"/>
  <c r="J551" i="2"/>
  <c r="J547" i="2"/>
  <c r="J544" i="2"/>
  <c r="J540" i="2"/>
  <c r="J536" i="2"/>
  <c r="J533" i="2"/>
  <c r="J529" i="2"/>
  <c r="J525" i="2"/>
  <c r="J517" i="2"/>
  <c r="J513" i="2"/>
  <c r="J509" i="2"/>
  <c r="J505" i="2"/>
  <c r="J501" i="2"/>
  <c r="J498" i="2"/>
  <c r="J490" i="2"/>
  <c r="J482" i="2"/>
  <c r="J478" i="2"/>
  <c r="J474" i="2"/>
  <c r="J470" i="2"/>
  <c r="J466" i="2"/>
  <c r="J463" i="2"/>
  <c r="J459" i="2"/>
  <c r="J455" i="2"/>
  <c r="J451" i="2"/>
  <c r="J447" i="2"/>
  <c r="J443" i="2"/>
  <c r="J439" i="2"/>
  <c r="J88" i="2"/>
  <c r="J432" i="2"/>
  <c r="J420" i="2"/>
  <c r="J416" i="2"/>
  <c r="J413" i="2"/>
  <c r="J409" i="2"/>
  <c r="J405" i="2"/>
  <c r="J402" i="2"/>
  <c r="J398" i="2"/>
  <c r="J394" i="2"/>
  <c r="J390" i="2"/>
  <c r="J386" i="2"/>
  <c r="J382" i="2"/>
  <c r="J379" i="2"/>
  <c r="J375" i="2"/>
  <c r="J371" i="2"/>
  <c r="J367" i="2"/>
  <c r="J363" i="2"/>
  <c r="J356" i="2"/>
  <c r="J352" i="2"/>
  <c r="J348" i="2"/>
  <c r="J344" i="2"/>
  <c r="J341" i="2"/>
  <c r="J339" i="2"/>
  <c r="J335" i="2"/>
  <c r="J332" i="2"/>
  <c r="J328" i="2"/>
  <c r="J320" i="2"/>
  <c r="J316" i="2"/>
  <c r="J312" i="2"/>
  <c r="J308" i="2"/>
  <c r="J304" i="2"/>
  <c r="J300" i="2"/>
  <c r="J296" i="2"/>
  <c r="J292" i="2"/>
  <c r="J285" i="2"/>
  <c r="J281" i="2"/>
  <c r="J274" i="2"/>
  <c r="J268" i="2"/>
  <c r="J264" i="2"/>
  <c r="J261" i="2"/>
  <c r="J257" i="2"/>
  <c r="J253" i="2"/>
  <c r="J249" i="2"/>
  <c r="J245" i="2"/>
  <c r="J238" i="2"/>
  <c r="J234" i="2"/>
  <c r="J230" i="2"/>
  <c r="J226" i="2"/>
  <c r="J770" i="2"/>
  <c r="J767" i="2"/>
  <c r="J764" i="2"/>
  <c r="J761" i="2"/>
  <c r="J757" i="2"/>
  <c r="J753" i="2"/>
  <c r="J749" i="2"/>
  <c r="J745" i="2"/>
  <c r="J741" i="2"/>
  <c r="J737" i="2"/>
  <c r="J734" i="2"/>
  <c r="J730" i="2"/>
  <c r="J726" i="2"/>
  <c r="J724" i="2"/>
  <c r="J721" i="2"/>
  <c r="J718" i="2"/>
  <c r="J714" i="2"/>
  <c r="J711" i="2"/>
  <c r="J707" i="2"/>
  <c r="J703" i="2"/>
  <c r="J692" i="2"/>
  <c r="J689" i="2"/>
  <c r="J685" i="2"/>
  <c r="J678" i="2"/>
  <c r="J674" i="2"/>
  <c r="J670" i="2"/>
  <c r="J666" i="2"/>
  <c r="J659" i="2"/>
  <c r="J655" i="2"/>
  <c r="J651" i="2"/>
  <c r="J648" i="2"/>
  <c r="J644" i="2"/>
  <c r="J641" i="2"/>
  <c r="J638" i="2"/>
  <c r="J634" i="2"/>
  <c r="J632" i="2"/>
  <c r="J625" i="2"/>
  <c r="J620" i="2"/>
  <c r="J616" i="2"/>
  <c r="J612" i="2"/>
  <c r="J608" i="2"/>
  <c r="J604" i="2"/>
  <c r="J601" i="2"/>
  <c r="J598" i="2"/>
  <c r="J595" i="2"/>
  <c r="J591" i="2"/>
  <c r="J587" i="2"/>
  <c r="J583" i="2"/>
  <c r="J91" i="2"/>
  <c r="J576" i="2"/>
  <c r="J572" i="2"/>
  <c r="J568" i="2"/>
  <c r="J564" i="2"/>
  <c r="J560" i="2"/>
  <c r="J557" i="2"/>
  <c r="J554" i="2"/>
  <c r="J550" i="2"/>
  <c r="J546" i="2"/>
  <c r="J539" i="2"/>
  <c r="J535" i="2"/>
  <c r="J532" i="2"/>
  <c r="J524" i="2"/>
  <c r="J520" i="2"/>
  <c r="J516" i="2"/>
  <c r="J512" i="2"/>
  <c r="J508" i="2"/>
  <c r="J504" i="2"/>
  <c r="J89" i="2"/>
  <c r="J497" i="2"/>
  <c r="J493" i="2"/>
  <c r="J489" i="2"/>
  <c r="J485" i="2"/>
  <c r="J481" i="2"/>
  <c r="J477" i="2"/>
  <c r="J473" i="2"/>
  <c r="J469" i="2"/>
  <c r="J458" i="2"/>
  <c r="J454" i="2"/>
  <c r="J450" i="2"/>
  <c r="J446" i="2"/>
  <c r="J442" i="2"/>
  <c r="J438" i="2"/>
  <c r="J431" i="2"/>
  <c r="J427" i="2"/>
  <c r="J423" i="2"/>
  <c r="J412" i="2"/>
  <c r="J408" i="2"/>
  <c r="J401" i="2"/>
  <c r="J397" i="2"/>
  <c r="J393" i="2"/>
  <c r="J389" i="2"/>
  <c r="J385" i="2"/>
  <c r="J381" i="2"/>
  <c r="J378" i="2"/>
  <c r="J374" i="2"/>
  <c r="J370" i="2"/>
  <c r="J366" i="2"/>
  <c r="J362" i="2"/>
  <c r="J358" i="2"/>
  <c r="J355" i="2"/>
  <c r="J351" i="2"/>
  <c r="J347" i="2"/>
  <c r="J113" i="2"/>
  <c r="J17" i="2"/>
  <c r="J338" i="2"/>
  <c r="J334" i="2"/>
  <c r="J331" i="2"/>
  <c r="J327" i="2"/>
  <c r="J323" i="2"/>
  <c r="J319" i="2"/>
  <c r="J315" i="2"/>
  <c r="J311" i="2"/>
  <c r="J307" i="2"/>
  <c r="J303" i="2"/>
  <c r="J299" i="2"/>
  <c r="J295" i="2"/>
  <c r="J291" i="2"/>
  <c r="J284" i="2"/>
  <c r="J277" i="2"/>
  <c r="J273" i="2"/>
  <c r="J271" i="2"/>
  <c r="J267" i="2"/>
  <c r="J263" i="2"/>
  <c r="J260" i="2"/>
  <c r="J256" i="2"/>
  <c r="J252" i="2"/>
  <c r="J248" i="2"/>
  <c r="J244" i="2"/>
  <c r="J241" i="2"/>
  <c r="J237" i="2"/>
  <c r="J233" i="2"/>
  <c r="J229" i="2"/>
  <c r="J225" i="2"/>
</calcChain>
</file>

<file path=xl/sharedStrings.xml><?xml version="1.0" encoding="utf-8"?>
<sst xmlns="http://schemas.openxmlformats.org/spreadsheetml/2006/main" count="65377" uniqueCount="39472">
  <si>
    <t>Unique_ID</t>
  </si>
  <si>
    <t>Street Name</t>
  </si>
  <si>
    <t>Street Number</t>
  </si>
  <si>
    <t>Complex</t>
  </si>
  <si>
    <t>City</t>
  </si>
  <si>
    <t>Westheimer</t>
  </si>
  <si>
    <t>Canyon Villas I</t>
  </si>
  <si>
    <t>Austin</t>
  </si>
  <si>
    <t>Victory Dr</t>
  </si>
  <si>
    <t>Mission James Place</t>
  </si>
  <si>
    <t>Lake Creek Pkwy</t>
  </si>
  <si>
    <t>Parkside at Lake Creek</t>
  </si>
  <si>
    <t>Anderson Mill Rd</t>
  </si>
  <si>
    <t>Anderson Oaks</t>
  </si>
  <si>
    <t>Apple Creek Dr</t>
  </si>
  <si>
    <t>Apple Creek</t>
  </si>
  <si>
    <t>Georgetown</t>
  </si>
  <si>
    <t>Lawnmont Dr</t>
  </si>
  <si>
    <t>Round Rock</t>
  </si>
  <si>
    <t>Royal Crest Dr</t>
  </si>
  <si>
    <t>The Arbor</t>
  </si>
  <si>
    <t>Wells Branch Pkwy</t>
  </si>
  <si>
    <t>Arbors of Wells Branch</t>
  </si>
  <si>
    <t>Justin Ln</t>
  </si>
  <si>
    <t>Argosy at Crestview</t>
  </si>
  <si>
    <t>Wood Hollow Dr</t>
  </si>
  <si>
    <t>Westdale Pointe</t>
  </si>
  <si>
    <t>Burton Dr</t>
  </si>
  <si>
    <t>Tollgate Creek Condominiums</t>
  </si>
  <si>
    <t>Ashdale Dr</t>
  </si>
  <si>
    <t>Ashdale Gardens</t>
  </si>
  <si>
    <t>Leon St</t>
  </si>
  <si>
    <t>Lone Star Lofts</t>
  </si>
  <si>
    <t>Capital of Texas Hwy N</t>
  </si>
  <si>
    <t>The Falls on Bull Creek</t>
  </si>
  <si>
    <t>Mellow Meadow Dr</t>
  </si>
  <si>
    <t>Audubon Square</t>
  </si>
  <si>
    <t>Lamar Blvd N</t>
  </si>
  <si>
    <t>Austin Gardens</t>
  </si>
  <si>
    <t>Morado Cir</t>
  </si>
  <si>
    <t>Great Hills</t>
  </si>
  <si>
    <t>Riverside Dr E</t>
  </si>
  <si>
    <t>Hillside Place</t>
  </si>
  <si>
    <t>Anderson Ln W</t>
  </si>
  <si>
    <t>Austin Parke</t>
  </si>
  <si>
    <t>Autumn Hills</t>
  </si>
  <si>
    <t>Balcones Club</t>
  </si>
  <si>
    <t>Research Blvd</t>
  </si>
  <si>
    <t>Balcones Woods</t>
  </si>
  <si>
    <t>Stassney Ln W</t>
  </si>
  <si>
    <t>Ironstone</t>
  </si>
  <si>
    <t>Bartons Bluff Ln</t>
  </si>
  <si>
    <t>Barton Creek Landing</t>
  </si>
  <si>
    <t>Dickson Dr</t>
  </si>
  <si>
    <t>Barton's Mill</t>
  </si>
  <si>
    <t>Bee Caves Rd</t>
  </si>
  <si>
    <t>Windsor at Barton Creek</t>
  </si>
  <si>
    <t>Bent Tree Rd</t>
  </si>
  <si>
    <t>Bent Tree</t>
  </si>
  <si>
    <t>Cardinal Loop</t>
  </si>
  <si>
    <t>Bergstrom Arms (Demolished)</t>
  </si>
  <si>
    <t>Del Valle</t>
  </si>
  <si>
    <t>Town Lake Cir</t>
  </si>
  <si>
    <t>Vista Lago</t>
  </si>
  <si>
    <t>Bowman Dr W</t>
  </si>
  <si>
    <t>Bowmans Walk</t>
  </si>
  <si>
    <t>LaFayette Landing</t>
  </si>
  <si>
    <t>Shepherd Mountain Cove</t>
  </si>
  <si>
    <t>Bridgehead</t>
  </si>
  <si>
    <t>Willow Creek Dr</t>
  </si>
  <si>
    <t>Point South</t>
  </si>
  <si>
    <t>Douglas St</t>
  </si>
  <si>
    <t>Bristol Square</t>
  </si>
  <si>
    <t>Golden Meadow Dr</t>
  </si>
  <si>
    <t>Brook Meadow Village</t>
  </si>
  <si>
    <t>35 IH S</t>
  </si>
  <si>
    <t>The Brook in Travis Heights</t>
  </si>
  <si>
    <t>Brownstone Park</t>
  </si>
  <si>
    <t>Sam Bass Cir</t>
  </si>
  <si>
    <t>Brushy Creek Village</t>
  </si>
  <si>
    <t>Heinemann Dr</t>
  </si>
  <si>
    <t>Laurel Ridge</t>
  </si>
  <si>
    <t>Cameron Rd</t>
  </si>
  <si>
    <t>Cameron Greens</t>
  </si>
  <si>
    <t>Salado St</t>
  </si>
  <si>
    <t>Camino Real</t>
  </si>
  <si>
    <t>Canyon Oaks</t>
  </si>
  <si>
    <t>Jollyville Rd</t>
  </si>
  <si>
    <t>Canyon Creek</t>
  </si>
  <si>
    <t>Grand Canyon Dr</t>
  </si>
  <si>
    <t>Westheimer Regency</t>
  </si>
  <si>
    <t>Algarita Ave</t>
  </si>
  <si>
    <t>Cascades</t>
  </si>
  <si>
    <t>Congress Ave S</t>
  </si>
  <si>
    <t>Centennial Place</t>
  </si>
  <si>
    <t>Red River St</t>
  </si>
  <si>
    <t>Century Square</t>
  </si>
  <si>
    <t>Taylor Draper Ln</t>
  </si>
  <si>
    <t>Channings Mark</t>
  </si>
  <si>
    <t>Chardonnay</t>
  </si>
  <si>
    <t>Gessner Dr</t>
  </si>
  <si>
    <t>Chase Village</t>
  </si>
  <si>
    <t>Reagan Hill Dr</t>
  </si>
  <si>
    <t>Austin Pacifica</t>
  </si>
  <si>
    <t>Cherry Creek Crossing</t>
  </si>
  <si>
    <t>Hymeadow Dr</t>
  </si>
  <si>
    <t>Chesapeake</t>
  </si>
  <si>
    <t>William Cannon Dr W</t>
  </si>
  <si>
    <t>Cheshire Gardens</t>
  </si>
  <si>
    <t>Chevy Chase Dr</t>
  </si>
  <si>
    <t>Chevy Chase</t>
  </si>
  <si>
    <t>Huntwick</t>
  </si>
  <si>
    <t>Chevy Chase Downs</t>
  </si>
  <si>
    <t>Christopher Ave</t>
  </si>
  <si>
    <t>Chisholm Valley Duplexes</t>
  </si>
  <si>
    <t>Thermal Dr</t>
  </si>
  <si>
    <t>Churchill Crossing</t>
  </si>
  <si>
    <t>Cimarron Crossing</t>
  </si>
  <si>
    <t>Tamarron Blvd</t>
  </si>
  <si>
    <t>Cliffs at Barton Creek</t>
  </si>
  <si>
    <t>Longspur Blvd W</t>
  </si>
  <si>
    <t>Club Creek</t>
  </si>
  <si>
    <t>Congress Square</t>
  </si>
  <si>
    <t>Convict Hill Rd</t>
  </si>
  <si>
    <t>Convict Hill Village</t>
  </si>
  <si>
    <t>The Place at Coopers Hill</t>
  </si>
  <si>
    <t>Copper Mill</t>
  </si>
  <si>
    <t>Cromwell Cir</t>
  </si>
  <si>
    <t>Coppertree</t>
  </si>
  <si>
    <t>Aubry Hills</t>
  </si>
  <si>
    <t>Grove Blvd</t>
  </si>
  <si>
    <t>Country Club TH</t>
  </si>
  <si>
    <t>Sunrise Rd</t>
  </si>
  <si>
    <t>Tramor at Autumn Park</t>
  </si>
  <si>
    <t>The Heritage at Hillcrest</t>
  </si>
  <si>
    <t>Keats Dr</t>
  </si>
  <si>
    <t>Tramor at Creek Village</t>
  </si>
  <si>
    <t>Palm Valley Blvd</t>
  </si>
  <si>
    <t>The Creek</t>
  </si>
  <si>
    <t>Anderson Ln E</t>
  </si>
  <si>
    <t>Anderson Springs</t>
  </si>
  <si>
    <t>Creekwood Village</t>
  </si>
  <si>
    <t>Morado Cove</t>
  </si>
  <si>
    <t>Madison at the Arboretum</t>
  </si>
  <si>
    <t>35 IH N</t>
  </si>
  <si>
    <t>Cricket Hollow</t>
  </si>
  <si>
    <t>Rutland Dr</t>
  </si>
  <si>
    <t>Cross Creek</t>
  </si>
  <si>
    <t>Mc Cann Dr</t>
  </si>
  <si>
    <t>Crossroads</t>
  </si>
  <si>
    <t>Greenhill Dr</t>
  </si>
  <si>
    <t>Crystal Creek</t>
  </si>
  <si>
    <t>1st St S</t>
  </si>
  <si>
    <t>Hillcrest Oaks</t>
  </si>
  <si>
    <t>Duval St</t>
  </si>
  <si>
    <t>Duval Villa</t>
  </si>
  <si>
    <t>Metric Blvd</t>
  </si>
  <si>
    <t>Edge Creek</t>
  </si>
  <si>
    <t>Rundberg Ln E</t>
  </si>
  <si>
    <t>Englebrook</t>
  </si>
  <si>
    <t>English Aire</t>
  </si>
  <si>
    <t>Saint Edwards Dr</t>
  </si>
  <si>
    <t>Forest Creek Village</t>
  </si>
  <si>
    <t>Manchaca Rd</t>
  </si>
  <si>
    <t>The Grove</t>
  </si>
  <si>
    <t>Tramor at Victory Place</t>
  </si>
  <si>
    <t>Banister Ln</t>
  </si>
  <si>
    <t>Four Park Place</t>
  </si>
  <si>
    <t>Willowbend Dr</t>
  </si>
  <si>
    <t>Foxfire</t>
  </si>
  <si>
    <t>Gables of Round Rock</t>
  </si>
  <si>
    <t>Rio Grande St</t>
  </si>
  <si>
    <t>University Gardens</t>
  </si>
  <si>
    <t>Rundberg Ln W</t>
  </si>
  <si>
    <t>Gateways</t>
  </si>
  <si>
    <t>Venterra at Bradford Pointe</t>
  </si>
  <si>
    <t>Luther Dr</t>
  </si>
  <si>
    <t>Georgetown Park</t>
  </si>
  <si>
    <t>Georgian Dr</t>
  </si>
  <si>
    <t>Georgian Apts</t>
  </si>
  <si>
    <t>Glen Oaks</t>
  </si>
  <si>
    <t>Canyon Villas II</t>
  </si>
  <si>
    <t>Greystone Dr</t>
  </si>
  <si>
    <t>Juniper Springs</t>
  </si>
  <si>
    <t>Great Hills Trl</t>
  </si>
  <si>
    <t>Arboretum Oaks</t>
  </si>
  <si>
    <t>Reinli St</t>
  </si>
  <si>
    <t>1100-1106</t>
  </si>
  <si>
    <t>The Legacy</t>
  </si>
  <si>
    <t>The Hampton</t>
  </si>
  <si>
    <t>Hardrock Canyon I &amp; II</t>
  </si>
  <si>
    <t>Oltorf St E</t>
  </si>
  <si>
    <t>Harpers Creek</t>
  </si>
  <si>
    <t>Haven East</t>
  </si>
  <si>
    <t>Heritage Oaks</t>
  </si>
  <si>
    <t>Plaza Dr N</t>
  </si>
  <si>
    <t>Heritage Plaza</t>
  </si>
  <si>
    <t>Pond Springs Rd</t>
  </si>
  <si>
    <t>Hidden Timber</t>
  </si>
  <si>
    <t>High Oaks I &amp; II</t>
  </si>
  <si>
    <t>Wickersham Ln</t>
  </si>
  <si>
    <t>High Point Village</t>
  </si>
  <si>
    <t>Highland Cove</t>
  </si>
  <si>
    <t>Tramor at the Arboretum</t>
  </si>
  <si>
    <t>Wickersham Green</t>
  </si>
  <si>
    <t>Tramor at the Hills</t>
  </si>
  <si>
    <t>Woodridge</t>
  </si>
  <si>
    <t>Shoreline Dr</t>
  </si>
  <si>
    <t>Hunt Club</t>
  </si>
  <si>
    <t>Hunters Chase Dr</t>
  </si>
  <si>
    <t>Hunter's Chase</t>
  </si>
  <si>
    <t>Berkeley Ave</t>
  </si>
  <si>
    <t>Tramor at Hunter's Glen</t>
  </si>
  <si>
    <t>Hunters Ridge</t>
  </si>
  <si>
    <t>William Cannon Dr E</t>
  </si>
  <si>
    <t>Hunterwood</t>
  </si>
  <si>
    <t>Speedway St</t>
  </si>
  <si>
    <t>Hyde Park I &amp; II</t>
  </si>
  <si>
    <t>Westdale Creek</t>
  </si>
  <si>
    <t>Copper Creek Dr</t>
  </si>
  <si>
    <t>International Residence</t>
  </si>
  <si>
    <t>Barton Court</t>
  </si>
  <si>
    <t>Camino La Costa</t>
  </si>
  <si>
    <t>Irongate</t>
  </si>
  <si>
    <t>Bull Creek Rd</t>
  </si>
  <si>
    <t>Thunder Creek Rd</t>
  </si>
  <si>
    <t>Keystone</t>
  </si>
  <si>
    <t>Northland at the Arboretum</t>
  </si>
  <si>
    <t>Town Creek Dr</t>
  </si>
  <si>
    <t>Regatta</t>
  </si>
  <si>
    <t>Renaissance Ct</t>
  </si>
  <si>
    <t>Lakes at Renaissance Park</t>
  </si>
  <si>
    <t>Lakeshore Blvd S</t>
  </si>
  <si>
    <t>The Lakeshore</t>
  </si>
  <si>
    <t>Lakeview</t>
  </si>
  <si>
    <t>W Ave</t>
  </si>
  <si>
    <t>Lantana</t>
  </si>
  <si>
    <t>40th St W</t>
  </si>
  <si>
    <t>Le Med</t>
  </si>
  <si>
    <t>Lincoln Oaks</t>
  </si>
  <si>
    <t>Bluff Springs Rd</t>
  </si>
  <si>
    <t>Mission Reilly Ridge</t>
  </si>
  <si>
    <t>Logan's Mill</t>
  </si>
  <si>
    <t>London Square</t>
  </si>
  <si>
    <t>Masterson Pass</t>
  </si>
  <si>
    <t>Longbranch</t>
  </si>
  <si>
    <t>Main St E</t>
  </si>
  <si>
    <t>Main Street Square</t>
  </si>
  <si>
    <t>The Palms on Lamar</t>
  </si>
  <si>
    <t>Dessau Rd</t>
  </si>
  <si>
    <t>Marlborough Square</t>
  </si>
  <si>
    <t>Venterra at Waters Edge</t>
  </si>
  <si>
    <t>San Felipe Blvd</t>
  </si>
  <si>
    <t>Marthas Vineyard</t>
  </si>
  <si>
    <t>The Meadows</t>
  </si>
  <si>
    <t>Melrose Trl</t>
  </si>
  <si>
    <t>6511-B</t>
  </si>
  <si>
    <t>Melrose Place</t>
  </si>
  <si>
    <t>Tramor at the Oaks</t>
  </si>
  <si>
    <t>Duval Rd</t>
  </si>
  <si>
    <t>Mesa Verde</t>
  </si>
  <si>
    <t>Parker Ln</t>
  </si>
  <si>
    <t>Montecito</t>
  </si>
  <si>
    <t>Monte Vista Condos</t>
  </si>
  <si>
    <t>Meridian</t>
  </si>
  <si>
    <t>North Village</t>
  </si>
  <si>
    <t>Middle Fiskville Rd</t>
  </si>
  <si>
    <t>Meadowood</t>
  </si>
  <si>
    <t>Mopac Expwy N</t>
  </si>
  <si>
    <t>The Place at Terracina</t>
  </si>
  <si>
    <t>Northchase</t>
  </si>
  <si>
    <t>Foster Ln</t>
  </si>
  <si>
    <t>The Park at Allandale</t>
  </si>
  <si>
    <t>Longspur Crossing</t>
  </si>
  <si>
    <t>Houston St</t>
  </si>
  <si>
    <t>Oak Creek</t>
  </si>
  <si>
    <t>Oak Grove</t>
  </si>
  <si>
    <t>Oak Hollow</t>
  </si>
  <si>
    <t>Pleasant Valley Rd S</t>
  </si>
  <si>
    <t>Arbor Pointe</t>
  </si>
  <si>
    <t>Oak Park</t>
  </si>
  <si>
    <t>Hills Dr N</t>
  </si>
  <si>
    <t>Oak Ridge</t>
  </si>
  <si>
    <t>Woodward St</t>
  </si>
  <si>
    <t>1710-1724</t>
  </si>
  <si>
    <t>Park Lane Villas</t>
  </si>
  <si>
    <t>Mesa Dr</t>
  </si>
  <si>
    <t>Post Park Mesa</t>
  </si>
  <si>
    <t>Barrington at Park Place</t>
  </si>
  <si>
    <t>Breakers on the Lake</t>
  </si>
  <si>
    <t>Park Plaza Dr</t>
  </si>
  <si>
    <t>Park Plaza</t>
  </si>
  <si>
    <t>Park West Condo Apts</t>
  </si>
  <si>
    <t>Park at Wells Branch</t>
  </si>
  <si>
    <t>The Park</t>
  </si>
  <si>
    <t>5th St S</t>
  </si>
  <si>
    <t>Pastures</t>
  </si>
  <si>
    <t>Pebble Creek I &amp; II</t>
  </si>
  <si>
    <t>Pecan Grove</t>
  </si>
  <si>
    <t>290 Hwy E</t>
  </si>
  <si>
    <t>Penbrook Club</t>
  </si>
  <si>
    <t>Solano</t>
  </si>
  <si>
    <t>Penny Ln</t>
  </si>
  <si>
    <t>Abbey Road</t>
  </si>
  <si>
    <t>Pinto Creek</t>
  </si>
  <si>
    <t>Lexington Hills</t>
  </si>
  <si>
    <t>Metropolis</t>
  </si>
  <si>
    <t>Cahill Dr</t>
  </si>
  <si>
    <t>Polo Club</t>
  </si>
  <si>
    <t>Capitol Village</t>
  </si>
  <si>
    <t>Northgate Blvd</t>
  </si>
  <si>
    <t>Avalon Palms II</t>
  </si>
  <si>
    <t>Airport Blvd</t>
  </si>
  <si>
    <t>The Princeton</t>
  </si>
  <si>
    <t>Ridgepoint Dr</t>
  </si>
  <si>
    <t>Promontory Point</t>
  </si>
  <si>
    <t>Tandem Blvd</t>
  </si>
  <si>
    <t>The Cottages at Wells Branch</t>
  </si>
  <si>
    <t>Mearns Meadow Blvd</t>
  </si>
  <si>
    <t>Quail Run</t>
  </si>
  <si>
    <t>Tramor at the Quest</t>
  </si>
  <si>
    <t>Broadmoor</t>
  </si>
  <si>
    <t>Lantern Hill &amp; Reagan Hill</t>
  </si>
  <si>
    <t>Barwood Park</t>
  </si>
  <si>
    <t>Remington House</t>
  </si>
  <si>
    <t>Research Pointe</t>
  </si>
  <si>
    <t>Museo</t>
  </si>
  <si>
    <t>The Ridge</t>
  </si>
  <si>
    <t>University Crest</t>
  </si>
  <si>
    <t>River Crossing Cir</t>
  </si>
  <si>
    <t>River Crossing</t>
  </si>
  <si>
    <t>Medical Arts St</t>
  </si>
  <si>
    <t>River Oaks</t>
  </si>
  <si>
    <t>Las Palmas</t>
  </si>
  <si>
    <t>Bluffs at Town Lake</t>
  </si>
  <si>
    <t>Landry Place</t>
  </si>
  <si>
    <t>SoCo on the Lake</t>
  </si>
  <si>
    <t>Riverside Square</t>
  </si>
  <si>
    <t>Northwest Hills</t>
  </si>
  <si>
    <t>Rockwood Ln</t>
  </si>
  <si>
    <t>Rockwood</t>
  </si>
  <si>
    <t>Avalon Palms I</t>
  </si>
  <si>
    <t>Rundberg West</t>
  </si>
  <si>
    <t>Runnymede</t>
  </si>
  <si>
    <t>Rutland Place I &amp; II</t>
  </si>
  <si>
    <t>Gracy Farms Ln</t>
  </si>
  <si>
    <t>The Village At Gracy Farms</t>
  </si>
  <si>
    <t>Manor Rd</t>
  </si>
  <si>
    <t>Sagebrush</t>
  </si>
  <si>
    <t>Salem Walk</t>
  </si>
  <si>
    <t>The Arts Apts at Turtle Creek</t>
  </si>
  <si>
    <t>Santa Maria Village</t>
  </si>
  <si>
    <t>Hart Ln</t>
  </si>
  <si>
    <t>Acacia Cliffs</t>
  </si>
  <si>
    <t>Eastside Commons</t>
  </si>
  <si>
    <t>70 Hwy W</t>
  </si>
  <si>
    <t>Settlers Creek</t>
  </si>
  <si>
    <t>Shadow Oaks</t>
  </si>
  <si>
    <t>Magnolia Court</t>
  </si>
  <si>
    <t>Sierra Vista</t>
  </si>
  <si>
    <t>Shoreline</t>
  </si>
  <si>
    <t>Saint Elmo Rd W</t>
  </si>
  <si>
    <t>Sierra Ridge</t>
  </si>
  <si>
    <t>Silvercreek</t>
  </si>
  <si>
    <t>Capella</t>
  </si>
  <si>
    <t>Nimbus Dr</t>
  </si>
  <si>
    <t>Skyview Village</t>
  </si>
  <si>
    <t>Pflugerville</t>
  </si>
  <si>
    <t>Sneed Cove</t>
  </si>
  <si>
    <t>Sorrento</t>
  </si>
  <si>
    <t>South Cliff</t>
  </si>
  <si>
    <t>Mission Grace Woods</t>
  </si>
  <si>
    <t>South Point Village</t>
  </si>
  <si>
    <t>Mays St S</t>
  </si>
  <si>
    <t>Vista Ridge</t>
  </si>
  <si>
    <t>Southridge Dr</t>
  </si>
  <si>
    <t>Bainbridge Villas</t>
  </si>
  <si>
    <t>Spicewood Springs Rd</t>
  </si>
  <si>
    <t>Spicewood Springs</t>
  </si>
  <si>
    <t>Loyola Ln</t>
  </si>
  <si>
    <t>Spring Hollow</t>
  </si>
  <si>
    <t>Springdale Rd</t>
  </si>
  <si>
    <t>Tierra Bella</t>
  </si>
  <si>
    <t>The Springs Garden Homes</t>
  </si>
  <si>
    <t>Spyglass Dr</t>
  </si>
  <si>
    <t>Mission Barton Creek</t>
  </si>
  <si>
    <t>Austin Commons</t>
  </si>
  <si>
    <t>Stassney Ln E</t>
  </si>
  <si>
    <t>Stassney Woods</t>
  </si>
  <si>
    <t>Sterling Springs</t>
  </si>
  <si>
    <t>Sterling Village</t>
  </si>
  <si>
    <t>Lamar Blvd S</t>
  </si>
  <si>
    <t>Stoneridge (Demolished)</t>
  </si>
  <si>
    <t>Ave B #110</t>
  </si>
  <si>
    <t>Stonewood Village</t>
  </si>
  <si>
    <t>Stony Creek</t>
  </si>
  <si>
    <t>Shadow Creek</t>
  </si>
  <si>
    <t>Stoney Ridge</t>
  </si>
  <si>
    <t>Sienna Ridge</t>
  </si>
  <si>
    <t>39th St W</t>
  </si>
  <si>
    <t>Su Casa</t>
  </si>
  <si>
    <t>Summer Grove</t>
  </si>
  <si>
    <t>Club at Summer Valley</t>
  </si>
  <si>
    <t>Georgetown St N</t>
  </si>
  <si>
    <t>Summerset</t>
  </si>
  <si>
    <t>Summit Creek</t>
  </si>
  <si>
    <t>Sunchase</t>
  </si>
  <si>
    <t>Sundance</t>
  </si>
  <si>
    <t>Sunnymeade</t>
  </si>
  <si>
    <t>Cardinal Loop W</t>
  </si>
  <si>
    <t>Sunscape</t>
  </si>
  <si>
    <t>Sweetwater at Wells Branch</t>
  </si>
  <si>
    <t>Tallwood Dr</t>
  </si>
  <si>
    <t>The Arbor at Tallwood</t>
  </si>
  <si>
    <t>Aftonshire Way</t>
  </si>
  <si>
    <t>Mission Tanglewood</t>
  </si>
  <si>
    <t>45th St E</t>
  </si>
  <si>
    <t>Tanglewood North</t>
  </si>
  <si>
    <t>Wonsley Dr E</t>
  </si>
  <si>
    <t>Towne Oaks II</t>
  </si>
  <si>
    <t>Timbercreek</t>
  </si>
  <si>
    <t>Towne Oaks I</t>
  </si>
  <si>
    <t>Treadwell St</t>
  </si>
  <si>
    <t>Treadwell Condos</t>
  </si>
  <si>
    <t>Trails of Walnut Creek</t>
  </si>
  <si>
    <t>Ed Bluestein Blvd</t>
  </si>
  <si>
    <t>Travis Station</t>
  </si>
  <si>
    <t>Clayton Ln</t>
  </si>
  <si>
    <t>Trestles of Austin</t>
  </si>
  <si>
    <t>Viewpoint</t>
  </si>
  <si>
    <t>Longview St</t>
  </si>
  <si>
    <t>Villa Vallarta</t>
  </si>
  <si>
    <t>Park View at Town Lake</t>
  </si>
  <si>
    <t>NE Dr</t>
  </si>
  <si>
    <t>Trails at Vintage Creek</t>
  </si>
  <si>
    <t>Village Oaks</t>
  </si>
  <si>
    <t>Village Park</t>
  </si>
  <si>
    <t>Villas of La Costa</t>
  </si>
  <si>
    <t>Southport Dr</t>
  </si>
  <si>
    <t>The Villas at Oak Run</t>
  </si>
  <si>
    <t>Villas of Quail Creek</t>
  </si>
  <si>
    <t>Walnut Creek</t>
  </si>
  <si>
    <t>Cedar Bend Dr</t>
  </si>
  <si>
    <t>Walnut Creek Crossing</t>
  </si>
  <si>
    <t>Walnut Grove</t>
  </si>
  <si>
    <t>24th St W</t>
  </si>
  <si>
    <t>West 24th Street Apts</t>
  </si>
  <si>
    <t>Westwood</t>
  </si>
  <si>
    <t>Whisper Hollow</t>
  </si>
  <si>
    <t>The Arts Apts at South Austin</t>
  </si>
  <si>
    <t>Faro Dr</t>
  </si>
  <si>
    <t>Wildcreek</t>
  </si>
  <si>
    <t>Wildflower</t>
  </si>
  <si>
    <t>Wildwood</t>
  </si>
  <si>
    <t>Williamson Creek</t>
  </si>
  <si>
    <t>Willow Brook</t>
  </si>
  <si>
    <t>Austin View</t>
  </si>
  <si>
    <t>The Ridge at Barton Creek</t>
  </si>
  <si>
    <t>Wind River Crossing</t>
  </si>
  <si>
    <t>Ashbury Parke</t>
  </si>
  <si>
    <t>Steck Ave</t>
  </si>
  <si>
    <t>Le Montreaux</t>
  </si>
  <si>
    <t>Burnet Rd</t>
  </si>
  <si>
    <t>Woodchase</t>
  </si>
  <si>
    <t>Woodgate</t>
  </si>
  <si>
    <t>Woodhollow</t>
  </si>
  <si>
    <t>Chelsea on Town Lake</t>
  </si>
  <si>
    <t>Woodland Heights</t>
  </si>
  <si>
    <t>Burleson Rd</t>
  </si>
  <si>
    <t>Burleson Place</t>
  </si>
  <si>
    <t>Woodmark</t>
  </si>
  <si>
    <t>Woodmeade</t>
  </si>
  <si>
    <t>Woodmoor</t>
  </si>
  <si>
    <t>Barton Skyway</t>
  </si>
  <si>
    <t>The Woods On Barton Skyway</t>
  </si>
  <si>
    <t>Woodstone</t>
  </si>
  <si>
    <t>Westdale Parke</t>
  </si>
  <si>
    <t>Cannon South</t>
  </si>
  <si>
    <t>Lindys Landing</t>
  </si>
  <si>
    <t>The Willows</t>
  </si>
  <si>
    <t>53rd St E</t>
  </si>
  <si>
    <t>The Elms</t>
  </si>
  <si>
    <t>30th St W</t>
  </si>
  <si>
    <t>Fountain Terrace</t>
  </si>
  <si>
    <t>51st St W</t>
  </si>
  <si>
    <t>Villa Solano</t>
  </si>
  <si>
    <t>32nd St W</t>
  </si>
  <si>
    <t>Buckingham Square</t>
  </si>
  <si>
    <t>Battle Bend Blvd</t>
  </si>
  <si>
    <t>Oak Bend</t>
  </si>
  <si>
    <t>MacKenzie Pointe</t>
  </si>
  <si>
    <t>Travis Park</t>
  </si>
  <si>
    <t>Gunter St</t>
  </si>
  <si>
    <t>Mason Manor</t>
  </si>
  <si>
    <t>Kinney Ave</t>
  </si>
  <si>
    <t>Cloisters West</t>
  </si>
  <si>
    <t>Aquarena Springs Dr</t>
  </si>
  <si>
    <t>Shalamar</t>
  </si>
  <si>
    <t>San Marcos</t>
  </si>
  <si>
    <t>Elmont Dr</t>
  </si>
  <si>
    <t>Barcelona</t>
  </si>
  <si>
    <t>Salado at Walnut Creek</t>
  </si>
  <si>
    <t>Loop W N</t>
  </si>
  <si>
    <t>Kensington Court</t>
  </si>
  <si>
    <t>Renaissance Park</t>
  </si>
  <si>
    <t>Kensington Terrace</t>
  </si>
  <si>
    <t>French Quarter</t>
  </si>
  <si>
    <t>Wilson St</t>
  </si>
  <si>
    <t>Oak Creek Village</t>
  </si>
  <si>
    <t>Archways</t>
  </si>
  <si>
    <t>Wheless Ln</t>
  </si>
  <si>
    <t>Westheimer Oaks</t>
  </si>
  <si>
    <t>Heights on Congress</t>
  </si>
  <si>
    <t>Willow Springs Rd</t>
  </si>
  <si>
    <t>Woodwillow TH</t>
  </si>
  <si>
    <t>Summer Oaks Dr</t>
  </si>
  <si>
    <t>Oak Run</t>
  </si>
  <si>
    <t>Springdale Gardens</t>
  </si>
  <si>
    <t>Southway Dr</t>
  </si>
  <si>
    <t>South Hill</t>
  </si>
  <si>
    <t>Harmon Ave</t>
  </si>
  <si>
    <t>The Village at 47th</t>
  </si>
  <si>
    <t>Harvard Place</t>
  </si>
  <si>
    <t>Hidden Gardens</t>
  </si>
  <si>
    <t>Central Park I</t>
  </si>
  <si>
    <t>Manor Palms</t>
  </si>
  <si>
    <t>Mi Casa</t>
  </si>
  <si>
    <t>Fathom Cir</t>
  </si>
  <si>
    <t>Laurel Woods</t>
  </si>
  <si>
    <t>Shoal Creek Blvd</t>
  </si>
  <si>
    <t>Shoal Creek Arms</t>
  </si>
  <si>
    <t>Shoal Creek North</t>
  </si>
  <si>
    <t>Galewood Dr</t>
  </si>
  <si>
    <t>Galewood Gardens</t>
  </si>
  <si>
    <t>Quail Blvd</t>
  </si>
  <si>
    <t>Quail Park Village</t>
  </si>
  <si>
    <t>The Addington</t>
  </si>
  <si>
    <t>Warren House</t>
  </si>
  <si>
    <t>Dawson Rd</t>
  </si>
  <si>
    <t>Park Terrace at Town Lake</t>
  </si>
  <si>
    <t>Cumberland Dr</t>
  </si>
  <si>
    <t>The Oaks</t>
  </si>
  <si>
    <t>Penthouse</t>
  </si>
  <si>
    <t>Andrews Place</t>
  </si>
  <si>
    <t>40th St E</t>
  </si>
  <si>
    <t>Granada</t>
  </si>
  <si>
    <t>The Marks &amp; The Embers</t>
  </si>
  <si>
    <t>Winflo Dr</t>
  </si>
  <si>
    <t>Park Place</t>
  </si>
  <si>
    <t>Bluff Springs TH</t>
  </si>
  <si>
    <t>26th St W</t>
  </si>
  <si>
    <t>26 West</t>
  </si>
  <si>
    <t>Chisolm Valley Dr</t>
  </si>
  <si>
    <t>Westwind</t>
  </si>
  <si>
    <t>Windcrest</t>
  </si>
  <si>
    <t>15th St W</t>
  </si>
  <si>
    <t>Victorian Villages</t>
  </si>
  <si>
    <t>Warwick</t>
  </si>
  <si>
    <t>Robbie Ln</t>
  </si>
  <si>
    <t>Englebrook-San Marcos</t>
  </si>
  <si>
    <t>Craddock Ave</t>
  </si>
  <si>
    <t>Executive TH</t>
  </si>
  <si>
    <t>Hidden Village</t>
  </si>
  <si>
    <t>San Marcos Pkwy</t>
  </si>
  <si>
    <t>Florencia Villas</t>
  </si>
  <si>
    <t>Clarewood Dr</t>
  </si>
  <si>
    <t>Clarewood</t>
  </si>
  <si>
    <t>Thorpe Ln</t>
  </si>
  <si>
    <t>The Summit</t>
  </si>
  <si>
    <t>Peques St</t>
  </si>
  <si>
    <t>The Timbers</t>
  </si>
  <si>
    <t>Ye Olde Colony</t>
  </si>
  <si>
    <t>12 RR</t>
  </si>
  <si>
    <t>Highcrest Apts</t>
  </si>
  <si>
    <t>Avalon</t>
  </si>
  <si>
    <t>The Verandah</t>
  </si>
  <si>
    <t>Leah Ave</t>
  </si>
  <si>
    <t>Cedars of San Marcos</t>
  </si>
  <si>
    <t>River Rd W</t>
  </si>
  <si>
    <t>Colony Square Condos</t>
  </si>
  <si>
    <t>LBJ Dr N</t>
  </si>
  <si>
    <t>Treehouse</t>
  </si>
  <si>
    <t>1st St</t>
  </si>
  <si>
    <t>Village Green</t>
  </si>
  <si>
    <t>Riverside Ranch</t>
  </si>
  <si>
    <t>Westfield</t>
  </si>
  <si>
    <t>Langtry</t>
  </si>
  <si>
    <t>Wood W</t>
  </si>
  <si>
    <t>Texas State Apts</t>
  </si>
  <si>
    <t>Hill Country-San Marcos</t>
  </si>
  <si>
    <t>Ramsay</t>
  </si>
  <si>
    <t>Iconic Village</t>
  </si>
  <si>
    <t>Linda Dr</t>
  </si>
  <si>
    <t>Townwood</t>
  </si>
  <si>
    <t>Vintage Pads</t>
  </si>
  <si>
    <t>The Marquis at Caprock Canyon</t>
  </si>
  <si>
    <t>Madison at Walnut Creek</t>
  </si>
  <si>
    <t>Capital of TX Hwy N</t>
  </si>
  <si>
    <t>The McClintock</t>
  </si>
  <si>
    <t>Lockhart</t>
  </si>
  <si>
    <t>Spinnaker St</t>
  </si>
  <si>
    <t>The Landing</t>
  </si>
  <si>
    <t>Pine Point Dr</t>
  </si>
  <si>
    <t>Pine Point</t>
  </si>
  <si>
    <t>Bastrop</t>
  </si>
  <si>
    <t>Childers Dr</t>
  </si>
  <si>
    <t>The Arbors of Bastrop</t>
  </si>
  <si>
    <t>Bridge Hollow</t>
  </si>
  <si>
    <t>Wonder World Dr</t>
  </si>
  <si>
    <t>Asbury Place</t>
  </si>
  <si>
    <t>Stonelake Blvd</t>
  </si>
  <si>
    <t>Arboretum at Stone Lake</t>
  </si>
  <si>
    <t>Monterey Oaks Blvd</t>
  </si>
  <si>
    <t>Sedona Springs</t>
  </si>
  <si>
    <t>McNeil Dr</t>
  </si>
  <si>
    <t>McNeil Ranch</t>
  </si>
  <si>
    <t>San Marin</t>
  </si>
  <si>
    <t>Canyon Springs on Bull Creek</t>
  </si>
  <si>
    <t>Camden Huntingdon</t>
  </si>
  <si>
    <t>Marquis at Great Hills</t>
  </si>
  <si>
    <t>Madison at Stone Creek</t>
  </si>
  <si>
    <t>Indian Creek Apts</t>
  </si>
  <si>
    <t>Arbors of Austin</t>
  </si>
  <si>
    <t>Bluffstone Cove</t>
  </si>
  <si>
    <t>Broadstone Great Hills</t>
  </si>
  <si>
    <t>Hobby Horse Ct</t>
  </si>
  <si>
    <t>Verano at the Domain</t>
  </si>
  <si>
    <t>Panther Trl</t>
  </si>
  <si>
    <t>The Hamilton</t>
  </si>
  <si>
    <t>Marquis at Ladera Vista</t>
  </si>
  <si>
    <t>Palm Valley Blvd E</t>
  </si>
  <si>
    <t>Steeplechase</t>
  </si>
  <si>
    <t>Seton Center Pkwy</t>
  </si>
  <si>
    <t>Estate on Quarry Lake</t>
  </si>
  <si>
    <t>Austin Center Blvd</t>
  </si>
  <si>
    <t>Somerset TH</t>
  </si>
  <si>
    <t>Camden Ridgecrest</t>
  </si>
  <si>
    <t>Colonial Village at Canyon Hills</t>
  </si>
  <si>
    <t>Silver Springs</t>
  </si>
  <si>
    <t>The Crossing</t>
  </si>
  <si>
    <t>Stonehollow Dr</t>
  </si>
  <si>
    <t>Northland at Stonehollow</t>
  </si>
  <si>
    <t>Marquis at Treetops</t>
  </si>
  <si>
    <t>Chez Moi</t>
  </si>
  <si>
    <t>Staggerbrush Rd</t>
  </si>
  <si>
    <t>IMT Monterey Ranch</t>
  </si>
  <si>
    <t>Century Park Blvd</t>
  </si>
  <si>
    <t>Madison at Wells Branch</t>
  </si>
  <si>
    <t>The Edge and The Zone at East End</t>
  </si>
  <si>
    <t>Lake Austin Blvd</t>
  </si>
  <si>
    <t>Gables Town Lake</t>
  </si>
  <si>
    <t>William Cannon W</t>
  </si>
  <si>
    <t>Lantana Ridge</t>
  </si>
  <si>
    <t>La Frontera Blvd</t>
  </si>
  <si>
    <t>Limestone Ranch</t>
  </si>
  <si>
    <t>Nelms Dr</t>
  </si>
  <si>
    <t>Sunrise Bluff</t>
  </si>
  <si>
    <t>Gaines Ranch Loop</t>
  </si>
  <si>
    <t>Camden Gaines Ranch</t>
  </si>
  <si>
    <t>Colonial Village at Quarry Oaks</t>
  </si>
  <si>
    <t>Brodie Ln</t>
  </si>
  <si>
    <t>The Grand Reserve at Sunset Valley</t>
  </si>
  <si>
    <t>Parmer Ln W</t>
  </si>
  <si>
    <t>Water's Park</t>
  </si>
  <si>
    <t>State House on Congress</t>
  </si>
  <si>
    <t>Forest Park</t>
  </si>
  <si>
    <t>Rocking Horse Ranch</t>
  </si>
  <si>
    <t>Arrowhead Park</t>
  </si>
  <si>
    <t>Bent Oaks</t>
  </si>
  <si>
    <t>Merrilltown Dr</t>
  </si>
  <si>
    <t>Lodge at Merrilltown I &amp; II</t>
  </si>
  <si>
    <t>Walnut Park Crossing</t>
  </si>
  <si>
    <t>Limestone Canyon</t>
  </si>
  <si>
    <t>Paradise Oaks</t>
  </si>
  <si>
    <t>Wyndhaven at Wells Branch</t>
  </si>
  <si>
    <t>Madison at Scofield Farms</t>
  </si>
  <si>
    <t>Country Club Creek</t>
  </si>
  <si>
    <t>Country Oaks</t>
  </si>
  <si>
    <t>River Oaks Villas</t>
  </si>
  <si>
    <t>Hillside Ranch I &amp; II</t>
  </si>
  <si>
    <t>The Retreat at Barton Creek</t>
  </si>
  <si>
    <t>38th St W</t>
  </si>
  <si>
    <t>Gables Central Park</t>
  </si>
  <si>
    <t>Terrazzo Apts</t>
  </si>
  <si>
    <t>William Cannon Dr</t>
  </si>
  <si>
    <t>Highlands Hill Country</t>
  </si>
  <si>
    <t>SW Pkwy</t>
  </si>
  <si>
    <t>The Preserve at Travis Creek</t>
  </si>
  <si>
    <t>Mopac Expwy S</t>
  </si>
  <si>
    <t>Gables at the Terrace</t>
  </si>
  <si>
    <t>Austin Trails</t>
  </si>
  <si>
    <t>Scofield Ridge Pkwy</t>
  </si>
  <si>
    <t>Scofield Park at Austin</t>
  </si>
  <si>
    <t>Crossing Place</t>
  </si>
  <si>
    <t>University Estates at Austin</t>
  </si>
  <si>
    <t>River Stone Ranch</t>
  </si>
  <si>
    <t>Kelsea Place</t>
  </si>
  <si>
    <t>IMT Wells Branch</t>
  </si>
  <si>
    <t>620 RR N</t>
  </si>
  <si>
    <t>Sonterra I</t>
  </si>
  <si>
    <t>Post Barton Creek</t>
  </si>
  <si>
    <t>The Palazzo I</t>
  </si>
  <si>
    <t>The Ranch</t>
  </si>
  <si>
    <t>Cypress Creek Rd</t>
  </si>
  <si>
    <t>Cypress Gardens</t>
  </si>
  <si>
    <t>Cedar Park</t>
  </si>
  <si>
    <t>Post Rd</t>
  </si>
  <si>
    <t>Post Road Place</t>
  </si>
  <si>
    <t>Falcon Ridge</t>
  </si>
  <si>
    <t>Spring West</t>
  </si>
  <si>
    <t>Decker Ln</t>
  </si>
  <si>
    <t>Huntington Meadows</t>
  </si>
  <si>
    <t>Sycamore Springs</t>
  </si>
  <si>
    <t>Alameda Trace Cir</t>
  </si>
  <si>
    <t>RIATA-Rock Creek</t>
  </si>
  <si>
    <t>RIATA-Enclave</t>
  </si>
  <si>
    <t>RIATA-Arrow Wood</t>
  </si>
  <si>
    <t>Riata Trace Pkwy</t>
  </si>
  <si>
    <t>RIATA-Myles Mark</t>
  </si>
  <si>
    <t>Bagdad Rd S</t>
  </si>
  <si>
    <t>Cedar Ridge I</t>
  </si>
  <si>
    <t>Leander</t>
  </si>
  <si>
    <t>Post Oak Villa</t>
  </si>
  <si>
    <t>University Springs</t>
  </si>
  <si>
    <t>Deerfield</t>
  </si>
  <si>
    <t>2222 RM</t>
  </si>
  <si>
    <t>Riverlodge</t>
  </si>
  <si>
    <t>22nd St W</t>
  </si>
  <si>
    <t>The Oaks at Georgetown</t>
  </si>
  <si>
    <t>Riverbend</t>
  </si>
  <si>
    <t>Westwood TH</t>
  </si>
  <si>
    <t>Barton Creek Blvd</t>
  </si>
  <si>
    <t>Sendera Barton Creek</t>
  </si>
  <si>
    <t>Westwind Duplexes</t>
  </si>
  <si>
    <t>Exchange Dr</t>
  </si>
  <si>
    <t>Palms of Walnut Creek</t>
  </si>
  <si>
    <t>Sunridge Dr</t>
  </si>
  <si>
    <t>Mission Hills</t>
  </si>
  <si>
    <t>Ion at East End</t>
  </si>
  <si>
    <t>The Park at Monterey Oaks</t>
  </si>
  <si>
    <t>Louis Henna Blvd</t>
  </si>
  <si>
    <t>Montelena</t>
  </si>
  <si>
    <t>Stonehaven</t>
  </si>
  <si>
    <t>Austin Ave N</t>
  </si>
  <si>
    <t>Parkview Place</t>
  </si>
  <si>
    <t>RIATA-Grey Moss</t>
  </si>
  <si>
    <t>Tapadera Trace Ln</t>
  </si>
  <si>
    <t>RIATA-Wood Trail</t>
  </si>
  <si>
    <t>Boulder Ln</t>
  </si>
  <si>
    <t>Sonterra II</t>
  </si>
  <si>
    <t>290 Hwy W</t>
  </si>
  <si>
    <t>Vineyard Hills</t>
  </si>
  <si>
    <t>La Cresada Dr</t>
  </si>
  <si>
    <t>Legacy at Western Oaks</t>
  </si>
  <si>
    <t>Lamplight Village Ave</t>
  </si>
  <si>
    <t>Renaissance at Northbend</t>
  </si>
  <si>
    <t>Colorado St S</t>
  </si>
  <si>
    <t>Southpark Village</t>
  </si>
  <si>
    <t>Henna TH</t>
  </si>
  <si>
    <t>RIATA-Dominion</t>
  </si>
  <si>
    <t>RIATA-Buena Vista</t>
  </si>
  <si>
    <t>Old Manchaca Rd</t>
  </si>
  <si>
    <t>Saddle Creek</t>
  </si>
  <si>
    <t>The Zone At San Marcos</t>
  </si>
  <si>
    <t>The Edge</t>
  </si>
  <si>
    <t>Douglas Landing</t>
  </si>
  <si>
    <t>Tech Ridge Blvd</t>
  </si>
  <si>
    <t>San Paloma</t>
  </si>
  <si>
    <t>Mountain Ranch</t>
  </si>
  <si>
    <t>Anderson Mill Rd (FM 2769)</t>
  </si>
  <si>
    <t>Marquis at Volente</t>
  </si>
  <si>
    <t>Waters Edge Cir</t>
  </si>
  <si>
    <t>Waters Edge</t>
  </si>
  <si>
    <t>IMT Rattan Creek</t>
  </si>
  <si>
    <t>Camden South Congress</t>
  </si>
  <si>
    <t>Slaughter Ln W</t>
  </si>
  <si>
    <t>Trails at the Park</t>
  </si>
  <si>
    <t>Ventana Oaks</t>
  </si>
  <si>
    <t>The Reserve at Walnut Creek</t>
  </si>
  <si>
    <t>Parkside Crossing</t>
  </si>
  <si>
    <t>Creek Dr S</t>
  </si>
  <si>
    <t>Colonial Village at Sierra Vista</t>
  </si>
  <si>
    <t>The Mansions at Round Rock</t>
  </si>
  <si>
    <t>Mandalay</t>
  </si>
  <si>
    <t>University Canyon aka The Heights in Austin</t>
  </si>
  <si>
    <t>Presidio</t>
  </si>
  <si>
    <t>Blessing Ave</t>
  </si>
  <si>
    <t>St. Johns Village</t>
  </si>
  <si>
    <t>Village at Riverside</t>
  </si>
  <si>
    <t>Lodge at Stone Oak Ranch</t>
  </si>
  <si>
    <t>Craddock</t>
  </si>
  <si>
    <t>The Metropolitan</t>
  </si>
  <si>
    <t>The Palazzo II</t>
  </si>
  <si>
    <t>620 FM N</t>
  </si>
  <si>
    <t>Talavera</t>
  </si>
  <si>
    <t>183 Hwy N</t>
  </si>
  <si>
    <t>Toscana</t>
  </si>
  <si>
    <t>ALARA Canyon Creek</t>
  </si>
  <si>
    <t>Alara Cantebrea Crossing</t>
  </si>
  <si>
    <t>Parmer Ln</t>
  </si>
  <si>
    <t>The Artisan</t>
  </si>
  <si>
    <t>Gables West Avenue</t>
  </si>
  <si>
    <t>The Estates at Shoreline</t>
  </si>
  <si>
    <t>Tramor at Cannon Place</t>
  </si>
  <si>
    <t>Autumn Chase</t>
  </si>
  <si>
    <t>Lakeline Blvd S</t>
  </si>
  <si>
    <t>Red Stone Ranch</t>
  </si>
  <si>
    <t>Warner Ranch Dr</t>
  </si>
  <si>
    <t>The Lodge at Warner Ranch</t>
  </si>
  <si>
    <t>The Enclave at La Frontera</t>
  </si>
  <si>
    <t>Foothill Farms Loop</t>
  </si>
  <si>
    <t>1825 Place AH</t>
  </si>
  <si>
    <t>Austin Cityview</t>
  </si>
  <si>
    <t>Davis Ln</t>
  </si>
  <si>
    <t>Camden Stoneleigh</t>
  </si>
  <si>
    <t>Harrisglenn Dr</t>
  </si>
  <si>
    <t>Settlers Ridge</t>
  </si>
  <si>
    <t>1325 FM</t>
  </si>
  <si>
    <t>The Preserve at Rolling Oaks</t>
  </si>
  <si>
    <t>Park Hill</t>
  </si>
  <si>
    <t>Techni Center</t>
  </si>
  <si>
    <t>Fort Branch at Trumans Landing</t>
  </si>
  <si>
    <t>The Ball Park At Austin</t>
  </si>
  <si>
    <t>University Village at Austin</t>
  </si>
  <si>
    <t>Quail Valley Dr</t>
  </si>
  <si>
    <t>Georgetown Place</t>
  </si>
  <si>
    <t>Old Settlers Blvd E</t>
  </si>
  <si>
    <t>Parkwood Terrace</t>
  </si>
  <si>
    <t>Verandah at Grandview Hills</t>
  </si>
  <si>
    <t>Tintara at Canyon Creek I</t>
  </si>
  <si>
    <t>Monterone Canyon Creek</t>
  </si>
  <si>
    <t>Old Bee Cave Rd</t>
  </si>
  <si>
    <t>Southwest Trails-AH</t>
  </si>
  <si>
    <t>O'Connor Dr</t>
  </si>
  <si>
    <t>Monterone Round Rock</t>
  </si>
  <si>
    <t>Champion Blvd</t>
  </si>
  <si>
    <t>Champions Crossing</t>
  </si>
  <si>
    <t>Villas at Willow Springs</t>
  </si>
  <si>
    <t>Steiner Ranch Blvd</t>
  </si>
  <si>
    <t>Monterone at Steiner Ranch</t>
  </si>
  <si>
    <t>Jackson Keller</t>
  </si>
  <si>
    <t>The Enclave at 1550</t>
  </si>
  <si>
    <t>San Antonio</t>
  </si>
  <si>
    <t>Stone Oak Pkwy</t>
  </si>
  <si>
    <t>Toscana at Sonterra</t>
  </si>
  <si>
    <t>Sahara Dr</t>
  </si>
  <si>
    <t>Alamo</t>
  </si>
  <si>
    <t>Hutchins Place W</t>
  </si>
  <si>
    <t>Alta Vista</t>
  </si>
  <si>
    <t>Starcrest Dr</t>
  </si>
  <si>
    <t>Altamonte</t>
  </si>
  <si>
    <t>Amber Place W</t>
  </si>
  <si>
    <t>Amber</t>
  </si>
  <si>
    <t>Randoph Blvd</t>
  </si>
  <si>
    <t>Amberton</t>
  </si>
  <si>
    <t>Fredericksburg Rd</t>
  </si>
  <si>
    <t>Antonian</t>
  </si>
  <si>
    <t>USAA Blvd</t>
  </si>
  <si>
    <t>Huebner Oaks</t>
  </si>
  <si>
    <t>Heimer Rd</t>
  </si>
  <si>
    <t>Arbor Hill</t>
  </si>
  <si>
    <t>Arbor Place</t>
  </si>
  <si>
    <t>Villa Dr</t>
  </si>
  <si>
    <t>Villa Mesa</t>
  </si>
  <si>
    <t>Universal City</t>
  </si>
  <si>
    <t>Blanco Rd</t>
  </si>
  <si>
    <t>Arriba En Blanco</t>
  </si>
  <si>
    <t>Henderson Pass</t>
  </si>
  <si>
    <t>Ashley Oaks</t>
  </si>
  <si>
    <t>Harry Wurzbach</t>
  </si>
  <si>
    <t>Aspen Chase</t>
  </si>
  <si>
    <t>Perrin Beitel</t>
  </si>
  <si>
    <t>Aspen Trail</t>
  </si>
  <si>
    <t>Gardendale</t>
  </si>
  <si>
    <t>Auburn Creek</t>
  </si>
  <si>
    <t>Nacogdoches</t>
  </si>
  <si>
    <t>Audubon Place</t>
  </si>
  <si>
    <t>Braesview</t>
  </si>
  <si>
    <t>Austin Pointe</t>
  </si>
  <si>
    <t>Thousand Oaks Dr</t>
  </si>
  <si>
    <t>Regal Park</t>
  </si>
  <si>
    <t>Eisenhauer</t>
  </si>
  <si>
    <t>Camino Villa</t>
  </si>
  <si>
    <t>Bandera Crossing</t>
  </si>
  <si>
    <t>Banyan Tree</t>
  </si>
  <si>
    <t>Montrose</t>
  </si>
  <si>
    <t>Montrose Place</t>
  </si>
  <si>
    <t>Silver Sands W</t>
  </si>
  <si>
    <t>Bear Creek</t>
  </si>
  <si>
    <t>Marbach Rd</t>
  </si>
  <si>
    <t>Bear Springs</t>
  </si>
  <si>
    <t>Flores St S</t>
  </si>
  <si>
    <t>Bellaire</t>
  </si>
  <si>
    <t>Gus Eckert</t>
  </si>
  <si>
    <t>Austin Hwy</t>
  </si>
  <si>
    <t>Bentwood Place</t>
  </si>
  <si>
    <t>Roszell</t>
  </si>
  <si>
    <t>Terrace Apts</t>
  </si>
  <si>
    <t>Vista Valet</t>
  </si>
  <si>
    <t>Biltmore Park</t>
  </si>
  <si>
    <t>Bitters Rd W</t>
  </si>
  <si>
    <t>Bitterwood</t>
  </si>
  <si>
    <t>Old Blanco Rd</t>
  </si>
  <si>
    <t>Blanco Crossing</t>
  </si>
  <si>
    <t>Parliament Dr</t>
  </si>
  <si>
    <t>Blue Swan</t>
  </si>
  <si>
    <t>City View AH</t>
  </si>
  <si>
    <t>W.W. White Rd</t>
  </si>
  <si>
    <t>Boxwood</t>
  </si>
  <si>
    <t>Brandon Oaks</t>
  </si>
  <si>
    <t>Howard St</t>
  </si>
  <si>
    <t>Braunfels Haus</t>
  </si>
  <si>
    <t>New Braunfels</t>
  </si>
  <si>
    <t>Gevers S</t>
  </si>
  <si>
    <t>Brigadoon</t>
  </si>
  <si>
    <t>Jones Maltsberger</t>
  </si>
  <si>
    <t>The Villas of San Francisco</t>
  </si>
  <si>
    <t>Broadview Dr W</t>
  </si>
  <si>
    <t>Broad Viewe</t>
  </si>
  <si>
    <t>Broadway</t>
  </si>
  <si>
    <t>Broadway Place</t>
  </si>
  <si>
    <t>Broken Oak</t>
  </si>
  <si>
    <t>Broken Oak TH</t>
  </si>
  <si>
    <t>Bronco Dr</t>
  </si>
  <si>
    <t>Bronco</t>
  </si>
  <si>
    <t>Old Corpus Christi Hwy</t>
  </si>
  <si>
    <t>Brooksfield</t>
  </si>
  <si>
    <t>Burning Tree</t>
  </si>
  <si>
    <t>Callaghan Rd</t>
  </si>
  <si>
    <t>Callaghan Crossing</t>
  </si>
  <si>
    <t>Wurzbach Rd</t>
  </si>
  <si>
    <t>The Calypso</t>
  </si>
  <si>
    <t>Roadrunner Way</t>
  </si>
  <si>
    <t>Campus Side</t>
  </si>
  <si>
    <t>Rigsby Ave</t>
  </si>
  <si>
    <t>Candlestick</t>
  </si>
  <si>
    <t>Canlen West</t>
  </si>
  <si>
    <t>Vista Meadows</t>
  </si>
  <si>
    <t>Canyon Point</t>
  </si>
  <si>
    <t>Cape Cod</t>
  </si>
  <si>
    <t>Sea Ln S</t>
  </si>
  <si>
    <t>Willow Run</t>
  </si>
  <si>
    <t>Babcock Rd</t>
  </si>
  <si>
    <t>Carlyle Place</t>
  </si>
  <si>
    <t>Carmel at Deerfield</t>
  </si>
  <si>
    <t>Castle Hills</t>
  </si>
  <si>
    <t>Castle Point</t>
  </si>
  <si>
    <t>Castle Terrace</t>
  </si>
  <si>
    <t>Military Dr W</t>
  </si>
  <si>
    <t>Castleridge</t>
  </si>
  <si>
    <t>Patricia Dr</t>
  </si>
  <si>
    <t>Churchill Park</t>
  </si>
  <si>
    <t>Snowden</t>
  </si>
  <si>
    <t>The Landmark at Medical Center</t>
  </si>
  <si>
    <t>Chase Hill Blvd</t>
  </si>
  <si>
    <t>Chase Hill</t>
  </si>
  <si>
    <t>Chateau Orleans</t>
  </si>
  <si>
    <t>Treasure Way</t>
  </si>
  <si>
    <t>Chelsea</t>
  </si>
  <si>
    <t>Chestnut Park</t>
  </si>
  <si>
    <t>410 Loop NE</t>
  </si>
  <si>
    <t>Universal City Blvd</t>
  </si>
  <si>
    <t>Cimarron City</t>
  </si>
  <si>
    <t>Dartbrook</t>
  </si>
  <si>
    <t>Cinnamon Creek</t>
  </si>
  <si>
    <t>Frio St N</t>
  </si>
  <si>
    <t>City Gate</t>
  </si>
  <si>
    <t>Ray Bon</t>
  </si>
  <si>
    <t>Cobblestone Village</t>
  </si>
  <si>
    <t>Connemara Estates</t>
  </si>
  <si>
    <t>Hillcrest Dr</t>
  </si>
  <si>
    <t>Continental</t>
  </si>
  <si>
    <t>Contour Dr W</t>
  </si>
  <si>
    <t>Contour Place</t>
  </si>
  <si>
    <t>410 Loop NW</t>
  </si>
  <si>
    <t>Sir Winston Dr</t>
  </si>
  <si>
    <t>Copperfield</t>
  </si>
  <si>
    <t>Wakefield Dr</t>
  </si>
  <si>
    <t>Coral Ridge</t>
  </si>
  <si>
    <t>Grosvenor Blvd</t>
  </si>
  <si>
    <t>Cornerstone</t>
  </si>
  <si>
    <t>Ahern Dr</t>
  </si>
  <si>
    <t>Cosmopolitan</t>
  </si>
  <si>
    <t>Costa Del Sol</t>
  </si>
  <si>
    <t>Country Club Dr</t>
  </si>
  <si>
    <t>Fairway Manor</t>
  </si>
  <si>
    <t>Seguin</t>
  </si>
  <si>
    <t>Ackerman Rd</t>
  </si>
  <si>
    <t>Doeskin Dr</t>
  </si>
  <si>
    <t>Country View</t>
  </si>
  <si>
    <t>Boerne</t>
  </si>
  <si>
    <t>Bitters Rd E</t>
  </si>
  <si>
    <t>Countryside</t>
  </si>
  <si>
    <t>Danny Kaye</t>
  </si>
  <si>
    <t>Courtland Heights</t>
  </si>
  <si>
    <t>McCarty Rd</t>
  </si>
  <si>
    <t>Cove</t>
  </si>
  <si>
    <t>Sherri Ann</t>
  </si>
  <si>
    <t>Covina Plaza</t>
  </si>
  <si>
    <t>Creek Crossing</t>
  </si>
  <si>
    <t>Perrin Central</t>
  </si>
  <si>
    <t>Rock Canyon</t>
  </si>
  <si>
    <t>Vista Landing</t>
  </si>
  <si>
    <t>Oakdale</t>
  </si>
  <si>
    <t>Sage Crossing</t>
  </si>
  <si>
    <t>Dewhurst Rd</t>
  </si>
  <si>
    <t>Alegria Del Sol</t>
  </si>
  <si>
    <t>Gentleman Rd</t>
  </si>
  <si>
    <t>Cumberland</t>
  </si>
  <si>
    <t>Cypress Cove</t>
  </si>
  <si>
    <t>Darby Blvd</t>
  </si>
  <si>
    <t>Darby Square</t>
  </si>
  <si>
    <t>DeZavala Rd</t>
  </si>
  <si>
    <t>DeZavala Oaks</t>
  </si>
  <si>
    <t>De Zavala Rd</t>
  </si>
  <si>
    <t>DeZavala Park</t>
  </si>
  <si>
    <t>Deer Oaks</t>
  </si>
  <si>
    <t>Larkspur</t>
  </si>
  <si>
    <t>Amesbury at Deerfield</t>
  </si>
  <si>
    <t>Deerwood</t>
  </si>
  <si>
    <t>The Montecito</t>
  </si>
  <si>
    <t>Desert Shadows</t>
  </si>
  <si>
    <t>Devonshire Condo Apts</t>
  </si>
  <si>
    <t>Thompson Place W</t>
  </si>
  <si>
    <t>Diplomat</t>
  </si>
  <si>
    <t>Donaldson Ave</t>
  </si>
  <si>
    <t>Donaldson Villas</t>
  </si>
  <si>
    <t>Culebra Rd</t>
  </si>
  <si>
    <t>Doral Club</t>
  </si>
  <si>
    <t>Dove Tree</t>
  </si>
  <si>
    <t>Thousand Oaks Rd</t>
  </si>
  <si>
    <t>Dublin</t>
  </si>
  <si>
    <t>New Braunfels Ave S</t>
  </si>
  <si>
    <t>The Dunes</t>
  </si>
  <si>
    <t>Potranco Rd</t>
  </si>
  <si>
    <t>Dymaxion</t>
  </si>
  <si>
    <t>Silver Creek</t>
  </si>
  <si>
    <t>Eagles Nest</t>
  </si>
  <si>
    <t>El Chaparral</t>
  </si>
  <si>
    <t>Desert Sands</t>
  </si>
  <si>
    <t>Sunny Glen II</t>
  </si>
  <si>
    <t>The Enclave</t>
  </si>
  <si>
    <t>Whitewood Dr</t>
  </si>
  <si>
    <t>Establishment</t>
  </si>
  <si>
    <t>De Chantle Rd</t>
  </si>
  <si>
    <t>Executive</t>
  </si>
  <si>
    <t>Fairdale</t>
  </si>
  <si>
    <t>Parkdale</t>
  </si>
  <si>
    <t>Ashler Oaks</t>
  </si>
  <si>
    <t>Data Point</t>
  </si>
  <si>
    <t>Fairways V</t>
  </si>
  <si>
    <t>Vance Jackson Rd</t>
  </si>
  <si>
    <t>Fifth Avenue</t>
  </si>
  <si>
    <t>Evers Rd</t>
  </si>
  <si>
    <t>Forest Oaks</t>
  </si>
  <si>
    <t>Woods of Elm Creek</t>
  </si>
  <si>
    <t>Horizon Hill</t>
  </si>
  <si>
    <t>Fountainhead</t>
  </si>
  <si>
    <t>Fairhaven</t>
  </si>
  <si>
    <t>Fountains of San Antonio</t>
  </si>
  <si>
    <t>Fox Fire</t>
  </si>
  <si>
    <t>Fox Run</t>
  </si>
  <si>
    <t>Fredericksburg Place</t>
  </si>
  <si>
    <t>French Chalet</t>
  </si>
  <si>
    <t>French Place W</t>
  </si>
  <si>
    <t>French Place</t>
  </si>
  <si>
    <t>Colonnade Blvd</t>
  </si>
  <si>
    <t>Colonnade</t>
  </si>
  <si>
    <t>Wall St</t>
  </si>
  <si>
    <t>Providence at Wall Street</t>
  </si>
  <si>
    <t>Huebner Rd</t>
  </si>
  <si>
    <t>The Gables</t>
  </si>
  <si>
    <t>Pinn Rd</t>
  </si>
  <si>
    <t>Hacienda Apts</t>
  </si>
  <si>
    <t>Gold Talon</t>
  </si>
  <si>
    <t>Military Dr SE</t>
  </si>
  <si>
    <t>Cielo Hills</t>
  </si>
  <si>
    <t>35 IH Business</t>
  </si>
  <si>
    <t>Grand Cypress</t>
  </si>
  <si>
    <t>Forest Glen</t>
  </si>
  <si>
    <t>Greenbriar</t>
  </si>
  <si>
    <t>Greenwich Village</t>
  </si>
  <si>
    <t>Castlewood Dr</t>
  </si>
  <si>
    <t>Gruenewood Villas</t>
  </si>
  <si>
    <t>Ingram Rd</t>
  </si>
  <si>
    <t>Silver Oaks</t>
  </si>
  <si>
    <t>Shadow Creek Ln</t>
  </si>
  <si>
    <t>Converse</t>
  </si>
  <si>
    <t>Goliad Rd</t>
  </si>
  <si>
    <t>Grove Park</t>
  </si>
  <si>
    <t>Hallmark</t>
  </si>
  <si>
    <t>Hampton Green</t>
  </si>
  <si>
    <t>Hampton North</t>
  </si>
  <si>
    <t>Rockport Landing</t>
  </si>
  <si>
    <t>Windsor House</t>
  </si>
  <si>
    <t>Cinnamon Creek Dr</t>
  </si>
  <si>
    <t>Hearthstone</t>
  </si>
  <si>
    <t>Heritage Park</t>
  </si>
  <si>
    <t>Hidden Meadow</t>
  </si>
  <si>
    <t>Military Hwy NW</t>
  </si>
  <si>
    <t>Hidden Oaks</t>
  </si>
  <si>
    <t>Flame Cir</t>
  </si>
  <si>
    <t>Oak Terrace Dr</t>
  </si>
  <si>
    <t>High Key</t>
  </si>
  <si>
    <t>Cordoba</t>
  </si>
  <si>
    <t>Southcross Blvd E</t>
  </si>
  <si>
    <t>Highland Hills Duplexes</t>
  </si>
  <si>
    <t>Laureate Dr</t>
  </si>
  <si>
    <t>Hill at Woodway</t>
  </si>
  <si>
    <t>Koehler Ct</t>
  </si>
  <si>
    <t>Hillside Manor</t>
  </si>
  <si>
    <t>The Hollows</t>
  </si>
  <si>
    <t>Huebner Country</t>
  </si>
  <si>
    <t>Hunters Glen</t>
  </si>
  <si>
    <t>Pipers Ln</t>
  </si>
  <si>
    <t>Huntington</t>
  </si>
  <si>
    <t>Floyd Curl Dr</t>
  </si>
  <si>
    <t>Hyperion</t>
  </si>
  <si>
    <t>Indian Hollow</t>
  </si>
  <si>
    <t>Villages Of Cinnamon Creek</t>
  </si>
  <si>
    <t>Kitty Hawk Rd</t>
  </si>
  <si>
    <t>Sable Ridge</t>
  </si>
  <si>
    <t>Willmon Way</t>
  </si>
  <si>
    <t>Villas of Windcrest</t>
  </si>
  <si>
    <t>Jackson Square</t>
  </si>
  <si>
    <t>General McMullen S</t>
  </si>
  <si>
    <t>Winston Square</t>
  </si>
  <si>
    <t>Jamar</t>
  </si>
  <si>
    <t>Kennedy Arms</t>
  </si>
  <si>
    <t>Lavender Ln</t>
  </si>
  <si>
    <t>Acadia Place</t>
  </si>
  <si>
    <t>Chambers Rd</t>
  </si>
  <si>
    <t>Forest Ridge I</t>
  </si>
  <si>
    <t>Kingswood Manor</t>
  </si>
  <si>
    <t>Bandera Rd</t>
  </si>
  <si>
    <t>The Oaks on Bandera</t>
  </si>
  <si>
    <t>La Calera</t>
  </si>
  <si>
    <t>La Casa</t>
  </si>
  <si>
    <t>Kerrville</t>
  </si>
  <si>
    <t>Vandiver N</t>
  </si>
  <si>
    <t>La Fiesta</t>
  </si>
  <si>
    <t>10 IH W</t>
  </si>
  <si>
    <t>La Jolla de San Antonio</t>
  </si>
  <si>
    <t>La Maison</t>
  </si>
  <si>
    <t>Rampart W</t>
  </si>
  <si>
    <t>La Paloma</t>
  </si>
  <si>
    <t>La Risa</t>
  </si>
  <si>
    <t>Jackson Keller Rd</t>
  </si>
  <si>
    <t>Flats at Olmos</t>
  </si>
  <si>
    <t>Plaza Dr</t>
  </si>
  <si>
    <t>Lakeside</t>
  </si>
  <si>
    <t>Lauren Ln</t>
  </si>
  <si>
    <t>Lakeside Villas</t>
  </si>
  <si>
    <t>Primrose Cir</t>
  </si>
  <si>
    <t>Landa</t>
  </si>
  <si>
    <t>Landera</t>
  </si>
  <si>
    <t>NE Pkwy</t>
  </si>
  <si>
    <t>Landing</t>
  </si>
  <si>
    <t>35 IH Business N</t>
  </si>
  <si>
    <t>Langtry Village</t>
  </si>
  <si>
    <t>Las Brisas</t>
  </si>
  <si>
    <t>Las Cimas</t>
  </si>
  <si>
    <t>Las Colinas</t>
  </si>
  <si>
    <t>San Eduardo Ave S</t>
  </si>
  <si>
    <t>Las Palmas Gardens</t>
  </si>
  <si>
    <t>Laurel St W</t>
  </si>
  <si>
    <t>Laurel</t>
  </si>
  <si>
    <t>Laurel Crossing</t>
  </si>
  <si>
    <t>Laurel Ln</t>
  </si>
  <si>
    <t>Laurel Heights</t>
  </si>
  <si>
    <t>Woodlawn Ave N</t>
  </si>
  <si>
    <t>Lawnwood</t>
  </si>
  <si>
    <t>Rene Levy</t>
  </si>
  <si>
    <t>Levy Townhome Condominiums</t>
  </si>
  <si>
    <t>Vista View St</t>
  </si>
  <si>
    <t>The Lexington</t>
  </si>
  <si>
    <t>Liberty Ridge</t>
  </si>
  <si>
    <t>Junction Hwy</t>
  </si>
  <si>
    <t>Lime Creek</t>
  </si>
  <si>
    <t>The Place at Castle Hills</t>
  </si>
  <si>
    <t>Lincoln Village</t>
  </si>
  <si>
    <t>Linda</t>
  </si>
  <si>
    <t>Medical Dr</t>
  </si>
  <si>
    <t>Broadstone on Medical</t>
  </si>
  <si>
    <t>Marbach Manor</t>
  </si>
  <si>
    <t>Horal Dr</t>
  </si>
  <si>
    <t>Marbach Park</t>
  </si>
  <si>
    <t>Marigold</t>
  </si>
  <si>
    <t>Utopia Ln</t>
  </si>
  <si>
    <t>The Encinal</t>
  </si>
  <si>
    <t>Mariposa</t>
  </si>
  <si>
    <t>Mark at Parliament</t>
  </si>
  <si>
    <t>Lorene Ln</t>
  </si>
  <si>
    <t>The Coronado</t>
  </si>
  <si>
    <t>Oak Meadows</t>
  </si>
  <si>
    <t>Meadows</t>
  </si>
  <si>
    <t>Mediterranean Villa</t>
  </si>
  <si>
    <t>Rustleaf Dr</t>
  </si>
  <si>
    <t>Merry Oaks</t>
  </si>
  <si>
    <t>Mesa Ridge</t>
  </si>
  <si>
    <t>123 Hwy Bypass N</t>
  </si>
  <si>
    <t>Middletowne Apts</t>
  </si>
  <si>
    <t>Mirada</t>
  </si>
  <si>
    <t>Bluemel Rd</t>
  </si>
  <si>
    <t>TH at Limestone Oaks</t>
  </si>
  <si>
    <t>Gillmore</t>
  </si>
  <si>
    <t>Mitchell Village</t>
  </si>
  <si>
    <t>Fredericksburg Rd E</t>
  </si>
  <si>
    <t>Montebello</t>
  </si>
  <si>
    <t>Commerce St W</t>
  </si>
  <si>
    <t>Monterrey Park</t>
  </si>
  <si>
    <t>Mulberry Ave E</t>
  </si>
  <si>
    <t>Brackenridge Hill</t>
  </si>
  <si>
    <t>Nob Hill</t>
  </si>
  <si>
    <t>Forest Ridge II</t>
  </si>
  <si>
    <t>Joe Newton St</t>
  </si>
  <si>
    <t>The Granite at Tuscany Hills</t>
  </si>
  <si>
    <t>Glen Mont</t>
  </si>
  <si>
    <t>North Pointe Terrace Fourplexes</t>
  </si>
  <si>
    <t>Knoll N</t>
  </si>
  <si>
    <t>Northgate Village</t>
  </si>
  <si>
    <t>Timber Path</t>
  </si>
  <si>
    <t>Villas de Sendero</t>
  </si>
  <si>
    <t>Northwood</t>
  </si>
  <si>
    <t>Oak Manor Dr</t>
  </si>
  <si>
    <t>The Villas of Oak Hills</t>
  </si>
  <si>
    <t>Oak Hills Village</t>
  </si>
  <si>
    <t>Barrington Dr</t>
  </si>
  <si>
    <t>Park at Ventana</t>
  </si>
  <si>
    <t>Aguila Oaks</t>
  </si>
  <si>
    <t>Oak Springs</t>
  </si>
  <si>
    <t>Oakdell Way</t>
  </si>
  <si>
    <t>Oakwell Farms Pkwy</t>
  </si>
  <si>
    <t>Oakhampton Place</t>
  </si>
  <si>
    <t>Oakhill Rd</t>
  </si>
  <si>
    <t>The Bell Tower</t>
  </si>
  <si>
    <t>Oaks of Marymount</t>
  </si>
  <si>
    <t>Oaks of Northgate</t>
  </si>
  <si>
    <t>Hunt Ln</t>
  </si>
  <si>
    <t>Oaks of Westlakes</t>
  </si>
  <si>
    <t>Isom</t>
  </si>
  <si>
    <t>Oasis</t>
  </si>
  <si>
    <t>Sunset Rd W</t>
  </si>
  <si>
    <t>Olive Tree</t>
  </si>
  <si>
    <t>Basse Rd</t>
  </si>
  <si>
    <t>Olmos Club</t>
  </si>
  <si>
    <t>Dot Dr</t>
  </si>
  <si>
    <t>111 Dot Drive Apts</t>
  </si>
  <si>
    <t>Woodstone Dr</t>
  </si>
  <si>
    <t>The Place at Overlook</t>
  </si>
  <si>
    <t>Palisades Dr</t>
  </si>
  <si>
    <t>Palisades Park</t>
  </si>
  <si>
    <t>Panther Springs</t>
  </si>
  <si>
    <t>Park at Colonnade</t>
  </si>
  <si>
    <t>The Park at Presa</t>
  </si>
  <si>
    <t>Park Crossing</t>
  </si>
  <si>
    <t>Park Greene TH</t>
  </si>
  <si>
    <t>The Park on Bandera</t>
  </si>
  <si>
    <t>Randolph Blvd</t>
  </si>
  <si>
    <t>Park Ridge</t>
  </si>
  <si>
    <t>Park West</t>
  </si>
  <si>
    <t>Parkside</t>
  </si>
  <si>
    <t>Singing Wind Dr</t>
  </si>
  <si>
    <t>Singing Wind</t>
  </si>
  <si>
    <t>Parliament Bend</t>
  </si>
  <si>
    <t>Autumn Brook</t>
  </si>
  <si>
    <t>Pecan Valley Dr</t>
  </si>
  <si>
    <t>Villas of Pecan Manor</t>
  </si>
  <si>
    <t>Pecan Valley</t>
  </si>
  <si>
    <t>Pepperidge</t>
  </si>
  <si>
    <t>Peppermill</t>
  </si>
  <si>
    <t>Uhr Ln</t>
  </si>
  <si>
    <t>Perrin Crest</t>
  </si>
  <si>
    <t>Perrin Square</t>
  </si>
  <si>
    <t>Oakwell Springs</t>
  </si>
  <si>
    <t>90 Hwy W</t>
  </si>
  <si>
    <t>Vaquero Place</t>
  </si>
  <si>
    <t>Pipers Creek</t>
  </si>
  <si>
    <t>Hillstone Creek</t>
  </si>
  <si>
    <t>Pipers Square</t>
  </si>
  <si>
    <t>Eckhert Blvd</t>
  </si>
  <si>
    <t>Plaza de Ville</t>
  </si>
  <si>
    <t>Villas at Sonterra</t>
  </si>
  <si>
    <t>Pleasanton Rd</t>
  </si>
  <si>
    <t>Mandalay Villa</t>
  </si>
  <si>
    <t>Dickson W</t>
  </si>
  <si>
    <t>Pollyanna</t>
  </si>
  <si>
    <t>Ponderosa</t>
  </si>
  <si>
    <t>Powhatan</t>
  </si>
  <si>
    <t>Oak Terrace</t>
  </si>
  <si>
    <t>Promontory Pointe</t>
  </si>
  <si>
    <t>Quail Creek Dr</t>
  </si>
  <si>
    <t>Silver Ridge</t>
  </si>
  <si>
    <t>Tarasco</t>
  </si>
  <si>
    <t>Rainbow Hills Duplexes</t>
  </si>
  <si>
    <t>Ingram Ranch</t>
  </si>
  <si>
    <t>Rampart E</t>
  </si>
  <si>
    <t>Rampart House</t>
  </si>
  <si>
    <t>Seven Oaks</t>
  </si>
  <si>
    <t>Pat Booker Rd</t>
  </si>
  <si>
    <t>Randolph Plaza</t>
  </si>
  <si>
    <t>Scarsdale Dr</t>
  </si>
  <si>
    <t>The Remington</t>
  </si>
  <si>
    <t>Oaklawn Dr</t>
  </si>
  <si>
    <t>Oaklawn</t>
  </si>
  <si>
    <t>Woodchase Dr</t>
  </si>
  <si>
    <t>Richland Trace</t>
  </si>
  <si>
    <t>Oak Meadow Villas</t>
  </si>
  <si>
    <t>Bandera Hwy</t>
  </si>
  <si>
    <t>River Hills</t>
  </si>
  <si>
    <t>Terrace at River Oaks II</t>
  </si>
  <si>
    <t>Seville Dr</t>
  </si>
  <si>
    <t>River Park Apts</t>
  </si>
  <si>
    <t>Riverstone</t>
  </si>
  <si>
    <t>Dollarhide</t>
  </si>
  <si>
    <t>Riviera</t>
  </si>
  <si>
    <t>Roselawn</t>
  </si>
  <si>
    <t>Holland Ave</t>
  </si>
  <si>
    <t>Rosemont Olmos Park</t>
  </si>
  <si>
    <t>Rosemont Crossing</t>
  </si>
  <si>
    <t>Royalgate Dr</t>
  </si>
  <si>
    <t>Crestwood</t>
  </si>
  <si>
    <t>The Reserve at Pecan Valley</t>
  </si>
  <si>
    <t>Hilltop Oaks</t>
  </si>
  <si>
    <t>Salado Crossing</t>
  </si>
  <si>
    <t>Salem Creek</t>
  </si>
  <si>
    <t>Louis Pasteur</t>
  </si>
  <si>
    <t>San Antonio Station</t>
  </si>
  <si>
    <t>Sandpiper</t>
  </si>
  <si>
    <t>Santa Fe</t>
  </si>
  <si>
    <t>Savannah Ridge</t>
  </si>
  <si>
    <t>Portofino Apts</t>
  </si>
  <si>
    <t>Sentinel Pointe</t>
  </si>
  <si>
    <t>Zarzamora St S</t>
  </si>
  <si>
    <t>Seven Pines</t>
  </si>
  <si>
    <t>Seville</t>
  </si>
  <si>
    <t>Grissom Rd</t>
  </si>
  <si>
    <t>The Place at Shadow Valley</t>
  </si>
  <si>
    <t>Magic Dr</t>
  </si>
  <si>
    <t>The Montage at North Point</t>
  </si>
  <si>
    <t>Sherril Brook Dr</t>
  </si>
  <si>
    <t>Sherril Oaks</t>
  </si>
  <si>
    <t>Whitby Rd</t>
  </si>
  <si>
    <t>Silver Rock</t>
  </si>
  <si>
    <t>Santa Rosa N</t>
  </si>
  <si>
    <t>Soap Works</t>
  </si>
  <si>
    <t>Songbird</t>
  </si>
  <si>
    <t>Lasses Blvd</t>
  </si>
  <si>
    <t>South Point</t>
  </si>
  <si>
    <t>Southcross Square</t>
  </si>
  <si>
    <t>Spanish Keys</t>
  </si>
  <si>
    <t>Rittiman Rd</t>
  </si>
  <si>
    <t>Spanish Main</t>
  </si>
  <si>
    <t>Cripple Creek</t>
  </si>
  <si>
    <t>Spanish Oaks</t>
  </si>
  <si>
    <t>Spanish Spur</t>
  </si>
  <si>
    <t>Rayo del Sol</t>
  </si>
  <si>
    <t>Spice Creek</t>
  </si>
  <si>
    <t>Spring Hill</t>
  </si>
  <si>
    <t>Springvale</t>
  </si>
  <si>
    <t>Springvale Manor</t>
  </si>
  <si>
    <t>Gardina St</t>
  </si>
  <si>
    <t>Springwood</t>
  </si>
  <si>
    <t>Von Scheele</t>
  </si>
  <si>
    <t>Medical Center Apts</t>
  </si>
  <si>
    <t>Skolout Dr</t>
  </si>
  <si>
    <t>Stepping Stone</t>
  </si>
  <si>
    <t>Treeline Park</t>
  </si>
  <si>
    <t>Keystone at Alamo Heights</t>
  </si>
  <si>
    <t>Stone Oak Place</t>
  </si>
  <si>
    <t>Oak Haven</t>
  </si>
  <si>
    <t>Stoneleigh</t>
  </si>
  <si>
    <t>Border Brook</t>
  </si>
  <si>
    <t>Stoneybrook</t>
  </si>
  <si>
    <t>The Stratford</t>
  </si>
  <si>
    <t>Greatview Dr</t>
  </si>
  <si>
    <t>Sugar Hill</t>
  </si>
  <si>
    <t>Summer Oaks</t>
  </si>
  <si>
    <t>Summer Place</t>
  </si>
  <si>
    <t>Walnut St E</t>
  </si>
  <si>
    <t>Summers Bend Apts</t>
  </si>
  <si>
    <t>Stringfellow Dr</t>
  </si>
  <si>
    <t>Summerview</t>
  </si>
  <si>
    <t>Santa Fe Place</t>
  </si>
  <si>
    <t>Trails of Elm Creek</t>
  </si>
  <si>
    <t>Summit Oaks</t>
  </si>
  <si>
    <t>The Summit of Thousand Oaks</t>
  </si>
  <si>
    <t>Avion Place</t>
  </si>
  <si>
    <t>Saddlewood</t>
  </si>
  <si>
    <t>Sungate Village</t>
  </si>
  <si>
    <t>Sunny Glen</t>
  </si>
  <si>
    <t>Sun Park</t>
  </si>
  <si>
    <t>Sunray</t>
  </si>
  <si>
    <t>Cloverleaf</t>
  </si>
  <si>
    <t>Sunset Ridge</t>
  </si>
  <si>
    <t>Sutters Mill</t>
  </si>
  <si>
    <t>Sutton House</t>
  </si>
  <si>
    <t>Elbel Rd</t>
  </si>
  <si>
    <t>Sycamore Creek</t>
  </si>
  <si>
    <t>Schertz</t>
  </si>
  <si>
    <t>Brees Blvd</t>
  </si>
  <si>
    <t>Tanglewood AH</t>
  </si>
  <si>
    <t>Tara</t>
  </si>
  <si>
    <t>Terrace House</t>
  </si>
  <si>
    <t>Ivy Ln</t>
  </si>
  <si>
    <t>Boerne Arbors</t>
  </si>
  <si>
    <t>The Crescent</t>
  </si>
  <si>
    <t>The Dakota</t>
  </si>
  <si>
    <t>The Marquis at Deerfield</t>
  </si>
  <si>
    <t>Basse Rd E</t>
  </si>
  <si>
    <t>The Meridian</t>
  </si>
  <si>
    <t>The Vintage</t>
  </si>
  <si>
    <t>Thompson Place</t>
  </si>
  <si>
    <t>Thunderbird</t>
  </si>
  <si>
    <t>Timber View</t>
  </si>
  <si>
    <t>Timber Ridge</t>
  </si>
  <si>
    <t>Timberhill</t>
  </si>
  <si>
    <t>Lodge at Timberhill</t>
  </si>
  <si>
    <t>Timbermill</t>
  </si>
  <si>
    <t>Timberock</t>
  </si>
  <si>
    <t>Timbers Edge</t>
  </si>
  <si>
    <t>Torrey St E</t>
  </si>
  <si>
    <t>Torrey Place</t>
  </si>
  <si>
    <t>Chambers</t>
  </si>
  <si>
    <t>Tower Point Condo Apts</t>
  </si>
  <si>
    <t>Towering Oaks</t>
  </si>
  <si>
    <t>Towne Center</t>
  </si>
  <si>
    <t>78 FM</t>
  </si>
  <si>
    <t>Towne East Village</t>
  </si>
  <si>
    <t>Townview Place</t>
  </si>
  <si>
    <t>Tradewind Dr</t>
  </si>
  <si>
    <t>Tradewinds</t>
  </si>
  <si>
    <t>Iron Horse Valley</t>
  </si>
  <si>
    <t>Cable Ranch Rd</t>
  </si>
  <si>
    <t>Trails of Westlakes</t>
  </si>
  <si>
    <t>Sonoma Canyon</t>
  </si>
  <si>
    <t>Turtle Creek Vista</t>
  </si>
  <si>
    <t>Oakwell Ct</t>
  </si>
  <si>
    <t>The Villas of Oakwell Farms</t>
  </si>
  <si>
    <t>University Row</t>
  </si>
  <si>
    <t>Blue Bonnet Hills</t>
  </si>
  <si>
    <t>Clara Ln</t>
  </si>
  <si>
    <t>Vance Jackson</t>
  </si>
  <si>
    <t>Tradewind Villas</t>
  </si>
  <si>
    <t>Ventana</t>
  </si>
  <si>
    <t>Gawain Dr</t>
  </si>
  <si>
    <t>Victorian Village</t>
  </si>
  <si>
    <t>View Point</t>
  </si>
  <si>
    <t>Camino De Oro</t>
  </si>
  <si>
    <t>Villa de Oro</t>
  </si>
  <si>
    <t>Brackenridge</t>
  </si>
  <si>
    <t>Villa Fontana</t>
  </si>
  <si>
    <t>Villa Madrid</t>
  </si>
  <si>
    <t>Villa Navarone</t>
  </si>
  <si>
    <t>New Braunfels Ave N</t>
  </si>
  <si>
    <t>Expo Blvd</t>
  </si>
  <si>
    <t>Village of Hampton Cove</t>
  </si>
  <si>
    <t>Park at Walkers Ranch</t>
  </si>
  <si>
    <t>Sunset Canyon</t>
  </si>
  <si>
    <t>Villas of Castle Hills</t>
  </si>
  <si>
    <t>Villas of Henderson Pass</t>
  </si>
  <si>
    <t>Villas of Oak Creste</t>
  </si>
  <si>
    <t>Lamb Rd</t>
  </si>
  <si>
    <t>Villas of St. Moritz</t>
  </si>
  <si>
    <t>St. Tropez</t>
  </si>
  <si>
    <t>Vineyard Gardens</t>
  </si>
  <si>
    <t>Vista Crossing</t>
  </si>
  <si>
    <t>Vista del Rey</t>
  </si>
  <si>
    <t>Rowley Rd</t>
  </si>
  <si>
    <t>The Abbey at Medical Center</t>
  </si>
  <si>
    <t>Mainland Dr</t>
  </si>
  <si>
    <t>Bandera Commons</t>
  </si>
  <si>
    <t>Walnut Hill</t>
  </si>
  <si>
    <t>Crescent Oaks at Medical</t>
  </si>
  <si>
    <t>Waterford</t>
  </si>
  <si>
    <t>Waters at Northern Hills Marina</t>
  </si>
  <si>
    <t>Wedgwood Highrise</t>
  </si>
  <si>
    <t>Wellington Estates</t>
  </si>
  <si>
    <t>Westchase</t>
  </si>
  <si>
    <t>Westlakes Villas</t>
  </si>
  <si>
    <t>Colt Dr</t>
  </si>
  <si>
    <t>Westwinds</t>
  </si>
  <si>
    <t>Hamilton Wolfe</t>
  </si>
  <si>
    <t>Whispering Creek Villas</t>
  </si>
  <si>
    <t>O'Connor Rd</t>
  </si>
  <si>
    <t>Whispering Hills</t>
  </si>
  <si>
    <t>Whispering Oaks</t>
  </si>
  <si>
    <t>Whitewood Oaks</t>
  </si>
  <si>
    <t>Willow Creek</t>
  </si>
  <si>
    <t>Midcrown Dr</t>
  </si>
  <si>
    <t>The Heights at MidCrown</t>
  </si>
  <si>
    <t>Winding Creek</t>
  </si>
  <si>
    <t>Windridge</t>
  </si>
  <si>
    <t>Lockhill Selma</t>
  </si>
  <si>
    <t>Windrush</t>
  </si>
  <si>
    <t>Windsor Village</t>
  </si>
  <si>
    <t>Hill Country Dr</t>
  </si>
  <si>
    <t>Winnwood Club</t>
  </si>
  <si>
    <t>The Winston</t>
  </si>
  <si>
    <t>Wolfe Run</t>
  </si>
  <si>
    <t>Oakgate</t>
  </si>
  <si>
    <t>Woodbridge</t>
  </si>
  <si>
    <t>Woodbury Dr</t>
  </si>
  <si>
    <t>Woodbury Place</t>
  </si>
  <si>
    <t>Woodhill</t>
  </si>
  <si>
    <t>Woodlake Pkwy</t>
  </si>
  <si>
    <t>Woodlake Village</t>
  </si>
  <si>
    <t>Terrace at River Oaks I</t>
  </si>
  <si>
    <t>The Woodlands</t>
  </si>
  <si>
    <t>Woods of Brookhollow</t>
  </si>
  <si>
    <t>Limestone Oaks</t>
  </si>
  <si>
    <t>Pinebrook</t>
  </si>
  <si>
    <t>Woodway Court</t>
  </si>
  <si>
    <t>Huisache E</t>
  </si>
  <si>
    <t>Miller Manor</t>
  </si>
  <si>
    <t>Broadway Heights</t>
  </si>
  <si>
    <t>Basilwood</t>
  </si>
  <si>
    <t>Brookview Duplexes</t>
  </si>
  <si>
    <t>Casablanca</t>
  </si>
  <si>
    <t>Deely Place</t>
  </si>
  <si>
    <t>Presa S</t>
  </si>
  <si>
    <t>Brooks Village TH</t>
  </si>
  <si>
    <t>Encanta</t>
  </si>
  <si>
    <t>Encanta Villas</t>
  </si>
  <si>
    <t>Gardenwood</t>
  </si>
  <si>
    <t>Glen Ridge</t>
  </si>
  <si>
    <t>Honey Hill</t>
  </si>
  <si>
    <t>Nacogdoches Rd</t>
  </si>
  <si>
    <t>Kenton Place</t>
  </si>
  <si>
    <t>Villas de Ventana</t>
  </si>
  <si>
    <t>Poss Rd</t>
  </si>
  <si>
    <t>Leon Trace</t>
  </si>
  <si>
    <t>Mulberry Ave #101 E</t>
  </si>
  <si>
    <t>Mulberry Village</t>
  </si>
  <si>
    <t>Melrose Dr E</t>
  </si>
  <si>
    <t>New England Village</t>
  </si>
  <si>
    <t>Rainbow Dr</t>
  </si>
  <si>
    <t>Whispering Heights</t>
  </si>
  <si>
    <t>Country Village St</t>
  </si>
  <si>
    <t>The Reserve in Alamo Heights</t>
  </si>
  <si>
    <t>Hot Wells</t>
  </si>
  <si>
    <t>Robins Nest</t>
  </si>
  <si>
    <t>Orsinger Ln</t>
  </si>
  <si>
    <t>Waters at Elm Creek</t>
  </si>
  <si>
    <t>La Mirage</t>
  </si>
  <si>
    <t>Houston St E</t>
  </si>
  <si>
    <t>Towers at the Majestic</t>
  </si>
  <si>
    <t>Arcadia Place</t>
  </si>
  <si>
    <t>35 IH W</t>
  </si>
  <si>
    <t>Vista del Sol</t>
  </si>
  <si>
    <t>Wilshire Woods</t>
  </si>
  <si>
    <t>Hunters Bend</t>
  </si>
  <si>
    <t>Springwood Villas</t>
  </si>
  <si>
    <t>1604 Loop N E</t>
  </si>
  <si>
    <t>Retama Ranch</t>
  </si>
  <si>
    <t>Stone Manor at Sonterra</t>
  </si>
  <si>
    <t>Palermo</t>
  </si>
  <si>
    <t>Village at Shavano</t>
  </si>
  <si>
    <t>El Marco</t>
  </si>
  <si>
    <t>Rolling Ridge Square I, II, III</t>
  </si>
  <si>
    <t>Hillcrest I, II, III</t>
  </si>
  <si>
    <t>Warren Inn Village</t>
  </si>
  <si>
    <t>151 Hwy</t>
  </si>
  <si>
    <t>TaraVista</t>
  </si>
  <si>
    <t>Common St</t>
  </si>
  <si>
    <t>The Augusta at Gruene</t>
  </si>
  <si>
    <t>Estates of Northwoods</t>
  </si>
  <si>
    <t>Talavera Pkwy</t>
  </si>
  <si>
    <t>Vista del Norte</t>
  </si>
  <si>
    <t>Salado Springs</t>
  </si>
  <si>
    <t>The Newport</t>
  </si>
  <si>
    <t>Dugas Rd</t>
  </si>
  <si>
    <t>Hill Country Villas</t>
  </si>
  <si>
    <t>Westward Dr</t>
  </si>
  <si>
    <t>Westwood Plaza</t>
  </si>
  <si>
    <t>Piper's Creek</t>
  </si>
  <si>
    <t>Three Fountains</t>
  </si>
  <si>
    <t>Lexington Ave</t>
  </si>
  <si>
    <t>Cadillac Lofts</t>
  </si>
  <si>
    <t>La Cantera Pkwy</t>
  </si>
  <si>
    <t>Mira Vista at La Cantera</t>
  </si>
  <si>
    <t>Calcasieu</t>
  </si>
  <si>
    <t>Presa N</t>
  </si>
  <si>
    <t>Maverick Apts</t>
  </si>
  <si>
    <t>WestShore Colony</t>
  </si>
  <si>
    <t>Dominion Park</t>
  </si>
  <si>
    <t>Schertz Pkwy</t>
  </si>
  <si>
    <t>Val Verde</t>
  </si>
  <si>
    <t>UTSA Blvd</t>
  </si>
  <si>
    <t>The Highlands</t>
  </si>
  <si>
    <t>Saddle Ridge</t>
  </si>
  <si>
    <t>Treble Creek</t>
  </si>
  <si>
    <t>Marquis at Rogers Ranch</t>
  </si>
  <si>
    <t>The Lodge at Shavano Park</t>
  </si>
  <si>
    <t>The Manor at Castle Hills</t>
  </si>
  <si>
    <t>Crosspoint Dr</t>
  </si>
  <si>
    <t>The Vistas</t>
  </si>
  <si>
    <t>10 IH E</t>
  </si>
  <si>
    <t>Casa Pointe Villa</t>
  </si>
  <si>
    <t>Arboretum</t>
  </si>
  <si>
    <t>Gold Canyon Rd</t>
  </si>
  <si>
    <t>Sendero Ridge</t>
  </si>
  <si>
    <t>Quarry TH</t>
  </si>
  <si>
    <t>281 US N</t>
  </si>
  <si>
    <t>The Ravinia</t>
  </si>
  <si>
    <t>Prue Rd</t>
  </si>
  <si>
    <t>Enclave at Buckhorn Crossing</t>
  </si>
  <si>
    <t>Potranco</t>
  </si>
  <si>
    <t>Villas of Costa Brava</t>
  </si>
  <si>
    <t>Encino Commons</t>
  </si>
  <si>
    <t>The View at Encino Commons</t>
  </si>
  <si>
    <t>Claremore</t>
  </si>
  <si>
    <t>Blanco Springs Rd</t>
  </si>
  <si>
    <t>Vineyard Springs</t>
  </si>
  <si>
    <t>Signature Ridge</t>
  </si>
  <si>
    <t>Eisenhauer Rd</t>
  </si>
  <si>
    <t>Rosillo Creek</t>
  </si>
  <si>
    <t>Aviation Blvd E</t>
  </si>
  <si>
    <t>Pebble Beach Village</t>
  </si>
  <si>
    <t>Mission Ranch</t>
  </si>
  <si>
    <t>Lois St</t>
  </si>
  <si>
    <t>Colonial Oaks</t>
  </si>
  <si>
    <t>Ranchero Rd</t>
  </si>
  <si>
    <t>Lynn Batts Ln</t>
  </si>
  <si>
    <t>Cenizo Flats Apts</t>
  </si>
  <si>
    <t>4702-2</t>
  </si>
  <si>
    <t>Bently Place Duplexes</t>
  </si>
  <si>
    <t>306 Old FM</t>
  </si>
  <si>
    <t>Northwood Luxury Apts</t>
  </si>
  <si>
    <t>Maverick Creek Villas</t>
  </si>
  <si>
    <t>Sedona Ranch</t>
  </si>
  <si>
    <t>Wilderness Oak</t>
  </si>
  <si>
    <t>Retreat at Canyon Springs</t>
  </si>
  <si>
    <t>Legacy TH at Castle Hills</t>
  </si>
  <si>
    <t>Dove Valley Ranch</t>
  </si>
  <si>
    <t>Sonterra Blvd E</t>
  </si>
  <si>
    <t>The Lodge at Sonterra</t>
  </si>
  <si>
    <t>Bandera Rd E</t>
  </si>
  <si>
    <t>Elm Hollow</t>
  </si>
  <si>
    <t>Helotes</t>
  </si>
  <si>
    <t>Rolling Ridge South</t>
  </si>
  <si>
    <t>Rolling Ridge Square IV</t>
  </si>
  <si>
    <t>The Lodge on Perrin Creek</t>
  </si>
  <si>
    <t>Alpin Park</t>
  </si>
  <si>
    <t>Baker St</t>
  </si>
  <si>
    <t>Oak Bend Place</t>
  </si>
  <si>
    <t>Tomball</t>
  </si>
  <si>
    <t>Tomball Pkwy</t>
  </si>
  <si>
    <t>The Park at Spring Creek</t>
  </si>
  <si>
    <t>Rudel Rd</t>
  </si>
  <si>
    <t>Marymont</t>
  </si>
  <si>
    <t>Hicks St</t>
  </si>
  <si>
    <t>Hickory Hill</t>
  </si>
  <si>
    <t>Village Sq Dr</t>
  </si>
  <si>
    <t>Fountains of Tomball</t>
  </si>
  <si>
    <t>Kuykendahl</t>
  </si>
  <si>
    <t>Emerald Cove</t>
  </si>
  <si>
    <t>Houston</t>
  </si>
  <si>
    <t>Butte Creek</t>
  </si>
  <si>
    <t>Ashton Woods</t>
  </si>
  <si>
    <t>Havenbrook Dr</t>
  </si>
  <si>
    <t>Oaks of Kingwood I</t>
  </si>
  <si>
    <t>Kingwood</t>
  </si>
  <si>
    <t>Oaks of Kingwood II</t>
  </si>
  <si>
    <t>Gatesden</t>
  </si>
  <si>
    <t>Lakewood</t>
  </si>
  <si>
    <t>Cornerstone Village Dr</t>
  </si>
  <si>
    <t>North Bend</t>
  </si>
  <si>
    <t>Cypress Creek</t>
  </si>
  <si>
    <t>Oakwood Glen Blvd</t>
  </si>
  <si>
    <t>Spring Oaks I</t>
  </si>
  <si>
    <t>Spring</t>
  </si>
  <si>
    <t>Oakwood Glen</t>
  </si>
  <si>
    <t>The Cottages of Cypresswood</t>
  </si>
  <si>
    <t>Stuebner Airline</t>
  </si>
  <si>
    <t>Oaks of Wimbledon</t>
  </si>
  <si>
    <t>Stuebner Airline Rd</t>
  </si>
  <si>
    <t>Wimbledon</t>
  </si>
  <si>
    <t>Mill Creek</t>
  </si>
  <si>
    <t>Cutten Rd</t>
  </si>
  <si>
    <t>Raveneaux</t>
  </si>
  <si>
    <t>Sycamore Springs Dr</t>
  </si>
  <si>
    <t>Elm Creek</t>
  </si>
  <si>
    <t>Elm Grove</t>
  </si>
  <si>
    <t>Hufsmith W</t>
  </si>
  <si>
    <t>Terrace Hills</t>
  </si>
  <si>
    <t>Graham Dr</t>
  </si>
  <si>
    <t>Bridgewater</t>
  </si>
  <si>
    <t>Lawrence</t>
  </si>
  <si>
    <t>Cobble Creek</t>
  </si>
  <si>
    <t>Belmont St</t>
  </si>
  <si>
    <t>Hampton Place TH</t>
  </si>
  <si>
    <t>Hickory Twig Way</t>
  </si>
  <si>
    <t>Cypresswood Crossing</t>
  </si>
  <si>
    <t>Spring Park Center Blvd</t>
  </si>
  <si>
    <t>Spring Park</t>
  </si>
  <si>
    <t>Lake Hills Dr</t>
  </si>
  <si>
    <t>Woodland Hills Village I</t>
  </si>
  <si>
    <t>Woodland Hills Village II</t>
  </si>
  <si>
    <t>Cypresswood Dr</t>
  </si>
  <si>
    <t>Applewood Village</t>
  </si>
  <si>
    <t>Cypresswood</t>
  </si>
  <si>
    <t>Wunderlich</t>
  </si>
  <si>
    <t>Brookfield</t>
  </si>
  <si>
    <t>Louetta Rd</t>
  </si>
  <si>
    <t>Oak Falls</t>
  </si>
  <si>
    <t>The Lodge at Cypresswood</t>
  </si>
  <si>
    <t>Legacy Pines</t>
  </si>
  <si>
    <t>Lyons School Rd</t>
  </si>
  <si>
    <t>Lyons Court Condominiums</t>
  </si>
  <si>
    <t>Champion Oaks</t>
  </si>
  <si>
    <t>Wunderlich Dr</t>
  </si>
  <si>
    <t>The Cottages of Champions Forest</t>
  </si>
  <si>
    <t>Place Rebecca Ln</t>
  </si>
  <si>
    <t>Nantucket Square II</t>
  </si>
  <si>
    <t>Imperial Valley</t>
  </si>
  <si>
    <t>North Park TH</t>
  </si>
  <si>
    <t>Imperial Valley Dr</t>
  </si>
  <si>
    <t>The Forest</t>
  </si>
  <si>
    <t>Hollow Tree</t>
  </si>
  <si>
    <t>Highland Cross</t>
  </si>
  <si>
    <t>Sedona Pointe</t>
  </si>
  <si>
    <t>Bammel Houston N</t>
  </si>
  <si>
    <t>London Park</t>
  </si>
  <si>
    <t>1960 FM</t>
  </si>
  <si>
    <t>Timberstone</t>
  </si>
  <si>
    <t>Parramatta</t>
  </si>
  <si>
    <t>The Chancellor</t>
  </si>
  <si>
    <t>Arbor Ridge</t>
  </si>
  <si>
    <t>Cypress Station Dr</t>
  </si>
  <si>
    <t>Oaks of Cypress Station</t>
  </si>
  <si>
    <t>Parkwood on Cypress Station</t>
  </si>
  <si>
    <t>Bammelwood Dr</t>
  </si>
  <si>
    <t>Bammelwood</t>
  </si>
  <si>
    <t>Vineyard Trace</t>
  </si>
  <si>
    <t>Cali Dr</t>
  </si>
  <si>
    <t>Champion Court</t>
  </si>
  <si>
    <t>The Country Club</t>
  </si>
  <si>
    <t>The Bridges</t>
  </si>
  <si>
    <t>Wyndham Park I</t>
  </si>
  <si>
    <t>Cypress Trace Rd</t>
  </si>
  <si>
    <t>Northwoods</t>
  </si>
  <si>
    <t>Citation North</t>
  </si>
  <si>
    <t>The Retreat</t>
  </si>
  <si>
    <t>Cornerstone Village</t>
  </si>
  <si>
    <t>The Summit at Champions East</t>
  </si>
  <si>
    <t>Walters Rd</t>
  </si>
  <si>
    <t>Aston Brook</t>
  </si>
  <si>
    <t>Cypress Station</t>
  </si>
  <si>
    <t>Wyndham Park II</t>
  </si>
  <si>
    <t>Portofino Landing</t>
  </si>
  <si>
    <t>The Palms at Cypress Station</t>
  </si>
  <si>
    <t>The Blenheim</t>
  </si>
  <si>
    <t>Autumn Lakes</t>
  </si>
  <si>
    <t>Red Oak Dr</t>
  </si>
  <si>
    <t>The Village of Red Oak</t>
  </si>
  <si>
    <t>Red Oak Rd</t>
  </si>
  <si>
    <t>Rain Forest</t>
  </si>
  <si>
    <t>Cinnamon Square</t>
  </si>
  <si>
    <t>Parramatta Ln</t>
  </si>
  <si>
    <t>North Park</t>
  </si>
  <si>
    <t>1960 FM E</t>
  </si>
  <si>
    <t>Deerbrook Garden</t>
  </si>
  <si>
    <t>Humble</t>
  </si>
  <si>
    <t>Bender Ave</t>
  </si>
  <si>
    <t>Township</t>
  </si>
  <si>
    <t>Bender S</t>
  </si>
  <si>
    <t>Pines at Humble Park</t>
  </si>
  <si>
    <t>Briarcreek Blvd</t>
  </si>
  <si>
    <t>Memorial Hills TH</t>
  </si>
  <si>
    <t>Wooded Pine</t>
  </si>
  <si>
    <t>Candleridge Park</t>
  </si>
  <si>
    <t>Ella Blvd</t>
  </si>
  <si>
    <t>La Jolla Champions on Ella</t>
  </si>
  <si>
    <t>Century Park</t>
  </si>
  <si>
    <t>Lakeview II</t>
  </si>
  <si>
    <t>Romano Park Ln</t>
  </si>
  <si>
    <t>Lakeview Estates</t>
  </si>
  <si>
    <t>Hirschfield</t>
  </si>
  <si>
    <t>One Westfield Lake</t>
  </si>
  <si>
    <t>Windsong Village</t>
  </si>
  <si>
    <t>Inverness Forest Blvd</t>
  </si>
  <si>
    <t>Woods of Inverness</t>
  </si>
  <si>
    <t>Lakeview I</t>
  </si>
  <si>
    <t>Cypresswood Court</t>
  </si>
  <si>
    <t>Foxwood Forest</t>
  </si>
  <si>
    <t>Foxwood</t>
  </si>
  <si>
    <t>Woodcreek Ln</t>
  </si>
  <si>
    <t>Woodcreek Village</t>
  </si>
  <si>
    <t>Aldine Westfield</t>
  </si>
  <si>
    <t>Westfield Ridge</t>
  </si>
  <si>
    <t>Millstone</t>
  </si>
  <si>
    <t>2257-B</t>
  </si>
  <si>
    <t>Kelkind Manor</t>
  </si>
  <si>
    <t>Vista Dr N</t>
  </si>
  <si>
    <t>Apache Springs</t>
  </si>
  <si>
    <t>Sun Prairie</t>
  </si>
  <si>
    <t>Dunson Glen</t>
  </si>
  <si>
    <t>Glen Oaks I &amp; II</t>
  </si>
  <si>
    <t>Wells Fargo</t>
  </si>
  <si>
    <t>Preakness of Cypress Station</t>
  </si>
  <si>
    <t>Carriage Place</t>
  </si>
  <si>
    <t>Green Tree Place</t>
  </si>
  <si>
    <t>Roundhill TH</t>
  </si>
  <si>
    <t>Butterfield Rd</t>
  </si>
  <si>
    <t>Cypress Lake</t>
  </si>
  <si>
    <t>Commerce Park</t>
  </si>
  <si>
    <t>Applewood Village TH</t>
  </si>
  <si>
    <t>Timbers of Deerbrook</t>
  </si>
  <si>
    <t>Whitaker</t>
  </si>
  <si>
    <t>Park at Deerbrook</t>
  </si>
  <si>
    <t>Blue Ash</t>
  </si>
  <si>
    <t>Park Trails</t>
  </si>
  <si>
    <t>Blue Ash Dr</t>
  </si>
  <si>
    <t>Fairfield Cove</t>
  </si>
  <si>
    <t>The Mandolin</t>
  </si>
  <si>
    <t>Grant Rd</t>
  </si>
  <si>
    <t>Stonegate Villas</t>
  </si>
  <si>
    <t>Cypress</t>
  </si>
  <si>
    <t>Regency Green Dr</t>
  </si>
  <si>
    <t>Central Park Regency</t>
  </si>
  <si>
    <t>Kingwood Dr</t>
  </si>
  <si>
    <t>Kingwood Lakes</t>
  </si>
  <si>
    <t>Kings Crossing</t>
  </si>
  <si>
    <t>Bens Branch Dr</t>
  </si>
  <si>
    <t>Town Center I</t>
  </si>
  <si>
    <t>Greenwood Forest Dr</t>
  </si>
  <si>
    <t>Champions Village</t>
  </si>
  <si>
    <t>Sunrise at Atascocita</t>
  </si>
  <si>
    <t>Lakewood Heights TH</t>
  </si>
  <si>
    <t>Huffman</t>
  </si>
  <si>
    <t>The Verandah at Lake Pointe</t>
  </si>
  <si>
    <t>Atascocita</t>
  </si>
  <si>
    <t>Cypress N Houston</t>
  </si>
  <si>
    <t>Andover Place</t>
  </si>
  <si>
    <t>Magnolia Cove Dr</t>
  </si>
  <si>
    <t>Harbor Cove</t>
  </si>
  <si>
    <t>Woods on the Fairway</t>
  </si>
  <si>
    <t>Lakewood West</t>
  </si>
  <si>
    <t>Barwood Bend</t>
  </si>
  <si>
    <t>Ashley Crest</t>
  </si>
  <si>
    <t>Memorial S</t>
  </si>
  <si>
    <t>Northeast Pines</t>
  </si>
  <si>
    <t>Carolyn Ct</t>
  </si>
  <si>
    <t>Kay Lynn Apts</t>
  </si>
  <si>
    <t>Cypress Commons</t>
  </si>
  <si>
    <t>Jones Rd</t>
  </si>
  <si>
    <t>Stirling Court</t>
  </si>
  <si>
    <t>Mist Ln</t>
  </si>
  <si>
    <t>Stone Mist</t>
  </si>
  <si>
    <t>Isaacks Rd</t>
  </si>
  <si>
    <t>Deer Springs</t>
  </si>
  <si>
    <t>Lake Village Dr</t>
  </si>
  <si>
    <t>Trailwood Village</t>
  </si>
  <si>
    <t>Huffmeister</t>
  </si>
  <si>
    <t>Park Colony</t>
  </si>
  <si>
    <t>Wortham Blvd</t>
  </si>
  <si>
    <t>Wynnewood</t>
  </si>
  <si>
    <t>Bender</t>
  </si>
  <si>
    <t>Bender Hollow</t>
  </si>
  <si>
    <t>Meadowbrook</t>
  </si>
  <si>
    <t>Village in the Woods</t>
  </si>
  <si>
    <t>Prestonwood Forest Dr</t>
  </si>
  <si>
    <t>Prestonwood</t>
  </si>
  <si>
    <t>Greencreek Dr</t>
  </si>
  <si>
    <t>Pebble Creek</t>
  </si>
  <si>
    <t>Glenora Dr</t>
  </si>
  <si>
    <t>Hastings Place I</t>
  </si>
  <si>
    <t>Willow Place S</t>
  </si>
  <si>
    <t>One Willow Chase</t>
  </si>
  <si>
    <t>Green Creek Dr</t>
  </si>
  <si>
    <t>Woodedge</t>
  </si>
  <si>
    <t>Saathoff</t>
  </si>
  <si>
    <t>Willow Place N</t>
  </si>
  <si>
    <t>One Willow Park</t>
  </si>
  <si>
    <t>1960 FM W</t>
  </si>
  <si>
    <t>Providence at Champions</t>
  </si>
  <si>
    <t>Greenwood Forest</t>
  </si>
  <si>
    <t>Antoine</t>
  </si>
  <si>
    <t>Camden Station</t>
  </si>
  <si>
    <t>One Camden Court</t>
  </si>
  <si>
    <t>Champions Dr</t>
  </si>
  <si>
    <t>Champions Green</t>
  </si>
  <si>
    <t>The Promenade Champions Forest</t>
  </si>
  <si>
    <t>Glenora</t>
  </si>
  <si>
    <t>Hastings Place II</t>
  </si>
  <si>
    <t>Windfern</t>
  </si>
  <si>
    <t>Windfern Meadows</t>
  </si>
  <si>
    <t>Trails of Windfern</t>
  </si>
  <si>
    <t>Perry Rd</t>
  </si>
  <si>
    <t>Willow Run TH</t>
  </si>
  <si>
    <t>Hammond</t>
  </si>
  <si>
    <t>Morningside Green</t>
  </si>
  <si>
    <t>Azalea Trace</t>
  </si>
  <si>
    <t>Smoketree Apts</t>
  </si>
  <si>
    <t>Champions Pointe</t>
  </si>
  <si>
    <t>Breton Ridge</t>
  </si>
  <si>
    <t>Breton Mill</t>
  </si>
  <si>
    <t>Willowchase Blvd</t>
  </si>
  <si>
    <t>The Verandah at Centerfield</t>
  </si>
  <si>
    <t>Crescent Moon</t>
  </si>
  <si>
    <t>Chelsea Park</t>
  </si>
  <si>
    <t>Legacy Park Dr</t>
  </si>
  <si>
    <t>Legacy Park</t>
  </si>
  <si>
    <t>Ella</t>
  </si>
  <si>
    <t>Cranbrook Downs</t>
  </si>
  <si>
    <t>Champions Centre Dr</t>
  </si>
  <si>
    <t>Champions Centre</t>
  </si>
  <si>
    <t>Champion Forest Dr</t>
  </si>
  <si>
    <t>Champions Forest</t>
  </si>
  <si>
    <t>The Terrace at Willowbrook</t>
  </si>
  <si>
    <t>Bayou Oaks</t>
  </si>
  <si>
    <t>Cranbrook Forest</t>
  </si>
  <si>
    <t>Monticello on Cranbrook</t>
  </si>
  <si>
    <t>Polo Club on Cranbrook</t>
  </si>
  <si>
    <t>Stonefield</t>
  </si>
  <si>
    <t>Huntington at Stonefield</t>
  </si>
  <si>
    <t>Champions Park</t>
  </si>
  <si>
    <t>Champions Plaza</t>
  </si>
  <si>
    <t>Champions Woods</t>
  </si>
  <si>
    <t>Seton Lake Dr</t>
  </si>
  <si>
    <t>Seton Chase</t>
  </si>
  <si>
    <t>Willow Bend</t>
  </si>
  <si>
    <t>Greens Rd W</t>
  </si>
  <si>
    <t>The Enclave at Willowbrook</t>
  </si>
  <si>
    <t>Fallbrook Dr</t>
  </si>
  <si>
    <t>Cedar Pointe</t>
  </si>
  <si>
    <t>Timbers of Cranbrook</t>
  </si>
  <si>
    <t>Excelsior on the Park</t>
  </si>
  <si>
    <t>Old Bammel Houston N</t>
  </si>
  <si>
    <t>Briar Park</t>
  </si>
  <si>
    <t>Tomball Prkwy</t>
  </si>
  <si>
    <t>Willowbrook Point</t>
  </si>
  <si>
    <t>Greens Pkwy</t>
  </si>
  <si>
    <t>Pine Lake Village</t>
  </si>
  <si>
    <t>Fall Lake</t>
  </si>
  <si>
    <t>Live Oak Bend</t>
  </si>
  <si>
    <t>Greens Rd</t>
  </si>
  <si>
    <t>The Durham at CityView</t>
  </si>
  <si>
    <t>Chase N</t>
  </si>
  <si>
    <t>The Royal Phoenician</t>
  </si>
  <si>
    <t>Kuykendahl Rd</t>
  </si>
  <si>
    <t>The Augusta</t>
  </si>
  <si>
    <t>Brundage</t>
  </si>
  <si>
    <t>Vanderbilt</t>
  </si>
  <si>
    <t>Cambury</t>
  </si>
  <si>
    <t>Cambury Place</t>
  </si>
  <si>
    <t>Morgan Bay</t>
  </si>
  <si>
    <t>Chartwell Court</t>
  </si>
  <si>
    <t>Dominion Park Dr</t>
  </si>
  <si>
    <t>The Square</t>
  </si>
  <si>
    <t>Gears</t>
  </si>
  <si>
    <t>Driscoll Place I</t>
  </si>
  <si>
    <t>Driscoll Place II</t>
  </si>
  <si>
    <t>Northborough Dr</t>
  </si>
  <si>
    <t>Canfield Lakes</t>
  </si>
  <si>
    <t>Sago Palms</t>
  </si>
  <si>
    <t>The Bennett at CityView</t>
  </si>
  <si>
    <t>Anniston at CityView</t>
  </si>
  <si>
    <t>Worthington at the Beltway</t>
  </si>
  <si>
    <t>Park De Ville</t>
  </si>
  <si>
    <t>CityView Place III</t>
  </si>
  <si>
    <t>CityView West</t>
  </si>
  <si>
    <t>Northborough</t>
  </si>
  <si>
    <t>The Thicket</t>
  </si>
  <si>
    <t>Forest Pointe</t>
  </si>
  <si>
    <t>Siena Courtyard</t>
  </si>
  <si>
    <t>Rushcreek Dr</t>
  </si>
  <si>
    <t>Oakridge</t>
  </si>
  <si>
    <t>Northpointe Village</t>
  </si>
  <si>
    <t>Mira Vista</t>
  </si>
  <si>
    <t>Plaza Verde Dr</t>
  </si>
  <si>
    <t>Fallbrook</t>
  </si>
  <si>
    <t>Northpoint</t>
  </si>
  <si>
    <t>Northpoint Square</t>
  </si>
  <si>
    <t>Airline</t>
  </si>
  <si>
    <t>Northgate</t>
  </si>
  <si>
    <t>Dyna Dr</t>
  </si>
  <si>
    <t>Oak Leaf Village</t>
  </si>
  <si>
    <t>Wagon Rd</t>
  </si>
  <si>
    <t>Chelsea Walk North</t>
  </si>
  <si>
    <t>Springfield at CityView II</t>
  </si>
  <si>
    <t>Green Plaza</t>
  </si>
  <si>
    <t>Greens Plaza</t>
  </si>
  <si>
    <t>Canyon Club</t>
  </si>
  <si>
    <t>Dyna</t>
  </si>
  <si>
    <t>Los Prados</t>
  </si>
  <si>
    <t>Goodson Dr</t>
  </si>
  <si>
    <t>Casa Verde</t>
  </si>
  <si>
    <t>Goodson</t>
  </si>
  <si>
    <t>Regency Crossing</t>
  </si>
  <si>
    <t>Valley Oaks</t>
  </si>
  <si>
    <t>Magnolia Regency I</t>
  </si>
  <si>
    <t>Magnolia Regency II</t>
  </si>
  <si>
    <t>Deer Creek</t>
  </si>
  <si>
    <t>Biscayne at CityView I</t>
  </si>
  <si>
    <t>Richcrest</t>
  </si>
  <si>
    <t>Royale De Ville</t>
  </si>
  <si>
    <t>Greenbriar Park North</t>
  </si>
  <si>
    <t>Seminar Dr</t>
  </si>
  <si>
    <t>Breckenridge at CityView II</t>
  </si>
  <si>
    <t>Wayforest Dr</t>
  </si>
  <si>
    <t>Augusta at CityView</t>
  </si>
  <si>
    <t>Savannah at CityView</t>
  </si>
  <si>
    <t>59 Hwy</t>
  </si>
  <si>
    <t>Bender Creek</t>
  </si>
  <si>
    <t>Biscayne at CityView II</t>
  </si>
  <si>
    <t>Amherst at CityView</t>
  </si>
  <si>
    <t>Harvest Time Ln</t>
  </si>
  <si>
    <t>The Charleston at CityView</t>
  </si>
  <si>
    <t>Maison de Ville</t>
  </si>
  <si>
    <t>Woods of Greenbriar</t>
  </si>
  <si>
    <t>Carl Ave</t>
  </si>
  <si>
    <t>CityView Place II</t>
  </si>
  <si>
    <t>Greenspoint Landing II</t>
  </si>
  <si>
    <t>Aldine Bender</t>
  </si>
  <si>
    <t>North Oaks</t>
  </si>
  <si>
    <t>Cambridge at CityView</t>
  </si>
  <si>
    <t>Springfield at CityView I</t>
  </si>
  <si>
    <t>Greenbriar Colony TH</t>
  </si>
  <si>
    <t>Langwick</t>
  </si>
  <si>
    <t>Crescent at CityView</t>
  </si>
  <si>
    <t>Seminar</t>
  </si>
  <si>
    <t>Breckenridge at CityView III</t>
  </si>
  <si>
    <t>Salado at CityView</t>
  </si>
  <si>
    <t>Arbor Court</t>
  </si>
  <si>
    <t>CityView Place IV</t>
  </si>
  <si>
    <t>Imperial Oaks</t>
  </si>
  <si>
    <t>Wayforest</t>
  </si>
  <si>
    <t>Courtyard Manor</t>
  </si>
  <si>
    <t>CityView Place V</t>
  </si>
  <si>
    <t>Sausalito</t>
  </si>
  <si>
    <t>Will Clayton Pkwy</t>
  </si>
  <si>
    <t>Deerbrook Forest</t>
  </si>
  <si>
    <t>CrossRds Park Dr</t>
  </si>
  <si>
    <t>Steepleway Blvd</t>
  </si>
  <si>
    <t>Sprucewood</t>
  </si>
  <si>
    <t>Easton Commons</t>
  </si>
  <si>
    <t>Peppermill Place</t>
  </si>
  <si>
    <t>Rankin Rd</t>
  </si>
  <si>
    <t>Rankin Country</t>
  </si>
  <si>
    <t>Old Belt Dr N</t>
  </si>
  <si>
    <t>Northlake Manor</t>
  </si>
  <si>
    <t>Golden Eagle</t>
  </si>
  <si>
    <t>Waterchase</t>
  </si>
  <si>
    <t>Wilson Rd</t>
  </si>
  <si>
    <t>Colony of Humble</t>
  </si>
  <si>
    <t>Golf Club Dr</t>
  </si>
  <si>
    <t>Spring Hill Village</t>
  </si>
  <si>
    <t>Crosby</t>
  </si>
  <si>
    <t>Cotillion</t>
  </si>
  <si>
    <t>Imperial Landing</t>
  </si>
  <si>
    <t>Crosswinds Dr</t>
  </si>
  <si>
    <t>Crosswinds</t>
  </si>
  <si>
    <t>Sam Houston Pkwy E N</t>
  </si>
  <si>
    <t>Villas at Pine Lake</t>
  </si>
  <si>
    <t>Haverstock Hill</t>
  </si>
  <si>
    <t>Shadowridge North</t>
  </si>
  <si>
    <t>Easton Village</t>
  </si>
  <si>
    <t>Coventry Square</t>
  </si>
  <si>
    <t>Timber Creek Place Dr</t>
  </si>
  <si>
    <t>Bear Creek Crossing</t>
  </si>
  <si>
    <t>Timber Creek Place</t>
  </si>
  <si>
    <t>Timberwalk</t>
  </si>
  <si>
    <t>Atascocita Rd</t>
  </si>
  <si>
    <t>Eagle Crest</t>
  </si>
  <si>
    <t>Point Park</t>
  </si>
  <si>
    <t>Villages at Copperfield II</t>
  </si>
  <si>
    <t>Villages at Copperfield I</t>
  </si>
  <si>
    <t>Sunbury</t>
  </si>
  <si>
    <t>529 FM</t>
  </si>
  <si>
    <t>Saint Gregory's Beach</t>
  </si>
  <si>
    <t>Timberledge</t>
  </si>
  <si>
    <t>York Meadows</t>
  </si>
  <si>
    <t>Meadow Creek</t>
  </si>
  <si>
    <t>Trails of Timber Creek</t>
  </si>
  <si>
    <t>A Rumford Ln</t>
  </si>
  <si>
    <t>Langham Creek</t>
  </si>
  <si>
    <t>Point NW</t>
  </si>
  <si>
    <t>Villages at Copperfield III</t>
  </si>
  <si>
    <t>Sunbury Downs</t>
  </si>
  <si>
    <t>Little York W</t>
  </si>
  <si>
    <t>15303-15357</t>
  </si>
  <si>
    <t>TH of Bear Creek</t>
  </si>
  <si>
    <t>Kingfield</t>
  </si>
  <si>
    <t>Colonies Landing</t>
  </si>
  <si>
    <t>Seattle Slew</t>
  </si>
  <si>
    <t>Trails at Rock Creek II</t>
  </si>
  <si>
    <t>Pointe at Steeplechase I</t>
  </si>
  <si>
    <t>Wagonwheel Ln</t>
  </si>
  <si>
    <t>Inwood Place</t>
  </si>
  <si>
    <t>TC Jester Blvd W</t>
  </si>
  <si>
    <t>Inwood Village</t>
  </si>
  <si>
    <t>W Rd</t>
  </si>
  <si>
    <t>Steeplecrest I</t>
  </si>
  <si>
    <t>Steeplecrest II</t>
  </si>
  <si>
    <t>The Madison at Bear Creek</t>
  </si>
  <si>
    <t>Retreat at Steeplechase</t>
  </si>
  <si>
    <t>Thoroughbred Dr</t>
  </si>
  <si>
    <t>Steepleway Downs</t>
  </si>
  <si>
    <t>Ascot Court</t>
  </si>
  <si>
    <t>West Brook</t>
  </si>
  <si>
    <t>Ranchstone</t>
  </si>
  <si>
    <t>Stone Canyon</t>
  </si>
  <si>
    <t>Hollister</t>
  </si>
  <si>
    <t>Hollister Place</t>
  </si>
  <si>
    <t>Wilshire Place</t>
  </si>
  <si>
    <t>The Trails at Corinthian Creek</t>
  </si>
  <si>
    <t>Trails at Rock Creek I</t>
  </si>
  <si>
    <t>The Lake</t>
  </si>
  <si>
    <t>Towne Lake</t>
  </si>
  <si>
    <t>Chesapeake Village</t>
  </si>
  <si>
    <t>Inwood Meadows</t>
  </si>
  <si>
    <t>Gulf Bank W</t>
  </si>
  <si>
    <t>Avery Park I</t>
  </si>
  <si>
    <t>Smiling Wood</t>
  </si>
  <si>
    <t>The Park at Willowbrook</t>
  </si>
  <si>
    <t>Smiling Wood Ln</t>
  </si>
  <si>
    <t>Windfern Pointe</t>
  </si>
  <si>
    <t>Crossing at Woodland Trails</t>
  </si>
  <si>
    <t>Gold Point</t>
  </si>
  <si>
    <t>Winchester Place</t>
  </si>
  <si>
    <t>The Promenade Jersey Village III</t>
  </si>
  <si>
    <t>The Seasons</t>
  </si>
  <si>
    <t>Silent Wood</t>
  </si>
  <si>
    <t>Camden Steeplechase</t>
  </si>
  <si>
    <t>Steeple Park</t>
  </si>
  <si>
    <t>Pointe at Steeplechase II</t>
  </si>
  <si>
    <t>Pleasant Colony</t>
  </si>
  <si>
    <t>The Promenade Jersey Village II</t>
  </si>
  <si>
    <t>Philipine</t>
  </si>
  <si>
    <t>The Reserve at Woodwind Lakes</t>
  </si>
  <si>
    <t>Thornbury</t>
  </si>
  <si>
    <t>Flintlock Rd</t>
  </si>
  <si>
    <t>Savoy Manor</t>
  </si>
  <si>
    <t>Gulf Bank Rd W</t>
  </si>
  <si>
    <t>Park Lane II</t>
  </si>
  <si>
    <t>Timbers of Inwood Forest II</t>
  </si>
  <si>
    <t>Park Lane I</t>
  </si>
  <si>
    <t>Streamside Place</t>
  </si>
  <si>
    <t>Avery Park II</t>
  </si>
  <si>
    <t>Blue Bell</t>
  </si>
  <si>
    <t>Blue Bell Crossing</t>
  </si>
  <si>
    <t>Veterans Memorial</t>
  </si>
  <si>
    <t>Blue Bell Village</t>
  </si>
  <si>
    <t>Mount Houston W</t>
  </si>
  <si>
    <t>5710-5732</t>
  </si>
  <si>
    <t>Villages of Inwood</t>
  </si>
  <si>
    <t>Woodsman Trl</t>
  </si>
  <si>
    <t>Rosslyn Heights</t>
  </si>
  <si>
    <t>Oak Villa II</t>
  </si>
  <si>
    <t>Alabonson Rd</t>
  </si>
  <si>
    <t>Inwood Grove</t>
  </si>
  <si>
    <t>Timbers of Inwood Forest I</t>
  </si>
  <si>
    <t>Holly View Dr</t>
  </si>
  <si>
    <t>The Park at Live Oak</t>
  </si>
  <si>
    <t>Hollyview</t>
  </si>
  <si>
    <t>Greens Crossing Blvd</t>
  </si>
  <si>
    <t>Mission Falls</t>
  </si>
  <si>
    <t>The Meadows on Blue Bell</t>
  </si>
  <si>
    <t>Gables of Inwood</t>
  </si>
  <si>
    <t>Oak Villa I</t>
  </si>
  <si>
    <t>Diamond Ridge I</t>
  </si>
  <si>
    <t>Diamond Ridge II</t>
  </si>
  <si>
    <t>Lincoln Park</t>
  </si>
  <si>
    <t>Casa Real</t>
  </si>
  <si>
    <t>The Falls on Antoine</t>
  </si>
  <si>
    <t>Antoine Dr</t>
  </si>
  <si>
    <t>Reserve at White Oak</t>
  </si>
  <si>
    <t>Northwood Forest</t>
  </si>
  <si>
    <t>Hamill</t>
  </si>
  <si>
    <t>Pinewood North</t>
  </si>
  <si>
    <t>Wild Pine</t>
  </si>
  <si>
    <t>Pine Village North</t>
  </si>
  <si>
    <t>Coppertree Village</t>
  </si>
  <si>
    <t>Montgomery W</t>
  </si>
  <si>
    <t>Garden City</t>
  </si>
  <si>
    <t>Sunny Side</t>
  </si>
  <si>
    <t>La Casita II</t>
  </si>
  <si>
    <t>Sunnyside</t>
  </si>
  <si>
    <t>La Casita I</t>
  </si>
  <si>
    <t>Parker Rd W</t>
  </si>
  <si>
    <t>Pecan Shadows</t>
  </si>
  <si>
    <t>Hollyvale Dr</t>
  </si>
  <si>
    <t>Hollyvale</t>
  </si>
  <si>
    <t>Aldine Mail Rd</t>
  </si>
  <si>
    <t>Oakdale Manor</t>
  </si>
  <si>
    <t>Carby W</t>
  </si>
  <si>
    <t>Country Living</t>
  </si>
  <si>
    <t>Northline</t>
  </si>
  <si>
    <t>Northline Point</t>
  </si>
  <si>
    <t>John F Kennedy Blvd</t>
  </si>
  <si>
    <t>Rockwood Landing</t>
  </si>
  <si>
    <t>Aldine Mail Route</t>
  </si>
  <si>
    <t>Northwood Villas</t>
  </si>
  <si>
    <t>Aldine</t>
  </si>
  <si>
    <t>A Tallowpine</t>
  </si>
  <si>
    <t>Pineview Terrace</t>
  </si>
  <si>
    <t>Katy</t>
  </si>
  <si>
    <t>5th St E</t>
  </si>
  <si>
    <t>Katy Manor</t>
  </si>
  <si>
    <t>Ave E</t>
  </si>
  <si>
    <t>Katy Mayfair</t>
  </si>
  <si>
    <t>Capewood</t>
  </si>
  <si>
    <t>La Quinta Garden</t>
  </si>
  <si>
    <t>Concord Green</t>
  </si>
  <si>
    <t>Parkway Plaza</t>
  </si>
  <si>
    <t>Keith Harrow</t>
  </si>
  <si>
    <t>Breckenridge Court</t>
  </si>
  <si>
    <t>Harpers Mill</t>
  </si>
  <si>
    <t>90 Hwy</t>
  </si>
  <si>
    <t>Whisper Oaks</t>
  </si>
  <si>
    <t>2100 FM</t>
  </si>
  <si>
    <t>Crosby Square</t>
  </si>
  <si>
    <t>Barker Cypress</t>
  </si>
  <si>
    <t>The Enclave at Cypress Park</t>
  </si>
  <si>
    <t>Park View S</t>
  </si>
  <si>
    <t>Clay Hill Dr</t>
  </si>
  <si>
    <t>Clay</t>
  </si>
  <si>
    <t>Clay Creek</t>
  </si>
  <si>
    <t>Park Row</t>
  </si>
  <si>
    <t>Arcadian West</t>
  </si>
  <si>
    <t>Park Falls</t>
  </si>
  <si>
    <t>Keith-Harrow</t>
  </si>
  <si>
    <t>Green Meadows</t>
  </si>
  <si>
    <t>Shady Ln</t>
  </si>
  <si>
    <t>Parker Square</t>
  </si>
  <si>
    <t>Parker</t>
  </si>
  <si>
    <t>Krenek</t>
  </si>
  <si>
    <t>Crosby Meadows</t>
  </si>
  <si>
    <t>Saums</t>
  </si>
  <si>
    <t>Stonecreek I</t>
  </si>
  <si>
    <t>Stonecreek II</t>
  </si>
  <si>
    <t>Westborough Dr</t>
  </si>
  <si>
    <t>Westborough Crossing</t>
  </si>
  <si>
    <t>Ryan's Pointe</t>
  </si>
  <si>
    <t>Heritage at Park Row</t>
  </si>
  <si>
    <t>Pine Forest</t>
  </si>
  <si>
    <t>Promenade Cullen Park I</t>
  </si>
  <si>
    <t>Promenade Cullen Park II</t>
  </si>
  <si>
    <t>Wickchester</t>
  </si>
  <si>
    <t>Eagle Hollow</t>
  </si>
  <si>
    <t>Sherwood Forest</t>
  </si>
  <si>
    <t>Timberline Forest</t>
  </si>
  <si>
    <t>Loch Katrine</t>
  </si>
  <si>
    <t>Village at Loch Katrine I &amp; II</t>
  </si>
  <si>
    <t>Grow Ln</t>
  </si>
  <si>
    <t>Quail Creek</t>
  </si>
  <si>
    <t>Woodcreek of North West Crossing</t>
  </si>
  <si>
    <t>The Legend at Park Ten</t>
  </si>
  <si>
    <t>Sam Houston Pkwy W</t>
  </si>
  <si>
    <t>The Reserve at City Center North</t>
  </si>
  <si>
    <t>Kempwood Dr</t>
  </si>
  <si>
    <t>Spring Shadows</t>
  </si>
  <si>
    <t>Kempwood</t>
  </si>
  <si>
    <t>Miami Gardens</t>
  </si>
  <si>
    <t>Guhn Rd</t>
  </si>
  <si>
    <t>Villa Anita</t>
  </si>
  <si>
    <t>Tidwell</t>
  </si>
  <si>
    <t>Lafayette Green</t>
  </si>
  <si>
    <t>Westview</t>
  </si>
  <si>
    <t>Sandy Glen</t>
  </si>
  <si>
    <t>Grow</t>
  </si>
  <si>
    <t>Fawndale</t>
  </si>
  <si>
    <t>Blalock</t>
  </si>
  <si>
    <t>Spring Brook Village</t>
  </si>
  <si>
    <t>Campbell</t>
  </si>
  <si>
    <t>Green Oak Village</t>
  </si>
  <si>
    <t>Windcrest on Sherwood</t>
  </si>
  <si>
    <t>Sherwood Forest St</t>
  </si>
  <si>
    <t>Knights Landing II</t>
  </si>
  <si>
    <t>Upland Dr</t>
  </si>
  <si>
    <t>Knights Landing I</t>
  </si>
  <si>
    <t>Hammerly</t>
  </si>
  <si>
    <t>Springwoods Village</t>
  </si>
  <si>
    <t>Westway</t>
  </si>
  <si>
    <t>Shadowdale</t>
  </si>
  <si>
    <t>Shadowdale Oaks</t>
  </si>
  <si>
    <t>Crestdale Dr</t>
  </si>
  <si>
    <t>Waterford Place</t>
  </si>
  <si>
    <t>Kempwood Hollow</t>
  </si>
  <si>
    <t>Spring Shadows Place</t>
  </si>
  <si>
    <t>Cherry Creek</t>
  </si>
  <si>
    <t>Tidwell Rd W</t>
  </si>
  <si>
    <t>Somerset II</t>
  </si>
  <si>
    <t>Pitner Rd</t>
  </si>
  <si>
    <t>Pine Gardens</t>
  </si>
  <si>
    <t>Hunters Chase</t>
  </si>
  <si>
    <t>Pinemont</t>
  </si>
  <si>
    <t>Kempwood Place</t>
  </si>
  <si>
    <t>Witte Rd</t>
  </si>
  <si>
    <t>Bermuda Woods</t>
  </si>
  <si>
    <t>Pine Shadows</t>
  </si>
  <si>
    <t>Leaf Hollow</t>
  </si>
  <si>
    <t>Somerset I</t>
  </si>
  <si>
    <t>Jade Forest</t>
  </si>
  <si>
    <t>Hammerly Villa</t>
  </si>
  <si>
    <t>Gentry House</t>
  </si>
  <si>
    <t>Royal Gate</t>
  </si>
  <si>
    <t>Gessner Dr N</t>
  </si>
  <si>
    <t>Gessner Park</t>
  </si>
  <si>
    <t>Sunforest</t>
  </si>
  <si>
    <t>Rancho Verde</t>
  </si>
  <si>
    <t>Thousand Oaks</t>
  </si>
  <si>
    <t>Pine Ridge Place</t>
  </si>
  <si>
    <t>Long Point</t>
  </si>
  <si>
    <t>Red Apple</t>
  </si>
  <si>
    <t>Summercrest Apts</t>
  </si>
  <si>
    <t>1651-1655</t>
  </si>
  <si>
    <t>Witte Oaks</t>
  </si>
  <si>
    <t>Witte</t>
  </si>
  <si>
    <t>Laverne St</t>
  </si>
  <si>
    <t>Hickory Ridge</t>
  </si>
  <si>
    <t>Hammerly Walk</t>
  </si>
  <si>
    <t>Hammerly Oaks</t>
  </si>
  <si>
    <t>Northwest Corners</t>
  </si>
  <si>
    <t>Spring Lake</t>
  </si>
  <si>
    <t>Spring Lake Lakehomes</t>
  </si>
  <si>
    <t>Timberwood</t>
  </si>
  <si>
    <t>MacArthur Park</t>
  </si>
  <si>
    <t>Rolling Wood</t>
  </si>
  <si>
    <t>Westview Dr</t>
  </si>
  <si>
    <t>Windcrest on Westview</t>
  </si>
  <si>
    <t>English Oaks</t>
  </si>
  <si>
    <t>Brompton Square</t>
  </si>
  <si>
    <t>Valencia at Spring Branch</t>
  </si>
  <si>
    <t>Westview Forest</t>
  </si>
  <si>
    <t>Park on Westview</t>
  </si>
  <si>
    <t>Cedar Branch</t>
  </si>
  <si>
    <t>Spring Pines</t>
  </si>
  <si>
    <t>Hanka</t>
  </si>
  <si>
    <t>Sir Charles</t>
  </si>
  <si>
    <t>Front Royale</t>
  </si>
  <si>
    <t>Campbell Rd</t>
  </si>
  <si>
    <t>Cedar Forest</t>
  </si>
  <si>
    <t>Cedar Post Ln</t>
  </si>
  <si>
    <t>Timber Trace</t>
  </si>
  <si>
    <t>Cedar Post</t>
  </si>
  <si>
    <t>La Petite</t>
  </si>
  <si>
    <t>Cedar Gate</t>
  </si>
  <si>
    <t>Mount Vernon Manor</t>
  </si>
  <si>
    <t>Oak Glen</t>
  </si>
  <si>
    <t>Oaks on Antoine</t>
  </si>
  <si>
    <t>Lockfield</t>
  </si>
  <si>
    <t>Crossings at Willow Bend</t>
  </si>
  <si>
    <t>Oaks of Northwest Corners</t>
  </si>
  <si>
    <t>Watonga</t>
  </si>
  <si>
    <t>Indian Springs</t>
  </si>
  <si>
    <t>Lamonte Park TH</t>
  </si>
  <si>
    <t>Southern Gardens</t>
  </si>
  <si>
    <t>Mangum</t>
  </si>
  <si>
    <t>Delta 1 Apts</t>
  </si>
  <si>
    <t>Hidden Park</t>
  </si>
  <si>
    <t>Ojeman Rd</t>
  </si>
  <si>
    <t>Luxor Park</t>
  </si>
  <si>
    <t>Sierra Ranch</t>
  </si>
  <si>
    <t>DeSoto</t>
  </si>
  <si>
    <t>Oak Brook</t>
  </si>
  <si>
    <t>Candlewood Glen</t>
  </si>
  <si>
    <t>Linda Vista</t>
  </si>
  <si>
    <t>Pine Forest Park</t>
  </si>
  <si>
    <t>Mangum Oaks</t>
  </si>
  <si>
    <t>NW Fwy</t>
  </si>
  <si>
    <t>Creekwood</t>
  </si>
  <si>
    <t>Lamonte</t>
  </si>
  <si>
    <t>The Woods on Lamonte</t>
  </si>
  <si>
    <t>Oakwood Gardens</t>
  </si>
  <si>
    <t>Hunters Cove</t>
  </si>
  <si>
    <t>Tidwell W</t>
  </si>
  <si>
    <t>Aspen</t>
  </si>
  <si>
    <t>Asbury Park</t>
  </si>
  <si>
    <t>43rd St W</t>
  </si>
  <si>
    <t>Vintage</t>
  </si>
  <si>
    <t>Deep Forest</t>
  </si>
  <si>
    <t>Pine Forest Place</t>
  </si>
  <si>
    <t>Lost Forest</t>
  </si>
  <si>
    <t>Pine Arbor</t>
  </si>
  <si>
    <t>Houston Rosslyn N</t>
  </si>
  <si>
    <t>Northwest Pines</t>
  </si>
  <si>
    <t>The Pines of Northwest Crossing</t>
  </si>
  <si>
    <t>Jalna</t>
  </si>
  <si>
    <t>Hidden Pines Apts</t>
  </si>
  <si>
    <t>Pech</t>
  </si>
  <si>
    <t>The Glens</t>
  </si>
  <si>
    <t>Shady Villa</t>
  </si>
  <si>
    <t>Park Shadows</t>
  </si>
  <si>
    <t>Johanna</t>
  </si>
  <si>
    <t>Amberwood</t>
  </si>
  <si>
    <t>Johanna Apts</t>
  </si>
  <si>
    <t>Sherwood Ln</t>
  </si>
  <si>
    <t>Sherwood Lane</t>
  </si>
  <si>
    <t>Nueva Villa</t>
  </si>
  <si>
    <t>One Pine</t>
  </si>
  <si>
    <t>Plaza on Hammerly</t>
  </si>
  <si>
    <t>Aspenwood</t>
  </si>
  <si>
    <t>Wirt Rd</t>
  </si>
  <si>
    <t>Concord</t>
  </si>
  <si>
    <t>Sherwood</t>
  </si>
  <si>
    <t>4600-4603</t>
  </si>
  <si>
    <t>Innsbruck-Le Moyne</t>
  </si>
  <si>
    <t>Moritz</t>
  </si>
  <si>
    <t>Garden Walk</t>
  </si>
  <si>
    <t>Point Moritz North</t>
  </si>
  <si>
    <t>Pine Chase Dr</t>
  </si>
  <si>
    <t>Pine Chase</t>
  </si>
  <si>
    <t>34th St W</t>
  </si>
  <si>
    <t>Casa Nube en 34th</t>
  </si>
  <si>
    <t>Silver Creek Apts II</t>
  </si>
  <si>
    <t>Burnham Woods</t>
  </si>
  <si>
    <t>Ravenwood Cir</t>
  </si>
  <si>
    <t>Ravenwood</t>
  </si>
  <si>
    <t>Amelia</t>
  </si>
  <si>
    <t>Spring Branch Estates</t>
  </si>
  <si>
    <t>Palma Royal</t>
  </si>
  <si>
    <t>King Edward VI</t>
  </si>
  <si>
    <t>Canterbury Court</t>
  </si>
  <si>
    <t>Seven Gables</t>
  </si>
  <si>
    <t>Kingswood Village</t>
  </si>
  <si>
    <t>Sherwood Gardens</t>
  </si>
  <si>
    <t>Clearbrook</t>
  </si>
  <si>
    <t>Long Point Rd</t>
  </si>
  <si>
    <t>Woodvine</t>
  </si>
  <si>
    <t>Cancun</t>
  </si>
  <si>
    <t>Long Point Plaza</t>
  </si>
  <si>
    <t>Oaks of Moritz</t>
  </si>
  <si>
    <t>The Grove at White Oak II</t>
  </si>
  <si>
    <t>25th St W</t>
  </si>
  <si>
    <t>Twin Pines</t>
  </si>
  <si>
    <t>Palms of Shady Villa</t>
  </si>
  <si>
    <t>Wood Hollow</t>
  </si>
  <si>
    <t>Pine Manor</t>
  </si>
  <si>
    <t>Yale</t>
  </si>
  <si>
    <t>Graceland Terrace</t>
  </si>
  <si>
    <t>Malibu Courts</t>
  </si>
  <si>
    <t>Spring Gardens</t>
  </si>
  <si>
    <t>Rosslyn</t>
  </si>
  <si>
    <t>Oak Forest Place</t>
  </si>
  <si>
    <t>Alba</t>
  </si>
  <si>
    <t>Candlelight Garden</t>
  </si>
  <si>
    <t>Candlelight Estates</t>
  </si>
  <si>
    <t>Dominion Square</t>
  </si>
  <si>
    <t>Donovan W</t>
  </si>
  <si>
    <t>Donovan Village</t>
  </si>
  <si>
    <t>Coldstream</t>
  </si>
  <si>
    <t>La Veranda Apts</t>
  </si>
  <si>
    <t>Westview Gardens</t>
  </si>
  <si>
    <t>Castlewood</t>
  </si>
  <si>
    <t>Crosstimbers W</t>
  </si>
  <si>
    <t>West Crosstimbers</t>
  </si>
  <si>
    <t>Shepherd N</t>
  </si>
  <si>
    <t>Garden Oaks Village</t>
  </si>
  <si>
    <t>Sherwood Glen</t>
  </si>
  <si>
    <t>Plaza Real</t>
  </si>
  <si>
    <t>The Dunhill</t>
  </si>
  <si>
    <t>Tidwell Estates</t>
  </si>
  <si>
    <t>Patrick</t>
  </si>
  <si>
    <t>Boca del Rio Apts</t>
  </si>
  <si>
    <t>Yale St</t>
  </si>
  <si>
    <t>Yale Court</t>
  </si>
  <si>
    <t>Oak Tree</t>
  </si>
  <si>
    <t>Oak Forest</t>
  </si>
  <si>
    <t>Lehman St</t>
  </si>
  <si>
    <t>Shepherd Forest</t>
  </si>
  <si>
    <t>Oak St</t>
  </si>
  <si>
    <t>Villa Nueva</t>
  </si>
  <si>
    <t>Tiffany Oaks</t>
  </si>
  <si>
    <t>Thornton</t>
  </si>
  <si>
    <t>Las Palmas Apts</t>
  </si>
  <si>
    <t>Brookhollow</t>
  </si>
  <si>
    <t>Tara Oaks</t>
  </si>
  <si>
    <t>TC Jester W</t>
  </si>
  <si>
    <t>Turtle Creek</t>
  </si>
  <si>
    <t>Ella Creek</t>
  </si>
  <si>
    <t>N Fwy</t>
  </si>
  <si>
    <t>Nordling Chateau</t>
  </si>
  <si>
    <t>Oak Manor</t>
  </si>
  <si>
    <t>Ella Square</t>
  </si>
  <si>
    <t>Hackett</t>
  </si>
  <si>
    <t>Woodside Village</t>
  </si>
  <si>
    <t>Seaspray Ct</t>
  </si>
  <si>
    <t>The Oaks of Timbergrove</t>
  </si>
  <si>
    <t>Pointe Plaza</t>
  </si>
  <si>
    <t>TC Jester E</t>
  </si>
  <si>
    <t>Crossing at White Oak</t>
  </si>
  <si>
    <t>18th St W</t>
  </si>
  <si>
    <t>Brittany Place</t>
  </si>
  <si>
    <t>Judiway</t>
  </si>
  <si>
    <t>Colony Oaks Apts</t>
  </si>
  <si>
    <t>Timbergrove</t>
  </si>
  <si>
    <t>The Gardens</t>
  </si>
  <si>
    <t>The Grove at White Oak I</t>
  </si>
  <si>
    <t>Werner</t>
  </si>
  <si>
    <t>Monterrey Vista</t>
  </si>
  <si>
    <t>Redwood Village II</t>
  </si>
  <si>
    <t>Alfano</t>
  </si>
  <si>
    <t>Rustic Glen</t>
  </si>
  <si>
    <t>16th St W</t>
  </si>
  <si>
    <t>NF</t>
  </si>
  <si>
    <t>27th St W</t>
  </si>
  <si>
    <t>Ben Hur Apts</t>
  </si>
  <si>
    <t>Tannehill</t>
  </si>
  <si>
    <t>Whispertree</t>
  </si>
  <si>
    <t>TC Jester Blvd E</t>
  </si>
  <si>
    <t>Retreat at City Park</t>
  </si>
  <si>
    <t>Marable</t>
  </si>
  <si>
    <t>La Vista Villa</t>
  </si>
  <si>
    <t>Villa Provincial Apts</t>
  </si>
  <si>
    <t>Lyerly</t>
  </si>
  <si>
    <t>Northline Colonial</t>
  </si>
  <si>
    <t>Bauman</t>
  </si>
  <si>
    <t>Village Park North</t>
  </si>
  <si>
    <t>Irvington</t>
  </si>
  <si>
    <t>Monterrey Villa</t>
  </si>
  <si>
    <t>Oxford</t>
  </si>
  <si>
    <t>Oxford Square</t>
  </si>
  <si>
    <t>Burress</t>
  </si>
  <si>
    <t>Independence Hall</t>
  </si>
  <si>
    <t>Tidwell E</t>
  </si>
  <si>
    <t>Vista Villa</t>
  </si>
  <si>
    <t>Tidwell Park</t>
  </si>
  <si>
    <t>Fulton</t>
  </si>
  <si>
    <t>Versailles</t>
  </si>
  <si>
    <t>Fulton St</t>
  </si>
  <si>
    <t>Meadow Lea</t>
  </si>
  <si>
    <t>Ventana Gardens</t>
  </si>
  <si>
    <t>Victoria</t>
  </si>
  <si>
    <t>Redwood Village I</t>
  </si>
  <si>
    <t>Victoria Manor</t>
  </si>
  <si>
    <t>Villa Del Sol</t>
  </si>
  <si>
    <t>House of Kent</t>
  </si>
  <si>
    <t>Crosstimbers E</t>
  </si>
  <si>
    <t>Northline Terrace</t>
  </si>
  <si>
    <t>Cavalcade W</t>
  </si>
  <si>
    <t>Oakwood Manor</t>
  </si>
  <si>
    <t>Pillars</t>
  </si>
  <si>
    <t>Heights Blvd</t>
  </si>
  <si>
    <t>Heights House</t>
  </si>
  <si>
    <t>Homestead</t>
  </si>
  <si>
    <t>Swiss Village on the Park</t>
  </si>
  <si>
    <t>Colonial Apts</t>
  </si>
  <si>
    <t>Crofton</t>
  </si>
  <si>
    <t>Crofton Place</t>
  </si>
  <si>
    <t>Crosstimber Oaks Apts</t>
  </si>
  <si>
    <t>Shadow Pines North</t>
  </si>
  <si>
    <t>Main N</t>
  </si>
  <si>
    <t>Curry</t>
  </si>
  <si>
    <t>Branch Village</t>
  </si>
  <si>
    <t>Jensen</t>
  </si>
  <si>
    <t>Vance Plaza</t>
  </si>
  <si>
    <t>Harrell</t>
  </si>
  <si>
    <t>W Leo Daniel Tower</t>
  </si>
  <si>
    <t>Pecan Villas</t>
  </si>
  <si>
    <t>Central Apts</t>
  </si>
  <si>
    <t>Tim St</t>
  </si>
  <si>
    <t>La Casita Homes</t>
  </si>
  <si>
    <t>Laura Koppe</t>
  </si>
  <si>
    <t>Colonial Arms</t>
  </si>
  <si>
    <t>Schuller</t>
  </si>
  <si>
    <t>Palms View-Villa Bonita</t>
  </si>
  <si>
    <t>Sterlingshire</t>
  </si>
  <si>
    <t>Miracle Point</t>
  </si>
  <si>
    <t>Miracle Point II Apts</t>
  </si>
  <si>
    <t>Rand St</t>
  </si>
  <si>
    <t>Lockwood Landing II</t>
  </si>
  <si>
    <t>Hirsch</t>
  </si>
  <si>
    <t>Gulf Coast Arms</t>
  </si>
  <si>
    <t>Cavalcade</t>
  </si>
  <si>
    <t>Kashmere Royal</t>
  </si>
  <si>
    <t>Memorial Dr</t>
  </si>
  <si>
    <t>Argyle at Memorial</t>
  </si>
  <si>
    <t>Princeton Club</t>
  </si>
  <si>
    <t>Lavender</t>
  </si>
  <si>
    <t>Alta Arms</t>
  </si>
  <si>
    <t>Wallisville Rd</t>
  </si>
  <si>
    <t>Dover Pointe</t>
  </si>
  <si>
    <t>Uvalde Rd</t>
  </si>
  <si>
    <t>230-280</t>
  </si>
  <si>
    <t>Village at Uvalde</t>
  </si>
  <si>
    <t>Purple Sage</t>
  </si>
  <si>
    <t>Hunters Creek</t>
  </si>
  <si>
    <t>Thorntree N</t>
  </si>
  <si>
    <t>Thorntree</t>
  </si>
  <si>
    <t>Mesa</t>
  </si>
  <si>
    <t>Dyersdale Village</t>
  </si>
  <si>
    <t>Wayside N</t>
  </si>
  <si>
    <t>Settegast Heights Village</t>
  </si>
  <si>
    <t>Lockwood</t>
  </si>
  <si>
    <t>Legacy Apts</t>
  </si>
  <si>
    <t>Lockwood Dr</t>
  </si>
  <si>
    <t>Lockwood Landing I</t>
  </si>
  <si>
    <t>Uvalde</t>
  </si>
  <si>
    <t>Pines of Woodforest</t>
  </si>
  <si>
    <t>Normandy</t>
  </si>
  <si>
    <t>Riverwalk</t>
  </si>
  <si>
    <t>Woodforest Blvd</t>
  </si>
  <si>
    <t>Forrester II</t>
  </si>
  <si>
    <t>Cimarron Pkwy</t>
  </si>
  <si>
    <t>Cimarron Parkway</t>
  </si>
  <si>
    <t>South Lake Villas</t>
  </si>
  <si>
    <t>Lake Houston Pkwy S</t>
  </si>
  <si>
    <t>Lake Houston Pines</t>
  </si>
  <si>
    <t>The Woods</t>
  </si>
  <si>
    <t>Forrester I</t>
  </si>
  <si>
    <t>Forest Creek</t>
  </si>
  <si>
    <t>Wallisville E</t>
  </si>
  <si>
    <t>Country Terrace I</t>
  </si>
  <si>
    <t>Highlands</t>
  </si>
  <si>
    <t>Oleander Dr</t>
  </si>
  <si>
    <t>Country Terrace II</t>
  </si>
  <si>
    <t>Baytown</t>
  </si>
  <si>
    <t>Royal Ave</t>
  </si>
  <si>
    <t>Bay City Village</t>
  </si>
  <si>
    <t>Hunt Rd</t>
  </si>
  <si>
    <t>Hunt Garden</t>
  </si>
  <si>
    <t>The Park on Memorial</t>
  </si>
  <si>
    <t>Memorial</t>
  </si>
  <si>
    <t>The Memorial</t>
  </si>
  <si>
    <t>Mason S</t>
  </si>
  <si>
    <t>The Fountains at Katy</t>
  </si>
  <si>
    <t>Dominion</t>
  </si>
  <si>
    <t>Nottingham Place</t>
  </si>
  <si>
    <t>Mason Rd S</t>
  </si>
  <si>
    <t>Cornerstone Ranch</t>
  </si>
  <si>
    <t>Provincial Blvd</t>
  </si>
  <si>
    <t>Kingston Villas</t>
  </si>
  <si>
    <t>Fry Rd</t>
  </si>
  <si>
    <t>Farmington</t>
  </si>
  <si>
    <t>Houghton</t>
  </si>
  <si>
    <t>The Place at Green Trails</t>
  </si>
  <si>
    <t>Kimberley Ln</t>
  </si>
  <si>
    <t>The Nottingham Village I</t>
  </si>
  <si>
    <t>Threadneedle</t>
  </si>
  <si>
    <t>Live Oak</t>
  </si>
  <si>
    <t>Marquis on Memorial</t>
  </si>
  <si>
    <t>Dairy Ashford S</t>
  </si>
  <si>
    <t>Briar Meadows</t>
  </si>
  <si>
    <t>Eldridge Pkwy</t>
  </si>
  <si>
    <t>The Biarritz</t>
  </si>
  <si>
    <t>Briar Forest Dr</t>
  </si>
  <si>
    <t>The Villages of Briar Forest</t>
  </si>
  <si>
    <t>AMLI on Eldridge Parkway I</t>
  </si>
  <si>
    <t>Chandler Park</t>
  </si>
  <si>
    <t>AMLI on Eldridge Parkway II</t>
  </si>
  <si>
    <t>Baker Rd</t>
  </si>
  <si>
    <t>Camden Baytown</t>
  </si>
  <si>
    <t>The Lodge at Copperfield</t>
  </si>
  <si>
    <t>Memorial Mews</t>
  </si>
  <si>
    <t>Meadows on Memorial</t>
  </si>
  <si>
    <t>Enclave Pkwy</t>
  </si>
  <si>
    <t>Tarrytowne Estates</t>
  </si>
  <si>
    <t>Perthshire</t>
  </si>
  <si>
    <t>Sheffield Square</t>
  </si>
  <si>
    <t>Eldridge</t>
  </si>
  <si>
    <t>San Montego</t>
  </si>
  <si>
    <t>Village on the Parkway</t>
  </si>
  <si>
    <t>Nottingham Oaks</t>
  </si>
  <si>
    <t>Dairy Ashford N</t>
  </si>
  <si>
    <t>Wisteria Gardens</t>
  </si>
  <si>
    <t>Whittington</t>
  </si>
  <si>
    <t>Whittfield</t>
  </si>
  <si>
    <t>Ashford Lakes</t>
  </si>
  <si>
    <t>Silverado Dr</t>
  </si>
  <si>
    <t>Silverado</t>
  </si>
  <si>
    <t>Westmead Dr</t>
  </si>
  <si>
    <t>Ashton Park</t>
  </si>
  <si>
    <t>Walden Pond</t>
  </si>
  <si>
    <t>Chalfonte</t>
  </si>
  <si>
    <t>ARIUM Briar Forest I</t>
  </si>
  <si>
    <t>Briar Forest</t>
  </si>
  <si>
    <t>The Abbey at Eldridge I</t>
  </si>
  <si>
    <t>Myriad</t>
  </si>
  <si>
    <t>Wilcrest</t>
  </si>
  <si>
    <t>Lakeside Place I</t>
  </si>
  <si>
    <t>Lakeside Place II</t>
  </si>
  <si>
    <t>Oaks of Brittany</t>
  </si>
  <si>
    <t>Richmond</t>
  </si>
  <si>
    <t>Westhollow Place</t>
  </si>
  <si>
    <t>Richmond Ave</t>
  </si>
  <si>
    <t>The Lodge at Shadowlake I</t>
  </si>
  <si>
    <t>Oaks Plaza Dr W</t>
  </si>
  <si>
    <t>Limestone Apts</t>
  </si>
  <si>
    <t>Panagard Dr</t>
  </si>
  <si>
    <t>Arcadia at Westheimer</t>
  </si>
  <si>
    <t>Avenida La Quinta</t>
  </si>
  <si>
    <t>Briarwood Village I &amp; II</t>
  </si>
  <si>
    <t>Bateswood Dr</t>
  </si>
  <si>
    <t>Country Wood</t>
  </si>
  <si>
    <t>Country Place</t>
  </si>
  <si>
    <t>Palm Court</t>
  </si>
  <si>
    <t>Hammerly Gardens</t>
  </si>
  <si>
    <t>Southern Pines</t>
  </si>
  <si>
    <t>Bateswood</t>
  </si>
  <si>
    <t>Regents Walk</t>
  </si>
  <si>
    <t>Brighton Oaks</t>
  </si>
  <si>
    <t>Bateswood Manor</t>
  </si>
  <si>
    <t>Briarwest Blvd</t>
  </si>
  <si>
    <t>West Oaks</t>
  </si>
  <si>
    <t>Gentryside</t>
  </si>
  <si>
    <t>Reflections on the Lake</t>
  </si>
  <si>
    <t>The Retreat at Eldridge</t>
  </si>
  <si>
    <t>The Lodge at West Oaks</t>
  </si>
  <si>
    <t>Windchase</t>
  </si>
  <si>
    <t>Windchase Hamlet</t>
  </si>
  <si>
    <t>Charleston</t>
  </si>
  <si>
    <t>Savannah Place I &amp; II</t>
  </si>
  <si>
    <t>The Ashford Park</t>
  </si>
  <si>
    <t>Overbrook</t>
  </si>
  <si>
    <t>Mansions of Shadowbriar</t>
  </si>
  <si>
    <t>Piping Rock Ln</t>
  </si>
  <si>
    <t>Hunters Point</t>
  </si>
  <si>
    <t>Shadowbriar Dr</t>
  </si>
  <si>
    <t>Renaissance Village at Shadowlake I</t>
  </si>
  <si>
    <t>Renaissance Village at Shadowlake II</t>
  </si>
  <si>
    <t>Katy Fwy</t>
  </si>
  <si>
    <t>Lafayette West</t>
  </si>
  <si>
    <t>Yorkchester</t>
  </si>
  <si>
    <t>Memorial Fountains</t>
  </si>
  <si>
    <t>Country Place Dr</t>
  </si>
  <si>
    <t>The Park at Country Place</t>
  </si>
  <si>
    <t>Woodland Park Dr</t>
  </si>
  <si>
    <t>Camden Park</t>
  </si>
  <si>
    <t>Archstone Plaza at Westchase</t>
  </si>
  <si>
    <t>Sam Houston Pkwy S W</t>
  </si>
  <si>
    <t>Camden Holly Springs</t>
  </si>
  <si>
    <t>Seagler</t>
  </si>
  <si>
    <t>Abbey at Briargrove Park</t>
  </si>
  <si>
    <t>Lakeside Forest</t>
  </si>
  <si>
    <t>Briar Creek</t>
  </si>
  <si>
    <t>Westchase Forest</t>
  </si>
  <si>
    <t>Meadowglen Ln</t>
  </si>
  <si>
    <t>Crescent Park Dr</t>
  </si>
  <si>
    <t>Avalon at Royal Oaks II</t>
  </si>
  <si>
    <t>Hayes Rd</t>
  </si>
  <si>
    <t>Westchase Ranch I</t>
  </si>
  <si>
    <t>Bentworth</t>
  </si>
  <si>
    <t>Abbey at Briarforest II</t>
  </si>
  <si>
    <t>Briar Court</t>
  </si>
  <si>
    <t>Hayes</t>
  </si>
  <si>
    <t>The Waverly</t>
  </si>
  <si>
    <t>Hayes Place</t>
  </si>
  <si>
    <t>Kirkwood S</t>
  </si>
  <si>
    <t>Abbey at Briarforest III</t>
  </si>
  <si>
    <t>The Steeples</t>
  </si>
  <si>
    <t>Abbey at Briarforest I</t>
  </si>
  <si>
    <t>Palms at Kirkwood</t>
  </si>
  <si>
    <t>Creekstone</t>
  </si>
  <si>
    <t>City West</t>
  </si>
  <si>
    <t>Windemere</t>
  </si>
  <si>
    <t>Evergreen Pointe</t>
  </si>
  <si>
    <t>Lakeside Estates</t>
  </si>
  <si>
    <t>Park at Lakeside I</t>
  </si>
  <si>
    <t>Holly Springs</t>
  </si>
  <si>
    <t>Belmont Place-La Fontaine</t>
  </si>
  <si>
    <t>Gray Falls</t>
  </si>
  <si>
    <t>West Chase Crossing</t>
  </si>
  <si>
    <t>The Milano</t>
  </si>
  <si>
    <t>Wyndham Oaks</t>
  </si>
  <si>
    <t>Marquis at Westchase</t>
  </si>
  <si>
    <t>Southlake Dr</t>
  </si>
  <si>
    <t>Avalon at Royal Oaks I</t>
  </si>
  <si>
    <t>La Mirage Resort</t>
  </si>
  <si>
    <t>Park at Lakeside II</t>
  </si>
  <si>
    <t>Valley Forge</t>
  </si>
  <si>
    <t>Amherst</t>
  </si>
  <si>
    <t>Wallingford Dr</t>
  </si>
  <si>
    <t>Wallingford</t>
  </si>
  <si>
    <t>Crest</t>
  </si>
  <si>
    <t>Westpark Dr</t>
  </si>
  <si>
    <t>Westpark</t>
  </si>
  <si>
    <t>Willow Falls</t>
  </si>
  <si>
    <t>Celebration at Westchase I</t>
  </si>
  <si>
    <t>Meadowglen</t>
  </si>
  <si>
    <t>Celebration at Westchase II</t>
  </si>
  <si>
    <t>Meadowchase</t>
  </si>
  <si>
    <t>Cambridge Place</t>
  </si>
  <si>
    <t>Westview Court</t>
  </si>
  <si>
    <t>Barryknoll</t>
  </si>
  <si>
    <t>Terrace at Memorial City</t>
  </si>
  <si>
    <t>Woodlake on the Bayou</t>
  </si>
  <si>
    <t>Stoney Brook</t>
  </si>
  <si>
    <t>Voss S</t>
  </si>
  <si>
    <t>The Park at Voss</t>
  </si>
  <si>
    <t>Tuscany Park</t>
  </si>
  <si>
    <t>Water Song</t>
  </si>
  <si>
    <t>Westchase Creek</t>
  </si>
  <si>
    <t>Mediterra at Westchase</t>
  </si>
  <si>
    <t>Woodland Park</t>
  </si>
  <si>
    <t>Gramercy Park</t>
  </si>
  <si>
    <t>Parkwest Place</t>
  </si>
  <si>
    <t>Bettina Ct</t>
  </si>
  <si>
    <t>Memorial City</t>
  </si>
  <si>
    <t>Old Katy Rd</t>
  </si>
  <si>
    <t>Ivy Club</t>
  </si>
  <si>
    <t>The Oaks of Westchase</t>
  </si>
  <si>
    <t>Walnut Bend</t>
  </si>
  <si>
    <t>Walnut Terrace</t>
  </si>
  <si>
    <t>Rogerdale</t>
  </si>
  <si>
    <t>Walden of Westchase</t>
  </si>
  <si>
    <t>Rogerdale Rd</t>
  </si>
  <si>
    <t>Western Ridge</t>
  </si>
  <si>
    <t>Gessner S</t>
  </si>
  <si>
    <t>Sunblossom at Woodlake</t>
  </si>
  <si>
    <t>Elmside</t>
  </si>
  <si>
    <t>Parc Royale</t>
  </si>
  <si>
    <t>Richmond Towne Homes</t>
  </si>
  <si>
    <t>Bunker Hill</t>
  </si>
  <si>
    <t>Le Renaissance</t>
  </si>
  <si>
    <t>Blalock Rd</t>
  </si>
  <si>
    <t>Blalock Woods</t>
  </si>
  <si>
    <t>Gaylord</t>
  </si>
  <si>
    <t>Village Place</t>
  </si>
  <si>
    <t>Ella Lee Ln</t>
  </si>
  <si>
    <t>Woodlake Oaks</t>
  </si>
  <si>
    <t>The Glenchester</t>
  </si>
  <si>
    <t>The Quadrangle of Woodlake</t>
  </si>
  <si>
    <t>Westerland</t>
  </si>
  <si>
    <t>Trails of Woodlake</t>
  </si>
  <si>
    <t>Woodlake TH</t>
  </si>
  <si>
    <t>Westheimer Rd</t>
  </si>
  <si>
    <t>Westheimer Terrace</t>
  </si>
  <si>
    <t>Woodway</t>
  </si>
  <si>
    <t>Broadstone Piney Point</t>
  </si>
  <si>
    <t>Westhiemer</t>
  </si>
  <si>
    <t>The Arbors On Westheimer</t>
  </si>
  <si>
    <t>Dunvale</t>
  </si>
  <si>
    <t>Rolido Parque</t>
  </si>
  <si>
    <t>Victoria Place</t>
  </si>
  <si>
    <t>Jeanetta</t>
  </si>
  <si>
    <t>The Marquis On Westheimer</t>
  </si>
  <si>
    <t>Burgoyne</t>
  </si>
  <si>
    <t>La Scala at Voss</t>
  </si>
  <si>
    <t>The Park at Woodlake</t>
  </si>
  <si>
    <t>Old Farm Rd</t>
  </si>
  <si>
    <t>Old Farm II, The Crossing</t>
  </si>
  <si>
    <t>Westpoint-Creekside II</t>
  </si>
  <si>
    <t>Woodway Dr</t>
  </si>
  <si>
    <t>Westpoint-Creekside III</t>
  </si>
  <si>
    <t>Verandas at Old Farm</t>
  </si>
  <si>
    <t>Highmeadow</t>
  </si>
  <si>
    <t>Place Vendome</t>
  </si>
  <si>
    <t>Locke Ln</t>
  </si>
  <si>
    <t>The Villagio</t>
  </si>
  <si>
    <t>Marilee Ln</t>
  </si>
  <si>
    <t>The Heritage</t>
  </si>
  <si>
    <t>Pagewood Ln</t>
  </si>
  <si>
    <t>Pagewood Place</t>
  </si>
  <si>
    <t>Camden Stonebridge</t>
  </si>
  <si>
    <t>The Bordeaux</t>
  </si>
  <si>
    <t>Post Oak Ln N</t>
  </si>
  <si>
    <t>Post Oak at Woodway</t>
  </si>
  <si>
    <t>Del Monte</t>
  </si>
  <si>
    <t>Waters of Winrock</t>
  </si>
  <si>
    <t>The Granite Club</t>
  </si>
  <si>
    <t>Crossview</t>
  </si>
  <si>
    <t>Crossview Court</t>
  </si>
  <si>
    <t>Turtle Pointe South</t>
  </si>
  <si>
    <t>Richmond Chase</t>
  </si>
  <si>
    <t>Turtle Pointe</t>
  </si>
  <si>
    <t>Woodtrail</t>
  </si>
  <si>
    <t>Richmond Green</t>
  </si>
  <si>
    <t>Carrington Court</t>
  </si>
  <si>
    <t>7979 Westheimer AH</t>
  </si>
  <si>
    <t>Times Square (Demolished)</t>
  </si>
  <si>
    <t>The Water Mill</t>
  </si>
  <si>
    <t>Ocee</t>
  </si>
  <si>
    <t>Spring Meadows</t>
  </si>
  <si>
    <t>Pagewood</t>
  </si>
  <si>
    <t>Summervale</t>
  </si>
  <si>
    <t>Hillcroft St</t>
  </si>
  <si>
    <t>Mirabella Galleria</t>
  </si>
  <si>
    <t>Hillcroft</t>
  </si>
  <si>
    <t>3737 Hillcroft</t>
  </si>
  <si>
    <t>Woodway Garden TH</t>
  </si>
  <si>
    <t>Elmside Dr</t>
  </si>
  <si>
    <t>The Pathway</t>
  </si>
  <si>
    <t>Stonecrossing of Westchase</t>
  </si>
  <si>
    <t>Central Park</t>
  </si>
  <si>
    <t>Boca Springs</t>
  </si>
  <si>
    <t>Aberdeen</t>
  </si>
  <si>
    <t>The Fountains of Westchase</t>
  </si>
  <si>
    <t>Ocee St</t>
  </si>
  <si>
    <t>The Gables at Richmond</t>
  </si>
  <si>
    <t>Skyline</t>
  </si>
  <si>
    <t>Queen Annes</t>
  </si>
  <si>
    <t>Kingsbrook Village</t>
  </si>
  <si>
    <t>Sunset Shadows</t>
  </si>
  <si>
    <t>Madison Park of Westchase I</t>
  </si>
  <si>
    <t>Landing at Westchase</t>
  </si>
  <si>
    <t>Post Oak Park Rd</t>
  </si>
  <si>
    <t>Post Oak Park</t>
  </si>
  <si>
    <t>Briar Ridge</t>
  </si>
  <si>
    <t>Westbriar</t>
  </si>
  <si>
    <t>Silber</t>
  </si>
  <si>
    <t>Legends of Memorial I</t>
  </si>
  <si>
    <t>Memorial Creole</t>
  </si>
  <si>
    <t>Bering Dr</t>
  </si>
  <si>
    <t>Tuscany</t>
  </si>
  <si>
    <t>International Blvd</t>
  </si>
  <si>
    <t>9900 Memorial</t>
  </si>
  <si>
    <t>Kingsbrook</t>
  </si>
  <si>
    <t>Fox Hall</t>
  </si>
  <si>
    <t>The Deerwood</t>
  </si>
  <si>
    <t>Post Oak Ln S</t>
  </si>
  <si>
    <t>502 South Post Oak Lane</t>
  </si>
  <si>
    <t>Shavelson</t>
  </si>
  <si>
    <t>Memorial Springs</t>
  </si>
  <si>
    <t>Legends of Memorial II</t>
  </si>
  <si>
    <t>The Palms on Westheimer</t>
  </si>
  <si>
    <t>Winrock</t>
  </si>
  <si>
    <t>Briarwest</t>
  </si>
  <si>
    <t>The Winrock</t>
  </si>
  <si>
    <t>Winrock Blvd</t>
  </si>
  <si>
    <t>Woodway Square</t>
  </si>
  <si>
    <t>Augusta</t>
  </si>
  <si>
    <t>Augusta Court Mid-Rise</t>
  </si>
  <si>
    <t>San Felipe</t>
  </si>
  <si>
    <t>Regency Arms</t>
  </si>
  <si>
    <t>Woodway on San Felipe</t>
  </si>
  <si>
    <t>Fountainview</t>
  </si>
  <si>
    <t>Three Fountains III</t>
  </si>
  <si>
    <t>Tanglewood Court</t>
  </si>
  <si>
    <t>Fountain View Dr</t>
  </si>
  <si>
    <t>Briar Hollow</t>
  </si>
  <si>
    <t>The Tree Tops at Post Oak</t>
  </si>
  <si>
    <t>Tuscany Gate</t>
  </si>
  <si>
    <t>Tuscany Lane</t>
  </si>
  <si>
    <t>Tanglebrook</t>
  </si>
  <si>
    <t>Westgate</t>
  </si>
  <si>
    <t>Briarwood</t>
  </si>
  <si>
    <t>The Plaza on Westheimer</t>
  </si>
  <si>
    <t>Yorktown</t>
  </si>
  <si>
    <t>Creole On Yorktown</t>
  </si>
  <si>
    <t>Alabama W</t>
  </si>
  <si>
    <t>Afton Gardens</t>
  </si>
  <si>
    <t>Greenridge</t>
  </si>
  <si>
    <t>Oxford on Greenridge I</t>
  </si>
  <si>
    <t>Winsome</t>
  </si>
  <si>
    <t>Montebello Gardens</t>
  </si>
  <si>
    <t>Tuscany Oaks</t>
  </si>
  <si>
    <t>McCue</t>
  </si>
  <si>
    <t>2400 McCue</t>
  </si>
  <si>
    <t>Marquee</t>
  </si>
  <si>
    <t>Fairdale Ln</t>
  </si>
  <si>
    <t>The Gallery</t>
  </si>
  <si>
    <t>Greenridge Place</t>
  </si>
  <si>
    <t>Fountainview Lodge I</t>
  </si>
  <si>
    <t>McCue St</t>
  </si>
  <si>
    <t>Marquee West</t>
  </si>
  <si>
    <t>Carriage Square</t>
  </si>
  <si>
    <t>Sage</t>
  </si>
  <si>
    <t>Sagewood Apts</t>
  </si>
  <si>
    <t>Plantation</t>
  </si>
  <si>
    <t>Bering</t>
  </si>
  <si>
    <t>Mirage</t>
  </si>
  <si>
    <t>Phoenician</t>
  </si>
  <si>
    <t>La Tour Fontaine</t>
  </si>
  <si>
    <t>Winsome Ln</t>
  </si>
  <si>
    <t>The Lenox</t>
  </si>
  <si>
    <t>Constitution Square</t>
  </si>
  <si>
    <t>Tiffany Square</t>
  </si>
  <si>
    <t>Beverly Hill</t>
  </si>
  <si>
    <t>Adorable Pointe</t>
  </si>
  <si>
    <t>Coral Hills</t>
  </si>
  <si>
    <t>Briarhurst Dr</t>
  </si>
  <si>
    <t>Trafalgar West II</t>
  </si>
  <si>
    <t>Skyline Dr</t>
  </si>
  <si>
    <t>Villas of Hillcroft-Hidden Pines</t>
  </si>
  <si>
    <t>Villas of Hillcroft-Inglewood Village</t>
  </si>
  <si>
    <t>SW Fwy</t>
  </si>
  <si>
    <t>Falls of Westpark</t>
  </si>
  <si>
    <t>Mid Ln</t>
  </si>
  <si>
    <t>San Felipe Court at River Oaks</t>
  </si>
  <si>
    <t>Westcreek Ln</t>
  </si>
  <si>
    <t>Park at Westcreek</t>
  </si>
  <si>
    <t>Westcreek at River Oaks</t>
  </si>
  <si>
    <t>4444 Westheimer Apts</t>
  </si>
  <si>
    <t>Fountainview Lodge II</t>
  </si>
  <si>
    <t>Inwood Gardens</t>
  </si>
  <si>
    <t>Beverly Palms</t>
  </si>
  <si>
    <t>Beverly Hills Walk</t>
  </si>
  <si>
    <t>Tanglewood Place</t>
  </si>
  <si>
    <t>Chimney Rock</t>
  </si>
  <si>
    <t>Chimney Rock Court</t>
  </si>
  <si>
    <t>Wilshire</t>
  </si>
  <si>
    <t>Bali Hai</t>
  </si>
  <si>
    <t>Schumacher</t>
  </si>
  <si>
    <t>Schumacher Square</t>
  </si>
  <si>
    <t>Oaks of Beverly Hills</t>
  </si>
  <si>
    <t>Galleria Oaks</t>
  </si>
  <si>
    <t>Windswept</t>
  </si>
  <si>
    <t>Unity Pointe</t>
  </si>
  <si>
    <t>The Registry</t>
  </si>
  <si>
    <t>Providence Uptown</t>
  </si>
  <si>
    <t>Verde Chateaux Dijon</t>
  </si>
  <si>
    <t>Windswept Ln</t>
  </si>
  <si>
    <t>Windswept Gardens</t>
  </si>
  <si>
    <t>Ashley Square</t>
  </si>
  <si>
    <t>Colonial Woods</t>
  </si>
  <si>
    <t>Villas of Hillcroft-Southern Oaks</t>
  </si>
  <si>
    <t>3525 Sage Hi Rise</t>
  </si>
  <si>
    <t>Mimosa Dr</t>
  </si>
  <si>
    <t>Mimosa and Argonne Forest</t>
  </si>
  <si>
    <t>Westcott</t>
  </si>
  <si>
    <t>Memorial Club</t>
  </si>
  <si>
    <t>Gables Metropolitan Uptown</t>
  </si>
  <si>
    <t>Wild Indigo</t>
  </si>
  <si>
    <t>Newcastle at Towne Plaza Condos</t>
  </si>
  <si>
    <t>Towne Plaza</t>
  </si>
  <si>
    <t>Durham N</t>
  </si>
  <si>
    <t>Colonial</t>
  </si>
  <si>
    <t>Birdsall</t>
  </si>
  <si>
    <t>57 Off Memorial</t>
  </si>
  <si>
    <t>Buffalo Spdwy</t>
  </si>
  <si>
    <t>Inverness</t>
  </si>
  <si>
    <t>The Park at River Oaks</t>
  </si>
  <si>
    <t>Scotland</t>
  </si>
  <si>
    <t>Memorial Hills (Demolished)</t>
  </si>
  <si>
    <t>Dunlavy</t>
  </si>
  <si>
    <t>The Villas at River Oaks</t>
  </si>
  <si>
    <t>Dallas W</t>
  </si>
  <si>
    <t>Allen House</t>
  </si>
  <si>
    <t>Memorial Towers</t>
  </si>
  <si>
    <t>Bayou Park Village</t>
  </si>
  <si>
    <t>The Left Bank River Oaks</t>
  </si>
  <si>
    <t>Essex Ln</t>
  </si>
  <si>
    <t>The Essex House</t>
  </si>
  <si>
    <t>Gray W</t>
  </si>
  <si>
    <t>The Plaza at River Oaks</t>
  </si>
  <si>
    <t>The Carlton</t>
  </si>
  <si>
    <t>Gables Cityscape</t>
  </si>
  <si>
    <t>The River Oaks</t>
  </si>
  <si>
    <t>Bammel Ln</t>
  </si>
  <si>
    <t>Cabochon at River Oaks</t>
  </si>
  <si>
    <t>Timmons</t>
  </si>
  <si>
    <t>Greenway Gardens</t>
  </si>
  <si>
    <t>The Gael</t>
  </si>
  <si>
    <t>Willowick Court TH (TBD)</t>
  </si>
  <si>
    <t>Willowick</t>
  </si>
  <si>
    <t>Georgian</t>
  </si>
  <si>
    <t>McDuffie</t>
  </si>
  <si>
    <t>Westheimer Square</t>
  </si>
  <si>
    <t>Avalon Square</t>
  </si>
  <si>
    <t>Cummins St</t>
  </si>
  <si>
    <t>The Place at Greenway</t>
  </si>
  <si>
    <t>Cummins</t>
  </si>
  <si>
    <t>Greenway Court</t>
  </si>
  <si>
    <t>Court of St Anne</t>
  </si>
  <si>
    <t>Gables Waterford Square</t>
  </si>
  <si>
    <t>Branard</t>
  </si>
  <si>
    <t>Branard Plaza</t>
  </si>
  <si>
    <t>Gables CityWalk</t>
  </si>
  <si>
    <t>Main W</t>
  </si>
  <si>
    <t>Takara So</t>
  </si>
  <si>
    <t>Alabama St W</t>
  </si>
  <si>
    <t>West Alabama Place</t>
  </si>
  <si>
    <t>Wilshire Village</t>
  </si>
  <si>
    <t>1920 West Alabama</t>
  </si>
  <si>
    <t>N Blvd</t>
  </si>
  <si>
    <t>The Boulevard</t>
  </si>
  <si>
    <t>Wakeforest</t>
  </si>
  <si>
    <t>Bissonnet</t>
  </si>
  <si>
    <t>The Belmont</t>
  </si>
  <si>
    <t>Edloe</t>
  </si>
  <si>
    <t>Village at West University</t>
  </si>
  <si>
    <t>North Boulevard</t>
  </si>
  <si>
    <t>Sendera at Greenway</t>
  </si>
  <si>
    <t>Audley</t>
  </si>
  <si>
    <t>Camden Greenway</t>
  </si>
  <si>
    <t>Bissonnet Village (TBD)</t>
  </si>
  <si>
    <t>North Boulevard Apts</t>
  </si>
  <si>
    <t>Portsmouth</t>
  </si>
  <si>
    <t>Whitehall</t>
  </si>
  <si>
    <t>La Villa Carrie</t>
  </si>
  <si>
    <t>Maryland Manor</t>
  </si>
  <si>
    <t>Colquitt</t>
  </si>
  <si>
    <t>Sleepy Hollow</t>
  </si>
  <si>
    <t>Greenbriar St</t>
  </si>
  <si>
    <t>Greenbriar Chateau</t>
  </si>
  <si>
    <t>Heights</t>
  </si>
  <si>
    <t>800 Heights</t>
  </si>
  <si>
    <t>600 Heights Blvd. Apts</t>
  </si>
  <si>
    <t>AMLI Towne Square</t>
  </si>
  <si>
    <t>Elder St</t>
  </si>
  <si>
    <t>Elder Street Artist Lofts</t>
  </si>
  <si>
    <t>Richmond Terrace</t>
  </si>
  <si>
    <t>Houston Medical Apts</t>
  </si>
  <si>
    <t>.5 St#5 E</t>
  </si>
  <si>
    <t>Studemont Arms</t>
  </si>
  <si>
    <t>Harvard</t>
  </si>
  <si>
    <t>Harvard Square Apts</t>
  </si>
  <si>
    <t>N St</t>
  </si>
  <si>
    <t>Skylane Downtown</t>
  </si>
  <si>
    <t>Heights Blvd S</t>
  </si>
  <si>
    <t>Archstone Memorial Heights II</t>
  </si>
  <si>
    <t>2100 Memorial</t>
  </si>
  <si>
    <t>Byrne</t>
  </si>
  <si>
    <t>Byrne Heights</t>
  </si>
  <si>
    <t>Heights Plaza (TBD)</t>
  </si>
  <si>
    <t>Archstone Memorial Heights I</t>
  </si>
  <si>
    <t>Allen Pkwy</t>
  </si>
  <si>
    <t>Historic Oaks of Allen Parkway</t>
  </si>
  <si>
    <t>Louisiana</t>
  </si>
  <si>
    <t>Hogg Palace Lofts</t>
  </si>
  <si>
    <t>Texas Ave</t>
  </si>
  <si>
    <t>Post Rice Lofts</t>
  </si>
  <si>
    <t>Clay W</t>
  </si>
  <si>
    <t>West Clay</t>
  </si>
  <si>
    <t>Bagby</t>
  </si>
  <si>
    <t>Metro Midtown</t>
  </si>
  <si>
    <t>Hamilton St</t>
  </si>
  <si>
    <t>Hamilton Street Residence</t>
  </si>
  <si>
    <t>Skylane Montrose</t>
  </si>
  <si>
    <t>Commonwealth</t>
  </si>
  <si>
    <t>Hyde Park</t>
  </si>
  <si>
    <t>Runnels St</t>
  </si>
  <si>
    <t>Clayton Homes</t>
  </si>
  <si>
    <t>Caroline</t>
  </si>
  <si>
    <t>Four Seasons Place</t>
  </si>
  <si>
    <t>Main St</t>
  </si>
  <si>
    <t>2016 Main</t>
  </si>
  <si>
    <t>Gray St</t>
  </si>
  <si>
    <t>Post Midtown Square (I &amp; II)</t>
  </si>
  <si>
    <t>Camden Midtown</t>
  </si>
  <si>
    <t>Michael Hyde Park Apts</t>
  </si>
  <si>
    <t>Killarney Oaks</t>
  </si>
  <si>
    <t>Oak Ct</t>
  </si>
  <si>
    <t>Midtown Arbor Place</t>
  </si>
  <si>
    <t>Fannin St</t>
  </si>
  <si>
    <t>Houston House</t>
  </si>
  <si>
    <t>Avondale</t>
  </si>
  <si>
    <t>Calvert Apts</t>
  </si>
  <si>
    <t>Hawthorne</t>
  </si>
  <si>
    <t>Berry</t>
  </si>
  <si>
    <t>Oxford Place Apts</t>
  </si>
  <si>
    <t>Gaslight Square</t>
  </si>
  <si>
    <t>230 West Alabama</t>
  </si>
  <si>
    <t>Marshall</t>
  </si>
  <si>
    <t>Marshall Gardens</t>
  </si>
  <si>
    <t>San Jacinto</t>
  </si>
  <si>
    <t>San Jacinto Apts</t>
  </si>
  <si>
    <t>Caroline Apts, 5212</t>
  </si>
  <si>
    <t>Castlecourt</t>
  </si>
  <si>
    <t>The Place</t>
  </si>
  <si>
    <t>Fannin</t>
  </si>
  <si>
    <t>Westmoreland St</t>
  </si>
  <si>
    <t>The Court of Charleston</t>
  </si>
  <si>
    <t>Berthea</t>
  </si>
  <si>
    <t>Berthea Apts</t>
  </si>
  <si>
    <t>Portland</t>
  </si>
  <si>
    <t>216-242</t>
  </si>
  <si>
    <t>Gramercy Place</t>
  </si>
  <si>
    <t>1301 Richmond (TBD)</t>
  </si>
  <si>
    <t>Truxillo</t>
  </si>
  <si>
    <t>Cuney Homes</t>
  </si>
  <si>
    <t>Richmont Square</t>
  </si>
  <si>
    <t>Woodrow</t>
  </si>
  <si>
    <t>Shibui</t>
  </si>
  <si>
    <t>Sumpter</t>
  </si>
  <si>
    <t>Rose Plaza Apts</t>
  </si>
  <si>
    <t>Hahlo</t>
  </si>
  <si>
    <t>Wheatley Manor</t>
  </si>
  <si>
    <t>Market</t>
  </si>
  <si>
    <t>Wheatley Plaza</t>
  </si>
  <si>
    <t>Bayou</t>
  </si>
  <si>
    <t>Kennedy Place</t>
  </si>
  <si>
    <t>Autumnwood</t>
  </si>
  <si>
    <t>Holiday Forest</t>
  </si>
  <si>
    <t>Coolwood</t>
  </si>
  <si>
    <t>Coolwood Oaks</t>
  </si>
  <si>
    <t>Fair Oaks Rd</t>
  </si>
  <si>
    <t>Amber Creek</t>
  </si>
  <si>
    <t>Fair Oaks</t>
  </si>
  <si>
    <t>Pleasantville Dr</t>
  </si>
  <si>
    <t>Pleasant Village</t>
  </si>
  <si>
    <t>Sherman</t>
  </si>
  <si>
    <t>Plaza De Magnolia</t>
  </si>
  <si>
    <t>Coke</t>
  </si>
  <si>
    <t>Cleme Manor</t>
  </si>
  <si>
    <t>66th St S</t>
  </si>
  <si>
    <t>East End</t>
  </si>
  <si>
    <t>Wayside Dr N</t>
  </si>
  <si>
    <t>Casa Suya</t>
  </si>
  <si>
    <t>Villa De Matel</t>
  </si>
  <si>
    <t>Courtyard</t>
  </si>
  <si>
    <t>Wayside Dr S</t>
  </si>
  <si>
    <t>Royal Wayside</t>
  </si>
  <si>
    <t>Challenger 7 Dr</t>
  </si>
  <si>
    <t>Jacinto Palms</t>
  </si>
  <si>
    <t>Jacinto City</t>
  </si>
  <si>
    <t>Caylor</t>
  </si>
  <si>
    <t>Oakland Plaza Apts</t>
  </si>
  <si>
    <t>Falcon</t>
  </si>
  <si>
    <t>Mimosa</t>
  </si>
  <si>
    <t>Normandy Woods</t>
  </si>
  <si>
    <t>Woodforest</t>
  </si>
  <si>
    <t>Timber Run</t>
  </si>
  <si>
    <t>Fleming</t>
  </si>
  <si>
    <t>Yorkshire Village</t>
  </si>
  <si>
    <t>Falls of Birchbrook</t>
  </si>
  <si>
    <t>Normandy St</t>
  </si>
  <si>
    <t>Villa Sierra</t>
  </si>
  <si>
    <t>Riviera Pines</t>
  </si>
  <si>
    <t>Maxey</t>
  </si>
  <si>
    <t>Maxey Village</t>
  </si>
  <si>
    <t>Maxey Rd</t>
  </si>
  <si>
    <t>Rollingwood</t>
  </si>
  <si>
    <t>Northwood N</t>
  </si>
  <si>
    <t>Leewood</t>
  </si>
  <si>
    <t>Laguna Azul</t>
  </si>
  <si>
    <t>Madrid</t>
  </si>
  <si>
    <t>Sir John Apts</t>
  </si>
  <si>
    <t>Canal</t>
  </si>
  <si>
    <t>Casa Blanca</t>
  </si>
  <si>
    <t>Pine Creek</t>
  </si>
  <si>
    <t>Wood Bayou Dr</t>
  </si>
  <si>
    <t>Wood Bayou</t>
  </si>
  <si>
    <t>650 Maxey Village</t>
  </si>
  <si>
    <t>Fleming Dr</t>
  </si>
  <si>
    <t>Timber Ridge I</t>
  </si>
  <si>
    <t>Colorado Club</t>
  </si>
  <si>
    <t>Ln</t>
  </si>
  <si>
    <t>Shadow Lake Apts</t>
  </si>
  <si>
    <t>Uvalde Dr</t>
  </si>
  <si>
    <t>Northshore Meadows</t>
  </si>
  <si>
    <t>Pin Oak Apts</t>
  </si>
  <si>
    <t>Wiggins</t>
  </si>
  <si>
    <t>Jacinto Arms Apts</t>
  </si>
  <si>
    <t>La Fiesta Apts</t>
  </si>
  <si>
    <t>Freeport</t>
  </si>
  <si>
    <t>Oakglen</t>
  </si>
  <si>
    <t>Texarkana</t>
  </si>
  <si>
    <t>Bayou Terrace</t>
  </si>
  <si>
    <t>Tall Timbers</t>
  </si>
  <si>
    <t>Parc Towne Plaza</t>
  </si>
  <si>
    <t>Alderson</t>
  </si>
  <si>
    <t>Spanish Villa</t>
  </si>
  <si>
    <t>Pioneer Apts</t>
  </si>
  <si>
    <t>Estada Villa</t>
  </si>
  <si>
    <t>The Gentry</t>
  </si>
  <si>
    <t>Ashland</t>
  </si>
  <si>
    <t>Casa De Grande</t>
  </si>
  <si>
    <t>Channelview</t>
  </si>
  <si>
    <t>Sheldon</t>
  </si>
  <si>
    <t>Reserve at Channelview Gardens</t>
  </si>
  <si>
    <t>Woodland Dr</t>
  </si>
  <si>
    <t>Woodland Villa</t>
  </si>
  <si>
    <t>E Fwy</t>
  </si>
  <si>
    <t>South Grand</t>
  </si>
  <si>
    <t>Baker Rd W</t>
  </si>
  <si>
    <t>The Lakes at Madera</t>
  </si>
  <si>
    <t>Villas at the Palms</t>
  </si>
  <si>
    <t>Shady Hill Dr</t>
  </si>
  <si>
    <t>Cypress Bend</t>
  </si>
  <si>
    <t>Quail Hollow Dr</t>
  </si>
  <si>
    <t>Sterling Bay</t>
  </si>
  <si>
    <t>Magnolia Creek</t>
  </si>
  <si>
    <t>Hemlock</t>
  </si>
  <si>
    <t>Sunshine</t>
  </si>
  <si>
    <t>Decker Dr</t>
  </si>
  <si>
    <t>Creekside</t>
  </si>
  <si>
    <t>Massey Tompkins</t>
  </si>
  <si>
    <t>Tompkins Greens</t>
  </si>
  <si>
    <t>Baker</t>
  </si>
  <si>
    <t>West Lodge</t>
  </si>
  <si>
    <t>Cedar Ridge</t>
  </si>
  <si>
    <t>Garth</t>
  </si>
  <si>
    <t>Trestles of Baytown</t>
  </si>
  <si>
    <t>Logans Pointe</t>
  </si>
  <si>
    <t>Casa Linda Apts</t>
  </si>
  <si>
    <t>Garth Rd</t>
  </si>
  <si>
    <t>Tanglewood Square</t>
  </si>
  <si>
    <t>Autumn Ridge</t>
  </si>
  <si>
    <t>Crosby Cedar Bayou</t>
  </si>
  <si>
    <t>Crosby Green</t>
  </si>
  <si>
    <t>Gray Ridge</t>
  </si>
  <si>
    <t>The Vinings at West Oaks I</t>
  </si>
  <si>
    <t>Cape Colony</t>
  </si>
  <si>
    <t>Empanada</t>
  </si>
  <si>
    <t>Woodbridge Crossing</t>
  </si>
  <si>
    <t>Pavilion Point</t>
  </si>
  <si>
    <t>Fox Pointe</t>
  </si>
  <si>
    <t>Beckford Place</t>
  </si>
  <si>
    <t>Nolan</t>
  </si>
  <si>
    <t>Bay Terrace</t>
  </si>
  <si>
    <t>Pruett Rd N</t>
  </si>
  <si>
    <t>Ward</t>
  </si>
  <si>
    <t>Oaks of Baytown</t>
  </si>
  <si>
    <t>The Boardwalk of Baytown</t>
  </si>
  <si>
    <t>Bob Smith</t>
  </si>
  <si>
    <t>Bay Oaks</t>
  </si>
  <si>
    <t>Cedar Bayou</t>
  </si>
  <si>
    <t>Greenfield</t>
  </si>
  <si>
    <t>Synott</t>
  </si>
  <si>
    <t>Oaks of Ashford Point I</t>
  </si>
  <si>
    <t>Ashburnham Dr</t>
  </si>
  <si>
    <t>Ashford Pointe</t>
  </si>
  <si>
    <t>Ashford Point Dr</t>
  </si>
  <si>
    <t>Georgian Westside</t>
  </si>
  <si>
    <t>Ashford Point</t>
  </si>
  <si>
    <t>Oaks of Ashford Point II</t>
  </si>
  <si>
    <t>Bellaire Blvd</t>
  </si>
  <si>
    <t>Park on Eldridge</t>
  </si>
  <si>
    <t>Ashford Creek</t>
  </si>
  <si>
    <t>Hartford Park</t>
  </si>
  <si>
    <t>Graywood Arms</t>
  </si>
  <si>
    <t>Brant Rock</t>
  </si>
  <si>
    <t>Copper Cove</t>
  </si>
  <si>
    <t>Brant Rock Condominium Apts</t>
  </si>
  <si>
    <t>James Bowie Dr</t>
  </si>
  <si>
    <t>Willow Tree</t>
  </si>
  <si>
    <t>Rollingbrook</t>
  </si>
  <si>
    <t>Raintree</t>
  </si>
  <si>
    <t>Legacy at Westchase</t>
  </si>
  <si>
    <t>Cook</t>
  </si>
  <si>
    <t>Sunblossom Woods</t>
  </si>
  <si>
    <t>Cook Rd</t>
  </si>
  <si>
    <t>Pelican Landing</t>
  </si>
  <si>
    <t>6 Hwy S</t>
  </si>
  <si>
    <t>Falls of West Oaks</t>
  </si>
  <si>
    <t>Rio Bonito</t>
  </si>
  <si>
    <t>El Sol Del Rio</t>
  </si>
  <si>
    <t>Dairy View</t>
  </si>
  <si>
    <t>Summerstone</t>
  </si>
  <si>
    <t>Sierra Blanca Dr</t>
  </si>
  <si>
    <t>El Sol Brillante</t>
  </si>
  <si>
    <t>The Mint at Dairy Ashford</t>
  </si>
  <si>
    <t>Bowser Rd N</t>
  </si>
  <si>
    <t>Eastgate Apts Of Richardson</t>
  </si>
  <si>
    <t>Richardson</t>
  </si>
  <si>
    <t>Park Village</t>
  </si>
  <si>
    <t>The Arbor at Dairy Ashford</t>
  </si>
  <si>
    <t>Vanderbilt Court</t>
  </si>
  <si>
    <t>Ashford Court</t>
  </si>
  <si>
    <t>Trails of Ashford</t>
  </si>
  <si>
    <t>Medfield</t>
  </si>
  <si>
    <t>Cambridge Crossing</t>
  </si>
  <si>
    <t>Brookglade Cir</t>
  </si>
  <si>
    <t>Bluestone</t>
  </si>
  <si>
    <t>Old Richmond</t>
  </si>
  <si>
    <t>Ambiance TH</t>
  </si>
  <si>
    <t>South Chase</t>
  </si>
  <si>
    <t>Synott Square</t>
  </si>
  <si>
    <t>Huntington Village</t>
  </si>
  <si>
    <t>Corporate</t>
  </si>
  <si>
    <t>Rubicon</t>
  </si>
  <si>
    <t>Waterfall Park</t>
  </si>
  <si>
    <t>Boone Rd</t>
  </si>
  <si>
    <t>Brays Village</t>
  </si>
  <si>
    <t>United Dr</t>
  </si>
  <si>
    <t>The Sovereign TH</t>
  </si>
  <si>
    <t>The Fountains at Bellaire</t>
  </si>
  <si>
    <t>Harwin</t>
  </si>
  <si>
    <t>Remington Court</t>
  </si>
  <si>
    <t>Harwin Dr</t>
  </si>
  <si>
    <t>Sun Blossom Cottages</t>
  </si>
  <si>
    <t>Chelsea Lane</t>
  </si>
  <si>
    <t>Alief Square</t>
  </si>
  <si>
    <t>JadeStone</t>
  </si>
  <si>
    <t>Tierra Del Sol</t>
  </si>
  <si>
    <t>Village Bend Ln</t>
  </si>
  <si>
    <t>Suncrest Village TH</t>
  </si>
  <si>
    <t>Beechnut St</t>
  </si>
  <si>
    <t>Sunset Crossing</t>
  </si>
  <si>
    <t>Aspen Park</t>
  </si>
  <si>
    <t>Kirkwood Landing</t>
  </si>
  <si>
    <t>Crossing at Ashton Place</t>
  </si>
  <si>
    <t>Parque on Bellaire</t>
  </si>
  <si>
    <t>Dashwood</t>
  </si>
  <si>
    <t>Crossing at Windsor TH</t>
  </si>
  <si>
    <t>Kirkwood Dr S</t>
  </si>
  <si>
    <t>Kirkwood Vista</t>
  </si>
  <si>
    <t>Beechnut</t>
  </si>
  <si>
    <t>Riveraine</t>
  </si>
  <si>
    <t>The Sebring</t>
  </si>
  <si>
    <t>Leawood Plaza</t>
  </si>
  <si>
    <t>Stoneridge</t>
  </si>
  <si>
    <t>Kirkwood Rd S</t>
  </si>
  <si>
    <t>Sterling Crossing</t>
  </si>
  <si>
    <t>Coral Islands</t>
  </si>
  <si>
    <t>Neff</t>
  </si>
  <si>
    <t>ABC TH</t>
  </si>
  <si>
    <t>Spring Rose</t>
  </si>
  <si>
    <t>Happy Homes</t>
  </si>
  <si>
    <t>Corporate Dr</t>
  </si>
  <si>
    <t>El Paraiso</t>
  </si>
  <si>
    <t>The Lodge I</t>
  </si>
  <si>
    <t>Woodcreek On The Bayou</t>
  </si>
  <si>
    <t>Course Dr S</t>
  </si>
  <si>
    <t>Victoria Park</t>
  </si>
  <si>
    <t>Spice Ln</t>
  </si>
  <si>
    <t>Aspen Ridge</t>
  </si>
  <si>
    <t>Arrowood</t>
  </si>
  <si>
    <t>Bristol Court</t>
  </si>
  <si>
    <t>Villa Adora</t>
  </si>
  <si>
    <t>Cinnamon Ln</t>
  </si>
  <si>
    <t>Westwood Ridge</t>
  </si>
  <si>
    <t>Emerald Isle</t>
  </si>
  <si>
    <t>Santa Barbara</t>
  </si>
  <si>
    <t>The Broadmoor</t>
  </si>
  <si>
    <t>Coral Gables</t>
  </si>
  <si>
    <t>Winding Trails</t>
  </si>
  <si>
    <t>Bissonnet St</t>
  </si>
  <si>
    <t>Greyfield</t>
  </si>
  <si>
    <t>Sam Houston Pkwy S</t>
  </si>
  <si>
    <t>Park Westwood</t>
  </si>
  <si>
    <t>The Mills</t>
  </si>
  <si>
    <t>Deering Dr</t>
  </si>
  <si>
    <t>Westwood II</t>
  </si>
  <si>
    <t>Greenfork Dr</t>
  </si>
  <si>
    <t>Glenwood AH</t>
  </si>
  <si>
    <t>Concourse</t>
  </si>
  <si>
    <t>Westwood Fountains</t>
  </si>
  <si>
    <t>The Claridge</t>
  </si>
  <si>
    <t>Woodfair</t>
  </si>
  <si>
    <t>Rama Apts</t>
  </si>
  <si>
    <t>Woodfair Dr</t>
  </si>
  <si>
    <t>Villa De Cancun</t>
  </si>
  <si>
    <t>Huntington Glen</t>
  </si>
  <si>
    <t>Premier on Woodfair I</t>
  </si>
  <si>
    <t>Shadowtree</t>
  </si>
  <si>
    <t>Coventry Sq Dr</t>
  </si>
  <si>
    <t>Coventry Park</t>
  </si>
  <si>
    <t>Victorian</t>
  </si>
  <si>
    <t>Villa Ana</t>
  </si>
  <si>
    <t>Riverstone AH</t>
  </si>
  <si>
    <t>Bellfort W</t>
  </si>
  <si>
    <t>Idlewood Park</t>
  </si>
  <si>
    <t>Southwest Village</t>
  </si>
  <si>
    <t>Stafford</t>
  </si>
  <si>
    <t>Lands End Dr</t>
  </si>
  <si>
    <t>Woodstone Manor</t>
  </si>
  <si>
    <t>Forum Park</t>
  </si>
  <si>
    <t>The Carlisle</t>
  </si>
  <si>
    <t>Concourse Dr</t>
  </si>
  <si>
    <t>Villa Monterrey</t>
  </si>
  <si>
    <t>Madison</t>
  </si>
  <si>
    <t>Ct Glen</t>
  </si>
  <si>
    <t>Casa Nube en Bissonnet</t>
  </si>
  <si>
    <t>The Crossing at Sedona Square II</t>
  </si>
  <si>
    <t>Glen S</t>
  </si>
  <si>
    <t>The Crossing at Sedona Square I</t>
  </si>
  <si>
    <t>Forum W Dr</t>
  </si>
  <si>
    <t>The Forum Apts</t>
  </si>
  <si>
    <t>Premier on Woodfair II</t>
  </si>
  <si>
    <t>Chesterfield</t>
  </si>
  <si>
    <t>S Dr</t>
  </si>
  <si>
    <t>Meadows Southwest</t>
  </si>
  <si>
    <t>Forum Plaza</t>
  </si>
  <si>
    <t>Las Varandas del Sur</t>
  </si>
  <si>
    <t>Bellerive</t>
  </si>
  <si>
    <t>Chestnut Hill</t>
  </si>
  <si>
    <t>Fondren</t>
  </si>
  <si>
    <t>Shadow Ridge</t>
  </si>
  <si>
    <t>Coral Club</t>
  </si>
  <si>
    <t>Willows On Harwin</t>
  </si>
  <si>
    <t>Royal Shield Apts</t>
  </si>
  <si>
    <t>Ranchester</t>
  </si>
  <si>
    <t>Hamilton Court Condo Apts</t>
  </si>
  <si>
    <t>Louisville Court</t>
  </si>
  <si>
    <t>Wilcrest S</t>
  </si>
  <si>
    <t>Keegans Ridge</t>
  </si>
  <si>
    <t>Point of the Southwest</t>
  </si>
  <si>
    <t>Carlingford II</t>
  </si>
  <si>
    <t>Town Park</t>
  </si>
  <si>
    <t>Meadow Ln</t>
  </si>
  <si>
    <t>Meadow Lane Fourplex Homes</t>
  </si>
  <si>
    <t>Timbers of Keegans Bayou</t>
  </si>
  <si>
    <t>Charleston Court</t>
  </si>
  <si>
    <t>Bonhomme</t>
  </si>
  <si>
    <t>The Barrington</t>
  </si>
  <si>
    <t>Sands Point Dr</t>
  </si>
  <si>
    <t>Sands Point</t>
  </si>
  <si>
    <t>Stonegate</t>
  </si>
  <si>
    <t>Regency Square</t>
  </si>
  <si>
    <t>Stancliff Park</t>
  </si>
  <si>
    <t>Foxboro</t>
  </si>
  <si>
    <t>Sun Blossom Mountain</t>
  </si>
  <si>
    <t>Sands Point Cove</t>
  </si>
  <si>
    <t>Gessner</t>
  </si>
  <si>
    <t>6200 Gessner</t>
  </si>
  <si>
    <t>Summer Creek</t>
  </si>
  <si>
    <t>Silver Leaf</t>
  </si>
  <si>
    <t>Parkfront</t>
  </si>
  <si>
    <t>Falls of Point West</t>
  </si>
  <si>
    <t>Ranchester Dr</t>
  </si>
  <si>
    <t>Sun Blossom Gardens</t>
  </si>
  <si>
    <t>Rock Springs</t>
  </si>
  <si>
    <t>Village Key</t>
  </si>
  <si>
    <t>Rustic Village</t>
  </si>
  <si>
    <t>All Day</t>
  </si>
  <si>
    <t>Highland Green</t>
  </si>
  <si>
    <t>The Conquistador</t>
  </si>
  <si>
    <t>Moonmist</t>
  </si>
  <si>
    <t>Paradise Apts</t>
  </si>
  <si>
    <t>Happy Village</t>
  </si>
  <si>
    <t>Plantation Place</t>
  </si>
  <si>
    <t>Gessner Dr S</t>
  </si>
  <si>
    <t>Braeburn Colony</t>
  </si>
  <si>
    <t>Country Club Village</t>
  </si>
  <si>
    <t>Southwest Gardens II</t>
  </si>
  <si>
    <t>Beechnut Palms</t>
  </si>
  <si>
    <t>Cambridge Court (TBD)</t>
  </si>
  <si>
    <t>Beechnut Grove</t>
  </si>
  <si>
    <t>Plaza del Sol</t>
  </si>
  <si>
    <t>Turf Club</t>
  </si>
  <si>
    <t>Sharpstown Manor</t>
  </si>
  <si>
    <t>St. Clarewood</t>
  </si>
  <si>
    <t>Parkgreen</t>
  </si>
  <si>
    <t>Harbor Town Dr</t>
  </si>
  <si>
    <t>Parkway</t>
  </si>
  <si>
    <t>Marinette</t>
  </si>
  <si>
    <t>Royal Oaks Apts</t>
  </si>
  <si>
    <t>Marinette Gardens</t>
  </si>
  <si>
    <t>Sharpstown Park</t>
  </si>
  <si>
    <t>De Moss</t>
  </si>
  <si>
    <t>Crescent Oaks</t>
  </si>
  <si>
    <t>8703-8715</t>
  </si>
  <si>
    <t>Brentwood Village</t>
  </si>
  <si>
    <t>Southwest Gardens I</t>
  </si>
  <si>
    <t>Beechnut Chateau</t>
  </si>
  <si>
    <t>Royal Beechnut</t>
  </si>
  <si>
    <t>Linda Square</t>
  </si>
  <si>
    <t>Villa Bella</t>
  </si>
  <si>
    <t>Hamilton Park</t>
  </si>
  <si>
    <t>Ridgestone</t>
  </si>
  <si>
    <t>Fondren Rd</t>
  </si>
  <si>
    <t>Brickhaven I</t>
  </si>
  <si>
    <t>Gessner Rd S</t>
  </si>
  <si>
    <t>Summerfield</t>
  </si>
  <si>
    <t>Carvel Ln</t>
  </si>
  <si>
    <t>Ashley</t>
  </si>
  <si>
    <t>Bissonnet Gardens</t>
  </si>
  <si>
    <t>Sharpstown Gardens</t>
  </si>
  <si>
    <t>Brickhaven II</t>
  </si>
  <si>
    <t>Boardwalk</t>
  </si>
  <si>
    <t>Fonvilla</t>
  </si>
  <si>
    <t>Forest Green</t>
  </si>
  <si>
    <t>Williamstown</t>
  </si>
  <si>
    <t>Woodscape</t>
  </si>
  <si>
    <t>Jason</t>
  </si>
  <si>
    <t>Evergreen Commons</t>
  </si>
  <si>
    <t>Nairn</t>
  </si>
  <si>
    <t>Rockport Apt Homes</t>
  </si>
  <si>
    <t>Pier Club</t>
  </si>
  <si>
    <t>Imogene</t>
  </si>
  <si>
    <t>The Westwood Complex</t>
  </si>
  <si>
    <t>Braeswood Blvd S</t>
  </si>
  <si>
    <t>Heatherwood</t>
  </si>
  <si>
    <t>Stoneriver</t>
  </si>
  <si>
    <t>Crescent Place</t>
  </si>
  <si>
    <t>Gustine Ln</t>
  </si>
  <si>
    <t>Wesley Gardens</t>
  </si>
  <si>
    <t>Braeburn Oaks Condos</t>
  </si>
  <si>
    <t>Carew</t>
  </si>
  <si>
    <t>Sierra</t>
  </si>
  <si>
    <t>Sharpstown Green Condos</t>
  </si>
  <si>
    <t>Kingsgate Cir</t>
  </si>
  <si>
    <t>Westlake Village</t>
  </si>
  <si>
    <t>The Oaks on Bissonnet</t>
  </si>
  <si>
    <t>Braeburn Glen</t>
  </si>
  <si>
    <t>Villa Acapulco</t>
  </si>
  <si>
    <t>Braes Hollow</t>
  </si>
  <si>
    <t>Braeswood S</t>
  </si>
  <si>
    <t>Braeswood Atrium</t>
  </si>
  <si>
    <t>Braes Court</t>
  </si>
  <si>
    <t>Bankside</t>
  </si>
  <si>
    <t>Bankside Village</t>
  </si>
  <si>
    <t>Braeswood Oaks</t>
  </si>
  <si>
    <t>Westbrae Pkwy</t>
  </si>
  <si>
    <t>Crystal Falls</t>
  </si>
  <si>
    <t>Braesridge</t>
  </si>
  <si>
    <t>Braesridge I</t>
  </si>
  <si>
    <t>Wanda</t>
  </si>
  <si>
    <t>St James Place II</t>
  </si>
  <si>
    <t>St James</t>
  </si>
  <si>
    <t>Westbrae Court</t>
  </si>
  <si>
    <t>Fairfield Trails</t>
  </si>
  <si>
    <t>West Hollow</t>
  </si>
  <si>
    <t>Arbor Square</t>
  </si>
  <si>
    <t>Dumfries</t>
  </si>
  <si>
    <t>Bayou Village Place</t>
  </si>
  <si>
    <t>Stone Forest</t>
  </si>
  <si>
    <t>Royal Pines</t>
  </si>
  <si>
    <t>Braes Bayou Dr</t>
  </si>
  <si>
    <t>Braeburn Villa</t>
  </si>
  <si>
    <t>Creekbend Dr</t>
  </si>
  <si>
    <t>Beacon Hill</t>
  </si>
  <si>
    <t>Braesridge II</t>
  </si>
  <si>
    <t>The Reserve at Creekbend</t>
  </si>
  <si>
    <t>The Reserve at Braes Forest</t>
  </si>
  <si>
    <t>Gulfton</t>
  </si>
  <si>
    <t>Lantern Village</t>
  </si>
  <si>
    <t>Glenmont</t>
  </si>
  <si>
    <t>Mapletree Gardens</t>
  </si>
  <si>
    <t>Pont Alba</t>
  </si>
  <si>
    <t>The Reserve at Bankside</t>
  </si>
  <si>
    <t>Larkwood Dr</t>
  </si>
  <si>
    <t>Dunlap St</t>
  </si>
  <si>
    <t>Sterling Point</t>
  </si>
  <si>
    <t>Willowbend</t>
  </si>
  <si>
    <t>Regal Pointe</t>
  </si>
  <si>
    <t>Atrium Regency</t>
  </si>
  <si>
    <t>La Hacienda</t>
  </si>
  <si>
    <t>Napoleon Square</t>
  </si>
  <si>
    <t>Jefferson House</t>
  </si>
  <si>
    <t>Westward Square</t>
  </si>
  <si>
    <t>Le Chateau</t>
  </si>
  <si>
    <t>El Camino Del Ray</t>
  </si>
  <si>
    <t>Pin Oak Park</t>
  </si>
  <si>
    <t>Estates at Bellaire</t>
  </si>
  <si>
    <t>Marquis on Pin Oak</t>
  </si>
  <si>
    <t>Pelican Pointe</t>
  </si>
  <si>
    <t>Rampart</t>
  </si>
  <si>
    <t>Peachtree</t>
  </si>
  <si>
    <t>South Oaks</t>
  </si>
  <si>
    <t>Rampart Gardens</t>
  </si>
  <si>
    <t>5401 Chimney Rock</t>
  </si>
  <si>
    <t>Fountain Oaks</t>
  </si>
  <si>
    <t>Sharon Park Village</t>
  </si>
  <si>
    <t>Elm</t>
  </si>
  <si>
    <t>Bellaire Woods</t>
  </si>
  <si>
    <t>Chapparal Villas I</t>
  </si>
  <si>
    <t>Rice S</t>
  </si>
  <si>
    <t>Remington Park</t>
  </si>
  <si>
    <t>Chapparal Villas II</t>
  </si>
  <si>
    <t>Cedar Glen</t>
  </si>
  <si>
    <t>Las Americas</t>
  </si>
  <si>
    <t>Westward</t>
  </si>
  <si>
    <t>Chateaux Carmel</t>
  </si>
  <si>
    <t>Alexander House</t>
  </si>
  <si>
    <t>Atrium Cellini</t>
  </si>
  <si>
    <t>Renwick</t>
  </si>
  <si>
    <t>Pavilion Place</t>
  </si>
  <si>
    <t>Candlewick</t>
  </si>
  <si>
    <t>Mullins</t>
  </si>
  <si>
    <t>Fiesta Plaza II Apts</t>
  </si>
  <si>
    <t>Mark VI</t>
  </si>
  <si>
    <t>Grayridge</t>
  </si>
  <si>
    <t>Alder</t>
  </si>
  <si>
    <t>Greentree at the Garden</t>
  </si>
  <si>
    <t>Crown Garden</t>
  </si>
  <si>
    <t>Bellaire Gardens</t>
  </si>
  <si>
    <t>Fiesta Plaza</t>
  </si>
  <si>
    <t>Carriage Way</t>
  </si>
  <si>
    <t>Atwell</t>
  </si>
  <si>
    <t>Mark 5 North</t>
  </si>
  <si>
    <t>Mark V South Apts</t>
  </si>
  <si>
    <t>The Palms at Chimney Rock</t>
  </si>
  <si>
    <t>Monticello Square</t>
  </si>
  <si>
    <t>Atwell Village Apts</t>
  </si>
  <si>
    <t>Edgemoor</t>
  </si>
  <si>
    <t>Scottwood</t>
  </si>
  <si>
    <t>Bellaire Square North (Demolished)</t>
  </si>
  <si>
    <t>St Cloud</t>
  </si>
  <si>
    <t>Clarewood Gardens</t>
  </si>
  <si>
    <t>Spring Forest</t>
  </si>
  <si>
    <t>Fairmount</t>
  </si>
  <si>
    <t>Fairmont Apts</t>
  </si>
  <si>
    <t>Colony Oaks</t>
  </si>
  <si>
    <t>Villa Royal</t>
  </si>
  <si>
    <t>Le Sajon</t>
  </si>
  <si>
    <t>Jonathan Square II</t>
  </si>
  <si>
    <t>Birdwood</t>
  </si>
  <si>
    <t>Braeswood Plaza</t>
  </si>
  <si>
    <t>Grey Field</t>
  </si>
  <si>
    <t>Enchanted Fountains</t>
  </si>
  <si>
    <t>The Villages at Meyerland II</t>
  </si>
  <si>
    <t>Braeswood Blvd N</t>
  </si>
  <si>
    <t>5410-5415</t>
  </si>
  <si>
    <t>Nob Hill Southeast</t>
  </si>
  <si>
    <t>Braesvalley Dr</t>
  </si>
  <si>
    <t>Nob Hill West</t>
  </si>
  <si>
    <t>Renwick Square</t>
  </si>
  <si>
    <t>Cherry Gardens</t>
  </si>
  <si>
    <t>Pine</t>
  </si>
  <si>
    <t>Pines Street Apts</t>
  </si>
  <si>
    <t>Valerie</t>
  </si>
  <si>
    <t>6226 Valerie Apts</t>
  </si>
  <si>
    <t>Nob Hill Southwest</t>
  </si>
  <si>
    <t>The White House</t>
  </si>
  <si>
    <t>Pueblo Mio</t>
  </si>
  <si>
    <t>The Crossing at Saint Charles</t>
  </si>
  <si>
    <t>Azalea Place</t>
  </si>
  <si>
    <t>Cherry Cove</t>
  </si>
  <si>
    <t>Academy</t>
  </si>
  <si>
    <t>Morgan Manor</t>
  </si>
  <si>
    <t>Blair House</t>
  </si>
  <si>
    <t>Meyer Oaks</t>
  </si>
  <si>
    <t>Braeswood N</t>
  </si>
  <si>
    <t>Meyergrove</t>
  </si>
  <si>
    <t>Crossing at Berkley Square</t>
  </si>
  <si>
    <t>Glenfield</t>
  </si>
  <si>
    <t>Falls of Maplewood</t>
  </si>
  <si>
    <t>Glenfield Ct</t>
  </si>
  <si>
    <t>Meyerland Court</t>
  </si>
  <si>
    <t>Stella Link</t>
  </si>
  <si>
    <t>Greenbriar Bend</t>
  </si>
  <si>
    <t>Bellefontaine</t>
  </si>
  <si>
    <t>4025-4031</t>
  </si>
  <si>
    <t>Fredoric</t>
  </si>
  <si>
    <t>Kirby</t>
  </si>
  <si>
    <t>Kirby Place</t>
  </si>
  <si>
    <t>Arcadian Kirby</t>
  </si>
  <si>
    <t>Meyer Forest Dr</t>
  </si>
  <si>
    <t>Meyer Park (I)</t>
  </si>
  <si>
    <t>Law St</t>
  </si>
  <si>
    <t>Courts at West University</t>
  </si>
  <si>
    <t>Tangley</t>
  </si>
  <si>
    <t>Village</t>
  </si>
  <si>
    <t>Post Oak S</t>
  </si>
  <si>
    <t>Glen Willow</t>
  </si>
  <si>
    <t>Greenwillow St</t>
  </si>
  <si>
    <t>Willow Gardens</t>
  </si>
  <si>
    <t>Camden Vanderbilt I</t>
  </si>
  <si>
    <t>Brompton</t>
  </si>
  <si>
    <t>Berkshires on Brompton</t>
  </si>
  <si>
    <t>Brompton Rd #514</t>
  </si>
  <si>
    <t>Brompton Court</t>
  </si>
  <si>
    <t>Maroneal</t>
  </si>
  <si>
    <t>The Maroneal</t>
  </si>
  <si>
    <t>Dorrington</t>
  </si>
  <si>
    <t>Montclair</t>
  </si>
  <si>
    <t>Linkwood</t>
  </si>
  <si>
    <t>Stratford House II</t>
  </si>
  <si>
    <t>Bartell Dr W</t>
  </si>
  <si>
    <t>Ashley Park</t>
  </si>
  <si>
    <t>Timberside Dr</t>
  </si>
  <si>
    <t>Braes Manor</t>
  </si>
  <si>
    <t>Westridge</t>
  </si>
  <si>
    <t>Ridgepoint</t>
  </si>
  <si>
    <t>Murworth</t>
  </si>
  <si>
    <t>Wilshire Park</t>
  </si>
  <si>
    <t>Gardens of Braeswood</t>
  </si>
  <si>
    <t>Carlton House</t>
  </si>
  <si>
    <t>Stratford House I</t>
  </si>
  <si>
    <t>Rutledge</t>
  </si>
  <si>
    <t>The Crossing on Kirby</t>
  </si>
  <si>
    <t>The Greenbriar</t>
  </si>
  <si>
    <t>Broadmead</t>
  </si>
  <si>
    <t>Ilona</t>
  </si>
  <si>
    <t>8814-8826</t>
  </si>
  <si>
    <t>Linkwood Park</t>
  </si>
  <si>
    <t>The Lanesborough</t>
  </si>
  <si>
    <t>Mainstream</t>
  </si>
  <si>
    <t>Villa D'Orleans</t>
  </si>
  <si>
    <t>Holly Hall</t>
  </si>
  <si>
    <t>Twenty One Eleven Holly Hall</t>
  </si>
  <si>
    <t>Scotland Yard I</t>
  </si>
  <si>
    <t>Royale Apts</t>
  </si>
  <si>
    <t>Villages of Westridge</t>
  </si>
  <si>
    <t>Westridge Gardens</t>
  </si>
  <si>
    <t>Mainridge</t>
  </si>
  <si>
    <t>O'Meara</t>
  </si>
  <si>
    <t>Pine Terrace</t>
  </si>
  <si>
    <t>MacGregor N</t>
  </si>
  <si>
    <t>Bayou View Gardens</t>
  </si>
  <si>
    <t>MacGregor Way N</t>
  </si>
  <si>
    <t>Dynasty</t>
  </si>
  <si>
    <t>Louvre</t>
  </si>
  <si>
    <t>Bellfort #15 W</t>
  </si>
  <si>
    <t>Bellfort Park</t>
  </si>
  <si>
    <t>Prospect St</t>
  </si>
  <si>
    <t>1913-1941</t>
  </si>
  <si>
    <t>Prospect Street</t>
  </si>
  <si>
    <t>Riverside</t>
  </si>
  <si>
    <t>The Park at Riverside</t>
  </si>
  <si>
    <t>El Paseo</t>
  </si>
  <si>
    <t>Parque View</t>
  </si>
  <si>
    <t>Fannin Street Station I</t>
  </si>
  <si>
    <t>Fannin Street Station II</t>
  </si>
  <si>
    <t>Almeda Rd</t>
  </si>
  <si>
    <t>Villas at Hermann Park</t>
  </si>
  <si>
    <t>Lakes of 610</t>
  </si>
  <si>
    <t>Loop W S</t>
  </si>
  <si>
    <t>Meadow Ridge</t>
  </si>
  <si>
    <t>Ewing</t>
  </si>
  <si>
    <t>Ewing Apts, 1815</t>
  </si>
  <si>
    <t>Hermann Dr</t>
  </si>
  <si>
    <t>Parklane</t>
  </si>
  <si>
    <t>The Plaza Museum District</t>
  </si>
  <si>
    <t>Calumet</t>
  </si>
  <si>
    <t>Calumet Court</t>
  </si>
  <si>
    <t>Charleston Park</t>
  </si>
  <si>
    <t>Oaks of Charleston</t>
  </si>
  <si>
    <t>Loop Crossing</t>
  </si>
  <si>
    <t>Riverside Terrace</t>
  </si>
  <si>
    <t>Ardmore</t>
  </si>
  <si>
    <t>Bayou Bend</t>
  </si>
  <si>
    <t>Scott</t>
  </si>
  <si>
    <t>5415 Scott Apts</t>
  </si>
  <si>
    <t>Southmore</t>
  </si>
  <si>
    <t>Southmore Place</t>
  </si>
  <si>
    <t>Almeda</t>
  </si>
  <si>
    <t>Versailles Park</t>
  </si>
  <si>
    <t>Staffordshire</t>
  </si>
  <si>
    <t>Parkwood</t>
  </si>
  <si>
    <t>AMLI at the Medical Center</t>
  </si>
  <si>
    <t>Bayou Landing</t>
  </si>
  <si>
    <t>North MacGregor Arms</t>
  </si>
  <si>
    <t>La Salette</t>
  </si>
  <si>
    <t>San Jacinto Garden</t>
  </si>
  <si>
    <t>Griggs Rd</t>
  </si>
  <si>
    <t>Spanish Village</t>
  </si>
  <si>
    <t>Cambridge</t>
  </si>
  <si>
    <t>Park On Cambridge</t>
  </si>
  <si>
    <t>Harvest Hill</t>
  </si>
  <si>
    <t>Beall Village</t>
  </si>
  <si>
    <t>El Mundo</t>
  </si>
  <si>
    <t>El Mundo Park</t>
  </si>
  <si>
    <t>Parque Del Oro</t>
  </si>
  <si>
    <t>Nubia Square</t>
  </si>
  <si>
    <t>7100 Almeda</t>
  </si>
  <si>
    <t>Plaza Del Oro</t>
  </si>
  <si>
    <t>Corder</t>
  </si>
  <si>
    <t>Missionary Village</t>
  </si>
  <si>
    <t>Southlawn St</t>
  </si>
  <si>
    <t>Southlawn Palms</t>
  </si>
  <si>
    <t>Beatty</t>
  </si>
  <si>
    <t>St Johns</t>
  </si>
  <si>
    <t>Calhoun</t>
  </si>
  <si>
    <t>Wesley Square</t>
  </si>
  <si>
    <t>Edfield</t>
  </si>
  <si>
    <t>Mount Hebron Village</t>
  </si>
  <si>
    <t>Yellowstone Blvd</t>
  </si>
  <si>
    <t>Park Yellowstone TH</t>
  </si>
  <si>
    <t>Alice</t>
  </si>
  <si>
    <t>Alice Apts</t>
  </si>
  <si>
    <t>Zollie Scales Manor</t>
  </si>
  <si>
    <t>Dismuke</t>
  </si>
  <si>
    <t>Dismuke Apts</t>
  </si>
  <si>
    <t>Gulf Fwy</t>
  </si>
  <si>
    <t>Brookdale Village</t>
  </si>
  <si>
    <t>4362 Bellfort</t>
  </si>
  <si>
    <t>Sunflower</t>
  </si>
  <si>
    <t>Sunflower Terrace</t>
  </si>
  <si>
    <t>Colony Manor</t>
  </si>
  <si>
    <t>Victory</t>
  </si>
  <si>
    <t>Gatehouse</t>
  </si>
  <si>
    <t>Loop E S</t>
  </si>
  <si>
    <t>Sands</t>
  </si>
  <si>
    <t>Lawndale Plaza</t>
  </si>
  <si>
    <t>Lawndale Village</t>
  </si>
  <si>
    <t>Oak Acres</t>
  </si>
  <si>
    <t>Gala Vista</t>
  </si>
  <si>
    <t>Winkler</t>
  </si>
  <si>
    <t>Winkler Villa</t>
  </si>
  <si>
    <t>Weslow</t>
  </si>
  <si>
    <t>Weslow Manor</t>
  </si>
  <si>
    <t>Schroeder</t>
  </si>
  <si>
    <t>Les Jardins Apts</t>
  </si>
  <si>
    <t>Royal Palms</t>
  </si>
  <si>
    <t>Royal Palms East</t>
  </si>
  <si>
    <t>The Villas</t>
  </si>
  <si>
    <t>Redwood</t>
  </si>
  <si>
    <t>Redwood Gardens</t>
  </si>
  <si>
    <t>Parkford</t>
  </si>
  <si>
    <t>Concord Arms</t>
  </si>
  <si>
    <t>Golfcrest Blvd</t>
  </si>
  <si>
    <t>Orleans East</t>
  </si>
  <si>
    <t>Bellfort St</t>
  </si>
  <si>
    <t>Bellfort Plaza</t>
  </si>
  <si>
    <t>Lawndale</t>
  </si>
  <si>
    <t>Encanto</t>
  </si>
  <si>
    <t>Winkler Dr</t>
  </si>
  <si>
    <t>Winkler Drive</t>
  </si>
  <si>
    <t>Golfcrest</t>
  </si>
  <si>
    <t>Tel Wink</t>
  </si>
  <si>
    <t>Golfcrest Gardens</t>
  </si>
  <si>
    <t>Hasbrook</t>
  </si>
  <si>
    <t>Nine Oaks</t>
  </si>
  <si>
    <t>Plum Creek</t>
  </si>
  <si>
    <t>Patrician</t>
  </si>
  <si>
    <t>Cobblestone</t>
  </si>
  <si>
    <t>Las Villas</t>
  </si>
  <si>
    <t>Broadway Park</t>
  </si>
  <si>
    <t>Evergreen</t>
  </si>
  <si>
    <t>Southway</t>
  </si>
  <si>
    <t>Southway Manor</t>
  </si>
  <si>
    <t>Hogue</t>
  </si>
  <si>
    <t>The Hogue Apts</t>
  </si>
  <si>
    <t>Office City Dr</t>
  </si>
  <si>
    <t>Patricia Manor</t>
  </si>
  <si>
    <t>Villa Paree</t>
  </si>
  <si>
    <t>Leonora</t>
  </si>
  <si>
    <t>Dylans Crossing Condos</t>
  </si>
  <si>
    <t>Telephone</t>
  </si>
  <si>
    <t>Telephone Road</t>
  </si>
  <si>
    <t>Boulevard</t>
  </si>
  <si>
    <t>Findlay House</t>
  </si>
  <si>
    <t>Dover</t>
  </si>
  <si>
    <t>White Cliff</t>
  </si>
  <si>
    <t>Acre Villa</t>
  </si>
  <si>
    <t>Easton</t>
  </si>
  <si>
    <t>Stone</t>
  </si>
  <si>
    <t>Bellfort II Apts</t>
  </si>
  <si>
    <t>Old Galveston Rd</t>
  </si>
  <si>
    <t>Houston Park Place Gardens</t>
  </si>
  <si>
    <t>Bellfort</t>
  </si>
  <si>
    <t>Bellfort East</t>
  </si>
  <si>
    <t>Glenbrook East</t>
  </si>
  <si>
    <t>Park Place Arms</t>
  </si>
  <si>
    <t>Glenview</t>
  </si>
  <si>
    <t>Leonora Square</t>
  </si>
  <si>
    <t>Woodlen Place</t>
  </si>
  <si>
    <t>Woodlen Glen</t>
  </si>
  <si>
    <t>Pebble Walk</t>
  </si>
  <si>
    <t>Allendale</t>
  </si>
  <si>
    <t>Silver Club</t>
  </si>
  <si>
    <t>Lennox Apts</t>
  </si>
  <si>
    <t>Bellfort I &amp; II</t>
  </si>
  <si>
    <t>Bellestone Villas</t>
  </si>
  <si>
    <t>Stone Manor</t>
  </si>
  <si>
    <t>Weir Dr</t>
  </si>
  <si>
    <t>Glenbrook Villa</t>
  </si>
  <si>
    <t>Dover Place</t>
  </si>
  <si>
    <t>Le Montreal</t>
  </si>
  <si>
    <t>Broadway St</t>
  </si>
  <si>
    <t>Broadway Square-Section 4-I</t>
  </si>
  <si>
    <t>Broadway Square-Section 1-IV</t>
  </si>
  <si>
    <t>Grahamcrest Dr</t>
  </si>
  <si>
    <t>Grahamcrest Apts</t>
  </si>
  <si>
    <t>Allendale Village</t>
  </si>
  <si>
    <t>Scarborough Ln</t>
  </si>
  <si>
    <t>Scarborough Lane</t>
  </si>
  <si>
    <t>Pasadena</t>
  </si>
  <si>
    <t>Winkler-Belvedere</t>
  </si>
  <si>
    <t>The East Hampton</t>
  </si>
  <si>
    <t>Halkies S</t>
  </si>
  <si>
    <t>Gemini Gardens</t>
  </si>
  <si>
    <t>Telephone Rd</t>
  </si>
  <si>
    <t>Sage Meadows</t>
  </si>
  <si>
    <t>Meadowbrook Manor</t>
  </si>
  <si>
    <t>Oakshadows Retirement Community</t>
  </si>
  <si>
    <t>Main St S</t>
  </si>
  <si>
    <t>Ken Mar</t>
  </si>
  <si>
    <t>Main Village</t>
  </si>
  <si>
    <t>Richey S</t>
  </si>
  <si>
    <t>Bryton Hill Manor</t>
  </si>
  <si>
    <t>Garner</t>
  </si>
  <si>
    <t>Courtyard Apts</t>
  </si>
  <si>
    <t>Garner Villa</t>
  </si>
  <si>
    <t>Crescent City</t>
  </si>
  <si>
    <t>Broadway Square-Section 4-II</t>
  </si>
  <si>
    <t>The Columns</t>
  </si>
  <si>
    <t>Richey St S</t>
  </si>
  <si>
    <t>Shaver S</t>
  </si>
  <si>
    <t>Old South</t>
  </si>
  <si>
    <t>Compton Court</t>
  </si>
  <si>
    <t>Jackson E</t>
  </si>
  <si>
    <t>Red Bluff</t>
  </si>
  <si>
    <t>First Line</t>
  </si>
  <si>
    <t>Morley St</t>
  </si>
  <si>
    <t>Broadway Square-Section 2-I</t>
  </si>
  <si>
    <t>Skylane South</t>
  </si>
  <si>
    <t>Charles S</t>
  </si>
  <si>
    <t>Cedar Creek</t>
  </si>
  <si>
    <t>Rozewood Apts</t>
  </si>
  <si>
    <t>Dumont</t>
  </si>
  <si>
    <t>1103-1109</t>
  </si>
  <si>
    <t>Dumont Palace Apts</t>
  </si>
  <si>
    <t>South Houston</t>
  </si>
  <si>
    <t>Perez</t>
  </si>
  <si>
    <t>Garden Villa</t>
  </si>
  <si>
    <t>Houston Ave E</t>
  </si>
  <si>
    <t>Emerald Pointe</t>
  </si>
  <si>
    <t>Pasadena Blvd</t>
  </si>
  <si>
    <t>Villas of Pasadena</t>
  </si>
  <si>
    <t>Ave H</t>
  </si>
  <si>
    <t>Ashton Place II</t>
  </si>
  <si>
    <t>Ave A</t>
  </si>
  <si>
    <t>Granada Terrace</t>
  </si>
  <si>
    <t>Federal</t>
  </si>
  <si>
    <t>Spencer Square</t>
  </si>
  <si>
    <t>Lafferty</t>
  </si>
  <si>
    <t>Gardenview</t>
  </si>
  <si>
    <t>Allen Genoa S</t>
  </si>
  <si>
    <t>Queens Lane</t>
  </si>
  <si>
    <t>Queens Rd</t>
  </si>
  <si>
    <t>The Crossing at Allen Square</t>
  </si>
  <si>
    <t>Austin E</t>
  </si>
  <si>
    <t>Lotus Square</t>
  </si>
  <si>
    <t>Curtis E</t>
  </si>
  <si>
    <t>Arbors at Town Square</t>
  </si>
  <si>
    <t>Preston Rd</t>
  </si>
  <si>
    <t>Vista Del Sol</t>
  </si>
  <si>
    <t>Birnham Woods Blvd</t>
  </si>
  <si>
    <t>Birnham Woods</t>
  </si>
  <si>
    <t>Strawberry</t>
  </si>
  <si>
    <t>Strawberry Hill</t>
  </si>
  <si>
    <t>Burke</t>
  </si>
  <si>
    <t>Oak Pointe</t>
  </si>
  <si>
    <t>Cherrybrook</t>
  </si>
  <si>
    <t>Cherrybrook Place</t>
  </si>
  <si>
    <t>Spencer Hwy</t>
  </si>
  <si>
    <t>Parkside Place</t>
  </si>
  <si>
    <t>Westside</t>
  </si>
  <si>
    <t>Tammerlane</t>
  </si>
  <si>
    <t>Empire Village</t>
  </si>
  <si>
    <t>Beltway 8 E</t>
  </si>
  <si>
    <t>Greentree</t>
  </si>
  <si>
    <t>Sam Houston Pkwy S E</t>
  </si>
  <si>
    <t>La Paloma Village</t>
  </si>
  <si>
    <t>Quarters on Red Bluff</t>
  </si>
  <si>
    <t>Preston Ave</t>
  </si>
  <si>
    <t>Trinity Courtyards</t>
  </si>
  <si>
    <t>Burke Square</t>
  </si>
  <si>
    <t>Maple Trail Apts &amp; TH</t>
  </si>
  <si>
    <t>Southmore Ave</t>
  </si>
  <si>
    <t>Eden Rock</t>
  </si>
  <si>
    <t>Jasmine Park</t>
  </si>
  <si>
    <t>San Augustine</t>
  </si>
  <si>
    <t>Oakwood Village</t>
  </si>
  <si>
    <t>Twin Oaks</t>
  </si>
  <si>
    <t>Parkview Village</t>
  </si>
  <si>
    <t>Alpine Village</t>
  </si>
  <si>
    <t>Embers</t>
  </si>
  <si>
    <t>Southmore E</t>
  </si>
  <si>
    <t>Southmore Park</t>
  </si>
  <si>
    <t>Southmore TH</t>
  </si>
  <si>
    <t>Fieldstone</t>
  </si>
  <si>
    <t>Red Bluff Rd</t>
  </si>
  <si>
    <t>Casa Palmas</t>
  </si>
  <si>
    <t>Lyric Ln</t>
  </si>
  <si>
    <t>San Augustine TH Apts</t>
  </si>
  <si>
    <t>Red Pines AH</t>
  </si>
  <si>
    <t>Jenkins</t>
  </si>
  <si>
    <t>Pecan Place</t>
  </si>
  <si>
    <t>Britany Village</t>
  </si>
  <si>
    <t>Harris E</t>
  </si>
  <si>
    <t>Copper Ridge</t>
  </si>
  <si>
    <t>Victoria Village</t>
  </si>
  <si>
    <t>The Crossings at Sun Meadow</t>
  </si>
  <si>
    <t>Airport Blvd W</t>
  </si>
  <si>
    <t>The Crossings at Bradford Place II</t>
  </si>
  <si>
    <t>Sunset Meadow Ln</t>
  </si>
  <si>
    <t>Sunswept TH Apts</t>
  </si>
  <si>
    <t>Pasadena Blvd W</t>
  </si>
  <si>
    <t>Alexan Deer Park</t>
  </si>
  <si>
    <t>Deer Park</t>
  </si>
  <si>
    <t>Parktown Townhouses II</t>
  </si>
  <si>
    <t>Brandywood II</t>
  </si>
  <si>
    <t>Village of Fondren</t>
  </si>
  <si>
    <t>Bel Lindo</t>
  </si>
  <si>
    <t>6101-6201</t>
  </si>
  <si>
    <t>Oakwood Villa</t>
  </si>
  <si>
    <t>2nd N</t>
  </si>
  <si>
    <t>Sylvan Beach</t>
  </si>
  <si>
    <t>La Porte</t>
  </si>
  <si>
    <t>Stacey Ln</t>
  </si>
  <si>
    <t>Roseland Manor</t>
  </si>
  <si>
    <t>Brookbend</t>
  </si>
  <si>
    <t>Ludington</t>
  </si>
  <si>
    <t>The Ludington</t>
  </si>
  <si>
    <t>Bayshore Park</t>
  </si>
  <si>
    <t>Belle Chase</t>
  </si>
  <si>
    <t>Sycamore Ave</t>
  </si>
  <si>
    <t>4802-4812</t>
  </si>
  <si>
    <t>Sycamore Gardens</t>
  </si>
  <si>
    <t>Bayshore Towers</t>
  </si>
  <si>
    <t>Brandywood I</t>
  </si>
  <si>
    <t>Carrie Ln W</t>
  </si>
  <si>
    <t>Deer Park Gardens</t>
  </si>
  <si>
    <t>Dutch #5</t>
  </si>
  <si>
    <t>Village of Deer Park</t>
  </si>
  <si>
    <t>X St E</t>
  </si>
  <si>
    <t>New Castle Town Plaza</t>
  </si>
  <si>
    <t>Parktown Townhouses I</t>
  </si>
  <si>
    <t>McDermott</t>
  </si>
  <si>
    <t>Deerglen</t>
  </si>
  <si>
    <t>San Augustine Ave E</t>
  </si>
  <si>
    <t>Deerwood at the Park</t>
  </si>
  <si>
    <t>London Belle</t>
  </si>
  <si>
    <t>Savannah Oaks</t>
  </si>
  <si>
    <t>Harbour Bay</t>
  </si>
  <si>
    <t>Missouri</t>
  </si>
  <si>
    <t>Marina Club at Baytown</t>
  </si>
  <si>
    <t>Cinnamon Ridge</t>
  </si>
  <si>
    <t>Deer Park Village</t>
  </si>
  <si>
    <t>Airport W</t>
  </si>
  <si>
    <t>Airport Gardens</t>
  </si>
  <si>
    <t>Amritta</t>
  </si>
  <si>
    <t>Bellfort St W</t>
  </si>
  <si>
    <t>Bennington Square</t>
  </si>
  <si>
    <t>Tri City Beach Rd</t>
  </si>
  <si>
    <t>Forest View Apts</t>
  </si>
  <si>
    <t>James E</t>
  </si>
  <si>
    <t>Baywood</t>
  </si>
  <si>
    <t>James St E</t>
  </si>
  <si>
    <t>The Place at 2500 James</t>
  </si>
  <si>
    <t>Southwest Terrace</t>
  </si>
  <si>
    <t>Keegans Ridge Rd</t>
  </si>
  <si>
    <t>Keegan's Mill</t>
  </si>
  <si>
    <t>Brays Oaks Village</t>
  </si>
  <si>
    <t>Westplace Dr</t>
  </si>
  <si>
    <t>Chelsea Town Condos</t>
  </si>
  <si>
    <t>Brays Oaks Park Apts</t>
  </si>
  <si>
    <t>Bellfort Village</t>
  </si>
  <si>
    <t>Chimney Rock Rd</t>
  </si>
  <si>
    <t>Spring Village</t>
  </si>
  <si>
    <t>Ludington #3</t>
  </si>
  <si>
    <t>Arbor Village TH</t>
  </si>
  <si>
    <t>Los Arcos</t>
  </si>
  <si>
    <t>Fonmeadow</t>
  </si>
  <si>
    <t>Camden Court</t>
  </si>
  <si>
    <t>Fonmeadow Dr</t>
  </si>
  <si>
    <t>Remington Place Condo Apts</t>
  </si>
  <si>
    <t>Wilmington</t>
  </si>
  <si>
    <t>Wilmington House Apts</t>
  </si>
  <si>
    <t>Scott St</t>
  </si>
  <si>
    <t>Simmons Gardens</t>
  </si>
  <si>
    <t>Cullen Blvd</t>
  </si>
  <si>
    <t>Anna Dupree Terrace</t>
  </si>
  <si>
    <t>Post Oak Manor</t>
  </si>
  <si>
    <t>Burdine St</t>
  </si>
  <si>
    <t>Westbury Park</t>
  </si>
  <si>
    <t>The Reserve at 63 Sixty Three</t>
  </si>
  <si>
    <t>Bob White Dr</t>
  </si>
  <si>
    <t>Rainy Meadows</t>
  </si>
  <si>
    <t>Selinsky Rd</t>
  </si>
  <si>
    <t>Crestmont West</t>
  </si>
  <si>
    <t>Crestmont Village</t>
  </si>
  <si>
    <t>Pines of Westbury</t>
  </si>
  <si>
    <t>Casa Miranda</t>
  </si>
  <si>
    <t>5438 Bellfort West</t>
  </si>
  <si>
    <t>Ludren Park</t>
  </si>
  <si>
    <t>Airport Landing</t>
  </si>
  <si>
    <t>Gasmer Dr</t>
  </si>
  <si>
    <t>La Peak</t>
  </si>
  <si>
    <t>Las Villas del Parque</t>
  </si>
  <si>
    <t>Gasmer</t>
  </si>
  <si>
    <t>Westbury Manor</t>
  </si>
  <si>
    <t>Piccadilly Place</t>
  </si>
  <si>
    <t>Westbury Square</t>
  </si>
  <si>
    <t>Willow Dr S</t>
  </si>
  <si>
    <t>Willow S</t>
  </si>
  <si>
    <t>Villa Rosa</t>
  </si>
  <si>
    <t>Phlox St</t>
  </si>
  <si>
    <t>4203 Phlox</t>
  </si>
  <si>
    <t>Riverbrook</t>
  </si>
  <si>
    <t>Scott Plaza</t>
  </si>
  <si>
    <t>Post Oak Rd S</t>
  </si>
  <si>
    <t>Cambridge Village</t>
  </si>
  <si>
    <t>Palomino Place</t>
  </si>
  <si>
    <t>Fuqua St W</t>
  </si>
  <si>
    <t>St. James Village</t>
  </si>
  <si>
    <t>College</t>
  </si>
  <si>
    <t>Tara Hall</t>
  </si>
  <si>
    <t>Easthaven</t>
  </si>
  <si>
    <t>South Houston Vista</t>
  </si>
  <si>
    <t>Tallyho Rd</t>
  </si>
  <si>
    <t>Villa del Prado</t>
  </si>
  <si>
    <t>Glencrest St</t>
  </si>
  <si>
    <t>Broadway Square-Section 1-II</t>
  </si>
  <si>
    <t>Villa Americana</t>
  </si>
  <si>
    <t>Broadway Square-Section 2-II</t>
  </si>
  <si>
    <t>Savannah</t>
  </si>
  <si>
    <t>Nathaniel</t>
  </si>
  <si>
    <t>Indigo Falls Apts I</t>
  </si>
  <si>
    <t>Indigo Falls Apts II</t>
  </si>
  <si>
    <t>10809-10909</t>
  </si>
  <si>
    <t>Del Mar</t>
  </si>
  <si>
    <t>Indigo Falls Apts III</t>
  </si>
  <si>
    <t>Martin Luther King</t>
  </si>
  <si>
    <t>Park Texas</t>
  </si>
  <si>
    <t>Park Houston</t>
  </si>
  <si>
    <t>Selinsky</t>
  </si>
  <si>
    <t>Crystal Springs</t>
  </si>
  <si>
    <t>Broadway Square-Section 3-II</t>
  </si>
  <si>
    <t>Broadway Square-Section 1-I</t>
  </si>
  <si>
    <t>Quail Meadows</t>
  </si>
  <si>
    <t>Sierra Wald</t>
  </si>
  <si>
    <t>Alegra Palms</t>
  </si>
  <si>
    <t>Allen Genoa</t>
  </si>
  <si>
    <t>Allen Arms I</t>
  </si>
  <si>
    <t>Ave M</t>
  </si>
  <si>
    <t>Allen Arms II</t>
  </si>
  <si>
    <t>Ave N</t>
  </si>
  <si>
    <t>Redford Rd</t>
  </si>
  <si>
    <t>The Bristol</t>
  </si>
  <si>
    <t>Redford St</t>
  </si>
  <si>
    <t>Redford Square</t>
  </si>
  <si>
    <t>Broadway Square-Section 1-III</t>
  </si>
  <si>
    <t>West Point Village</t>
  </si>
  <si>
    <t>Shaver St S</t>
  </si>
  <si>
    <t>La Villita</t>
  </si>
  <si>
    <t>Park Hollow</t>
  </si>
  <si>
    <t>Vista</t>
  </si>
  <si>
    <t>Park On Vista</t>
  </si>
  <si>
    <t>Edgebrook Dr E</t>
  </si>
  <si>
    <t>Flagstone Gardens</t>
  </si>
  <si>
    <t>Edgebrook E</t>
  </si>
  <si>
    <t>Arlington Place</t>
  </si>
  <si>
    <t>The Pointe</t>
  </si>
  <si>
    <t>Edgebrook I</t>
  </si>
  <si>
    <t>Arlington Sq</t>
  </si>
  <si>
    <t>The Commons on Edgebrook</t>
  </si>
  <si>
    <t>Quay Point</t>
  </si>
  <si>
    <t>Burke Rd</t>
  </si>
  <si>
    <t>Ashwood Park</t>
  </si>
  <si>
    <t>The Crossing at Burke Regency</t>
  </si>
  <si>
    <t>Oak Run Manor</t>
  </si>
  <si>
    <t>Vista Rd</t>
  </si>
  <si>
    <t>Vista Hollow</t>
  </si>
  <si>
    <t>Kingspoint Rd</t>
  </si>
  <si>
    <t>Almeda Chateau</t>
  </si>
  <si>
    <t>Fuqua</t>
  </si>
  <si>
    <t>Eagles Landing</t>
  </si>
  <si>
    <t>Green Dr S</t>
  </si>
  <si>
    <t>Fairfield Creek</t>
  </si>
  <si>
    <t>Windmill Lakes Blvd</t>
  </si>
  <si>
    <t>Point at Windmill Lakes</t>
  </si>
  <si>
    <t>Windwater Dr</t>
  </si>
  <si>
    <t>The Breakers at Windmill Lakes</t>
  </si>
  <si>
    <t>Windwater at Windmill Lakes</t>
  </si>
  <si>
    <t>Hollock</t>
  </si>
  <si>
    <t>The Lakes</t>
  </si>
  <si>
    <t>Theta</t>
  </si>
  <si>
    <t>The Berkshire</t>
  </si>
  <si>
    <t>Sage Hollow</t>
  </si>
  <si>
    <t>Sabo Rd</t>
  </si>
  <si>
    <t>Green Arbor</t>
  </si>
  <si>
    <t>Parc Bay</t>
  </si>
  <si>
    <t>Federal Rd</t>
  </si>
  <si>
    <t>Alta Vista TH</t>
  </si>
  <si>
    <t>Sabo Village</t>
  </si>
  <si>
    <t>Roydon Dr</t>
  </si>
  <si>
    <t>Southpoint</t>
  </si>
  <si>
    <t>Windmill Lakes</t>
  </si>
  <si>
    <t>La Jolla on the Lake</t>
  </si>
  <si>
    <t>Windmill Landing</t>
  </si>
  <si>
    <t>Fairmont Pkwy</t>
  </si>
  <si>
    <t>Sandstone</t>
  </si>
  <si>
    <t>Preston St</t>
  </si>
  <si>
    <t>Willow Springs</t>
  </si>
  <si>
    <t>Young</t>
  </si>
  <si>
    <t>Bayou Willows</t>
  </si>
  <si>
    <t>Park on Burke</t>
  </si>
  <si>
    <t>The Park at Fairmont</t>
  </si>
  <si>
    <t>Broadway S</t>
  </si>
  <si>
    <t>Rush Oaks</t>
  </si>
  <si>
    <t>Falk</t>
  </si>
  <si>
    <t>Township Apts</t>
  </si>
  <si>
    <t>Bayside Oaks</t>
  </si>
  <si>
    <t>Luella</t>
  </si>
  <si>
    <t>The Plaza at San Jacinto Park</t>
  </si>
  <si>
    <t>6th St S</t>
  </si>
  <si>
    <t>Village by the Bay</t>
  </si>
  <si>
    <t>Pineloch</t>
  </si>
  <si>
    <t>Green Oaks I</t>
  </si>
  <si>
    <t>Webster</t>
  </si>
  <si>
    <t>El Dorado</t>
  </si>
  <si>
    <t>El Dorado View</t>
  </si>
  <si>
    <t>4025-4029</t>
  </si>
  <si>
    <t>Sandridge</t>
  </si>
  <si>
    <t>Beamer</t>
  </si>
  <si>
    <t>Altmonte</t>
  </si>
  <si>
    <t>Beamer Place</t>
  </si>
  <si>
    <t>Beamer Rd</t>
  </si>
  <si>
    <t>Clear Creek Landing</t>
  </si>
  <si>
    <t>Algonquin</t>
  </si>
  <si>
    <t>Scarsdale Park II</t>
  </si>
  <si>
    <t>Scarsdale Park I</t>
  </si>
  <si>
    <t>Resource Pkwy</t>
  </si>
  <si>
    <t>11207-11211</t>
  </si>
  <si>
    <t>Oak Haven Retirement Community</t>
  </si>
  <si>
    <t>Young St</t>
  </si>
  <si>
    <t>Fairmont Oaks</t>
  </si>
  <si>
    <t>Windsail Bay II</t>
  </si>
  <si>
    <t>Fairmont Pkwy E</t>
  </si>
  <si>
    <t>Tammie Jay</t>
  </si>
  <si>
    <t>146 Hwy</t>
  </si>
  <si>
    <t>Bayou Villa</t>
  </si>
  <si>
    <t>Galveston Rd (Hwy 3)</t>
  </si>
  <si>
    <t>Clear Lake Falls Townhome Condos</t>
  </si>
  <si>
    <t>Cedar Bluff</t>
  </si>
  <si>
    <t>Luella Blvd</t>
  </si>
  <si>
    <t>College View</t>
  </si>
  <si>
    <t>Gemini Ave</t>
  </si>
  <si>
    <t>The Palms at Clear Lake</t>
  </si>
  <si>
    <t>Bay Area Blvd</t>
  </si>
  <si>
    <t>The Cove</t>
  </si>
  <si>
    <t>R St S</t>
  </si>
  <si>
    <t>Vista Baywood</t>
  </si>
  <si>
    <t>1959 FM</t>
  </si>
  <si>
    <t>Summer Cove</t>
  </si>
  <si>
    <t>Coopers Mill</t>
  </si>
  <si>
    <t>Highland Meadows Village</t>
  </si>
  <si>
    <t>Cimarron Landing</t>
  </si>
  <si>
    <t>Park Center</t>
  </si>
  <si>
    <t>Windjammer</t>
  </si>
  <si>
    <t>Cyberonics Blvd</t>
  </si>
  <si>
    <t>Armand Place</t>
  </si>
  <si>
    <t>El Dorado Blvd</t>
  </si>
  <si>
    <t>Lakeshire Place</t>
  </si>
  <si>
    <t>The Huntley</t>
  </si>
  <si>
    <t>2351 FM</t>
  </si>
  <si>
    <t>Bridgestone</t>
  </si>
  <si>
    <t>Friendswood</t>
  </si>
  <si>
    <t>The Park at Armand Bayou II</t>
  </si>
  <si>
    <t>Buccaneer</t>
  </si>
  <si>
    <t>Quail Walk</t>
  </si>
  <si>
    <t>Taylorcrest Condos</t>
  </si>
  <si>
    <t>The Presidio at Clear Lake</t>
  </si>
  <si>
    <t>El Camino Real</t>
  </si>
  <si>
    <t>The Hamptons</t>
  </si>
  <si>
    <t>Watkins Way</t>
  </si>
  <si>
    <t>The Enclave at Quail Crossing II</t>
  </si>
  <si>
    <t>Glenwest Dr</t>
  </si>
  <si>
    <t>The Lodge at Baybrook</t>
  </si>
  <si>
    <t>Bay Area Blvd W</t>
  </si>
  <si>
    <t>Crystal Bay</t>
  </si>
  <si>
    <t>3 Hwy</t>
  </si>
  <si>
    <t>The Bradford I</t>
  </si>
  <si>
    <t>Piper's Cove</t>
  </si>
  <si>
    <t>The Enclave at Quail Crossing I</t>
  </si>
  <si>
    <t>Nasa Rd 1 W</t>
  </si>
  <si>
    <t>Baystone</t>
  </si>
  <si>
    <t>Nasa Rd 1 E</t>
  </si>
  <si>
    <t>The Falls at Clearlake</t>
  </si>
  <si>
    <t>Retreat Of Clear Lake</t>
  </si>
  <si>
    <t>Space Center</t>
  </si>
  <si>
    <t>Newport at Clearlake</t>
  </si>
  <si>
    <t>Medical Center Blvd</t>
  </si>
  <si>
    <t>The Preserve</t>
  </si>
  <si>
    <t>Nasa Rd 1</t>
  </si>
  <si>
    <t>El Camino</t>
  </si>
  <si>
    <t>Bay Place</t>
  </si>
  <si>
    <t>Nassau Bay</t>
  </si>
  <si>
    <t>Colony Oaks By the Bay</t>
  </si>
  <si>
    <t>Space Center Blvd</t>
  </si>
  <si>
    <t>Wolf Creek</t>
  </si>
  <si>
    <t>Village on the Lake</t>
  </si>
  <si>
    <t>Tiffany Ct</t>
  </si>
  <si>
    <t>Tiffany Bay</t>
  </si>
  <si>
    <t>University Green</t>
  </si>
  <si>
    <t>Chatham Village</t>
  </si>
  <si>
    <t>The Bradford II</t>
  </si>
  <si>
    <t>Casa Bonita</t>
  </si>
  <si>
    <t>Seabrook</t>
  </si>
  <si>
    <t>Bay Park</t>
  </si>
  <si>
    <t>Harbortree</t>
  </si>
  <si>
    <t>El Camino Village Dr</t>
  </si>
  <si>
    <t>Skylar Pointe I</t>
  </si>
  <si>
    <t>Nasa Pkwy</t>
  </si>
  <si>
    <t>The Regatta I, II &amp; III</t>
  </si>
  <si>
    <t>Egret Bay Blvd</t>
  </si>
  <si>
    <t>Towers at Clear Lake North</t>
  </si>
  <si>
    <t>Clear Lake Village</t>
  </si>
  <si>
    <t>Clear Lake Village South</t>
  </si>
  <si>
    <t>Austin S</t>
  </si>
  <si>
    <t>Capital Estates</t>
  </si>
  <si>
    <t>Cole St W</t>
  </si>
  <si>
    <t>Space Colony</t>
  </si>
  <si>
    <t>Harbor Pointe</t>
  </si>
  <si>
    <t>Skylar Pointe II</t>
  </si>
  <si>
    <t>El Camino Village</t>
  </si>
  <si>
    <t>Upper Bay Rd</t>
  </si>
  <si>
    <t>Nassau Bay Village</t>
  </si>
  <si>
    <t>San Sebastian</t>
  </si>
  <si>
    <t>Bay House</t>
  </si>
  <si>
    <t>Repsdorph N</t>
  </si>
  <si>
    <t>Vista Shores</t>
  </si>
  <si>
    <t>Towers at Clear Lake South Condos</t>
  </si>
  <si>
    <t>Henderson</t>
  </si>
  <si>
    <t>Hidden Lake</t>
  </si>
  <si>
    <t>Ave J N</t>
  </si>
  <si>
    <t>Villa Brazos</t>
  </si>
  <si>
    <t>Azalea Court</t>
  </si>
  <si>
    <t>Barry Rose Rd</t>
  </si>
  <si>
    <t>Pearland</t>
  </si>
  <si>
    <t>The Park at Armand Bayou I</t>
  </si>
  <si>
    <t>Encore on the Bay</t>
  </si>
  <si>
    <t>Emerald Shores</t>
  </si>
  <si>
    <t>Bar Harbor</t>
  </si>
  <si>
    <t>El Mar</t>
  </si>
  <si>
    <t>Jo Anne's Cottages</t>
  </si>
  <si>
    <t>Pirates Landing</t>
  </si>
  <si>
    <t>Seatree</t>
  </si>
  <si>
    <t>Edgelake</t>
  </si>
  <si>
    <t>Balboa</t>
  </si>
  <si>
    <t>Surf Ct</t>
  </si>
  <si>
    <t>Nassau Bay Villa</t>
  </si>
  <si>
    <t>El Mar Ln</t>
  </si>
  <si>
    <t>Miramar II Apts</t>
  </si>
  <si>
    <t>Meyer N</t>
  </si>
  <si>
    <t>Miramar</t>
  </si>
  <si>
    <t>Lakeside Dr</t>
  </si>
  <si>
    <t>La Maison at Lake Cove</t>
  </si>
  <si>
    <t>Alexander Ln</t>
  </si>
  <si>
    <t>Strawbridge</t>
  </si>
  <si>
    <t>Ashley Wilson Rd W</t>
  </si>
  <si>
    <t>Oak Bend Estates</t>
  </si>
  <si>
    <t>Sweeny</t>
  </si>
  <si>
    <t>Baybrook Village III</t>
  </si>
  <si>
    <t>Baybrook Village II</t>
  </si>
  <si>
    <t>Blackhawk Blvd</t>
  </si>
  <si>
    <t>Skyhawk</t>
  </si>
  <si>
    <t>Dixie Dr</t>
  </si>
  <si>
    <t>Royal Wildewood Manor</t>
  </si>
  <si>
    <t>Clute</t>
  </si>
  <si>
    <t>Fairway</t>
  </si>
  <si>
    <t>Fairway Square</t>
  </si>
  <si>
    <t>Alvin</t>
  </si>
  <si>
    <t>Fairway S</t>
  </si>
  <si>
    <t>Hillcrest Village</t>
  </si>
  <si>
    <t>Gordon S</t>
  </si>
  <si>
    <t>Alvin Memorial Gardens</t>
  </si>
  <si>
    <t>Hackberry Dr</t>
  </si>
  <si>
    <t>Broadway E</t>
  </si>
  <si>
    <t>Silver Maples</t>
  </si>
  <si>
    <t>Buchta Rd</t>
  </si>
  <si>
    <t>Angleton Manor</t>
  </si>
  <si>
    <t>Angleton</t>
  </si>
  <si>
    <t>The Albion</t>
  </si>
  <si>
    <t>2nd St S</t>
  </si>
  <si>
    <t>Meadow Crossing</t>
  </si>
  <si>
    <t>Blackhawk</t>
  </si>
  <si>
    <t>Bay Meadows</t>
  </si>
  <si>
    <t>Mustang Rd</t>
  </si>
  <si>
    <t>Meadow Park</t>
  </si>
  <si>
    <t>Mustang S</t>
  </si>
  <si>
    <t>Willow Creek Manor</t>
  </si>
  <si>
    <t>Brazosport Blvd S</t>
  </si>
  <si>
    <t>Kings Road Apts</t>
  </si>
  <si>
    <t>Brazoswood</t>
  </si>
  <si>
    <t>Fisherman's Wharf</t>
  </si>
  <si>
    <t>Yupon</t>
  </si>
  <si>
    <t>Airport</t>
  </si>
  <si>
    <t>Rosenberg</t>
  </si>
  <si>
    <t>Alabama</t>
  </si>
  <si>
    <t>Falcon Point</t>
  </si>
  <si>
    <t>St. Andrews I</t>
  </si>
  <si>
    <t>Pearland Pkwy</t>
  </si>
  <si>
    <t>The Enclave at Mary's Creek</t>
  </si>
  <si>
    <t>Hafer Rd</t>
  </si>
  <si>
    <t>Northbrooke</t>
  </si>
  <si>
    <t>Hospital E</t>
  </si>
  <si>
    <t>Lexington Square</t>
  </si>
  <si>
    <t>House St E</t>
  </si>
  <si>
    <t>Kimberly House</t>
  </si>
  <si>
    <t>Huisache</t>
  </si>
  <si>
    <t>Lakewood Suites (TBD)</t>
  </si>
  <si>
    <t>Lake Jackson</t>
  </si>
  <si>
    <t>Garland Dr</t>
  </si>
  <si>
    <t>Arbors</t>
  </si>
  <si>
    <t>Sun Forest</t>
  </si>
  <si>
    <t>Royal Oaks</t>
  </si>
  <si>
    <t>Salem Village</t>
  </si>
  <si>
    <t>Cannan Dr</t>
  </si>
  <si>
    <t>Clements</t>
  </si>
  <si>
    <t>Westport</t>
  </si>
  <si>
    <t>Timbercreek Dr</t>
  </si>
  <si>
    <t>Creekside Estates</t>
  </si>
  <si>
    <t>Richwood</t>
  </si>
  <si>
    <t>Quail Ridge Rd</t>
  </si>
  <si>
    <t>Danbury Manor</t>
  </si>
  <si>
    <t>Danbury</t>
  </si>
  <si>
    <t>Rosharon Rd</t>
  </si>
  <si>
    <t>Westwood Park</t>
  </si>
  <si>
    <t>35 Loop</t>
  </si>
  <si>
    <t>35 Loop Bypass</t>
  </si>
  <si>
    <t>Huntington Oaks</t>
  </si>
  <si>
    <t>Magnolia</t>
  </si>
  <si>
    <t>Mulberry E</t>
  </si>
  <si>
    <t>Arbor Pines Apts</t>
  </si>
  <si>
    <t>Mustang</t>
  </si>
  <si>
    <t>Garden Gate</t>
  </si>
  <si>
    <t>Johnson S</t>
  </si>
  <si>
    <t>Cedar Wood</t>
  </si>
  <si>
    <t>Highland Square</t>
  </si>
  <si>
    <t>Old Alvin Rd</t>
  </si>
  <si>
    <t>Pearland Village</t>
  </si>
  <si>
    <t>332 Hwy W</t>
  </si>
  <si>
    <t>Oakwood</t>
  </si>
  <si>
    <t>Hill S</t>
  </si>
  <si>
    <t>Foley Hill</t>
  </si>
  <si>
    <t>201-202-301</t>
  </si>
  <si>
    <t>Ashton Oaks</t>
  </si>
  <si>
    <t>Henderson Rd</t>
  </si>
  <si>
    <t>Golden Gate</t>
  </si>
  <si>
    <t>Lake Rd</t>
  </si>
  <si>
    <t>Brighton Manor</t>
  </si>
  <si>
    <t>New Territory Blvd</t>
  </si>
  <si>
    <t>Broadstone New Territory I</t>
  </si>
  <si>
    <t>Sugar Land</t>
  </si>
  <si>
    <t>Villages at Kirkwood</t>
  </si>
  <si>
    <t>Lamar</t>
  </si>
  <si>
    <t>Mustang Crossing I</t>
  </si>
  <si>
    <t>Ln Dr</t>
  </si>
  <si>
    <t>Murray Hill</t>
  </si>
  <si>
    <t>Westlake Residential</t>
  </si>
  <si>
    <t>Whispering Winds Dr</t>
  </si>
  <si>
    <t>Whispering Winds</t>
  </si>
  <si>
    <t>Yerby</t>
  </si>
  <si>
    <t>Brazoria Manor</t>
  </si>
  <si>
    <t>Brazoria</t>
  </si>
  <si>
    <t>Austin Pkwy</t>
  </si>
  <si>
    <t>Foundations at Austin Colony</t>
  </si>
  <si>
    <t>1640 FM</t>
  </si>
  <si>
    <t>Lamar Park</t>
  </si>
  <si>
    <t>Brooks Ave</t>
  </si>
  <si>
    <t>Brookmore Hollow</t>
  </si>
  <si>
    <t>Newport Oaks</t>
  </si>
  <si>
    <t>S W</t>
  </si>
  <si>
    <t>Morgan Park</t>
  </si>
  <si>
    <t>That Way St</t>
  </si>
  <si>
    <t>The Brentwood Apts</t>
  </si>
  <si>
    <t>Creekwood Landing</t>
  </si>
  <si>
    <t>Walnut E</t>
  </si>
  <si>
    <t>Radio Ln</t>
  </si>
  <si>
    <t>Reading Rd</t>
  </si>
  <si>
    <t>Brittany Square</t>
  </si>
  <si>
    <t>Rivercrest Dr</t>
  </si>
  <si>
    <t>Foundations at River Crest</t>
  </si>
  <si>
    <t>Old Dr S</t>
  </si>
  <si>
    <t>South Grand at Pecan Grove</t>
  </si>
  <si>
    <t>Mustang Crossing II &amp; III</t>
  </si>
  <si>
    <t>Pultar</t>
  </si>
  <si>
    <t>Grand Villa</t>
  </si>
  <si>
    <t>Westheimer Pkwy</t>
  </si>
  <si>
    <t>Merrywood</t>
  </si>
  <si>
    <t>Camden Sugar Grove</t>
  </si>
  <si>
    <t>Fountain Park</t>
  </si>
  <si>
    <t>Mahlmann</t>
  </si>
  <si>
    <t>Kings Arms</t>
  </si>
  <si>
    <t>City Hall Dr</t>
  </si>
  <si>
    <t>Carriage Glen</t>
  </si>
  <si>
    <t>Stafford Oaks</t>
  </si>
  <si>
    <t>Dulles Ave</t>
  </si>
  <si>
    <t>The Vinings</t>
  </si>
  <si>
    <t>1092 FM</t>
  </si>
  <si>
    <t>Quail Valley</t>
  </si>
  <si>
    <t>Missouri City</t>
  </si>
  <si>
    <t>Parkside Apts</t>
  </si>
  <si>
    <t>Victoria Garden</t>
  </si>
  <si>
    <t>Lexington Blvd</t>
  </si>
  <si>
    <t>Foundations at Lions Head</t>
  </si>
  <si>
    <t>Long Reach Dr</t>
  </si>
  <si>
    <t>The Fairmont First Colony</t>
  </si>
  <si>
    <t>Fifth St</t>
  </si>
  <si>
    <t>Springfield</t>
  </si>
  <si>
    <t>Fluor Daniel Dr</t>
  </si>
  <si>
    <t>Regency at First Colony</t>
  </si>
  <si>
    <t>Golfview Dr</t>
  </si>
  <si>
    <t>Country Club Place</t>
  </si>
  <si>
    <t>Settlers Way Blvd</t>
  </si>
  <si>
    <t>Foundations at Edgewater</t>
  </si>
  <si>
    <t>Fountain Lake Dr</t>
  </si>
  <si>
    <t>The Reserve at the Fountains</t>
  </si>
  <si>
    <t>Grants Lake Blvd</t>
  </si>
  <si>
    <t>Grants Lake</t>
  </si>
  <si>
    <t>Katy Flewellen</t>
  </si>
  <si>
    <t>The Hunt Club At Pin Oak</t>
  </si>
  <si>
    <t>The Trestles</t>
  </si>
  <si>
    <t>Stafford Run</t>
  </si>
  <si>
    <t>Sugar Grove Blvd</t>
  </si>
  <si>
    <t>The Resort TH</t>
  </si>
  <si>
    <t>Deats Rd</t>
  </si>
  <si>
    <t>Dickinson Pines</t>
  </si>
  <si>
    <t>Dickinson</t>
  </si>
  <si>
    <t>Bayou Village</t>
  </si>
  <si>
    <t>Constellation Blvd</t>
  </si>
  <si>
    <t>Constellation Pointe</t>
  </si>
  <si>
    <t>League City</t>
  </si>
  <si>
    <t>Casa Caribe</t>
  </si>
  <si>
    <t>Galveston</t>
  </si>
  <si>
    <t>Cove View Blvd</t>
  </si>
  <si>
    <t>Newport at Campeche Cove</t>
  </si>
  <si>
    <t>24th St N</t>
  </si>
  <si>
    <t>Texas City</t>
  </si>
  <si>
    <t>25th Ave N</t>
  </si>
  <si>
    <t>Chateau Jonon</t>
  </si>
  <si>
    <t>13th Ave N</t>
  </si>
  <si>
    <t>Trade Winds</t>
  </si>
  <si>
    <t>Baypointe Manor</t>
  </si>
  <si>
    <t>21st St N</t>
  </si>
  <si>
    <t>Ashton Park I &amp; II</t>
  </si>
  <si>
    <t>69th St</t>
  </si>
  <si>
    <t>Stewart's Landing</t>
  </si>
  <si>
    <t>The Park at Cedar Lawn</t>
  </si>
  <si>
    <t>Sugar Grove W Blvd</t>
  </si>
  <si>
    <t>Windfield TH</t>
  </si>
  <si>
    <t>Sugar Ridge Blvd</t>
  </si>
  <si>
    <t>Sugar Ridge II</t>
  </si>
  <si>
    <t>Sugar Ridge I</t>
  </si>
  <si>
    <t>Central City Blvd</t>
  </si>
  <si>
    <t>Village by the Sea</t>
  </si>
  <si>
    <t>The Broadwater</t>
  </si>
  <si>
    <t>Clearview</t>
  </si>
  <si>
    <t>Salem Square</t>
  </si>
  <si>
    <t>The Reserve at Fountain Lake</t>
  </si>
  <si>
    <t>Alexan Fountain Lake</t>
  </si>
  <si>
    <t>Rocky Falls</t>
  </si>
  <si>
    <t>Brazos Bend Villa</t>
  </si>
  <si>
    <t>Thompson Rd</t>
  </si>
  <si>
    <t>Town &amp; Country</t>
  </si>
  <si>
    <t>Westwood Dr</t>
  </si>
  <si>
    <t>Pecan Park</t>
  </si>
  <si>
    <t>36th St N</t>
  </si>
  <si>
    <t>Los Cabos</t>
  </si>
  <si>
    <t>Newport at West Beach</t>
  </si>
  <si>
    <t>25th St N</t>
  </si>
  <si>
    <t>31st St N</t>
  </si>
  <si>
    <t>Gulf Royale</t>
  </si>
  <si>
    <t>Ave .5 R</t>
  </si>
  <si>
    <t>William B Travis</t>
  </si>
  <si>
    <t>Davis Rd</t>
  </si>
  <si>
    <t>The Crow's Nest</t>
  </si>
  <si>
    <t>Marina Bay Dr</t>
  </si>
  <si>
    <t>Fairways at South Shore Condo Apts</t>
  </si>
  <si>
    <t>96 Hwy</t>
  </si>
  <si>
    <t>Bayridge</t>
  </si>
  <si>
    <t>5th Ave N</t>
  </si>
  <si>
    <t>Mae's Apts</t>
  </si>
  <si>
    <t>9th Ave N N</t>
  </si>
  <si>
    <t>Rosewood</t>
  </si>
  <si>
    <t>Conroe</t>
  </si>
  <si>
    <t>7th St S</t>
  </si>
  <si>
    <t>Ave G W</t>
  </si>
  <si>
    <t>Pecan Grove Apts</t>
  </si>
  <si>
    <t>518 FM</t>
  </si>
  <si>
    <t>Harbor Walk</t>
  </si>
  <si>
    <t>Signature Point</t>
  </si>
  <si>
    <t>518 FM E</t>
  </si>
  <si>
    <t>South Shore Lakes</t>
  </si>
  <si>
    <t>Dickinson Oaks Apts</t>
  </si>
  <si>
    <t>Delany Rd</t>
  </si>
  <si>
    <t>Mesquite Woods</t>
  </si>
  <si>
    <t>Hitchcock</t>
  </si>
  <si>
    <t>3 Hwy S</t>
  </si>
  <si>
    <t>Snug Harbor</t>
  </si>
  <si>
    <t>Texas Ave W</t>
  </si>
  <si>
    <t>Seven Palms</t>
  </si>
  <si>
    <t>Jackson Rd</t>
  </si>
  <si>
    <t>Jackson Cove</t>
  </si>
  <si>
    <t>Jones Dr</t>
  </si>
  <si>
    <t>Island Bay Resorts I</t>
  </si>
  <si>
    <t>Lasker</t>
  </si>
  <si>
    <t>Ashton Place</t>
  </si>
  <si>
    <t>Palmer Hwy</t>
  </si>
  <si>
    <t>Oaks of Texas City</t>
  </si>
  <si>
    <t>Enterprise</t>
  </si>
  <si>
    <t>Palms at South Shore Harbor</t>
  </si>
  <si>
    <t>Enterprise Ave Blvd</t>
  </si>
  <si>
    <t>The Moorings</t>
  </si>
  <si>
    <t>Legend Point Condominiums</t>
  </si>
  <si>
    <t>Clear Lake</t>
  </si>
  <si>
    <t>Fort Crockett</t>
  </si>
  <si>
    <t>The Seaside Village</t>
  </si>
  <si>
    <t>Friendswood Dr S</t>
  </si>
  <si>
    <t>Huntington Woods</t>
  </si>
  <si>
    <t>518 FM W</t>
  </si>
  <si>
    <t>Calder Square</t>
  </si>
  <si>
    <t>The Park at Waterford Harbor</t>
  </si>
  <si>
    <t>Kemah</t>
  </si>
  <si>
    <t>Marina Way</t>
  </si>
  <si>
    <t>Marina Del Sol</t>
  </si>
  <si>
    <t>Heards Ln</t>
  </si>
  <si>
    <t>Champion Homes at Bay Walk</t>
  </si>
  <si>
    <t>Champion Homes at Marina Landing</t>
  </si>
  <si>
    <t>Lasker Dr</t>
  </si>
  <si>
    <t>Driftwood</t>
  </si>
  <si>
    <t>Lobit Dr</t>
  </si>
  <si>
    <t>Northern Pines</t>
  </si>
  <si>
    <t>Briar Palms</t>
  </si>
  <si>
    <t>Holiday Dr</t>
  </si>
  <si>
    <t>Carriage House</t>
  </si>
  <si>
    <t>Chateau LaFitte</t>
  </si>
  <si>
    <t>Hughes Ln</t>
  </si>
  <si>
    <t>Dickinson Arms</t>
  </si>
  <si>
    <t>Glacier Ave</t>
  </si>
  <si>
    <t>Glacier Court</t>
  </si>
  <si>
    <t>Crossing at La Marque II</t>
  </si>
  <si>
    <t>La Marque</t>
  </si>
  <si>
    <t>Crossing at La Marque I</t>
  </si>
  <si>
    <t>Carelton Courtyard</t>
  </si>
  <si>
    <t>Memorial Oaks</t>
  </si>
  <si>
    <t>517 Hwy E</t>
  </si>
  <si>
    <t>Torrey Pines</t>
  </si>
  <si>
    <t>Hobbs Rd</t>
  </si>
  <si>
    <t>The Oaks of League City</t>
  </si>
  <si>
    <t>Wesley Dr N</t>
  </si>
  <si>
    <t>Market St</t>
  </si>
  <si>
    <t>Ebbtide</t>
  </si>
  <si>
    <t>Borough Park Dr</t>
  </si>
  <si>
    <t>Mission Woods</t>
  </si>
  <si>
    <t>1314 FM</t>
  </si>
  <si>
    <t>Porterwood</t>
  </si>
  <si>
    <t>Porter</t>
  </si>
  <si>
    <t>Frazier N</t>
  </si>
  <si>
    <t>Seawall Blvd</t>
  </si>
  <si>
    <t>Antigua</t>
  </si>
  <si>
    <t>Skyview</t>
  </si>
  <si>
    <t>Village Square</t>
  </si>
  <si>
    <t>Saint Christopher</t>
  </si>
  <si>
    <t>Huntcliff</t>
  </si>
  <si>
    <t>45 IH N</t>
  </si>
  <si>
    <t>Stone Ridge II</t>
  </si>
  <si>
    <t>Briarcrest</t>
  </si>
  <si>
    <t>Pecan Forest</t>
  </si>
  <si>
    <t>150-200</t>
  </si>
  <si>
    <t>Pecan Forest TH</t>
  </si>
  <si>
    <t>Ave .5 Q</t>
  </si>
  <si>
    <t>Village Manor</t>
  </si>
  <si>
    <t>Stewart Rd</t>
  </si>
  <si>
    <t>Gulf Wind</t>
  </si>
  <si>
    <t>Velami</t>
  </si>
  <si>
    <t>Waco</t>
  </si>
  <si>
    <t>3rd Street Village</t>
  </si>
  <si>
    <t>Winnie</t>
  </si>
  <si>
    <t>Sandpiper Cove</t>
  </si>
  <si>
    <t>Monticello Dr</t>
  </si>
  <si>
    <t>The Breakers</t>
  </si>
  <si>
    <t>Palmer House</t>
  </si>
  <si>
    <t>Stones Throw</t>
  </si>
  <si>
    <t>Stones Throw Senior Living</t>
  </si>
  <si>
    <t>Strand Blvd</t>
  </si>
  <si>
    <t>Villa Marina</t>
  </si>
  <si>
    <t>Shady Oaks</t>
  </si>
  <si>
    <t>Rayford Rd</t>
  </si>
  <si>
    <t>The Farrington</t>
  </si>
  <si>
    <t>Sawmill Rd</t>
  </si>
  <si>
    <t>Grogan's Landing</t>
  </si>
  <si>
    <t>Fawn Ridge</t>
  </si>
  <si>
    <t>Frazier S</t>
  </si>
  <si>
    <t>Bellshire Dr</t>
  </si>
  <si>
    <t>Bellshire</t>
  </si>
  <si>
    <t>Brookhaven</t>
  </si>
  <si>
    <t>25510-25200</t>
  </si>
  <si>
    <t>Imperial Chase I &amp; II</t>
  </si>
  <si>
    <t>Budde Rd</t>
  </si>
  <si>
    <t>Woodwind Village</t>
  </si>
  <si>
    <t>Gladstell</t>
  </si>
  <si>
    <t>Redford Park</t>
  </si>
  <si>
    <t>Gladstell Rd</t>
  </si>
  <si>
    <t>Gladstell Forest</t>
  </si>
  <si>
    <t>Hickerson</t>
  </si>
  <si>
    <t>Havenwood Place</t>
  </si>
  <si>
    <t>Gladstell St</t>
  </si>
  <si>
    <t>Woodcluster</t>
  </si>
  <si>
    <t>Pine Ridge</t>
  </si>
  <si>
    <t>Hickerson St</t>
  </si>
  <si>
    <t>Hollow Creek</t>
  </si>
  <si>
    <t>Snug Harbor Condos</t>
  </si>
  <si>
    <t>Research Park Dr</t>
  </si>
  <si>
    <t>The Park at Research Forest</t>
  </si>
  <si>
    <t>Riva Row</t>
  </si>
  <si>
    <t>Boardwalk at Town Center Apts II</t>
  </si>
  <si>
    <t>Holly Creek</t>
  </si>
  <si>
    <t>Panther Creek Dr S</t>
  </si>
  <si>
    <t>Forest View</t>
  </si>
  <si>
    <t>Timbers of Pine Hollow</t>
  </si>
  <si>
    <t>Little Bend Rd</t>
  </si>
  <si>
    <t>Independent Missionary Village</t>
  </si>
  <si>
    <t>Church Village</t>
  </si>
  <si>
    <t>Cavalcade St</t>
  </si>
  <si>
    <t>Cavalcade Plaza</t>
  </si>
  <si>
    <t>Pine Wood Apts</t>
  </si>
  <si>
    <t>Longmire</t>
  </si>
  <si>
    <t>The Cedars</t>
  </si>
  <si>
    <t>336 Loop W N</t>
  </si>
  <si>
    <t>Plantation Dr</t>
  </si>
  <si>
    <t>Autumn Woods</t>
  </si>
  <si>
    <t>Sawdust Rd</t>
  </si>
  <si>
    <t>Woodland Meadows</t>
  </si>
  <si>
    <t>Scarborough Dr</t>
  </si>
  <si>
    <t>Oddfellow</t>
  </si>
  <si>
    <t>Tanglewood</t>
  </si>
  <si>
    <t>Copperwood I &amp; II</t>
  </si>
  <si>
    <t>Harvestwood Apts</t>
  </si>
  <si>
    <t>Valleywood Rd</t>
  </si>
  <si>
    <t>Westview Blvd</t>
  </si>
  <si>
    <t>Central Park Condominiums</t>
  </si>
  <si>
    <t>River Pointe Dr</t>
  </si>
  <si>
    <t>River Pointe</t>
  </si>
  <si>
    <t>Millbend Dr S</t>
  </si>
  <si>
    <t>IMT Village Square</t>
  </si>
  <si>
    <t>Montgomery Park</t>
  </si>
  <si>
    <t>Cimarron Park</t>
  </si>
  <si>
    <t>Concord at Little York</t>
  </si>
  <si>
    <t>Casa Quintana</t>
  </si>
  <si>
    <t>Reed Rd</t>
  </si>
  <si>
    <t>Reed Parque TH</t>
  </si>
  <si>
    <t>Willow Green</t>
  </si>
  <si>
    <t>Gosling</t>
  </si>
  <si>
    <t>Alden Landing</t>
  </si>
  <si>
    <t>Shenandoah</t>
  </si>
  <si>
    <t>The Park at Woodmoor</t>
  </si>
  <si>
    <t>Carriage Woods</t>
  </si>
  <si>
    <t>The Lodge at Kingwood</t>
  </si>
  <si>
    <t>Montgomery Park Blvd</t>
  </si>
  <si>
    <t>White Oak</t>
  </si>
  <si>
    <t>Lyons Ave</t>
  </si>
  <si>
    <t>Pleasant Hill Village</t>
  </si>
  <si>
    <t>Mallard Creek</t>
  </si>
  <si>
    <t>Kellington Dr</t>
  </si>
  <si>
    <t>The Paramount at Kingwood</t>
  </si>
  <si>
    <t>Kings Manor Dr N</t>
  </si>
  <si>
    <t>The Preserve at Kingwood</t>
  </si>
  <si>
    <t>Wildwood Forest Dr</t>
  </si>
  <si>
    <t>Wildwood Forest</t>
  </si>
  <si>
    <t>Six Pines Dr</t>
  </si>
  <si>
    <t>The Parkside</t>
  </si>
  <si>
    <t>Tanglebrush Dr</t>
  </si>
  <si>
    <t>Woodglen</t>
  </si>
  <si>
    <t>Kenwood Club at the Park</t>
  </si>
  <si>
    <t>Briarpark Dr</t>
  </si>
  <si>
    <t>The Retreat at Westchase</t>
  </si>
  <si>
    <t>Saint Emanuel St</t>
  </si>
  <si>
    <t>Lofts at the Ballpark</t>
  </si>
  <si>
    <t>North Stream Manor</t>
  </si>
  <si>
    <t>Spring Rain</t>
  </si>
  <si>
    <t>Airtex</t>
  </si>
  <si>
    <t>Quail Chase</t>
  </si>
  <si>
    <t>Plum Creek TH</t>
  </si>
  <si>
    <t>Memorial Ct</t>
  </si>
  <si>
    <t>AMLI at Memorial Heights</t>
  </si>
  <si>
    <t>Memorial Heights Dr</t>
  </si>
  <si>
    <t>The Estates at Memorial Heights</t>
  </si>
  <si>
    <t>Park Lakes</t>
  </si>
  <si>
    <t>Baker Dr</t>
  </si>
  <si>
    <t>Sabine St</t>
  </si>
  <si>
    <t>Sabine Street Lofts</t>
  </si>
  <si>
    <t>The Enclave at Copperfield</t>
  </si>
  <si>
    <t>Creekbend</t>
  </si>
  <si>
    <t>Windsor Park</t>
  </si>
  <si>
    <t>Captain's Landing</t>
  </si>
  <si>
    <t>Little York E</t>
  </si>
  <si>
    <t>Meadowbrook Plaza</t>
  </si>
  <si>
    <t>Fairmont Pkwy W</t>
  </si>
  <si>
    <t>The Enclave at Cornerstone</t>
  </si>
  <si>
    <t>The Shoreham</t>
  </si>
  <si>
    <t>The Villages of Cypress Creek</t>
  </si>
  <si>
    <t>Loganberry</t>
  </si>
  <si>
    <t>The Gateway at Lake Jackson</t>
  </si>
  <si>
    <t>Brazoswood E</t>
  </si>
  <si>
    <t>The Villas on Woodforest</t>
  </si>
  <si>
    <t>Highland Meadow Village Dr</t>
  </si>
  <si>
    <t>Highland Meadow Village</t>
  </si>
  <si>
    <t>Dove Country Dr</t>
  </si>
  <si>
    <t>The Park at Fort Bend</t>
  </si>
  <si>
    <t>IMT Lake Wyndemere</t>
  </si>
  <si>
    <t>Six Pines Rd</t>
  </si>
  <si>
    <t>Tamarac Pines I &amp; II</t>
  </si>
  <si>
    <t>Blodgett</t>
  </si>
  <si>
    <t>Richfield Manor</t>
  </si>
  <si>
    <t>Villas in the Pines</t>
  </si>
  <si>
    <t>Sampson St</t>
  </si>
  <si>
    <t>Savoy</t>
  </si>
  <si>
    <t>Deerwood Pines</t>
  </si>
  <si>
    <t>Jackson Hill</t>
  </si>
  <si>
    <t>The Jackson Hill</t>
  </si>
  <si>
    <t>The Reserve at Autumn Creek</t>
  </si>
  <si>
    <t>Washington Ave</t>
  </si>
  <si>
    <t>Washington Courtyards Apts</t>
  </si>
  <si>
    <t>The Villages of Lake Jackson</t>
  </si>
  <si>
    <t>Timber Forest Dr</t>
  </si>
  <si>
    <t>Timberlakes at Atascocita</t>
  </si>
  <si>
    <t>Swiss Village on the Park II</t>
  </si>
  <si>
    <t>Atascocita Shores</t>
  </si>
  <si>
    <t>Lakeshore Villas</t>
  </si>
  <si>
    <t>Forest Dr N</t>
  </si>
  <si>
    <t>Bala Woods at Kingwood</t>
  </si>
  <si>
    <t>Woodridge Park</t>
  </si>
  <si>
    <t>Tidwell Rd</t>
  </si>
  <si>
    <t>Lakecrest Village</t>
  </si>
  <si>
    <t>Skyview at Palm Center</t>
  </si>
  <si>
    <t>TC Jester Blvd</t>
  </si>
  <si>
    <t>Stonewood</t>
  </si>
  <si>
    <t>The Museum Tower</t>
  </si>
  <si>
    <t>Wood Forest Dr</t>
  </si>
  <si>
    <t>Wood Forest Chase</t>
  </si>
  <si>
    <t>Columbia Greens</t>
  </si>
  <si>
    <t>Montgomery Rd W</t>
  </si>
  <si>
    <t>Woodglen Village</t>
  </si>
  <si>
    <t>The Enclave at Woodbridge</t>
  </si>
  <si>
    <t>The Residence at Westchase</t>
  </si>
  <si>
    <t>Willow Lake I</t>
  </si>
  <si>
    <t>Ventana at Midtown</t>
  </si>
  <si>
    <t>Chasewood</t>
  </si>
  <si>
    <t>Schroeder Rd</t>
  </si>
  <si>
    <t>The Club at Stablechase</t>
  </si>
  <si>
    <t>Spring Oaks II</t>
  </si>
  <si>
    <t>The Gallery at Champions</t>
  </si>
  <si>
    <t>Cypress Ridge</t>
  </si>
  <si>
    <t>Woerner Rd</t>
  </si>
  <si>
    <t>Lakebridge II</t>
  </si>
  <si>
    <t>Rolling Creek</t>
  </si>
  <si>
    <t>The Palms on Rolling Creek</t>
  </si>
  <si>
    <t>Cole Ave</t>
  </si>
  <si>
    <t>Falcon Pointe</t>
  </si>
  <si>
    <t>Britons Place</t>
  </si>
  <si>
    <t>Gulfway</t>
  </si>
  <si>
    <t>William</t>
  </si>
  <si>
    <t>Dakota Lofts</t>
  </si>
  <si>
    <t>Avalon Bay</t>
  </si>
  <si>
    <t>Greenway Plaza</t>
  </si>
  <si>
    <t>14-15</t>
  </si>
  <si>
    <t>Greenway II</t>
  </si>
  <si>
    <t>Goldberg Towers I &amp; II</t>
  </si>
  <si>
    <t>Lakeside Green Condo Apts</t>
  </si>
  <si>
    <t>Avery Park III</t>
  </si>
  <si>
    <t>Bohnhof Strasse St</t>
  </si>
  <si>
    <t>16303-16330</t>
  </si>
  <si>
    <t>Aspen Forest</t>
  </si>
  <si>
    <t>University</t>
  </si>
  <si>
    <t>University Forest</t>
  </si>
  <si>
    <t>University Housing</t>
  </si>
  <si>
    <t>Emmett F Lowery Expwy</t>
  </si>
  <si>
    <t>The Retreat at Texas City</t>
  </si>
  <si>
    <t>Green River TH</t>
  </si>
  <si>
    <t>Cloyd Dr</t>
  </si>
  <si>
    <t>The Park at Walkers Landing</t>
  </si>
  <si>
    <t>Grand Oaks Blvd</t>
  </si>
  <si>
    <t>Grand Oaks Rental Homes</t>
  </si>
  <si>
    <t>The Lodge on El Dorado</t>
  </si>
  <si>
    <t>The Pines at Long Point</t>
  </si>
  <si>
    <t>Miramar TH</t>
  </si>
  <si>
    <t>Chateaux Normandie</t>
  </si>
  <si>
    <t>Charterwood Dr</t>
  </si>
  <si>
    <t>Tivoli Apts</t>
  </si>
  <si>
    <t>Post Oak Blvd</t>
  </si>
  <si>
    <t>Village Way</t>
  </si>
  <si>
    <t>Brookshire Village</t>
  </si>
  <si>
    <t>Brookshire</t>
  </si>
  <si>
    <t>Buena Vista TH</t>
  </si>
  <si>
    <t>Briarstone</t>
  </si>
  <si>
    <t>C Trailing Vine Dr</t>
  </si>
  <si>
    <t>Trailing Vine Place</t>
  </si>
  <si>
    <t>6 Hwy</t>
  </si>
  <si>
    <t>Oaks of Hitchcock</t>
  </si>
  <si>
    <t>Plantation W</t>
  </si>
  <si>
    <t>Oaks of Flagridge</t>
  </si>
  <si>
    <t>Any Way St</t>
  </si>
  <si>
    <t>Oyster Creek</t>
  </si>
  <si>
    <t>1266 FM</t>
  </si>
  <si>
    <t>Lake Haven</t>
  </si>
  <si>
    <t>332 Hwy</t>
  </si>
  <si>
    <t>The Palms Of Lake Jackson</t>
  </si>
  <si>
    <t>Lakeside at Campeche</t>
  </si>
  <si>
    <t>Georgian TH</t>
  </si>
  <si>
    <t>Dunbar Estates</t>
  </si>
  <si>
    <t>Bedford</t>
  </si>
  <si>
    <t>Bay Pointe</t>
  </si>
  <si>
    <t>11th St S</t>
  </si>
  <si>
    <t>Richmond House</t>
  </si>
  <si>
    <t>Victoria Condos</t>
  </si>
  <si>
    <t>Alabonson</t>
  </si>
  <si>
    <t>Inwood Pines</t>
  </si>
  <si>
    <t>Cherry S</t>
  </si>
  <si>
    <t>Dartford Square</t>
  </si>
  <si>
    <t>2004 FM</t>
  </si>
  <si>
    <t>Windsor Estates I</t>
  </si>
  <si>
    <t>Rollingbrook Dr</t>
  </si>
  <si>
    <t>Stonebrook I</t>
  </si>
  <si>
    <t>Adoue W</t>
  </si>
  <si>
    <t>Memorial Glen</t>
  </si>
  <si>
    <t>Barrington Court</t>
  </si>
  <si>
    <t>Town Plaza</t>
  </si>
  <si>
    <t>The Promenade Jersey Village I</t>
  </si>
  <si>
    <t>Kempwood TH</t>
  </si>
  <si>
    <t>61st St</t>
  </si>
  <si>
    <t>Somerset Retirement Village</t>
  </si>
  <si>
    <t>Cullen</t>
  </si>
  <si>
    <t>Cambridge Oaks</t>
  </si>
  <si>
    <t>Arto</t>
  </si>
  <si>
    <t>Timber Crossing</t>
  </si>
  <si>
    <t>Timber Point</t>
  </si>
  <si>
    <t>Treemont</t>
  </si>
  <si>
    <t>Barringer Ln</t>
  </si>
  <si>
    <t>Clear Lake Condominiums</t>
  </si>
  <si>
    <t>Clarewood House Retirement Community</t>
  </si>
  <si>
    <t>Tranquility Lake Blvd</t>
  </si>
  <si>
    <t>The Club at Tranquility Lake</t>
  </si>
  <si>
    <t>Kippway</t>
  </si>
  <si>
    <t>Collingham Park</t>
  </si>
  <si>
    <t>.5 Fallbrook</t>
  </si>
  <si>
    <t>Willowood Gardens</t>
  </si>
  <si>
    <t>Williamsburg</t>
  </si>
  <si>
    <t>Village Ln</t>
  </si>
  <si>
    <t>The Village</t>
  </si>
  <si>
    <t>La Plaza</t>
  </si>
  <si>
    <t>Woodvine Park Condos</t>
  </si>
  <si>
    <t>The OceanFront</t>
  </si>
  <si>
    <t>Skylane West</t>
  </si>
  <si>
    <t>Misty Ln</t>
  </si>
  <si>
    <t>Meadow Chase</t>
  </si>
  <si>
    <t>Bay City</t>
  </si>
  <si>
    <t>Carrell St E</t>
  </si>
  <si>
    <t>750 &amp; 820</t>
  </si>
  <si>
    <t>Mid-Towne I &amp; II</t>
  </si>
  <si>
    <t>Belair Dr</t>
  </si>
  <si>
    <t>Summercreek</t>
  </si>
  <si>
    <t>Monticello Manor</t>
  </si>
  <si>
    <t>Elm St</t>
  </si>
  <si>
    <t>1900 Elm</t>
  </si>
  <si>
    <t>Dallas</t>
  </si>
  <si>
    <t>Cedar Springs</t>
  </si>
  <si>
    <t>4242 Cedar Springs (Demolished)</t>
  </si>
  <si>
    <t>Worthington</t>
  </si>
  <si>
    <t>Post Abbey</t>
  </si>
  <si>
    <t>Canton</t>
  </si>
  <si>
    <t>Adam Hats Downtown Lofts</t>
  </si>
  <si>
    <t>Addison Cir</t>
  </si>
  <si>
    <t>Post Addison Circle</t>
  </si>
  <si>
    <t>Addison</t>
  </si>
  <si>
    <t>Brookhaven Club Dr</t>
  </si>
  <si>
    <t>Addison of Brookhaven (Demolished)</t>
  </si>
  <si>
    <t>18th St E</t>
  </si>
  <si>
    <t>Plano</t>
  </si>
  <si>
    <t>Ambassador Way</t>
  </si>
  <si>
    <t>Ambassador</t>
  </si>
  <si>
    <t>Balch Springs</t>
  </si>
  <si>
    <t>Tierney</t>
  </si>
  <si>
    <t>Fort Worth</t>
  </si>
  <si>
    <t>Spring Valley</t>
  </si>
  <si>
    <t>Amber Dawn</t>
  </si>
  <si>
    <t>Garland Ave N</t>
  </si>
  <si>
    <t>Amberly Village TH</t>
  </si>
  <si>
    <t>Garland</t>
  </si>
  <si>
    <t>Ervay St S</t>
  </si>
  <si>
    <t>American Beauty Mill Lofts</t>
  </si>
  <si>
    <t>Dilido</t>
  </si>
  <si>
    <t>La Ventana</t>
  </si>
  <si>
    <t>Amesbury Dr</t>
  </si>
  <si>
    <t>Amesbury Parc</t>
  </si>
  <si>
    <t>Amesbury TH</t>
  </si>
  <si>
    <t>Accent Dr</t>
  </si>
  <si>
    <t>Bellagio at Bent Tree I &amp; II</t>
  </si>
  <si>
    <t>Preston Park Blvd</t>
  </si>
  <si>
    <t>Archstone Preston Park</t>
  </si>
  <si>
    <t>Renner Rd E</t>
  </si>
  <si>
    <t>Breckinridge Point</t>
  </si>
  <si>
    <t>Legacy</t>
  </si>
  <si>
    <t>Villas at Chase Oaks</t>
  </si>
  <si>
    <t>Hedgecoxe</t>
  </si>
  <si>
    <t>AMLI at Deerfield</t>
  </si>
  <si>
    <t>Marsh Ln</t>
  </si>
  <si>
    <t>Nantucket Landing</t>
  </si>
  <si>
    <t>Archstone Lexington</t>
  </si>
  <si>
    <t>Flower Mound</t>
  </si>
  <si>
    <t>Virginia Pkwy</t>
  </si>
  <si>
    <t>The Venue at Stonebridge Ranch</t>
  </si>
  <si>
    <t>McKinney</t>
  </si>
  <si>
    <t>Red River Trl</t>
  </si>
  <si>
    <t>Gardens of Valley Ranch</t>
  </si>
  <si>
    <t>Irving</t>
  </si>
  <si>
    <t>Timberglen</t>
  </si>
  <si>
    <t>Triden Village Apts</t>
  </si>
  <si>
    <t>Briargrove Ln</t>
  </si>
  <si>
    <t>Andalusian Gate</t>
  </si>
  <si>
    <t>The Apple</t>
  </si>
  <si>
    <t>Dale Crest Dr</t>
  </si>
  <si>
    <t>Gage Place</t>
  </si>
  <si>
    <t>Arbor Creek</t>
  </si>
  <si>
    <t>Lewisville</t>
  </si>
  <si>
    <t>Buckingham Rd E</t>
  </si>
  <si>
    <t>Arboretum Estates</t>
  </si>
  <si>
    <t>Trinity Mills E</t>
  </si>
  <si>
    <t>The Arbors of Carrollton</t>
  </si>
  <si>
    <t>Carrollton</t>
  </si>
  <si>
    <t>Arbors of Las Colinas</t>
  </si>
  <si>
    <t>Cockrell Hill S</t>
  </si>
  <si>
    <t>Arborstone</t>
  </si>
  <si>
    <t>Custer Rd</t>
  </si>
  <si>
    <t>Archstone Legacy</t>
  </si>
  <si>
    <t>Spring Creek</t>
  </si>
  <si>
    <t>The Park on Spring Creek</t>
  </si>
  <si>
    <t>Hall St N</t>
  </si>
  <si>
    <t>The Argyle</t>
  </si>
  <si>
    <t>Shadow Way</t>
  </si>
  <si>
    <t>The Madeline</t>
  </si>
  <si>
    <t>Overly Dr W</t>
  </si>
  <si>
    <t>Ashleye Village</t>
  </si>
  <si>
    <t>Lake Dallas</t>
  </si>
  <si>
    <t>303 Hwy W</t>
  </si>
  <si>
    <t>Grand Prairie</t>
  </si>
  <si>
    <t>Skillman</t>
  </si>
  <si>
    <t>Bella Palms I</t>
  </si>
  <si>
    <t>Bella Palms II</t>
  </si>
  <si>
    <t>Ferguson Rd</t>
  </si>
  <si>
    <t>Amelia Ct</t>
  </si>
  <si>
    <t>Aspen Court</t>
  </si>
  <si>
    <t>Dennis</t>
  </si>
  <si>
    <t>Aventerra</t>
  </si>
  <si>
    <t>The Astoria</t>
  </si>
  <si>
    <t>NW Dr</t>
  </si>
  <si>
    <t>Audubon Park</t>
  </si>
  <si>
    <t>Mesquite</t>
  </si>
  <si>
    <t>Saint Augustine N</t>
  </si>
  <si>
    <t>Casa Linda</t>
  </si>
  <si>
    <t>Camp Wisdom W</t>
  </si>
  <si>
    <t>Austin Bluff</t>
  </si>
  <si>
    <t>123 Hwy S</t>
  </si>
  <si>
    <t>Autumn Breeze</t>
  </si>
  <si>
    <t>Josey Ln</t>
  </si>
  <si>
    <t>Joyce Ln</t>
  </si>
  <si>
    <t>Denton</t>
  </si>
  <si>
    <t>Moser Ave</t>
  </si>
  <si>
    <t>Avalon at Chase Oaks</t>
  </si>
  <si>
    <t>Bell Preston</t>
  </si>
  <si>
    <t>Webb Chapel Extension</t>
  </si>
  <si>
    <t>Bachman Oaks</t>
  </si>
  <si>
    <t>Baker Square</t>
  </si>
  <si>
    <t>Ballantrae Springs</t>
  </si>
  <si>
    <t>Denton Tap Rd</t>
  </si>
  <si>
    <t>Ballantyne</t>
  </si>
  <si>
    <t>Barclay St</t>
  </si>
  <si>
    <t>Villas Del Rey</t>
  </si>
  <si>
    <t>80 US Hwy E</t>
  </si>
  <si>
    <t>The Barons</t>
  </si>
  <si>
    <t>Bardin</t>
  </si>
  <si>
    <t>Bay Island</t>
  </si>
  <si>
    <t>Lakeview Cir</t>
  </si>
  <si>
    <t>Bayshore Village</t>
  </si>
  <si>
    <t>Lombardy Ln</t>
  </si>
  <si>
    <t>Adleta Blvd</t>
  </si>
  <si>
    <t>Belle Grove at Custer</t>
  </si>
  <si>
    <t>Duck Creek Dr</t>
  </si>
  <si>
    <t>The Belmont at Duck Creek</t>
  </si>
  <si>
    <t>Country Club W</t>
  </si>
  <si>
    <t>Benchmark</t>
  </si>
  <si>
    <t>Amesbury</t>
  </si>
  <si>
    <t>The Bend-Bend East</t>
  </si>
  <si>
    <t>Bennett</t>
  </si>
  <si>
    <t>Bennett Place</t>
  </si>
  <si>
    <t>Edmonds Ln</t>
  </si>
  <si>
    <t>Bent Creek</t>
  </si>
  <si>
    <t>Wilson Creek Blvd</t>
  </si>
  <si>
    <t>Forest Ln</t>
  </si>
  <si>
    <t>Lake Highlands Landing</t>
  </si>
  <si>
    <t>Westgrove</t>
  </si>
  <si>
    <t>Bent Tree Brooks</t>
  </si>
  <si>
    <t>Ledgemont</t>
  </si>
  <si>
    <t>Bent Tree Fountains</t>
  </si>
  <si>
    <t>Bent Tree Oaks</t>
  </si>
  <si>
    <t>Bent Tree Trails</t>
  </si>
  <si>
    <t>Bentley Place at Willow Bend</t>
  </si>
  <si>
    <t>Benton Dr</t>
  </si>
  <si>
    <t>Benton Pointe</t>
  </si>
  <si>
    <t>Allen</t>
  </si>
  <si>
    <t>Spring Valley Rd</t>
  </si>
  <si>
    <t>Arbor Springs</t>
  </si>
  <si>
    <t>Cliffbrook</t>
  </si>
  <si>
    <t>Berkshire Square</t>
  </si>
  <si>
    <t>Addison Park</t>
  </si>
  <si>
    <t>Verde Valley</t>
  </si>
  <si>
    <t>Biltmore</t>
  </si>
  <si>
    <t>Melody Ln</t>
  </si>
  <si>
    <t>Grand Ave E</t>
  </si>
  <si>
    <t>The Bluffs of Lakewood</t>
  </si>
  <si>
    <t>Bolivar</t>
  </si>
  <si>
    <t>Boliver Square</t>
  </si>
  <si>
    <t>Duck Creek</t>
  </si>
  <si>
    <t>The Boulders</t>
  </si>
  <si>
    <t>Castle Dr</t>
  </si>
  <si>
    <t>Bradfield Place</t>
  </si>
  <si>
    <t>Rogers N</t>
  </si>
  <si>
    <t>Apollo Rd</t>
  </si>
  <si>
    <t>Mission Spring Creek</t>
  </si>
  <si>
    <t>Branch Hollow</t>
  </si>
  <si>
    <t>Branch Hollow TH</t>
  </si>
  <si>
    <t>Brand Rd</t>
  </si>
  <si>
    <t>Brandon Walk</t>
  </si>
  <si>
    <t>Horizon Pkwy N</t>
  </si>
  <si>
    <t>The Brazos</t>
  </si>
  <si>
    <t>Rio Grande</t>
  </si>
  <si>
    <t>The Brentdale</t>
  </si>
  <si>
    <t>Peterson</t>
  </si>
  <si>
    <t>The Arts Apts at Midtown</t>
  </si>
  <si>
    <t>Macarthur</t>
  </si>
  <si>
    <t>Briargrove</t>
  </si>
  <si>
    <t>Briargrove At Vail</t>
  </si>
  <si>
    <t>Jim Miller</t>
  </si>
  <si>
    <t>Bridgeport</t>
  </si>
  <si>
    <t>Polaris</t>
  </si>
  <si>
    <t>Brighton Place</t>
  </si>
  <si>
    <t>Preston</t>
  </si>
  <si>
    <t>Cottages of Tulane</t>
  </si>
  <si>
    <t>Bristol Oaks</t>
  </si>
  <si>
    <t>The Colony</t>
  </si>
  <si>
    <t>John Rd W</t>
  </si>
  <si>
    <t>Dallas Pkwy</t>
  </si>
  <si>
    <t>Brittany Park</t>
  </si>
  <si>
    <t>Investor Dr</t>
  </si>
  <si>
    <t>Broadmoor Place</t>
  </si>
  <si>
    <t>Courtside</t>
  </si>
  <si>
    <t>Broadmoor Villas</t>
  </si>
  <si>
    <t>Broadway Blvd</t>
  </si>
  <si>
    <t>Broadway Commons</t>
  </si>
  <si>
    <t>The Arts Apts at Broadway Commons II</t>
  </si>
  <si>
    <t>Brockbank Dr</t>
  </si>
  <si>
    <t>Brockbank</t>
  </si>
  <si>
    <t>David Ave</t>
  </si>
  <si>
    <t>Brook Hollow</t>
  </si>
  <si>
    <t>Desoto</t>
  </si>
  <si>
    <t>Castle Rock</t>
  </si>
  <si>
    <t>Preferred Rd</t>
  </si>
  <si>
    <t>Farmers Branch</t>
  </si>
  <si>
    <t>Brooks (Demolished)</t>
  </si>
  <si>
    <t>The Brooks on Preston</t>
  </si>
  <si>
    <t>Audelia Rd</t>
  </si>
  <si>
    <t>The Brookshire</t>
  </si>
  <si>
    <t>Block Dr</t>
  </si>
  <si>
    <t>Brookstone</t>
  </si>
  <si>
    <t>Plymouth Rd N</t>
  </si>
  <si>
    <t>The Greens of Kessler Park</t>
  </si>
  <si>
    <t>Bruton Rd</t>
  </si>
  <si>
    <t>Mira Flores</t>
  </si>
  <si>
    <t>Buckner Village</t>
  </si>
  <si>
    <t>Burgundy</t>
  </si>
  <si>
    <t>Las Colinas Blvd E</t>
  </si>
  <si>
    <t>Cabochon at Las Colinas I</t>
  </si>
  <si>
    <t>Cabochon at Las Colinas II</t>
  </si>
  <si>
    <t>Eastridge</t>
  </si>
  <si>
    <t>Calais-Slopes Condos</t>
  </si>
  <si>
    <t>NW Hwy E</t>
  </si>
  <si>
    <t>Valley Pkwy N</t>
  </si>
  <si>
    <t>Camden Farmers Market I</t>
  </si>
  <si>
    <t>Trinity Mills</t>
  </si>
  <si>
    <t>Camden Garden</t>
  </si>
  <si>
    <t>Hampshire</t>
  </si>
  <si>
    <t>Camelot</t>
  </si>
  <si>
    <t>80 Hwy E</t>
  </si>
  <si>
    <t>Camelot Village</t>
  </si>
  <si>
    <t>Acton Ave &amp; Candlelight Ave</t>
  </si>
  <si>
    <t>1402 &amp; 1407</t>
  </si>
  <si>
    <t>Candlelight Park</t>
  </si>
  <si>
    <t>Duncanville</t>
  </si>
  <si>
    <t>Canterbury Courts</t>
  </si>
  <si>
    <t>Canyon Falls</t>
  </si>
  <si>
    <t>Graycliff</t>
  </si>
  <si>
    <t>The Villas Of White Rock</t>
  </si>
  <si>
    <t>Meadow Rd</t>
  </si>
  <si>
    <t>Yellow Jacket Ln</t>
  </si>
  <si>
    <t>Canyon Ridge</t>
  </si>
  <si>
    <t>Rockwall</t>
  </si>
  <si>
    <t>Carlisle on the Katy Trail</t>
  </si>
  <si>
    <t>Maham</t>
  </si>
  <si>
    <t>Carlton Court I &amp; II</t>
  </si>
  <si>
    <t>Carpenter Ave</t>
  </si>
  <si>
    <t>Carpenter Cove</t>
  </si>
  <si>
    <t>80 Hwy 1-A E</t>
  </si>
  <si>
    <t>Carrera Run</t>
  </si>
  <si>
    <t>Carriage Homes of Signature Place</t>
  </si>
  <si>
    <t>Communications Pkwy</t>
  </si>
  <si>
    <t>Carrington Park</t>
  </si>
  <si>
    <t>Kelly Blvd</t>
  </si>
  <si>
    <t>Carrollton Park</t>
  </si>
  <si>
    <t>Hillcrest St</t>
  </si>
  <si>
    <t>Casa Claire</t>
  </si>
  <si>
    <t>Randolph Dr N</t>
  </si>
  <si>
    <t>Casa de Loma</t>
  </si>
  <si>
    <t>Santa Fe Trl</t>
  </si>
  <si>
    <t>Casa Valley</t>
  </si>
  <si>
    <t>Oates</t>
  </si>
  <si>
    <t>Casa View</t>
  </si>
  <si>
    <t>Castillian</t>
  </si>
  <si>
    <t>Castle Cove</t>
  </si>
  <si>
    <t>80 Hwy #146 E</t>
  </si>
  <si>
    <t>Castle Loma</t>
  </si>
  <si>
    <t>Catalina at Bellaire</t>
  </si>
  <si>
    <t>Graves St S</t>
  </si>
  <si>
    <t>Cedar Creek Village</t>
  </si>
  <si>
    <t>Camp Wisdom Rd W</t>
  </si>
  <si>
    <t>175 US Hwy N</t>
  </si>
  <si>
    <t>Cedar Point</t>
  </si>
  <si>
    <t>Seagoville</t>
  </si>
  <si>
    <t>Rosemeade Pkwy</t>
  </si>
  <si>
    <t>Cedarbrook</t>
  </si>
  <si>
    <t>Buckingham W</t>
  </si>
  <si>
    <t>Cedars</t>
  </si>
  <si>
    <t>Center W</t>
  </si>
  <si>
    <t>Center Ridge</t>
  </si>
  <si>
    <t>Chimney Hill</t>
  </si>
  <si>
    <t>Spring Creek Pkwy E</t>
  </si>
  <si>
    <t>The Giovanna</t>
  </si>
  <si>
    <t>Frankford</t>
  </si>
  <si>
    <t>Centerpoint</t>
  </si>
  <si>
    <t>Centerville Rd W</t>
  </si>
  <si>
    <t>Centerville Crossing</t>
  </si>
  <si>
    <t>Centerville Pointe</t>
  </si>
  <si>
    <t>Lawrence Dr</t>
  </si>
  <si>
    <t>Centron I &amp; II</t>
  </si>
  <si>
    <t>Haverwood</t>
  </si>
  <si>
    <t>Champions of North Dallas</t>
  </si>
  <si>
    <t>MacArthur Blvd N</t>
  </si>
  <si>
    <t>The Champions of Valley Ranch</t>
  </si>
  <si>
    <t>3040 FM</t>
  </si>
  <si>
    <t>Chapel Hill II</t>
  </si>
  <si>
    <t>Roundgrove Rd E</t>
  </si>
  <si>
    <t>Chapel Hill I</t>
  </si>
  <si>
    <t>Vista Ridge Mall Dr</t>
  </si>
  <si>
    <t>Chapel Hill III</t>
  </si>
  <si>
    <t>Chaparral Creek</t>
  </si>
  <si>
    <t>Chase Crossing</t>
  </si>
  <si>
    <t>The Chase</t>
  </si>
  <si>
    <t>Dilido Rd</t>
  </si>
  <si>
    <t>Bella Vista Pointe</t>
  </si>
  <si>
    <t>Walnut St W</t>
  </si>
  <si>
    <t>Audelia</t>
  </si>
  <si>
    <t>Amanda</t>
  </si>
  <si>
    <t>Villa Vista</t>
  </si>
  <si>
    <t>Park Blvd</t>
  </si>
  <si>
    <t>Chisholm Place Condos</t>
  </si>
  <si>
    <t>Carl Rd</t>
  </si>
  <si>
    <t>Village at the Crossroads</t>
  </si>
  <si>
    <t>Brittain N</t>
  </si>
  <si>
    <t>Chivas West</t>
  </si>
  <si>
    <t>Churchill Way</t>
  </si>
  <si>
    <t>Churchill On The Park</t>
  </si>
  <si>
    <t>The Arts Apts at Broadway Commons I</t>
  </si>
  <si>
    <t>Prestonview Blvd</t>
  </si>
  <si>
    <t>Regal Court</t>
  </si>
  <si>
    <t>Lina St</t>
  </si>
  <si>
    <t>City Limits</t>
  </si>
  <si>
    <t>360 Hwy N</t>
  </si>
  <si>
    <t>The Clairborne</t>
  </si>
  <si>
    <t>Highland Rd</t>
  </si>
  <si>
    <t>Claremont</t>
  </si>
  <si>
    <t>Beltline Rd N</t>
  </si>
  <si>
    <t>Clarendon</t>
  </si>
  <si>
    <t>Park Ln</t>
  </si>
  <si>
    <t>Claridge Pointe</t>
  </si>
  <si>
    <t>Alouette Dr</t>
  </si>
  <si>
    <t>Clayton Pointe</t>
  </si>
  <si>
    <t>Renner Rd</t>
  </si>
  <si>
    <t>Clearwater Creek</t>
  </si>
  <si>
    <t>Overton E</t>
  </si>
  <si>
    <t>Cliff Park Village</t>
  </si>
  <si>
    <t>Cliffbrook Dr #108</t>
  </si>
  <si>
    <t>Cliffbrook Condos</t>
  </si>
  <si>
    <t>Southwestern</t>
  </si>
  <si>
    <t>The Cliffs</t>
  </si>
  <si>
    <t>Eldorado Pkwy</t>
  </si>
  <si>
    <t>Cliffs of Eldorado</t>
  </si>
  <si>
    <t>Brookhaven Village South-Clipper Pointe</t>
  </si>
  <si>
    <t>Clubview Gardens</t>
  </si>
  <si>
    <t>Stone Canyon Rd</t>
  </si>
  <si>
    <t>Avondale Parc</t>
  </si>
  <si>
    <t>Devonshire</t>
  </si>
  <si>
    <t>Cobblestone Condo Apts</t>
  </si>
  <si>
    <t>Post Cole's Corner</t>
  </si>
  <si>
    <t>Rainier</t>
  </si>
  <si>
    <t>Colinas Pointe</t>
  </si>
  <si>
    <t>G Ave</t>
  </si>
  <si>
    <t>Collin Park</t>
  </si>
  <si>
    <t>Bolton Boone Dr</t>
  </si>
  <si>
    <t>Colonies</t>
  </si>
  <si>
    <t>Osler Dr</t>
  </si>
  <si>
    <t>Meredith</t>
  </si>
  <si>
    <t>Colonnade at Willow Bend</t>
  </si>
  <si>
    <t>Coker</t>
  </si>
  <si>
    <t>Colony</t>
  </si>
  <si>
    <t>Fort Worth Ave</t>
  </si>
  <si>
    <t>Colorado Place (demolished)</t>
  </si>
  <si>
    <t>Cliff Creek Crossings</t>
  </si>
  <si>
    <t>Mandalay Palms II</t>
  </si>
  <si>
    <t>Carlisle St</t>
  </si>
  <si>
    <t>Gables on Katy Trail</t>
  </si>
  <si>
    <t>Whitehurst</t>
  </si>
  <si>
    <t>The Park On Whitehurst</t>
  </si>
  <si>
    <t>Carlisle</t>
  </si>
  <si>
    <t>Constantine</t>
  </si>
  <si>
    <t>Maham Rd</t>
  </si>
  <si>
    <t>Shady Brook</t>
  </si>
  <si>
    <t>The Corners</t>
  </si>
  <si>
    <t>Wintergreen E</t>
  </si>
  <si>
    <t>The Corners East</t>
  </si>
  <si>
    <t>Spring Valley Dr</t>
  </si>
  <si>
    <t>Lakeview at Parkside</t>
  </si>
  <si>
    <t>Greenville Ave N</t>
  </si>
  <si>
    <t>Cottonwood Creek</t>
  </si>
  <si>
    <t>Metrocrest</t>
  </si>
  <si>
    <t>Country Club</t>
  </si>
  <si>
    <t>Centerville E</t>
  </si>
  <si>
    <t>Country Club Condo Apts</t>
  </si>
  <si>
    <t>Jupiter N</t>
  </si>
  <si>
    <t>Creekside on the Green</t>
  </si>
  <si>
    <t>Country Sq</t>
  </si>
  <si>
    <t>Country Square</t>
  </si>
  <si>
    <t>Country Trails</t>
  </si>
  <si>
    <t>First St</t>
  </si>
  <si>
    <t>Wilmer</t>
  </si>
  <si>
    <t>Preston Oaks</t>
  </si>
  <si>
    <t>Courts at Preston Oaks</t>
  </si>
  <si>
    <t>Knoll Trl</t>
  </si>
  <si>
    <t>Courts of Bent Tree</t>
  </si>
  <si>
    <t>Pear Ridge</t>
  </si>
  <si>
    <t>Crestmont Reserve</t>
  </si>
  <si>
    <t>Shiloh Dr N</t>
  </si>
  <si>
    <t>Ridgecrest</t>
  </si>
  <si>
    <t>Courtyard On Ridgecrest</t>
  </si>
  <si>
    <t>McKinney Ave</t>
  </si>
  <si>
    <t>Courtyards at Knox Park</t>
  </si>
  <si>
    <t>Carrier Pkwy</t>
  </si>
  <si>
    <t>Covington</t>
  </si>
  <si>
    <t>Pioneer W</t>
  </si>
  <si>
    <t>Covington Creek</t>
  </si>
  <si>
    <t>Woodmeadow Pkwy</t>
  </si>
  <si>
    <t>Creek Stone</t>
  </si>
  <si>
    <t>Chesterfield Dr</t>
  </si>
  <si>
    <t>Mandalay Palms I</t>
  </si>
  <si>
    <t>Walnut W</t>
  </si>
  <si>
    <t>Creekview</t>
  </si>
  <si>
    <t>Little Creek Rd</t>
  </si>
  <si>
    <t>Little Creek Apts</t>
  </si>
  <si>
    <t>Cedar Hill</t>
  </si>
  <si>
    <t>Pioneer Dr W</t>
  </si>
  <si>
    <t>Rolling Hills Place</t>
  </si>
  <si>
    <t>Creekwood Place</t>
  </si>
  <si>
    <t>Lancaster</t>
  </si>
  <si>
    <t>The Azul</t>
  </si>
  <si>
    <t>Hebron Pkwy</t>
  </si>
  <si>
    <t>Crescent Cove at Lakepoint</t>
  </si>
  <si>
    <t>Lucas Dr</t>
  </si>
  <si>
    <t>Crescent View</t>
  </si>
  <si>
    <t>Crestridge</t>
  </si>
  <si>
    <t>Alma</t>
  </si>
  <si>
    <t>Fair Oaks Crossing</t>
  </si>
  <si>
    <t>Sonora Palms</t>
  </si>
  <si>
    <t>Crossings on Walnut Hill</t>
  </si>
  <si>
    <t>Gus Thomasson</t>
  </si>
  <si>
    <t>Custer</t>
  </si>
  <si>
    <t>Custer Park</t>
  </si>
  <si>
    <t>Abrams Rd</t>
  </si>
  <si>
    <t>Cutter's Point</t>
  </si>
  <si>
    <t>Macarthur Blvd</t>
  </si>
  <si>
    <t>Legacy at Valley Ranch</t>
  </si>
  <si>
    <t>Peavy Rd</t>
  </si>
  <si>
    <t>Dana Point</t>
  </si>
  <si>
    <t>Davenport I &amp; II</t>
  </si>
  <si>
    <t>Peters Colony E</t>
  </si>
  <si>
    <t>Dawntree</t>
  </si>
  <si>
    <t>Commerce</t>
  </si>
  <si>
    <t>Deep Ellum Lofts</t>
  </si>
  <si>
    <t>Deer Run</t>
  </si>
  <si>
    <t>CityScape</t>
  </si>
  <si>
    <t>Safari W</t>
  </si>
  <si>
    <t>Derby Park</t>
  </si>
  <si>
    <t>Buckner S</t>
  </si>
  <si>
    <t>Bella Vista Creek</t>
  </si>
  <si>
    <t>Chariot Dr</t>
  </si>
  <si>
    <t>Solana Ridge</t>
  </si>
  <si>
    <t>Windcrest Dr</t>
  </si>
  <si>
    <t>The Domaine</t>
  </si>
  <si>
    <t>Montfort</t>
  </si>
  <si>
    <t>Doral</t>
  </si>
  <si>
    <t>Dorchester</t>
  </si>
  <si>
    <t>Bethany Dr #102 E</t>
  </si>
  <si>
    <t>Dove Hollow</t>
  </si>
  <si>
    <t>Lina</t>
  </si>
  <si>
    <t>Eagle Creek</t>
  </si>
  <si>
    <t>Northgate Dr W</t>
  </si>
  <si>
    <t>Oates Rd E</t>
  </si>
  <si>
    <t>Eagle's Landing</t>
  </si>
  <si>
    <t>Childress</t>
  </si>
  <si>
    <t>Eastpoint</t>
  </si>
  <si>
    <t>Willis</t>
  </si>
  <si>
    <t>Eastbridge</t>
  </si>
  <si>
    <t>Eastfield Plaza</t>
  </si>
  <si>
    <t>La Prada Dr E</t>
  </si>
  <si>
    <t>Eastfield Village</t>
  </si>
  <si>
    <t>Vontress Dr</t>
  </si>
  <si>
    <t>Eastside Village I &amp; II</t>
  </si>
  <si>
    <t>Baywater</t>
  </si>
  <si>
    <t>Heritage at Lakeside</t>
  </si>
  <si>
    <t>Edentree</t>
  </si>
  <si>
    <t>Lake Side Cir</t>
  </si>
  <si>
    <t>Edgewater</t>
  </si>
  <si>
    <t>Nursery Rd N</t>
  </si>
  <si>
    <t>Edgewood</t>
  </si>
  <si>
    <t>Uecker</t>
  </si>
  <si>
    <t>Edgewood Village</t>
  </si>
  <si>
    <t>Craig Dr</t>
  </si>
  <si>
    <t>El Lago</t>
  </si>
  <si>
    <t>Emerald Point</t>
  </si>
  <si>
    <t>Valley Ranch Pkwy W</t>
  </si>
  <si>
    <t>Camden Valley Park</t>
  </si>
  <si>
    <t>Camden Springs</t>
  </si>
  <si>
    <t>Lakeside Cir</t>
  </si>
  <si>
    <t>Emery Bay at Lakepointe</t>
  </si>
  <si>
    <t>Uecker S</t>
  </si>
  <si>
    <t>Enclave</t>
  </si>
  <si>
    <t>Beltline N</t>
  </si>
  <si>
    <t>Mission Courtyard Villas</t>
  </si>
  <si>
    <t>Stonebrook Pkwy</t>
  </si>
  <si>
    <t>Enclave at Stonebrook</t>
  </si>
  <si>
    <t>Frisco</t>
  </si>
  <si>
    <t>MacArthur N</t>
  </si>
  <si>
    <t>The Enclave at Valley Ranch</t>
  </si>
  <si>
    <t>Larmanda</t>
  </si>
  <si>
    <t>Stratford Hill</t>
  </si>
  <si>
    <t>Royal Ln W</t>
  </si>
  <si>
    <t>Vista at Hackbury Creek</t>
  </si>
  <si>
    <t>Shiloh N</t>
  </si>
  <si>
    <t>Equinox on the Park</t>
  </si>
  <si>
    <t>Dickason</t>
  </si>
  <si>
    <t>Estelle Creek North</t>
  </si>
  <si>
    <t>Estrada Pkwy</t>
  </si>
  <si>
    <t>Colonial Village at Estrada</t>
  </si>
  <si>
    <t>Crossings at Irving</t>
  </si>
  <si>
    <t>Fair Oaks Creek</t>
  </si>
  <si>
    <t>Bordeaux</t>
  </si>
  <si>
    <t>Fairfax</t>
  </si>
  <si>
    <t>Coit Rd</t>
  </si>
  <si>
    <t>Fairway Greens</t>
  </si>
  <si>
    <t>Fairways</t>
  </si>
  <si>
    <t>67 US Hwy</t>
  </si>
  <si>
    <t>Mission Fairways at Mesquite</t>
  </si>
  <si>
    <t>Forest Springs Dr</t>
  </si>
  <si>
    <t>Villas on Forest Springs I</t>
  </si>
  <si>
    <t>The Falls</t>
  </si>
  <si>
    <t>Clearwood</t>
  </si>
  <si>
    <t>Falls on Clearwood</t>
  </si>
  <si>
    <t>LBJ Fwy</t>
  </si>
  <si>
    <t>Falltree</t>
  </si>
  <si>
    <t>Josey</t>
  </si>
  <si>
    <t>Fieldcrest Condominiums</t>
  </si>
  <si>
    <t>Finley Rd</t>
  </si>
  <si>
    <t>Finley Square</t>
  </si>
  <si>
    <t>Forest at Duck Creek</t>
  </si>
  <si>
    <t>Forestbrook</t>
  </si>
  <si>
    <t>Forest Brook</t>
  </si>
  <si>
    <t>Trinity Palms</t>
  </si>
  <si>
    <t>Forest Cove</t>
  </si>
  <si>
    <t>Chimney Hill Ln</t>
  </si>
  <si>
    <t>Bosque Estates</t>
  </si>
  <si>
    <t>Forest Hill</t>
  </si>
  <si>
    <t>Forest Park Village</t>
  </si>
  <si>
    <t>Villas on Forest Springs II</t>
  </si>
  <si>
    <t>Forestwood on the Creek</t>
  </si>
  <si>
    <t>Forest Ln Place</t>
  </si>
  <si>
    <t>Forestwood TH</t>
  </si>
  <si>
    <t>Fountains</t>
  </si>
  <si>
    <t>Jupiter</t>
  </si>
  <si>
    <t>Fountains at Jupiter</t>
  </si>
  <si>
    <t>Fountains of Rosemeade</t>
  </si>
  <si>
    <t>Fountains of Woodmeadow</t>
  </si>
  <si>
    <t>Cranford</t>
  </si>
  <si>
    <t>Fox Bend</t>
  </si>
  <si>
    <t>Tarrant Rd W</t>
  </si>
  <si>
    <t>Fox Creek North</t>
  </si>
  <si>
    <t>Ferndale</t>
  </si>
  <si>
    <t>Fox Hills</t>
  </si>
  <si>
    <t>Fox Ave</t>
  </si>
  <si>
    <t>Fox Hollow</t>
  </si>
  <si>
    <t>Roundrock</t>
  </si>
  <si>
    <t>Fox Trails</t>
  </si>
  <si>
    <t>Pineland Dr</t>
  </si>
  <si>
    <t>Royal Ln</t>
  </si>
  <si>
    <t>Hillcrest</t>
  </si>
  <si>
    <t>Frances Way</t>
  </si>
  <si>
    <t>Frances Way Villas</t>
  </si>
  <si>
    <t>Winifred</t>
  </si>
  <si>
    <t>Franciscan</t>
  </si>
  <si>
    <t>Frankford Place</t>
  </si>
  <si>
    <t>Gable Point</t>
  </si>
  <si>
    <t>Lookout Dr</t>
  </si>
  <si>
    <t>Retreat at Spring Park</t>
  </si>
  <si>
    <t>The Seasons at Green Oaks</t>
  </si>
  <si>
    <t>Gables of McKinney</t>
  </si>
  <si>
    <t>Noel Rd</t>
  </si>
  <si>
    <t>San Raphael</t>
  </si>
  <si>
    <t>State St</t>
  </si>
  <si>
    <t>Manchester State Thomas I TH</t>
  </si>
  <si>
    <t>Cole</t>
  </si>
  <si>
    <t>Gables at Turtle Creek Cityplace</t>
  </si>
  <si>
    <t>Travis St</t>
  </si>
  <si>
    <t>Riviera at West Village</t>
  </si>
  <si>
    <t>Veranda At Valley Ranch</t>
  </si>
  <si>
    <t>Galleria TH</t>
  </si>
  <si>
    <t>Garden Gate-Plano</t>
  </si>
  <si>
    <t>Meadows Blvd E</t>
  </si>
  <si>
    <t>Garden House in the Park</t>
  </si>
  <si>
    <t>Brookhaven Village South-Garden Oaks</t>
  </si>
  <si>
    <t>Gardens of Josey Lane</t>
  </si>
  <si>
    <t>Garrett</t>
  </si>
  <si>
    <t>Garrett Gardens</t>
  </si>
  <si>
    <t>Gaston</t>
  </si>
  <si>
    <t>Marquis on Gaston</t>
  </si>
  <si>
    <t>Frankford Rd</t>
  </si>
  <si>
    <t>Gates de Provence</t>
  </si>
  <si>
    <t>NW Hwy W</t>
  </si>
  <si>
    <t>The Gates of Bluffview</t>
  </si>
  <si>
    <t>Joe Wilson Rd S</t>
  </si>
  <si>
    <t>Gates of Cedar Hill</t>
  </si>
  <si>
    <t>The Sequoia at Frankford Springs</t>
  </si>
  <si>
    <t>The Marquis at Park Central</t>
  </si>
  <si>
    <t>Kit Ln</t>
  </si>
  <si>
    <t>Gateway</t>
  </si>
  <si>
    <t>Gatewood</t>
  </si>
  <si>
    <t>Gateway Place</t>
  </si>
  <si>
    <t>Gatewood Senior Community</t>
  </si>
  <si>
    <t>The Georgian</t>
  </si>
  <si>
    <t>Skillman St</t>
  </si>
  <si>
    <t>Glenbrook Dr S</t>
  </si>
  <si>
    <t>Glenbrook Place</t>
  </si>
  <si>
    <t>Brookhaven Village North-Glenwood</t>
  </si>
  <si>
    <t>Hillridge</t>
  </si>
  <si>
    <t>Golden Leaf Village</t>
  </si>
  <si>
    <t>Goodrich Lofts</t>
  </si>
  <si>
    <t>Westchester Pkwy W</t>
  </si>
  <si>
    <t>The Grand Courtyards</t>
  </si>
  <si>
    <t>Love Dr</t>
  </si>
  <si>
    <t>Grand Venetian at Las Colinas</t>
  </si>
  <si>
    <t>The Green in the Village I</t>
  </si>
  <si>
    <t>Spring Valley Rd E</t>
  </si>
  <si>
    <t>Green Valley (Demolished)</t>
  </si>
  <si>
    <t>Spring Creek Pkwy W</t>
  </si>
  <si>
    <t>Fairway Dr</t>
  </si>
  <si>
    <t>Oaks Riverchase</t>
  </si>
  <si>
    <t>Coppell</t>
  </si>
  <si>
    <t>Greenbrook (Demolished)</t>
  </si>
  <si>
    <t>Greenhaven Village (Demolished)</t>
  </si>
  <si>
    <t>Greens Crossing</t>
  </si>
  <si>
    <t>Old Hickory Trl</t>
  </si>
  <si>
    <t>Greens of Hickory Trails</t>
  </si>
  <si>
    <t>MacArthur</t>
  </si>
  <si>
    <t>Jupiter Rd N</t>
  </si>
  <si>
    <t>Meridian Pointe</t>
  </si>
  <si>
    <t>Greysons Gate</t>
  </si>
  <si>
    <t>SW Pkwy E</t>
  </si>
  <si>
    <t>Hampton Bay</t>
  </si>
  <si>
    <t>Swiss Ave</t>
  </si>
  <si>
    <t>Hamptons</t>
  </si>
  <si>
    <t>Hampton Greens</t>
  </si>
  <si>
    <t>Harvard Square</t>
  </si>
  <si>
    <t>Spanish Point</t>
  </si>
  <si>
    <t>Independence Pkwy</t>
  </si>
  <si>
    <t>The Place at Harvestree</t>
  </si>
  <si>
    <t>Hudnall</t>
  </si>
  <si>
    <t>Harvey's Racquet Club</t>
  </si>
  <si>
    <t>Haverwood Ln</t>
  </si>
  <si>
    <t>Haverly Park I</t>
  </si>
  <si>
    <t>Haverly Park II</t>
  </si>
  <si>
    <t>Heather Ln</t>
  </si>
  <si>
    <t>Heather Lane TH</t>
  </si>
  <si>
    <t>Terrell</t>
  </si>
  <si>
    <t>Esters</t>
  </si>
  <si>
    <t>Heather Ridge</t>
  </si>
  <si>
    <t>Heatherstone</t>
  </si>
  <si>
    <t>Sceyene</t>
  </si>
  <si>
    <t>Hebron Oaks</t>
  </si>
  <si>
    <t>Hebron Pkwy E</t>
  </si>
  <si>
    <t>Hebron Trail</t>
  </si>
  <si>
    <t>State St #111</t>
  </si>
  <si>
    <t>Post Heights</t>
  </si>
  <si>
    <t>Heritage Dr</t>
  </si>
  <si>
    <t>Heritage Place</t>
  </si>
  <si>
    <t>Hidden Bend</t>
  </si>
  <si>
    <t>College Pkwy</t>
  </si>
  <si>
    <t>Hidden Creek</t>
  </si>
  <si>
    <t>Ferris Branch Blvd W</t>
  </si>
  <si>
    <t>Hidden Ridge</t>
  </si>
  <si>
    <t>5th St W</t>
  </si>
  <si>
    <t>Manderville Ln</t>
  </si>
  <si>
    <t>High Ridge</t>
  </si>
  <si>
    <t>Advenir at North Park</t>
  </si>
  <si>
    <t>Wheeler</t>
  </si>
  <si>
    <t>Highland Manor</t>
  </si>
  <si>
    <t>Highland Meadows</t>
  </si>
  <si>
    <t>Highland Oaks</t>
  </si>
  <si>
    <t>Lake Highlands Dr</t>
  </si>
  <si>
    <t>The Arbors</t>
  </si>
  <si>
    <t>Hustead St</t>
  </si>
  <si>
    <t>Highlands of Duncanville</t>
  </si>
  <si>
    <t>8th St SE</t>
  </si>
  <si>
    <t>Highlands of Grand Prairie</t>
  </si>
  <si>
    <t>Ohio</t>
  </si>
  <si>
    <t>Highlands of Preston I</t>
  </si>
  <si>
    <t>Valley Ranch Pkwy E</t>
  </si>
  <si>
    <t>Highlands of Valley Ranch</t>
  </si>
  <si>
    <t>Markville Dr</t>
  </si>
  <si>
    <t>The Falls at Highpoint</t>
  </si>
  <si>
    <t>Highwood</t>
  </si>
  <si>
    <t>Caruth Haven</t>
  </si>
  <si>
    <t>The Hill in The Village</t>
  </si>
  <si>
    <t>Walnut Hill Ln W</t>
  </si>
  <si>
    <t>Tarrant W</t>
  </si>
  <si>
    <t>30 IH W</t>
  </si>
  <si>
    <t>Hills of Palos Verdes</t>
  </si>
  <si>
    <t>Spring Valley W</t>
  </si>
  <si>
    <t>Hillsdale Garden</t>
  </si>
  <si>
    <t>Raleigh Dr</t>
  </si>
  <si>
    <t>Hillside</t>
  </si>
  <si>
    <t>McCree</t>
  </si>
  <si>
    <t>Hilton Head</t>
  </si>
  <si>
    <t>Holiday Hills I</t>
  </si>
  <si>
    <t>Plymouth N</t>
  </si>
  <si>
    <t>Holiday Hills II</t>
  </si>
  <si>
    <t>Belt Line</t>
  </si>
  <si>
    <t>Holiday Park</t>
  </si>
  <si>
    <t>Renner Rd W</t>
  </si>
  <si>
    <t>Homes of Prairie Springs</t>
  </si>
  <si>
    <t>Hondo</t>
  </si>
  <si>
    <t>Hondo Park</t>
  </si>
  <si>
    <t>Honey Creek</t>
  </si>
  <si>
    <t>Hub in Oaklawn</t>
  </si>
  <si>
    <t>Point Blvd</t>
  </si>
  <si>
    <t>Hubbards Ridge</t>
  </si>
  <si>
    <t>Hunters Court</t>
  </si>
  <si>
    <t>Commodore</t>
  </si>
  <si>
    <t>Independence</t>
  </si>
  <si>
    <t>Midway</t>
  </si>
  <si>
    <t>Hunter's Hill</t>
  </si>
  <si>
    <t>Saint Francis Ave</t>
  </si>
  <si>
    <t>Hunter's Run</t>
  </si>
  <si>
    <t>Summerwood Cir</t>
  </si>
  <si>
    <t>Hunting Ridge</t>
  </si>
  <si>
    <t>Huntington Brook</t>
  </si>
  <si>
    <t>Round Grove Rd</t>
  </si>
  <si>
    <t>Huntington Circle</t>
  </si>
  <si>
    <t>Huntington Cove TH</t>
  </si>
  <si>
    <t>Huntington Lakes I &amp; II</t>
  </si>
  <si>
    <t>Huntington Ridge</t>
  </si>
  <si>
    <t>Spring Valley Plaza</t>
  </si>
  <si>
    <t>Huntington TH</t>
  </si>
  <si>
    <t>Hutton Creek</t>
  </si>
  <si>
    <t>Idlewyld Village</t>
  </si>
  <si>
    <t>Independence Crossing</t>
  </si>
  <si>
    <t>Old Denton Rd</t>
  </si>
  <si>
    <t>Indian Creek</t>
  </si>
  <si>
    <t>8th St W</t>
  </si>
  <si>
    <t>Indian Ridge</t>
  </si>
  <si>
    <t>Indigo on Forest</t>
  </si>
  <si>
    <t>Marsh</t>
  </si>
  <si>
    <t>Irishman's Creek</t>
  </si>
  <si>
    <t>Rock Island Rd</t>
  </si>
  <si>
    <t>Irving Oaks</t>
  </si>
  <si>
    <t>Ivanhoe</t>
  </si>
  <si>
    <t>Sienna Palms</t>
  </si>
  <si>
    <t>Texas</t>
  </si>
  <si>
    <t>AMLI at Bryan Place</t>
  </si>
  <si>
    <t>Beckley Ave N</t>
  </si>
  <si>
    <t>Grand Estates at Kessler Park</t>
  </si>
  <si>
    <t>Technology Blvd</t>
  </si>
  <si>
    <t>Aslan La Valencia</t>
  </si>
  <si>
    <t>Mission Gate</t>
  </si>
  <si>
    <t>Villas at Montfort</t>
  </si>
  <si>
    <t>Field St N</t>
  </si>
  <si>
    <t>Jefferson at the North End</t>
  </si>
  <si>
    <t>Timberglen Rd</t>
  </si>
  <si>
    <t>The Verandas at Timberglen</t>
  </si>
  <si>
    <t>University W</t>
  </si>
  <si>
    <t>Archstone Park Cities</t>
  </si>
  <si>
    <t>Jefferson Creek</t>
  </si>
  <si>
    <t>Crossings On Marsh</t>
  </si>
  <si>
    <t>Jefferson Park</t>
  </si>
  <si>
    <t>Macarthur N</t>
  </si>
  <si>
    <t>Jefferson Place</t>
  </si>
  <si>
    <t>Jefferson Ridge</t>
  </si>
  <si>
    <t>Josey Place</t>
  </si>
  <si>
    <t>Beltline Rd E</t>
  </si>
  <si>
    <t>Karrington</t>
  </si>
  <si>
    <t>Keller Oaks</t>
  </si>
  <si>
    <t>Kelly Crossing</t>
  </si>
  <si>
    <t>Kensington Park</t>
  </si>
  <si>
    <t>Keystone Ranch</t>
  </si>
  <si>
    <t>Bond St</t>
  </si>
  <si>
    <t>Knightsbridge of Las Colinas</t>
  </si>
  <si>
    <t>Kings Rd</t>
  </si>
  <si>
    <t>Kingsgate</t>
  </si>
  <si>
    <t>Kingsley W</t>
  </si>
  <si>
    <t>Kingsley Crossings</t>
  </si>
  <si>
    <t>Main</t>
  </si>
  <si>
    <t>Kirby Residences On Main</t>
  </si>
  <si>
    <t>Story Rd S</t>
  </si>
  <si>
    <t>Kirkwood Park</t>
  </si>
  <si>
    <t>Guerrero Dr</t>
  </si>
  <si>
    <t>Carrollton Oaks</t>
  </si>
  <si>
    <t>Knollwood</t>
  </si>
  <si>
    <t>Gables Knoxbridge</t>
  </si>
  <si>
    <t>Merit Dr</t>
  </si>
  <si>
    <t>La Costa Villas</t>
  </si>
  <si>
    <t>La Prada Dr</t>
  </si>
  <si>
    <t>La Prada Place</t>
  </si>
  <si>
    <t>Ventura</t>
  </si>
  <si>
    <t>La Ventura</t>
  </si>
  <si>
    <t>Sotogrande Blvd</t>
  </si>
  <si>
    <t>Westdale Hills LaCosta</t>
  </si>
  <si>
    <t>Euless</t>
  </si>
  <si>
    <t>30 IH E</t>
  </si>
  <si>
    <t>Lake Bluff</t>
  </si>
  <si>
    <t>Chaha Rd</t>
  </si>
  <si>
    <t>Lake Colony TH</t>
  </si>
  <si>
    <t>Zion</t>
  </si>
  <si>
    <t>Lake Meadows</t>
  </si>
  <si>
    <t>Lake Cir N</t>
  </si>
  <si>
    <t>9340-A</t>
  </si>
  <si>
    <t>Lake North</t>
  </si>
  <si>
    <t>Valley View Ln</t>
  </si>
  <si>
    <t>Lake Ridge</t>
  </si>
  <si>
    <t>Kendale</t>
  </si>
  <si>
    <t>Lakedale</t>
  </si>
  <si>
    <t>Spring Valley Rd W</t>
  </si>
  <si>
    <t>Lakefront Villas</t>
  </si>
  <si>
    <t>Lakehill</t>
  </si>
  <si>
    <t>Lakehill TH</t>
  </si>
  <si>
    <t>Lake Park Rd</t>
  </si>
  <si>
    <t>Lakeland</t>
  </si>
  <si>
    <t>Lakepoint Dr</t>
  </si>
  <si>
    <t>Lakepointe Residences</t>
  </si>
  <si>
    <t>Lakes of Eldorado</t>
  </si>
  <si>
    <t>Lakeshore at Preston</t>
  </si>
  <si>
    <t>TwentyTwo50 Marsh at Carrollton</t>
  </si>
  <si>
    <t>Bobtown</t>
  </si>
  <si>
    <t>Lakeview Village</t>
  </si>
  <si>
    <t>Landmark at Lake Village West</t>
  </si>
  <si>
    <t>Forest Creek Dr #111</t>
  </si>
  <si>
    <t>Lakeway Forest-Lake Shore (Demolished)</t>
  </si>
  <si>
    <t>4350-4366</t>
  </si>
  <si>
    <t>Landmark at Lake Village East II</t>
  </si>
  <si>
    <t>Galloway Ave N</t>
  </si>
  <si>
    <t>Landmark at Laurel Heights I</t>
  </si>
  <si>
    <t>235-269</t>
  </si>
  <si>
    <t>Landmark at Lake Village North I</t>
  </si>
  <si>
    <t>Landmark at Lake Village North II</t>
  </si>
  <si>
    <t>Marvin Loving Dr</t>
  </si>
  <si>
    <t>Landmark at Lake Village East I</t>
  </si>
  <si>
    <t>Easton Meadows Dr</t>
  </si>
  <si>
    <t>3501-3805</t>
  </si>
  <si>
    <t>Landmark at Lake Village North III</t>
  </si>
  <si>
    <t>Henderson N</t>
  </si>
  <si>
    <t>Lakewood Club</t>
  </si>
  <si>
    <t>Connecticut</t>
  </si>
  <si>
    <t>The Edge at White Rock</t>
  </si>
  <si>
    <t>Grand E</t>
  </si>
  <si>
    <t>Lakewood Green</t>
  </si>
  <si>
    <t>Brookside N</t>
  </si>
  <si>
    <t>Lakewood on the Trail</t>
  </si>
  <si>
    <t>Toscana Palms</t>
  </si>
  <si>
    <t>Desco Ln</t>
  </si>
  <si>
    <t>Landings of Carrier Parkway</t>
  </si>
  <si>
    <t>Town Crossing</t>
  </si>
  <si>
    <t>Lane at Town Crossing</t>
  </si>
  <si>
    <t>Long Prairie Rd</t>
  </si>
  <si>
    <t>Marquis at Lantana</t>
  </si>
  <si>
    <t>Northhaven</t>
  </si>
  <si>
    <t>Hampton N</t>
  </si>
  <si>
    <t>Las Casitas</t>
  </si>
  <si>
    <t>Dallas Pkwy N</t>
  </si>
  <si>
    <t>LaSalle</t>
  </si>
  <si>
    <t>Joe Wilson Rd N</t>
  </si>
  <si>
    <t>Legacy of Cedar Hill I</t>
  </si>
  <si>
    <t>Legends at Chase Oaks</t>
  </si>
  <si>
    <t>Kathryn Ln</t>
  </si>
  <si>
    <t>Legends at Ridgeview Ranch</t>
  </si>
  <si>
    <t>Yellow Jacket</t>
  </si>
  <si>
    <t>Mission Rockwall</t>
  </si>
  <si>
    <t>Community</t>
  </si>
  <si>
    <t>Lexington</t>
  </si>
  <si>
    <t>Lexington at Valley Ranch</t>
  </si>
  <si>
    <t>6th St W</t>
  </si>
  <si>
    <t>Lido</t>
  </si>
  <si>
    <t>Rawlins</t>
  </si>
  <si>
    <t>Lincoln Court</t>
  </si>
  <si>
    <t>Preston Pointe</t>
  </si>
  <si>
    <t>Carroll Ave</t>
  </si>
  <si>
    <t>The Linden in Town</t>
  </si>
  <si>
    <t>Brothers Blvd</t>
  </si>
  <si>
    <t>Living Oaks</t>
  </si>
  <si>
    <t>Red Oak</t>
  </si>
  <si>
    <t>Windhaven Pkwy</t>
  </si>
  <si>
    <t>The Livingston</t>
  </si>
  <si>
    <t>Lochwood Blvd</t>
  </si>
  <si>
    <t>Lochwood</t>
  </si>
  <si>
    <t>Warren Pkwy</t>
  </si>
  <si>
    <t>The Lodge at Frisco Bridges</t>
  </si>
  <si>
    <t>The Lodge at Timberglen</t>
  </si>
  <si>
    <t>Park Blvd W</t>
  </si>
  <si>
    <t>Mission Park Green</t>
  </si>
  <si>
    <t>Trl Glen Dr</t>
  </si>
  <si>
    <t>Las Lomas I &amp; II</t>
  </si>
  <si>
    <t>14th St E</t>
  </si>
  <si>
    <t>Los Rios Park</t>
  </si>
  <si>
    <t>Rochelle Ln W</t>
  </si>
  <si>
    <t>Kinwest Pkwy</t>
  </si>
  <si>
    <t>MacArthur Rd N</t>
  </si>
  <si>
    <t>MacArthur Ridge</t>
  </si>
  <si>
    <t>Cedar Springs Rd</t>
  </si>
  <si>
    <t>Atera</t>
  </si>
  <si>
    <t>Richardson Dr</t>
  </si>
  <si>
    <t>Madison at Melrose</t>
  </si>
  <si>
    <t>Round Grove Rd E</t>
  </si>
  <si>
    <t>The Madison at Round Grove</t>
  </si>
  <si>
    <t>Madison on the Parkway</t>
  </si>
  <si>
    <t>Main Park</t>
  </si>
  <si>
    <t>Manor House</t>
  </si>
  <si>
    <t>Hunt Dr</t>
  </si>
  <si>
    <t>Bella Vida at Coyote Ridge I &amp; II</t>
  </si>
  <si>
    <t>Coppell Rd N</t>
  </si>
  <si>
    <t>The Mansions by the Lake</t>
  </si>
  <si>
    <t>Maple Ave</t>
  </si>
  <si>
    <t>The Villas at Katy Trail</t>
  </si>
  <si>
    <t>Belt Line N</t>
  </si>
  <si>
    <t>Marbletree</t>
  </si>
  <si>
    <t>The Marquis at Waterview</t>
  </si>
  <si>
    <t>Marsh Creek</t>
  </si>
  <si>
    <t>Marsh Highland</t>
  </si>
  <si>
    <t>Grauwyler E</t>
  </si>
  <si>
    <t>Mayarka Square</t>
  </si>
  <si>
    <t>McDermott Place</t>
  </si>
  <si>
    <t>McKamy Lake</t>
  </si>
  <si>
    <t>Brook Dr N</t>
  </si>
  <si>
    <t>Mckinney Orchid</t>
  </si>
  <si>
    <t>Jupiter Rd</t>
  </si>
  <si>
    <t>McMillan Place</t>
  </si>
  <si>
    <t>The Meadow</t>
  </si>
  <si>
    <t>Meadows Crossing</t>
  </si>
  <si>
    <t>Ave K</t>
  </si>
  <si>
    <t>Meadow Green</t>
  </si>
  <si>
    <t>Duncanville Rd</t>
  </si>
  <si>
    <t>Meadow Parc</t>
  </si>
  <si>
    <t>Bruton Rd W-Cartwright W</t>
  </si>
  <si>
    <t>Stone Ridge</t>
  </si>
  <si>
    <t>Easton Meadows</t>
  </si>
  <si>
    <t>Park Blvd E</t>
  </si>
  <si>
    <t>La Jolla on Park</t>
  </si>
  <si>
    <t>Esters Rd</t>
  </si>
  <si>
    <t>La Jolla on Esters</t>
  </si>
  <si>
    <t>Allen St</t>
  </si>
  <si>
    <t>Post Meridian</t>
  </si>
  <si>
    <t>Huffines Blvd</t>
  </si>
  <si>
    <t>Westchester</t>
  </si>
  <si>
    <t>Merrill Gardens</t>
  </si>
  <si>
    <t>Merrill Rd N</t>
  </si>
  <si>
    <t>Merrill Square</t>
  </si>
  <si>
    <t>Franklin</t>
  </si>
  <si>
    <t>Mesquite Village</t>
  </si>
  <si>
    <t>Metrocrest Village</t>
  </si>
  <si>
    <t>Gables Mirabella</t>
  </si>
  <si>
    <t>Saint Paul Dr</t>
  </si>
  <si>
    <t>Miramonte</t>
  </si>
  <si>
    <t>Commerce St</t>
  </si>
  <si>
    <t>Mitchell Lofts</t>
  </si>
  <si>
    <t>Montego Bay</t>
  </si>
  <si>
    <t>Fitzhugh #17 N</t>
  </si>
  <si>
    <t>Monterey</t>
  </si>
  <si>
    <t>Montfort Crossing</t>
  </si>
  <si>
    <t>Montfort Oaks</t>
  </si>
  <si>
    <t>Montfort Place</t>
  </si>
  <si>
    <t>Montfort Valley</t>
  </si>
  <si>
    <t>Moser</t>
  </si>
  <si>
    <t>Moser Gardens</t>
  </si>
  <si>
    <t>Mount Vernon</t>
  </si>
  <si>
    <t>Mountain Ridge</t>
  </si>
  <si>
    <t>CF Hawn Fwy</t>
  </si>
  <si>
    <t>Scyene Rd</t>
  </si>
  <si>
    <t>Avenida Crossing</t>
  </si>
  <si>
    <t>Newport</t>
  </si>
  <si>
    <t>Frontier</t>
  </si>
  <si>
    <t>Adleta</t>
  </si>
  <si>
    <t>Sage Pointe</t>
  </si>
  <si>
    <t>North Park Terrace</t>
  </si>
  <si>
    <t>Pinyon Tree Ln</t>
  </si>
  <si>
    <t>North Creek Condominiums</t>
  </si>
  <si>
    <t>North Oak</t>
  </si>
  <si>
    <t>Southwestern Blvd</t>
  </si>
  <si>
    <t>Northbridge in the Village Apts &amp; TH</t>
  </si>
  <si>
    <t>Northridge TH</t>
  </si>
  <si>
    <t>Timberline Dr</t>
  </si>
  <si>
    <t>Northwest Crossing</t>
  </si>
  <si>
    <t>Peyton Dr</t>
  </si>
  <si>
    <t>Northwood Hills</t>
  </si>
  <si>
    <t>122 Hwy S</t>
  </si>
  <si>
    <t>Saturn Rd</t>
  </si>
  <si>
    <t>High School Dr</t>
  </si>
  <si>
    <t>Prairie Park</t>
  </si>
  <si>
    <t>Oak Hills</t>
  </si>
  <si>
    <t>Emily Rd</t>
  </si>
  <si>
    <t>Terra Bella</t>
  </si>
  <si>
    <t>Oak Tree Dr</t>
  </si>
  <si>
    <t>Oak Tree Condos</t>
  </si>
  <si>
    <t>Old Orchard S</t>
  </si>
  <si>
    <t>Oak Tree Village</t>
  </si>
  <si>
    <t>Samuell Blvd</t>
  </si>
  <si>
    <t>Oakdale TH</t>
  </si>
  <si>
    <t>Oakhaven</t>
  </si>
  <si>
    <t>Pioneer Rd</t>
  </si>
  <si>
    <t>Oaks at Spring Valley</t>
  </si>
  <si>
    <t>Plano Pkwy W</t>
  </si>
  <si>
    <t>Oaks of Collin Creek</t>
  </si>
  <si>
    <t>Oak Knoll Cir E</t>
  </si>
  <si>
    <t>Oaks of Lewisville</t>
  </si>
  <si>
    <t>The Oaks of Valley Ranch</t>
  </si>
  <si>
    <t>Stoneridge North Dallas</t>
  </si>
  <si>
    <t>Adagio Palms</t>
  </si>
  <si>
    <t>O'Connor N</t>
  </si>
  <si>
    <t>The Marabella At Los Colinas</t>
  </si>
  <si>
    <t>Old Shepard Place</t>
  </si>
  <si>
    <t>On The Lake Apts</t>
  </si>
  <si>
    <t>Americana</t>
  </si>
  <si>
    <t>One Townecrest</t>
  </si>
  <si>
    <t>Kingsley</t>
  </si>
  <si>
    <t>Orchard Hills</t>
  </si>
  <si>
    <t>Bolivar Dr</t>
  </si>
  <si>
    <t>Over the Rainbow</t>
  </si>
  <si>
    <t>Corporate E</t>
  </si>
  <si>
    <t>Colonial Village At Vista Ridge</t>
  </si>
  <si>
    <t>Edgefield</t>
  </si>
  <si>
    <t>River Glen</t>
  </si>
  <si>
    <t>Parc Lake I &amp; II</t>
  </si>
  <si>
    <t>Sale St</t>
  </si>
  <si>
    <t>The Marquis at Turtle Creek</t>
  </si>
  <si>
    <t>The Montage</t>
  </si>
  <si>
    <t>Westgrove Dr</t>
  </si>
  <si>
    <t>Camden Addison</t>
  </si>
  <si>
    <t>Camden Buckingham</t>
  </si>
  <si>
    <t>Marvin D. Love Fwy</t>
  </si>
  <si>
    <t>Park at Cliff Creek</t>
  </si>
  <si>
    <t>Blackburn St</t>
  </si>
  <si>
    <t>Thirty377 Apts</t>
  </si>
  <si>
    <t>Dale Crest</t>
  </si>
  <si>
    <t>Park Dale Garden</t>
  </si>
  <si>
    <t>Greenville Ave</t>
  </si>
  <si>
    <t>West Park (Demolished)</t>
  </si>
  <si>
    <t>Villaverde Ave</t>
  </si>
  <si>
    <t>Park Forest</t>
  </si>
  <si>
    <t>Cabell Dr</t>
  </si>
  <si>
    <t>Park Gates of City Place</t>
  </si>
  <si>
    <t>Lovers Ln</t>
  </si>
  <si>
    <t>Park Lane</t>
  </si>
  <si>
    <t>Park Lane Village</t>
  </si>
  <si>
    <t>Park Manor</t>
  </si>
  <si>
    <t>Park Mulberry</t>
  </si>
  <si>
    <t>Amberton Pkwy</t>
  </si>
  <si>
    <t>The Park On Greenville</t>
  </si>
  <si>
    <t>The Park On Rosemeade</t>
  </si>
  <si>
    <t>Meandering Way</t>
  </si>
  <si>
    <t>Serendipity</t>
  </si>
  <si>
    <t>Irving W</t>
  </si>
  <si>
    <t>Park Springs</t>
  </si>
  <si>
    <t>121 Hwy S</t>
  </si>
  <si>
    <t>The Place at Park Timbers</t>
  </si>
  <si>
    <t>Prestonwood Dr</t>
  </si>
  <si>
    <t>Mission Prestonwood</t>
  </si>
  <si>
    <t>Pentagon Pkwy</t>
  </si>
  <si>
    <t>Tierra Linda</t>
  </si>
  <si>
    <t>Mahanna St</t>
  </si>
  <si>
    <t>Parkford Oaks</t>
  </si>
  <si>
    <t>Parkridge Blvd</t>
  </si>
  <si>
    <t>Parkridge Place at Las Colinas</t>
  </si>
  <si>
    <t>Glenwick Ln</t>
  </si>
  <si>
    <t>Parks Edge</t>
  </si>
  <si>
    <t>Parkside Center Blvd</t>
  </si>
  <si>
    <t>Villas at Parkside</t>
  </si>
  <si>
    <t>Advenir at Towne Centre</t>
  </si>
  <si>
    <t>Saturn</t>
  </si>
  <si>
    <t>Peachtree Square</t>
  </si>
  <si>
    <t>Old Bent Tree Ln</t>
  </si>
  <si>
    <t>Pear Ridge Creek</t>
  </si>
  <si>
    <t>Goliad S</t>
  </si>
  <si>
    <t>Pebblebrook</t>
  </si>
  <si>
    <t>Pleasant Run E</t>
  </si>
  <si>
    <t>Pecan Crossing</t>
  </si>
  <si>
    <t>Centerville Rd E</t>
  </si>
  <si>
    <t>Pecan Knoll</t>
  </si>
  <si>
    <t>Galloway N</t>
  </si>
  <si>
    <t>Pecan Ridge</t>
  </si>
  <si>
    <t>Pecan Square</t>
  </si>
  <si>
    <t>Pepper Place</t>
  </si>
  <si>
    <t>Pepperwood</t>
  </si>
  <si>
    <t>Peter's Colony</t>
  </si>
  <si>
    <t>Mockingbird E</t>
  </si>
  <si>
    <t>The Phoenix Midtown</t>
  </si>
  <si>
    <t>Arroyo Ave</t>
  </si>
  <si>
    <t>Villa Torino</t>
  </si>
  <si>
    <t>Pine Oaks</t>
  </si>
  <si>
    <t>Via Ventura</t>
  </si>
  <si>
    <t>Pines of Palos Verdes</t>
  </si>
  <si>
    <t>Valley View Dr</t>
  </si>
  <si>
    <t>The Pinnacle</t>
  </si>
  <si>
    <t>Pinyon Point</t>
  </si>
  <si>
    <t>Pioneer Crossing</t>
  </si>
  <si>
    <t>Pioneer Park Place</t>
  </si>
  <si>
    <t>Hudnall St</t>
  </si>
  <si>
    <t>Plantation House</t>
  </si>
  <si>
    <t>Union Bower Rd N</t>
  </si>
  <si>
    <t>Plantation View</t>
  </si>
  <si>
    <t>Lebanon</t>
  </si>
  <si>
    <t>Marquis At Stonebriar</t>
  </si>
  <si>
    <t>Plaza on Harvest Hill</t>
  </si>
  <si>
    <t>Pleasant Run Rd W</t>
  </si>
  <si>
    <t>Pleasant Creek Corners</t>
  </si>
  <si>
    <t>Pleasant Run W</t>
  </si>
  <si>
    <t>Pleasant Run</t>
  </si>
  <si>
    <t>Church Rd</t>
  </si>
  <si>
    <t>Pleasant Woods</t>
  </si>
  <si>
    <t>The Pointe at Timberglen</t>
  </si>
  <si>
    <t>Aspen Creek</t>
  </si>
  <si>
    <t>Bluegrove N</t>
  </si>
  <si>
    <t>Portafino</t>
  </si>
  <si>
    <t>Woodside</t>
  </si>
  <si>
    <t>Post Gallery</t>
  </si>
  <si>
    <t>Oaks Hackberry Creek I &amp; II</t>
  </si>
  <si>
    <t>La Clede</t>
  </si>
  <si>
    <t>Post Square</t>
  </si>
  <si>
    <t>Moore Rd N</t>
  </si>
  <si>
    <t>Townlake of Coppell</t>
  </si>
  <si>
    <t>Routh St</t>
  </si>
  <si>
    <t>Post Uptown Village</t>
  </si>
  <si>
    <t>Poppy Dr</t>
  </si>
  <si>
    <t>Oaks White Rock</t>
  </si>
  <si>
    <t>Mercantile Place-The Wilson</t>
  </si>
  <si>
    <t>Alma Rd</t>
  </si>
  <si>
    <t>Prairie Creek Villas I &amp; II</t>
  </si>
  <si>
    <t>Prescott Place I &amp; II</t>
  </si>
  <si>
    <t>Story Rd N</t>
  </si>
  <si>
    <t>The Shadows of Cottonwood</t>
  </si>
  <si>
    <t>Preston Bridge</t>
  </si>
  <si>
    <t>Preston Creek</t>
  </si>
  <si>
    <t>Preston Oaks Rd</t>
  </si>
  <si>
    <t>Preston View Blvd</t>
  </si>
  <si>
    <t>Preston Park</t>
  </si>
  <si>
    <t>Preston Racquet Club Condos</t>
  </si>
  <si>
    <t>Preston Valley</t>
  </si>
  <si>
    <t>Princeton Court</t>
  </si>
  <si>
    <t>Providence</t>
  </si>
  <si>
    <t>Glenshire</t>
  </si>
  <si>
    <t>Glenshire Villas I</t>
  </si>
  <si>
    <t>Quail Dr</t>
  </si>
  <si>
    <t>Glenshire Villas II</t>
  </si>
  <si>
    <t>Warrior Trl E</t>
  </si>
  <si>
    <t>Quail Crossing</t>
  </si>
  <si>
    <t>Quail Hollow</t>
  </si>
  <si>
    <t>Quail Oaks</t>
  </si>
  <si>
    <t>Quail Ridge</t>
  </si>
  <si>
    <t>Quail Village I &amp; II</t>
  </si>
  <si>
    <t>Washington Ave N</t>
  </si>
  <si>
    <t>AMLI at City Place</t>
  </si>
  <si>
    <t>Saint Lawrence Cir</t>
  </si>
  <si>
    <t>Courtyards of Valley View</t>
  </si>
  <si>
    <t>Park Central</t>
  </si>
  <si>
    <t>Rancho Mirage</t>
  </si>
  <si>
    <t>Rancho Palisades</t>
  </si>
  <si>
    <t>Rawlins Suite A</t>
  </si>
  <si>
    <t>Rawlins Chateau (Demolished)</t>
  </si>
  <si>
    <t>Rochelle</t>
  </si>
  <si>
    <t>Rayo de Sol</t>
  </si>
  <si>
    <t>Red River Ranch</t>
  </si>
  <si>
    <t>Red Bird Ln W</t>
  </si>
  <si>
    <t>Redbird Trails</t>
  </si>
  <si>
    <t>Redbud Blvd N</t>
  </si>
  <si>
    <t>Redbud Trail</t>
  </si>
  <si>
    <t>Reflections of Highpoint</t>
  </si>
  <si>
    <t>Rodeo Dr</t>
  </si>
  <si>
    <t>Reflections at Valley Ranch</t>
  </si>
  <si>
    <t>Regal Parc</t>
  </si>
  <si>
    <t>Regal Springs</t>
  </si>
  <si>
    <t>Cavalier</t>
  </si>
  <si>
    <t>Worthing Pointe</t>
  </si>
  <si>
    <t>Regency Condominiums</t>
  </si>
  <si>
    <t>Walnut</t>
  </si>
  <si>
    <t>Regents Point TH</t>
  </si>
  <si>
    <t>Valley Ranch Pkwy</t>
  </si>
  <si>
    <t>Remington at Valley Ranch</t>
  </si>
  <si>
    <t>Meadow Creek Dr N</t>
  </si>
  <si>
    <t>Remington Hills at Las Colinas</t>
  </si>
  <si>
    <t>The Renaissance</t>
  </si>
  <si>
    <t>Gannon</t>
  </si>
  <si>
    <t>Cielo Ranch II</t>
  </si>
  <si>
    <t>Verde Valley Ln</t>
  </si>
  <si>
    <t>Renaissance Parc</t>
  </si>
  <si>
    <t>Edmonds Ln S</t>
  </si>
  <si>
    <t>Renaissance Village</t>
  </si>
  <si>
    <t>Montfort Dr</t>
  </si>
  <si>
    <t>The Reserve at Galleria</t>
  </si>
  <si>
    <t>Ansley at Park Central</t>
  </si>
  <si>
    <t>Garland Rd</t>
  </si>
  <si>
    <t>The Reserve at White Rock</t>
  </si>
  <si>
    <t>Residence at the Oaks</t>
  </si>
  <si>
    <t>Gables Uptown Tower</t>
  </si>
  <si>
    <t>Mixon</t>
  </si>
  <si>
    <t>Richelieu</t>
  </si>
  <si>
    <t>The Dunes at Richland Oaks</t>
  </si>
  <si>
    <t>Walnut St</t>
  </si>
  <si>
    <t>Richland Village</t>
  </si>
  <si>
    <t>Ridgegate</t>
  </si>
  <si>
    <t>Las Cascadas</t>
  </si>
  <si>
    <t>Fairmount St</t>
  </si>
  <si>
    <t>Rienzi at Turtle Creek</t>
  </si>
  <si>
    <t>Chateau DeVille</t>
  </si>
  <si>
    <t>River Bend</t>
  </si>
  <si>
    <t>MacArthur Blvd S</t>
  </si>
  <si>
    <t>Riverchase</t>
  </si>
  <si>
    <t>Riverfall Dr</t>
  </si>
  <si>
    <t>Riverfall Square</t>
  </si>
  <si>
    <t>Riverfalls Park</t>
  </si>
  <si>
    <t>Riverhill</t>
  </si>
  <si>
    <t>Rochelle W</t>
  </si>
  <si>
    <t>Rochelle Place</t>
  </si>
  <si>
    <t>Rochelle Rd W</t>
  </si>
  <si>
    <t>Rochelle Plaza</t>
  </si>
  <si>
    <t>Belt Line Rd</t>
  </si>
  <si>
    <t>Rock Creek</t>
  </si>
  <si>
    <t>Rock Island</t>
  </si>
  <si>
    <t>Uecker Dr</t>
  </si>
  <si>
    <t>Rockbrook Creek</t>
  </si>
  <si>
    <t>Rolling Hills</t>
  </si>
  <si>
    <t>Rosehill Rd</t>
  </si>
  <si>
    <t>Rosegate Place</t>
  </si>
  <si>
    <t>Sage Creek Ranch</t>
  </si>
  <si>
    <t>Rosemeade TH</t>
  </si>
  <si>
    <t>Hidden Ridge Dr</t>
  </si>
  <si>
    <t>Archstone at MacArthur</t>
  </si>
  <si>
    <t>Rosewood Village</t>
  </si>
  <si>
    <t>Custer Pkwy</t>
  </si>
  <si>
    <t>Royal Arms</t>
  </si>
  <si>
    <t>Newton</t>
  </si>
  <si>
    <t>Chenault St</t>
  </si>
  <si>
    <t>Royal Orleans</t>
  </si>
  <si>
    <t>Rush Creek</t>
  </si>
  <si>
    <t>Fleming St</t>
  </si>
  <si>
    <t>Rustic Oaks</t>
  </si>
  <si>
    <t>Wylie</t>
  </si>
  <si>
    <t>Northstar</t>
  </si>
  <si>
    <t>Sable Point</t>
  </si>
  <si>
    <t>The Place at Saddle Creek</t>
  </si>
  <si>
    <t>Saddletree</t>
  </si>
  <si>
    <t>Saltillo</t>
  </si>
  <si>
    <t>New Orleans #138</t>
  </si>
  <si>
    <t>San Carlos</t>
  </si>
  <si>
    <t>San Mateo</t>
  </si>
  <si>
    <t>San Mateo Forest</t>
  </si>
  <si>
    <t>Sandpebble</t>
  </si>
  <si>
    <t>Vista Buena</t>
  </si>
  <si>
    <t>Ranchview</t>
  </si>
  <si>
    <t>Santa Fe Ranch</t>
  </si>
  <si>
    <t>Santa Rosa</t>
  </si>
  <si>
    <t>Oaklawn Heights</t>
  </si>
  <si>
    <t>Saxon Woods</t>
  </si>
  <si>
    <t>Saxony</t>
  </si>
  <si>
    <t>The Family Place Apts</t>
  </si>
  <si>
    <t>McDermott W</t>
  </si>
  <si>
    <t>Settler's Gate</t>
  </si>
  <si>
    <t>Campbell W</t>
  </si>
  <si>
    <t>Sevilla Condos</t>
  </si>
  <si>
    <t>Steppington</t>
  </si>
  <si>
    <t>The Seville</t>
  </si>
  <si>
    <t>Coronado</t>
  </si>
  <si>
    <t>Shadowood</t>
  </si>
  <si>
    <t>Shadowridge Village</t>
  </si>
  <si>
    <t>Allegheny Ct</t>
  </si>
  <si>
    <t>939-A</t>
  </si>
  <si>
    <t>Villa Del Rio</t>
  </si>
  <si>
    <t>Sienna Springs</t>
  </si>
  <si>
    <t>Sierra Point</t>
  </si>
  <si>
    <t>Alouette</t>
  </si>
  <si>
    <t>Silverbrook</t>
  </si>
  <si>
    <t>Wimbleton Way</t>
  </si>
  <si>
    <t>Skyline Place</t>
  </si>
  <si>
    <t>Pinehurst</t>
  </si>
  <si>
    <t>Pinehurst Place</t>
  </si>
  <si>
    <t>Soho</t>
  </si>
  <si>
    <t>Solarium</t>
  </si>
  <si>
    <t>Corporate Dr E</t>
  </si>
  <si>
    <t>Somerset</t>
  </si>
  <si>
    <t>Travis</t>
  </si>
  <si>
    <t>Rolater Rd</t>
  </si>
  <si>
    <t>Sonsrena</t>
  </si>
  <si>
    <t>Buckingham</t>
  </si>
  <si>
    <t>Sonterra at Buckingham</t>
  </si>
  <si>
    <t>Sierra Grande</t>
  </si>
  <si>
    <t>South Meadows</t>
  </si>
  <si>
    <t>Southern Oaks Blvd #13</t>
  </si>
  <si>
    <t>Southern Oaks</t>
  </si>
  <si>
    <t>Southern Blvd</t>
  </si>
  <si>
    <t>Southern Villas</t>
  </si>
  <si>
    <t>Lamar S</t>
  </si>
  <si>
    <t>South Side on Lamar</t>
  </si>
  <si>
    <t>Southwinds Apts</t>
  </si>
  <si>
    <t>Spanish Trace</t>
  </si>
  <si>
    <t>Lakeside On Spring Valley</t>
  </si>
  <si>
    <t>Spring Pointe</t>
  </si>
  <si>
    <t>Driftwood Dr</t>
  </si>
  <si>
    <t>Brookhaven Village North-Springhaven</t>
  </si>
  <si>
    <t>Springs of Indian Creek</t>
  </si>
  <si>
    <t>Saint Augustine S</t>
  </si>
  <si>
    <t>Spruce Square</t>
  </si>
  <si>
    <t>Town &amp; Country Blvd</t>
  </si>
  <si>
    <t>Stonebriar of Frisco</t>
  </si>
  <si>
    <t>Markville</t>
  </si>
  <si>
    <t>St. Andrews I &amp; II</t>
  </si>
  <si>
    <t>Altoona</t>
  </si>
  <si>
    <t>St. Croix</t>
  </si>
  <si>
    <t>Senate</t>
  </si>
  <si>
    <t>St. Francis</t>
  </si>
  <si>
    <t>St. Marin</t>
  </si>
  <si>
    <t>Midway Rd</t>
  </si>
  <si>
    <t>Stanford Court</t>
  </si>
  <si>
    <t>Stewart Creek</t>
  </si>
  <si>
    <t>Stone Creek</t>
  </si>
  <si>
    <t>Lebanon Rd</t>
  </si>
  <si>
    <t>Residences at Starwood</t>
  </si>
  <si>
    <t>Rolling Brook Dr</t>
  </si>
  <si>
    <t>Stonebrook Village</t>
  </si>
  <si>
    <t>Wolford</t>
  </si>
  <si>
    <t>Stone Gate</t>
  </si>
  <si>
    <t>Northgate W</t>
  </si>
  <si>
    <t>Stonehill Terrace</t>
  </si>
  <si>
    <t>Riverchase Dr</t>
  </si>
  <si>
    <t>The Marquis at Riverchase</t>
  </si>
  <si>
    <t>Macarthur Blvd N</t>
  </si>
  <si>
    <t>Stoneleigh at Valley Ranch</t>
  </si>
  <si>
    <t>Poteet</t>
  </si>
  <si>
    <t>Stoneleigh at Mesquite</t>
  </si>
  <si>
    <t>Naaman Forest Blvd</t>
  </si>
  <si>
    <t>Stoneleigh on Spring Creek</t>
  </si>
  <si>
    <t>Stoneleigh Place</t>
  </si>
  <si>
    <t>Cartwright Rd</t>
  </si>
  <si>
    <t>Duncan Perry</t>
  </si>
  <si>
    <t>Sugar Creek</t>
  </si>
  <si>
    <t>Meadow Creek Dr</t>
  </si>
  <si>
    <t>Summer Bend</t>
  </si>
  <si>
    <t>Central Expwy N</t>
  </si>
  <si>
    <t>Lakeside at Walnut Hill</t>
  </si>
  <si>
    <t>Landmark at Rosewood</t>
  </si>
  <si>
    <t>Summergate</t>
  </si>
  <si>
    <t>Summerhill</t>
  </si>
  <si>
    <t>Summerwood</t>
  </si>
  <si>
    <t>Americana Ln</t>
  </si>
  <si>
    <t>Summit</t>
  </si>
  <si>
    <t>AMLI at Knox-Henderson</t>
  </si>
  <si>
    <t>Cowboys Pkwy</t>
  </si>
  <si>
    <t>Summit by Norstar</t>
  </si>
  <si>
    <t>Park Ave</t>
  </si>
  <si>
    <t>Summit Park</t>
  </si>
  <si>
    <t>Sun Colony</t>
  </si>
  <si>
    <t>Montecito Palms</t>
  </si>
  <si>
    <t>303 Hwy E</t>
  </si>
  <si>
    <t>Sunridge</t>
  </si>
  <si>
    <t>Sunset Oaks</t>
  </si>
  <si>
    <t>Advenir at Forest Lane</t>
  </si>
  <si>
    <t>Surrey Oaks East</t>
  </si>
  <si>
    <t>Surrey Row</t>
  </si>
  <si>
    <t>Dallas N Pkwy</t>
  </si>
  <si>
    <t>Sutton Place</t>
  </si>
  <si>
    <t>Sweetwater Ranch</t>
  </si>
  <si>
    <t>Lahoma St</t>
  </si>
  <si>
    <t>Advenir at Highland Park</t>
  </si>
  <si>
    <t>Brookhaven Village South-The Talisker of Addison</t>
  </si>
  <si>
    <t>Tallows of Carrollton</t>
  </si>
  <si>
    <t>Tecali</t>
  </si>
  <si>
    <t>Terrace</t>
  </si>
  <si>
    <t>Maple</t>
  </si>
  <si>
    <t>Wintergreen W</t>
  </si>
  <si>
    <t>Thorn Manor</t>
  </si>
  <si>
    <t>Skillman Rd</t>
  </si>
  <si>
    <t>Timberlodge</t>
  </si>
  <si>
    <t>Whitehurst Dr</t>
  </si>
  <si>
    <t>Arbor Vista</t>
  </si>
  <si>
    <t>Kelly</t>
  </si>
  <si>
    <t>Toscana on Skillman</t>
  </si>
  <si>
    <t>Northgate Dr E</t>
  </si>
  <si>
    <t>Tower Village</t>
  </si>
  <si>
    <t>Moore N</t>
  </si>
  <si>
    <t>Town Creek</t>
  </si>
  <si>
    <t>Mary Lee</t>
  </si>
  <si>
    <t>Towne Oaks TH</t>
  </si>
  <si>
    <t>Town View</t>
  </si>
  <si>
    <t>Towne Centre Village</t>
  </si>
  <si>
    <t>Ferris Branch Blvd</t>
  </si>
  <si>
    <t>Wyndham On The Creek</t>
  </si>
  <si>
    <t>Towne Lake Village</t>
  </si>
  <si>
    <t>Riverside Pkwy</t>
  </si>
  <si>
    <t>Towns of Riverside</t>
  </si>
  <si>
    <t>Trade Wind Dr</t>
  </si>
  <si>
    <t>Chapel Creek</t>
  </si>
  <si>
    <t>Spanish Creek</t>
  </si>
  <si>
    <t>The Trails of Valley Ranch</t>
  </si>
  <si>
    <t>W Fwy</t>
  </si>
  <si>
    <t>Tree Top</t>
  </si>
  <si>
    <t>Bowser</t>
  </si>
  <si>
    <t>Treetop</t>
  </si>
  <si>
    <t>Office Pkwy</t>
  </si>
  <si>
    <t>Treymore North</t>
  </si>
  <si>
    <t>Haskell</t>
  </si>
  <si>
    <t>Treymore at City Place</t>
  </si>
  <si>
    <t>Wilson Creek</t>
  </si>
  <si>
    <t>Treymore in McKinney</t>
  </si>
  <si>
    <t>Treymore at Eastfield</t>
  </si>
  <si>
    <t>Trinity</t>
  </si>
  <si>
    <t>Trinity Meadows</t>
  </si>
  <si>
    <t>Trinity Mills Rd</t>
  </si>
  <si>
    <t>Trinity Oaks</t>
  </si>
  <si>
    <t>Samuel Blvd</t>
  </si>
  <si>
    <t>Trinity Place</t>
  </si>
  <si>
    <t>Trinity Square</t>
  </si>
  <si>
    <t>Darr St</t>
  </si>
  <si>
    <t>Tu Casa TH</t>
  </si>
  <si>
    <t>Ivan St</t>
  </si>
  <si>
    <t>Windsor at Turtle Creek</t>
  </si>
  <si>
    <t>Matilda</t>
  </si>
  <si>
    <t>Turtle Dove</t>
  </si>
  <si>
    <t>Turtle Oaks</t>
  </si>
  <si>
    <t>Goldmark Dr</t>
  </si>
  <si>
    <t>Tuscany at Goldmark</t>
  </si>
  <si>
    <t>Tuscany at Lakepointe</t>
  </si>
  <si>
    <t>Tuscany at Wilson Creek</t>
  </si>
  <si>
    <t>Vail Village</t>
  </si>
  <si>
    <t>Vail Village Club</t>
  </si>
  <si>
    <t>Guthrie</t>
  </si>
  <si>
    <t>Valley Creek</t>
  </si>
  <si>
    <t>Promenade at Valley Creek</t>
  </si>
  <si>
    <t>Promenade at Valley Ridge</t>
  </si>
  <si>
    <t>Valley Ridge Blvd W</t>
  </si>
  <si>
    <t>Valley Ridge</t>
  </si>
  <si>
    <t>Valley Trails</t>
  </si>
  <si>
    <t>Gaston Ave #102</t>
  </si>
  <si>
    <t>Verandahs</t>
  </si>
  <si>
    <t>Verona Tower</t>
  </si>
  <si>
    <t>Verona Midrise</t>
  </si>
  <si>
    <t>Pear Ridge Dr</t>
  </si>
  <si>
    <t>The Versailles</t>
  </si>
  <si>
    <t>Versailles on Cedar Springs</t>
  </si>
  <si>
    <t>Grauwyler Rd E</t>
  </si>
  <si>
    <t>Del Norte Ln</t>
  </si>
  <si>
    <t>Villa del Norte</t>
  </si>
  <si>
    <t>Villa France</t>
  </si>
  <si>
    <t>Fyke Rd</t>
  </si>
  <si>
    <t>Villa Marquis</t>
  </si>
  <si>
    <t>MacArthur S</t>
  </si>
  <si>
    <t>Villa Martinique</t>
  </si>
  <si>
    <t>Glen Dr N</t>
  </si>
  <si>
    <t>Villa Miranda</t>
  </si>
  <si>
    <t>Finley</t>
  </si>
  <si>
    <t>Watership Ln</t>
  </si>
  <si>
    <t>Fisher</t>
  </si>
  <si>
    <t>Village View</t>
  </si>
  <si>
    <t>Clear Springs Dr</t>
  </si>
  <si>
    <t>The Villages at Clear Springs</t>
  </si>
  <si>
    <t>Villas at Beaver Creek</t>
  </si>
  <si>
    <t>Old Orchard N</t>
  </si>
  <si>
    <t>Villas at Waterchase</t>
  </si>
  <si>
    <t>Keller Springs</t>
  </si>
  <si>
    <t>The Villas of Josey Ranch</t>
  </si>
  <si>
    <t>Remond</t>
  </si>
  <si>
    <t>Villas of Remond</t>
  </si>
  <si>
    <t>Ferguson</t>
  </si>
  <si>
    <t>The Vineyards</t>
  </si>
  <si>
    <t>Wade Blvd</t>
  </si>
  <si>
    <t>Post Vineyard</t>
  </si>
  <si>
    <t>Vinings at Central</t>
  </si>
  <si>
    <t>Legacy Dr</t>
  </si>
  <si>
    <t>The Vintage at Legacy</t>
  </si>
  <si>
    <t>Tarrant Place</t>
  </si>
  <si>
    <t>Virginia Manor</t>
  </si>
  <si>
    <t>White Rock Lake Villas</t>
  </si>
  <si>
    <t>Vista Pointe at the Valley</t>
  </si>
  <si>
    <t>Vista Springs</t>
  </si>
  <si>
    <t>Wade Crossing</t>
  </si>
  <si>
    <t>Walton Walker S</t>
  </si>
  <si>
    <t>Walker Place</t>
  </si>
  <si>
    <t>Walker's Mark</t>
  </si>
  <si>
    <t>Beltway Dr</t>
  </si>
  <si>
    <t>Walnut Square</t>
  </si>
  <si>
    <t>Plaza Del Lago</t>
  </si>
  <si>
    <t>Plano Rd</t>
  </si>
  <si>
    <t>Cielo Ranch I</t>
  </si>
  <si>
    <t>Goldmark</t>
  </si>
  <si>
    <t>Waterford at Goldmark</t>
  </si>
  <si>
    <t>Waterford at the Park</t>
  </si>
  <si>
    <t>Waterford at Valley Ranch</t>
  </si>
  <si>
    <t>Waterford Court</t>
  </si>
  <si>
    <t>Druid Ln</t>
  </si>
  <si>
    <t>Sontera Palms</t>
  </si>
  <si>
    <t>Watermarke at Lake Highlands</t>
  </si>
  <si>
    <t>Las Flores</t>
  </si>
  <si>
    <t>Watersong Villas</t>
  </si>
  <si>
    <t>Wellington Park</t>
  </si>
  <si>
    <t>Wellington Place</t>
  </si>
  <si>
    <t>Lemmon Ave #10</t>
  </si>
  <si>
    <t>Highland Park</t>
  </si>
  <si>
    <t>Westchester by Norstar</t>
  </si>
  <si>
    <t>William Dehanes</t>
  </si>
  <si>
    <t>Cascade St</t>
  </si>
  <si>
    <t>SW Pkwy W</t>
  </si>
  <si>
    <t>Camden Westview</t>
  </si>
  <si>
    <t>Center St W</t>
  </si>
  <si>
    <t>Whisper Creek I &amp; II (Demolished)</t>
  </si>
  <si>
    <t>Cockrell Hill Rd S</t>
  </si>
  <si>
    <t>Whispering Hollow</t>
  </si>
  <si>
    <t>Pineland</t>
  </si>
  <si>
    <t>Jupiter Rd S</t>
  </si>
  <si>
    <t>Wildwood Village</t>
  </si>
  <si>
    <t>La Vista</t>
  </si>
  <si>
    <t>The Tenison at White Rock</t>
  </si>
  <si>
    <t>Everwood</t>
  </si>
  <si>
    <t>Abrams</t>
  </si>
  <si>
    <t>Willow Pond</t>
  </si>
  <si>
    <t>Willow Ridge</t>
  </si>
  <si>
    <t>Willowgate</t>
  </si>
  <si>
    <t>Willows</t>
  </si>
  <si>
    <t>Hunnicut</t>
  </si>
  <si>
    <t>Mayan Palms</t>
  </si>
  <si>
    <t>Willows on Rosemeade</t>
  </si>
  <si>
    <t>Wilshire on Mockingbird</t>
  </si>
  <si>
    <t>Wilson Crossing</t>
  </si>
  <si>
    <t>The Wimberly</t>
  </si>
  <si>
    <t>Link Dr</t>
  </si>
  <si>
    <t>Wimberly Park</t>
  </si>
  <si>
    <t>Windham Chase</t>
  </si>
  <si>
    <t>Winding Way</t>
  </si>
  <si>
    <t>Landmark at Laurel Heights II</t>
  </si>
  <si>
    <t>Ave H E</t>
  </si>
  <si>
    <t>Windridge I &amp; II</t>
  </si>
  <si>
    <t>Parham Dr</t>
  </si>
  <si>
    <t>Windscape II</t>
  </si>
  <si>
    <t>Vail Dr</t>
  </si>
  <si>
    <t>Windsong</t>
  </si>
  <si>
    <t>Windsong Place</t>
  </si>
  <si>
    <t>Windsor Court</t>
  </si>
  <si>
    <t>Colonial Grand at Valley Ranch</t>
  </si>
  <si>
    <t>Buckner N</t>
  </si>
  <si>
    <t>Windsor Station</t>
  </si>
  <si>
    <t>Windward II</t>
  </si>
  <si>
    <t>Winsted Dr</t>
  </si>
  <si>
    <t>The Winsted at White Rock</t>
  </si>
  <si>
    <t>Winsted</t>
  </si>
  <si>
    <t>The Park at Wintergreen</t>
  </si>
  <si>
    <t>Parks of Woodhollow</t>
  </si>
  <si>
    <t>Wooded Creek</t>
  </si>
  <si>
    <t>Woodglen Park</t>
  </si>
  <si>
    <t>Josey N</t>
  </si>
  <si>
    <t>Villa Siena</t>
  </si>
  <si>
    <t>Shady Grove E</t>
  </si>
  <si>
    <t>Woods</t>
  </si>
  <si>
    <t>Woods at Lakeshore</t>
  </si>
  <si>
    <t>Sutters Wood</t>
  </si>
  <si>
    <t>Montoro</t>
  </si>
  <si>
    <t>The Parks at Walnut</t>
  </si>
  <si>
    <t>Wyndward Addison</t>
  </si>
  <si>
    <t>Westcreek Dr</t>
  </si>
  <si>
    <t>Boat Club Rd</t>
  </si>
  <si>
    <t>Eagle's Point</t>
  </si>
  <si>
    <t>Tiburon</t>
  </si>
  <si>
    <t>Overton Ridge</t>
  </si>
  <si>
    <t>The Enclave at Cityview</t>
  </si>
  <si>
    <t>Weyland Dr</t>
  </si>
  <si>
    <t>Remington Oaks</t>
  </si>
  <si>
    <t>North Richland Hills</t>
  </si>
  <si>
    <t>Charles Place</t>
  </si>
  <si>
    <t>Reserve at Charles Place</t>
  </si>
  <si>
    <t>Bridgeview Dr</t>
  </si>
  <si>
    <t>The Marquis at Stonegate</t>
  </si>
  <si>
    <t>Pebble Creek Cts</t>
  </si>
  <si>
    <t>Reserve at Pebble Creek</t>
  </si>
  <si>
    <t>Hulen S</t>
  </si>
  <si>
    <t>Marquis at Willow Lake</t>
  </si>
  <si>
    <t>Village of Eastgate</t>
  </si>
  <si>
    <t>Collinwood W Dr</t>
  </si>
  <si>
    <t>Village at Collinwood</t>
  </si>
  <si>
    <t>Worth St</t>
  </si>
  <si>
    <t>Mayfield Park</t>
  </si>
  <si>
    <t>Arlington</t>
  </si>
  <si>
    <t>Vista Ridge Mall Dr E</t>
  </si>
  <si>
    <t>The Abby at Vista Ridge</t>
  </si>
  <si>
    <t>35 IH E S</t>
  </si>
  <si>
    <t>Waxahachie</t>
  </si>
  <si>
    <t>Spring Creek Pkwy</t>
  </si>
  <si>
    <t>Century Legacy Village</t>
  </si>
  <si>
    <t>Pebblevale</t>
  </si>
  <si>
    <t>Mission Collin Creek</t>
  </si>
  <si>
    <t>Stafford Springs Ave</t>
  </si>
  <si>
    <t>Waterstone Place</t>
  </si>
  <si>
    <t>Primrose of Shadow Creek</t>
  </si>
  <si>
    <t>University Club Apts of San Marcos</t>
  </si>
  <si>
    <t>85 FM Hwy E</t>
  </si>
  <si>
    <t>Silverton Village</t>
  </si>
  <si>
    <t>Ennis</t>
  </si>
  <si>
    <t>Chapel Hill</t>
  </si>
  <si>
    <t>Towns of Chapel Hill</t>
  </si>
  <si>
    <t>Sunset Valley</t>
  </si>
  <si>
    <t>Hesters Crossing</t>
  </si>
  <si>
    <t>Lakeside at La Frontera</t>
  </si>
  <si>
    <t>Waters at Bluff Springs</t>
  </si>
  <si>
    <t>The Ridge at Timberline</t>
  </si>
  <si>
    <t>Grapevine</t>
  </si>
  <si>
    <t>Fossil Vista Dr</t>
  </si>
  <si>
    <t>Amesbury Court</t>
  </si>
  <si>
    <t>Haltom City</t>
  </si>
  <si>
    <t>Beach St N</t>
  </si>
  <si>
    <t>The Retreat at Fossil Creek</t>
  </si>
  <si>
    <t>Green Oaks Blvd NE</t>
  </si>
  <si>
    <t>Verandahs at Cliffside</t>
  </si>
  <si>
    <t>Western Center Blvd</t>
  </si>
  <si>
    <t>The Club at Fossil Creek</t>
  </si>
  <si>
    <t>McKinney Ave E</t>
  </si>
  <si>
    <t>The Parks of Denton</t>
  </si>
  <si>
    <t>Pioneer #1 W</t>
  </si>
  <si>
    <t>Olive Branch Apts</t>
  </si>
  <si>
    <t>Parkview Ln</t>
  </si>
  <si>
    <t>The Arbors of Central Park</t>
  </si>
  <si>
    <t>Forest Ridge Dr</t>
  </si>
  <si>
    <t>Arbors on Forest Ridge</t>
  </si>
  <si>
    <t>Nandina Dr</t>
  </si>
  <si>
    <t>Arbrook Park</t>
  </si>
  <si>
    <t>Park Row Dr E</t>
  </si>
  <si>
    <t>Arlington Park</t>
  </si>
  <si>
    <t>Ash Ln E</t>
  </si>
  <si>
    <t>Ash Lane</t>
  </si>
  <si>
    <t>Crawford Ct</t>
  </si>
  <si>
    <t>The Reserve On Lake Granbury</t>
  </si>
  <si>
    <t>Granbury</t>
  </si>
  <si>
    <t>Bryant Irvin Rd</t>
  </si>
  <si>
    <t>Avery Pointe at Cityview</t>
  </si>
  <si>
    <t>Bardin Rd E</t>
  </si>
  <si>
    <t>Bardin Greene</t>
  </si>
  <si>
    <t>Northern Cross Blvd</t>
  </si>
  <si>
    <t>The Bellagio at Beach Street</t>
  </si>
  <si>
    <t>Barrington Crossing</t>
  </si>
  <si>
    <t>Hurst</t>
  </si>
  <si>
    <t>Browning Dr</t>
  </si>
  <si>
    <t>The Bluffs at Iron Horse</t>
  </si>
  <si>
    <t>Cannon Pkwy</t>
  </si>
  <si>
    <t>Boulder Ridge</t>
  </si>
  <si>
    <t>Roanoke</t>
  </si>
  <si>
    <t>Burton Hill</t>
  </si>
  <si>
    <t>The Park at Westover</t>
  </si>
  <si>
    <t>Polk Dr</t>
  </si>
  <si>
    <t>The Valencia</t>
  </si>
  <si>
    <t>Burney Oaks Ln</t>
  </si>
  <si>
    <t>Colonial Village at North Arlington</t>
  </si>
  <si>
    <t>Cameron Creek</t>
  </si>
  <si>
    <t>Candletree</t>
  </si>
  <si>
    <t>Oak Creek Ln</t>
  </si>
  <si>
    <t>Cantebria Crossing</t>
  </si>
  <si>
    <t>Ederville Rd</t>
  </si>
  <si>
    <t>Carol Oaks</t>
  </si>
  <si>
    <t>Lamar Blvd E</t>
  </si>
  <si>
    <t>Rufe Snow Dr</t>
  </si>
  <si>
    <t>Castlewinds</t>
  </si>
  <si>
    <t>Chatham Green Ln</t>
  </si>
  <si>
    <t>Chatham Green Village</t>
  </si>
  <si>
    <t>Median Way</t>
  </si>
  <si>
    <t>Chesterfield Apts</t>
  </si>
  <si>
    <t>Randol Mill Rd</t>
  </si>
  <si>
    <t>Chestnut Ridge I &amp; II</t>
  </si>
  <si>
    <t>Cinnamon Park Cir</t>
  </si>
  <si>
    <t>Cinnamon Park</t>
  </si>
  <si>
    <t>Jefferson Cliffs Way</t>
  </si>
  <si>
    <t>Turner Rd</t>
  </si>
  <si>
    <t>360 SH</t>
  </si>
  <si>
    <t>Collins Park At Bear Creek</t>
  </si>
  <si>
    <t>Furrs St</t>
  </si>
  <si>
    <t>The Lodge at Legacy Park</t>
  </si>
  <si>
    <t>Park Springs Cir</t>
  </si>
  <si>
    <t>Commons on Park Springs</t>
  </si>
  <si>
    <t>Park Row W</t>
  </si>
  <si>
    <t>Spanish Park</t>
  </si>
  <si>
    <t>Oakland Hills Dr</t>
  </si>
  <si>
    <t>Copper Creek</t>
  </si>
  <si>
    <t>Hulen St S</t>
  </si>
  <si>
    <t>Cottonwood Club Dr</t>
  </si>
  <si>
    <t>Monterra Point</t>
  </si>
  <si>
    <t>Countrywood</t>
  </si>
  <si>
    <t>Tennis Dr</t>
  </si>
  <si>
    <t>Courts of Bedford</t>
  </si>
  <si>
    <t>Watson Rd N</t>
  </si>
  <si>
    <t>The Creek at Brookhollow</t>
  </si>
  <si>
    <t>Small Block Rd</t>
  </si>
  <si>
    <t>Creekside at Northlake</t>
  </si>
  <si>
    <t>Northlake</t>
  </si>
  <si>
    <t>Normandale St W</t>
  </si>
  <si>
    <t>Grapevine Mills Blvd N</t>
  </si>
  <si>
    <t>Cross Creek at Grapevine Ranch</t>
  </si>
  <si>
    <t>Sherry St</t>
  </si>
  <si>
    <t>Cypress Club</t>
  </si>
  <si>
    <t>Belknap St E</t>
  </si>
  <si>
    <t>Keller Pkwy</t>
  </si>
  <si>
    <t>Dominion Town Center</t>
  </si>
  <si>
    <t>Keller</t>
  </si>
  <si>
    <t>Meadowbrook Dr</t>
  </si>
  <si>
    <t>Horizon at Sunridge</t>
  </si>
  <si>
    <t>Normandale N</t>
  </si>
  <si>
    <t>Emerald Hills</t>
  </si>
  <si>
    <t>Enclave Cir</t>
  </si>
  <si>
    <t>The Enclave at Arlington</t>
  </si>
  <si>
    <t>Enclave at Bear Creek</t>
  </si>
  <si>
    <t>Harwood Rd</t>
  </si>
  <si>
    <t>8500 Harwood</t>
  </si>
  <si>
    <t>Raider Dr</t>
  </si>
  <si>
    <t>Euless Square</t>
  </si>
  <si>
    <t>Coventry Park Dr</t>
  </si>
  <si>
    <t>Fairway on the Park</t>
  </si>
  <si>
    <t>7th St W</t>
  </si>
  <si>
    <t>Firestone Upper West Side</t>
  </si>
  <si>
    <t>Forest Point Dr</t>
  </si>
  <si>
    <t>Forest Ridge</t>
  </si>
  <si>
    <t>Beach N</t>
  </si>
  <si>
    <t>Fossil Hill</t>
  </si>
  <si>
    <t>Fossil Ridge</t>
  </si>
  <si>
    <t>Mid Cities Blvd E</t>
  </si>
  <si>
    <t>Fountain Wood at Bear Creek</t>
  </si>
  <si>
    <t>McKinney E</t>
  </si>
  <si>
    <t>Fountains of Denton</t>
  </si>
  <si>
    <t>Village Dr</t>
  </si>
  <si>
    <t>The Franciscan at Bear Creek</t>
  </si>
  <si>
    <t>Franciscan of Arlington</t>
  </si>
  <si>
    <t>Garden Gate-Fort Worth</t>
  </si>
  <si>
    <t>AMLI 7th Street Station</t>
  </si>
  <si>
    <t>Glenview Dr</t>
  </si>
  <si>
    <t>Glenview Square</t>
  </si>
  <si>
    <t>820 Loop NE</t>
  </si>
  <si>
    <t>Grayson Ridge</t>
  </si>
  <si>
    <t>Grayson Dr</t>
  </si>
  <si>
    <t>Colonial Village at Grapevine</t>
  </si>
  <si>
    <t>Boca Raton Rd</t>
  </si>
  <si>
    <t>Havenwood</t>
  </si>
  <si>
    <t>Heather Hill Ct</t>
  </si>
  <si>
    <t>Heights of Cityview</t>
  </si>
  <si>
    <t>Highland Park Dr</t>
  </si>
  <si>
    <t>Post Oak</t>
  </si>
  <si>
    <t>Crump St</t>
  </si>
  <si>
    <t>Historic Electric Building</t>
  </si>
  <si>
    <t>Holly Park Dr</t>
  </si>
  <si>
    <t>Holly Park</t>
  </si>
  <si>
    <t>Ivy Brook Ct</t>
  </si>
  <si>
    <t>Holly Ridge</t>
  </si>
  <si>
    <t>Jennings Ave S</t>
  </si>
  <si>
    <t>Homes of Parker Commons</t>
  </si>
  <si>
    <t>Sandshell Dr</t>
  </si>
  <si>
    <t>The Horizons at Fossil Creek</t>
  </si>
  <si>
    <t>Hulen Oaks</t>
  </si>
  <si>
    <t>Fuller Wiser Rd</t>
  </si>
  <si>
    <t>Hunter's Point</t>
  </si>
  <si>
    <t>Lamar E</t>
  </si>
  <si>
    <t>Huntington Chase</t>
  </si>
  <si>
    <t>Bourland Rd</t>
  </si>
  <si>
    <t>Lakes of Stone Glen</t>
  </si>
  <si>
    <t>Shady Oaks Manor Dr</t>
  </si>
  <si>
    <t>Springlake Pkwy</t>
  </si>
  <si>
    <t>Lakeview Terrace</t>
  </si>
  <si>
    <t>Bear Creek Pkwy</t>
  </si>
  <si>
    <t>The Landing at Bear Creek</t>
  </si>
  <si>
    <t>Legacy Point TH</t>
  </si>
  <si>
    <t>Legends at Eagle Mountain Lake</t>
  </si>
  <si>
    <t>Hall Johnson Rd</t>
  </si>
  <si>
    <t>Lincoln Vineyards</t>
  </si>
  <si>
    <t>River Park Dr</t>
  </si>
  <si>
    <t>The Lodge at River Park</t>
  </si>
  <si>
    <t>Alta Vista Rd</t>
  </si>
  <si>
    <t>Lost Spurs Ranch</t>
  </si>
  <si>
    <t>360 Hwy</t>
  </si>
  <si>
    <t>121 SH</t>
  </si>
  <si>
    <t>Regency by the Vineyard</t>
  </si>
  <si>
    <t>Colleyville</t>
  </si>
  <si>
    <t>Marine Creek Pkwy</t>
  </si>
  <si>
    <t>Marine Creek</t>
  </si>
  <si>
    <t>820 Loop E</t>
  </si>
  <si>
    <t>Brentwood</t>
  </si>
  <si>
    <t>Sierra Springs Dr</t>
  </si>
  <si>
    <t>Meadows of Bedford I</t>
  </si>
  <si>
    <t>Airport Fwy</t>
  </si>
  <si>
    <t>Colonial Village at Willow Creek</t>
  </si>
  <si>
    <t>Colonial Grand at Bear Creek</t>
  </si>
  <si>
    <t>Misty Ridge Cir</t>
  </si>
  <si>
    <t>The Biltmore</t>
  </si>
  <si>
    <t>Turner</t>
  </si>
  <si>
    <t>Montevista</t>
  </si>
  <si>
    <t>Boland St</t>
  </si>
  <si>
    <t>Monticello Oaks TH</t>
  </si>
  <si>
    <t>Matlock Rd</t>
  </si>
  <si>
    <t>Mustang Creek</t>
  </si>
  <si>
    <t>Norstar at Bear Creek</t>
  </si>
  <si>
    <t>Wynncrest Ln</t>
  </si>
  <si>
    <t>Oaks at Park Boulevard</t>
  </si>
  <si>
    <t>Ascension Blvd</t>
  </si>
  <si>
    <t>The Oaks of Arlington</t>
  </si>
  <si>
    <t>Park Place Blvd</t>
  </si>
  <si>
    <t>The Creek on Park Place</t>
  </si>
  <si>
    <t>Overlook at Bear Creek</t>
  </si>
  <si>
    <t>John T. White Rd</t>
  </si>
  <si>
    <t>Papillon Park TH</t>
  </si>
  <si>
    <t>Paradise Hills</t>
  </si>
  <si>
    <t>Denton Dr E</t>
  </si>
  <si>
    <t>Parc Plaza</t>
  </si>
  <si>
    <t>Park Creek</t>
  </si>
  <si>
    <t>Homedale</t>
  </si>
  <si>
    <t>L. Don Dodson</t>
  </si>
  <si>
    <t>Kensington Station</t>
  </si>
  <si>
    <t>Pinion Dr</t>
  </si>
  <si>
    <t>Parkland Pointe</t>
  </si>
  <si>
    <t>Hill Trl Dr</t>
  </si>
  <si>
    <t>Parkside on the Creek</t>
  </si>
  <si>
    <t>Willowood Cir</t>
  </si>
  <si>
    <t>The Pavilion</t>
  </si>
  <si>
    <t>Little Rd</t>
  </si>
  <si>
    <t>Pineridge</t>
  </si>
  <si>
    <t>Shady Ln Blvd</t>
  </si>
  <si>
    <t>Point Loma Woods</t>
  </si>
  <si>
    <t>Greenway Glen</t>
  </si>
  <si>
    <t>Polo Run</t>
  </si>
  <si>
    <t>The Ponde</t>
  </si>
  <si>
    <t>Ascension Point</t>
  </si>
  <si>
    <t>Arbrook Blvd W</t>
  </si>
  <si>
    <t>Providence In The Park</t>
  </si>
  <si>
    <t>Booth Calloway</t>
  </si>
  <si>
    <t>Richland Hills</t>
  </si>
  <si>
    <t>Meadowbrook Blvd</t>
  </si>
  <si>
    <t>La Jolla on Meadowbrook</t>
  </si>
  <si>
    <t>Oak Hill Cir</t>
  </si>
  <si>
    <t>Orion at Oak Hill</t>
  </si>
  <si>
    <t>Henderson St</t>
  </si>
  <si>
    <t>AMLI at Upper West Side</t>
  </si>
  <si>
    <t>Trinity Bend Cir</t>
  </si>
  <si>
    <t>Riverbend Village</t>
  </si>
  <si>
    <t>River Park Place</t>
  </si>
  <si>
    <t>River Valley Blvd</t>
  </si>
  <si>
    <t>River Ranch</t>
  </si>
  <si>
    <t>The Royal St. Moritz</t>
  </si>
  <si>
    <t>Granbury Cut-Off</t>
  </si>
  <si>
    <t>The Villas at LeBlanc</t>
  </si>
  <si>
    <t>Arbor Town Cir</t>
  </si>
  <si>
    <t>Seramont</t>
  </si>
  <si>
    <t>Buenos Aires Dr</t>
  </si>
  <si>
    <t>Hamilton Cir</t>
  </si>
  <si>
    <t>Central Park Blvd</t>
  </si>
  <si>
    <t>Colonial Village at Shoal Creek</t>
  </si>
  <si>
    <t>The Shores</t>
  </si>
  <si>
    <t>Silver Creek by Norstar</t>
  </si>
  <si>
    <t>Grapevine Mills Pkwy</t>
  </si>
  <si>
    <t>The Marquis at Silver Oaks</t>
  </si>
  <si>
    <t>Southern Hills Blvd</t>
  </si>
  <si>
    <t>Southern Hills</t>
  </si>
  <si>
    <t>Main S</t>
  </si>
  <si>
    <t>Turnberry Dr</t>
  </si>
  <si>
    <t>St. Andrews at River Park</t>
  </si>
  <si>
    <t>Summer Brook at North Beach</t>
  </si>
  <si>
    <t>Ridge Haven Dr</t>
  </si>
  <si>
    <t>Summit Ridge</t>
  </si>
  <si>
    <t>Surrey Oaks</t>
  </si>
  <si>
    <t>Sycamore School Rd</t>
  </si>
  <si>
    <t>Sycamore Hill</t>
  </si>
  <si>
    <t>Sycamore Pointe</t>
  </si>
  <si>
    <t>Sycamore Ln</t>
  </si>
  <si>
    <t>College Cir N</t>
  </si>
  <si>
    <t>Tan Tara Club</t>
  </si>
  <si>
    <t>The Vaucluse</t>
  </si>
  <si>
    <t>Ticknor Terrace</t>
  </si>
  <si>
    <t>Timberlake Dr</t>
  </si>
  <si>
    <t>Las Lomas</t>
  </si>
  <si>
    <t>Glenview Ct</t>
  </si>
  <si>
    <t>4401-A</t>
  </si>
  <si>
    <t>Towne Oaks</t>
  </si>
  <si>
    <t>Green Oaks NE</t>
  </si>
  <si>
    <t>Trinity Height</t>
  </si>
  <si>
    <t>Trinity Trace</t>
  </si>
  <si>
    <t>Pipeline Rd E</t>
  </si>
  <si>
    <t>Central Park Dr</t>
  </si>
  <si>
    <t>The Village at Central Park</t>
  </si>
  <si>
    <t>Grapevine Hwy</t>
  </si>
  <si>
    <t>The Villas on the Green</t>
  </si>
  <si>
    <t>Shady Oaks Manor</t>
  </si>
  <si>
    <t>Vistas at Lake Worth</t>
  </si>
  <si>
    <t>Valleycreek Ln</t>
  </si>
  <si>
    <t>Waters Landing</t>
  </si>
  <si>
    <t>Las Vegas Trl</t>
  </si>
  <si>
    <t>Westlake Gardens</t>
  </si>
  <si>
    <t>Dove Loop Rd E</t>
  </si>
  <si>
    <t>Wildwood Creek</t>
  </si>
  <si>
    <t>Willow Glen</t>
  </si>
  <si>
    <t>Calmont</t>
  </si>
  <si>
    <t>Wind River</t>
  </si>
  <si>
    <t>Windstone Dr</t>
  </si>
  <si>
    <t>Bardin Oaks</t>
  </si>
  <si>
    <t>Murphy Rd</t>
  </si>
  <si>
    <t>Windmill Terrace Apts</t>
  </si>
  <si>
    <t>Windsprint Way</t>
  </si>
  <si>
    <t>Windsprint</t>
  </si>
  <si>
    <t>Landers Ln</t>
  </si>
  <si>
    <t>Landers Lane TH</t>
  </si>
  <si>
    <t>Meadow Crest Dr</t>
  </si>
  <si>
    <t>Wood Meadow</t>
  </si>
  <si>
    <t>Martin Dr</t>
  </si>
  <si>
    <t>Stoneybrook Dr</t>
  </si>
  <si>
    <t>Woodlake</t>
  </si>
  <si>
    <t>Plum Ln</t>
  </si>
  <si>
    <t>Sutter Creek</t>
  </si>
  <si>
    <t>Boca Raton</t>
  </si>
  <si>
    <t>Wyndham Pointe</t>
  </si>
  <si>
    <t>Grand Ave Pkwy</t>
  </si>
  <si>
    <t>Riverhorse Ranch</t>
  </si>
  <si>
    <t>Villas at La Risa</t>
  </si>
  <si>
    <t>Camden Legacy Park</t>
  </si>
  <si>
    <t>Liveoak</t>
  </si>
  <si>
    <t>5400 Liveoak</t>
  </si>
  <si>
    <t>Briarwyck</t>
  </si>
  <si>
    <t>Prestonwood Blvd</t>
  </si>
  <si>
    <t>Turnberry Isle</t>
  </si>
  <si>
    <t>19019 Preston TH</t>
  </si>
  <si>
    <t>Gaston Ave</t>
  </si>
  <si>
    <t>6011 Gaston</t>
  </si>
  <si>
    <t>Aden Rd</t>
  </si>
  <si>
    <t>Aden Crest</t>
  </si>
  <si>
    <t>NW Hillery</t>
  </si>
  <si>
    <t>Arbors of Burleson</t>
  </si>
  <si>
    <t>Burleson</t>
  </si>
  <si>
    <t>Bernard St</t>
  </si>
  <si>
    <t>Arbors of Denton</t>
  </si>
  <si>
    <t>Oakmont Trl</t>
  </si>
  <si>
    <t>Arbors on Oakmont</t>
  </si>
  <si>
    <t>15th St E</t>
  </si>
  <si>
    <t>Amber Vista</t>
  </si>
  <si>
    <t>Bellaire Dr S</t>
  </si>
  <si>
    <t>Marquis at Bellaire Ranch</t>
  </si>
  <si>
    <t>Cross Creek Ln</t>
  </si>
  <si>
    <t>Cross Creek Ranch</t>
  </si>
  <si>
    <t>Benbrook</t>
  </si>
  <si>
    <t>Williams Rd</t>
  </si>
  <si>
    <t>Benbrook Manor</t>
  </si>
  <si>
    <t>Alma Dr</t>
  </si>
  <si>
    <t>The Steppington</t>
  </si>
  <si>
    <t>Fair Oaks Ave</t>
  </si>
  <si>
    <t>City Central</t>
  </si>
  <si>
    <t>Rolling Rock</t>
  </si>
  <si>
    <t>Summer Glen</t>
  </si>
  <si>
    <t>Ohio Dr</t>
  </si>
  <si>
    <t>Summer Meadows</t>
  </si>
  <si>
    <t>Thackery</t>
  </si>
  <si>
    <t>Renaissance Preston Hollow</t>
  </si>
  <si>
    <t>Summer Villas</t>
  </si>
  <si>
    <t>Summers Crossing</t>
  </si>
  <si>
    <t>Estates on Frankford</t>
  </si>
  <si>
    <t>Holly Hill</t>
  </si>
  <si>
    <t>Sunchase Square</t>
  </si>
  <si>
    <t>Adrianna's El Morocco</t>
  </si>
  <si>
    <t>Peterson Ln</t>
  </si>
  <si>
    <t>Suncrest</t>
  </si>
  <si>
    <t>Chase Oaks Blvd</t>
  </si>
  <si>
    <t>Thornbury at Chase Oaks</t>
  </si>
  <si>
    <t>Military Pkwy</t>
  </si>
  <si>
    <t>Allenhurst</t>
  </si>
  <si>
    <t>Three Fountains Retirement Center</t>
  </si>
  <si>
    <t>Glen America</t>
  </si>
  <si>
    <t>Tonti Lakeside</t>
  </si>
  <si>
    <t>Concord at Gulfgate</t>
  </si>
  <si>
    <t>The Merce</t>
  </si>
  <si>
    <t>Fisher Rd</t>
  </si>
  <si>
    <t>Treehaven</t>
  </si>
  <si>
    <t>Trellis Pl</t>
  </si>
  <si>
    <t>Trellis Place Duplexes</t>
  </si>
  <si>
    <t>Trinity Crossing</t>
  </si>
  <si>
    <t>Highlands of Preston II</t>
  </si>
  <si>
    <t>Saddle Brook</t>
  </si>
  <si>
    <t>David Memorial</t>
  </si>
  <si>
    <t>Shadow Brook North</t>
  </si>
  <si>
    <t>Sheffield Manor</t>
  </si>
  <si>
    <t>Carillon House</t>
  </si>
  <si>
    <t>Spring Creek E</t>
  </si>
  <si>
    <t>Sheridan Park at Spring Creek</t>
  </si>
  <si>
    <t>University Blvd E</t>
  </si>
  <si>
    <t>The Carlyle</t>
  </si>
  <si>
    <t>Carolina Chase</t>
  </si>
  <si>
    <t>Apollo</t>
  </si>
  <si>
    <t>Shiloh Oaks</t>
  </si>
  <si>
    <t>Park E</t>
  </si>
  <si>
    <t>Shiloh Park TH</t>
  </si>
  <si>
    <t>Belt Line Rd E</t>
  </si>
  <si>
    <t>Carrollton Arms</t>
  </si>
  <si>
    <t>Lovers Ln E</t>
  </si>
  <si>
    <t>Signature Pointe</t>
  </si>
  <si>
    <t>The Caruth At Lincoln Park</t>
  </si>
  <si>
    <t>Terrace at Clear Lake</t>
  </si>
  <si>
    <t>Walnut Hill Ln</t>
  </si>
  <si>
    <t>Silverado Springs</t>
  </si>
  <si>
    <t>The Preserve at Arbor Hills</t>
  </si>
  <si>
    <t>Irving Heights S</t>
  </si>
  <si>
    <t>Casa Bella</t>
  </si>
  <si>
    <t>Westdale Hills Augusta</t>
  </si>
  <si>
    <t>Fallwood</t>
  </si>
  <si>
    <t>Somerset at Spring Creek</t>
  </si>
  <si>
    <t>Castleglen Dr</t>
  </si>
  <si>
    <t>Castleglen TH</t>
  </si>
  <si>
    <t>Barnes Dr S</t>
  </si>
  <si>
    <t>Legacy Pointe</t>
  </si>
  <si>
    <t>Arapaho Rd</t>
  </si>
  <si>
    <t>Sonoma at Hillcrest</t>
  </si>
  <si>
    <t>Sandhurst</t>
  </si>
  <si>
    <t>Spanish Steppes</t>
  </si>
  <si>
    <t>Lyndon Manor</t>
  </si>
  <si>
    <t>Little Brooks</t>
  </si>
  <si>
    <t>El Estado</t>
  </si>
  <si>
    <t>Villas At Monterey</t>
  </si>
  <si>
    <t>Lloyd Dr</t>
  </si>
  <si>
    <t>Preston Bend</t>
  </si>
  <si>
    <t>Roe Hampton</t>
  </si>
  <si>
    <t>The Manhattan</t>
  </si>
  <si>
    <t>Calmont Villas</t>
  </si>
  <si>
    <t>Eastchase Pkwy</t>
  </si>
  <si>
    <t>Bentley Square</t>
  </si>
  <si>
    <t>Country Village TH</t>
  </si>
  <si>
    <t>McCallum Blvd</t>
  </si>
  <si>
    <t>Courts of McCallum</t>
  </si>
  <si>
    <t>Park Towne Villas</t>
  </si>
  <si>
    <t>Crosby Rd E</t>
  </si>
  <si>
    <t>La Sombra</t>
  </si>
  <si>
    <t>Bent Tree Forest Dr</t>
  </si>
  <si>
    <t>Covington Pointe</t>
  </si>
  <si>
    <t>Creek Walk</t>
  </si>
  <si>
    <t>Lafayette House</t>
  </si>
  <si>
    <t>Meadowcreek</t>
  </si>
  <si>
    <t>Celery Stalk</t>
  </si>
  <si>
    <t>Spring House</t>
  </si>
  <si>
    <t>Beltline</t>
  </si>
  <si>
    <t>Laguna Terrace</t>
  </si>
  <si>
    <t>Arapaho</t>
  </si>
  <si>
    <t>St. Moritz</t>
  </si>
  <si>
    <t>Towne Maine Dr</t>
  </si>
  <si>
    <t>The Lincoln at Towne Square</t>
  </si>
  <si>
    <t>Madison Willow Bend</t>
  </si>
  <si>
    <t>Creekside Homes in Legacy</t>
  </si>
  <si>
    <t>Lincoln Crossing</t>
  </si>
  <si>
    <t>Preston Greens</t>
  </si>
  <si>
    <t>Crest Ridge</t>
  </si>
  <si>
    <t>Villa Creek</t>
  </si>
  <si>
    <t>London Villa</t>
  </si>
  <si>
    <t>Crosby Creek</t>
  </si>
  <si>
    <t>Central Meadow East</t>
  </si>
  <si>
    <t>Beltline Rd</t>
  </si>
  <si>
    <t>Preston Del Norte Condo Apts</t>
  </si>
  <si>
    <t>Saxony at Chase Oaks</t>
  </si>
  <si>
    <t>Alpha Rd</t>
  </si>
  <si>
    <t>Dallas North</t>
  </si>
  <si>
    <t>Preston Villas</t>
  </si>
  <si>
    <t>1600-1610</t>
  </si>
  <si>
    <t>Carrollton Arms-Del Mar</t>
  </si>
  <si>
    <t>Grand Seasons</t>
  </si>
  <si>
    <t>McCallum</t>
  </si>
  <si>
    <t>Chatham Court</t>
  </si>
  <si>
    <t>Fuller</t>
  </si>
  <si>
    <t>Casawood</t>
  </si>
  <si>
    <t>Roehampton</t>
  </si>
  <si>
    <t>Cimarron Court</t>
  </si>
  <si>
    <t>Chatham Court Reflections</t>
  </si>
  <si>
    <t>Lone Tree Apartment A</t>
  </si>
  <si>
    <t>Easton Terrace</t>
  </si>
  <si>
    <t>Lloyd Cir</t>
  </si>
  <si>
    <t>Preston Village</t>
  </si>
  <si>
    <t>Madison Park Apts</t>
  </si>
  <si>
    <t>Bandera #1</t>
  </si>
  <si>
    <t>Drexel Village</t>
  </si>
  <si>
    <t>Thackery St</t>
  </si>
  <si>
    <t>Coit</t>
  </si>
  <si>
    <t>Patricia Ln</t>
  </si>
  <si>
    <t>English Village</t>
  </si>
  <si>
    <t>Prestonwood Hillcrest</t>
  </si>
  <si>
    <t>Citadel at Preston</t>
  </si>
  <si>
    <t>Walnut Plaza</t>
  </si>
  <si>
    <t>Estrada</t>
  </si>
  <si>
    <t>Bella Vida at Ridgeview Country Club</t>
  </si>
  <si>
    <t>Rosemont at Melody Village</t>
  </si>
  <si>
    <t>Bent Tree Forest Cir</t>
  </si>
  <si>
    <t>Fairways of Bent Tree</t>
  </si>
  <si>
    <t>Monaco Parc</t>
  </si>
  <si>
    <t>Mapleshade Ln</t>
  </si>
  <si>
    <t>Mapleshade Park</t>
  </si>
  <si>
    <t>Prestonwood Trails</t>
  </si>
  <si>
    <t>Miller Rd W</t>
  </si>
  <si>
    <t>Miller Garden</t>
  </si>
  <si>
    <t>Mccallum</t>
  </si>
  <si>
    <t>Mccallum Corners</t>
  </si>
  <si>
    <t>Quarters</t>
  </si>
  <si>
    <t>Bonnie Dr</t>
  </si>
  <si>
    <t>Bonnie Royal</t>
  </si>
  <si>
    <t>McCallum Crossings</t>
  </si>
  <si>
    <t>Campus Dr</t>
  </si>
  <si>
    <t>Ladera Palms</t>
  </si>
  <si>
    <t>Waterview S</t>
  </si>
  <si>
    <t>New Orleans</t>
  </si>
  <si>
    <t>McCallum Highlands</t>
  </si>
  <si>
    <t>Ridgeview</t>
  </si>
  <si>
    <t>Ranch at Ridgeview</t>
  </si>
  <si>
    <t>Jupiter S</t>
  </si>
  <si>
    <t>La Jolla Ridge</t>
  </si>
  <si>
    <t>McCallum Meadows</t>
  </si>
  <si>
    <t>New World</t>
  </si>
  <si>
    <t>La Jolla Terrace</t>
  </si>
  <si>
    <t>Dickerson</t>
  </si>
  <si>
    <t>Mccallum Oaks</t>
  </si>
  <si>
    <t>Newport Landing</t>
  </si>
  <si>
    <t>Candle Chase</t>
  </si>
  <si>
    <t>Ashwood Park Apts</t>
  </si>
  <si>
    <t>The Canyons</t>
  </si>
  <si>
    <t>Tacoma</t>
  </si>
  <si>
    <t>7204 Gaston</t>
  </si>
  <si>
    <t>Burn Brae</t>
  </si>
  <si>
    <t>Teruko Springs</t>
  </si>
  <si>
    <t>Cedar Oak</t>
  </si>
  <si>
    <t>Golf Lake Trl</t>
  </si>
  <si>
    <t>Camden Glen Lakes</t>
  </si>
  <si>
    <t>Vega Dr</t>
  </si>
  <si>
    <t>Carlyle Crossing</t>
  </si>
  <si>
    <t>Ridgecrest Rd</t>
  </si>
  <si>
    <t>Northridge Court</t>
  </si>
  <si>
    <t>Meadow Crest</t>
  </si>
  <si>
    <t>Hickory</t>
  </si>
  <si>
    <t>Northridge Villas</t>
  </si>
  <si>
    <t>Medalist E</t>
  </si>
  <si>
    <t>Highpoint TH</t>
  </si>
  <si>
    <t>16th St E</t>
  </si>
  <si>
    <t>Oak Gate</t>
  </si>
  <si>
    <t>The Huntington</t>
  </si>
  <si>
    <t>Elizabeth Ln</t>
  </si>
  <si>
    <t>Oak Meadow</t>
  </si>
  <si>
    <t>Gordon St SW</t>
  </si>
  <si>
    <t>Crestbrook</t>
  </si>
  <si>
    <t>Andrews Ave</t>
  </si>
  <si>
    <t>Cedar Square</t>
  </si>
  <si>
    <t>Cimarron Trl</t>
  </si>
  <si>
    <t>Camden Cimarron</t>
  </si>
  <si>
    <t>Oakland Hill</t>
  </si>
  <si>
    <t>Casa Villa</t>
  </si>
  <si>
    <t>School Rd</t>
  </si>
  <si>
    <t>Old Town Place</t>
  </si>
  <si>
    <t>Holly Hill Dr</t>
  </si>
  <si>
    <t>Holly Bend</t>
  </si>
  <si>
    <t>Las Vegas Trl S</t>
  </si>
  <si>
    <t>Central Park TH</t>
  </si>
  <si>
    <t>White Settlement</t>
  </si>
  <si>
    <t>White Settlement Rd</t>
  </si>
  <si>
    <t>Crestwood Place</t>
  </si>
  <si>
    <t>Polk S</t>
  </si>
  <si>
    <t>Chalmette</t>
  </si>
  <si>
    <t>Brentwood Stair Rd</t>
  </si>
  <si>
    <t>The Brentwood</t>
  </si>
  <si>
    <t>Hyde Park Condos</t>
  </si>
  <si>
    <t>Kingsley Dr W</t>
  </si>
  <si>
    <t>Orchard Square</t>
  </si>
  <si>
    <t>Red Sierra</t>
  </si>
  <si>
    <t>Chaparral</t>
  </si>
  <si>
    <t>Stuart</t>
  </si>
  <si>
    <t>Crystal Wood</t>
  </si>
  <si>
    <t>Lombardy</t>
  </si>
  <si>
    <t>Juliana Place</t>
  </si>
  <si>
    <t>Fair Oaks Dr</t>
  </si>
  <si>
    <t>The Ivy</t>
  </si>
  <si>
    <t>Webbs Chapel</t>
  </si>
  <si>
    <t>Chapel Brook</t>
  </si>
  <si>
    <t>Chase</t>
  </si>
  <si>
    <t>Pandora Dr</t>
  </si>
  <si>
    <t>Pace's Cove</t>
  </si>
  <si>
    <t>Callaston Ln</t>
  </si>
  <si>
    <t>Cherry Hill</t>
  </si>
  <si>
    <t>Hulen Bend Blvd</t>
  </si>
  <si>
    <t>The Lofts on Hulen</t>
  </si>
  <si>
    <t>Hidalgo Dr</t>
  </si>
  <si>
    <t>Kensington Square I &amp; II</t>
  </si>
  <si>
    <t>Advenir at Foxmoor</t>
  </si>
  <si>
    <t>Tyler S</t>
  </si>
  <si>
    <t>Carousel Court</t>
  </si>
  <si>
    <t>Fall Meadow</t>
  </si>
  <si>
    <t>Denton North</t>
  </si>
  <si>
    <t>Park On Preston</t>
  </si>
  <si>
    <t>Kent</t>
  </si>
  <si>
    <t>Lake Ave</t>
  </si>
  <si>
    <t>Casa Blanca I</t>
  </si>
  <si>
    <t>Casa Blanca II</t>
  </si>
  <si>
    <t>La Palma Dr</t>
  </si>
  <si>
    <t>Chisholm Trail TH</t>
  </si>
  <si>
    <t>Vieux Coulee</t>
  </si>
  <si>
    <t>Brentwood Stair</t>
  </si>
  <si>
    <t>Devonwood</t>
  </si>
  <si>
    <t>Park Ridge Community</t>
  </si>
  <si>
    <t>WestCreek</t>
  </si>
  <si>
    <t>Cinnamon Tree</t>
  </si>
  <si>
    <t>Miller Ave</t>
  </si>
  <si>
    <t>Nueva Vista Apts</t>
  </si>
  <si>
    <t>Medalist Cir S</t>
  </si>
  <si>
    <t>Park Springs TH</t>
  </si>
  <si>
    <t>Bachman Dr</t>
  </si>
  <si>
    <t>Bachman Place</t>
  </si>
  <si>
    <t>Bahama Dr</t>
  </si>
  <si>
    <t>Bahama Glen</t>
  </si>
  <si>
    <t>Blackwell St</t>
  </si>
  <si>
    <t>Park Vali Hai</t>
  </si>
  <si>
    <t>Coffee Creek</t>
  </si>
  <si>
    <t>Colorado Blvd</t>
  </si>
  <si>
    <t>The Ridge at North Texas</t>
  </si>
  <si>
    <t>Garrison Rd</t>
  </si>
  <si>
    <t>Corinth</t>
  </si>
  <si>
    <t>Fox Ave W</t>
  </si>
  <si>
    <t>Basswood Manor</t>
  </si>
  <si>
    <t>Colonial Village at Oak Bend</t>
  </si>
  <si>
    <t>Texas Blvd N</t>
  </si>
  <si>
    <t>Eagle's Landing Condo Apts</t>
  </si>
  <si>
    <t>Karen Cir</t>
  </si>
  <si>
    <t>Colony On The Green</t>
  </si>
  <si>
    <t>Buckner Blvd N</t>
  </si>
  <si>
    <t>Buckner Park</t>
  </si>
  <si>
    <t>The Gables on McCallum</t>
  </si>
  <si>
    <t>Kingswood</t>
  </si>
  <si>
    <t>Colorado Court</t>
  </si>
  <si>
    <t>La Colina</t>
  </si>
  <si>
    <t>Westridge Ln</t>
  </si>
  <si>
    <t>Commons at Ridglea</t>
  </si>
  <si>
    <t>Andora</t>
  </si>
  <si>
    <t>Edgewood Terrace S</t>
  </si>
  <si>
    <t>Edgewood Oaks</t>
  </si>
  <si>
    <t>Larga Dr</t>
  </si>
  <si>
    <t>Chapel Oaks</t>
  </si>
  <si>
    <t>Parkwood Blvd</t>
  </si>
  <si>
    <t>The Wellington at Willow Bend</t>
  </si>
  <si>
    <t>Ralph St</t>
  </si>
  <si>
    <t>Gallery Dr</t>
  </si>
  <si>
    <t>Hallmark Dr S</t>
  </si>
  <si>
    <t>Emerald Trails</t>
  </si>
  <si>
    <t>Pinebranch</t>
  </si>
  <si>
    <t>Teasley Ln</t>
  </si>
  <si>
    <t>La Prairie</t>
  </si>
  <si>
    <t>Normandale W</t>
  </si>
  <si>
    <t>Point West</t>
  </si>
  <si>
    <t>Throckmorton</t>
  </si>
  <si>
    <t>Chevelle</t>
  </si>
  <si>
    <t>Polo Club Dr S</t>
  </si>
  <si>
    <t>The Polo Club</t>
  </si>
  <si>
    <t>Vista Way</t>
  </si>
  <si>
    <t>Garden Ridge</t>
  </si>
  <si>
    <t>Hidden Valley Estates</t>
  </si>
  <si>
    <t>Lancaster Ave E</t>
  </si>
  <si>
    <t>Pineview</t>
  </si>
  <si>
    <t>Casa del Sol</t>
  </si>
  <si>
    <t>Ruddell N</t>
  </si>
  <si>
    <t>Fairways at University</t>
  </si>
  <si>
    <t>Players Club</t>
  </si>
  <si>
    <t>Vail</t>
  </si>
  <si>
    <t>Gardens at Vail</t>
  </si>
  <si>
    <t>Bridge</t>
  </si>
  <si>
    <t>Lincoln Meadow</t>
  </si>
  <si>
    <t>Highland Hills</t>
  </si>
  <si>
    <t>Highland Park Apts</t>
  </si>
  <si>
    <t>Plaza On Lovers Lane</t>
  </si>
  <si>
    <t>Normandale S</t>
  </si>
  <si>
    <t>Teasly Ln</t>
  </si>
  <si>
    <t>Londonderry Oaks</t>
  </si>
  <si>
    <t>Garland Gardens</t>
  </si>
  <si>
    <t>Fireside at Eastchase</t>
  </si>
  <si>
    <t>The Gate</t>
  </si>
  <si>
    <t>Audra Ln</t>
  </si>
  <si>
    <t>Mack Park</t>
  </si>
  <si>
    <t>Pointe at Stone Canyon</t>
  </si>
  <si>
    <t>Manitoba</t>
  </si>
  <si>
    <t>Cloverleaf Ln</t>
  </si>
  <si>
    <t>The Lodge</t>
  </si>
  <si>
    <t>Overton Ridge Blvd</t>
  </si>
  <si>
    <t>Marina Club</t>
  </si>
  <si>
    <t>Webb Chapel</t>
  </si>
  <si>
    <t>Cluster</t>
  </si>
  <si>
    <t>Park Place Ave</t>
  </si>
  <si>
    <t>Forest Park Tower</t>
  </si>
  <si>
    <t>Martin Rd</t>
  </si>
  <si>
    <t>Post Legacy</t>
  </si>
  <si>
    <t>Westminister</t>
  </si>
  <si>
    <t>Meadowbrook Gardens Dr</t>
  </si>
  <si>
    <t>Escalante Park</t>
  </si>
  <si>
    <t>Hildring Dr E</t>
  </si>
  <si>
    <t>Windhaven</t>
  </si>
  <si>
    <t>Windhaven Park</t>
  </si>
  <si>
    <t>Hidden Creek Pkwy</t>
  </si>
  <si>
    <t>Fountains of Burleson</t>
  </si>
  <si>
    <t>Coles Manor Place</t>
  </si>
  <si>
    <t>Birchwood</t>
  </si>
  <si>
    <t>Walden Ave</t>
  </si>
  <si>
    <t>Fountains Square</t>
  </si>
  <si>
    <t>Randol Mill</t>
  </si>
  <si>
    <t>Mill Valley</t>
  </si>
  <si>
    <t>Congress Ave</t>
  </si>
  <si>
    <t>Braes Brook</t>
  </si>
  <si>
    <t>Bridle Path</t>
  </si>
  <si>
    <t>Lancaster E</t>
  </si>
  <si>
    <t>Shoaf Dr</t>
  </si>
  <si>
    <t>Britain Way</t>
  </si>
  <si>
    <t>Carroll Blvd S</t>
  </si>
  <si>
    <t>Gazebo</t>
  </si>
  <si>
    <t>Brandon Mill</t>
  </si>
  <si>
    <t>Bailey Ave N</t>
  </si>
  <si>
    <t>Monticello</t>
  </si>
  <si>
    <t>Brandywine</t>
  </si>
  <si>
    <t>Saint Donovan</t>
  </si>
  <si>
    <t>Monticello Crossroads</t>
  </si>
  <si>
    <t>Nursery Rd S</t>
  </si>
  <si>
    <t>Bellaire S</t>
  </si>
  <si>
    <t>Greenwood Creek</t>
  </si>
  <si>
    <t>Emerald Crest Dr</t>
  </si>
  <si>
    <t>Boca Raton Blvd</t>
  </si>
  <si>
    <t>Merrick St</t>
  </si>
  <si>
    <t>Taj Mahal</t>
  </si>
  <si>
    <t>8th Ave</t>
  </si>
  <si>
    <t>Harris Gardens</t>
  </si>
  <si>
    <t>Perry St</t>
  </si>
  <si>
    <t>Congress</t>
  </si>
  <si>
    <t>Hulen Bend</t>
  </si>
  <si>
    <t>Township on Hulen Bend</t>
  </si>
  <si>
    <t>S Fwy</t>
  </si>
  <si>
    <t>Morning Side</t>
  </si>
  <si>
    <t>Altoona Dr</t>
  </si>
  <si>
    <t>Windsor TH</t>
  </si>
  <si>
    <t>820 Loop SW</t>
  </si>
  <si>
    <t>Fountain's Corner</t>
  </si>
  <si>
    <t>Alcott</t>
  </si>
  <si>
    <t>Continental House</t>
  </si>
  <si>
    <t>Bonnie Brae St S</t>
  </si>
  <si>
    <t>University Courtyard</t>
  </si>
  <si>
    <t>Ederville</t>
  </si>
  <si>
    <t>Valencia Palms</t>
  </si>
  <si>
    <t>Valhalla</t>
  </si>
  <si>
    <t>Windtree</t>
  </si>
  <si>
    <t>Meadow Brook</t>
  </si>
  <si>
    <t>The Place at Vanderbilt</t>
  </si>
  <si>
    <t>Barbara Rd</t>
  </si>
  <si>
    <t>Continental Lofts</t>
  </si>
  <si>
    <t>Chickering Rd</t>
  </si>
  <si>
    <t>Oakwood Estates I &amp; II</t>
  </si>
  <si>
    <t>Vickery W</t>
  </si>
  <si>
    <t>The Monterrey</t>
  </si>
  <si>
    <t>Ebo St</t>
  </si>
  <si>
    <t>Kaufman</t>
  </si>
  <si>
    <t>Village St E</t>
  </si>
  <si>
    <t>Village East</t>
  </si>
  <si>
    <t>The Hills</t>
  </si>
  <si>
    <t>Collett Little Rd</t>
  </si>
  <si>
    <t>Villas by the Lake</t>
  </si>
  <si>
    <t>Coury</t>
  </si>
  <si>
    <t>Oakwood Terrace</t>
  </si>
  <si>
    <t>Everman</t>
  </si>
  <si>
    <t>Valley Meadow</t>
  </si>
  <si>
    <t>Cornerstone Chase</t>
  </si>
  <si>
    <t>Calmont Ave</t>
  </si>
  <si>
    <t>Warren Terrace</t>
  </si>
  <si>
    <t>35 IH S E</t>
  </si>
  <si>
    <t>Pace's Crossing</t>
  </si>
  <si>
    <t>Londonderry</t>
  </si>
  <si>
    <t>Holly Hills</t>
  </si>
  <si>
    <t>Country Brook</t>
  </si>
  <si>
    <t>Spencer Rd</t>
  </si>
  <si>
    <t>Waterford at Spencer Oaks</t>
  </si>
  <si>
    <t>Walton Ave #101</t>
  </si>
  <si>
    <t>Wedgewood</t>
  </si>
  <si>
    <t>Renzel Blvd</t>
  </si>
  <si>
    <t>Palm House</t>
  </si>
  <si>
    <t>Wellesley</t>
  </si>
  <si>
    <t>Wells Point</t>
  </si>
  <si>
    <t>Chaucer</t>
  </si>
  <si>
    <t>Bella Vista</t>
  </si>
  <si>
    <t>Locust St N</t>
  </si>
  <si>
    <t>Cooper Glen</t>
  </si>
  <si>
    <t>West Point Pines</t>
  </si>
  <si>
    <t>Tallow Wind Trl</t>
  </si>
  <si>
    <t>Hulen Gardens</t>
  </si>
  <si>
    <t>Pleasant Run Rd</t>
  </si>
  <si>
    <t>Wood Wind Condominiums</t>
  </si>
  <si>
    <t>Gunnison Trl</t>
  </si>
  <si>
    <t>River Walk Dr</t>
  </si>
  <si>
    <t>Copper Crossing I &amp; II</t>
  </si>
  <si>
    <t>Belt Line Rd N</t>
  </si>
  <si>
    <t>Woodchase Condos</t>
  </si>
  <si>
    <t>Dixon Cir</t>
  </si>
  <si>
    <t>Southdale Apts II</t>
  </si>
  <si>
    <t>Hills Ave S</t>
  </si>
  <si>
    <t>Westcliff Manor</t>
  </si>
  <si>
    <t>Hulen Hills I</t>
  </si>
  <si>
    <t>Dale Ln</t>
  </si>
  <si>
    <t>Woodhollow Dr</t>
  </si>
  <si>
    <t>Westcreek Ct N</t>
  </si>
  <si>
    <t>Westcreek Court TH</t>
  </si>
  <si>
    <t>Wellesley Ave</t>
  </si>
  <si>
    <t>Hulen Hills II</t>
  </si>
  <si>
    <t>Hercules</t>
  </si>
  <si>
    <t>Jim Miller Rd S</t>
  </si>
  <si>
    <t>Asante</t>
  </si>
  <si>
    <t>Cliffridge Ln</t>
  </si>
  <si>
    <t>Western Hills</t>
  </si>
  <si>
    <t>Coronado Dr</t>
  </si>
  <si>
    <t>Coronado North</t>
  </si>
  <si>
    <t>Rogers Rd</t>
  </si>
  <si>
    <t>Park Lane (demolished)</t>
  </si>
  <si>
    <t>Villas At Montierra I</t>
  </si>
  <si>
    <t>Coronado Villas</t>
  </si>
  <si>
    <t>Avril Ct N</t>
  </si>
  <si>
    <t>Woodland Hills</t>
  </si>
  <si>
    <t>Wonder Dr</t>
  </si>
  <si>
    <t>Granbury Hills</t>
  </si>
  <si>
    <t>Country Bend</t>
  </si>
  <si>
    <t>Westview Terrace</t>
  </si>
  <si>
    <t>Eldridge St</t>
  </si>
  <si>
    <t>Hulen Park Place TH</t>
  </si>
  <si>
    <t>West Northgate</t>
  </si>
  <si>
    <t>Woodland Ridge I</t>
  </si>
  <si>
    <t>Country Park</t>
  </si>
  <si>
    <t>Hulen Place</t>
  </si>
  <si>
    <t>Woodland Village</t>
  </si>
  <si>
    <t>Morriss Rd</t>
  </si>
  <si>
    <t>Timber Ridge I &amp; II</t>
  </si>
  <si>
    <t>Old Benbrook</t>
  </si>
  <si>
    <t>Altamesa</t>
  </si>
  <si>
    <t>Railridge</t>
  </si>
  <si>
    <t>Estelle Creek-Woodmeade</t>
  </si>
  <si>
    <t>Hunter Park Cir</t>
  </si>
  <si>
    <t>Hunter Park</t>
  </si>
  <si>
    <t>Sam Bass Blvd</t>
  </si>
  <si>
    <t>Riverpark Dr</t>
  </si>
  <si>
    <t>Courtyard at River Park</t>
  </si>
  <si>
    <t>Courtyard on Calmont</t>
  </si>
  <si>
    <t>Woodside Villas</t>
  </si>
  <si>
    <t>River Ranch Blvd</t>
  </si>
  <si>
    <t>Hunter's Ridge</t>
  </si>
  <si>
    <t>Sierra Hermosa</t>
  </si>
  <si>
    <t>Parkridge Ct</t>
  </si>
  <si>
    <t>Ramsgate</t>
  </si>
  <si>
    <t>Cedarplaza</t>
  </si>
  <si>
    <t>Coventry</t>
  </si>
  <si>
    <t>Hunters Green</t>
  </si>
  <si>
    <t>Post Worthington</t>
  </si>
  <si>
    <t>Park Terrace</t>
  </si>
  <si>
    <t>Bryant Irvin</t>
  </si>
  <si>
    <t>Coventry at Cityview</t>
  </si>
  <si>
    <t>Handley Dr</t>
  </si>
  <si>
    <t>Regency Oaks</t>
  </si>
  <si>
    <t>Finbro</t>
  </si>
  <si>
    <t>Creek Hollow</t>
  </si>
  <si>
    <t>Creek W</t>
  </si>
  <si>
    <t>Dakota Ridge</t>
  </si>
  <si>
    <t>Bennett Ave</t>
  </si>
  <si>
    <t>Wyndham Gardens</t>
  </si>
  <si>
    <t>Remington Hill</t>
  </si>
  <si>
    <t>Tanner Place</t>
  </si>
  <si>
    <t>John T. White</t>
  </si>
  <si>
    <t>Whisperwoods</t>
  </si>
  <si>
    <t>Camp Bowie</t>
  </si>
  <si>
    <t>Residences of Museum Place</t>
  </si>
  <si>
    <t>Westmount</t>
  </si>
  <si>
    <t>Westmount Place Condos</t>
  </si>
  <si>
    <t>White Lake Hills</t>
  </si>
  <si>
    <t>Ridgemar Blvd</t>
  </si>
  <si>
    <t>Park Villas I</t>
  </si>
  <si>
    <t>Druid Hills</t>
  </si>
  <si>
    <t>Dale Ln Ct</t>
  </si>
  <si>
    <t>Crowley</t>
  </si>
  <si>
    <t>Marquis at West Village</t>
  </si>
  <si>
    <t>Dallas Dr</t>
  </si>
  <si>
    <t>Ridgecrest Trl</t>
  </si>
  <si>
    <t>Ridgecrest at Hulen Bend</t>
  </si>
  <si>
    <t>Spruce Valley Ln</t>
  </si>
  <si>
    <t>Highland Village</t>
  </si>
  <si>
    <t>Courtyards</t>
  </si>
  <si>
    <t>Ridgemar Plaza</t>
  </si>
  <si>
    <t>Ridgemont</t>
  </si>
  <si>
    <t>Westwood Village</t>
  </si>
  <si>
    <t>Pebble Cove</t>
  </si>
  <si>
    <t>Wheatland Rd W</t>
  </si>
  <si>
    <t>Wheatland Terrace</t>
  </si>
  <si>
    <t>Ridgmar Blvd</t>
  </si>
  <si>
    <t>Willows at Woodhaven</t>
  </si>
  <si>
    <t>Sappington Place</t>
  </si>
  <si>
    <t>Taxco Rd</t>
  </si>
  <si>
    <t>Ridgmar Manor</t>
  </si>
  <si>
    <t>Sumter Dr</t>
  </si>
  <si>
    <t>Big Block I</t>
  </si>
  <si>
    <t>Las Vegas</t>
  </si>
  <si>
    <t>Wilshire West</t>
  </si>
  <si>
    <t>Shady Grove W</t>
  </si>
  <si>
    <t>Ridgmar Plaza</t>
  </si>
  <si>
    <t>Renaissance Two</t>
  </si>
  <si>
    <t>Oakhurst Scenic Dr</t>
  </si>
  <si>
    <t>Ridgmar Square</t>
  </si>
  <si>
    <t>Duchess</t>
  </si>
  <si>
    <t>McKinney Park</t>
  </si>
  <si>
    <t>Renaissance Gardens</t>
  </si>
  <si>
    <t>Westmount Ave</t>
  </si>
  <si>
    <t>Telstar</t>
  </si>
  <si>
    <t>Wind Rush</t>
  </si>
  <si>
    <t>Pennsylvania Ave</t>
  </si>
  <si>
    <t>Pennsylvania Place</t>
  </si>
  <si>
    <t>Windsor Dr E</t>
  </si>
  <si>
    <t>Vineyard</t>
  </si>
  <si>
    <t>Cotswold Hills Dr</t>
  </si>
  <si>
    <t>El Rancho Escondido</t>
  </si>
  <si>
    <t>RiveRd Ct</t>
  </si>
  <si>
    <t>River Park</t>
  </si>
  <si>
    <t>Hillside View Apts</t>
  </si>
  <si>
    <t>Verandahs at White Rock</t>
  </si>
  <si>
    <t>Rockbrook Dr</t>
  </si>
  <si>
    <t>Rockbrook Village</t>
  </si>
  <si>
    <t>Post Vintage</t>
  </si>
  <si>
    <t>Sandy Ln</t>
  </si>
  <si>
    <t>Sandy Oaks</t>
  </si>
  <si>
    <t>Pershing Ave</t>
  </si>
  <si>
    <t>The Place at Westover Hills</t>
  </si>
  <si>
    <t>Ledbetter Dr E</t>
  </si>
  <si>
    <t>The Woods Of Eastchase</t>
  </si>
  <si>
    <t>Belmont</t>
  </si>
  <si>
    <t>Vickory Tower at Belmont</t>
  </si>
  <si>
    <t>Kingswood Dr</t>
  </si>
  <si>
    <t>The Savoy</t>
  </si>
  <si>
    <t>Weiler Blvd</t>
  </si>
  <si>
    <t>Morrison</t>
  </si>
  <si>
    <t>Sahara Palms</t>
  </si>
  <si>
    <t>Serrano</t>
  </si>
  <si>
    <t>Silver Leaf Villas</t>
  </si>
  <si>
    <t>Glen Garden Dr</t>
  </si>
  <si>
    <t>La Acienda Gardens</t>
  </si>
  <si>
    <t>Spanish Gardens</t>
  </si>
  <si>
    <t>Way</t>
  </si>
  <si>
    <t>Seminary E</t>
  </si>
  <si>
    <t>South Gate Manor</t>
  </si>
  <si>
    <t>Wheatland W</t>
  </si>
  <si>
    <t>Southwinds</t>
  </si>
  <si>
    <t>Pioneer House</t>
  </si>
  <si>
    <t>Wedglea Dr</t>
  </si>
  <si>
    <t>The Indigo</t>
  </si>
  <si>
    <t>Thornhill E</t>
  </si>
  <si>
    <t>South Plaza</t>
  </si>
  <si>
    <t>Airport Fwy W</t>
  </si>
  <si>
    <t>Spanish Haven</t>
  </si>
  <si>
    <t>Woodstock</t>
  </si>
  <si>
    <t>Country Club Rd N</t>
  </si>
  <si>
    <t>Overton Rd E</t>
  </si>
  <si>
    <t>Jim Miller Rd N</t>
  </si>
  <si>
    <t>Pleasant Grove</t>
  </si>
  <si>
    <t>Martin</t>
  </si>
  <si>
    <t>Southgate Glen</t>
  </si>
  <si>
    <t>Weatherford</t>
  </si>
  <si>
    <t>Woodway on the Greene</t>
  </si>
  <si>
    <t>Berry E</t>
  </si>
  <si>
    <t>A la Primavera</t>
  </si>
  <si>
    <t>Village West I &amp; II</t>
  </si>
  <si>
    <t>Saint Juliet St</t>
  </si>
  <si>
    <t>Spring Glen</t>
  </si>
  <si>
    <t>Legendary Ln</t>
  </si>
  <si>
    <t>Springridge</t>
  </si>
  <si>
    <t>Hamilton Ave</t>
  </si>
  <si>
    <t>Marquis on Cedar Springs</t>
  </si>
  <si>
    <t>Springs</t>
  </si>
  <si>
    <t>University Village Dr</t>
  </si>
  <si>
    <t>University Village</t>
  </si>
  <si>
    <t>La Vista Dr</t>
  </si>
  <si>
    <t>Park Glen</t>
  </si>
  <si>
    <t>Steppes</t>
  </si>
  <si>
    <t>Park Sq Dr</t>
  </si>
  <si>
    <t>Park Grove Square</t>
  </si>
  <si>
    <t>Valencia</t>
  </si>
  <si>
    <t>Oakland Hills</t>
  </si>
  <si>
    <t>Sterling Pointe</t>
  </si>
  <si>
    <t>St. Augustine</t>
  </si>
  <si>
    <t>Country Day Ln</t>
  </si>
  <si>
    <t>Country Day Apts</t>
  </si>
  <si>
    <t>Stratton Royale</t>
  </si>
  <si>
    <t>Stag Rd</t>
  </si>
  <si>
    <t>Villas of Sorrento</t>
  </si>
  <si>
    <t>Chapel Creek Dr</t>
  </si>
  <si>
    <t>Casa Place II</t>
  </si>
  <si>
    <t>Summit Dr</t>
  </si>
  <si>
    <t>Summit On The Ridge</t>
  </si>
  <si>
    <t>Camino Del Sol</t>
  </si>
  <si>
    <t>Sun Ridge</t>
  </si>
  <si>
    <t>Sunrise</t>
  </si>
  <si>
    <t>Irving Blvd E</t>
  </si>
  <si>
    <t>Primavera</t>
  </si>
  <si>
    <t>Dennis Rd</t>
  </si>
  <si>
    <t>Northaven Park</t>
  </si>
  <si>
    <t>Casa Place I</t>
  </si>
  <si>
    <t>Gus Thomasson Rd</t>
  </si>
  <si>
    <t>Princeton</t>
  </si>
  <si>
    <t>Sycamore Trace</t>
  </si>
  <si>
    <t>Vickery Creek</t>
  </si>
  <si>
    <t>Starlight Rd</t>
  </si>
  <si>
    <t>Starlight</t>
  </si>
  <si>
    <t>Viewpoint &amp; Woodbridge</t>
  </si>
  <si>
    <t>Douglas Ave</t>
  </si>
  <si>
    <t>Clydedale Dr</t>
  </si>
  <si>
    <t>Villas Del Lago</t>
  </si>
  <si>
    <t>Westmoreland S</t>
  </si>
  <si>
    <t>Lakeview Apts</t>
  </si>
  <si>
    <t>Red Bird Village</t>
  </si>
  <si>
    <t>Community Dr</t>
  </si>
  <si>
    <t>Parkway Garden-Norvell Garden</t>
  </si>
  <si>
    <t>San Simeon</t>
  </si>
  <si>
    <t>Lyte St</t>
  </si>
  <si>
    <t>Magnolia Station</t>
  </si>
  <si>
    <t>Irby Ln N</t>
  </si>
  <si>
    <t>Shore N</t>
  </si>
  <si>
    <t>Reserve at Las Brisas I</t>
  </si>
  <si>
    <t>Norwalk</t>
  </si>
  <si>
    <t>Big Block II</t>
  </si>
  <si>
    <t>Bowser Ave</t>
  </si>
  <si>
    <t>Manhattan</t>
  </si>
  <si>
    <t>Oradell</t>
  </si>
  <si>
    <t>El Sol Del Lago</t>
  </si>
  <si>
    <t>Greenway Blvd</t>
  </si>
  <si>
    <t>Pavilion Townplace</t>
  </si>
  <si>
    <t>Highland Dr</t>
  </si>
  <si>
    <t>The Marquis at Vista Ridge</t>
  </si>
  <si>
    <t>William Brewster</t>
  </si>
  <si>
    <t>Irving Heights Dr</t>
  </si>
  <si>
    <t>Meadowbrook Heights</t>
  </si>
  <si>
    <t>North Irving</t>
  </si>
  <si>
    <t>Irving Heights Dr N</t>
  </si>
  <si>
    <t>230-409</t>
  </si>
  <si>
    <t>Pecan Tree</t>
  </si>
  <si>
    <t>Kiest Blvd W</t>
  </si>
  <si>
    <t>Kimball Square</t>
  </si>
  <si>
    <t>Kings Manor</t>
  </si>
  <si>
    <t>Illinois E</t>
  </si>
  <si>
    <t>Kings Square</t>
  </si>
  <si>
    <t>Balch Springs Rd</t>
  </si>
  <si>
    <t>Autumn Run</t>
  </si>
  <si>
    <t>Landmark</t>
  </si>
  <si>
    <t>Hilltop</t>
  </si>
  <si>
    <t>Pecan Village</t>
  </si>
  <si>
    <t>Fordham</t>
  </si>
  <si>
    <t>Hemingway House</t>
  </si>
  <si>
    <t>Heritage Square</t>
  </si>
  <si>
    <t>Leigh Ann Dr</t>
  </si>
  <si>
    <t>Leigh Ann</t>
  </si>
  <si>
    <t>Hickory Tree Rd</t>
  </si>
  <si>
    <t>Hickory Tree</t>
  </si>
  <si>
    <t>Empire Central</t>
  </si>
  <si>
    <t>Ko Ko</t>
  </si>
  <si>
    <t>RL Thornton Fwy E</t>
  </si>
  <si>
    <t>La Arboleda</t>
  </si>
  <si>
    <t>Villas At Montierra II (Azalea Court)</t>
  </si>
  <si>
    <t>La Costa</t>
  </si>
  <si>
    <t>Northaven</t>
  </si>
  <si>
    <t>Rainier St</t>
  </si>
  <si>
    <t>Avalon Villas</t>
  </si>
  <si>
    <t>Pinehurst Ln</t>
  </si>
  <si>
    <t>Country Club Mesquite</t>
  </si>
  <si>
    <t>Bahama</t>
  </si>
  <si>
    <t>Highland Road Village</t>
  </si>
  <si>
    <t>Irving Blvd W</t>
  </si>
  <si>
    <t>Highland Oaks Village</t>
  </si>
  <si>
    <t>Highland Park Ct</t>
  </si>
  <si>
    <t>Chase Place</t>
  </si>
  <si>
    <t>Ledbetter W</t>
  </si>
  <si>
    <t>Smith Creek</t>
  </si>
  <si>
    <t>Lake Chateau</t>
  </si>
  <si>
    <t>Wadsworth</t>
  </si>
  <si>
    <t>Oakwood Place</t>
  </si>
  <si>
    <t>Finley Terrace</t>
  </si>
  <si>
    <t>Oasis Park</t>
  </si>
  <si>
    <t>Oates Dr</t>
  </si>
  <si>
    <t>Oates Creek</t>
  </si>
  <si>
    <t>Sumter</t>
  </si>
  <si>
    <t>Big Block III</t>
  </si>
  <si>
    <t>Redman Ave</t>
  </si>
  <si>
    <t>Somerset Park</t>
  </si>
  <si>
    <t>Dixon Ave</t>
  </si>
  <si>
    <t>Southdale</t>
  </si>
  <si>
    <t>Prichard Ln</t>
  </si>
  <si>
    <t>Acacia Village</t>
  </si>
  <si>
    <t>Colorado W</t>
  </si>
  <si>
    <t>Mill Run</t>
  </si>
  <si>
    <t>Imperial Courtyard</t>
  </si>
  <si>
    <t>Metker</t>
  </si>
  <si>
    <t>Metker Place</t>
  </si>
  <si>
    <t>Inwood on the Park</t>
  </si>
  <si>
    <t>Argentia</t>
  </si>
  <si>
    <t>Parks at Wynnewood</t>
  </si>
  <si>
    <t>Coombs Creek Dr</t>
  </si>
  <si>
    <t>Park Creek Manor</t>
  </si>
  <si>
    <t>Mockingbird Ln E</t>
  </si>
  <si>
    <t>The Lofts at Mockingbird Station</t>
  </si>
  <si>
    <t>Regal Villas</t>
  </si>
  <si>
    <t>Moulin Rouge</t>
  </si>
  <si>
    <t>Mountain Valley Ln</t>
  </si>
  <si>
    <t>Mountain Valley</t>
  </si>
  <si>
    <t>Preakness Ln</t>
  </si>
  <si>
    <t>Mountain View</t>
  </si>
  <si>
    <t>Irving Place</t>
  </si>
  <si>
    <t>Foxborough</t>
  </si>
  <si>
    <t>Island West</t>
  </si>
  <si>
    <t>Atlantic</t>
  </si>
  <si>
    <t>Courtyards at Emery Park</t>
  </si>
  <si>
    <t>Villa Cliff</t>
  </si>
  <si>
    <t>Enchanted Hills</t>
  </si>
  <si>
    <t>Hartsdale</t>
  </si>
  <si>
    <t>French Colony</t>
  </si>
  <si>
    <t>Amherst Dr</t>
  </si>
  <si>
    <t>Industrial Blvd S</t>
  </si>
  <si>
    <t>Glen Arbor</t>
  </si>
  <si>
    <t>Mayfield Rd</t>
  </si>
  <si>
    <t>Mission Mayfield Downs</t>
  </si>
  <si>
    <t>Arkansas Ln E</t>
  </si>
  <si>
    <t>Blue Bonnet TH</t>
  </si>
  <si>
    <t>Union Bower W</t>
  </si>
  <si>
    <t>Waverly</t>
  </si>
  <si>
    <t>Brookridge-Parks Villas</t>
  </si>
  <si>
    <t>Dove Park</t>
  </si>
  <si>
    <t>White Ave</t>
  </si>
  <si>
    <t>Brookwood Fourplexes</t>
  </si>
  <si>
    <t>Mckinney</t>
  </si>
  <si>
    <t>Regency Ct</t>
  </si>
  <si>
    <t>Peach St</t>
  </si>
  <si>
    <t>Collins Creek</t>
  </si>
  <si>
    <t>Evergreen Condos</t>
  </si>
  <si>
    <t>Grauwyler W</t>
  </si>
  <si>
    <t>Calais Way</t>
  </si>
  <si>
    <t>Springfield at Ballpark Way</t>
  </si>
  <si>
    <t>Turner Ave</t>
  </si>
  <si>
    <t>Elizabeth Gardens</t>
  </si>
  <si>
    <t>Sam Calloway</t>
  </si>
  <si>
    <t>Calloway Place</t>
  </si>
  <si>
    <t>Emerald Hills Way</t>
  </si>
  <si>
    <t>Emerald Park</t>
  </si>
  <si>
    <t>704-718</t>
  </si>
  <si>
    <t>Sonoma</t>
  </si>
  <si>
    <t>Concord House</t>
  </si>
  <si>
    <t>12 Loop S</t>
  </si>
  <si>
    <t>Grove Village</t>
  </si>
  <si>
    <t>Maplewood Ave</t>
  </si>
  <si>
    <t>Emerald Run</t>
  </si>
  <si>
    <t>Park Dr</t>
  </si>
  <si>
    <t>Concord Terrace</t>
  </si>
  <si>
    <t>Catalina</t>
  </si>
  <si>
    <t>Cooper Sq Cir</t>
  </si>
  <si>
    <t>Cooper Park</t>
  </si>
  <si>
    <t>Centreport Dr</t>
  </si>
  <si>
    <t>Camden Centreport</t>
  </si>
  <si>
    <t>Rd Six Flags W</t>
  </si>
  <si>
    <t>Cooper Ridge</t>
  </si>
  <si>
    <t>Harwood</t>
  </si>
  <si>
    <t>Copper Canyon</t>
  </si>
  <si>
    <t>Westmoreland Rd S</t>
  </si>
  <si>
    <t>Harbors-Plum Tree</t>
  </si>
  <si>
    <t>Golden Creek Ln</t>
  </si>
  <si>
    <t>Copper Chase</t>
  </si>
  <si>
    <t>Ridgecrest Cir</t>
  </si>
  <si>
    <t>Camelot Square</t>
  </si>
  <si>
    <t>Saginaw</t>
  </si>
  <si>
    <t>Bedford Rd</t>
  </si>
  <si>
    <t>Copper Hill</t>
  </si>
  <si>
    <t>Fair Oaks Blvd</t>
  </si>
  <si>
    <t>The Lodge at Main</t>
  </si>
  <si>
    <t>Dalton Place</t>
  </si>
  <si>
    <t>Merrill N</t>
  </si>
  <si>
    <t>Fairmeadows</t>
  </si>
  <si>
    <t>Benge Dr</t>
  </si>
  <si>
    <t>Campus Walk</t>
  </si>
  <si>
    <t>Denton Hwy</t>
  </si>
  <si>
    <t>Campus West</t>
  </si>
  <si>
    <t>Arkansas Ln W</t>
  </si>
  <si>
    <t>Springfield Crossing</t>
  </si>
  <si>
    <t>3rd St E</t>
  </si>
  <si>
    <t>Fielder Crossing Condos</t>
  </si>
  <si>
    <t>Danvilla</t>
  </si>
  <si>
    <t>Fielder S</t>
  </si>
  <si>
    <t>Fielders Glen</t>
  </si>
  <si>
    <t>Dickey Rd</t>
  </si>
  <si>
    <t>Cottonwood Square</t>
  </si>
  <si>
    <t>Carriage Hill-Carriage Park</t>
  </si>
  <si>
    <t>Saint Francis</t>
  </si>
  <si>
    <t>Westdale Hills Firestone</t>
  </si>
  <si>
    <t>Oak St S</t>
  </si>
  <si>
    <t>Aquarius</t>
  </si>
  <si>
    <t>Mustang Dr</t>
  </si>
  <si>
    <t>The Courtyards at Mustang</t>
  </si>
  <si>
    <t>Forest Park Cir</t>
  </si>
  <si>
    <t>Forest Park Apts</t>
  </si>
  <si>
    <t>Demasiado</t>
  </si>
  <si>
    <t>Willowcrest Dr</t>
  </si>
  <si>
    <t>Appian Way</t>
  </si>
  <si>
    <t>Baker Blvd</t>
  </si>
  <si>
    <t>Denton Dr</t>
  </si>
  <si>
    <t>Rio Vista (Demolished)</t>
  </si>
  <si>
    <t>Oak Creek Apts</t>
  </si>
  <si>
    <t>Beltline S</t>
  </si>
  <si>
    <t>Carrier Arms</t>
  </si>
  <si>
    <t>White Rock Hills TH</t>
  </si>
  <si>
    <t>Courtyards at Kirnwood</t>
  </si>
  <si>
    <t>McDonald N</t>
  </si>
  <si>
    <t>Creek Point</t>
  </si>
  <si>
    <t>Fuller Wiser</t>
  </si>
  <si>
    <t>Arbors of Euless</t>
  </si>
  <si>
    <t>San Francisco Ct</t>
  </si>
  <si>
    <t>Douglas</t>
  </si>
  <si>
    <t>Cheville Apts</t>
  </si>
  <si>
    <t>Foxhaven</t>
  </si>
  <si>
    <t>Central Dr</t>
  </si>
  <si>
    <t>Hampton's At Central</t>
  </si>
  <si>
    <t>Drexel Grand</t>
  </si>
  <si>
    <t>Honeysuckle Way</t>
  </si>
  <si>
    <t>Arlington Oaks</t>
  </si>
  <si>
    <t>121 Hwy</t>
  </si>
  <si>
    <t>Harwood Hills</t>
  </si>
  <si>
    <t>Abram W</t>
  </si>
  <si>
    <t>Randol Mill Rd W</t>
  </si>
  <si>
    <t>Arlington Villa</t>
  </si>
  <si>
    <t>Regatta I</t>
  </si>
  <si>
    <t>Crestwood AH</t>
  </si>
  <si>
    <t>Azle</t>
  </si>
  <si>
    <t>Hightower Dr</t>
  </si>
  <si>
    <t>The Abbey at Hightower</t>
  </si>
  <si>
    <t>Fountains Dr</t>
  </si>
  <si>
    <t>Fountains of Rosenberg</t>
  </si>
  <si>
    <t>Holly Brook</t>
  </si>
  <si>
    <t>Cedar Bend</t>
  </si>
  <si>
    <t>Ridge Run Rd</t>
  </si>
  <si>
    <t>Heather Glen TH</t>
  </si>
  <si>
    <t>Harriett</t>
  </si>
  <si>
    <t>Arlington Village</t>
  </si>
  <si>
    <t>Eagle Pointe</t>
  </si>
  <si>
    <t>Cypress Chase</t>
  </si>
  <si>
    <t>Washington Dr</t>
  </si>
  <si>
    <t>Sherry</t>
  </si>
  <si>
    <t>Garden Park</t>
  </si>
  <si>
    <t>Green Oaks Ct</t>
  </si>
  <si>
    <t>Heather Way</t>
  </si>
  <si>
    <t>Mission Gleneagles-Creekside</t>
  </si>
  <si>
    <t>Shadybrook Dr</t>
  </si>
  <si>
    <t>Gardens of Bedford</t>
  </si>
  <si>
    <t>Cypress Lake at Stonebriar</t>
  </si>
  <si>
    <t>Adams Dr</t>
  </si>
  <si>
    <t>The Heritage Apts</t>
  </si>
  <si>
    <t>Ash Park #29</t>
  </si>
  <si>
    <t>Ash Park</t>
  </si>
  <si>
    <t>Irish Dr #A</t>
  </si>
  <si>
    <t>Davis Plaza</t>
  </si>
  <si>
    <t>Fielder Rd S</t>
  </si>
  <si>
    <t>Ashford Park TH</t>
  </si>
  <si>
    <t>Statler Blvd</t>
  </si>
  <si>
    <t>Gateways at Centerport</t>
  </si>
  <si>
    <t>Linda Vista Ave</t>
  </si>
  <si>
    <t>CJ Heritage</t>
  </si>
  <si>
    <t>Dayton</t>
  </si>
  <si>
    <t>Dayton Square</t>
  </si>
  <si>
    <t>Ashcroft Ln</t>
  </si>
  <si>
    <t>Del Prado Dr</t>
  </si>
  <si>
    <t>Del Prado at Texas Star</t>
  </si>
  <si>
    <t>Gentry's Walk</t>
  </si>
  <si>
    <t>Coopers Corner Dr</t>
  </si>
  <si>
    <t>Hidden Hollow</t>
  </si>
  <si>
    <t>Cedar Ridge at Hurst</t>
  </si>
  <si>
    <t>Knoll Crest</t>
  </si>
  <si>
    <t>Cedar Ridge TH</t>
  </si>
  <si>
    <t>O'Connor Place (Demolished)</t>
  </si>
  <si>
    <t>Center S</t>
  </si>
  <si>
    <t>Center Place</t>
  </si>
  <si>
    <t>Diamond Loch</t>
  </si>
  <si>
    <t>Pecan St E</t>
  </si>
  <si>
    <t>Glen Rose Park</t>
  </si>
  <si>
    <t>Diamond Ridge</t>
  </si>
  <si>
    <t>Pioneer Pkwy W</t>
  </si>
  <si>
    <t>Arroyo Park TH</t>
  </si>
  <si>
    <t>Maddison Creek</t>
  </si>
  <si>
    <t>Grand Manor</t>
  </si>
  <si>
    <t>Chimney Meadow</t>
  </si>
  <si>
    <t>Centre Oaks</t>
  </si>
  <si>
    <t>Statler Ct</t>
  </si>
  <si>
    <t>Centreport Landing</t>
  </si>
  <si>
    <t>Harwood E</t>
  </si>
  <si>
    <t>Charter Oaks</t>
  </si>
  <si>
    <t>Medical Center Dr</t>
  </si>
  <si>
    <t>Fairways at Wilson Creek</t>
  </si>
  <si>
    <t>Thomason Cir</t>
  </si>
  <si>
    <t>Madera Brookside</t>
  </si>
  <si>
    <t>Landmark at Heritage Fields</t>
  </si>
  <si>
    <t>Westbridge</t>
  </si>
  <si>
    <t>Cherry Dr</t>
  </si>
  <si>
    <t>Cherry Circle I</t>
  </si>
  <si>
    <t>Broadway Ave</t>
  </si>
  <si>
    <t>Haltom Oaks</t>
  </si>
  <si>
    <t>Hampton Hills</t>
  </si>
  <si>
    <t>Remington Dr</t>
  </si>
  <si>
    <t>Cimmarron Crossing</t>
  </si>
  <si>
    <t>Ash Ln W</t>
  </si>
  <si>
    <t>Aspen Oaks</t>
  </si>
  <si>
    <t>Prestonwood Hills</t>
  </si>
  <si>
    <t>Collins S</t>
  </si>
  <si>
    <t>Aspen Woods</t>
  </si>
  <si>
    <t>Portland St</t>
  </si>
  <si>
    <t>Rd to Six Flags W</t>
  </si>
  <si>
    <t>Clover Hill</t>
  </si>
  <si>
    <t>Garden Plaza</t>
  </si>
  <si>
    <t>Club at Springlake</t>
  </si>
  <si>
    <t>Timberoaks Dr</t>
  </si>
  <si>
    <t>Azlewood</t>
  </si>
  <si>
    <t>Stoneleigh Ct</t>
  </si>
  <si>
    <t>Tripoint Square</t>
  </si>
  <si>
    <t>Creekside I &amp; II</t>
  </si>
  <si>
    <t>Johnson</t>
  </si>
  <si>
    <t>Collins Court</t>
  </si>
  <si>
    <t>Embassy</t>
  </si>
  <si>
    <t>Garden Shadow Ln</t>
  </si>
  <si>
    <t>Rogers Landing</t>
  </si>
  <si>
    <t>Villas of Bent Trails</t>
  </si>
  <si>
    <t>Weber St</t>
  </si>
  <si>
    <t>Tish Cir</t>
  </si>
  <si>
    <t>Northwood Place</t>
  </si>
  <si>
    <t>Johnson Ave</t>
  </si>
  <si>
    <t>Great SW Pkwy</t>
  </si>
  <si>
    <t>Parkway Villas</t>
  </si>
  <si>
    <t>Martha St</t>
  </si>
  <si>
    <t>Royal Terrace</t>
  </si>
  <si>
    <t>Norwood Village</t>
  </si>
  <si>
    <t>Medical Ave</t>
  </si>
  <si>
    <t>Villas of Mission Bend</t>
  </si>
  <si>
    <t>Running Brook</t>
  </si>
  <si>
    <t>The Villas of Preston Creek</t>
  </si>
  <si>
    <t>AMLI at Frankford</t>
  </si>
  <si>
    <t>Stonewood Dr</t>
  </si>
  <si>
    <t>Villas of Spring Creek I</t>
  </si>
  <si>
    <t>Tuscany Square</t>
  </si>
  <si>
    <t>4343 at the Parkway</t>
  </si>
  <si>
    <t>Bear Creek Villas</t>
  </si>
  <si>
    <t>Terminal Rd</t>
  </si>
  <si>
    <t>Sabine Place</t>
  </si>
  <si>
    <t>Cooper N</t>
  </si>
  <si>
    <t>St. Charles Place</t>
  </si>
  <si>
    <t>Shadybrook</t>
  </si>
  <si>
    <t>3526-A</t>
  </si>
  <si>
    <t>Bedford Hills</t>
  </si>
  <si>
    <t>Village on Timberglen</t>
  </si>
  <si>
    <t>Main St N</t>
  </si>
  <si>
    <t>Oak Park I &amp; II</t>
  </si>
  <si>
    <t>Sandstone at Bear Creek</t>
  </si>
  <si>
    <t>Pecan Bend</t>
  </si>
  <si>
    <t>The Brownstones</t>
  </si>
  <si>
    <t>The Grove at Sandshell Drive</t>
  </si>
  <si>
    <t>Oak St N</t>
  </si>
  <si>
    <t>Oak Square</t>
  </si>
  <si>
    <t>Leisure Dr</t>
  </si>
  <si>
    <t>The Solaris</t>
  </si>
  <si>
    <t>Savannah Club</t>
  </si>
  <si>
    <t>The Laurels of Sendera</t>
  </si>
  <si>
    <t>Fuller St</t>
  </si>
  <si>
    <t>Sawyers Mill</t>
  </si>
  <si>
    <t>Woodard Way</t>
  </si>
  <si>
    <t>The Crestmont</t>
  </si>
  <si>
    <t>Sigmond Dr</t>
  </si>
  <si>
    <t>Oak Chase</t>
  </si>
  <si>
    <t>Sierra Springs</t>
  </si>
  <si>
    <t>Bethany</t>
  </si>
  <si>
    <t>Second Dimension</t>
  </si>
  <si>
    <t>Oakmont of Bear Creek</t>
  </si>
  <si>
    <t>Brown Trl</t>
  </si>
  <si>
    <t>Sequoia Bend</t>
  </si>
  <si>
    <t>Bowen Rd N</t>
  </si>
  <si>
    <t>Bowen I &amp; II</t>
  </si>
  <si>
    <t>Wiscasset Dr</t>
  </si>
  <si>
    <t>Terlingua</t>
  </si>
  <si>
    <t>Brazos Park</t>
  </si>
  <si>
    <t>Booth Calloway Rd</t>
  </si>
  <si>
    <t>Hamilton Villas</t>
  </si>
  <si>
    <t>Oakwood Condominiums</t>
  </si>
  <si>
    <t>Big Sur</t>
  </si>
  <si>
    <t>Breckenridge</t>
  </si>
  <si>
    <t>Cooper S</t>
  </si>
  <si>
    <t>Shadow Brook</t>
  </si>
  <si>
    <t>Abram E</t>
  </si>
  <si>
    <t>Regal Commons</t>
  </si>
  <si>
    <t>Shiloh</t>
  </si>
  <si>
    <t>Waterford on the Meadow</t>
  </si>
  <si>
    <t>Camino Verdes Blvd</t>
  </si>
  <si>
    <t>Palos Verde TH</t>
  </si>
  <si>
    <t>Madison Dr</t>
  </si>
  <si>
    <t>2225-2227</t>
  </si>
  <si>
    <t>Shadow Tree Condominium</t>
  </si>
  <si>
    <t>SE Pkwy</t>
  </si>
  <si>
    <t>Shady Creek</t>
  </si>
  <si>
    <t>Shenandoah Village</t>
  </si>
  <si>
    <t>Whitestone</t>
  </si>
  <si>
    <t>Lakeview Pkwy</t>
  </si>
  <si>
    <t>Waters Edge Villas</t>
  </si>
  <si>
    <t>Rowlett</t>
  </si>
  <si>
    <t>Waterview Pkwy</t>
  </si>
  <si>
    <t>Waterview Park</t>
  </si>
  <si>
    <t>Wyndsor Court</t>
  </si>
  <si>
    <t>Waters Park AH</t>
  </si>
  <si>
    <t>Park Row E</t>
  </si>
  <si>
    <t>Park On The Creek</t>
  </si>
  <si>
    <t>Wesley</t>
  </si>
  <si>
    <t>Arcadia St</t>
  </si>
  <si>
    <t>Winding Oaks</t>
  </si>
  <si>
    <t>Park Row East</t>
  </si>
  <si>
    <t>Precinct Line Rd</t>
  </si>
  <si>
    <t>Park Square</t>
  </si>
  <si>
    <t>Park Vista Rd</t>
  </si>
  <si>
    <t>Park Vista TH</t>
  </si>
  <si>
    <t>Treepoint</t>
  </si>
  <si>
    <t>Parks at Tree Point</t>
  </si>
  <si>
    <t>Millview</t>
  </si>
  <si>
    <t>Parkside TH</t>
  </si>
  <si>
    <t>Pkwy Ln</t>
  </si>
  <si>
    <t>Parkway East TH</t>
  </si>
  <si>
    <t>English Village TH</t>
  </si>
  <si>
    <t>Parkwood Plaza TH</t>
  </si>
  <si>
    <t>Pecan Creek</t>
  </si>
  <si>
    <t>Fossil Creek Blvd</t>
  </si>
  <si>
    <t>Hidden Lakes</t>
  </si>
  <si>
    <t>Hidden Valley</t>
  </si>
  <si>
    <t>Bedford Euless W</t>
  </si>
  <si>
    <t>Hurst Gardens</t>
  </si>
  <si>
    <t>Brent Dr</t>
  </si>
  <si>
    <t>Booth Calloway N</t>
  </si>
  <si>
    <t>Hurst Manor</t>
  </si>
  <si>
    <t>Clark Rd S</t>
  </si>
  <si>
    <t>High Pointe Village I</t>
  </si>
  <si>
    <t>Indian Creek Dr</t>
  </si>
  <si>
    <t>Indian Creek Duplexes</t>
  </si>
  <si>
    <t>Trophy Club</t>
  </si>
  <si>
    <t>American Blvd</t>
  </si>
  <si>
    <t>Crest Oasis</t>
  </si>
  <si>
    <t>Jane Ln</t>
  </si>
  <si>
    <t>Jane Lane</t>
  </si>
  <si>
    <t>Hurst Estates</t>
  </si>
  <si>
    <t>Cora St</t>
  </si>
  <si>
    <t>Key Largo</t>
  </si>
  <si>
    <t>Vine</t>
  </si>
  <si>
    <t>Hillside Village</t>
  </si>
  <si>
    <t>Carter Dr</t>
  </si>
  <si>
    <t>L'Atrium on the Creek</t>
  </si>
  <si>
    <t>Hilltop Dr</t>
  </si>
  <si>
    <t>New York</t>
  </si>
  <si>
    <t>La Joya</t>
  </si>
  <si>
    <t>Brown Blvd</t>
  </si>
  <si>
    <t>Lake O' The Woods</t>
  </si>
  <si>
    <t>Lakes of Williamsberg</t>
  </si>
  <si>
    <t>Mitchell St W</t>
  </si>
  <si>
    <t>Pinewoods</t>
  </si>
  <si>
    <t>Dudley Cir</t>
  </si>
  <si>
    <t>Olympic Club</t>
  </si>
  <si>
    <t>Matlock Place</t>
  </si>
  <si>
    <t>Pioneer Pkwy E</t>
  </si>
  <si>
    <t>Place on the Park</t>
  </si>
  <si>
    <t>Plantation Oaks</t>
  </si>
  <si>
    <t>The Vineyards at Trophy Club</t>
  </si>
  <si>
    <t>Randol Mill Rd E</t>
  </si>
  <si>
    <t>Plantation Place &amp; Court</t>
  </si>
  <si>
    <t>Plantation West</t>
  </si>
  <si>
    <t>Dewberry Blvd</t>
  </si>
  <si>
    <t>Bel-Air Place</t>
  </si>
  <si>
    <t>Troy Ln</t>
  </si>
  <si>
    <t>Pleasant Ridge Villas</t>
  </si>
  <si>
    <t>Gibbons</t>
  </si>
  <si>
    <t>Fielder Rd N</t>
  </si>
  <si>
    <t>Lamar Ave E</t>
  </si>
  <si>
    <t>The Pointe of North Arlington</t>
  </si>
  <si>
    <t>Lansbrook at Twin Creeks</t>
  </si>
  <si>
    <t>Trinity Blvd</t>
  </si>
  <si>
    <t>Post Oak Place</t>
  </si>
  <si>
    <t>Linbrook</t>
  </si>
  <si>
    <t>Daja Ln</t>
  </si>
  <si>
    <t>Prairie Estates</t>
  </si>
  <si>
    <t>Freetown Rd</t>
  </si>
  <si>
    <t>Prairie Ridge</t>
  </si>
  <si>
    <t>Industrial Park Blvd</t>
  </si>
  <si>
    <t>Presidents Corner</t>
  </si>
  <si>
    <t>Quorum Dr</t>
  </si>
  <si>
    <t>Quorum TH</t>
  </si>
  <si>
    <t>Sylvan Dr</t>
  </si>
  <si>
    <t>Hunter Chase</t>
  </si>
  <si>
    <t>Hialeah Park</t>
  </si>
  <si>
    <t>Saginaw Crossings</t>
  </si>
  <si>
    <t>Airport Cir</t>
  </si>
  <si>
    <t>Regency</t>
  </si>
  <si>
    <t>Stratton</t>
  </si>
  <si>
    <t>Regency Place</t>
  </si>
  <si>
    <t>Regional Place</t>
  </si>
  <si>
    <t>Ashford Ln</t>
  </si>
  <si>
    <t>Remington Meadows</t>
  </si>
  <si>
    <t>White Rock Trail</t>
  </si>
  <si>
    <t>Ridge Crest</t>
  </si>
  <si>
    <t>Brentford Place</t>
  </si>
  <si>
    <t>Furrs Ave</t>
  </si>
  <si>
    <t>The Rochester</t>
  </si>
  <si>
    <t>Trinity Cir</t>
  </si>
  <si>
    <t>Centreport</t>
  </si>
  <si>
    <t>Summer's Landing</t>
  </si>
  <si>
    <t>Summit On The Lake</t>
  </si>
  <si>
    <t>Summit Ave</t>
  </si>
  <si>
    <t>Summit Plaza</t>
  </si>
  <si>
    <t>Randy Snow</t>
  </si>
  <si>
    <t>Sunset Point</t>
  </si>
  <si>
    <t>Windsor Place TH</t>
  </si>
  <si>
    <t>Shorewood Dr</t>
  </si>
  <si>
    <t>Shorewood Park TH</t>
  </si>
  <si>
    <t>Paces Trl</t>
  </si>
  <si>
    <t>The Trails</t>
  </si>
  <si>
    <t>Waldemar</t>
  </si>
  <si>
    <t>Bellaire Dr</t>
  </si>
  <si>
    <t>Sutton Square</t>
  </si>
  <si>
    <t>Ashley Park TH</t>
  </si>
  <si>
    <t>Burney</t>
  </si>
  <si>
    <t>Walnut Ridge</t>
  </si>
  <si>
    <t>Ashley Place</t>
  </si>
  <si>
    <t>Tealcove Dr W</t>
  </si>
  <si>
    <t>Tealwood</t>
  </si>
  <si>
    <t>Kennedale</t>
  </si>
  <si>
    <t>Waterbury Place</t>
  </si>
  <si>
    <t>Waterbury Place TH</t>
  </si>
  <si>
    <t>Terrace View</t>
  </si>
  <si>
    <t>Silverwood</t>
  </si>
  <si>
    <t>Rigsbee S</t>
  </si>
  <si>
    <t>Woodlands of Plano</t>
  </si>
  <si>
    <t>Bandera Ranch</t>
  </si>
  <si>
    <t>Skyline Cir</t>
  </si>
  <si>
    <t>Spanish Villas</t>
  </si>
  <si>
    <t>Villa Jolla</t>
  </si>
  <si>
    <t>Elite Cir</t>
  </si>
  <si>
    <t>Timberline</t>
  </si>
  <si>
    <t>Timberline Condos</t>
  </si>
  <si>
    <t>Bumpas</t>
  </si>
  <si>
    <t>Autumn Creek</t>
  </si>
  <si>
    <t>Toscana Villas</t>
  </si>
  <si>
    <t>Wickersham</t>
  </si>
  <si>
    <t>Del Rey Village</t>
  </si>
  <si>
    <t>Brookgreen</t>
  </si>
  <si>
    <t>Las Terrazas</t>
  </si>
  <si>
    <t>Wellesly Park</t>
  </si>
  <si>
    <t>La Vita on Lovers Lane</t>
  </si>
  <si>
    <t>Maple Trail</t>
  </si>
  <si>
    <t>Ichabod Cir</t>
  </si>
  <si>
    <t>Virginia W</t>
  </si>
  <si>
    <t>9th St N</t>
  </si>
  <si>
    <t>Turtle Cove</t>
  </si>
  <si>
    <t>Midlothian</t>
  </si>
  <si>
    <t>Dove Loop Rd</t>
  </si>
  <si>
    <t>Marina Del Rey</t>
  </si>
  <si>
    <t>Sanford St E</t>
  </si>
  <si>
    <t>Collins Park</t>
  </si>
  <si>
    <t>Casa Serena</t>
  </si>
  <si>
    <t>Wynn Joyce Rd</t>
  </si>
  <si>
    <t>Wyngate TH</t>
  </si>
  <si>
    <t>NW 33rd St</t>
  </si>
  <si>
    <t>Marine Park</t>
  </si>
  <si>
    <t>Sonterra</t>
  </si>
  <si>
    <t>Wembley Cir</t>
  </si>
  <si>
    <t>Wexford TH</t>
  </si>
  <si>
    <t>Causley Ave</t>
  </si>
  <si>
    <t>South Campus</t>
  </si>
  <si>
    <t>Woodbridge TH</t>
  </si>
  <si>
    <t>Whispering Run</t>
  </si>
  <si>
    <t>Lawrence Rd</t>
  </si>
  <si>
    <t>Woodcreek</t>
  </si>
  <si>
    <t>Deuce Dr</t>
  </si>
  <si>
    <t>Wimbledon Court</t>
  </si>
  <si>
    <t>The Palisades at Bear Creek</t>
  </si>
  <si>
    <t>College St</t>
  </si>
  <si>
    <t>Woodcrest</t>
  </si>
  <si>
    <t>Sojourn</t>
  </si>
  <si>
    <t>Bent Tree Park</t>
  </si>
  <si>
    <t>Wimbledon Oaks</t>
  </si>
  <si>
    <t>Woodland Park Blvd</t>
  </si>
  <si>
    <t>Berry Trl</t>
  </si>
  <si>
    <t>Berry Trail</t>
  </si>
  <si>
    <t>Lynnwood Dr</t>
  </si>
  <si>
    <t>Woodland West</t>
  </si>
  <si>
    <t>Springcrest Dr</t>
  </si>
  <si>
    <t>Springcrest</t>
  </si>
  <si>
    <t>5th St NE</t>
  </si>
  <si>
    <t>Willow Wood</t>
  </si>
  <si>
    <t>Lynnwood</t>
  </si>
  <si>
    <t>Woodlands of Arlington</t>
  </si>
  <si>
    <t>The Bluffs</t>
  </si>
  <si>
    <t>Higgins Ln</t>
  </si>
  <si>
    <t>Springdale</t>
  </si>
  <si>
    <t>Center N</t>
  </si>
  <si>
    <t>Willow Wood North</t>
  </si>
  <si>
    <t>Woods of Bedford</t>
  </si>
  <si>
    <t>Willows II</t>
  </si>
  <si>
    <t>Washington Cir</t>
  </si>
  <si>
    <t>Woodwind</t>
  </si>
  <si>
    <t>Carrier Pkwy S</t>
  </si>
  <si>
    <t>Wymberly Crossing</t>
  </si>
  <si>
    <t>Grand Ct</t>
  </si>
  <si>
    <t>Maverick</t>
  </si>
  <si>
    <t>Warrior Trl W</t>
  </si>
  <si>
    <t>Wymberly Pointe</t>
  </si>
  <si>
    <t>Townbluff</t>
  </si>
  <si>
    <t>Twenty Oaks</t>
  </si>
  <si>
    <t>Mill Crossing Place</t>
  </si>
  <si>
    <t>Landmark at Ridgewood Preserve</t>
  </si>
  <si>
    <t>St. Laurent</t>
  </si>
  <si>
    <t>Del Paso St</t>
  </si>
  <si>
    <t>Mission Pointe Club</t>
  </si>
  <si>
    <t>Forty Cir N</t>
  </si>
  <si>
    <t>Misty Hollow</t>
  </si>
  <si>
    <t>Del Paso</t>
  </si>
  <si>
    <t>Two Thousand Oaks</t>
  </si>
  <si>
    <t>Sterling Crest</t>
  </si>
  <si>
    <t>Monterrey Blvd</t>
  </si>
  <si>
    <t>Westdale Hills Muirfield Village</t>
  </si>
  <si>
    <t>Wanda Way</t>
  </si>
  <si>
    <t>Summer Tree Ln</t>
  </si>
  <si>
    <t>Valleytree</t>
  </si>
  <si>
    <t>North Hills Crest</t>
  </si>
  <si>
    <t>Saginaw Blvd N</t>
  </si>
  <si>
    <t>Williamsburg Village</t>
  </si>
  <si>
    <t>Pipeline</t>
  </si>
  <si>
    <t>Vickery Square</t>
  </si>
  <si>
    <t>North Hills Place</t>
  </si>
  <si>
    <t>Lincoln Dr</t>
  </si>
  <si>
    <t>Manchester Park</t>
  </si>
  <si>
    <t>Willow Ridge TH</t>
  </si>
  <si>
    <t>Villa Del Mar Ave</t>
  </si>
  <si>
    <t>Villa Del Mar</t>
  </si>
  <si>
    <t>Forest Hills</t>
  </si>
  <si>
    <t>The Arts Apts</t>
  </si>
  <si>
    <t>Village Green at Bear Creek</t>
  </si>
  <si>
    <t>Cavender Dr</t>
  </si>
  <si>
    <t>M &amp; M Gardens</t>
  </si>
  <si>
    <t>Manchester</t>
  </si>
  <si>
    <t>The Village on Post Oak</t>
  </si>
  <si>
    <t>Sandshell Blvd</t>
  </si>
  <si>
    <t>The Abbey at Fossil Creek</t>
  </si>
  <si>
    <t>Villas at Stonebridge Ranch</t>
  </si>
  <si>
    <t>Citrus Ln</t>
  </si>
  <si>
    <t>Villas of Lime Tree</t>
  </si>
  <si>
    <t>Creekside Dr</t>
  </si>
  <si>
    <t>Villas of Marine Creek</t>
  </si>
  <si>
    <t>Dillon Apts</t>
  </si>
  <si>
    <t>Alexander N</t>
  </si>
  <si>
    <t>Waterdance I &amp; II</t>
  </si>
  <si>
    <t>Cottages at Bedford</t>
  </si>
  <si>
    <t>Waterford on the Green</t>
  </si>
  <si>
    <t>Stone Bridge at Bear Creek</t>
  </si>
  <si>
    <t>Randol Mill E</t>
  </si>
  <si>
    <t>Waterford I &amp; II</t>
  </si>
  <si>
    <t>Summer Brook</t>
  </si>
  <si>
    <t>Elizabeth Ln W</t>
  </si>
  <si>
    <t>Canyon St</t>
  </si>
  <si>
    <t>Bellfort Pines</t>
  </si>
  <si>
    <t>Las Villas de Leon</t>
  </si>
  <si>
    <t>Springs Ln</t>
  </si>
  <si>
    <t>The Springs</t>
  </si>
  <si>
    <t>Dripping Springs</t>
  </si>
  <si>
    <t>Rialto Dr</t>
  </si>
  <si>
    <t>AMLI Lantana Hills</t>
  </si>
  <si>
    <t>Riverton at Davis Springs</t>
  </si>
  <si>
    <t>Westdale Hills Doral</t>
  </si>
  <si>
    <t>Westdale Hills Sawgrass</t>
  </si>
  <si>
    <t>Westdale Hills Pinehurst</t>
  </si>
  <si>
    <t>Westdale Hills Oakmont</t>
  </si>
  <si>
    <t>Westdale Hills Crooked Stick</t>
  </si>
  <si>
    <t>Westdale Hills Bonaventure</t>
  </si>
  <si>
    <t>Hausman Rd W</t>
  </si>
  <si>
    <t>Smokey Mountain Dr</t>
  </si>
  <si>
    <t>Summit Apts</t>
  </si>
  <si>
    <t>Brian Dr</t>
  </si>
  <si>
    <t>North Ridge Village Duplex Apts</t>
  </si>
  <si>
    <t>Park Ln Dr</t>
  </si>
  <si>
    <t>Park Lane Apts</t>
  </si>
  <si>
    <t>The Westheimer Park</t>
  </si>
  <si>
    <t>Ashley House</t>
  </si>
  <si>
    <t>Lodge At Lakeline Village</t>
  </si>
  <si>
    <t>Escalon at Canyon Creek</t>
  </si>
  <si>
    <t>Little Texas Ln</t>
  </si>
  <si>
    <t>Regency Park</t>
  </si>
  <si>
    <t>Villas Of Costa Dorada</t>
  </si>
  <si>
    <t>Lamar St W</t>
  </si>
  <si>
    <t>Lamar Plaza</t>
  </si>
  <si>
    <t>Meyer Park Lakeside (II)</t>
  </si>
  <si>
    <t>Green Pines</t>
  </si>
  <si>
    <t>Vista Dr</t>
  </si>
  <si>
    <t>The Club of the Brazos</t>
  </si>
  <si>
    <t>Churchill Place</t>
  </si>
  <si>
    <t>Summit Point</t>
  </si>
  <si>
    <t>Marquis Downtown Lofts</t>
  </si>
  <si>
    <t>Cranford #1</t>
  </si>
  <si>
    <t>Pecan Pointe TH</t>
  </si>
  <si>
    <t>Dove Rd</t>
  </si>
  <si>
    <t>Dove Creek Villas</t>
  </si>
  <si>
    <t>El Mundo Dr</t>
  </si>
  <si>
    <t>San Melia</t>
  </si>
  <si>
    <t>Mirabella</t>
  </si>
  <si>
    <t>Philippine St</t>
  </si>
  <si>
    <t>Park at Woodwind Lakes</t>
  </si>
  <si>
    <t>Bammel Houston Rd N</t>
  </si>
  <si>
    <t>Park at Fallbrook</t>
  </si>
  <si>
    <t>Aeropark</t>
  </si>
  <si>
    <t>Decker</t>
  </si>
  <si>
    <t>TH of Bay Forest</t>
  </si>
  <si>
    <t>Tanner Park Ct</t>
  </si>
  <si>
    <t>Almeda Park</t>
  </si>
  <si>
    <t>Tiffany Cir</t>
  </si>
  <si>
    <t>The Green in the Village II</t>
  </si>
  <si>
    <t>Lauder Ln</t>
  </si>
  <si>
    <t>Courtyards at Campbell</t>
  </si>
  <si>
    <t>Hillburn</t>
  </si>
  <si>
    <t>Hillburn Hills</t>
  </si>
  <si>
    <t>Senior Creek Dr</t>
  </si>
  <si>
    <t>The Primrose at Johnson Creek</t>
  </si>
  <si>
    <t>Hampton Rd S</t>
  </si>
  <si>
    <t>Primrose Oaks</t>
  </si>
  <si>
    <t>Chattanooga Place</t>
  </si>
  <si>
    <t>Rosemont at Arlington Park</t>
  </si>
  <si>
    <t>Futura Lofts</t>
  </si>
  <si>
    <t>Lake Colony Apts</t>
  </si>
  <si>
    <t>Meadows Of Bedford II</t>
  </si>
  <si>
    <t>Plaza Pkwy</t>
  </si>
  <si>
    <t>Ridgmar Crossroads</t>
  </si>
  <si>
    <t>Park Villas II</t>
  </si>
  <si>
    <t>Oakway Manor</t>
  </si>
  <si>
    <t>Verona TH</t>
  </si>
  <si>
    <t>Villas at West Oaks</t>
  </si>
  <si>
    <t>Augusta Dr</t>
  </si>
  <si>
    <t>Greenway Patio Homes</t>
  </si>
  <si>
    <t>Gilbert Ave</t>
  </si>
  <si>
    <t>LCA Condominiums</t>
  </si>
  <si>
    <t>Camden Oak Crest</t>
  </si>
  <si>
    <t>Tivoli</t>
  </si>
  <si>
    <t>Lakeline Blvd N</t>
  </si>
  <si>
    <t>Lakeline</t>
  </si>
  <si>
    <t>Lakeline Villas</t>
  </si>
  <si>
    <t>Matthew Ridge</t>
  </si>
  <si>
    <t>Old Orchard Ln N</t>
  </si>
  <si>
    <t>Cypress Creek Rd E</t>
  </si>
  <si>
    <t>Cedar Park TH</t>
  </si>
  <si>
    <t>Buttercup Creek Blvd</t>
  </si>
  <si>
    <t>Buttercup Creek</t>
  </si>
  <si>
    <t>AW Grimes Blvd</t>
  </si>
  <si>
    <t>Red Hills Villas</t>
  </si>
  <si>
    <t>Argonne Forest Trl</t>
  </si>
  <si>
    <t>11600-A</t>
  </si>
  <si>
    <t>Ranchstone Garden Homes</t>
  </si>
  <si>
    <t>Yellow Sage</t>
  </si>
  <si>
    <t>Heatherwilde Park</t>
  </si>
  <si>
    <t>Forest Creek Dr</t>
  </si>
  <si>
    <t>Forest Creek TH</t>
  </si>
  <si>
    <t>Addicks Clodine</t>
  </si>
  <si>
    <t>City Parc at West Oaks</t>
  </si>
  <si>
    <t>1200 Post Oak</t>
  </si>
  <si>
    <t>Fountains at Tidwell</t>
  </si>
  <si>
    <t>Heatherwilde Blvd</t>
  </si>
  <si>
    <t>Westchester Woods</t>
  </si>
  <si>
    <t>Camden Legacy Creek</t>
  </si>
  <si>
    <t>Tuscany Court</t>
  </si>
  <si>
    <t>Travis W</t>
  </si>
  <si>
    <t>Robert E. Lee</t>
  </si>
  <si>
    <t>Beckleymeade</t>
  </si>
  <si>
    <t>Rosemont at Timber Creek</t>
  </si>
  <si>
    <t>Ledbetter E</t>
  </si>
  <si>
    <t>Rosemont of Oak Hollow</t>
  </si>
  <si>
    <t>Gables State Thomas Ravello</t>
  </si>
  <si>
    <t>Fernherst Rd W</t>
  </si>
  <si>
    <t>Brittmore</t>
  </si>
  <si>
    <t>Manchester State Thomas II Brownstones</t>
  </si>
  <si>
    <t>Manchester State Thomas III Flats</t>
  </si>
  <si>
    <t>Oaks Of Denton</t>
  </si>
  <si>
    <t>Legendary Dr</t>
  </si>
  <si>
    <t>Villas at Stone Oak Ranch</t>
  </si>
  <si>
    <t>Iron Rock Ranch</t>
  </si>
  <si>
    <t>Country View Ln</t>
  </si>
  <si>
    <t>Country Lane Seniors Community</t>
  </si>
  <si>
    <t>Mustang Ridge at Grapevine Ranch</t>
  </si>
  <si>
    <t>Marquis at Texas Street</t>
  </si>
  <si>
    <t>Upper E-Paree</t>
  </si>
  <si>
    <t>Upper E-Silver Sands</t>
  </si>
  <si>
    <t>Red River</t>
  </si>
  <si>
    <t>Throckmorton St</t>
  </si>
  <si>
    <t>Gardens Cambridge Apts</t>
  </si>
  <si>
    <t>Beacon N</t>
  </si>
  <si>
    <t>Upper E-Beacon Hill</t>
  </si>
  <si>
    <t>Upper E-Kaluha</t>
  </si>
  <si>
    <t>Upper E-The Strand</t>
  </si>
  <si>
    <t>Upper E-Coral Gates</t>
  </si>
  <si>
    <t>Upper E-Buckingham</t>
  </si>
  <si>
    <t>Upper E-Casa Villa</t>
  </si>
  <si>
    <t>Upper E-Driftwood</t>
  </si>
  <si>
    <t>Upper E-Pink Adobe</t>
  </si>
  <si>
    <t>Marquis on Eldridge Parkway</t>
  </si>
  <si>
    <t>Briery Dr</t>
  </si>
  <si>
    <t>Village Creek TH</t>
  </si>
  <si>
    <t>Town E Blvd N</t>
  </si>
  <si>
    <t>Alexis Town East</t>
  </si>
  <si>
    <t>Lillian Miller Pkwy</t>
  </si>
  <si>
    <t>Sterling House on the Parkway</t>
  </si>
  <si>
    <t>Horizon Bay North Richland Hills</t>
  </si>
  <si>
    <t>Vista Del Lago</t>
  </si>
  <si>
    <t>The Ranch at Fossil Creek</t>
  </si>
  <si>
    <t>Tuscan Villas</t>
  </si>
  <si>
    <t>Parish Ln</t>
  </si>
  <si>
    <t>Watermark</t>
  </si>
  <si>
    <t>Hudson Crossing</t>
  </si>
  <si>
    <t>The Villas of El Dorado</t>
  </si>
  <si>
    <t>DeSoto Ranch</t>
  </si>
  <si>
    <t>On the Green</t>
  </si>
  <si>
    <t>Regency at Stonebridge Ranch</t>
  </si>
  <si>
    <t>Stoneleigh at Gracy Farms</t>
  </si>
  <si>
    <t>620 FM S</t>
  </si>
  <si>
    <t>Falconhead</t>
  </si>
  <si>
    <t>Clarkridge</t>
  </si>
  <si>
    <t>Ridge Parc I</t>
  </si>
  <si>
    <t>Silverado at Brushy Creek</t>
  </si>
  <si>
    <t>Slaughter Ln E</t>
  </si>
  <si>
    <t>Stonecreek Ranch</t>
  </si>
  <si>
    <t>The Villas of Bristol Heights</t>
  </si>
  <si>
    <t>Sandstone I &amp; II</t>
  </si>
  <si>
    <t>Research Forest Dr</t>
  </si>
  <si>
    <t>Whispering Pines Ranch</t>
  </si>
  <si>
    <t>Berry St S E</t>
  </si>
  <si>
    <t>Cobb Park</t>
  </si>
  <si>
    <t>Bosque Ln</t>
  </si>
  <si>
    <t>Bosque River</t>
  </si>
  <si>
    <t>Stephenville</t>
  </si>
  <si>
    <t>Lillian S</t>
  </si>
  <si>
    <t>Lillian II</t>
  </si>
  <si>
    <t>McNeill W</t>
  </si>
  <si>
    <t>Lillian I</t>
  </si>
  <si>
    <t>Washington W</t>
  </si>
  <si>
    <t>Tarleton St W</t>
  </si>
  <si>
    <t>Stephenville West</t>
  </si>
  <si>
    <t>Lillian St S</t>
  </si>
  <si>
    <t>Auburn Place</t>
  </si>
  <si>
    <t>Lillian St N</t>
  </si>
  <si>
    <t>College Point II</t>
  </si>
  <si>
    <t>Lingleville W</t>
  </si>
  <si>
    <t>Oak Tree East</t>
  </si>
  <si>
    <t>Villages of Sage Creek</t>
  </si>
  <si>
    <t>NW Loop</t>
  </si>
  <si>
    <t>Tarleton Arms</t>
  </si>
  <si>
    <t>Coleman Blvd</t>
  </si>
  <si>
    <t>The Plaza at Frisco Square I</t>
  </si>
  <si>
    <t>Sundance West</t>
  </si>
  <si>
    <t>Philippine</t>
  </si>
  <si>
    <t>The Bellagio</t>
  </si>
  <si>
    <t>Westhollow Dr</t>
  </si>
  <si>
    <t>Wynhaven at West Oaks</t>
  </si>
  <si>
    <t>4th St W</t>
  </si>
  <si>
    <t>Sanger Lofts</t>
  </si>
  <si>
    <t>Town E N</t>
  </si>
  <si>
    <t>The Waterford at Mesquite</t>
  </si>
  <si>
    <t>Barton Hills Dr</t>
  </si>
  <si>
    <t>Barton Hills-Park Place</t>
  </si>
  <si>
    <t>Northgate Crossing Blvd</t>
  </si>
  <si>
    <t>The Park at Northgate</t>
  </si>
  <si>
    <t>Berkman Dr</t>
  </si>
  <si>
    <t>Berkman Court</t>
  </si>
  <si>
    <t>Westheimer Hills</t>
  </si>
  <si>
    <t>Sweeney Cir</t>
  </si>
  <si>
    <t>Westheimer Place</t>
  </si>
  <si>
    <t>52nd St E</t>
  </si>
  <si>
    <t>Westheimer Trace</t>
  </si>
  <si>
    <t>City Place Blvd W</t>
  </si>
  <si>
    <t>The Bryson at City Place</t>
  </si>
  <si>
    <t>Daffodil Dr</t>
  </si>
  <si>
    <t>Daffodil</t>
  </si>
  <si>
    <t>Hyatt Resort Dr</t>
  </si>
  <si>
    <t>The Lodge at Westover Hills</t>
  </si>
  <si>
    <t>Lake Vista</t>
  </si>
  <si>
    <t>Stablewood Farms</t>
  </si>
  <si>
    <t>Repsdorph Rd N</t>
  </si>
  <si>
    <t>Regatta Bay</t>
  </si>
  <si>
    <t>Shadowbrooke</t>
  </si>
  <si>
    <t>Eldridge Pkwy N</t>
  </si>
  <si>
    <t>The Trails at Eldridge Parkway</t>
  </si>
  <si>
    <t>Buckingham E</t>
  </si>
  <si>
    <t>The Bristol at Buckingham</t>
  </si>
  <si>
    <t>Circle S AH</t>
  </si>
  <si>
    <t>Alta Royal Oaks</t>
  </si>
  <si>
    <t>Dallas St</t>
  </si>
  <si>
    <t>Humble Tower</t>
  </si>
  <si>
    <t>Roosevelt Ave</t>
  </si>
  <si>
    <t>La Posada Del Rey</t>
  </si>
  <si>
    <t>Legacy at Science Park</t>
  </si>
  <si>
    <t>Legacy on O'Connor Road</t>
  </si>
  <si>
    <t>Cambria at Coyote Ridge</t>
  </si>
  <si>
    <t>Mariposa Villas</t>
  </si>
  <si>
    <t>Centrepark Dr</t>
  </si>
  <si>
    <t>The Lodge at Spring Shadows I</t>
  </si>
  <si>
    <t>Concord at Allendale</t>
  </si>
  <si>
    <t>Blunn Creek</t>
  </si>
  <si>
    <t>Montopolis Dr</t>
  </si>
  <si>
    <t>Riverside Meadows</t>
  </si>
  <si>
    <t>1460 FM</t>
  </si>
  <si>
    <t>Chandler Creek</t>
  </si>
  <si>
    <t>404 Rio Grande at West 5th</t>
  </si>
  <si>
    <t>The Marquis on McKinney</t>
  </si>
  <si>
    <t>Mission Eagle Pointe</t>
  </si>
  <si>
    <t>Bennett Lofts</t>
  </si>
  <si>
    <t>121 SH Bypass</t>
  </si>
  <si>
    <t>Villas of Vista Ridge</t>
  </si>
  <si>
    <t>Rosemont at Pecan Creek</t>
  </si>
  <si>
    <t>Biering Ln</t>
  </si>
  <si>
    <t>The Ridge at Bandera</t>
  </si>
  <si>
    <t>101-109</t>
  </si>
  <si>
    <t>Bishop's Square</t>
  </si>
  <si>
    <t>Copper Springs</t>
  </si>
  <si>
    <t>Jefferson Blvd W</t>
  </si>
  <si>
    <t>Cantera Crossing</t>
  </si>
  <si>
    <t>The Terrace at First Colony</t>
  </si>
  <si>
    <t>Oasis Gardens</t>
  </si>
  <si>
    <t>Rue Marielyne St</t>
  </si>
  <si>
    <t>Sierra Royale</t>
  </si>
  <si>
    <t>Tumbleweed Trl</t>
  </si>
  <si>
    <t>Oak Timbers I</t>
  </si>
  <si>
    <t>Buffalo Speedway</t>
  </si>
  <si>
    <t>The Terrace at West University</t>
  </si>
  <si>
    <t>Concord at Williamcrest</t>
  </si>
  <si>
    <t>Arapaho E</t>
  </si>
  <si>
    <t>The Block</t>
  </si>
  <si>
    <t>Shady Brook Ln</t>
  </si>
  <si>
    <t>Urbano at Midtown</t>
  </si>
  <si>
    <t>Pecan Ridge Dr</t>
  </si>
  <si>
    <t>1301-1364</t>
  </si>
  <si>
    <t>Walter Stephenson Rd</t>
  </si>
  <si>
    <t>The Lofts at Pecan Ridge</t>
  </si>
  <si>
    <t>Amanda Ln-Pandora</t>
  </si>
  <si>
    <t>11333-13200</t>
  </si>
  <si>
    <t>Montecito Creek</t>
  </si>
  <si>
    <t>Ridgeway Dr E</t>
  </si>
  <si>
    <t>Ridgeway Village</t>
  </si>
  <si>
    <t>5225 Maple Avenue</t>
  </si>
  <si>
    <t>Blue Lake Villas I</t>
  </si>
  <si>
    <t>Valley Ridge Rd W</t>
  </si>
  <si>
    <t>Toscana at Valley Ridge</t>
  </si>
  <si>
    <t>Town Village North</t>
  </si>
  <si>
    <t>Horne St</t>
  </si>
  <si>
    <t>Lincoln Terrace</t>
  </si>
  <si>
    <t>Garden Brook</t>
  </si>
  <si>
    <t>White Rock</t>
  </si>
  <si>
    <t>Villa de Amistad</t>
  </si>
  <si>
    <t>Davis Blvd</t>
  </si>
  <si>
    <t>The Villas On Bear Creek</t>
  </si>
  <si>
    <t>The Claremont</t>
  </si>
  <si>
    <t>Granbury Cutoff Rd</t>
  </si>
  <si>
    <t>Evergreen at Hulen Bend</t>
  </si>
  <si>
    <t>Berry St E</t>
  </si>
  <si>
    <t>Villas of Eastwood Terrace</t>
  </si>
  <si>
    <t>Villa Del Rey</t>
  </si>
  <si>
    <t>Fiesta Place</t>
  </si>
  <si>
    <t>Oakmont Blvd</t>
  </si>
  <si>
    <t>The Verandas at Cityview</t>
  </si>
  <si>
    <t>Eagle Ridge</t>
  </si>
  <si>
    <t>Outspan TH</t>
  </si>
  <si>
    <t>Greenglen Dr</t>
  </si>
  <si>
    <t>Greensbrook Manor</t>
  </si>
  <si>
    <t>Heatherwilde Blvd N</t>
  </si>
  <si>
    <t>Rosemont at Heather Bend</t>
  </si>
  <si>
    <t>The Falls at Borough Park</t>
  </si>
  <si>
    <t>Commercial Center Blvd</t>
  </si>
  <si>
    <t>The Lakes at Cinco Ranch</t>
  </si>
  <si>
    <t>Stagecoach Trl S</t>
  </si>
  <si>
    <t>Stone Brook Senior Community</t>
  </si>
  <si>
    <t>Stoneport Dr</t>
  </si>
  <si>
    <t>Rosemont at Pemberton Hill</t>
  </si>
  <si>
    <t>The Park at Walnut Creek</t>
  </si>
  <si>
    <t>Normandale St S</t>
  </si>
  <si>
    <t>Oak Village</t>
  </si>
  <si>
    <t>Kirkstall Dr</t>
  </si>
  <si>
    <t>The Park at Kirkstall</t>
  </si>
  <si>
    <t>The Dominion at the Woodlands</t>
  </si>
  <si>
    <t>Riverside Dr S</t>
  </si>
  <si>
    <t>Nuckols Crossing Rd</t>
  </si>
  <si>
    <t>Woodway Village</t>
  </si>
  <si>
    <t>Rosemont at Cedar Crest</t>
  </si>
  <si>
    <t>Clark Rd</t>
  </si>
  <si>
    <t>Rosemont at Bluff Ridge</t>
  </si>
  <si>
    <t>Rosemont at Hickory Trace</t>
  </si>
  <si>
    <t>Villas of Cordoba</t>
  </si>
  <si>
    <t>Santa Fe Trails</t>
  </si>
  <si>
    <t>Lynn St W</t>
  </si>
  <si>
    <t>The Castile</t>
  </si>
  <si>
    <t>The Davis Building</t>
  </si>
  <si>
    <t>Austin Tuscany</t>
  </si>
  <si>
    <t>Lamar Place</t>
  </si>
  <si>
    <t>Villages at Lamar V</t>
  </si>
  <si>
    <t>Villages at Lamar IV</t>
  </si>
  <si>
    <t>Burns St</t>
  </si>
  <si>
    <t>Villages at Lamar I</t>
  </si>
  <si>
    <t>Villages at Lamar III</t>
  </si>
  <si>
    <t>Romeria</t>
  </si>
  <si>
    <t>Chelsea Palms</t>
  </si>
  <si>
    <t>Shirley Ave</t>
  </si>
  <si>
    <t>Villages at Lamar II</t>
  </si>
  <si>
    <t>Villas of Lancaster</t>
  </si>
  <si>
    <t>Dietrich</t>
  </si>
  <si>
    <t>Madison on Dietrich</t>
  </si>
  <si>
    <t>Sage Rd</t>
  </si>
  <si>
    <t>Montierra</t>
  </si>
  <si>
    <t>Broadstone Coles Crossing</t>
  </si>
  <si>
    <t>Heather Creek</t>
  </si>
  <si>
    <t>Normandale Place</t>
  </si>
  <si>
    <t>Calais at Courtlandt Square</t>
  </si>
  <si>
    <t>Studemont</t>
  </si>
  <si>
    <t>Windsor at Siena</t>
  </si>
  <si>
    <t>San Brisas</t>
  </si>
  <si>
    <t>Ranch Dr</t>
  </si>
  <si>
    <t>Mission Rock Ridge</t>
  </si>
  <si>
    <t>MacArthur Blvd</t>
  </si>
  <si>
    <t>Estancia at Vista Ridge</t>
  </si>
  <si>
    <t>Indian Run Dr</t>
  </si>
  <si>
    <t>Marbella Villas at Indian Creek</t>
  </si>
  <si>
    <t>Provincial</t>
  </si>
  <si>
    <t>Vineyards</t>
  </si>
  <si>
    <t>Champion Grandview Way</t>
  </si>
  <si>
    <t>Gables Grandview</t>
  </si>
  <si>
    <t>The Stoneleigh at Bear Creek</t>
  </si>
  <si>
    <t>Rosewood Dr</t>
  </si>
  <si>
    <t>Regency at North Richland Hills</t>
  </si>
  <si>
    <t>Oak Rd</t>
  </si>
  <si>
    <t>The Reserve at Tranquility Lake</t>
  </si>
  <si>
    <t>MacGregor Way</t>
  </si>
  <si>
    <t>Century Hermann Park</t>
  </si>
  <si>
    <t>Park at Stone Creek</t>
  </si>
  <si>
    <t>Royal Oaks Manor</t>
  </si>
  <si>
    <t>Park Grove Dr</t>
  </si>
  <si>
    <t>The Villas of Park Grove</t>
  </si>
  <si>
    <t>Windsor Gardens</t>
  </si>
  <si>
    <t>Walton Walker Blvd W</t>
  </si>
  <si>
    <t>Ridgecrest Terrace</t>
  </si>
  <si>
    <t>Teri Rd</t>
  </si>
  <si>
    <t>Hamilton S</t>
  </si>
  <si>
    <t>Las Villas de Merida</t>
  </si>
  <si>
    <t>The Lexington at Champions</t>
  </si>
  <si>
    <t>6 Hwy N</t>
  </si>
  <si>
    <t>Villa Toscana</t>
  </si>
  <si>
    <t>The Retreat at Westpark</t>
  </si>
  <si>
    <t>Broadstone Uptown Lofts</t>
  </si>
  <si>
    <t>Central Park Ln</t>
  </si>
  <si>
    <t>Eastmark at Wolf Pen</t>
  </si>
  <si>
    <t>College Station</t>
  </si>
  <si>
    <t>Madison Pointe</t>
  </si>
  <si>
    <t>Holleman Dr</t>
  </si>
  <si>
    <t>Cedar Ridge at College Station</t>
  </si>
  <si>
    <t>Dartmouth St</t>
  </si>
  <si>
    <t>Harvey Rd</t>
  </si>
  <si>
    <t>University Oaks Blvd</t>
  </si>
  <si>
    <t>Anderson Dr</t>
  </si>
  <si>
    <t>Scandia Apts</t>
  </si>
  <si>
    <t>Tower Park</t>
  </si>
  <si>
    <t>Dartmouth Dr</t>
  </si>
  <si>
    <t>Legacy Village I &amp; II</t>
  </si>
  <si>
    <t>Industrial Dr</t>
  </si>
  <si>
    <t>Ranchview TH</t>
  </si>
  <si>
    <t>Greenville</t>
  </si>
  <si>
    <t>Cooks Ln</t>
  </si>
  <si>
    <t>Windsong Apts</t>
  </si>
  <si>
    <t>Texas St</t>
  </si>
  <si>
    <t>Lone Star</t>
  </si>
  <si>
    <t>Grand Texan</t>
  </si>
  <si>
    <t>Zang Blvd N</t>
  </si>
  <si>
    <t>Grand Estates at Founders Park</t>
  </si>
  <si>
    <t>Clover on the Ridge</t>
  </si>
  <si>
    <t>Westridge Ave</t>
  </si>
  <si>
    <t>Ridglea Village</t>
  </si>
  <si>
    <t>Deen Rd</t>
  </si>
  <si>
    <t>Residences of Diamond Hill</t>
  </si>
  <si>
    <t>Westmoreland Dr S</t>
  </si>
  <si>
    <t>Woods of Five Mile Creek</t>
  </si>
  <si>
    <t>Laurel Point Apts</t>
  </si>
  <si>
    <t>Southwind</t>
  </si>
  <si>
    <t>Lakeview Haven</t>
  </si>
  <si>
    <t>Copperwood Ranch</t>
  </si>
  <si>
    <t>Mason Rd</t>
  </si>
  <si>
    <t>Camden Downs at Cinco Ranch</t>
  </si>
  <si>
    <t>Settlers Ranch</t>
  </si>
  <si>
    <t>Camden Piney Point</t>
  </si>
  <si>
    <t>Parkway Seniors</t>
  </si>
  <si>
    <t>Huffmeister Rd</t>
  </si>
  <si>
    <t>Windsor Cypress Apts</t>
  </si>
  <si>
    <t>Smith St</t>
  </si>
  <si>
    <t>2222 Smith Street</t>
  </si>
  <si>
    <t>Hemphill Park</t>
  </si>
  <si>
    <t>Villas on Guadalupe</t>
  </si>
  <si>
    <t>Town Lake at Austin</t>
  </si>
  <si>
    <t>Towne Vista</t>
  </si>
  <si>
    <t>Collins Creek Dr</t>
  </si>
  <si>
    <t>Rosemont at Oak Valley</t>
  </si>
  <si>
    <t>Waters Edge Dr</t>
  </si>
  <si>
    <t>Gates of Capernum</t>
  </si>
  <si>
    <t>23rd St W</t>
  </si>
  <si>
    <t>University Heights San Marcos</t>
  </si>
  <si>
    <t>Flats of Five Mile Creek</t>
  </si>
  <si>
    <t>Overton Ridge Rd</t>
  </si>
  <si>
    <t>Overton Park TH</t>
  </si>
  <si>
    <t>16 Hwy S</t>
  </si>
  <si>
    <t>Rosemont at Palo Alto</t>
  </si>
  <si>
    <t>Woodbridge Villas</t>
  </si>
  <si>
    <t>Sachse</t>
  </si>
  <si>
    <t>Hermann Museum Cir</t>
  </si>
  <si>
    <t>The Esplanade at Hermann Museum Circle</t>
  </si>
  <si>
    <t>Club at Copperleaf</t>
  </si>
  <si>
    <t>Estancia Cir</t>
  </si>
  <si>
    <t>Estancia TH</t>
  </si>
  <si>
    <t>Bella Capri</t>
  </si>
  <si>
    <t>Vera Cruz</t>
  </si>
  <si>
    <t>Olivares Senior Community</t>
  </si>
  <si>
    <t>Inwood Park Dr</t>
  </si>
  <si>
    <t>Inwood Terrace</t>
  </si>
  <si>
    <t>Washington St E</t>
  </si>
  <si>
    <t>Riverwalk TH</t>
  </si>
  <si>
    <t>Primrose at Cedar Hill</t>
  </si>
  <si>
    <t>Yale Village</t>
  </si>
  <si>
    <t>Barberry Dr</t>
  </si>
  <si>
    <t>King's Row</t>
  </si>
  <si>
    <t>Sagebrush Trl</t>
  </si>
  <si>
    <t>Wilshire Manor</t>
  </si>
  <si>
    <t>Marion Pugh</t>
  </si>
  <si>
    <t>Stadium View</t>
  </si>
  <si>
    <t>University Dr E</t>
  </si>
  <si>
    <t>Primrose at Sequoia Park</t>
  </si>
  <si>
    <t>Dunvale Rd</t>
  </si>
  <si>
    <t>Alanza Brook</t>
  </si>
  <si>
    <t>Watson Rd S</t>
  </si>
  <si>
    <t>Gateway Park</t>
  </si>
  <si>
    <t>Hill Villa Retirement Community</t>
  </si>
  <si>
    <t>Collingwood Gardens</t>
  </si>
  <si>
    <t>Prairie Commons</t>
  </si>
  <si>
    <t>Grandys Ln</t>
  </si>
  <si>
    <t>Summit Ridge Apts</t>
  </si>
  <si>
    <t>Henderson Ave</t>
  </si>
  <si>
    <t>Oxford St</t>
  </si>
  <si>
    <t>Camden Heights</t>
  </si>
  <si>
    <t>Pruitt Rd</t>
  </si>
  <si>
    <t>Camden Spring Creek</t>
  </si>
  <si>
    <t>Lakes at 610 Dr</t>
  </si>
  <si>
    <t>Villas at Coronado</t>
  </si>
  <si>
    <t>Cheryl Dr W</t>
  </si>
  <si>
    <t>Chaminade (TBD)</t>
  </si>
  <si>
    <t>Commerce E</t>
  </si>
  <si>
    <t>Center Park</t>
  </si>
  <si>
    <t>Sunshine E</t>
  </si>
  <si>
    <t>Cabana</t>
  </si>
  <si>
    <t>Apts Northwest</t>
  </si>
  <si>
    <t>Aurora</t>
  </si>
  <si>
    <t>Spring Branch</t>
  </si>
  <si>
    <t>Babcock North Fourplex Homes</t>
  </si>
  <si>
    <t>Gardina Court</t>
  </si>
  <si>
    <t>Hein Rd N</t>
  </si>
  <si>
    <t>Brighton Terrace</t>
  </si>
  <si>
    <t>Amber Square</t>
  </si>
  <si>
    <t>Upland</t>
  </si>
  <si>
    <t>Antioch Village</t>
  </si>
  <si>
    <t>Aristocrat</t>
  </si>
  <si>
    <t>Austin Woods</t>
  </si>
  <si>
    <t>Bella Claire</t>
  </si>
  <si>
    <t>Bentwood Dr</t>
  </si>
  <si>
    <t>Boerne TH</t>
  </si>
  <si>
    <t>Exeter Rd</t>
  </si>
  <si>
    <t>Berrendo Square</t>
  </si>
  <si>
    <t>Briarbend Dr</t>
  </si>
  <si>
    <t>Briarbend</t>
  </si>
  <si>
    <t>Churchill Estates</t>
  </si>
  <si>
    <t>Springdale Estates</t>
  </si>
  <si>
    <t>Bickers St</t>
  </si>
  <si>
    <t>Mabel Meshack White Manor</t>
  </si>
  <si>
    <t>Westwood Loop</t>
  </si>
  <si>
    <t>Laurel Canyon I</t>
  </si>
  <si>
    <t>Morning Star Blvd</t>
  </si>
  <si>
    <t>Estancia at Morning Star</t>
  </si>
  <si>
    <t>Davis St W</t>
  </si>
  <si>
    <t>Vistas at Pinnacle Park</t>
  </si>
  <si>
    <t>Park at North Vista</t>
  </si>
  <si>
    <t>Airtex Blvd</t>
  </si>
  <si>
    <t>Kimberly Pointe</t>
  </si>
  <si>
    <t>Amherst Cir W</t>
  </si>
  <si>
    <t>West Amherst Apts</t>
  </si>
  <si>
    <t>Providence Place I</t>
  </si>
  <si>
    <t>Lavaca St</t>
  </si>
  <si>
    <t>AMLI Downtown</t>
  </si>
  <si>
    <t>Westpond</t>
  </si>
  <si>
    <t>31st E</t>
  </si>
  <si>
    <t>Voyageurs</t>
  </si>
  <si>
    <t>Farrah Ln</t>
  </si>
  <si>
    <t>The Preserve at Colony Lakes</t>
  </si>
  <si>
    <t>The Bellmeade</t>
  </si>
  <si>
    <t>Gulf Pointe Dr</t>
  </si>
  <si>
    <t>Montelago</t>
  </si>
  <si>
    <t>Enterprise Dr</t>
  </si>
  <si>
    <t>The Grand Reserve</t>
  </si>
  <si>
    <t>Falcon River Way</t>
  </si>
  <si>
    <t>Falcon Lakes</t>
  </si>
  <si>
    <t>Spyglass</t>
  </si>
  <si>
    <t>Mansfield</t>
  </si>
  <si>
    <t>Beachview</t>
  </si>
  <si>
    <t>The Trails at White Rock</t>
  </si>
  <si>
    <t>Reading Park Apts</t>
  </si>
  <si>
    <t>Park Row Dr</t>
  </si>
  <si>
    <t>Old Walters Rd</t>
  </si>
  <si>
    <t>Lincoln St</t>
  </si>
  <si>
    <t>University Square</t>
  </si>
  <si>
    <t>Plainsman Ln</t>
  </si>
  <si>
    <t>Bryan</t>
  </si>
  <si>
    <t>3000 Sage</t>
  </si>
  <si>
    <t>Longmire Dr</t>
  </si>
  <si>
    <t>Pepper Tree</t>
  </si>
  <si>
    <t>Harvey Mitchell Pkwy S</t>
  </si>
  <si>
    <t>Doux Chene</t>
  </si>
  <si>
    <t>Holleman Dr E</t>
  </si>
  <si>
    <t>Arbors at Wolf Pen Creek</t>
  </si>
  <si>
    <t>Peak St N</t>
  </si>
  <si>
    <t>Vue Live Oak</t>
  </si>
  <si>
    <t>Parkway Circle</t>
  </si>
  <si>
    <t>Barthelow Dr</t>
  </si>
  <si>
    <t>Redstone</t>
  </si>
  <si>
    <t>Welsh St</t>
  </si>
  <si>
    <t>Brazos Point</t>
  </si>
  <si>
    <t>Anderson St</t>
  </si>
  <si>
    <t>Anderson Place</t>
  </si>
  <si>
    <t>East Gate</t>
  </si>
  <si>
    <t>Meadows Point</t>
  </si>
  <si>
    <t>Navarro</t>
  </si>
  <si>
    <t>Yellowhouse Cir # B</t>
  </si>
  <si>
    <t>Green Crest Dr</t>
  </si>
  <si>
    <t>City Parc II at West Oaks</t>
  </si>
  <si>
    <t>Wenda</t>
  </si>
  <si>
    <t>Cullen Park</t>
  </si>
  <si>
    <t>Luther St W</t>
  </si>
  <si>
    <t>The Heights at Luther Street</t>
  </si>
  <si>
    <t>George Bush Dr</t>
  </si>
  <si>
    <t>University Terrace</t>
  </si>
  <si>
    <t>29th St E</t>
  </si>
  <si>
    <t>Willow Oaks</t>
  </si>
  <si>
    <t>The District on Luther</t>
  </si>
  <si>
    <t>Cherry St</t>
  </si>
  <si>
    <t>The Villas of Cherry Hollow</t>
  </si>
  <si>
    <t>Carter Creek Pkwy</t>
  </si>
  <si>
    <t>Royal Oaks Gardens</t>
  </si>
  <si>
    <t>College Main St</t>
  </si>
  <si>
    <t>College Main</t>
  </si>
  <si>
    <t>Kingsland Blvd</t>
  </si>
  <si>
    <t>Kingsland Ranch</t>
  </si>
  <si>
    <t>Wellborn Rd</t>
  </si>
  <si>
    <t>Reveille Ranch</t>
  </si>
  <si>
    <t>Avendaro at Canyon Creek</t>
  </si>
  <si>
    <t>Cypress Creek at Lakeline</t>
  </si>
  <si>
    <t>Villa Maria Rd E</t>
  </si>
  <si>
    <t>Wood Trail</t>
  </si>
  <si>
    <t>Saddlewood Club</t>
  </si>
  <si>
    <t>S Pkwy</t>
  </si>
  <si>
    <t>Windsor Pointe</t>
  </si>
  <si>
    <t>Stasney</t>
  </si>
  <si>
    <t>Casa Del Sol</t>
  </si>
  <si>
    <t>University Oaks #23</t>
  </si>
  <si>
    <t>Cripple Creek Condos</t>
  </si>
  <si>
    <t>Holleman #33</t>
  </si>
  <si>
    <t>Cartwright Rd W</t>
  </si>
  <si>
    <t>Stoneleigh on Cartwright</t>
  </si>
  <si>
    <t>Verde Dr #A</t>
  </si>
  <si>
    <t>Hollowhill Dr</t>
  </si>
  <si>
    <t>College Edge</t>
  </si>
  <si>
    <t>9th Ave N</t>
  </si>
  <si>
    <t>The Veranda</t>
  </si>
  <si>
    <t>Redmond Dr</t>
  </si>
  <si>
    <t>Westridge Ct</t>
  </si>
  <si>
    <t>Saint Elmo E</t>
  </si>
  <si>
    <t>King Fisher Creek</t>
  </si>
  <si>
    <t>Spring Loop</t>
  </si>
  <si>
    <t>The Gateway at College Station</t>
  </si>
  <si>
    <t>Villa Maria Rd W</t>
  </si>
  <si>
    <t>West University Gardens</t>
  </si>
  <si>
    <t>Holleman Dr W</t>
  </si>
  <si>
    <t>TheZone at College Station</t>
  </si>
  <si>
    <t>31st St #110 E</t>
  </si>
  <si>
    <t>Bryan Manor</t>
  </si>
  <si>
    <t>Aggie Station</t>
  </si>
  <si>
    <t>Fallbrook Ranch</t>
  </si>
  <si>
    <t>Houston School Rd N</t>
  </si>
  <si>
    <t>Rosemont of Lancaster</t>
  </si>
  <si>
    <t>Oxbow</t>
  </si>
  <si>
    <t>Cooper's Crossing</t>
  </si>
  <si>
    <t>Whitestone W (1431 FM)</t>
  </si>
  <si>
    <t>Ranch at Cedar Park</t>
  </si>
  <si>
    <t>Holland Lake Dr</t>
  </si>
  <si>
    <t>Residences at Holland Lake</t>
  </si>
  <si>
    <t>Holly Oaks Ln</t>
  </si>
  <si>
    <t>Residences at Holly Oaks I</t>
  </si>
  <si>
    <t>Continental Dr</t>
  </si>
  <si>
    <t>Mira Vista Ranch</t>
  </si>
  <si>
    <t>Willoughby Blvd</t>
  </si>
  <si>
    <t>Willoughby Park</t>
  </si>
  <si>
    <t>South Point Oaks</t>
  </si>
  <si>
    <t>Clay Rd</t>
  </si>
  <si>
    <t>Broadstone Westway Park</t>
  </si>
  <si>
    <t>Bareley Ln</t>
  </si>
  <si>
    <t>Park View Dr S</t>
  </si>
  <si>
    <t>Reserve by the Lake</t>
  </si>
  <si>
    <t>The Village on Memorial</t>
  </si>
  <si>
    <t>Mayfield Rd E</t>
  </si>
  <si>
    <t>Rosemont at Mayfield Villas</t>
  </si>
  <si>
    <t>360 Hwy W N</t>
  </si>
  <si>
    <t>Lost Creek</t>
  </si>
  <si>
    <t>Mortier Dr</t>
  </si>
  <si>
    <t>Villas of Rock Prairie</t>
  </si>
  <si>
    <t>Airline Dr</t>
  </si>
  <si>
    <t>1410B</t>
  </si>
  <si>
    <t>Airline Apts</t>
  </si>
  <si>
    <t>Walden Pond Apts</t>
  </si>
  <si>
    <t>Colgate Dr</t>
  </si>
  <si>
    <t>University Commons I &amp; II</t>
  </si>
  <si>
    <t>Murdeaux Ln S</t>
  </si>
  <si>
    <t>Sphinx at Murdeaux Villas</t>
  </si>
  <si>
    <t>Marquis on Briarforest</t>
  </si>
  <si>
    <t>Campus View I</t>
  </si>
  <si>
    <t>Campus View II</t>
  </si>
  <si>
    <t>Congress S</t>
  </si>
  <si>
    <t>SoCo Apts</t>
  </si>
  <si>
    <t>Parkview Dr S</t>
  </si>
  <si>
    <t>Vizcaya at Park Harbor</t>
  </si>
  <si>
    <t>Texana Dr</t>
  </si>
  <si>
    <t>The San Miguel</t>
  </si>
  <si>
    <t>Legacy at Crown Meadows</t>
  </si>
  <si>
    <t>Overton Rd W</t>
  </si>
  <si>
    <t>Madison Point</t>
  </si>
  <si>
    <t>Atwood Ct</t>
  </si>
  <si>
    <t>Cypress View Villas</t>
  </si>
  <si>
    <t>The Franklin</t>
  </si>
  <si>
    <t>Heatherbrook</t>
  </si>
  <si>
    <t>Lovett Manor</t>
  </si>
  <si>
    <t>Oak W</t>
  </si>
  <si>
    <t>Uptown Apts</t>
  </si>
  <si>
    <t>Chandra Ln</t>
  </si>
  <si>
    <t>Sycamore Center Villas</t>
  </si>
  <si>
    <t>Clearwood Dr</t>
  </si>
  <si>
    <t>Clearwood Villas</t>
  </si>
  <si>
    <t>The Halstead Midrise</t>
  </si>
  <si>
    <t>Marion Rd</t>
  </si>
  <si>
    <t>The Trails of Sanger</t>
  </si>
  <si>
    <t>Sanger</t>
  </si>
  <si>
    <t>Annex Ave</t>
  </si>
  <si>
    <t>1002 Annex</t>
  </si>
  <si>
    <t>Barker Cypress Rd</t>
  </si>
  <si>
    <t>Abbey at Barker Cypress</t>
  </si>
  <si>
    <t>Rosemont at Ash Creek</t>
  </si>
  <si>
    <t>Providence on the Park</t>
  </si>
  <si>
    <t>Broadstone New Territory II</t>
  </si>
  <si>
    <t>Dunlap</t>
  </si>
  <si>
    <t>Bryant Irvin Rd N</t>
  </si>
  <si>
    <t>Summit View-Valley View</t>
  </si>
  <si>
    <t>Hutchins Palms</t>
  </si>
  <si>
    <t>Bellows Falls Ln</t>
  </si>
  <si>
    <t>Sierra at Fall Creek</t>
  </si>
  <si>
    <t>Martin Luther King Jr Blvd</t>
  </si>
  <si>
    <t>Normas Plaza</t>
  </si>
  <si>
    <t>Peninsula Park</t>
  </si>
  <si>
    <t>Melanie Trl</t>
  </si>
  <si>
    <t>1302-1406</t>
  </si>
  <si>
    <t>Sierra Breeze</t>
  </si>
  <si>
    <t>Huisache Ave</t>
  </si>
  <si>
    <t>Braunfels Place</t>
  </si>
  <si>
    <t>Mission Grande</t>
  </si>
  <si>
    <t>Rancho Sierra</t>
  </si>
  <si>
    <t>North Forest Trails</t>
  </si>
  <si>
    <t>Old Pearsall Rd</t>
  </si>
  <si>
    <t>Rosemont at Millers Pond</t>
  </si>
  <si>
    <t>Reserve At Woodbridge</t>
  </si>
  <si>
    <t>Voss Rd</t>
  </si>
  <si>
    <t>Pebble Creek Ranch</t>
  </si>
  <si>
    <t>Fitzhugh Ave N</t>
  </si>
  <si>
    <t>Vue Fitzhugh</t>
  </si>
  <si>
    <t>Ironwood Crossing</t>
  </si>
  <si>
    <t>The Ashton</t>
  </si>
  <si>
    <t>River Bend Dr</t>
  </si>
  <si>
    <t>Mariposa at River Bend Apts</t>
  </si>
  <si>
    <t>Midcrown Senior Pavilion</t>
  </si>
  <si>
    <t>Providence Place II</t>
  </si>
  <si>
    <t>Old Decatur Rd</t>
  </si>
  <si>
    <t>Providence Village at Marine Creek</t>
  </si>
  <si>
    <t>Fredericksberg Rd</t>
  </si>
  <si>
    <t>Primrose at Monticello Park</t>
  </si>
  <si>
    <t>Vistas of Vance Jackson</t>
  </si>
  <si>
    <t>Palacio del Sol I &amp; II</t>
  </si>
  <si>
    <t>1604 Loop W N</t>
  </si>
  <si>
    <t>Springs at Bandera</t>
  </si>
  <si>
    <t>Landa St</t>
  </si>
  <si>
    <t>Landmark Gardens</t>
  </si>
  <si>
    <t>Hollow Dr N</t>
  </si>
  <si>
    <t>Villa de San Antonio</t>
  </si>
  <si>
    <t>Judson Rd</t>
  </si>
  <si>
    <t>The Villages at Lost Creek</t>
  </si>
  <si>
    <t>Micron Dr</t>
  </si>
  <si>
    <t>Meadowood Apts</t>
  </si>
  <si>
    <t>Labor St</t>
  </si>
  <si>
    <t>Refugio Place</t>
  </si>
  <si>
    <t>Village on the Green</t>
  </si>
  <si>
    <t>Spectrum One</t>
  </si>
  <si>
    <t>Broadstone Colonnade</t>
  </si>
  <si>
    <t>1604 Loop E N</t>
  </si>
  <si>
    <t>The Montecristo</t>
  </si>
  <si>
    <t>Encino Commons Blvd</t>
  </si>
  <si>
    <t>Encino Canyon</t>
  </si>
  <si>
    <t>Riverhorse Ranch II</t>
  </si>
  <si>
    <t>Guadalupe St W</t>
  </si>
  <si>
    <t>Triangle I-Residences</t>
  </si>
  <si>
    <t>Travis Hills Dr</t>
  </si>
  <si>
    <t>Hudson Miramont</t>
  </si>
  <si>
    <t>Querencia Barton Creek</t>
  </si>
  <si>
    <t>Grove Place</t>
  </si>
  <si>
    <t>Oak Springs Dr</t>
  </si>
  <si>
    <t>Oak Spring Villas Elderly Apts</t>
  </si>
  <si>
    <t>Cedar Ridge II</t>
  </si>
  <si>
    <t>The Outpost San Marcos</t>
  </si>
  <si>
    <t>Nalle Woods</t>
  </si>
  <si>
    <t>Saint Elmo Rd E</t>
  </si>
  <si>
    <t>4503-4509</t>
  </si>
  <si>
    <t>Rosemont at Williamson Creek</t>
  </si>
  <si>
    <t>The Park at Summers Grove</t>
  </si>
  <si>
    <t>The Villages of Bella Vista</t>
  </si>
  <si>
    <t>Bray Central Dr</t>
  </si>
  <si>
    <t>Auberry at Twin Creeks</t>
  </si>
  <si>
    <t>Evergreen at Plano</t>
  </si>
  <si>
    <t>Ross Ave</t>
  </si>
  <si>
    <t>Jefferson At 1001 Ross</t>
  </si>
  <si>
    <t>Sequoia Bluffs at Vista Ridge</t>
  </si>
  <si>
    <t>Evergreen at Mesquite</t>
  </si>
  <si>
    <t>Ridge Rd</t>
  </si>
  <si>
    <t>Rockwall Commons</t>
  </si>
  <si>
    <t>Bacara Ln</t>
  </si>
  <si>
    <t>Artisan at Rush Creek</t>
  </si>
  <si>
    <t>Artisan Ridge</t>
  </si>
  <si>
    <t>Masters Dr N</t>
  </si>
  <si>
    <t>The Masters Apts</t>
  </si>
  <si>
    <t>Meadow St</t>
  </si>
  <si>
    <t>Rosemont at Meadow Lane</t>
  </si>
  <si>
    <t>Delafield Ln</t>
  </si>
  <si>
    <t>Sphinx at Delafield Villas</t>
  </si>
  <si>
    <t>Stemmons Fwy N</t>
  </si>
  <si>
    <t>Pegasus Villas</t>
  </si>
  <si>
    <t>Kinsey Dr</t>
  </si>
  <si>
    <t>Bridges on Kinsey</t>
  </si>
  <si>
    <t>Tyler</t>
  </si>
  <si>
    <t>Walton Rd</t>
  </si>
  <si>
    <t>Southwest Pines</t>
  </si>
  <si>
    <t>The Mondrian City Place</t>
  </si>
  <si>
    <t>McKinnon St</t>
  </si>
  <si>
    <t>Trianon by Windsor</t>
  </si>
  <si>
    <t>Blue Lake Villas II</t>
  </si>
  <si>
    <t>Canton St</t>
  </si>
  <si>
    <t>Camden Farmers Market II</t>
  </si>
  <si>
    <t>Bardin Rd W</t>
  </si>
  <si>
    <t>Indigo Pointe</t>
  </si>
  <si>
    <t>Terraces of Marine Creek</t>
  </si>
  <si>
    <t>Corn Valley Rd</t>
  </si>
  <si>
    <t>Mountain Creek Retirement Living</t>
  </si>
  <si>
    <t>Robinson Rd</t>
  </si>
  <si>
    <t>Oak Timbers Grand Prairie</t>
  </si>
  <si>
    <t>Wright Senior Apts</t>
  </si>
  <si>
    <t>Royal Ln E</t>
  </si>
  <si>
    <t>Mission at La Villita</t>
  </si>
  <si>
    <t>Deseo</t>
  </si>
  <si>
    <t>Landings at La Villita</t>
  </si>
  <si>
    <t>The Plaza at Frisco Square II</t>
  </si>
  <si>
    <t>Cockrell Hill N</t>
  </si>
  <si>
    <t>Churchill at Pinnacle Park</t>
  </si>
  <si>
    <t>Winter Park Dr</t>
  </si>
  <si>
    <t>Franklin Park at Hometown</t>
  </si>
  <si>
    <t>Jefferson at West End Station</t>
  </si>
  <si>
    <t>Third Rail Lofts-Gulf States Bldg</t>
  </si>
  <si>
    <t>Gables West Village</t>
  </si>
  <si>
    <t>Hardy Oak Blvd</t>
  </si>
  <si>
    <t>Club at Stone Oak</t>
  </si>
  <si>
    <t>Akard St N</t>
  </si>
  <si>
    <t>Mosaic</t>
  </si>
  <si>
    <t>Wind River Ln</t>
  </si>
  <si>
    <t>Dogwood Estates</t>
  </si>
  <si>
    <t>Stonehouse Valley Apts</t>
  </si>
  <si>
    <t>Crestway St</t>
  </si>
  <si>
    <t>Converse Ranch</t>
  </si>
  <si>
    <t>Military Dr SW</t>
  </si>
  <si>
    <t>Champion Homes at Port Royal</t>
  </si>
  <si>
    <t>Zarzamora</t>
  </si>
  <si>
    <t>Charles A. Gonzales Senior Community</t>
  </si>
  <si>
    <t>W.W. White Rd S</t>
  </si>
  <si>
    <t>Costa Cadiz</t>
  </si>
  <si>
    <t>The Landmark Lofts</t>
  </si>
  <si>
    <t>Pleasant Run Rd E</t>
  </si>
  <si>
    <t>Legacy of Cedar Hill II</t>
  </si>
  <si>
    <t>The Park at Sycamore School Apts</t>
  </si>
  <si>
    <t>Bentley Dr</t>
  </si>
  <si>
    <t>The Meadows at Bentley Drive</t>
  </si>
  <si>
    <t>Tomar Dr</t>
  </si>
  <si>
    <t>Western Hills Apts</t>
  </si>
  <si>
    <t>Browder St</t>
  </si>
  <si>
    <t>Dallas Power &amp; Light Buildings</t>
  </si>
  <si>
    <t>The Outpost San Antonio</t>
  </si>
  <si>
    <t>Westpark View Dr</t>
  </si>
  <si>
    <t>Stone Villas</t>
  </si>
  <si>
    <t>Pacific Dr</t>
  </si>
  <si>
    <t>Addison Park Apts</t>
  </si>
  <si>
    <t>Forest Hill Dr</t>
  </si>
  <si>
    <t>Villas of Forest Hill</t>
  </si>
  <si>
    <t>Colorado St</t>
  </si>
  <si>
    <t>General McMullen N</t>
  </si>
  <si>
    <t>Bexar Creek</t>
  </si>
  <si>
    <t>6th St E</t>
  </si>
  <si>
    <t>2011-2121</t>
  </si>
  <si>
    <t>Villas on Sixth</t>
  </si>
  <si>
    <t>Cityview at the Park</t>
  </si>
  <si>
    <t>Sandra Muraida Way</t>
  </si>
  <si>
    <t>Gables Park Plaza</t>
  </si>
  <si>
    <t>300 N. Lamar</t>
  </si>
  <si>
    <t>San Marcos St</t>
  </si>
  <si>
    <t>Robertson Hill</t>
  </si>
  <si>
    <t>Mueller Blvd</t>
  </si>
  <si>
    <t>Mosaic at Mueller</t>
  </si>
  <si>
    <t>290 US Hwy E</t>
  </si>
  <si>
    <t>Rosemont at Hidden Creek</t>
  </si>
  <si>
    <t>Acme Rd S</t>
  </si>
  <si>
    <t>Rosemont at Bethel Place</t>
  </si>
  <si>
    <t>Emerald Ash</t>
  </si>
  <si>
    <t>Rosemont at University Park</t>
  </si>
  <si>
    <t>Costa Biscaya</t>
  </si>
  <si>
    <t>Riverside Dr</t>
  </si>
  <si>
    <t>Champion Homes at Mission del Rio</t>
  </si>
  <si>
    <t>Laurel Canyon II</t>
  </si>
  <si>
    <t>Laurel Canyon III</t>
  </si>
  <si>
    <t>360 Hwy S</t>
  </si>
  <si>
    <t>Prairie Ranch</t>
  </si>
  <si>
    <t>Canal Side Lofts</t>
  </si>
  <si>
    <t>Tarrant Pkwy N</t>
  </si>
  <si>
    <t>Aventine Apts</t>
  </si>
  <si>
    <t>Timber Oaks Ln</t>
  </si>
  <si>
    <t>Timber Oaks Apts</t>
  </si>
  <si>
    <t>Sunshine Dr W</t>
  </si>
  <si>
    <t>Tigoni Villas Apts</t>
  </si>
  <si>
    <t>Lake Carolyn Pkwy</t>
  </si>
  <si>
    <t>Windsor at Las Colinas</t>
  </si>
  <si>
    <t>The Mandalay on the Lake</t>
  </si>
  <si>
    <t>Culebra</t>
  </si>
  <si>
    <t>Garden Park Dr</t>
  </si>
  <si>
    <t>The Lofts at Watters Creek I</t>
  </si>
  <si>
    <t>Villas of Leon Valley</t>
  </si>
  <si>
    <t>Blanco Rd W</t>
  </si>
  <si>
    <t>Walker Ranch</t>
  </si>
  <si>
    <t>Houston St N</t>
  </si>
  <si>
    <t>The Cirque</t>
  </si>
  <si>
    <t>Gables 3636 McKinney</t>
  </si>
  <si>
    <t>Shady Shores Dr</t>
  </si>
  <si>
    <t>Preserve at Pecan Creek</t>
  </si>
  <si>
    <t>Estates at Canyon Ridge</t>
  </si>
  <si>
    <t>Gables Westlake</t>
  </si>
  <si>
    <t>Finfeather Rd</t>
  </si>
  <si>
    <t>The Presidio</t>
  </si>
  <si>
    <t>Roaring Springs Rd N</t>
  </si>
  <si>
    <t>Villages of Hawks Creek</t>
  </si>
  <si>
    <t>Vue Greenville</t>
  </si>
  <si>
    <t>Saint Joseph's Pkwy</t>
  </si>
  <si>
    <t>Camden City Centre I</t>
  </si>
  <si>
    <t>Villa Maria</t>
  </si>
  <si>
    <t>Crestview Unity</t>
  </si>
  <si>
    <t>Post Eastside</t>
  </si>
  <si>
    <t>Kings Crossing Dr</t>
  </si>
  <si>
    <t>Westminster House at Kingwood Village Estates</t>
  </si>
  <si>
    <t>Timber Run Apts</t>
  </si>
  <si>
    <t>Carrington Place</t>
  </si>
  <si>
    <t>Old Bammel Houston Rd N</t>
  </si>
  <si>
    <t>Primrose at Heritage Park</t>
  </si>
  <si>
    <t>2nd St</t>
  </si>
  <si>
    <t>The Fountains</t>
  </si>
  <si>
    <t>Northpines Dr</t>
  </si>
  <si>
    <t>Kingwood Senior Village</t>
  </si>
  <si>
    <t>Boardwalk at Town Center Apts I</t>
  </si>
  <si>
    <t>Lake Woodlands Dr</t>
  </si>
  <si>
    <t>Sterling Ridge Estates</t>
  </si>
  <si>
    <t>Tangle Brush Dr</t>
  </si>
  <si>
    <t>Tangle Brush Villa</t>
  </si>
  <si>
    <t>Stone Ridge I</t>
  </si>
  <si>
    <t>105 Hwy W</t>
  </si>
  <si>
    <t>Montgomery Trace</t>
  </si>
  <si>
    <t>Montgomery</t>
  </si>
  <si>
    <t>Eastex Fwy (Hwy 59)</t>
  </si>
  <si>
    <t>Montgomery Pines Apts</t>
  </si>
  <si>
    <t>Katy Gaston Rd</t>
  </si>
  <si>
    <t>Willow Lake II</t>
  </si>
  <si>
    <t>Meadows Place Senior Village</t>
  </si>
  <si>
    <t>Willow Park</t>
  </si>
  <si>
    <t>45 IH</t>
  </si>
  <si>
    <t>Windsor Estates II</t>
  </si>
  <si>
    <t>Longmire Rd</t>
  </si>
  <si>
    <t>Landmark of Conroe</t>
  </si>
  <si>
    <t>Sweeny Manor Apts</t>
  </si>
  <si>
    <t>Texaco Ave W</t>
  </si>
  <si>
    <t>Magnolia Manor TH</t>
  </si>
  <si>
    <t>West Columbia</t>
  </si>
  <si>
    <t>Skinner St</t>
  </si>
  <si>
    <t>Freeport Oaks Apts</t>
  </si>
  <si>
    <t>Freeport Meadows</t>
  </si>
  <si>
    <t>Henderson Rd W</t>
  </si>
  <si>
    <t>Country Lane Apts</t>
  </si>
  <si>
    <t>Northside Senior Citizen Apts</t>
  </si>
  <si>
    <t>Northside Plaza Apts</t>
  </si>
  <si>
    <t>Oakbridge Apts</t>
  </si>
  <si>
    <t>American Apts</t>
  </si>
  <si>
    <t>Wildwood Park Rd</t>
  </si>
  <si>
    <t>The Reserve at River Park West</t>
  </si>
  <si>
    <t>Brand Ln</t>
  </si>
  <si>
    <t>Silverbrooke</t>
  </si>
  <si>
    <t>22nd St N</t>
  </si>
  <si>
    <t>Ashton Park III</t>
  </si>
  <si>
    <t>Island Bay Resorts II</t>
  </si>
  <si>
    <t>Magnolia Ave</t>
  </si>
  <si>
    <t>Village at Morningstar I</t>
  </si>
  <si>
    <t>Maplewood Crossing</t>
  </si>
  <si>
    <t>Holland House Apts</t>
  </si>
  <si>
    <t>Heritage at Hooper Hill</t>
  </si>
  <si>
    <t>Longboat Key</t>
  </si>
  <si>
    <t>Sam Houston Pkwy E S</t>
  </si>
  <si>
    <t>Sweetwater Point</t>
  </si>
  <si>
    <t>Bayside</t>
  </si>
  <si>
    <t>Windsail Bay I</t>
  </si>
  <si>
    <t>Silverleaf Rd</t>
  </si>
  <si>
    <t>Windmill Run</t>
  </si>
  <si>
    <t>St. Andrews II</t>
  </si>
  <si>
    <t>County Rd 90</t>
  </si>
  <si>
    <t>Summer Wind Apts</t>
  </si>
  <si>
    <t>Tranquility Bay I &amp; II</t>
  </si>
  <si>
    <t>County Rd 94</t>
  </si>
  <si>
    <t>Cobblestone Park I</t>
  </si>
  <si>
    <t>Manvel</t>
  </si>
  <si>
    <t>Lansborough Apts</t>
  </si>
  <si>
    <t>Club of the Isle</t>
  </si>
  <si>
    <t>Bay Crest Village (Bay Place II)</t>
  </si>
  <si>
    <t>Cypress Point Dr</t>
  </si>
  <si>
    <t>Plantation at Quail Valley</t>
  </si>
  <si>
    <t>Baybrook Village I</t>
  </si>
  <si>
    <t>Adoue St E</t>
  </si>
  <si>
    <t>Morgan Oaks</t>
  </si>
  <si>
    <t>Olde Oaks</t>
  </si>
  <si>
    <t>The Hamptons II</t>
  </si>
  <si>
    <t>Village South Apts</t>
  </si>
  <si>
    <t>Lively Oaks Apts</t>
  </si>
  <si>
    <t>Broadway Square-Section 3-I</t>
  </si>
  <si>
    <t>Edgebrook II</t>
  </si>
  <si>
    <t>Lake Jackson Manor</t>
  </si>
  <si>
    <t>Rosemont at Baytown</t>
  </si>
  <si>
    <t>City Park Central Ln</t>
  </si>
  <si>
    <t>Stonebridge at City Park</t>
  </si>
  <si>
    <t>Ranch at City Park</t>
  </si>
  <si>
    <t>Green Oaks II</t>
  </si>
  <si>
    <t>Dickinson Rd</t>
  </si>
  <si>
    <t>Stonegate at Alvin</t>
  </si>
  <si>
    <t>Crenshaw Rd</t>
  </si>
  <si>
    <t>Oaks of Charleston Apts (B)</t>
  </si>
  <si>
    <t>MacGregor Gardens</t>
  </si>
  <si>
    <t>WALIPP Seniors Residence</t>
  </si>
  <si>
    <t>Cullen Oaks I</t>
  </si>
  <si>
    <t>Cullen Oaks II</t>
  </si>
  <si>
    <t>Boynton</t>
  </si>
  <si>
    <t>Willow Glen Homes</t>
  </si>
  <si>
    <t>Cherrybrook Ln</t>
  </si>
  <si>
    <t>Evangeline Booth Garden</t>
  </si>
  <si>
    <t>Primrose at Pasadena</t>
  </si>
  <si>
    <t>The Crossings at Bradford Place I</t>
  </si>
  <si>
    <t>The Halstead Tower</t>
  </si>
  <si>
    <t>Nob Hill North</t>
  </si>
  <si>
    <t>Brickhaven III</t>
  </si>
  <si>
    <t>Camden Vanderbilt II</t>
  </si>
  <si>
    <t>UT Houston</t>
  </si>
  <si>
    <t>8030-8040</t>
  </si>
  <si>
    <t>The Crossings at Jackson Square</t>
  </si>
  <si>
    <t>Stafford Rd</t>
  </si>
  <si>
    <t>Madison on the Meadows</t>
  </si>
  <si>
    <t>Ashton Place I Apts</t>
  </si>
  <si>
    <t>Villa del Mar</t>
  </si>
  <si>
    <t>Del Rio</t>
  </si>
  <si>
    <t>Catalina Village I</t>
  </si>
  <si>
    <t>Dixie Rd</t>
  </si>
  <si>
    <t>Catalina Village II</t>
  </si>
  <si>
    <t>The Lodge II</t>
  </si>
  <si>
    <t>5612-5621</t>
  </si>
  <si>
    <t>Chateau Carmel</t>
  </si>
  <si>
    <t>Stonebrook II</t>
  </si>
  <si>
    <t>Knowlton Rd</t>
  </si>
  <si>
    <t>Little Nell</t>
  </si>
  <si>
    <t>Scotland Yard II</t>
  </si>
  <si>
    <t>Riverside Terrace Apts</t>
  </si>
  <si>
    <t>Hermann Park Ct</t>
  </si>
  <si>
    <t>The Lofts at Hermann Park</t>
  </si>
  <si>
    <t>The Amalfi at Hermann Park</t>
  </si>
  <si>
    <t>South Union Place</t>
  </si>
  <si>
    <t>Scott Street TH</t>
  </si>
  <si>
    <t>Alice St</t>
  </si>
  <si>
    <t>Parkside Point</t>
  </si>
  <si>
    <t>Montage at Mosaic</t>
  </si>
  <si>
    <t>Sun East 55+</t>
  </si>
  <si>
    <t>Ferness Ln</t>
  </si>
  <si>
    <t>Sterling Green Village</t>
  </si>
  <si>
    <t>Carlingford III</t>
  </si>
  <si>
    <t>Milagro Plaza</t>
  </si>
  <si>
    <t>Fondren Court South</t>
  </si>
  <si>
    <t>The Vinings at West Oaks II</t>
  </si>
  <si>
    <t>Witter</t>
  </si>
  <si>
    <t>Gayle Villa Apts</t>
  </si>
  <si>
    <t>Bayou on the Bend Apts</t>
  </si>
  <si>
    <t>Camden Plaza</t>
  </si>
  <si>
    <t>Town Park Dr</t>
  </si>
  <si>
    <t>Town Park TH</t>
  </si>
  <si>
    <t>Colony Dr</t>
  </si>
  <si>
    <t>The Riveraine Apts</t>
  </si>
  <si>
    <t>AMLI City Vista</t>
  </si>
  <si>
    <t>Bailey</t>
  </si>
  <si>
    <t>Victory Apts</t>
  </si>
  <si>
    <t>Madison Park of Westchase II</t>
  </si>
  <si>
    <t>The Fairmont on San Felipe</t>
  </si>
  <si>
    <t>AMLI 2121</t>
  </si>
  <si>
    <t>Main, 812 Lofts (On Hold)</t>
  </si>
  <si>
    <t>Kirby Lofts Condo Apts</t>
  </si>
  <si>
    <t>Revere</t>
  </si>
  <si>
    <t>Gables Upper Kirby</t>
  </si>
  <si>
    <t>Gables West Ave</t>
  </si>
  <si>
    <t>Camden Travis Street</t>
  </si>
  <si>
    <t>Synott Rd</t>
  </si>
  <si>
    <t>Villas at Westheimer</t>
  </si>
  <si>
    <t>Oxford Park Dr</t>
  </si>
  <si>
    <t>Mandalay at Shadowlake</t>
  </si>
  <si>
    <t>Riverway Dr</t>
  </si>
  <si>
    <t>7 Riverway</t>
  </si>
  <si>
    <t>Village Park of Tanglewood</t>
  </si>
  <si>
    <t>The Cheval</t>
  </si>
  <si>
    <t>West Alabama, 1715 (on hold)</t>
  </si>
  <si>
    <t>Metropole Tower</t>
  </si>
  <si>
    <t>Metropole Mid-Rise</t>
  </si>
  <si>
    <t>Primrose Casabella</t>
  </si>
  <si>
    <t>Berry Rd</t>
  </si>
  <si>
    <t>Oak Arbor TH</t>
  </si>
  <si>
    <t>Beauchamp</t>
  </si>
  <si>
    <t>Beauchamp Apts</t>
  </si>
  <si>
    <t>Estancia at Shadowlake</t>
  </si>
  <si>
    <t>Lodge at Shadowlake II</t>
  </si>
  <si>
    <t>La Fontaine Apts</t>
  </si>
  <si>
    <t>Dominion Post Oak</t>
  </si>
  <si>
    <t>Olympia Dr</t>
  </si>
  <si>
    <t>Westchase Ranch II</t>
  </si>
  <si>
    <t>Lazy Hollow Dr</t>
  </si>
  <si>
    <t>Westpoint-Creekside I</t>
  </si>
  <si>
    <t>Broadstone West 18th</t>
  </si>
  <si>
    <t>Magnolia Estates</t>
  </si>
  <si>
    <t>Old Katy Rd, 6950 (on hold)</t>
  </si>
  <si>
    <t>Trafalgar West I</t>
  </si>
  <si>
    <t>Tuscany Villas</t>
  </si>
  <si>
    <t>Oxford on Greenridge II</t>
  </si>
  <si>
    <t>Oxford on Greenridge III</t>
  </si>
  <si>
    <t>Bennington</t>
  </si>
  <si>
    <t>Emerald Bay</t>
  </si>
  <si>
    <t>Sam Houston Pkwy N E</t>
  </si>
  <si>
    <t>Stone Park I</t>
  </si>
  <si>
    <t>Wynhaven at Hollister</t>
  </si>
  <si>
    <t>Beverly Wilshire</t>
  </si>
  <si>
    <t>Little York Rd W</t>
  </si>
  <si>
    <t>Little York Villas</t>
  </si>
  <si>
    <t>Breckenridge at CityView I</t>
  </si>
  <si>
    <t>Benmar Dr</t>
  </si>
  <si>
    <t>301-355</t>
  </si>
  <si>
    <t>CityView Place I</t>
  </si>
  <si>
    <t>Bristol Apts</t>
  </si>
  <si>
    <t>Ensbrook Le Moyne Apts</t>
  </si>
  <si>
    <t>Castlebridge Dr</t>
  </si>
  <si>
    <t>The Manor at Jersey Village</t>
  </si>
  <si>
    <t>Lincoln Park Apts</t>
  </si>
  <si>
    <t>Shepherd Dr N</t>
  </si>
  <si>
    <t>Mayfair Park</t>
  </si>
  <si>
    <t>Bayview</t>
  </si>
  <si>
    <t>Atascocita Shores Dr</t>
  </si>
  <si>
    <t>Lake Forest</t>
  </si>
  <si>
    <t>2100 FM Rd</t>
  </si>
  <si>
    <t>Huffman Hollow</t>
  </si>
  <si>
    <t>Saums Rd</t>
  </si>
  <si>
    <t>Villa del Sol Apts</t>
  </si>
  <si>
    <t>Primrose del Sol</t>
  </si>
  <si>
    <t>Chisholm Trl</t>
  </si>
  <si>
    <t>Chisholm Trail</t>
  </si>
  <si>
    <t>Vickery Dr</t>
  </si>
  <si>
    <t>Northland Woods</t>
  </si>
  <si>
    <t>Foxbrick Ln</t>
  </si>
  <si>
    <t>Villas at Foxbrick</t>
  </si>
  <si>
    <t>J.M. Hester</t>
  </si>
  <si>
    <t>Humble Memorial Gardens</t>
  </si>
  <si>
    <t>Park at Humble</t>
  </si>
  <si>
    <t>Spring Cypress</t>
  </si>
  <si>
    <t>Stoneleigh on Spring Cypress</t>
  </si>
  <si>
    <t>Stoneleigh Cypress Pointe</t>
  </si>
  <si>
    <t>Pinnacle Apts</t>
  </si>
  <si>
    <t>Aldine Bender Rd</t>
  </si>
  <si>
    <t>Timber Ridge II</t>
  </si>
  <si>
    <t>Mills</t>
  </si>
  <si>
    <t>Gessner N</t>
  </si>
  <si>
    <t>The Lighthouse at Willowbrook</t>
  </si>
  <si>
    <t>School St</t>
  </si>
  <si>
    <t>Champion TH on the Green</t>
  </si>
  <si>
    <t>Cornerstone Park Dr</t>
  </si>
  <si>
    <t>Cornerstone Village Apts</t>
  </si>
  <si>
    <t>Louetta Village</t>
  </si>
  <si>
    <t>The Villages at Louetta</t>
  </si>
  <si>
    <t>Watermarke Apts</t>
  </si>
  <si>
    <t>Lakebridge I</t>
  </si>
  <si>
    <t>Westfield Place</t>
  </si>
  <si>
    <t>Retreat at Cypress Station</t>
  </si>
  <si>
    <t>Camden Royal Oaks I</t>
  </si>
  <si>
    <t>Park Ridge Ct</t>
  </si>
  <si>
    <t>The Berkeley</t>
  </si>
  <si>
    <t>Broadstone Vista Ridge</t>
  </si>
  <si>
    <t>Reagan St</t>
  </si>
  <si>
    <t>IMT Seville Uptown</t>
  </si>
  <si>
    <t>Estancia San Miguel</t>
  </si>
  <si>
    <t>Fossil Creek</t>
  </si>
  <si>
    <t>Fairmont at Fossil Creek</t>
  </si>
  <si>
    <t>22nd St</t>
  </si>
  <si>
    <t>The Quarters at Sterling House</t>
  </si>
  <si>
    <t>The Quarters at Cameron House</t>
  </si>
  <si>
    <t>Nueces St</t>
  </si>
  <si>
    <t>The Quarters at Montgomery House</t>
  </si>
  <si>
    <t>The Quarters at Bandera House</t>
  </si>
  <si>
    <t>Nueces</t>
  </si>
  <si>
    <t>The Quarters at Nueces House</t>
  </si>
  <si>
    <t>The Quarters at Grayson House</t>
  </si>
  <si>
    <t>Guadalupe St</t>
  </si>
  <si>
    <t>The Venue on Guadalupe</t>
  </si>
  <si>
    <t>League City Pkwy</t>
  </si>
  <si>
    <t>Ravello at Tuscan Lakes</t>
  </si>
  <si>
    <t>Johns Rd</t>
  </si>
  <si>
    <t>The Carrington Place I</t>
  </si>
  <si>
    <t>The Carrington Place II</t>
  </si>
  <si>
    <t>Canal St</t>
  </si>
  <si>
    <t>Canal Street Apts</t>
  </si>
  <si>
    <t>El Campo Ave</t>
  </si>
  <si>
    <t>Whisperwind Apts</t>
  </si>
  <si>
    <t>36Sixty</t>
  </si>
  <si>
    <t>Redland Rd</t>
  </si>
  <si>
    <t>The Oaks of Redland</t>
  </si>
  <si>
    <t>Sumner St</t>
  </si>
  <si>
    <t>Austin Ranch I-Trails</t>
  </si>
  <si>
    <t>Austin Ranch II-Plaza</t>
  </si>
  <si>
    <t>Austin Ranch III-Gardens</t>
  </si>
  <si>
    <t>Austin Ranch IV-Parks</t>
  </si>
  <si>
    <t>Gembler Rd</t>
  </si>
  <si>
    <t>Artisan at Willow Springs</t>
  </si>
  <si>
    <t>Artisan on the Bluff</t>
  </si>
  <si>
    <t>Marshall Cross</t>
  </si>
  <si>
    <t>Champion Homes at Marshall Meadows</t>
  </si>
  <si>
    <t>Clark Ave</t>
  </si>
  <si>
    <t>Whitefield Place Apts</t>
  </si>
  <si>
    <t>Camp Wisdom Rd E</t>
  </si>
  <si>
    <t>Rosemont at Mission Trails</t>
  </si>
  <si>
    <t>Rosemont at Sierra Vista</t>
  </si>
  <si>
    <t>1464 FM</t>
  </si>
  <si>
    <t>The Landmark of Sugarland I</t>
  </si>
  <si>
    <t>The Landmark at Woodlands I</t>
  </si>
  <si>
    <t>Shiloh Rd</t>
  </si>
  <si>
    <t>Shiloh Village</t>
  </si>
  <si>
    <t>McGowen St</t>
  </si>
  <si>
    <t>CityPlace Midtown</t>
  </si>
  <si>
    <t>Avanti Cityside</t>
  </si>
  <si>
    <t>820 Loop S W</t>
  </si>
  <si>
    <t>Constellation Ranch</t>
  </si>
  <si>
    <t>Johanna Rd</t>
  </si>
  <si>
    <t>Johanna Square Apts</t>
  </si>
  <si>
    <t>1605 Loop W N</t>
  </si>
  <si>
    <t>Hidden Lake I</t>
  </si>
  <si>
    <t>Canal Place Apts</t>
  </si>
  <si>
    <t>Villas of Hickory Estates</t>
  </si>
  <si>
    <t>Mercantile Place-The Merc</t>
  </si>
  <si>
    <t>Ervay N</t>
  </si>
  <si>
    <t>Gables Republic Tower</t>
  </si>
  <si>
    <t>Gables Villa Rosa I</t>
  </si>
  <si>
    <t>Gables Villa Rosa II</t>
  </si>
  <si>
    <t>Alta Gardens</t>
  </si>
  <si>
    <t>Sylvester</t>
  </si>
  <si>
    <t>Town Club One Apts</t>
  </si>
  <si>
    <t>Old Spanish Trl</t>
  </si>
  <si>
    <t>Equinox</t>
  </si>
  <si>
    <t>Frazier St S</t>
  </si>
  <si>
    <t>Park at Piney Woods</t>
  </si>
  <si>
    <t>3rd St W</t>
  </si>
  <si>
    <t>AMLI Second Street Tower</t>
  </si>
  <si>
    <t>Pine Lake Dr</t>
  </si>
  <si>
    <t>Villas at Bunker Hill</t>
  </si>
  <si>
    <t>Performance Dr</t>
  </si>
  <si>
    <t>The Venue</t>
  </si>
  <si>
    <t>Sadler Dr</t>
  </si>
  <si>
    <t>Cabana Beach</t>
  </si>
  <si>
    <t>Copperfield Dr</t>
  </si>
  <si>
    <t>Signature Park</t>
  </si>
  <si>
    <t>Converse Center St</t>
  </si>
  <si>
    <t>Town Square</t>
  </si>
  <si>
    <t>River Fern Ave</t>
  </si>
  <si>
    <t>Parkside at Firewheel</t>
  </si>
  <si>
    <t>Sigma Rd</t>
  </si>
  <si>
    <t>Prairie Crossing</t>
  </si>
  <si>
    <t>Bishop Rd</t>
  </si>
  <si>
    <t>Northside at Legacy</t>
  </si>
  <si>
    <t>Virginia Dr W</t>
  </si>
  <si>
    <t>West Virginia Park</t>
  </si>
  <si>
    <t>Hickory Manor</t>
  </si>
  <si>
    <t>Primrose at Park Place</t>
  </si>
  <si>
    <t>Garden Ridge Blvd S</t>
  </si>
  <si>
    <t>Evergreen at Lewisville</t>
  </si>
  <si>
    <t>Hickory St E</t>
  </si>
  <si>
    <t>Renaissance Courts TH</t>
  </si>
  <si>
    <t>Adelaide St S</t>
  </si>
  <si>
    <t>Uvalde Ranch</t>
  </si>
  <si>
    <t>Almazan Dr</t>
  </si>
  <si>
    <t>Castle Place</t>
  </si>
  <si>
    <t>Town Place Apts</t>
  </si>
  <si>
    <t>Henderson Place</t>
  </si>
  <si>
    <t>Seville Place</t>
  </si>
  <si>
    <t>Chalet at Fall Creek</t>
  </si>
  <si>
    <t>Terrell Ave E</t>
  </si>
  <si>
    <t>Oak Timbers Fort Worth</t>
  </si>
  <si>
    <t>Gables West Village I</t>
  </si>
  <si>
    <t>Camden Lakemont</t>
  </si>
  <si>
    <t>Town Center Blvd</t>
  </si>
  <si>
    <t>Brazos Ranch</t>
  </si>
  <si>
    <t>Bayou on the Bend</t>
  </si>
  <si>
    <t>Waters Rd</t>
  </si>
  <si>
    <t>Oakmoor Pkwy</t>
  </si>
  <si>
    <t>Oakmoor AH</t>
  </si>
  <si>
    <t>The Élan at Bluffview</t>
  </si>
  <si>
    <t>Landmark at Barker Cypress</t>
  </si>
  <si>
    <t>College Park Dr</t>
  </si>
  <si>
    <t>Pine Creek Ranch</t>
  </si>
  <si>
    <t>Donnelly Cir</t>
  </si>
  <si>
    <t>Hulen Heights</t>
  </si>
  <si>
    <t>The Monarch by Windsor</t>
  </si>
  <si>
    <t>Cole Apts</t>
  </si>
  <si>
    <t>Dunlap Dr</t>
  </si>
  <si>
    <t>Wintergreen Rd E</t>
  </si>
  <si>
    <t>Arbors on Wintergreen</t>
  </si>
  <si>
    <t>2519-2563</t>
  </si>
  <si>
    <t>Primrose Park Villas</t>
  </si>
  <si>
    <t>Roseland Gardens</t>
  </si>
  <si>
    <t>Primrose at Highland Meadows</t>
  </si>
  <si>
    <t>Malloy Bridge Rd E</t>
  </si>
  <si>
    <t>Villas of Seagoville Apts</t>
  </si>
  <si>
    <t>Bella Casita</t>
  </si>
  <si>
    <t>La Frontera Square</t>
  </si>
  <si>
    <t>Hackberry N</t>
  </si>
  <si>
    <t>W.C. White Apts</t>
  </si>
  <si>
    <t>Broadstone Crossing</t>
  </si>
  <si>
    <t>Witter St</t>
  </si>
  <si>
    <t>Town Square Apts</t>
  </si>
  <si>
    <t>Town Center Ln</t>
  </si>
  <si>
    <t>Arthouse Apts</t>
  </si>
  <si>
    <t>Spring Cypress Rd</t>
  </si>
  <si>
    <t>Stoneleigh on the Lake</t>
  </si>
  <si>
    <t>Domain at Kirby</t>
  </si>
  <si>
    <t>Crescent Plaza</t>
  </si>
  <si>
    <t>The Eclipse</t>
  </si>
  <si>
    <t>Villas of Vista del Norte</t>
  </si>
  <si>
    <t>Woodland Ridge</t>
  </si>
  <si>
    <t>Explorer St</t>
  </si>
  <si>
    <t>Springfield Manor Ph</t>
  </si>
  <si>
    <t>Villa De Valencia</t>
  </si>
  <si>
    <t>Meadow Run</t>
  </si>
  <si>
    <t>Hidden Lake II</t>
  </si>
  <si>
    <t>Ventura Lofts</t>
  </si>
  <si>
    <t>Yarrow Blvd</t>
  </si>
  <si>
    <t>Artisan at Mission Creek</t>
  </si>
  <si>
    <t>Landa Place</t>
  </si>
  <si>
    <t>Stratton Ave</t>
  </si>
  <si>
    <t>Stratton Oaks Apts</t>
  </si>
  <si>
    <t>Rosemont at Highland Park</t>
  </si>
  <si>
    <t>Costa Valencia</t>
  </si>
  <si>
    <t>The Haven at Westover Hills</t>
  </si>
  <si>
    <t>Stassney E</t>
  </si>
  <si>
    <t>Austin City Lights</t>
  </si>
  <si>
    <t>Colonial Grand at Canyon Creek</t>
  </si>
  <si>
    <t>Plateau Vista Blvd</t>
  </si>
  <si>
    <t>Colonial Grand at Round Rock</t>
  </si>
  <si>
    <t>Olmos Creek Dr</t>
  </si>
  <si>
    <t>Bella Madera</t>
  </si>
  <si>
    <t>Mission Oaks</t>
  </si>
  <si>
    <t>Colonial Grand Pkwy</t>
  </si>
  <si>
    <t>Colonial Grand at Silverado</t>
  </si>
  <si>
    <t>The Villages at Kitty Hawk</t>
  </si>
  <si>
    <t>Camden Braun Station</t>
  </si>
  <si>
    <t>Sunrise Canyon</t>
  </si>
  <si>
    <t>Sunset Pointe</t>
  </si>
  <si>
    <t>Primrose at Mission Hills</t>
  </si>
  <si>
    <t>Castroville Rd</t>
  </si>
  <si>
    <t>La Providencia</t>
  </si>
  <si>
    <t>Gentleman Dr</t>
  </si>
  <si>
    <t>Hunter Rd</t>
  </si>
  <si>
    <t>Mariposa at Hunter Road</t>
  </si>
  <si>
    <t>Onion Creek Luxury Apts</t>
  </si>
  <si>
    <t>Waterstone</t>
  </si>
  <si>
    <t>Center Lake Dr</t>
  </si>
  <si>
    <t>Bella Sarah Apts</t>
  </si>
  <si>
    <t>Dakota Springs</t>
  </si>
  <si>
    <t>Courtenay St</t>
  </si>
  <si>
    <t>Venue at Home Town NRH</t>
  </si>
  <si>
    <t>Galleria Dr</t>
  </si>
  <si>
    <t>Broadstone Parkway</t>
  </si>
  <si>
    <t>Business Center Dr</t>
  </si>
  <si>
    <t>Waterford Place at Shadow Creek Ranch</t>
  </si>
  <si>
    <t>Ridgecroft</t>
  </si>
  <si>
    <t>Ridgemont Heights</t>
  </si>
  <si>
    <t>Wilcrest Dr</t>
  </si>
  <si>
    <t>The Pinnacle on Wilcrest</t>
  </si>
  <si>
    <t>One Park Place</t>
  </si>
  <si>
    <t>Church St S</t>
  </si>
  <si>
    <t>Wesleyan Retirement Homes</t>
  </si>
  <si>
    <t>Hemphill St</t>
  </si>
  <si>
    <t>Worthington Point Apts</t>
  </si>
  <si>
    <t>Jensen St</t>
  </si>
  <si>
    <t>Redwood Heights</t>
  </si>
  <si>
    <t>Villas on Winkler Senior Homes</t>
  </si>
  <si>
    <t>Saint Augustine Dr N</t>
  </si>
  <si>
    <t>St. Augustine Estates Apts</t>
  </si>
  <si>
    <t>Cockrell Hill Rd</t>
  </si>
  <si>
    <t>Sphinx at Luxar Villas</t>
  </si>
  <si>
    <t>Seagler Rd</t>
  </si>
  <si>
    <t>Portico at West 8, I</t>
  </si>
  <si>
    <t>Alexan Upper Kirby</t>
  </si>
  <si>
    <t>The Westheimer</t>
  </si>
  <si>
    <t>Elser St</t>
  </si>
  <si>
    <t>Fulton Village Apts</t>
  </si>
  <si>
    <t>Railroad St</t>
  </si>
  <si>
    <t>San Gabriel Senior Village</t>
  </si>
  <si>
    <t>Atascocita Pines Apts</t>
  </si>
  <si>
    <t>Cambridge Court</t>
  </si>
  <si>
    <t>Commons of Grace Senior Estates</t>
  </si>
  <si>
    <t>Kobayashi Rd S</t>
  </si>
  <si>
    <t>Baypointe</t>
  </si>
  <si>
    <t>Baybrook Park Retirement Center</t>
  </si>
  <si>
    <t>Village Fair Dr</t>
  </si>
  <si>
    <t>Providence at Village Fair</t>
  </si>
  <si>
    <t>Rosemont at Lakewest</t>
  </si>
  <si>
    <t>Alemeda St</t>
  </si>
  <si>
    <t>Alameda Villas</t>
  </si>
  <si>
    <t>Reserve at Las Brisas II</t>
  </si>
  <si>
    <t>Kensington Place</t>
  </si>
  <si>
    <t>Sublett Rd</t>
  </si>
  <si>
    <t>Oak Moor Dr</t>
  </si>
  <si>
    <t>Providence at Prairie Oaks Apts</t>
  </si>
  <si>
    <t>Post Oak East</t>
  </si>
  <si>
    <t>Anken Dr</t>
  </si>
  <si>
    <t>Pleasant Hill Apts</t>
  </si>
  <si>
    <t>Pepper Tree Manor</t>
  </si>
  <si>
    <t>Oak Timbers II</t>
  </si>
  <si>
    <t>Fonmeadow St</t>
  </si>
  <si>
    <t>Oak Tree Manor</t>
  </si>
  <si>
    <t>Mockingbird Ln W</t>
  </si>
  <si>
    <t>Providence Mockingbird</t>
  </si>
  <si>
    <t>The Lakes at Westview I</t>
  </si>
  <si>
    <t>Vintage Park</t>
  </si>
  <si>
    <t>Briar Forest Lofts</t>
  </si>
  <si>
    <t>Preston Trace Blvd</t>
  </si>
  <si>
    <t>Preston Trace Apts</t>
  </si>
  <si>
    <t>Perryton</t>
  </si>
  <si>
    <t>Potters House at Primrose</t>
  </si>
  <si>
    <t>Shepherd Ln</t>
  </si>
  <si>
    <t>Spring Oaks Apts</t>
  </si>
  <si>
    <t>Simpson Stuart Rd</t>
  </si>
  <si>
    <t>3111-3131</t>
  </si>
  <si>
    <t>Champion TH at Pecan Grove</t>
  </si>
  <si>
    <t>Hatcher St</t>
  </si>
  <si>
    <t>Frazier Court</t>
  </si>
  <si>
    <t>Tower Ridge Dr</t>
  </si>
  <si>
    <t>Tower Ridge Apts</t>
  </si>
  <si>
    <t>Sandy Point</t>
  </si>
  <si>
    <t>Fairlake Cove Apts</t>
  </si>
  <si>
    <t>Evergreen at Keller</t>
  </si>
  <si>
    <t>Briarwood Apts</t>
  </si>
  <si>
    <t>Autumn Chase Austin</t>
  </si>
  <si>
    <t>Harvey Ln</t>
  </si>
  <si>
    <t>Elm Ridge Apts</t>
  </si>
  <si>
    <t>Eagles Landing Apts</t>
  </si>
  <si>
    <t>Parks School House Rd</t>
  </si>
  <si>
    <t>Ewing Ave</t>
  </si>
  <si>
    <t>Sphinx at Reese Court</t>
  </si>
  <si>
    <t>Lakeview TH</t>
  </si>
  <si>
    <t>Webberville Rd</t>
  </si>
  <si>
    <t>Heritage Pointe</t>
  </si>
  <si>
    <t>Metro Greenway</t>
  </si>
  <si>
    <t>Alden Bridge</t>
  </si>
  <si>
    <t>Conservatory at Alden Bridge</t>
  </si>
  <si>
    <t>University Ln E</t>
  </si>
  <si>
    <t>Kia Ora Park Apts</t>
  </si>
  <si>
    <t>Windsor Forest</t>
  </si>
  <si>
    <t>Parkview in Frisco</t>
  </si>
  <si>
    <t>Casa Bella Apts</t>
  </si>
  <si>
    <t>City Parc at Keller</t>
  </si>
  <si>
    <t>Uptown Post Oak</t>
  </si>
  <si>
    <t>Greystar Cypress Village</t>
  </si>
  <si>
    <t>Millennium High Street</t>
  </si>
  <si>
    <t>Santa Rosa Ave N</t>
  </si>
  <si>
    <t>The Vistana</t>
  </si>
  <si>
    <t>Inspiration Dr</t>
  </si>
  <si>
    <t>Alta Design District</t>
  </si>
  <si>
    <t>Monterra Blvd</t>
  </si>
  <si>
    <t>Monterra Village I</t>
  </si>
  <si>
    <t>The Landmark at Woodlands II</t>
  </si>
  <si>
    <t>Bluff St E</t>
  </si>
  <si>
    <t>Lincoln Trinity Bluff</t>
  </si>
  <si>
    <t>Bowie St W</t>
  </si>
  <si>
    <t>GrandMarc at Westberry Place</t>
  </si>
  <si>
    <t>Collin McKinney Pkwy</t>
  </si>
  <si>
    <t>Times Square at Craig Ranch</t>
  </si>
  <si>
    <t>Mason Creek Dr</t>
  </si>
  <si>
    <t>Mason Park Apts</t>
  </si>
  <si>
    <t>Lakeline Blvd</t>
  </si>
  <si>
    <t>The Crossings at Lakeline</t>
  </si>
  <si>
    <t>Louis Henna Blvd W (Texas 45)</t>
  </si>
  <si>
    <t>La Frontera Apts-Frontera Vista</t>
  </si>
  <si>
    <t>Lafayette Village</t>
  </si>
  <si>
    <t>Stonehaven AH</t>
  </si>
  <si>
    <t>The Meadowlands</t>
  </si>
  <si>
    <t>Waterside Court</t>
  </si>
  <si>
    <t>Rainey St</t>
  </si>
  <si>
    <t>Legacy on the Lake</t>
  </si>
  <si>
    <t>Abram St W</t>
  </si>
  <si>
    <t>Midtown UTA</t>
  </si>
  <si>
    <t>University Oaks</t>
  </si>
  <si>
    <t>The Cambridge at College Station</t>
  </si>
  <si>
    <t>Rio West</t>
  </si>
  <si>
    <t>Sawyer Heights</t>
  </si>
  <si>
    <t>Sawyer Heights Lofts</t>
  </si>
  <si>
    <t>Pinnacle Ridge Apts</t>
  </si>
  <si>
    <t>71 Hwy W</t>
  </si>
  <si>
    <t>Windsor at Bee Cave</t>
  </si>
  <si>
    <t>Bee Cave</t>
  </si>
  <si>
    <t>Mansfield Hwy</t>
  </si>
  <si>
    <t>Magnolia at Village Creek Apts</t>
  </si>
  <si>
    <t>Azle Ave</t>
  </si>
  <si>
    <t>Lindbergh Parc Senior Apts</t>
  </si>
  <si>
    <t>Amelia Parc</t>
  </si>
  <si>
    <t>Fitzhugh Urban Flats</t>
  </si>
  <si>
    <t>Longmire House Apts</t>
  </si>
  <si>
    <t>1900 McKinney</t>
  </si>
  <si>
    <t>Indiana St</t>
  </si>
  <si>
    <t>Broadstone Ambrose</t>
  </si>
  <si>
    <t>Teravista Pkwy</t>
  </si>
  <si>
    <t>Melograno at Teravista</t>
  </si>
  <si>
    <t>Leora Ln N</t>
  </si>
  <si>
    <t>Lakeside 121</t>
  </si>
  <si>
    <t>Morrell Ave</t>
  </si>
  <si>
    <t>Ewing Villas</t>
  </si>
  <si>
    <t>Village Gardens</t>
  </si>
  <si>
    <t>Eagle Lake Gardens</t>
  </si>
  <si>
    <t>Chaparral Rd</t>
  </si>
  <si>
    <t>Chaparral TH</t>
  </si>
  <si>
    <t>Wildwood Branch</t>
  </si>
  <si>
    <t>Homes of Persimmon</t>
  </si>
  <si>
    <t>Jacocks Ln</t>
  </si>
  <si>
    <t>Times Square on the Hill</t>
  </si>
  <si>
    <t>Wycliff Ave</t>
  </si>
  <si>
    <t>2929 Wycliff</t>
  </si>
  <si>
    <t>Meadowview Ct</t>
  </si>
  <si>
    <t>Meadowview TH</t>
  </si>
  <si>
    <t>Roseland TH &amp; Estates</t>
  </si>
  <si>
    <t>May Rd Cir</t>
  </si>
  <si>
    <t>May Road Apts</t>
  </si>
  <si>
    <t>Sweetwater Dr</t>
  </si>
  <si>
    <t>Fox Hollow TH</t>
  </si>
  <si>
    <t>Primrose Park at Rolling Hills</t>
  </si>
  <si>
    <t>Shady Shore Rd</t>
  </si>
  <si>
    <t>Shady Shores Apts</t>
  </si>
  <si>
    <t>Pioneer Blvd W</t>
  </si>
  <si>
    <t>Oak Park Apts</t>
  </si>
  <si>
    <t>Guadalupe Ave</t>
  </si>
  <si>
    <t>Columbia Luxar TH</t>
  </si>
  <si>
    <t>S Blvd</t>
  </si>
  <si>
    <t>1811-1821</t>
  </si>
  <si>
    <t>Edgewood Manor</t>
  </si>
  <si>
    <t>LBJ Garden Villas</t>
  </si>
  <si>
    <t>2578 FM</t>
  </si>
  <si>
    <t>Terrell Senior Terraces I</t>
  </si>
  <si>
    <t>Remington Cir</t>
  </si>
  <si>
    <t>Shenandoah TH</t>
  </si>
  <si>
    <t>Cooper St N</t>
  </si>
  <si>
    <t>Avalon Apts</t>
  </si>
  <si>
    <t>Las Bresas</t>
  </si>
  <si>
    <t>Azle Village</t>
  </si>
  <si>
    <t>Bella Vista Park</t>
  </si>
  <si>
    <t>Prairie Creek</t>
  </si>
  <si>
    <t>Prairie Creek Manor</t>
  </si>
  <si>
    <t>Plaza at Chase Oaks</t>
  </si>
  <si>
    <t>Sartain Dr</t>
  </si>
  <si>
    <t>Cobblestone Manor</t>
  </si>
  <si>
    <t>San Villa Dr</t>
  </si>
  <si>
    <t>Shady Oaks Manor Apts</t>
  </si>
  <si>
    <t>Langwick Dr</t>
  </si>
  <si>
    <t>Langwick Senior Residences</t>
  </si>
  <si>
    <t>Parkway Ranch I</t>
  </si>
  <si>
    <t>Cedar Dr</t>
  </si>
  <si>
    <t>Cedar Drive Village</t>
  </si>
  <si>
    <t>Mariposa at Reed Road</t>
  </si>
  <si>
    <t>Birdsong Dr</t>
  </si>
  <si>
    <t>Birdsong Place Villas</t>
  </si>
  <si>
    <t>Burgoyne Rd</t>
  </si>
  <si>
    <t>Tanglewood at Voss West</t>
  </si>
  <si>
    <t>Frazier St N</t>
  </si>
  <si>
    <t>Dell Dale St</t>
  </si>
  <si>
    <t>Sheldon Ranch</t>
  </si>
  <si>
    <t>Orchard Park at Willowbrook</t>
  </si>
  <si>
    <t>Countryside Village</t>
  </si>
  <si>
    <t>Haley St</t>
  </si>
  <si>
    <t>410 &amp; 500</t>
  </si>
  <si>
    <t>Forum Dr S</t>
  </si>
  <si>
    <t>The Forum at Grand Prairie</t>
  </si>
  <si>
    <t>Eban Village I &amp; II</t>
  </si>
  <si>
    <t>Rifle Gap Rd</t>
  </si>
  <si>
    <t>Post Sierra at Frisco Bridges I</t>
  </si>
  <si>
    <t>Post Sierra at Frisco Bridges II</t>
  </si>
  <si>
    <t>925 Main</t>
  </si>
  <si>
    <t>4700-4900</t>
  </si>
  <si>
    <t>Wahoo Frazier TH</t>
  </si>
  <si>
    <t>Windsor Ct</t>
  </si>
  <si>
    <t>Terrell Senior Terraces II</t>
  </si>
  <si>
    <t>The Heights at Park Lane Tower</t>
  </si>
  <si>
    <t>The Heights at Park Lane Flats</t>
  </si>
  <si>
    <t>The Heights at Park Lane Lofts</t>
  </si>
  <si>
    <t>Voss Rd S</t>
  </si>
  <si>
    <t>Tanglewood at Voss East</t>
  </si>
  <si>
    <t>Weslayan St</t>
  </si>
  <si>
    <t>33 ThirtyThree</t>
  </si>
  <si>
    <t>Dunlavy St</t>
  </si>
  <si>
    <t>Fairmont Museum District</t>
  </si>
  <si>
    <t>Hospital Dr</t>
  </si>
  <si>
    <t>Stone Lake Dr</t>
  </si>
  <si>
    <t>Stone Lake</t>
  </si>
  <si>
    <t>La Valencia at Starwood</t>
  </si>
  <si>
    <t>The Cottages</t>
  </si>
  <si>
    <t>Howard Ln E</t>
  </si>
  <si>
    <t>Criterion at Harris Ridge</t>
  </si>
  <si>
    <t>Eastwood</t>
  </si>
  <si>
    <t>114-117</t>
  </si>
  <si>
    <t>John Goldberg Senior Apts</t>
  </si>
  <si>
    <t>The Lakes at Cypresswood</t>
  </si>
  <si>
    <t>Montfair Blvd</t>
  </si>
  <si>
    <t>Alexan Sterling Ridge</t>
  </si>
  <si>
    <t>The Abbey at Eldridge II</t>
  </si>
  <si>
    <t>Fallsview Ln</t>
  </si>
  <si>
    <t>ARIUM Briar Forest II</t>
  </si>
  <si>
    <t>Werner St</t>
  </si>
  <si>
    <t>Redstone Apts</t>
  </si>
  <si>
    <t>McKinney Ranch Pkwy</t>
  </si>
  <si>
    <t>Soho Parkway</t>
  </si>
  <si>
    <t>Queensbury Ln</t>
  </si>
  <si>
    <t>The Lofts CityCentre</t>
  </si>
  <si>
    <t>Sam Houston Pkwy</t>
  </si>
  <si>
    <t>The Lofts at CityCentre II</t>
  </si>
  <si>
    <t>Exchange Pkwy E</t>
  </si>
  <si>
    <t>The Heights at Allen Station</t>
  </si>
  <si>
    <t>Belterra Apts</t>
  </si>
  <si>
    <t>Loggins Dr</t>
  </si>
  <si>
    <t>Loggins Court</t>
  </si>
  <si>
    <t>Artessa at Quarry Village</t>
  </si>
  <si>
    <t>Houston Center Blvd W</t>
  </si>
  <si>
    <t>Camden Whispering Oaks</t>
  </si>
  <si>
    <t>Clearpoint Crossing Residences</t>
  </si>
  <si>
    <t>Domain Dr</t>
  </si>
  <si>
    <t>Residences at the Domain</t>
  </si>
  <si>
    <t>Villages at the Domain</t>
  </si>
  <si>
    <t>Krenek Tap Rd</t>
  </si>
  <si>
    <t>Terrace Pines AH</t>
  </si>
  <si>
    <t>Saddle Creek Apts</t>
  </si>
  <si>
    <t>Kyle</t>
  </si>
  <si>
    <t>First St S</t>
  </si>
  <si>
    <t>Southpark Ranch</t>
  </si>
  <si>
    <t>Bishop St N</t>
  </si>
  <si>
    <t>Bishop's Corner</t>
  </si>
  <si>
    <t>Lockhill Rd</t>
  </si>
  <si>
    <t>Providence Estates TH</t>
  </si>
  <si>
    <t>810 &amp; 910</t>
  </si>
  <si>
    <t>Vista Verde Apts</t>
  </si>
  <si>
    <t>Humble Westfield Rd (1960 FM)</t>
  </si>
  <si>
    <t>Bellaterra at Deerbrook</t>
  </si>
  <si>
    <t>Onion Creek Pkwy</t>
  </si>
  <si>
    <t>Colonial Grand at Onion Creek</t>
  </si>
  <si>
    <t>1626 FM</t>
  </si>
  <si>
    <t>Colonial Grand at Cityway I</t>
  </si>
  <si>
    <t>5938-6004</t>
  </si>
  <si>
    <t>Belfort W</t>
  </si>
  <si>
    <t>Milan</t>
  </si>
  <si>
    <t>Medical District Dr</t>
  </si>
  <si>
    <t>Colonial Reserve at Medical District</t>
  </si>
  <si>
    <t>Glass House by Windsor</t>
  </si>
  <si>
    <t>Gross Rd</t>
  </si>
  <si>
    <t>Magnolia At Mesquite Creek</t>
  </si>
  <si>
    <t>Park Place at Loyola</t>
  </si>
  <si>
    <t>Lancaster Apts</t>
  </si>
  <si>
    <t>The Belle Meade at River Oaks</t>
  </si>
  <si>
    <t>Braeswood Place</t>
  </si>
  <si>
    <t>Towne Crossing Blvd</t>
  </si>
  <si>
    <t>Towne Crossing</t>
  </si>
  <si>
    <t>Cedar Point TH</t>
  </si>
  <si>
    <t>Falls at Towne Crossing</t>
  </si>
  <si>
    <t>The Core Apts</t>
  </si>
  <si>
    <t>Premier Dr</t>
  </si>
  <si>
    <t>The Waterford at Plano</t>
  </si>
  <si>
    <t>Eldorado Pkwy W</t>
  </si>
  <si>
    <t>Haven at Eldorado</t>
  </si>
  <si>
    <t>Newport on the Lake</t>
  </si>
  <si>
    <t>Broadstone Memorial</t>
  </si>
  <si>
    <t>Copperfield Pkwy</t>
  </si>
  <si>
    <t>Crescent Pointe</t>
  </si>
  <si>
    <t>Granbury Rd</t>
  </si>
  <si>
    <t>Cumberland on Granbury</t>
  </si>
  <si>
    <t>Fabra St</t>
  </si>
  <si>
    <t>Terraces at Cibolo</t>
  </si>
  <si>
    <t>Crowley Rd</t>
  </si>
  <si>
    <t>Home Towne at Matador Ranch</t>
  </si>
  <si>
    <t>Grand Reserve</t>
  </si>
  <si>
    <t>Braesmain Dr</t>
  </si>
  <si>
    <t>Alexan Main Street</t>
  </si>
  <si>
    <t>Village on the Lake II</t>
  </si>
  <si>
    <t>Four Point Dr</t>
  </si>
  <si>
    <t>Tintara at Canyon Creek II</t>
  </si>
  <si>
    <t>Sarah Deel Dr</t>
  </si>
  <si>
    <t>The Landings at Clear Lake</t>
  </si>
  <si>
    <t>Cascade at Fall Creek</t>
  </si>
  <si>
    <t>Sienna Springs Blvd</t>
  </si>
  <si>
    <t>Century Sienna Plantation</t>
  </si>
  <si>
    <t>Louisiana Ave</t>
  </si>
  <si>
    <t>Sorrento at Tuscan Lakes (I &amp; II)</t>
  </si>
  <si>
    <t>League City Pkwy E</t>
  </si>
  <si>
    <t>Amalfi at Tuscan Lakes</t>
  </si>
  <si>
    <t>Sequoia Courtney Manor</t>
  </si>
  <si>
    <t>The Villas at River Park West</t>
  </si>
  <si>
    <t>Gables 6464</t>
  </si>
  <si>
    <t>Westside in the Village</t>
  </si>
  <si>
    <t>The Depot Apts</t>
  </si>
  <si>
    <t>Asbury at River Oaks</t>
  </si>
  <si>
    <t>Village Park at the Arboretum</t>
  </si>
  <si>
    <t>Woodbury St</t>
  </si>
  <si>
    <t>Cambridge Tower</t>
  </si>
  <si>
    <t>Post Midtown Square III</t>
  </si>
  <si>
    <t>Cleveland</t>
  </si>
  <si>
    <t>Camden City Centre II</t>
  </si>
  <si>
    <t>Fairmont Museum District II</t>
  </si>
  <si>
    <t>Venue Museum District</t>
  </si>
  <si>
    <t>Gables 6464, II &amp; III</t>
  </si>
  <si>
    <t>San Cierra</t>
  </si>
  <si>
    <t>Wfield Place Dr</t>
  </si>
  <si>
    <t>Stoneleigh Cypress Station</t>
  </si>
  <si>
    <t>The Dakota in the Village</t>
  </si>
  <si>
    <t>The Lakes Blvd</t>
  </si>
  <si>
    <t>Villas Tech Ridge</t>
  </si>
  <si>
    <t>Wynhaven at Willowbrook</t>
  </si>
  <si>
    <t>Carrington Park at Huffmeister</t>
  </si>
  <si>
    <t>Sommerall Dr</t>
  </si>
  <si>
    <t>Alexan Sommerall</t>
  </si>
  <si>
    <t>Carrington at Barker Cypress</t>
  </si>
  <si>
    <t>Camden Yorktown</t>
  </si>
  <si>
    <t>Oak Park Trails</t>
  </si>
  <si>
    <t>Legends at Cinco Ranch</t>
  </si>
  <si>
    <t>Tuckerton Dr</t>
  </si>
  <si>
    <t>Landmark at Cypress Falls</t>
  </si>
  <si>
    <t>WestView Blvd</t>
  </si>
  <si>
    <t>WestView Conroe Tract II (on hold)</t>
  </si>
  <si>
    <t>Orem Dr W</t>
  </si>
  <si>
    <t>Landmark at City Park</t>
  </si>
  <si>
    <t>Autumn Pines</t>
  </si>
  <si>
    <t>Mansions View Dr</t>
  </si>
  <si>
    <t>Regency at Woodland</t>
  </si>
  <si>
    <t>Harbor View at Kings Harbor</t>
  </si>
  <si>
    <t>The Haven at South Shore</t>
  </si>
  <si>
    <t>Sylvanfield Blvd</t>
  </si>
  <si>
    <t>NorthChase Village</t>
  </si>
  <si>
    <t>North Chase Village II (on hold)</t>
  </si>
  <si>
    <t>Southwestern Medical Park</t>
  </si>
  <si>
    <t>3200 Main Lofts</t>
  </si>
  <si>
    <t>Fry Rd S</t>
  </si>
  <si>
    <t>Retreat at Cinco Ranch</t>
  </si>
  <si>
    <t>Chelsea Place</t>
  </si>
  <si>
    <t>The Retreat at Chelsea Park</t>
  </si>
  <si>
    <t>Selma</t>
  </si>
  <si>
    <t>Kings Cove</t>
  </si>
  <si>
    <t>Altea at Silverado</t>
  </si>
  <si>
    <t>Discovery Blvd</t>
  </si>
  <si>
    <t>Arboleda</t>
  </si>
  <si>
    <t>Regal Canyon</t>
  </si>
  <si>
    <t>1960 FM Rd W</t>
  </si>
  <si>
    <t>Knightsbridge</t>
  </si>
  <si>
    <t>Harvey Mitchell Dr</t>
  </si>
  <si>
    <t>2818 Place</t>
  </si>
  <si>
    <t>Magnolia St</t>
  </si>
  <si>
    <t>Village at Morningstar II</t>
  </si>
  <si>
    <t>Marquis at Canyon Ridge</t>
  </si>
  <si>
    <t>The Meritage</t>
  </si>
  <si>
    <t>Cevallos St E</t>
  </si>
  <si>
    <t>Cevallos Lofts</t>
  </si>
  <si>
    <t>Ashley Rd E</t>
  </si>
  <si>
    <t>Las Bougainvilleas (on hold)</t>
  </si>
  <si>
    <t>O'Connor Rd N</t>
  </si>
  <si>
    <t>The Arbors on Chimney Rock</t>
  </si>
  <si>
    <t>Raceway Crossing Apts</t>
  </si>
  <si>
    <t>Indian Dr</t>
  </si>
  <si>
    <t>Brown St</t>
  </si>
  <si>
    <t>Bridgepoint</t>
  </si>
  <si>
    <t>Old Bullard Rd</t>
  </si>
  <si>
    <t>The Establishment</t>
  </si>
  <si>
    <t>Bullard Crossing</t>
  </si>
  <si>
    <t>Bullard Creek</t>
  </si>
  <si>
    <t>Hidden Springs Apts</t>
  </si>
  <si>
    <t>Broadway Ave S</t>
  </si>
  <si>
    <t>Plantation Pines</t>
  </si>
  <si>
    <t>323 N Loop W</t>
  </si>
  <si>
    <t>Town Parc at Tyler</t>
  </si>
  <si>
    <t>Holly Tree Dr</t>
  </si>
  <si>
    <t>Autum Glen</t>
  </si>
  <si>
    <t>The Hudson</t>
  </si>
  <si>
    <t>Rice Rd</t>
  </si>
  <si>
    <t>Dovetree</t>
  </si>
  <si>
    <t>Cambridge Oaks Duplexes</t>
  </si>
  <si>
    <t>Grande Blvd</t>
  </si>
  <si>
    <t>Grande Hill Estates</t>
  </si>
  <si>
    <t>Thistle Dr</t>
  </si>
  <si>
    <t>Chelsea Creek Apts</t>
  </si>
  <si>
    <t>Towne Park Dr</t>
  </si>
  <si>
    <t>Villas of Pine Ridge</t>
  </si>
  <si>
    <t>Hogan Dr</t>
  </si>
  <si>
    <t>The Mansions at the Cascades</t>
  </si>
  <si>
    <t>Sweetbriar Ln</t>
  </si>
  <si>
    <t>Hunter's Glen</t>
  </si>
  <si>
    <t>Wood Trail Apts</t>
  </si>
  <si>
    <t>Sybil Ln</t>
  </si>
  <si>
    <t>Royal Crest</t>
  </si>
  <si>
    <t>Costa Rialto</t>
  </si>
  <si>
    <t>Park At Shiloh Apts</t>
  </si>
  <si>
    <t>Spectrum Dr</t>
  </si>
  <si>
    <t>Allegro Addison Circle</t>
  </si>
  <si>
    <t>Claremont Dr</t>
  </si>
  <si>
    <t>Arioso Apts &amp; Toccata Casitas</t>
  </si>
  <si>
    <t>Varsity Dr</t>
  </si>
  <si>
    <t>Varsity Place</t>
  </si>
  <si>
    <t>Old Omen Rd</t>
  </si>
  <si>
    <t>The Cambridge at Tyler</t>
  </si>
  <si>
    <t>Salado Apts</t>
  </si>
  <si>
    <t>University Pines</t>
  </si>
  <si>
    <t>Old Grande Blvd</t>
  </si>
  <si>
    <t>New Laredo Hwy</t>
  </si>
  <si>
    <t>Alhambra Senior AH</t>
  </si>
  <si>
    <t>The Monterey Uptown</t>
  </si>
  <si>
    <t>Oxford Place</t>
  </si>
  <si>
    <t>Carrington Park at Gulf Pointe</t>
  </si>
  <si>
    <t>Villas at West Road</t>
  </si>
  <si>
    <t>71 Hwy E</t>
  </si>
  <si>
    <t>The Lodge at Lost Pines</t>
  </si>
  <si>
    <t>Military Dr</t>
  </si>
  <si>
    <t>Candleridge Apts</t>
  </si>
  <si>
    <t>Third Rail Lofts-1407 Main</t>
  </si>
  <si>
    <t>The Vista</t>
  </si>
  <si>
    <t>Slocum St</t>
  </si>
  <si>
    <t>Trinity Lofts</t>
  </si>
  <si>
    <t>Gables Highland Park Brownstones</t>
  </si>
  <si>
    <t>The Villas at Shadow Creek Ranch</t>
  </si>
  <si>
    <t>Vail Quarters</t>
  </si>
  <si>
    <t>Delante</t>
  </si>
  <si>
    <t>Tranquilo</t>
  </si>
  <si>
    <t>AMLI at La Villita</t>
  </si>
  <si>
    <t>Fountains at Almeda</t>
  </si>
  <si>
    <t>Sheridan Cir</t>
  </si>
  <si>
    <t>6501-6555</t>
  </si>
  <si>
    <t>Peppertree Acres</t>
  </si>
  <si>
    <t>Shaver Rd S</t>
  </si>
  <si>
    <t>The Villas at Shaver</t>
  </si>
  <si>
    <t>Huntington Estates Dr</t>
  </si>
  <si>
    <t>HomeTowne on Bellfort</t>
  </si>
  <si>
    <t>Lincoln Lakeside</t>
  </si>
  <si>
    <t>Grand Estates at Keller</t>
  </si>
  <si>
    <t>Golden Triangle Blvd</t>
  </si>
  <si>
    <t>Enclave on Golden Triangle</t>
  </si>
  <si>
    <t>121 SH S</t>
  </si>
  <si>
    <t>Alta Vista Ridge</t>
  </si>
  <si>
    <t>Colony Blvd S</t>
  </si>
  <si>
    <t>Sonoma Grande at The Legends</t>
  </si>
  <si>
    <t>Daniel Rd</t>
  </si>
  <si>
    <t>Acqua</t>
  </si>
  <si>
    <t>Estancia at Ridgeview Ranch II</t>
  </si>
  <si>
    <t>Riachi at One21</t>
  </si>
  <si>
    <t>Prairie Ranch Dr</t>
  </si>
  <si>
    <t>Prairie Ranch Apts</t>
  </si>
  <si>
    <t>Mira Lago Blvd</t>
  </si>
  <si>
    <t>Laguna Vista at Mercer Crossing</t>
  </si>
  <si>
    <t>Keller Springs Rd</t>
  </si>
  <si>
    <t>Spicewood Crossing</t>
  </si>
  <si>
    <t>Lakeside at Legacy Village III</t>
  </si>
  <si>
    <t>Lakeside at Legacy Village IV</t>
  </si>
  <si>
    <t>Ryan Dr S</t>
  </si>
  <si>
    <t>Red Oak Town Village I</t>
  </si>
  <si>
    <t>Indigo Pointe at Western Center</t>
  </si>
  <si>
    <t>Camden Riverwalk I, The Vistas</t>
  </si>
  <si>
    <t>Copper Grove Blvd</t>
  </si>
  <si>
    <t>Villas at Huffmeister</t>
  </si>
  <si>
    <t>Pease St</t>
  </si>
  <si>
    <t>Jefferson Square Apts</t>
  </si>
  <si>
    <t>Ray White Rd</t>
  </si>
  <si>
    <t>Republic Park Vista</t>
  </si>
  <si>
    <t>Hollow Tree Ln</t>
  </si>
  <si>
    <t>Republic Hollow Tree</t>
  </si>
  <si>
    <t>The RiverWood Apts</t>
  </si>
  <si>
    <t>Cypress Creek at Reed Rd</t>
  </si>
  <si>
    <t>Wentworth Senior Housing</t>
  </si>
  <si>
    <t>Dickinson Ave</t>
  </si>
  <si>
    <t>Glenwood Dr</t>
  </si>
  <si>
    <t>Glenwood Trails</t>
  </si>
  <si>
    <t>The Melbourne Senior Apts</t>
  </si>
  <si>
    <t>Sam Houston Pkwy W S</t>
  </si>
  <si>
    <t>Hometowne at Missouri City</t>
  </si>
  <si>
    <t>Hurst Blvd W</t>
  </si>
  <si>
    <t>Villas on Calloway Creek</t>
  </si>
  <si>
    <t>Bell Ave N</t>
  </si>
  <si>
    <t>Bellmere Apts</t>
  </si>
  <si>
    <t>Eagle Dr</t>
  </si>
  <si>
    <t>Eagle's Nest</t>
  </si>
  <si>
    <t>Ryliecrest Dr</t>
  </si>
  <si>
    <t>Peachtree Senior Living</t>
  </si>
  <si>
    <t>Evergreen at Farmers Branch</t>
  </si>
  <si>
    <t>Eastland St</t>
  </si>
  <si>
    <t>Residences at Eastland</t>
  </si>
  <si>
    <t>Verde Dr</t>
  </si>
  <si>
    <t>The Gibraltar</t>
  </si>
  <si>
    <t>Bell Ave</t>
  </si>
  <si>
    <t>Foxfire Apts</t>
  </si>
  <si>
    <t>Zion Village</t>
  </si>
  <si>
    <t>Parkwood Ave W</t>
  </si>
  <si>
    <t>Gardens at Friendswood Lakes</t>
  </si>
  <si>
    <t>Bluffs Landing Way</t>
  </si>
  <si>
    <t>Bluffs Landing Senior Village</t>
  </si>
  <si>
    <t>2001 FM</t>
  </si>
  <si>
    <t>Buda</t>
  </si>
  <si>
    <t>517 FM W</t>
  </si>
  <si>
    <t>Jordan Cove</t>
  </si>
  <si>
    <t>Sign St</t>
  </si>
  <si>
    <t>Westbury Village Homes</t>
  </si>
  <si>
    <t>Clearwater Paseo</t>
  </si>
  <si>
    <t>Paseo de Paz</t>
  </si>
  <si>
    <t>Durango W</t>
  </si>
  <si>
    <t>West Durango Plaza</t>
  </si>
  <si>
    <t>35th St SW</t>
  </si>
  <si>
    <t>West End Baptist Manor Apts</t>
  </si>
  <si>
    <t>Nash St</t>
  </si>
  <si>
    <t>Mansions at Briar Creek (on hold)</t>
  </si>
  <si>
    <t>Harris Branch AH</t>
  </si>
  <si>
    <t>Ventura Dr</t>
  </si>
  <si>
    <t>Plaza Ventura</t>
  </si>
  <si>
    <t>Windshire Apts</t>
  </si>
  <si>
    <t>The Landmark of Sugarland II</t>
  </si>
  <si>
    <t>2125 Yale</t>
  </si>
  <si>
    <t>Gessner Rd N</t>
  </si>
  <si>
    <t>Costa Vizcaya</t>
  </si>
  <si>
    <t>University Dr S</t>
  </si>
  <si>
    <t>Edge 55</t>
  </si>
  <si>
    <t>646 FM</t>
  </si>
  <si>
    <t>Greystar at Beacon Lakes</t>
  </si>
  <si>
    <t>Sedona Apts</t>
  </si>
  <si>
    <t>Town and Country Blvd</t>
  </si>
  <si>
    <t>Domain at City Centre</t>
  </si>
  <si>
    <t>Post West Austin</t>
  </si>
  <si>
    <t>Post South Lamar</t>
  </si>
  <si>
    <t>360 SH N</t>
  </si>
  <si>
    <t>Mansions at Mansfield</t>
  </si>
  <si>
    <t>Pressler St</t>
  </si>
  <si>
    <t>Gables Pressler</t>
  </si>
  <si>
    <t>Ashby Highrise</t>
  </si>
  <si>
    <t>Serena Park Apts</t>
  </si>
  <si>
    <t>Gables Republic Park Apts</t>
  </si>
  <si>
    <t>Blanco</t>
  </si>
  <si>
    <t>The Reflection Apts</t>
  </si>
  <si>
    <t>Legacy Heights</t>
  </si>
  <si>
    <t>Presidio at the Landmark</t>
  </si>
  <si>
    <t>Mansions at Hastings Green</t>
  </si>
  <si>
    <t>Platinum Southside</t>
  </si>
  <si>
    <t>Riverside Apts at East Avenue Town Center</t>
  </si>
  <si>
    <t>Broadstone Grand Avenue</t>
  </si>
  <si>
    <t>Shadow Creek Pkwy</t>
  </si>
  <si>
    <t>Alexan Shadow Creek Ranch</t>
  </si>
  <si>
    <t>Birnamwood Blvd</t>
  </si>
  <si>
    <t>Mansions at Turkey Creek</t>
  </si>
  <si>
    <t>Remington Hills</t>
  </si>
  <si>
    <t>Alexan Eagle Creek</t>
  </si>
  <si>
    <t>Idlewilde Apts</t>
  </si>
  <si>
    <t>Hillstone at Prue Road</t>
  </si>
  <si>
    <t>Franklin Park at Canyon Creek</t>
  </si>
  <si>
    <t>City North at Sunrise Ranch</t>
  </si>
  <si>
    <t>Washam Dr</t>
  </si>
  <si>
    <t>Sierra Ridge Apts</t>
  </si>
  <si>
    <t>3009 FM</t>
  </si>
  <si>
    <t>Waterford Ridge</t>
  </si>
  <si>
    <t>Eucalyptus St</t>
  </si>
  <si>
    <t>The Residence at Lake Jackson</t>
  </si>
  <si>
    <t>Vance Jackson St</t>
  </si>
  <si>
    <t>Boulder Creek</t>
  </si>
  <si>
    <t>Frazer St N @ Dallas St W</t>
  </si>
  <si>
    <t>West Fork Apts</t>
  </si>
  <si>
    <t>Riverside Dr N</t>
  </si>
  <si>
    <t>Avington Park Apts</t>
  </si>
  <si>
    <t>Augusta Meadows</t>
  </si>
  <si>
    <t>Stone Ranch at Westover Hills</t>
  </si>
  <si>
    <t>Mueschke Rd</t>
  </si>
  <si>
    <t>Southdown Trace Trl</t>
  </si>
  <si>
    <t>Sundance Pkwy</t>
  </si>
  <si>
    <t>Villas at Sundance</t>
  </si>
  <si>
    <t>21 Rio</t>
  </si>
  <si>
    <t>Riverside Square Apts</t>
  </si>
  <si>
    <t>The Abbey on Lake Wyndemere</t>
  </si>
  <si>
    <t>Amberglen Blvd</t>
  </si>
  <si>
    <t>Camden Amber Oaks I</t>
  </si>
  <si>
    <t>The Falls at Copper Lake</t>
  </si>
  <si>
    <t>Esperanza Crossing</t>
  </si>
  <si>
    <t>Domain Parkside</t>
  </si>
  <si>
    <t>Cypress Creek at River Bend</t>
  </si>
  <si>
    <t>Walker St W</t>
  </si>
  <si>
    <t>Broadstone Walker Commons</t>
  </si>
  <si>
    <t>Decker Rd</t>
  </si>
  <si>
    <t>Piedmont Apts</t>
  </si>
  <si>
    <t>The Hampton at Post Oak</t>
  </si>
  <si>
    <t>Wynhaven at Towne West</t>
  </si>
  <si>
    <t>9th St E</t>
  </si>
  <si>
    <t>Skyline Lofts (on hold)</t>
  </si>
  <si>
    <t>78 Hwy</t>
  </si>
  <si>
    <t>Seguin Town Center</t>
  </si>
  <si>
    <t>Circle at Stonelake</t>
  </si>
  <si>
    <t>Highland Park Senior Living Apts</t>
  </si>
  <si>
    <t>MidLn St</t>
  </si>
  <si>
    <t>2121 Midlane</t>
  </si>
  <si>
    <t>Residences at Holly Oaks II</t>
  </si>
  <si>
    <t>Villas at Cypresswood</t>
  </si>
  <si>
    <t>Dalworth St</t>
  </si>
  <si>
    <t>Vista Verde</t>
  </si>
  <si>
    <t>Ferguson Dr</t>
  </si>
  <si>
    <t>Lotus Village</t>
  </si>
  <si>
    <t>Leander Apt Complex (On Hold)</t>
  </si>
  <si>
    <t>Mission Park Dr</t>
  </si>
  <si>
    <t>Deseo at Grand Mission</t>
  </si>
  <si>
    <t>Somerset Rd</t>
  </si>
  <si>
    <t>Costa Mirada</t>
  </si>
  <si>
    <t>Costa Almadena</t>
  </si>
  <si>
    <t>Union Pines Apts</t>
  </si>
  <si>
    <t>Hackberry</t>
  </si>
  <si>
    <t>SA Union Park Apts</t>
  </si>
  <si>
    <t>Dean Panill Dr W</t>
  </si>
  <si>
    <t>Wurzbach Manor</t>
  </si>
  <si>
    <t>Binz Engleman Rd</t>
  </si>
  <si>
    <t>Artisan at Salado Creek</t>
  </si>
  <si>
    <t>San Juan Square</t>
  </si>
  <si>
    <t>Binz Engelman</t>
  </si>
  <si>
    <t>Artisan at Salado Falls</t>
  </si>
  <si>
    <t>Medina Base Dr</t>
  </si>
  <si>
    <t>Villa de San Alfonso</t>
  </si>
  <si>
    <t>Commerce W</t>
  </si>
  <si>
    <t>Lago Vista Village</t>
  </si>
  <si>
    <t>Goldfield</t>
  </si>
  <si>
    <t>Park on Goldfield</t>
  </si>
  <si>
    <t>Babcock Villa Apts</t>
  </si>
  <si>
    <t>Nueces Bend and Frio Crossing</t>
  </si>
  <si>
    <t>1604 Loop N W</t>
  </si>
  <si>
    <t>Westcreek TH</t>
  </si>
  <si>
    <t>General McMullen Dr N</t>
  </si>
  <si>
    <t>McMullen Square</t>
  </si>
  <si>
    <t>Ben White Blvd W</t>
  </si>
  <si>
    <t>Skyline Terrace</t>
  </si>
  <si>
    <t>Frontier Valley Dr</t>
  </si>
  <si>
    <t>Santora Villas</t>
  </si>
  <si>
    <t>Janis Dr E</t>
  </si>
  <si>
    <t>Shady Oaks Apts</t>
  </si>
  <si>
    <t>Cambridge Villas Apts</t>
  </si>
  <si>
    <t>HomeTowne at Picadilly</t>
  </si>
  <si>
    <t>Richard Rd</t>
  </si>
  <si>
    <t>Park at Woodland Springs</t>
  </si>
  <si>
    <t>Mosaic at Mueller II</t>
  </si>
  <si>
    <t>Skyline Rd</t>
  </si>
  <si>
    <t>The Homes of Mountain Creek</t>
  </si>
  <si>
    <t>Goliad St S</t>
  </si>
  <si>
    <t>Evergreen at Rockwall</t>
  </si>
  <si>
    <t>Thomas St SW</t>
  </si>
  <si>
    <t>Crestmoor Park West</t>
  </si>
  <si>
    <t>Alsbury NE</t>
  </si>
  <si>
    <t>Alsbury Villas</t>
  </si>
  <si>
    <t>Samuels Ave</t>
  </si>
  <si>
    <t>Pavilion at Samuels</t>
  </si>
  <si>
    <t>Old Decator Rd</t>
  </si>
  <si>
    <t>Enclave at Parkview Apts</t>
  </si>
  <si>
    <t>Costa Verde</t>
  </si>
  <si>
    <t>Silverdale Dr</t>
  </si>
  <si>
    <t>Lodge at Silverdale</t>
  </si>
  <si>
    <t>336 Loop E N</t>
  </si>
  <si>
    <t>Woodside Manor</t>
  </si>
  <si>
    <t>Cherry St S</t>
  </si>
  <si>
    <t>HomeTowne at Tomball</t>
  </si>
  <si>
    <t>Brays Crossing</t>
  </si>
  <si>
    <t>Costa Ibiza</t>
  </si>
  <si>
    <t>Partners Way</t>
  </si>
  <si>
    <t>Porter Plaza Apts</t>
  </si>
  <si>
    <t>Rebecca Ln</t>
  </si>
  <si>
    <t>Emerald Park Apts</t>
  </si>
  <si>
    <t>Camp Bullis Rd</t>
  </si>
  <si>
    <t>San Marcos St S</t>
  </si>
  <si>
    <t>Artisan at Creekside</t>
  </si>
  <si>
    <t>The 1800</t>
  </si>
  <si>
    <t>Palomino</t>
  </si>
  <si>
    <t>Vista Ln</t>
  </si>
  <si>
    <t>Bridgewood Ranch I</t>
  </si>
  <si>
    <t>Residences at Onion Creek</t>
  </si>
  <si>
    <t>Vantage at San Marcos</t>
  </si>
  <si>
    <t>McDermott St</t>
  </si>
  <si>
    <t>The Waterfront at Deer Park</t>
  </si>
  <si>
    <t>Alexan Silber</t>
  </si>
  <si>
    <t>Alexan Ribelin Ranch</t>
  </si>
  <si>
    <t>Trimble Ave - Robert S. Light Blvd</t>
  </si>
  <si>
    <t>Vantage at Buda</t>
  </si>
  <si>
    <t>1700-1800</t>
  </si>
  <si>
    <t>Colonial Park Apts</t>
  </si>
  <si>
    <t>DeSoto Town Center Apts</t>
  </si>
  <si>
    <t>Cornell Ln</t>
  </si>
  <si>
    <t>Colony Townhouse Apts II</t>
  </si>
  <si>
    <t>Cool Springs at Frisco Bridges</t>
  </si>
  <si>
    <t>Park Avenue at Boulder Creek</t>
  </si>
  <si>
    <t>Lakeside Villas of Grand Prairie</t>
  </si>
  <si>
    <t>Watervue AH</t>
  </si>
  <si>
    <t>Woodbridge Pkwy</t>
  </si>
  <si>
    <t>Broadstone Woodbridge</t>
  </si>
  <si>
    <t>10 IH &amp; 1604 Loop</t>
  </si>
  <si>
    <t>Landmark Mixed-Use Development</t>
  </si>
  <si>
    <t>45 Hwy</t>
  </si>
  <si>
    <t>Blanco St - Baylor St</t>
  </si>
  <si>
    <t>Broadstone Ranch</t>
  </si>
  <si>
    <t>Costa Bella</t>
  </si>
  <si>
    <t>Villita St</t>
  </si>
  <si>
    <t>Hollyhills Condo Development</t>
  </si>
  <si>
    <t>The Residences at Eilan</t>
  </si>
  <si>
    <t>Lincoln Park at Trinity Bluff Midrise</t>
  </si>
  <si>
    <t>The Trails at Dominion Park</t>
  </si>
  <si>
    <t>Town Center II</t>
  </si>
  <si>
    <t>Camden Shadow Brook I</t>
  </si>
  <si>
    <t>Heritage at Dartmouth</t>
  </si>
  <si>
    <t>Grace Cir</t>
  </si>
  <si>
    <t>Grace TH</t>
  </si>
  <si>
    <t>Burnett E</t>
  </si>
  <si>
    <t>Creekside Terrace</t>
  </si>
  <si>
    <t>Floyd St</t>
  </si>
  <si>
    <t>Breckenridge Village</t>
  </si>
  <si>
    <t>People El Shaddai Village</t>
  </si>
  <si>
    <t>Easter St</t>
  </si>
  <si>
    <t>St. James Manor</t>
  </si>
  <si>
    <t>1093 FM</t>
  </si>
  <si>
    <t>The Residences at Cinco Ranch</t>
  </si>
  <si>
    <t>Woodland Hills Dr-Lockwood</t>
  </si>
  <si>
    <t>Residences at Woodland Hills</t>
  </si>
  <si>
    <t>Alta Kingwood</t>
  </si>
  <si>
    <t>Napoli Dr</t>
  </si>
  <si>
    <t>Palazzo at Cypresswood</t>
  </si>
  <si>
    <t>Alta Lakeshore Lofts I &amp; II</t>
  </si>
  <si>
    <t>Conservatory at Champion Forest</t>
  </si>
  <si>
    <t>Clay St</t>
  </si>
  <si>
    <t>Clay Street Lofts (on hold)</t>
  </si>
  <si>
    <t>Stone Park II</t>
  </si>
  <si>
    <t>The Crossings at Hillcroft</t>
  </si>
  <si>
    <t>Plantation Apts at The Woodlands I</t>
  </si>
  <si>
    <t>The Tradewinds at Willowbrook</t>
  </si>
  <si>
    <t>Grand Harbor Dr</t>
  </si>
  <si>
    <t>Camden Grand Harbor</t>
  </si>
  <si>
    <t>Northpointe Blvd</t>
  </si>
  <si>
    <t>Camden Northpointe</t>
  </si>
  <si>
    <t>Legends on the Green</t>
  </si>
  <si>
    <t>Shavano Ranch Dr</t>
  </si>
  <si>
    <t>Ranch at Shavano Park</t>
  </si>
  <si>
    <t>Villas at Medical Center</t>
  </si>
  <si>
    <t>Block One Condos (on hold)</t>
  </si>
  <si>
    <t>Westinghouse Rd</t>
  </si>
  <si>
    <t>Westinghouse Pointe</t>
  </si>
  <si>
    <t>35 IH</t>
  </si>
  <si>
    <t xml:space="preserve">Rhya Mixed-Use </t>
  </si>
  <si>
    <t>Wyndham Park</t>
  </si>
  <si>
    <t>Bee Caves Pkwy</t>
  </si>
  <si>
    <t>Galleria</t>
  </si>
  <si>
    <t>Belmont Ave</t>
  </si>
  <si>
    <t>Alta Henderson</t>
  </si>
  <si>
    <t>3rd Ave N</t>
  </si>
  <si>
    <t>Heritage Square Apts</t>
  </si>
  <si>
    <t>Revere St</t>
  </si>
  <si>
    <t>La Maison at River Oaks</t>
  </si>
  <si>
    <t>Heights at Lake Forest (On Hold)</t>
  </si>
  <si>
    <t>Maverick Place</t>
  </si>
  <si>
    <t>Collins St N</t>
  </si>
  <si>
    <t>The Viridian Apts (all phases)</t>
  </si>
  <si>
    <t>Dolce Living at Mansfield I</t>
  </si>
  <si>
    <t>Dolce Living at Mansfield II</t>
  </si>
  <si>
    <t>Heritage Pkwy S</t>
  </si>
  <si>
    <t>Dolce Living at Mansfield III</t>
  </si>
  <si>
    <t>Hacienda del Sol</t>
  </si>
  <si>
    <t>Waterford Park</t>
  </si>
  <si>
    <t>County Line Rd W</t>
  </si>
  <si>
    <t>Northaven Rd</t>
  </si>
  <si>
    <t>Northaven Terrace</t>
  </si>
  <si>
    <t>Skyway Villas</t>
  </si>
  <si>
    <t>Pearl W</t>
  </si>
  <si>
    <t>Granbury Heights Apt</t>
  </si>
  <si>
    <t>377 Hwy E</t>
  </si>
  <si>
    <t>The Estates on Lake Granbury</t>
  </si>
  <si>
    <t>Panama Ct</t>
  </si>
  <si>
    <t>Lakeshore Apts</t>
  </si>
  <si>
    <t>Brooklyn Ave</t>
  </si>
  <si>
    <t>Rex Apts (Redevelopment-on hold)</t>
  </si>
  <si>
    <t>Meadows Dr N</t>
  </si>
  <si>
    <t>Granbury Meadows</t>
  </si>
  <si>
    <t>Charterhouse Cir</t>
  </si>
  <si>
    <t>Charterhouse at Lake Pointe</t>
  </si>
  <si>
    <t>2nd St E</t>
  </si>
  <si>
    <t>Bromley Apts</t>
  </si>
  <si>
    <t>Lipan Dr</t>
  </si>
  <si>
    <t>Oaks of Granbury</t>
  </si>
  <si>
    <t>Lake Highlands Town Center Apts</t>
  </si>
  <si>
    <t>The Residences at the Collection</t>
  </si>
  <si>
    <t>Fairway Village</t>
  </si>
  <si>
    <t>287 Hwy Bypass W</t>
  </si>
  <si>
    <t>Martin Luther King Blvd W</t>
  </si>
  <si>
    <t>Cityville at Pearl</t>
  </si>
  <si>
    <t>Villagio Mixed-Use</t>
  </si>
  <si>
    <t>969 FM</t>
  </si>
  <si>
    <t>Villa Muse Mixed-Use (On Hold)</t>
  </si>
  <si>
    <t>Caseta Dr</t>
  </si>
  <si>
    <t>West Oaks Seniors</t>
  </si>
  <si>
    <t>Galileo at 25th Condominiums</t>
  </si>
  <si>
    <t>71 SH W</t>
  </si>
  <si>
    <t>Estancia Apts</t>
  </si>
  <si>
    <t>South Urban Lofts</t>
  </si>
  <si>
    <t>Rivermont Place Apts</t>
  </si>
  <si>
    <t>Walnut Manor</t>
  </si>
  <si>
    <t>William DeHaes</t>
  </si>
  <si>
    <t>Woodland Ridge II</t>
  </si>
  <si>
    <t>West Avenue Apts</t>
  </si>
  <si>
    <t>Gault Ln</t>
  </si>
  <si>
    <t>Ridgecrest Apts</t>
  </si>
  <si>
    <t>The Barcelona Lofts I</t>
  </si>
  <si>
    <t>Memorial by Windsor</t>
  </si>
  <si>
    <t>Kimble St</t>
  </si>
  <si>
    <t>Nueva Vida</t>
  </si>
  <si>
    <t>Newman Rd</t>
  </si>
  <si>
    <t>Blue Star St</t>
  </si>
  <si>
    <t>300-400</t>
  </si>
  <si>
    <t>Big Tex Grain Redevelopment</t>
  </si>
  <si>
    <t>Quarry Hill</t>
  </si>
  <si>
    <t>Cedars Apts</t>
  </si>
  <si>
    <t>Marshall Dr E</t>
  </si>
  <si>
    <t>Donna Lynn Apts</t>
  </si>
  <si>
    <t>Garrett Ave N</t>
  </si>
  <si>
    <t>Garrett Gables</t>
  </si>
  <si>
    <t>South Port II</t>
  </si>
  <si>
    <t>Clarkwood Rd</t>
  </si>
  <si>
    <t>Ridge Parc II</t>
  </si>
  <si>
    <t>The Retreat at Stafford</t>
  </si>
  <si>
    <t>Westminster Square</t>
  </si>
  <si>
    <t>Christian Village Retirement</t>
  </si>
  <si>
    <t>Timberwilde</t>
  </si>
  <si>
    <t>Hereford Apts</t>
  </si>
  <si>
    <t>Trinity St S</t>
  </si>
  <si>
    <t>Sacred Heart Villa</t>
  </si>
  <si>
    <t>Shakespeare St</t>
  </si>
  <si>
    <t>Rice Village Apts (on hold)</t>
  </si>
  <si>
    <t>Quick Hill Rd</t>
  </si>
  <si>
    <t>Broadstone Travesia</t>
  </si>
  <si>
    <t>The ICON at Ross</t>
  </si>
  <si>
    <t>Lago Vista W</t>
  </si>
  <si>
    <t>Portofino at Mercer Crossing</t>
  </si>
  <si>
    <t>Evergreen at Vista Ridge</t>
  </si>
  <si>
    <t>Alta Cobb Hill</t>
  </si>
  <si>
    <t>Gables Park 17</t>
  </si>
  <si>
    <t>Alabama St</t>
  </si>
  <si>
    <t>Gables Upper Kirby III</t>
  </si>
  <si>
    <t>Falcon Park Dr</t>
  </si>
  <si>
    <t>Broadstone Grand Parkway</t>
  </si>
  <si>
    <t>Osborn Ln</t>
  </si>
  <si>
    <t>Mid Towne</t>
  </si>
  <si>
    <t>Monterrey Village</t>
  </si>
  <si>
    <t>Traders Rd</t>
  </si>
  <si>
    <t>Woodland Park at Greenville</t>
  </si>
  <si>
    <t>Norwood St</t>
  </si>
  <si>
    <t>The Lofts at West 7th</t>
  </si>
  <si>
    <t>Amarra Dr</t>
  </si>
  <si>
    <t>Stratus Amarra</t>
  </si>
  <si>
    <t>Saint Johns W</t>
  </si>
  <si>
    <t>Midtown Commons at Crestview Station</t>
  </si>
  <si>
    <t>Hunters Terrace</t>
  </si>
  <si>
    <t>Lakes of Tour 18 (on hold)</t>
  </si>
  <si>
    <t>Hanover BLVD Place</t>
  </si>
  <si>
    <t>1431 FM</t>
  </si>
  <si>
    <t>Cedar Park Town Center Mixed-Use</t>
  </si>
  <si>
    <t>Lemmon Ave</t>
  </si>
  <si>
    <t>Cityville Katy Trail</t>
  </si>
  <si>
    <t>Wheeler St</t>
  </si>
  <si>
    <t>Cityville Oak Park I</t>
  </si>
  <si>
    <t>Travertine Ln</t>
  </si>
  <si>
    <t>AMLI at Fossil Lake</t>
  </si>
  <si>
    <t>Cookscreek Place</t>
  </si>
  <si>
    <t>Cooks Creek Place Apts</t>
  </si>
  <si>
    <t>Wind Dance Apts</t>
  </si>
  <si>
    <t>Palm Village Blvd</t>
  </si>
  <si>
    <t>Hunter's Cove (I, II &amp; II)</t>
  </si>
  <si>
    <t>Gables Upper Kirby II</t>
  </si>
  <si>
    <t>Arbors of Taylor Apts</t>
  </si>
  <si>
    <t>Taylor</t>
  </si>
  <si>
    <t>Sloan St</t>
  </si>
  <si>
    <t>Burnett Place</t>
  </si>
  <si>
    <t>Siesta Place</t>
  </si>
  <si>
    <t>Lamar Ave N</t>
  </si>
  <si>
    <t>Central Park II</t>
  </si>
  <si>
    <t>Legacy Oaks Pkwy</t>
  </si>
  <si>
    <t>Legacy Oaks</t>
  </si>
  <si>
    <t>The 1111</t>
  </si>
  <si>
    <t>Stoneleigh Ella Crossing</t>
  </si>
  <si>
    <t>Kenswick Dr</t>
  </si>
  <si>
    <t>Stoneleigh on Kenswick</t>
  </si>
  <si>
    <t>Haven at Blanco</t>
  </si>
  <si>
    <t>Woodson Park Dr</t>
  </si>
  <si>
    <t>Camden Woodson Park</t>
  </si>
  <si>
    <t>Equinox II</t>
  </si>
  <si>
    <t>Chenevert (on hold)</t>
  </si>
  <si>
    <t>Hunter Terrace</t>
  </si>
  <si>
    <t>Hunter Terrace Apts (delayed)</t>
  </si>
  <si>
    <t>Park 8 Residential Tower I</t>
  </si>
  <si>
    <t>Hawthorne Ridge</t>
  </si>
  <si>
    <t>The Retreat at Country Club</t>
  </si>
  <si>
    <t>West End Ranch</t>
  </si>
  <si>
    <t>34th St N</t>
  </si>
  <si>
    <t>Mansions at Moses Lake</t>
  </si>
  <si>
    <t>John King Blvd S</t>
  </si>
  <si>
    <t>The Mansions of Rockwall</t>
  </si>
  <si>
    <t>The Avery on Southwestern</t>
  </si>
  <si>
    <t>Brick Row</t>
  </si>
  <si>
    <t>Brick Row Urban Village</t>
  </si>
  <si>
    <t>Windsor Park Low-Income Housing</t>
  </si>
  <si>
    <t>Gables 5th Street Commons</t>
  </si>
  <si>
    <t>Camden Amber Oaks II</t>
  </si>
  <si>
    <t>Via La Cantera</t>
  </si>
  <si>
    <t>The Residences at La Cantera</t>
  </si>
  <si>
    <t>High View Place</t>
  </si>
  <si>
    <t>Broadstone 2525</t>
  </si>
  <si>
    <t>Post Oak Park Dr</t>
  </si>
  <si>
    <t>Gables Post Oak</t>
  </si>
  <si>
    <t>Kings Park</t>
  </si>
  <si>
    <t>Regatta III</t>
  </si>
  <si>
    <t>Sequoia Cable Ranch</t>
  </si>
  <si>
    <t>Memorial Ln</t>
  </si>
  <si>
    <t>Tribeca</t>
  </si>
  <si>
    <t>Alexan Woods</t>
  </si>
  <si>
    <t>Jones Maltsberger Rd</t>
  </si>
  <si>
    <t>Remington Ranch</t>
  </si>
  <si>
    <t>Rocky Falls Rd</t>
  </si>
  <si>
    <t>Rocky Falls Apts</t>
  </si>
  <si>
    <t>Michael Dr</t>
  </si>
  <si>
    <t>Veraison Village</t>
  </si>
  <si>
    <t>The District at Greenville</t>
  </si>
  <si>
    <t>Lullwater Dr</t>
  </si>
  <si>
    <t>Churchill Estates at Lake Highlands</t>
  </si>
  <si>
    <t>Union Station Pkwy</t>
  </si>
  <si>
    <t>Hebron 121 Station IA-West Indies Village</t>
  </si>
  <si>
    <t>Miramonte Villas</t>
  </si>
  <si>
    <t>The Reserve at UTSA</t>
  </si>
  <si>
    <t>Colonial Lakes Dr</t>
  </si>
  <si>
    <t>The Reserve at Colonial Lakes</t>
  </si>
  <si>
    <t>Gables Memorial Hills</t>
  </si>
  <si>
    <t>Colony Lake Estates Dr</t>
  </si>
  <si>
    <t>Lakeland Estates</t>
  </si>
  <si>
    <t>The Lodge at Spring Shadows II</t>
  </si>
  <si>
    <t>Water St</t>
  </si>
  <si>
    <t>ARIUM Edgewater</t>
  </si>
  <si>
    <t>Camden Cypress Creek</t>
  </si>
  <si>
    <t>Cobblestone Park II</t>
  </si>
  <si>
    <t>Fountains Ln</t>
  </si>
  <si>
    <t>The Fountains of Conroe</t>
  </si>
  <si>
    <t>528 FM</t>
  </si>
  <si>
    <t>The Gardens at Challenger Park</t>
  </si>
  <si>
    <t>Forest Center Dr</t>
  </si>
  <si>
    <t>Villas of Kingwood</t>
  </si>
  <si>
    <t>Summer Brooke</t>
  </si>
  <si>
    <t>Carrington at Champion Forest</t>
  </si>
  <si>
    <t>Wynhaven at Cypress Station</t>
  </si>
  <si>
    <t>Laurelwoode</t>
  </si>
  <si>
    <t>Panther Creek Pkwy</t>
  </si>
  <si>
    <t>Camden Panther Creek</t>
  </si>
  <si>
    <t>Camden Shadow Brook II</t>
  </si>
  <si>
    <t>Colonial Grand at Wells Branch</t>
  </si>
  <si>
    <t>Brushy Creek Rd</t>
  </si>
  <si>
    <t>Camden Brushy Creek</t>
  </si>
  <si>
    <t>Inman Dr</t>
  </si>
  <si>
    <t>Forum at Denton Station</t>
  </si>
  <si>
    <t>McCabe Rd</t>
  </si>
  <si>
    <t>Preserve at Taylor Bayou</t>
  </si>
  <si>
    <t>Point Lookout Dr</t>
  </si>
  <si>
    <t>Voyager at the Space Center</t>
  </si>
  <si>
    <t>Roxbury Dr</t>
  </si>
  <si>
    <t>Alta Roxbury</t>
  </si>
  <si>
    <t>Lebanon Ridge</t>
  </si>
  <si>
    <t>Gran Via</t>
  </si>
  <si>
    <t>Escena Las Colinas</t>
  </si>
  <si>
    <t>River Ridge Pkwy E</t>
  </si>
  <si>
    <t>University Heights San Marcos II</t>
  </si>
  <si>
    <t>Legacy of Cedar Hill III</t>
  </si>
  <si>
    <t>Sayle St</t>
  </si>
  <si>
    <t>Sayle Village</t>
  </si>
  <si>
    <t>Park Avenue at Boulder Creek II</t>
  </si>
  <si>
    <t>15777 Quorum</t>
  </si>
  <si>
    <t>The Estates at Southpark Meadows</t>
  </si>
  <si>
    <t>The Terraces at Southpark Meadows</t>
  </si>
  <si>
    <t>Mercantile Place-The Element</t>
  </si>
  <si>
    <t>Century Parmer Place</t>
  </si>
  <si>
    <t>Center St</t>
  </si>
  <si>
    <t>Providence Town Square</t>
  </si>
  <si>
    <t>Cinco Village Center Blvd</t>
  </si>
  <si>
    <t>The Solana at Cinco Ranch</t>
  </si>
  <si>
    <t>Eldorado W</t>
  </si>
  <si>
    <t>Lakeside Manor</t>
  </si>
  <si>
    <t>Little Elm</t>
  </si>
  <si>
    <t>Newcastle Dr</t>
  </si>
  <si>
    <t>The Marquis at Bellaire</t>
  </si>
  <si>
    <t>The Quarters at Karnes House</t>
  </si>
  <si>
    <t>Cesar Chavez W</t>
  </si>
  <si>
    <t>Gables Park Plaza II</t>
  </si>
  <si>
    <t>The Barcelona Lofts II</t>
  </si>
  <si>
    <t>Rosa Vista Apts</t>
  </si>
  <si>
    <t>Macarthur Blvd S</t>
  </si>
  <si>
    <t>MacArthur Square</t>
  </si>
  <si>
    <t>Franz Rd</t>
  </si>
  <si>
    <t>The Grand Parkway</t>
  </si>
  <si>
    <t>The Lofts at Wolf Pen Creek</t>
  </si>
  <si>
    <t>7714-1</t>
  </si>
  <si>
    <t>Lackland City Apts</t>
  </si>
  <si>
    <t>Project Green Senior Living</t>
  </si>
  <si>
    <t>Project Green Apt Towers</t>
  </si>
  <si>
    <t>Project Green Condo Towers</t>
  </si>
  <si>
    <t>Guadalupe St S</t>
  </si>
  <si>
    <t>Sundance Square</t>
  </si>
  <si>
    <t>Bennet Ave</t>
  </si>
  <si>
    <t>The Belmont Apts</t>
  </si>
  <si>
    <t>Phillips at Mckinney Ranch</t>
  </si>
  <si>
    <t>5th St N</t>
  </si>
  <si>
    <t>Oaks 5th Street Crossing</t>
  </si>
  <si>
    <t>Gables Uptown Trail</t>
  </si>
  <si>
    <t>15th St</t>
  </si>
  <si>
    <t>15th &amp; I</t>
  </si>
  <si>
    <t>Alexan Legacy Oaks</t>
  </si>
  <si>
    <t>Franklin Park at Sonterra</t>
  </si>
  <si>
    <t>Franklin Park at Alamo Heights</t>
  </si>
  <si>
    <t>Oltorf E</t>
  </si>
  <si>
    <t>District at SoCo</t>
  </si>
  <si>
    <t>The Mansions of Rockwall Active Adult Living</t>
  </si>
  <si>
    <t>Tribeca Ln</t>
  </si>
  <si>
    <t>The Encore</t>
  </si>
  <si>
    <t>Colony Townhouse Apts I</t>
  </si>
  <si>
    <t>Oak Lawn Ave</t>
  </si>
  <si>
    <t>Camden Design District</t>
  </si>
  <si>
    <t>Raceway Dr</t>
  </si>
  <si>
    <t>Dry Creek Ranch</t>
  </si>
  <si>
    <t>The Residences at Pearland Town Center II</t>
  </si>
  <si>
    <t>The Residences at Pearland Town Center I</t>
  </si>
  <si>
    <t>Harry Wurzbach Rd</t>
  </si>
  <si>
    <t>Village at Oakwell Farms</t>
  </si>
  <si>
    <t>The Lofts at Watters Creek II</t>
  </si>
  <si>
    <t>Oak Grove Rd</t>
  </si>
  <si>
    <t>Woodmont AH</t>
  </si>
  <si>
    <t>The Timbers on Broadway</t>
  </si>
  <si>
    <t>Archstone Toscano West University</t>
  </si>
  <si>
    <t>Detroit St</t>
  </si>
  <si>
    <t>Sterling Square</t>
  </si>
  <si>
    <t>House 2500</t>
  </si>
  <si>
    <t>Pendleton</t>
  </si>
  <si>
    <t>Park Hudson Place</t>
  </si>
  <si>
    <t>Park Hudson Place II</t>
  </si>
  <si>
    <t>Plantation Apts at The Woodlands II</t>
  </si>
  <si>
    <t>Ranch House</t>
  </si>
  <si>
    <t>Town Center Dr</t>
  </si>
  <si>
    <t>Mansions at Stone Hill</t>
  </si>
  <si>
    <t>Pecan St (1825 FM)</t>
  </si>
  <si>
    <t>Pflugerville Town Square Apts</t>
  </si>
  <si>
    <t>Circle West Campus</t>
  </si>
  <si>
    <t>Colonial Grand at Cityway II</t>
  </si>
  <si>
    <t>Cabela's Dr</t>
  </si>
  <si>
    <t>1300 Blk</t>
  </si>
  <si>
    <t>Provident Buda</t>
  </si>
  <si>
    <t>Firecracker Dr</t>
  </si>
  <si>
    <t>967 RR N</t>
  </si>
  <si>
    <t>Creekside Villas Senior Village</t>
  </si>
  <si>
    <t>TownePlace Reserve</t>
  </si>
  <si>
    <t>Abner Jackson Blvd</t>
  </si>
  <si>
    <t>Jackson Village Retirement Center</t>
  </si>
  <si>
    <t>Sakowitz St</t>
  </si>
  <si>
    <t>2424 Sakowitz</t>
  </si>
  <si>
    <t>HomeTowne on Wayside</t>
  </si>
  <si>
    <t>Fox Hill Apts</t>
  </si>
  <si>
    <t>Hasler Blvd N</t>
  </si>
  <si>
    <t>Fairwood Commons</t>
  </si>
  <si>
    <t>Reed Road Apts (on hold)</t>
  </si>
  <si>
    <t>Dolphin Rd</t>
  </si>
  <si>
    <t>Carpenter's Point</t>
  </si>
  <si>
    <t>Village at Lakewest I &amp; II</t>
  </si>
  <si>
    <t>Raiford Rd</t>
  </si>
  <si>
    <t>Villas on Raiford</t>
  </si>
  <si>
    <t>Josey Ln N</t>
  </si>
  <si>
    <t>Lakeview at Josey Ranch</t>
  </si>
  <si>
    <t>Heritage Crossing</t>
  </si>
  <si>
    <t>Fran Way</t>
  </si>
  <si>
    <t>Fiji Senior Villas</t>
  </si>
  <si>
    <t>Morningstar Blvd</t>
  </si>
  <si>
    <t>Evergreen at Morningstar</t>
  </si>
  <si>
    <t>Round Grove Rd W</t>
  </si>
  <si>
    <t>Crest Manor</t>
  </si>
  <si>
    <t>Heritage Park Vista</t>
  </si>
  <si>
    <t>Watermark Blvd</t>
  </si>
  <si>
    <t>The Point at Waterview</t>
  </si>
  <si>
    <t>Cityville Oak Park II</t>
  </si>
  <si>
    <t>Haskell Ave N</t>
  </si>
  <si>
    <t>Cityville CityPlace</t>
  </si>
  <si>
    <t>1431 FM (Whitestone Blvd E)</t>
  </si>
  <si>
    <t>Landmark of Cedar Park</t>
  </si>
  <si>
    <t>Brazos Ranch Apts II (on hold)</t>
  </si>
  <si>
    <t>TC Jester</t>
  </si>
  <si>
    <t>Northgate Oaks</t>
  </si>
  <si>
    <t>Vantage at Cityview</t>
  </si>
  <si>
    <t>Garden Ridge Blvd N</t>
  </si>
  <si>
    <t>Franklin Park at Lewisville</t>
  </si>
  <si>
    <t>Swenson Farms Blvd</t>
  </si>
  <si>
    <t>Adaigo Swenson Farms</t>
  </si>
  <si>
    <t>AW Grimes N</t>
  </si>
  <si>
    <t>Century Palm Valley</t>
  </si>
  <si>
    <t>2222 FM</t>
  </si>
  <si>
    <t>Alexan Vistas</t>
  </si>
  <si>
    <t>Klatten Hoff Dr</t>
  </si>
  <si>
    <t>Alexan Star Ranch</t>
  </si>
  <si>
    <t>Hutto</t>
  </si>
  <si>
    <t>Harvey Mitchell Pkwy</t>
  </si>
  <si>
    <t>Parkway Place</t>
  </si>
  <si>
    <t>Plantation Royal Apts</t>
  </si>
  <si>
    <t>IMT Anderson Mill</t>
  </si>
  <si>
    <t>The Residence at Lake Jackson II</t>
  </si>
  <si>
    <t>Palms at Cinco Ranch</t>
  </si>
  <si>
    <t>The Haven at The Rim</t>
  </si>
  <si>
    <t>Verde Culebra</t>
  </si>
  <si>
    <t>Evans Rd</t>
  </si>
  <si>
    <t>The Mirabella</t>
  </si>
  <si>
    <t>Savoye (Vitruvian Park I)</t>
  </si>
  <si>
    <t>Bozeman Dr</t>
  </si>
  <si>
    <t>Parkside at Legacy</t>
  </si>
  <si>
    <t>Lakewood Flats</t>
  </si>
  <si>
    <t>Park 8 Residential Tower II</t>
  </si>
  <si>
    <t>Park 8 Residential Tower III</t>
  </si>
  <si>
    <t>21st St W</t>
  </si>
  <si>
    <t>Z Islander</t>
  </si>
  <si>
    <t>The Southwestern</t>
  </si>
  <si>
    <t>Toomey Rd</t>
  </si>
  <si>
    <t>Coldwater</t>
  </si>
  <si>
    <t>Cresta Avenida</t>
  </si>
  <si>
    <t>Belleza at Cresta Bella</t>
  </si>
  <si>
    <t>Somerset Rd Apts</t>
  </si>
  <si>
    <t>Devine Rd</t>
  </si>
  <si>
    <t>Devine Condominiums</t>
  </si>
  <si>
    <t>Portico at West 8, II</t>
  </si>
  <si>
    <t>Estancia at Ridgeview Ranch I</t>
  </si>
  <si>
    <t>Howell St</t>
  </si>
  <si>
    <t>AMLI Quadrangle</t>
  </si>
  <si>
    <t>Costa Mariposa</t>
  </si>
  <si>
    <t>Greenhaven</t>
  </si>
  <si>
    <t>Wintergreen Rd W</t>
  </si>
  <si>
    <t>Bridgemoor at DeSoto</t>
  </si>
  <si>
    <t>Grassmere Ln</t>
  </si>
  <si>
    <t>The Retreat at Stonebridge Ranch</t>
  </si>
  <si>
    <t>Elan Gardens</t>
  </si>
  <si>
    <t>Cobia Dr</t>
  </si>
  <si>
    <t>Verona at the Reserve</t>
  </si>
  <si>
    <t>Preserve at Baywood</t>
  </si>
  <si>
    <t>Studemont St</t>
  </si>
  <si>
    <t>Verde Studemont</t>
  </si>
  <si>
    <t>Space Center Plaza Apts</t>
  </si>
  <si>
    <t>288 Hwy</t>
  </si>
  <si>
    <t>WaterLights District Mixed Use</t>
  </si>
  <si>
    <t>South Shore District</t>
  </si>
  <si>
    <t>1825 FM (Pecan St)</t>
  </si>
  <si>
    <t>Pacana Mixed Use aka Pecan Street Plaza</t>
  </si>
  <si>
    <t>79 US</t>
  </si>
  <si>
    <t>The Crossings of Carmel Creek</t>
  </si>
  <si>
    <t>Two Rivers</t>
  </si>
  <si>
    <t>337 Block Loop</t>
  </si>
  <si>
    <t>2500-2600</t>
  </si>
  <si>
    <t>Stone Canyons</t>
  </si>
  <si>
    <t>Avery Ranch Rd</t>
  </si>
  <si>
    <t>Pearson Place Apts</t>
  </si>
  <si>
    <t>Slaughter Ln</t>
  </si>
  <si>
    <t>Goodnight Ranch Mixed Use</t>
  </si>
  <si>
    <t>Camden Lamar Heights</t>
  </si>
  <si>
    <t>South First &amp; Cumberland Condos</t>
  </si>
  <si>
    <t>Midtown Park</t>
  </si>
  <si>
    <t>Estates at Stone Crossing Condos</t>
  </si>
  <si>
    <t>Chancellor Huebner Road Apts</t>
  </si>
  <si>
    <t>Kittyhawk Rd</t>
  </si>
  <si>
    <t>Vantage at Kitty Hawk</t>
  </si>
  <si>
    <t>Lone Star Blvd</t>
  </si>
  <si>
    <t>Lone Star Brewery Redevelopment</t>
  </si>
  <si>
    <t>Waterford Place at Riata Ranch</t>
  </si>
  <si>
    <t>Gallery 1701</t>
  </si>
  <si>
    <t>Holley Pkwy</t>
  </si>
  <si>
    <t>The Haven at Western Center</t>
  </si>
  <si>
    <t>Boat Club Dr</t>
  </si>
  <si>
    <t>Villa Lago</t>
  </si>
  <si>
    <t>Scenic Vista Dr</t>
  </si>
  <si>
    <t>Westpoint at Scenic Vista</t>
  </si>
  <si>
    <t>21 Forty Medical District</t>
  </si>
  <si>
    <t>Alexan City North</t>
  </si>
  <si>
    <t>Amberley Ridge</t>
  </si>
  <si>
    <t>Crystal Falls Pkwy</t>
  </si>
  <si>
    <t>Crystal Falls Village</t>
  </si>
  <si>
    <t>Waterway Ave</t>
  </si>
  <si>
    <t>The Millennium Waterway</t>
  </si>
  <si>
    <t>Lakeline Oaks</t>
  </si>
  <si>
    <t>Highland Estates</t>
  </si>
  <si>
    <t>Lamar Sq Dr</t>
  </si>
  <si>
    <t>Lake Creek Pkwy N</t>
  </si>
  <si>
    <t>Platinum Lakeline</t>
  </si>
  <si>
    <t>The Preserve on Fredericksburg</t>
  </si>
  <si>
    <t>Burnett St</t>
  </si>
  <si>
    <t>Hardy Yards Redevelopment</t>
  </si>
  <si>
    <t>Cockrell Hill Rd N</t>
  </si>
  <si>
    <t>Pinnacle Ridge Apts II</t>
  </si>
  <si>
    <t>Madison Ave S</t>
  </si>
  <si>
    <t>Notre Dame Court Senior Housing</t>
  </si>
  <si>
    <t>Las Colinas Blvd W</t>
  </si>
  <si>
    <t>Monterra at Las Colinas</t>
  </si>
  <si>
    <t>361 Hwy S</t>
  </si>
  <si>
    <t>Legends at Lowe's Farm</t>
  </si>
  <si>
    <t>Centre Station Dr</t>
  </si>
  <si>
    <t>Broadstone Centreport</t>
  </si>
  <si>
    <t>SMU Blvd</t>
  </si>
  <si>
    <t>The Shelby</t>
  </si>
  <si>
    <t>The BLVD</t>
  </si>
  <si>
    <t>Glen at Preston Hollow Apts</t>
  </si>
  <si>
    <t>Uptown Blvd</t>
  </si>
  <si>
    <t>Forestar Uptown Cedar Hill</t>
  </si>
  <si>
    <t>Berkshire SoCo</t>
  </si>
  <si>
    <t>Red River Flats</t>
  </si>
  <si>
    <t>Addison Rd</t>
  </si>
  <si>
    <t>ALARA Villages of Addison</t>
  </si>
  <si>
    <t>San Jose Apts</t>
  </si>
  <si>
    <t>11th St</t>
  </si>
  <si>
    <t>Santa Fe Plaza</t>
  </si>
  <si>
    <t>Gardens at Clearwater</t>
  </si>
  <si>
    <t>517 FM</t>
  </si>
  <si>
    <t>1100 Blk</t>
  </si>
  <si>
    <t>Mariposa at Bay Colony</t>
  </si>
  <si>
    <t>Horizon Meadows</t>
  </si>
  <si>
    <t>Mariposa at Ella Boulevard</t>
  </si>
  <si>
    <t>Sam Houston Pkwy N</t>
  </si>
  <si>
    <t>Sierra Meadows</t>
  </si>
  <si>
    <t>Trebah Village</t>
  </si>
  <si>
    <t>Mason Rd N</t>
  </si>
  <si>
    <t>Mason Senior AH</t>
  </si>
  <si>
    <t>Camden Riverwalk II, The Estates</t>
  </si>
  <si>
    <t>Rio Verde</t>
  </si>
  <si>
    <t>The Villages at Meyerland I</t>
  </si>
  <si>
    <t>The Villages at Meyerland III</t>
  </si>
  <si>
    <t>Mansions at Hastings Green Senior Housing</t>
  </si>
  <si>
    <t>Chelsea Senior Community</t>
  </si>
  <si>
    <t>Santos St</t>
  </si>
  <si>
    <t>HemisView Village</t>
  </si>
  <si>
    <t>Foster Rd N</t>
  </si>
  <si>
    <t>Montabella Pointe</t>
  </si>
  <si>
    <t>The Courts at Riverbend</t>
  </si>
  <si>
    <t>Purgatory Creek</t>
  </si>
  <si>
    <t>Encino Pointe</t>
  </si>
  <si>
    <t>Wildflower Terrace Senior Apts</t>
  </si>
  <si>
    <t>Crestshire Village</t>
  </si>
  <si>
    <t>Mayfield Rd W</t>
  </si>
  <si>
    <t>Belleza Senior Apts</t>
  </si>
  <si>
    <t>Basswood Blvd</t>
  </si>
  <si>
    <t>Alta Fossil Creek</t>
  </si>
  <si>
    <t>Hi Line Dr</t>
  </si>
  <si>
    <t>Alta 1900 Lofts</t>
  </si>
  <si>
    <t>Alta Crossing</t>
  </si>
  <si>
    <t>Alta Pine Forest</t>
  </si>
  <si>
    <t>Broadstone Stonebriar</t>
  </si>
  <si>
    <t>Leora Ln</t>
  </si>
  <si>
    <t>Bella Madera at Lake Lewisville</t>
  </si>
  <si>
    <t>Polk St S</t>
  </si>
  <si>
    <t>Greenside Dr</t>
  </si>
  <si>
    <t>The Pradera</t>
  </si>
  <si>
    <t>Bilsky Bay Dr</t>
  </si>
  <si>
    <t>Republic Deer Creek</t>
  </si>
  <si>
    <t>Parker Rd</t>
  </si>
  <si>
    <t xml:space="preserve">Castle Hills Apts </t>
  </si>
  <si>
    <t>The Lofts at Addison Place</t>
  </si>
  <si>
    <t>Center Ridge Dr</t>
  </si>
  <si>
    <t>Bella Springs at Tech Ridge</t>
  </si>
  <si>
    <t>Kensington Crossings</t>
  </si>
  <si>
    <t>Carlingford I</t>
  </si>
  <si>
    <t>Highmeadow Dr</t>
  </si>
  <si>
    <t>The Ava</t>
  </si>
  <si>
    <t>Post Oak Rd N</t>
  </si>
  <si>
    <t>North Post Oak Lofts</t>
  </si>
  <si>
    <t>McCreary Rd</t>
  </si>
  <si>
    <t>Evergreen at Wylie</t>
  </si>
  <si>
    <t>Lake Robbins Dr</t>
  </si>
  <si>
    <t>The Village at The Woodlands Waterway</t>
  </si>
  <si>
    <t>The Falls at Westover Hills</t>
  </si>
  <si>
    <t>Eckhert Rd</t>
  </si>
  <si>
    <t>The Abbey at Grande Oaks</t>
  </si>
  <si>
    <t>1488 FM</t>
  </si>
  <si>
    <t>Foundations at Woodland</t>
  </si>
  <si>
    <t>Regency in the Forest</t>
  </si>
  <si>
    <t>Overlook Pkwy</t>
  </si>
  <si>
    <t>The Estates at Lookout Canyon</t>
  </si>
  <si>
    <t>The Mansions at Canyon Springs</t>
  </si>
  <si>
    <t>Bulverde Dr</t>
  </si>
  <si>
    <t>The Mansions at TPC</t>
  </si>
  <si>
    <t>TPC Pkwy (Cibolo Canyon)</t>
  </si>
  <si>
    <t>Towers at TPC</t>
  </si>
  <si>
    <t>The Estates at Crown Ridge</t>
  </si>
  <si>
    <t>Winterfield Dr</t>
  </si>
  <si>
    <t>The Mansions at Star Ranch Country Club</t>
  </si>
  <si>
    <t>The Estates of McKinney</t>
  </si>
  <si>
    <t>Lovers Ln W</t>
  </si>
  <si>
    <t>AMLI South Shore</t>
  </si>
  <si>
    <t>2243 Old W</t>
  </si>
  <si>
    <t>Leander Station Senior Village</t>
  </si>
  <si>
    <t>4002-4004</t>
  </si>
  <si>
    <t>Pioneer Court</t>
  </si>
  <si>
    <t>Martin Luther King Jr Blvd E</t>
  </si>
  <si>
    <t>M Station</t>
  </si>
  <si>
    <t>Cleveland St</t>
  </si>
  <si>
    <t>Gateway at Denton</t>
  </si>
  <si>
    <t>Yorktown Crossing Pkwy</t>
  </si>
  <si>
    <t>Yorktown Crossing</t>
  </si>
  <si>
    <t>McDonald Rd</t>
  </si>
  <si>
    <t>Cedar Trails</t>
  </si>
  <si>
    <t>Calloway Rd</t>
  </si>
  <si>
    <t>Paluxy Dr</t>
  </si>
  <si>
    <t>StoneBrook</t>
  </si>
  <si>
    <t>Cumberland Rd W</t>
  </si>
  <si>
    <t>Cumberland Place</t>
  </si>
  <si>
    <t>Joe Ramsey Blvd</t>
  </si>
  <si>
    <t>CR 272 (Adam Henry Rd)</t>
  </si>
  <si>
    <t>The Reserve</t>
  </si>
  <si>
    <t>Chadwick Pkwy</t>
  </si>
  <si>
    <t>Chadwick Apts</t>
  </si>
  <si>
    <t>Cromwell Dr</t>
  </si>
  <si>
    <t>Vantage at Plum Creek</t>
  </si>
  <si>
    <t>Presidio Vista Dr</t>
  </si>
  <si>
    <t>The Wyatt at Presidio Junction</t>
  </si>
  <si>
    <t>Presidio Junction Apts II</t>
  </si>
  <si>
    <t>323 Loop SE S</t>
  </si>
  <si>
    <t>Aspen Place</t>
  </si>
  <si>
    <t>Paluxy</t>
  </si>
  <si>
    <t>Troup Hwy (Hwy 110)</t>
  </si>
  <si>
    <t>The Dylan Residences</t>
  </si>
  <si>
    <t>Riverside Villas</t>
  </si>
  <si>
    <t>Shady Shores Rd</t>
  </si>
  <si>
    <t>The Lodge at Pecan Creek</t>
  </si>
  <si>
    <t>Old Angleton Rd</t>
  </si>
  <si>
    <t>Casa Brazoria</t>
  </si>
  <si>
    <t>Calaveras St S</t>
  </si>
  <si>
    <t>San Juan Square II</t>
  </si>
  <si>
    <t>Four Seasons Ln</t>
  </si>
  <si>
    <t>Four Seasons at Clear Creek</t>
  </si>
  <si>
    <t>Masch Branch Rd</t>
  </si>
  <si>
    <t>Estate Villas at Krum</t>
  </si>
  <si>
    <t>Krum</t>
  </si>
  <si>
    <t>AMLI 5350</t>
  </si>
  <si>
    <t>AW Grimes Blvd S</t>
  </si>
  <si>
    <t>Colonial Grand at Ashton Oaks</t>
  </si>
  <si>
    <t>University Blvd</t>
  </si>
  <si>
    <t>Fairway Knoll at Teravista</t>
  </si>
  <si>
    <t>Hidden Valley Dr</t>
  </si>
  <si>
    <t>The Park at Brushy Creek</t>
  </si>
  <si>
    <t>The Trails at Crystal Park</t>
  </si>
  <si>
    <t>Escalante</t>
  </si>
  <si>
    <t>Galicia Ln</t>
  </si>
  <si>
    <t>Verona Villas</t>
  </si>
  <si>
    <t>Crow Ln</t>
  </si>
  <si>
    <t>The Retreat at North Bluff</t>
  </si>
  <si>
    <t>Avalon Place</t>
  </si>
  <si>
    <t>The Woodlands of College Station</t>
  </si>
  <si>
    <t>Mill Stone</t>
  </si>
  <si>
    <t>Tennessee St S</t>
  </si>
  <si>
    <t>Merritt Homes</t>
  </si>
  <si>
    <t>Tuscany Villas at Chase Oaks</t>
  </si>
  <si>
    <t>Patrol Way</t>
  </si>
  <si>
    <t>Magnolia Trace</t>
  </si>
  <si>
    <t>Village on the Creek</t>
  </si>
  <si>
    <t>Katy Fort Bend Rd</t>
  </si>
  <si>
    <t>The Marquis at Katy</t>
  </si>
  <si>
    <t>ARIUM Fall Creek</t>
  </si>
  <si>
    <t>Pecan St S</t>
  </si>
  <si>
    <t>Johnson Creek Crossing</t>
  </si>
  <si>
    <t>Vitruvian Way</t>
  </si>
  <si>
    <t>Savoye Squared (Vitruvian Park II)</t>
  </si>
  <si>
    <t>The Discovery at Mandolin</t>
  </si>
  <si>
    <t>The Discovery at Shadow Creek Ranch</t>
  </si>
  <si>
    <t>Midpark Rd</t>
  </si>
  <si>
    <t>Midpark Towers</t>
  </si>
  <si>
    <t>Yager Ln E</t>
  </si>
  <si>
    <t>ARIUM Tech Ridge</t>
  </si>
  <si>
    <t>Lincoln Park at Trinity Bluff TH</t>
  </si>
  <si>
    <t>Cinco Terrace Dr</t>
  </si>
  <si>
    <t>Park at Cinco Ranch</t>
  </si>
  <si>
    <t>Vistacourt Dr</t>
  </si>
  <si>
    <t>Alsbury Blvd SW</t>
  </si>
  <si>
    <t>Encore Alsbury</t>
  </si>
  <si>
    <t>The Sanctuary Lofts</t>
  </si>
  <si>
    <t>Park Central Dr</t>
  </si>
  <si>
    <t>Parkview Legends</t>
  </si>
  <si>
    <t>Cotton Crossing</t>
  </si>
  <si>
    <t>Lookout Hollow Cir</t>
  </si>
  <si>
    <t>Lookout Hollow</t>
  </si>
  <si>
    <t>Boardwalk Med Center</t>
  </si>
  <si>
    <t>39th St SW</t>
  </si>
  <si>
    <t>Casitas de Villa Corona Senior Housing</t>
  </si>
  <si>
    <t>The Orchard at Garden Oaks</t>
  </si>
  <si>
    <t>Floral Gardens</t>
  </si>
  <si>
    <t>Irvington Blvd</t>
  </si>
  <si>
    <t>Avenue Terrace</t>
  </si>
  <si>
    <t>Northline Dr</t>
  </si>
  <si>
    <t>Northline AH</t>
  </si>
  <si>
    <t>Campanile on Eldridge</t>
  </si>
  <si>
    <t>Minnesota St</t>
  </si>
  <si>
    <t>Sterling Court Senior Residences</t>
  </si>
  <si>
    <t>Greenhouse Village</t>
  </si>
  <si>
    <t>South Acres Ranch II</t>
  </si>
  <si>
    <t>Brownstone Place</t>
  </si>
  <si>
    <t>Pearland Senior Village</t>
  </si>
  <si>
    <t>Hebron 121 Station II- Tuscan Village</t>
  </si>
  <si>
    <t>Hebron 121 Station III-Southern Coastal Village</t>
  </si>
  <si>
    <t>Lakecrest View Dr</t>
  </si>
  <si>
    <t>The Lakeview Lofts</t>
  </si>
  <si>
    <t>Barker-Clodine Rd</t>
  </si>
  <si>
    <t>Carroll at Green Trails</t>
  </si>
  <si>
    <t>Waterford on Westheimer</t>
  </si>
  <si>
    <t>Dakota Ranch</t>
  </si>
  <si>
    <t>Villas at Babcock</t>
  </si>
  <si>
    <t>Grand Villas</t>
  </si>
  <si>
    <t>Egret Bay Blvd S</t>
  </si>
  <si>
    <t>Grand Villas at Tuscan Lakes</t>
  </si>
  <si>
    <t>Chenevert St</t>
  </si>
  <si>
    <t>Midtown Grove</t>
  </si>
  <si>
    <t>Campus Village at College Station</t>
  </si>
  <si>
    <t>Oakenwald St E</t>
  </si>
  <si>
    <t>Zang Triangle</t>
  </si>
  <si>
    <t>Dallas St W</t>
  </si>
  <si>
    <t>2900 West Dallas</t>
  </si>
  <si>
    <t>Bee St</t>
  </si>
  <si>
    <t>Pike St Apts</t>
  </si>
  <si>
    <t>Delaware St S</t>
  </si>
  <si>
    <t>Delaware Street TH</t>
  </si>
  <si>
    <t>Kiest Blvd E</t>
  </si>
  <si>
    <t>MF Housing Development at Cedar Glen I</t>
  </si>
  <si>
    <t>MF Housing Development at Cedar Glen II</t>
  </si>
  <si>
    <t>Pinnacle Park Blvd</t>
  </si>
  <si>
    <t>Taylors Farm</t>
  </si>
  <si>
    <t>156 FM S</t>
  </si>
  <si>
    <t>Estate Villas of Justin</t>
  </si>
  <si>
    <t>Justin</t>
  </si>
  <si>
    <t>Oak St W</t>
  </si>
  <si>
    <t>Sterling Fry Street</t>
  </si>
  <si>
    <t>Corinth Dr S</t>
  </si>
  <si>
    <t>The Boulevard Corinth</t>
  </si>
  <si>
    <t>Broadway Dr</t>
  </si>
  <si>
    <t>Park Central at Flower Mound</t>
  </si>
  <si>
    <t>Fort Worth Dr</t>
  </si>
  <si>
    <t>The Grove at Denton</t>
  </si>
  <si>
    <t>Colonial Grand at Hebron</t>
  </si>
  <si>
    <t>Skytop</t>
  </si>
  <si>
    <t>Carmel Canyon</t>
  </si>
  <si>
    <t>Avalon at Kessler Park</t>
  </si>
  <si>
    <t>The Orleans at La Reunion</t>
  </si>
  <si>
    <t>Courtyards at La Reunion</t>
  </si>
  <si>
    <t>Carroll at Shadow Creek Ranch</t>
  </si>
  <si>
    <t>67 Hwy E</t>
  </si>
  <si>
    <t>Bella Ruscello</t>
  </si>
  <si>
    <t>Alamo Ranch Pkwy</t>
  </si>
  <si>
    <t>Alamo Ranch</t>
  </si>
  <si>
    <t>Gaylord Dr</t>
  </si>
  <si>
    <t>The Fountains at Memorial City</t>
  </si>
  <si>
    <t>Legends at Cinco Ranch II</t>
  </si>
  <si>
    <t>Mill St</t>
  </si>
  <si>
    <t>Copper Beech</t>
  </si>
  <si>
    <t>Hillcrest Ln</t>
  </si>
  <si>
    <t>San Gabriel Crossing</t>
  </si>
  <si>
    <t>Liberty Hill</t>
  </si>
  <si>
    <t>Fountain Spring</t>
  </si>
  <si>
    <t>Fiori (Vitruvian Park III)</t>
  </si>
  <si>
    <t>Hunter's Cove</t>
  </si>
  <si>
    <t>Canfield St</t>
  </si>
  <si>
    <t>Twelve Canfield Place</t>
  </si>
  <si>
    <t>Southmore Blvd</t>
  </si>
  <si>
    <t>Southmore Gardens</t>
  </si>
  <si>
    <t>Glade Rd W</t>
  </si>
  <si>
    <t>Glade Corners</t>
  </si>
  <si>
    <t>Austin Ranch V-Blvd</t>
  </si>
  <si>
    <t>Fayridge Dr</t>
  </si>
  <si>
    <t>Cypress Creek at Fayridge Drive</t>
  </si>
  <si>
    <t>10000 Blk</t>
  </si>
  <si>
    <t>Parkway Ranch II</t>
  </si>
  <si>
    <t>Webster St</t>
  </si>
  <si>
    <t>Zion Gardens</t>
  </si>
  <si>
    <t>Tarrington Court</t>
  </si>
  <si>
    <t>Sheldon Rd</t>
  </si>
  <si>
    <t>Pine Trail Homes</t>
  </si>
  <si>
    <t>South Acres Ranch I</t>
  </si>
  <si>
    <t>Campus Park</t>
  </si>
  <si>
    <t>High Pointe Village II</t>
  </si>
  <si>
    <t>Red Oak Town Village II</t>
  </si>
  <si>
    <t>Skylane Midtown</t>
  </si>
  <si>
    <t>.5 Tidwell Rd W</t>
  </si>
  <si>
    <t>1305-2225</t>
  </si>
  <si>
    <t>Kimberely Ln</t>
  </si>
  <si>
    <t>The Nottingham Village II</t>
  </si>
  <si>
    <t>Villas of Spring Creek II</t>
  </si>
  <si>
    <t>Amesbury Apts</t>
  </si>
  <si>
    <t>71st St</t>
  </si>
  <si>
    <t>Coastal Breeze</t>
  </si>
  <si>
    <t>Frisco Sq Blvd</t>
  </si>
  <si>
    <t>The Residences at Frisco Square-The Boulevard</t>
  </si>
  <si>
    <t>Gramercy St</t>
  </si>
  <si>
    <t>Broadstone Gramercy (2600)</t>
  </si>
  <si>
    <t>Broadstone Gramercy (2601)</t>
  </si>
  <si>
    <t>The Woodlands Lodge</t>
  </si>
  <si>
    <t>Lynn at Country Club</t>
  </si>
  <si>
    <t>Emmet Hutto Blvd</t>
  </si>
  <si>
    <t>The Villas at Rollingbrook</t>
  </si>
  <si>
    <t>52nd St</t>
  </si>
  <si>
    <t>5211-5231</t>
  </si>
  <si>
    <t>Santa Fe Square Manor</t>
  </si>
  <si>
    <t>Corinthian Village</t>
  </si>
  <si>
    <t>Northpark Plaza Dr</t>
  </si>
  <si>
    <t>Discovery at Kingwood</t>
  </si>
  <si>
    <t>Escena Blvd</t>
  </si>
  <si>
    <t>AMLI at Escena</t>
  </si>
  <si>
    <t>1400 Hi Line</t>
  </si>
  <si>
    <t>Meadow Vista</t>
  </si>
  <si>
    <t>HomeTowne at Garland</t>
  </si>
  <si>
    <t>The Villas in Westover Hills</t>
  </si>
  <si>
    <t>CAN Plant Residences at Pearl</t>
  </si>
  <si>
    <t>Midtown Denton</t>
  </si>
  <si>
    <t>Ame Dr</t>
  </si>
  <si>
    <t>Gardens of Denton</t>
  </si>
  <si>
    <t>Midtown Terrace Suites</t>
  </si>
  <si>
    <t>Murray Farm Rd</t>
  </si>
  <si>
    <t>Colonial Grand at Fairview</t>
  </si>
  <si>
    <t>Fairview</t>
  </si>
  <si>
    <t>Carrington at Park Lakes</t>
  </si>
  <si>
    <t>Old Holzwarth Rd</t>
  </si>
  <si>
    <t>Crescent Plaza Dr</t>
  </si>
  <si>
    <t>The Domain at Eldridge</t>
  </si>
  <si>
    <t>Congress St</t>
  </si>
  <si>
    <t>1414 Congress</t>
  </si>
  <si>
    <t>Colonial Grand at Double Creek</t>
  </si>
  <si>
    <t>Weaver Dr</t>
  </si>
  <si>
    <t>Royal North</t>
  </si>
  <si>
    <t>Valley Pkwy S</t>
  </si>
  <si>
    <t>Hampshire Court</t>
  </si>
  <si>
    <t>McCue Rd</t>
  </si>
  <si>
    <t>Millennium Uptown</t>
  </si>
  <si>
    <t>Gray St W</t>
  </si>
  <si>
    <t>Hanover West Gray</t>
  </si>
  <si>
    <t>Graybelle</t>
  </si>
  <si>
    <t>Kirby Dr</t>
  </si>
  <si>
    <t>Gables West Ave II</t>
  </si>
  <si>
    <t>Gables West Ave III</t>
  </si>
  <si>
    <t>Arbor Hills Way</t>
  </si>
  <si>
    <t>Austin Ranch VI-Oaks</t>
  </si>
  <si>
    <t>Cypresswood Estates</t>
  </si>
  <si>
    <t>Allegro Addison Circle II</t>
  </si>
  <si>
    <t>RiverView</t>
  </si>
  <si>
    <t>Waterloo City Ln</t>
  </si>
  <si>
    <t>Lakeshore Pearl</t>
  </si>
  <si>
    <t>Deerbrook Park Blvd</t>
  </si>
  <si>
    <t>Deerbrook Place</t>
  </si>
  <si>
    <t>The Abbey at Stone Oak</t>
  </si>
  <si>
    <t>Post Richmond Avenue</t>
  </si>
  <si>
    <t>Sunnyvale St</t>
  </si>
  <si>
    <t>Sunrise Village</t>
  </si>
  <si>
    <t>San Raphael II</t>
  </si>
  <si>
    <t>Camden Westover Hills</t>
  </si>
  <si>
    <t>The Retreat at The Woodlands</t>
  </si>
  <si>
    <t>Chenevert St N</t>
  </si>
  <si>
    <t>City View Lofts</t>
  </si>
  <si>
    <t>Market Center Blvd</t>
  </si>
  <si>
    <t>Avant</t>
  </si>
  <si>
    <t>Sovereign Rd</t>
  </si>
  <si>
    <t>Broadstone Centreport II</t>
  </si>
  <si>
    <t>UTA Blvd</t>
  </si>
  <si>
    <t>Campus Edge on UTA Blvd</t>
  </si>
  <si>
    <t>5th St</t>
  </si>
  <si>
    <t>Corazon Apts</t>
  </si>
  <si>
    <t>Lamar-Manchaca Apts</t>
  </si>
  <si>
    <t>University Park Apts</t>
  </si>
  <si>
    <t>Steel House Lofts</t>
  </si>
  <si>
    <t>UNION at Carrollton Square</t>
  </si>
  <si>
    <t>Maint St S</t>
  </si>
  <si>
    <t>UNION at Carrollton Square II</t>
  </si>
  <si>
    <t>Mosaic on Broadway</t>
  </si>
  <si>
    <t>San Antigua</t>
  </si>
  <si>
    <t>Custer Rd S</t>
  </si>
  <si>
    <t>Discovery at Rowlett Creek</t>
  </si>
  <si>
    <t>Boyd Dr</t>
  </si>
  <si>
    <t>Stoneledge</t>
  </si>
  <si>
    <t>The Connection at Buffalo Pointe</t>
  </si>
  <si>
    <t>The Mansions Woodland</t>
  </si>
  <si>
    <t>Lockwood Landing III</t>
  </si>
  <si>
    <t>Lockwood Landing IV</t>
  </si>
  <si>
    <t>Shepherd Dr S</t>
  </si>
  <si>
    <t>3100 blk</t>
  </si>
  <si>
    <t>Shepherd Alabama Apts</t>
  </si>
  <si>
    <t>Pearl Greenway</t>
  </si>
  <si>
    <t>The Taylor</t>
  </si>
  <si>
    <t>Greystar Lamar Plaza Mixed Use</t>
  </si>
  <si>
    <t>4801-4825</t>
  </si>
  <si>
    <t>Greystar Galleria Lofts</t>
  </si>
  <si>
    <t>Gibson Flats</t>
  </si>
  <si>
    <t>Promesa</t>
  </si>
  <si>
    <t>Hackberry Rd</t>
  </si>
  <si>
    <t>Cypress Waters Apts</t>
  </si>
  <si>
    <t>Brazos St</t>
  </si>
  <si>
    <t>The Whitley</t>
  </si>
  <si>
    <t>Evans Ranch</t>
  </si>
  <si>
    <t>Borgfeld Rd</t>
  </si>
  <si>
    <t>Merritt Lakeside</t>
  </si>
  <si>
    <t>Westover Oaks</t>
  </si>
  <si>
    <t>151 SH</t>
  </si>
  <si>
    <t>Tacara Westover Hills</t>
  </si>
  <si>
    <t>281 US Hwy N</t>
  </si>
  <si>
    <t>Tacara Stone Oak</t>
  </si>
  <si>
    <t>Slate Creek at Westover Hills</t>
  </si>
  <si>
    <t>Woodlawn Ranch</t>
  </si>
  <si>
    <t>Leal St</t>
  </si>
  <si>
    <t>The Terrace at Haven for Hope</t>
  </si>
  <si>
    <t>The Overlook at Plum Creek</t>
  </si>
  <si>
    <t>Lakes at 610</t>
  </si>
  <si>
    <t>Camden Royal Oaks II</t>
  </si>
  <si>
    <t>Wenda St</t>
  </si>
  <si>
    <t>Magnolia Place</t>
  </si>
  <si>
    <t>Marion Pugh Dr</t>
  </si>
  <si>
    <t>U Club TH on Marion Pugh</t>
  </si>
  <si>
    <t>Dunstan Rd</t>
  </si>
  <si>
    <t>Ashton Rice Village</t>
  </si>
  <si>
    <t>Sienna Ranch Rd</t>
  </si>
  <si>
    <t>Watermark at Sienna Plantation</t>
  </si>
  <si>
    <t>Hardrock Rd</t>
  </si>
  <si>
    <t>Chateau at Wildbriar Lake</t>
  </si>
  <si>
    <t>Hickory St</t>
  </si>
  <si>
    <t>Old Hickory Square at Frisco</t>
  </si>
  <si>
    <t>Wonderview Ln</t>
  </si>
  <si>
    <t>Wonderview Senior Apts</t>
  </si>
  <si>
    <t>Bell Ave S</t>
  </si>
  <si>
    <t>Victoria Station</t>
  </si>
  <si>
    <t>Bowens Crossing St</t>
  </si>
  <si>
    <t>The Villages at Bowens Crossing</t>
  </si>
  <si>
    <t>Woodlake Pkwy (78 FM)</t>
  </si>
  <si>
    <t>Republic Woodlake</t>
  </si>
  <si>
    <t>Turtle Rock Rd</t>
  </si>
  <si>
    <t>Villages at Turtle Rock</t>
  </si>
  <si>
    <t>San Felipe St</t>
  </si>
  <si>
    <t>Gables Tanglewood</t>
  </si>
  <si>
    <t>Waterford at Summer Park</t>
  </si>
  <si>
    <t>Oak Grove Ave</t>
  </si>
  <si>
    <t>Uptown Lemmon Avenue</t>
  </si>
  <si>
    <t>Arena Dr</t>
  </si>
  <si>
    <t>South Shore-Town Lake 1B</t>
  </si>
  <si>
    <t>Williams</t>
  </si>
  <si>
    <t>Bluebird</t>
  </si>
  <si>
    <t>Church St</t>
  </si>
  <si>
    <t>2101 Church Street Apts</t>
  </si>
  <si>
    <t>SkyHouse Austin</t>
  </si>
  <si>
    <t>Main Street Commons</t>
  </si>
  <si>
    <t>24Eleven Washington</t>
  </si>
  <si>
    <t>Terrawood</t>
  </si>
  <si>
    <t>Cabelas Dr</t>
  </si>
  <si>
    <t>Silverado Crossing</t>
  </si>
  <si>
    <t>Brazos Senior Village</t>
  </si>
  <si>
    <t>Greensmark</t>
  </si>
  <si>
    <t>Faith Village</t>
  </si>
  <si>
    <t>Belmont Village Turtle Creek</t>
  </si>
  <si>
    <t>Alta West Davis</t>
  </si>
  <si>
    <t>Travis Street Plaza</t>
  </si>
  <si>
    <t>Queenston Blvd</t>
  </si>
  <si>
    <t>Queenston Manor</t>
  </si>
  <si>
    <t>Shining Sumac Ave</t>
  </si>
  <si>
    <t>Mariposa at FM 529</t>
  </si>
  <si>
    <t>2801 Weslayan</t>
  </si>
  <si>
    <t>Elan at Avenue R</t>
  </si>
  <si>
    <t>Brownway St</t>
  </si>
  <si>
    <t>Sage West</t>
  </si>
  <si>
    <t>Block Cutten Rd</t>
  </si>
  <si>
    <t>Vintage Apts 4</t>
  </si>
  <si>
    <t>Hidalgo St</t>
  </si>
  <si>
    <t>WaterWall Place</t>
  </si>
  <si>
    <t>Pearl Midtown</t>
  </si>
  <si>
    <t>Broadstone West Dallas</t>
  </si>
  <si>
    <t>Orchard at Westchase</t>
  </si>
  <si>
    <t>Tanglewilde St</t>
  </si>
  <si>
    <t>Alta Woodlake Square</t>
  </si>
  <si>
    <t>Rusk St</t>
  </si>
  <si>
    <t>Texaco Bldg Conversion</t>
  </si>
  <si>
    <t>Waterstone at Cinco Ranch</t>
  </si>
  <si>
    <t>The Muse</t>
  </si>
  <si>
    <t>Partnership Way</t>
  </si>
  <si>
    <t>Williamsburg Apts I</t>
  </si>
  <si>
    <t>Block Gray St</t>
  </si>
  <si>
    <t>1400-1500</t>
  </si>
  <si>
    <t>Milhaus Midtown</t>
  </si>
  <si>
    <t>Anders Ln</t>
  </si>
  <si>
    <t>Phillips Kemah</t>
  </si>
  <si>
    <t>Katy Ranch Rd</t>
  </si>
  <si>
    <t>Watermark at Katy Ranch</t>
  </si>
  <si>
    <t>The Avenues at Shadow Creek Ranch</t>
  </si>
  <si>
    <t>Imperial Blvd</t>
  </si>
  <si>
    <t>Imperial Sugar Land</t>
  </si>
  <si>
    <t>Flats on Wilson</t>
  </si>
  <si>
    <t>Flats on South Congress</t>
  </si>
  <si>
    <t>Flats on Lamar</t>
  </si>
  <si>
    <t>Barton Springs Rd</t>
  </si>
  <si>
    <t>Sterzing and Barton Springs Apts</t>
  </si>
  <si>
    <t>Hanover South Lamar</t>
  </si>
  <si>
    <t>The Viceroy</t>
  </si>
  <si>
    <t>Summercrest Blvd NW</t>
  </si>
  <si>
    <t>Dolce Living Burleson</t>
  </si>
  <si>
    <t>Monterra Village II</t>
  </si>
  <si>
    <t>33 North</t>
  </si>
  <si>
    <t>Lancaster Ave W</t>
  </si>
  <si>
    <t>The Lancaster</t>
  </si>
  <si>
    <t>Currie St</t>
  </si>
  <si>
    <t>White Buffalo</t>
  </si>
  <si>
    <t>Alta Creekside</t>
  </si>
  <si>
    <t>Platinum Skyline</t>
  </si>
  <si>
    <t>Ave of the Stars</t>
  </si>
  <si>
    <t>Ablon at Frisco Bridges</t>
  </si>
  <si>
    <t>Las Colinas Blvd</t>
  </si>
  <si>
    <t>5349-5373</t>
  </si>
  <si>
    <t>Lakepointe at Las Colinas</t>
  </si>
  <si>
    <t>District at Greenbriar</t>
  </si>
  <si>
    <t>The EON at Maple</t>
  </si>
  <si>
    <t>Mercantile Place-The Continental</t>
  </si>
  <si>
    <t>Jackson St</t>
  </si>
  <si>
    <t>Atmos Lofts</t>
  </si>
  <si>
    <t>John Q Hammons Dr</t>
  </si>
  <si>
    <t>AMLI at the Ballpark</t>
  </si>
  <si>
    <t>Renfro St E</t>
  </si>
  <si>
    <t>Reserve at Village Creek</t>
  </si>
  <si>
    <t>Star Rd N</t>
  </si>
  <si>
    <t>Evergreen at Richardson</t>
  </si>
  <si>
    <t>Triangle Blvd</t>
  </si>
  <si>
    <t>The Lofts at the Triangle</t>
  </si>
  <si>
    <t>Triangle II-Residences</t>
  </si>
  <si>
    <t>Westover Springs</t>
  </si>
  <si>
    <t>Dallas St E</t>
  </si>
  <si>
    <t>Ladera Hill Country</t>
  </si>
  <si>
    <t>The Retreat at San Marcos</t>
  </si>
  <si>
    <t>Dolce Living at Rosenberg</t>
  </si>
  <si>
    <t>GrandMarc Austin</t>
  </si>
  <si>
    <t>1488 FM Rd</t>
  </si>
  <si>
    <t>Landmark of Magnolia</t>
  </si>
  <si>
    <t>Nagle St</t>
  </si>
  <si>
    <t>Normandy Square</t>
  </si>
  <si>
    <t>Parliament St</t>
  </si>
  <si>
    <t>Sir Winston Villas</t>
  </si>
  <si>
    <t>Lincoln Las Colinas</t>
  </si>
  <si>
    <t>Forest Park Rd</t>
  </si>
  <si>
    <t>Alexan Medical District</t>
  </si>
  <si>
    <t>The Standard</t>
  </si>
  <si>
    <t>Lakeline East</t>
  </si>
  <si>
    <t>Arden Park</t>
  </si>
  <si>
    <t>Siena on Sonterra</t>
  </si>
  <si>
    <t>Spring Green Blvd</t>
  </si>
  <si>
    <t>Lakeside Villas at Cinco Ranch</t>
  </si>
  <si>
    <t>Broadstone Post Oak</t>
  </si>
  <si>
    <t>Allure</t>
  </si>
  <si>
    <t>The Bluffs-Redevelopment</t>
  </si>
  <si>
    <t>Forest Park Blvd</t>
  </si>
  <si>
    <t>LoftVue</t>
  </si>
  <si>
    <t>University Dr</t>
  </si>
  <si>
    <t>The Vue on University Drive</t>
  </si>
  <si>
    <t>3003 Carlisle</t>
  </si>
  <si>
    <t>Harry Hines Blvd</t>
  </si>
  <si>
    <t>Alamo Manhattan Victory</t>
  </si>
  <si>
    <t>Woods at Manchaca</t>
  </si>
  <si>
    <t>Alta Heights</t>
  </si>
  <si>
    <t>Alexan Urban Center</t>
  </si>
  <si>
    <t>Yellow Jacket Ln W</t>
  </si>
  <si>
    <t>Sonoma Court</t>
  </si>
  <si>
    <t>Carrollton Pkwy</t>
  </si>
  <si>
    <t>The Mansions at Sunset Ridge</t>
  </si>
  <si>
    <t>El Dorado Blvd W</t>
  </si>
  <si>
    <t>Villas at El Dorado</t>
  </si>
  <si>
    <t>Holzwarth Rd</t>
  </si>
  <si>
    <t>The Belvedere at Springwoods Village</t>
  </si>
  <si>
    <t>11th St E</t>
  </si>
  <si>
    <t>Eleven</t>
  </si>
  <si>
    <t>21Pearl</t>
  </si>
  <si>
    <t>Estate Hill Dr</t>
  </si>
  <si>
    <t>The Springs at Stone Oak Village</t>
  </si>
  <si>
    <t>13100 Blk</t>
  </si>
  <si>
    <t>Overlook Ranch</t>
  </si>
  <si>
    <t>Midtown Commons II</t>
  </si>
  <si>
    <t>Hillside West Seniors Community</t>
  </si>
  <si>
    <t>Bowie St</t>
  </si>
  <si>
    <t>3 Eleven Bowie</t>
  </si>
  <si>
    <t>The Residences at Cityplace</t>
  </si>
  <si>
    <t>Gruene Rd</t>
  </si>
  <si>
    <t>Ranch at the Guadalupe</t>
  </si>
  <si>
    <t>Le Promenade</t>
  </si>
  <si>
    <t>The Sovereign</t>
  </si>
  <si>
    <t>The District at Washington</t>
  </si>
  <si>
    <t>The Arpeggio Victory Park</t>
  </si>
  <si>
    <t>Solon Place Way</t>
  </si>
  <si>
    <t>Solon Place</t>
  </si>
  <si>
    <t>Watermark at Grand Cypress</t>
  </si>
  <si>
    <t>Alexan West University</t>
  </si>
  <si>
    <t>Willowick Court Redevelopment</t>
  </si>
  <si>
    <t>GreenVUE</t>
  </si>
  <si>
    <t>Lake Ridge Rd</t>
  </si>
  <si>
    <t>Pine Prairie I</t>
  </si>
  <si>
    <t>Pine Prairie II</t>
  </si>
  <si>
    <t>Broadstone Energy Corridor</t>
  </si>
  <si>
    <t>Widnhaven Pkwy</t>
  </si>
  <si>
    <t>Platinum Castle Hills</t>
  </si>
  <si>
    <t>Main Ave</t>
  </si>
  <si>
    <t>Tobin Lofts</t>
  </si>
  <si>
    <t>Forty One Ten Fairmount</t>
  </si>
  <si>
    <t>Renovated Complex</t>
  </si>
  <si>
    <t>Heritage-Cj Apt</t>
  </si>
  <si>
    <t>Bowen Rd</t>
  </si>
  <si>
    <t>Bowen Square Apts</t>
  </si>
  <si>
    <t>Causley</t>
  </si>
  <si>
    <t>Center Chase Apts</t>
  </si>
  <si>
    <t>Abram St E</t>
  </si>
  <si>
    <t>Abrams E</t>
  </si>
  <si>
    <t>Silver Belle Apts</t>
  </si>
  <si>
    <t>The Arbors of Arlington</t>
  </si>
  <si>
    <t>South Park Apts</t>
  </si>
  <si>
    <t>SouthPark Apts</t>
  </si>
  <si>
    <t>Third St E</t>
  </si>
  <si>
    <t>Melrose</t>
  </si>
  <si>
    <t>Melrose Duplexes</t>
  </si>
  <si>
    <t>Center St S</t>
  </si>
  <si>
    <t>Center Court Apts</t>
  </si>
  <si>
    <t>Cooper St S</t>
  </si>
  <si>
    <t>Arbor Terrace</t>
  </si>
  <si>
    <t>Boyd Rd</t>
  </si>
  <si>
    <t>Reata West MultiFamily Development</t>
  </si>
  <si>
    <t>Boston Ave</t>
  </si>
  <si>
    <t>Boston Apts</t>
  </si>
  <si>
    <t>Cox St</t>
  </si>
  <si>
    <t>New Orleans of Carrolton</t>
  </si>
  <si>
    <t>Josey Ln S</t>
  </si>
  <si>
    <t xml:space="preserve">Fox creek </t>
  </si>
  <si>
    <t>Westcourt Dr</t>
  </si>
  <si>
    <t>Northridge Court Apts</t>
  </si>
  <si>
    <t>Cleburne</t>
  </si>
  <si>
    <t>Woodard Ave</t>
  </si>
  <si>
    <t>Cleburne Terrace Apts</t>
  </si>
  <si>
    <t>The Arbors of Cleburne</t>
  </si>
  <si>
    <t>3218 FM</t>
  </si>
  <si>
    <t>Bradford Place Apts</t>
  </si>
  <si>
    <t>Vinca Apts</t>
  </si>
  <si>
    <t>Live Oak St</t>
  </si>
  <si>
    <t>Ponderosa Apts</t>
  </si>
  <si>
    <t>Washington</t>
  </si>
  <si>
    <t>Regency Square Apts</t>
  </si>
  <si>
    <t>Westgate Dr</t>
  </si>
  <si>
    <t>Village Apts</t>
  </si>
  <si>
    <t>Kennedy Dr @ Edison Ln</t>
  </si>
  <si>
    <t>Oak Glen Apts</t>
  </si>
  <si>
    <t>Rose Garden</t>
  </si>
  <si>
    <t>Amanda Ln</t>
  </si>
  <si>
    <t>Bonnie View Rd</t>
  </si>
  <si>
    <t>Bonnie View Apts</t>
  </si>
  <si>
    <t>Budtime</t>
  </si>
  <si>
    <t>Marrakesh &amp; Versailles</t>
  </si>
  <si>
    <t>Courtney Place Apts</t>
  </si>
  <si>
    <t>Las palmas</t>
  </si>
  <si>
    <t>8th St E</t>
  </si>
  <si>
    <t>UNIVERSITY Dr E</t>
  </si>
  <si>
    <t>Sundance Apts</t>
  </si>
  <si>
    <t>Fawn Valley Dr</t>
  </si>
  <si>
    <t>Cambridge Square Apts</t>
  </si>
  <si>
    <t>Casa Nueva Apts</t>
  </si>
  <si>
    <t>Hartford</t>
  </si>
  <si>
    <t>Hartford Apts</t>
  </si>
  <si>
    <t>Highland Hills Dr</t>
  </si>
  <si>
    <t>Highland Hills Apts</t>
  </si>
  <si>
    <t>Hillcrest Rd</t>
  </si>
  <si>
    <t>The Williamsburg</t>
  </si>
  <si>
    <t>Kings Quarter</t>
  </si>
  <si>
    <t>Piazza Siena</t>
  </si>
  <si>
    <t>Kingsley Dr</t>
  </si>
  <si>
    <t>Highland House</t>
  </si>
  <si>
    <t>Lake Highlands Dr E</t>
  </si>
  <si>
    <t>Luther Ln</t>
  </si>
  <si>
    <t>The Shelton</t>
  </si>
  <si>
    <t>Mccallum Blvd</t>
  </si>
  <si>
    <t>McCallum Glen</t>
  </si>
  <si>
    <t>Mt. Raineer</t>
  </si>
  <si>
    <t>Indian Ridge Apts</t>
  </si>
  <si>
    <t>Timber Park Apts</t>
  </si>
  <si>
    <t>N Fitzhugh Apts</t>
  </si>
  <si>
    <t>Villa Garrett</t>
  </si>
  <si>
    <t>Gilpin Rd N</t>
  </si>
  <si>
    <t>Marsalis Apts</t>
  </si>
  <si>
    <t>Northills</t>
  </si>
  <si>
    <t>Walnut Gardens</t>
  </si>
  <si>
    <t>Nogales Dr</t>
  </si>
  <si>
    <t>Arawak and Granada</t>
  </si>
  <si>
    <t>Brooks AH</t>
  </si>
  <si>
    <t>Norwalk Ave</t>
  </si>
  <si>
    <t>3131-3233</t>
  </si>
  <si>
    <t>Big block</t>
  </si>
  <si>
    <t>Peterson Place Apts</t>
  </si>
  <si>
    <t>Remond Dr</t>
  </si>
  <si>
    <t>Remond Cliff Plaza</t>
  </si>
  <si>
    <t>Country Squire</t>
  </si>
  <si>
    <t>Barry Ave S</t>
  </si>
  <si>
    <t>Barrymore Apts</t>
  </si>
  <si>
    <t>Timber Rock Apts</t>
  </si>
  <si>
    <t>Hampton Terrace</t>
  </si>
  <si>
    <t>Lancaster S</t>
  </si>
  <si>
    <t>Frances Place</t>
  </si>
  <si>
    <t>3425-435</t>
  </si>
  <si>
    <t>Catalina Court</t>
  </si>
  <si>
    <t>Vernon Ave S</t>
  </si>
  <si>
    <t>Biscayne</t>
  </si>
  <si>
    <t>Kiest Park Estates</t>
  </si>
  <si>
    <t>3233-3321</t>
  </si>
  <si>
    <t>Vernon Oaks-Kiest Park Estates</t>
  </si>
  <si>
    <t>Shadybrook Ln</t>
  </si>
  <si>
    <t>Southland</t>
  </si>
  <si>
    <t>Palms of Dallas</t>
  </si>
  <si>
    <t>Landmark on the valley</t>
  </si>
  <si>
    <t>Springvalley Rd</t>
  </si>
  <si>
    <t>Brookbend Village</t>
  </si>
  <si>
    <t>SPRINGWOOD Ln</t>
  </si>
  <si>
    <t>Boulder Ridge Apts</t>
  </si>
  <si>
    <t>Stevens Forest Dr</t>
  </si>
  <si>
    <t>Chateau Crete</t>
  </si>
  <si>
    <t>Jefferson at Timberglen</t>
  </si>
  <si>
    <t>Vantage Point Dr</t>
  </si>
  <si>
    <t>Saint Andrews Apts II</t>
  </si>
  <si>
    <t>Acorn Tree</t>
  </si>
  <si>
    <t>Fredricksburg Apts</t>
  </si>
  <si>
    <t>Ledbetter Dr W</t>
  </si>
  <si>
    <t>Principals only Listings</t>
  </si>
  <si>
    <t>Chapel court</t>
  </si>
  <si>
    <t>Welborn St</t>
  </si>
  <si>
    <t>Mill Run Apts</t>
  </si>
  <si>
    <t>Bonnie View</t>
  </si>
  <si>
    <t xml:space="preserve">Dallas </t>
  </si>
  <si>
    <t xml:space="preserve">Royal Ln </t>
  </si>
  <si>
    <t>Kingsborough TH</t>
  </si>
  <si>
    <t>Former Home Depot</t>
  </si>
  <si>
    <t>2211-2221</t>
  </si>
  <si>
    <t>Oaklawn Gardens</t>
  </si>
  <si>
    <t>288 Loop N</t>
  </si>
  <si>
    <t>Mayhill S</t>
  </si>
  <si>
    <t>Scripture St</t>
  </si>
  <si>
    <t>Soledad Dr</t>
  </si>
  <si>
    <t>Strip Centers in DFW Metroplex</t>
  </si>
  <si>
    <t>Hickory St W</t>
  </si>
  <si>
    <t>Hunt Club Apts</t>
  </si>
  <si>
    <t>Prairie St W</t>
  </si>
  <si>
    <t>Prairie Hollow</t>
  </si>
  <si>
    <t xml:space="preserve">45 IH N </t>
  </si>
  <si>
    <t>Bluebonnet Place</t>
  </si>
  <si>
    <t>Biloxi Dr</t>
  </si>
  <si>
    <t>Townhouse Apts</t>
  </si>
  <si>
    <t>Lake Bardwell Dr</t>
  </si>
  <si>
    <t>Oak Timbers</t>
  </si>
  <si>
    <t>Yorkstown Dr</t>
  </si>
  <si>
    <t>The Willows Apts</t>
  </si>
  <si>
    <t>Twin Bridge Apts</t>
  </si>
  <si>
    <t>Norman Dr</t>
  </si>
  <si>
    <t>Southwest Apts</t>
  </si>
  <si>
    <t>Varaison Village Apts</t>
  </si>
  <si>
    <t>Beaty St</t>
  </si>
  <si>
    <t>Beaty St. Apts</t>
  </si>
  <si>
    <t>Ben Day Murrin Rd</t>
  </si>
  <si>
    <t>Hillside View</t>
  </si>
  <si>
    <t>Cardinal Wood Ct</t>
  </si>
  <si>
    <t>Robert St E</t>
  </si>
  <si>
    <t>Pilgrim Valley Manor</t>
  </si>
  <si>
    <t>Rosedale E</t>
  </si>
  <si>
    <t>Ala Casa Apts</t>
  </si>
  <si>
    <t>Seminary Dr E</t>
  </si>
  <si>
    <t>Spanish Gate Apts</t>
  </si>
  <si>
    <t>Escalante Ave</t>
  </si>
  <si>
    <t>Handley St</t>
  </si>
  <si>
    <t>Handley Oaks</t>
  </si>
  <si>
    <t>Heatherbend</t>
  </si>
  <si>
    <t>King George Dr</t>
  </si>
  <si>
    <t>Oaks Apts</t>
  </si>
  <si>
    <t>Lackland Rd</t>
  </si>
  <si>
    <t>Lackland Court</t>
  </si>
  <si>
    <t>Mccurdy St</t>
  </si>
  <si>
    <t>Milburn St</t>
  </si>
  <si>
    <t>Cumberland at Ridglea</t>
  </si>
  <si>
    <t>Normandale St N</t>
  </si>
  <si>
    <t>Normandale Manor</t>
  </si>
  <si>
    <t>Woodhaven Crossroads</t>
  </si>
  <si>
    <t>Parker Henderson Rd</t>
  </si>
  <si>
    <t>Riverpark</t>
  </si>
  <si>
    <t>Cravens Rd S</t>
  </si>
  <si>
    <t>Summer Lakes Estates</t>
  </si>
  <si>
    <t>The Neil P. at Burnett Park</t>
  </si>
  <si>
    <t>Fort Worth W</t>
  </si>
  <si>
    <t>Weiler</t>
  </si>
  <si>
    <t>Weiler TH</t>
  </si>
  <si>
    <t>4700-4724</t>
  </si>
  <si>
    <t>Hulen Hills Apts</t>
  </si>
  <si>
    <t>Colonel Dr</t>
  </si>
  <si>
    <t>Buckingham Rd W</t>
  </si>
  <si>
    <t>Buckingham Court</t>
  </si>
  <si>
    <t>Glenn Heights</t>
  </si>
  <si>
    <t>Pearl St W</t>
  </si>
  <si>
    <t>Spanish Oaks Apts</t>
  </si>
  <si>
    <t>Cottonwood Park</t>
  </si>
  <si>
    <t>Doreen</t>
  </si>
  <si>
    <t>Investment Property</t>
  </si>
  <si>
    <t>Small Hill Rd</t>
  </si>
  <si>
    <t>Greenhill Apts</t>
  </si>
  <si>
    <t>Dickey W</t>
  </si>
  <si>
    <t>Village on the Park</t>
  </si>
  <si>
    <t>Anderson Gibson Rd</t>
  </si>
  <si>
    <t>Grapevine Diamond Condominums</t>
  </si>
  <si>
    <t>30 IH</t>
  </si>
  <si>
    <t>Lakeway Apts</t>
  </si>
  <si>
    <t>Jack Finney Blvd</t>
  </si>
  <si>
    <t>Chalet</t>
  </si>
  <si>
    <t>Chalet AH</t>
  </si>
  <si>
    <t>Galleria Apts</t>
  </si>
  <si>
    <t>Moulton St</t>
  </si>
  <si>
    <t>Town East Apts</t>
  </si>
  <si>
    <t>Joe Ramsey Blvd N</t>
  </si>
  <si>
    <t>Arbors Apts</t>
  </si>
  <si>
    <t>Sayle Gardens Apts</t>
  </si>
  <si>
    <t>StoNewall St</t>
  </si>
  <si>
    <t>Spanish Trace Apts</t>
  </si>
  <si>
    <t>Villages of Savannah</t>
  </si>
  <si>
    <t>Cavender Manor</t>
  </si>
  <si>
    <t>Hurst E</t>
  </si>
  <si>
    <t>Aspen Square Apts</t>
  </si>
  <si>
    <t>Norwood Dr</t>
  </si>
  <si>
    <t>Manchester Apts</t>
  </si>
  <si>
    <t>Brown Dr</t>
  </si>
  <si>
    <t>Villas Apts</t>
  </si>
  <si>
    <t>Airport Fwy E</t>
  </si>
  <si>
    <t>America Best Value Inn &amp; Suites</t>
  </si>
  <si>
    <t>Britain Rd N</t>
  </si>
  <si>
    <t>Jamestown Colony House</t>
  </si>
  <si>
    <t>Nursey Rd N</t>
  </si>
  <si>
    <t>Pioneer Dr E</t>
  </si>
  <si>
    <t>Texan</t>
  </si>
  <si>
    <t>Irving Oaks Apts</t>
  </si>
  <si>
    <t>Spanish Chase Apts</t>
  </si>
  <si>
    <t>Tree Country Apts</t>
  </si>
  <si>
    <t>Tanner Place Apts</t>
  </si>
  <si>
    <t>Crosstimbers Office Park</t>
  </si>
  <si>
    <t>Villages of Tuscany Residences</t>
  </si>
  <si>
    <t>274 Hwy</t>
  </si>
  <si>
    <t>The Hamlins @ Cedar Creek</t>
  </si>
  <si>
    <t>Kemp</t>
  </si>
  <si>
    <t>Water's Edge</t>
  </si>
  <si>
    <t>Luxury Senior Living Facility</t>
  </si>
  <si>
    <t>Armstrong Ln</t>
  </si>
  <si>
    <t>Grand Heritage Estates</t>
  </si>
  <si>
    <t>Lavon</t>
  </si>
  <si>
    <t>Charles St S</t>
  </si>
  <si>
    <t>Amaranth @544</t>
  </si>
  <si>
    <t>36 SH N</t>
  </si>
  <si>
    <t>Custer NE</t>
  </si>
  <si>
    <t>Stonebridge</t>
  </si>
  <si>
    <t>Village of Stone Brooke</t>
  </si>
  <si>
    <t>Oakwood Village Apts</t>
  </si>
  <si>
    <t>26 Blvd</t>
  </si>
  <si>
    <t>Venue at Hometown</t>
  </si>
  <si>
    <t>Green Tee Dr</t>
  </si>
  <si>
    <t>Shady Valley Square</t>
  </si>
  <si>
    <t>Pantego</t>
  </si>
  <si>
    <t>Sunrise Of Plano Apts</t>
  </si>
  <si>
    <t>Cottonwood Estates</t>
  </si>
  <si>
    <t>Red Oak Rd W</t>
  </si>
  <si>
    <t>Red Oak Portfolio</t>
  </si>
  <si>
    <t>Cavalier Dr</t>
  </si>
  <si>
    <t>Richland Place Apts</t>
  </si>
  <si>
    <t>Rockwall Condos</t>
  </si>
  <si>
    <t>Chiesa Rd</t>
  </si>
  <si>
    <t>Chiesa Estates-Hillcrest</t>
  </si>
  <si>
    <t>Lilian N</t>
  </si>
  <si>
    <t>Bluebonnet W</t>
  </si>
  <si>
    <t>Bluebonnet</t>
  </si>
  <si>
    <t>Swan St W</t>
  </si>
  <si>
    <t>Royal ManorApts</t>
  </si>
  <si>
    <t>Colquitt Rd</t>
  </si>
  <si>
    <t>Country Club Manor</t>
  </si>
  <si>
    <t>Virginia Anne Apts</t>
  </si>
  <si>
    <t>Mineral Wells St</t>
  </si>
  <si>
    <t>Texas Apts</t>
  </si>
  <si>
    <t>Moore Ave W</t>
  </si>
  <si>
    <t>Terrell Crossing-Parcel 71</t>
  </si>
  <si>
    <t>Cascades Ct</t>
  </si>
  <si>
    <t>Cascades Lake Towers</t>
  </si>
  <si>
    <t>Hollytree Dr</t>
  </si>
  <si>
    <t>Old Jacksonville Hwy</t>
  </si>
  <si>
    <t>The Village on Broadway</t>
  </si>
  <si>
    <t>Erwin W</t>
  </si>
  <si>
    <t>Tyler Affordable Living</t>
  </si>
  <si>
    <t>Nandina Way</t>
  </si>
  <si>
    <t>Knights Inn and Suites</t>
  </si>
  <si>
    <t>Holly Oaks Rd</t>
  </si>
  <si>
    <t>Holly Oaks Apts</t>
  </si>
  <si>
    <t>Residences at Holly Oaks</t>
  </si>
  <si>
    <t>Jameson St</t>
  </si>
  <si>
    <t>Jameson Street Apts</t>
  </si>
  <si>
    <t>Marilyn St</t>
  </si>
  <si>
    <t>Parker County Properties</t>
  </si>
  <si>
    <t>Santa Fe Dr</t>
  </si>
  <si>
    <t>Santa Fe Apts</t>
  </si>
  <si>
    <t>Tin Top Rd</t>
  </si>
  <si>
    <t>Weatherford Town Center Senior Apts</t>
  </si>
  <si>
    <t>Meadow Dr</t>
  </si>
  <si>
    <t>Country Villa Apts</t>
  </si>
  <si>
    <t>Castroville</t>
  </si>
  <si>
    <t>Friendship Ln</t>
  </si>
  <si>
    <t>Fredericksburg</t>
  </si>
  <si>
    <t>Ave U</t>
  </si>
  <si>
    <t>Encinito Apts</t>
  </si>
  <si>
    <t>Investor Package</t>
  </si>
  <si>
    <t>Atlanta</t>
  </si>
  <si>
    <t>Blossom</t>
  </si>
  <si>
    <t>Pecan S</t>
  </si>
  <si>
    <t>Patman Switch</t>
  </si>
  <si>
    <t>Hughes Springs</t>
  </si>
  <si>
    <t>7th St</t>
  </si>
  <si>
    <t>Westgate Apts</t>
  </si>
  <si>
    <t>Paris</t>
  </si>
  <si>
    <t>Clarksville</t>
  </si>
  <si>
    <t>Cherry E</t>
  </si>
  <si>
    <t>Cherry Street</t>
  </si>
  <si>
    <t>Lamar Ave</t>
  </si>
  <si>
    <t>The Regency Apts</t>
  </si>
  <si>
    <t>Helm Ln</t>
  </si>
  <si>
    <t>Sulphur Springs</t>
  </si>
  <si>
    <t>Quail Ridge-Green Tree Apts</t>
  </si>
  <si>
    <t>38.5 St</t>
  </si>
  <si>
    <t>Silver Ridge Apts</t>
  </si>
  <si>
    <t>Above Stratford Place</t>
  </si>
  <si>
    <t>BIRMINGHAM Dr</t>
  </si>
  <si>
    <t>SECTION 8 PACKAGE</t>
  </si>
  <si>
    <t>Brownie Dr</t>
  </si>
  <si>
    <t>Cougar Dr</t>
  </si>
  <si>
    <t>Cuernavaca</t>
  </si>
  <si>
    <t>Lake Austin Package</t>
  </si>
  <si>
    <t>CBD Capitol Austin Mixed Use</t>
  </si>
  <si>
    <t>Turnberry</t>
  </si>
  <si>
    <t>Elmont</t>
  </si>
  <si>
    <t>Barcelona and Metropolitan Apts</t>
  </si>
  <si>
    <t>Fairfield Dr</t>
  </si>
  <si>
    <t>Summer Wind Condominiums</t>
  </si>
  <si>
    <t>620 FM N and Boulder Ln</t>
  </si>
  <si>
    <t>8801 &amp; 10320</t>
  </si>
  <si>
    <t>Goodwin Ave</t>
  </si>
  <si>
    <t>Hudson Bend Rd</t>
  </si>
  <si>
    <t>Kensington</t>
  </si>
  <si>
    <t>Sea Breeze Apts</t>
  </si>
  <si>
    <t>62 FM N</t>
  </si>
  <si>
    <t>Balcones Ranch</t>
  </si>
  <si>
    <t>Pearl St</t>
  </si>
  <si>
    <t>The Legacy Apts</t>
  </si>
  <si>
    <t>Salado</t>
  </si>
  <si>
    <t>Texan West Campus</t>
  </si>
  <si>
    <t>22.5 St W</t>
  </si>
  <si>
    <t>Vintage West Campus</t>
  </si>
  <si>
    <t>Pearl 22</t>
  </si>
  <si>
    <t>Imt Wells Branch</t>
  </si>
  <si>
    <t>Longhorn Landing</t>
  </si>
  <si>
    <t>Bowman Dr E</t>
  </si>
  <si>
    <t>Bowman's Walk</t>
  </si>
  <si>
    <t>Villagio Student Apts</t>
  </si>
  <si>
    <t>Old Post Rd</t>
  </si>
  <si>
    <t>Mosscliff Apts</t>
  </si>
  <si>
    <t>Mistletoe Hill Duplexes</t>
  </si>
  <si>
    <t>Buffalo Gap</t>
  </si>
  <si>
    <t>Highland Oaks Apts</t>
  </si>
  <si>
    <t>Abilene</t>
  </si>
  <si>
    <t>Cedar Run Rd</t>
  </si>
  <si>
    <t>Indian Run</t>
  </si>
  <si>
    <t>Curry Ln</t>
  </si>
  <si>
    <t>Windsor Place</t>
  </si>
  <si>
    <t>Denton St</t>
  </si>
  <si>
    <t>Cedar Creek Apts</t>
  </si>
  <si>
    <t>277 Hwy</t>
  </si>
  <si>
    <t>Justice Way</t>
  </si>
  <si>
    <t>Musken Rd</t>
  </si>
  <si>
    <t>Riatta Ranch</t>
  </si>
  <si>
    <t>3rd N</t>
  </si>
  <si>
    <t>Landmark Properties</t>
  </si>
  <si>
    <t>Willis N</t>
  </si>
  <si>
    <t>Nonesuch Rd</t>
  </si>
  <si>
    <t>Pine Meadows Apts</t>
  </si>
  <si>
    <t>25th St S</t>
  </si>
  <si>
    <t>Bent Tree Apts</t>
  </si>
  <si>
    <t>Clack St S</t>
  </si>
  <si>
    <t>Leggett S</t>
  </si>
  <si>
    <t>The Chaparral</t>
  </si>
  <si>
    <t>SW Dr</t>
  </si>
  <si>
    <t>Royale Orleans Apts</t>
  </si>
  <si>
    <t>Lookout Ridge Blvd</t>
  </si>
  <si>
    <t>Lookout Ridge Apts</t>
  </si>
  <si>
    <t>Harker Heights</t>
  </si>
  <si>
    <t>Cunningham Rd</t>
  </si>
  <si>
    <t>The Bridgemoor At Killeen</t>
  </si>
  <si>
    <t>Killeen</t>
  </si>
  <si>
    <t>18th St N</t>
  </si>
  <si>
    <t>Willowwood Apts</t>
  </si>
  <si>
    <t>Twin Creek Dr N</t>
  </si>
  <si>
    <t>Remington</t>
  </si>
  <si>
    <t>440 Old FM Rd</t>
  </si>
  <si>
    <t>Terrace Dr</t>
  </si>
  <si>
    <t>Terrace Heights Apts</t>
  </si>
  <si>
    <t>Trimmier Rd</t>
  </si>
  <si>
    <t>Stone Creek Apts</t>
  </si>
  <si>
    <t>Westfield Blvd</t>
  </si>
  <si>
    <t>Pecan Pointe</t>
  </si>
  <si>
    <t>Antelope Trl</t>
  </si>
  <si>
    <t>WESTGATE Apts</t>
  </si>
  <si>
    <t>Temple</t>
  </si>
  <si>
    <t>Fryers Creek &amp; 5th St S</t>
  </si>
  <si>
    <t>400 &amp; 2115</t>
  </si>
  <si>
    <t>C&amp;C Apts</t>
  </si>
  <si>
    <t>Marlandwood Rd</t>
  </si>
  <si>
    <t>The Village Apts</t>
  </si>
  <si>
    <t>39th St S</t>
  </si>
  <si>
    <t>The Glen</t>
  </si>
  <si>
    <t>Thornton Ln</t>
  </si>
  <si>
    <t>Holly Oaks</t>
  </si>
  <si>
    <t>Adams Ave W</t>
  </si>
  <si>
    <t>Elm Ave W</t>
  </si>
  <si>
    <t>Temple Gardens Apts</t>
  </si>
  <si>
    <t>Woodbridge Blvd</t>
  </si>
  <si>
    <t>Ransom Rd E</t>
  </si>
  <si>
    <t>Bayshore and Rockport</t>
  </si>
  <si>
    <t>Aransas Pass</t>
  </si>
  <si>
    <t>McMullen</t>
  </si>
  <si>
    <t>Windy Shores</t>
  </si>
  <si>
    <t>Saint Mary's St N</t>
  </si>
  <si>
    <t>Imperial Apts</t>
  </si>
  <si>
    <t>Beeville</t>
  </si>
  <si>
    <t>Barry St</t>
  </si>
  <si>
    <t>Woodbury Apts</t>
  </si>
  <si>
    <t>Corpus Christi</t>
  </si>
  <si>
    <t>Cimarron Blvd</t>
  </si>
  <si>
    <t>Corona Dr</t>
  </si>
  <si>
    <t>Embassy House</t>
  </si>
  <si>
    <t>Ennis Joslin Rd</t>
  </si>
  <si>
    <t>Alta Bayside</t>
  </si>
  <si>
    <t>Everhart Rd</t>
  </si>
  <si>
    <t>Valhalla Aparmtnets</t>
  </si>
  <si>
    <t>Hancock</t>
  </si>
  <si>
    <t>Bay Vista</t>
  </si>
  <si>
    <t>Kostoryz</t>
  </si>
  <si>
    <t>Gaslight Apts</t>
  </si>
  <si>
    <t>Ocean Dr</t>
  </si>
  <si>
    <t>Resort By The Sea Apts</t>
  </si>
  <si>
    <t>Patti Dr</t>
  </si>
  <si>
    <t>Gulf Breeze</t>
  </si>
  <si>
    <t>Alameda St S</t>
  </si>
  <si>
    <t>Cathedral of the Palms</t>
  </si>
  <si>
    <t>Islander Village</t>
  </si>
  <si>
    <t>Saratoga Blvd</t>
  </si>
  <si>
    <t>Reserve at Saratoga</t>
  </si>
  <si>
    <t>Schanen Blvd</t>
  </si>
  <si>
    <t>The Park Apts</t>
  </si>
  <si>
    <t>Weber Rd</t>
  </si>
  <si>
    <t>Paradise Bay</t>
  </si>
  <si>
    <t>Whitecap Blvd</t>
  </si>
  <si>
    <t>Beach Club Condominiums</t>
  </si>
  <si>
    <t>Williams Dr</t>
  </si>
  <si>
    <t>Arrowsmith Apts</t>
  </si>
  <si>
    <t>Wood River Dr</t>
  </si>
  <si>
    <t>Wood River</t>
  </si>
  <si>
    <t>Wooldridge Rd</t>
  </si>
  <si>
    <t>The Oasis</t>
  </si>
  <si>
    <t>Caesar St E</t>
  </si>
  <si>
    <t>Kingsville Pointe</t>
  </si>
  <si>
    <t>Kingsville</t>
  </si>
  <si>
    <t>Brahma S</t>
  </si>
  <si>
    <t>Bordeaux Apts</t>
  </si>
  <si>
    <t>Corral Ave W</t>
  </si>
  <si>
    <t>Corral St W</t>
  </si>
  <si>
    <t>Cimmarron</t>
  </si>
  <si>
    <t>Sun Valley Apts</t>
  </si>
  <si>
    <t>College Hills Blvd</t>
  </si>
  <si>
    <t>Arroyo Square Apts</t>
  </si>
  <si>
    <t>San Angelo</t>
  </si>
  <si>
    <t>Glenna Dr</t>
  </si>
  <si>
    <t>West Gate Villa Apts</t>
  </si>
  <si>
    <t>Lincoln</t>
  </si>
  <si>
    <t>Millbrook Dr</t>
  </si>
  <si>
    <t>College Hills West</t>
  </si>
  <si>
    <t>Raney St</t>
  </si>
  <si>
    <t>Windmill Apts</t>
  </si>
  <si>
    <t>Smith Blvd</t>
  </si>
  <si>
    <t>Sunset Dr</t>
  </si>
  <si>
    <t>Newport Village</t>
  </si>
  <si>
    <t>Lufkin</t>
  </si>
  <si>
    <t>Shepherd W</t>
  </si>
  <si>
    <t>Angelina House</t>
  </si>
  <si>
    <t>University N</t>
  </si>
  <si>
    <t>Starr</t>
  </si>
  <si>
    <t>Chevy Chase Apts</t>
  </si>
  <si>
    <t>Corsicana St E</t>
  </si>
  <si>
    <t>Athena Gardens</t>
  </si>
  <si>
    <t>Athens</t>
  </si>
  <si>
    <t>Fordall W</t>
  </si>
  <si>
    <t>Point North</t>
  </si>
  <si>
    <t>Canada St</t>
  </si>
  <si>
    <t>701 &amp; 645</t>
  </si>
  <si>
    <t>Jacksonville</t>
  </si>
  <si>
    <t>Jackson St N</t>
  </si>
  <si>
    <t>Sweet Union Apts</t>
  </si>
  <si>
    <t>Danville Rd S</t>
  </si>
  <si>
    <t>Stoneridge Apts</t>
  </si>
  <si>
    <t>Kilgore</t>
  </si>
  <si>
    <t>Bill Owens Pkwy</t>
  </si>
  <si>
    <t>Hunters Crossing</t>
  </si>
  <si>
    <t>Longview</t>
  </si>
  <si>
    <t>Hawkins Pkwy E</t>
  </si>
  <si>
    <t>Longfellow Arms</t>
  </si>
  <si>
    <t>Summer Green</t>
  </si>
  <si>
    <t>Eden Dr</t>
  </si>
  <si>
    <t>WILLIAM TELL Apts</t>
  </si>
  <si>
    <t>Lake Lamond</t>
  </si>
  <si>
    <t>McCann Rd</t>
  </si>
  <si>
    <t>Mill Park</t>
  </si>
  <si>
    <t>Eastman Rd N</t>
  </si>
  <si>
    <t>North Huntington Hills Apts</t>
  </si>
  <si>
    <t>259 Hwy N</t>
  </si>
  <si>
    <t>Pine Tree Rd</t>
  </si>
  <si>
    <t>Green St S</t>
  </si>
  <si>
    <t>Village South</t>
  </si>
  <si>
    <t>Scenic Dr</t>
  </si>
  <si>
    <t>Penwood Apts</t>
  </si>
  <si>
    <t>Thelma Dr</t>
  </si>
  <si>
    <t>100-115</t>
  </si>
  <si>
    <t>Avalon Ave W</t>
  </si>
  <si>
    <t>The Tree House Apts</t>
  </si>
  <si>
    <t>Hawkins Pkwy W</t>
  </si>
  <si>
    <t>Misty Ridge</t>
  </si>
  <si>
    <t>Victory Rd</t>
  </si>
  <si>
    <t>Oak Manor Apts</t>
  </si>
  <si>
    <t>Pinecrest Dr W</t>
  </si>
  <si>
    <t>Seven Keys Apts</t>
  </si>
  <si>
    <t>Sugar Ln</t>
  </si>
  <si>
    <t>Timbercrest Apts</t>
  </si>
  <si>
    <t>Palestine</t>
  </si>
  <si>
    <t>Whispering Pines</t>
  </si>
  <si>
    <t>Airline Rd E</t>
  </si>
  <si>
    <t>Stratford Place</t>
  </si>
  <si>
    <t>Colorado E</t>
  </si>
  <si>
    <t>Carriage Park</t>
  </si>
  <si>
    <t>Fillmore Ave</t>
  </si>
  <si>
    <t>Sage Creek</t>
  </si>
  <si>
    <t>Ben Jordan St N</t>
  </si>
  <si>
    <t>Town Park Apts</t>
  </si>
  <si>
    <t>Sam Houston</t>
  </si>
  <si>
    <t>Fox Run Apts</t>
  </si>
  <si>
    <t>Sam Houston Dr</t>
  </si>
  <si>
    <t>Mosswood</t>
  </si>
  <si>
    <t>Victoria Station Dr</t>
  </si>
  <si>
    <t>Victoria Station Apts</t>
  </si>
  <si>
    <t>Mckinney S</t>
  </si>
  <si>
    <t>Mexia</t>
  </si>
  <si>
    <t>3rd S</t>
  </si>
  <si>
    <t>University Woods I &amp; II</t>
  </si>
  <si>
    <t>Austin Ave</t>
  </si>
  <si>
    <t>Former Regis-St. Elizabeth</t>
  </si>
  <si>
    <t>Bagby Ave</t>
  </si>
  <si>
    <t>The Residence at Central Texas Marketplace</t>
  </si>
  <si>
    <t>China Spring Rd</t>
  </si>
  <si>
    <t>Daughtry Ave</t>
  </si>
  <si>
    <t>Legacy Point Condominiums</t>
  </si>
  <si>
    <t>Hawthorne Dr</t>
  </si>
  <si>
    <t>Ashton Oaks Apts</t>
  </si>
  <si>
    <t>Hodde Dr</t>
  </si>
  <si>
    <t>Moderno Vivo Apts</t>
  </si>
  <si>
    <t>Lake Shore Dr</t>
  </si>
  <si>
    <t>Lakeshore North</t>
  </si>
  <si>
    <t>Hewitt Dr N</t>
  </si>
  <si>
    <t>Four Seasons</t>
  </si>
  <si>
    <t>Valley Mills Dr N</t>
  </si>
  <si>
    <t>Valley Terrace Apts</t>
  </si>
  <si>
    <t>Neil Dr</t>
  </si>
  <si>
    <t>Villa Victoria</t>
  </si>
  <si>
    <t>Owen Ln</t>
  </si>
  <si>
    <t>Baxter Crossing</t>
  </si>
  <si>
    <t>Fleetwood Square</t>
  </si>
  <si>
    <t>Primrose Dr</t>
  </si>
  <si>
    <t>Arlington Farms</t>
  </si>
  <si>
    <t>Rambler Dr</t>
  </si>
  <si>
    <t>Oaktree Apts</t>
  </si>
  <si>
    <t>Waco Duplex Investment Package</t>
  </si>
  <si>
    <t>Richland Dr</t>
  </si>
  <si>
    <t>Landmark Apts</t>
  </si>
  <si>
    <t>Richter</t>
  </si>
  <si>
    <t>Southwind Apts</t>
  </si>
  <si>
    <t>21st St S</t>
  </si>
  <si>
    <t>Blair's Cove Apts</t>
  </si>
  <si>
    <t>4th St S</t>
  </si>
  <si>
    <t>Behrens Lofts</t>
  </si>
  <si>
    <t>Madeira Apts</t>
  </si>
  <si>
    <t>Sanger Ave</t>
  </si>
  <si>
    <t>Sandstone Apts</t>
  </si>
  <si>
    <t>Spring St</t>
  </si>
  <si>
    <t>Former Pecan Gardens</t>
  </si>
  <si>
    <t>Brookview W</t>
  </si>
  <si>
    <t>Brookview Hills Apts</t>
  </si>
  <si>
    <t>Western Oaks Dr</t>
  </si>
  <si>
    <t>Woodway Park Condominiums</t>
  </si>
  <si>
    <t>Northwood Dr</t>
  </si>
  <si>
    <t>Hollow Hill Dr</t>
  </si>
  <si>
    <t>Lynn St</t>
  </si>
  <si>
    <t>Costa Mesa Residences</t>
  </si>
  <si>
    <t>Silver Spur Cir</t>
  </si>
  <si>
    <t>Dartmouth</t>
  </si>
  <si>
    <t>Park Side Villas</t>
  </si>
  <si>
    <t>Copper Creek Apts</t>
  </si>
  <si>
    <t>517 Hwy</t>
  </si>
  <si>
    <t>Wise Investments</t>
  </si>
  <si>
    <t>37th St</t>
  </si>
  <si>
    <t>Moody Ave</t>
  </si>
  <si>
    <t>Moody Plaza</t>
  </si>
  <si>
    <t>Autumn Wood</t>
  </si>
  <si>
    <t>New Apts</t>
  </si>
  <si>
    <t>BARRINGER</t>
  </si>
  <si>
    <t>Spring Creek Apt</t>
  </si>
  <si>
    <t>Houston Bayou Apt</t>
  </si>
  <si>
    <t>Braeswood Park</t>
  </si>
  <si>
    <t>Breen</t>
  </si>
  <si>
    <t>CEDAR BRANCH</t>
  </si>
  <si>
    <t>Chenevert</t>
  </si>
  <si>
    <t>Clarke Springs Dr</t>
  </si>
  <si>
    <t>Clarke Springs</t>
  </si>
  <si>
    <t>Cotillion Dr</t>
  </si>
  <si>
    <t>Siena Villas Condominiums</t>
  </si>
  <si>
    <t>Houston Rd E</t>
  </si>
  <si>
    <t>Green Plaza Dr</t>
  </si>
  <si>
    <t>Walnut Creek Apts</t>
  </si>
  <si>
    <t>Hammerly Blvd</t>
  </si>
  <si>
    <t>houston</t>
  </si>
  <si>
    <t>10 IH</t>
  </si>
  <si>
    <t>Bank Financed Apts</t>
  </si>
  <si>
    <t>45 IH S @ Cullen</t>
  </si>
  <si>
    <t>University Park</t>
  </si>
  <si>
    <t>The Vanderbilt</t>
  </si>
  <si>
    <t>Lucore</t>
  </si>
  <si>
    <t>Deerwood in the Park</t>
  </si>
  <si>
    <t>The Quarters at Memorial</t>
  </si>
  <si>
    <t>Park Memorial</t>
  </si>
  <si>
    <t>Garden Apts</t>
  </si>
  <si>
    <t>Indigo Falls</t>
  </si>
  <si>
    <t>202-218</t>
  </si>
  <si>
    <t>HOUSTON</t>
  </si>
  <si>
    <t>Rolido Dr</t>
  </si>
  <si>
    <t>Rookin</t>
  </si>
  <si>
    <t>Windsor Place Care Center</t>
  </si>
  <si>
    <t>Summerfield Apts</t>
  </si>
  <si>
    <t>Saint Joseph Pkwy</t>
  </si>
  <si>
    <t>Former Days Inn-vacant</t>
  </si>
  <si>
    <t>Houston SE</t>
  </si>
  <si>
    <t>Retreat of Clear Lake</t>
  </si>
  <si>
    <t>Sunnyside St</t>
  </si>
  <si>
    <t>La Casita</t>
  </si>
  <si>
    <t>ARENA GARDENS</t>
  </si>
  <si>
    <t>Downtown Houston</t>
  </si>
  <si>
    <t>Ticonderoga</t>
  </si>
  <si>
    <t>Ticonderoga Pines</t>
  </si>
  <si>
    <t>Tierwester</t>
  </si>
  <si>
    <t>Tierwester Village Apts</t>
  </si>
  <si>
    <t>Central Square Plaza</t>
  </si>
  <si>
    <t>Oak Villa Apts</t>
  </si>
  <si>
    <t>Walker St</t>
  </si>
  <si>
    <t>Melrose Building</t>
  </si>
  <si>
    <t>White Oak Dr</t>
  </si>
  <si>
    <t>The Windwater at Windmill Lakes</t>
  </si>
  <si>
    <t>Residences</t>
  </si>
  <si>
    <t>Chateaux Dijon</t>
  </si>
  <si>
    <t>Grand Colony Dr</t>
  </si>
  <si>
    <t>Greenhouse Villas</t>
  </si>
  <si>
    <t>Kingsland</t>
  </si>
  <si>
    <t>Westbrooke Apts</t>
  </si>
  <si>
    <t>Valley Ranch Crossing Dr</t>
  </si>
  <si>
    <t>The Villas at Valley Ranch</t>
  </si>
  <si>
    <t>Oaks at Texas City AH</t>
  </si>
  <si>
    <t>Lovett</t>
  </si>
  <si>
    <t>Ave F</t>
  </si>
  <si>
    <t>Baybrook</t>
  </si>
  <si>
    <t>Baywood Dr</t>
  </si>
  <si>
    <t>Baywood Square</t>
  </si>
  <si>
    <t>Hamman</t>
  </si>
  <si>
    <t>Wildwood Apts</t>
  </si>
  <si>
    <t>Hamman Rd</t>
  </si>
  <si>
    <t>Riverway Apts</t>
  </si>
  <si>
    <t>Waring E</t>
  </si>
  <si>
    <t>The Lighthouse at 4011</t>
  </si>
  <si>
    <t>Brazos Dr</t>
  </si>
  <si>
    <t>Brazos Apts</t>
  </si>
  <si>
    <t>20th St</t>
  </si>
  <si>
    <t>Huntsville Apts</t>
  </si>
  <si>
    <t>Huntsville</t>
  </si>
  <si>
    <t>Bobby K Marks Dr</t>
  </si>
  <si>
    <t>Texas Apt Complex</t>
  </si>
  <si>
    <t>Josey St</t>
  </si>
  <si>
    <t>Huntsville Apt Complexes</t>
  </si>
  <si>
    <t>High Point St</t>
  </si>
  <si>
    <t>Prairie View</t>
  </si>
  <si>
    <t>Wharton</t>
  </si>
  <si>
    <t>Stadium Rd</t>
  </si>
  <si>
    <t>802 FM</t>
  </si>
  <si>
    <t>La Mansion</t>
  </si>
  <si>
    <t>Brownsville</t>
  </si>
  <si>
    <t>Parades Line Rd</t>
  </si>
  <si>
    <t>Brandywyne Apts</t>
  </si>
  <si>
    <t>La Residencia &amp; The Bonaventure</t>
  </si>
  <si>
    <t>Washington E</t>
  </si>
  <si>
    <t>1802-1804</t>
  </si>
  <si>
    <t>Harlingen</t>
  </si>
  <si>
    <t>Glasscock St</t>
  </si>
  <si>
    <t>Haine Dr</t>
  </si>
  <si>
    <t>Morgan Blvd</t>
  </si>
  <si>
    <t>499 Loop S</t>
  </si>
  <si>
    <t>Palm Terrace Apts</t>
  </si>
  <si>
    <t>Bales Rd</t>
  </si>
  <si>
    <t>Plaza Royale Apts</t>
  </si>
  <si>
    <t>McAllen</t>
  </si>
  <si>
    <t>Bicentennial Blvd</t>
  </si>
  <si>
    <t>Vintage Square</t>
  </si>
  <si>
    <t>Eighth E</t>
  </si>
  <si>
    <t>Quamasia E</t>
  </si>
  <si>
    <t>Villas de Nolana</t>
  </si>
  <si>
    <t>Clocktower Village</t>
  </si>
  <si>
    <t>2nd St N</t>
  </si>
  <si>
    <t>Tamarack Apts</t>
  </si>
  <si>
    <t>Paradise Village Apts</t>
  </si>
  <si>
    <t>Second St N</t>
  </si>
  <si>
    <t>Nolana Ave</t>
  </si>
  <si>
    <t>Tamarack Ave</t>
  </si>
  <si>
    <t>Plantation Grove Blvd</t>
  </si>
  <si>
    <t>Las Misiones Apts</t>
  </si>
  <si>
    <t>Mission</t>
  </si>
  <si>
    <t>Stone Oak TH</t>
  </si>
  <si>
    <t>Veterans Blvd N</t>
  </si>
  <si>
    <t>Eagle Pass</t>
  </si>
  <si>
    <t>Cherokee Trl</t>
  </si>
  <si>
    <t>Krystal Plex Apts</t>
  </si>
  <si>
    <t>College Dr</t>
  </si>
  <si>
    <t>Kennedy Ln</t>
  </si>
  <si>
    <t>Forest Point Apts</t>
  </si>
  <si>
    <t>Richmond Rd</t>
  </si>
  <si>
    <t>Legacy at Pleasant Grove</t>
  </si>
  <si>
    <t>Three Fountains Apts</t>
  </si>
  <si>
    <t>Westlawn Dr</t>
  </si>
  <si>
    <t>Westlawn Apts</t>
  </si>
  <si>
    <t>32nd St R</t>
  </si>
  <si>
    <t>Wichita Falls</t>
  </si>
  <si>
    <t>Airport Dr</t>
  </si>
  <si>
    <t>Archer City Hwy</t>
  </si>
  <si>
    <t>Barnett Rd</t>
  </si>
  <si>
    <t>Wellington on the lake</t>
  </si>
  <si>
    <t>Brookdale Dr</t>
  </si>
  <si>
    <t>Cedar Elm</t>
  </si>
  <si>
    <t>French Quarter Apts</t>
  </si>
  <si>
    <t>Central Fwy</t>
  </si>
  <si>
    <t>Central Fwy N</t>
  </si>
  <si>
    <t>Northpark Village Apts</t>
  </si>
  <si>
    <t>Johnson Rd</t>
  </si>
  <si>
    <t>Westmoreland Park Apts</t>
  </si>
  <si>
    <t>Kemp Blvd</t>
  </si>
  <si>
    <t>Lake Park Dr</t>
  </si>
  <si>
    <t>Nunneley Place</t>
  </si>
  <si>
    <t>Lincoln Heights Apts</t>
  </si>
  <si>
    <t>Pearlie Dr</t>
  </si>
  <si>
    <t>Sheppard's Edge Apts</t>
  </si>
  <si>
    <t>Professional Dr</t>
  </si>
  <si>
    <t>Redwood Ave</t>
  </si>
  <si>
    <t>Ridgeway</t>
  </si>
  <si>
    <t>Santa Fe St</t>
  </si>
  <si>
    <t>2010 &amp; 2020</t>
  </si>
  <si>
    <t>The Highlander &amp; Santa Fe Village</t>
  </si>
  <si>
    <t>Seabury Dr</t>
  </si>
  <si>
    <t>Taft Blvd</t>
  </si>
  <si>
    <t>Colony Park Apts</t>
  </si>
  <si>
    <t>Stone Creek Ranch</t>
  </si>
  <si>
    <t>Tower Dr A</t>
  </si>
  <si>
    <t>Fountaingate AH</t>
  </si>
  <si>
    <t>Trout St</t>
  </si>
  <si>
    <t>Casa Manana</t>
  </si>
  <si>
    <t>Rathgeber Rd W</t>
  </si>
  <si>
    <t>Parkstone Senior Village</t>
  </si>
  <si>
    <t>Weeks Park Ln</t>
  </si>
  <si>
    <t>Second St NE</t>
  </si>
  <si>
    <t>Mineral Wells</t>
  </si>
  <si>
    <t>Bell St</t>
  </si>
  <si>
    <t>Bell Plaza</t>
  </si>
  <si>
    <t>Amarillo</t>
  </si>
  <si>
    <t>Brighton Court</t>
  </si>
  <si>
    <t>Quail Creek Aparments</t>
  </si>
  <si>
    <t>Loft Conversion Opportunity</t>
  </si>
  <si>
    <t>Williams St S</t>
  </si>
  <si>
    <t>Amarillo Gardens</t>
  </si>
  <si>
    <t>Blake Ave</t>
  </si>
  <si>
    <t>Arden Ridge Apts</t>
  </si>
  <si>
    <t>Paramount Terrace</t>
  </si>
  <si>
    <t>Bell S</t>
  </si>
  <si>
    <t>Red Oak Ranch Apts</t>
  </si>
  <si>
    <t>The Crossings at Bell</t>
  </si>
  <si>
    <t>Coulter St S</t>
  </si>
  <si>
    <t>Virginia St S</t>
  </si>
  <si>
    <t>The Lighthouse</t>
  </si>
  <si>
    <t>Western S</t>
  </si>
  <si>
    <t>Heritage House Apts</t>
  </si>
  <si>
    <t>27th Ave W</t>
  </si>
  <si>
    <t>Colonial Arms-Jamestown</t>
  </si>
  <si>
    <t>Greenbriar Terrace Apts</t>
  </si>
  <si>
    <t>Westbridge Square</t>
  </si>
  <si>
    <t>Cottonwood Ln</t>
  </si>
  <si>
    <t>Cimarron Apts</t>
  </si>
  <si>
    <t>Canyon</t>
  </si>
  <si>
    <t>Maddox S</t>
  </si>
  <si>
    <t>Jasmine Apts</t>
  </si>
  <si>
    <t>Dumas</t>
  </si>
  <si>
    <t>Big Spring</t>
  </si>
  <si>
    <t>Bromley Place</t>
  </si>
  <si>
    <t>Vantage at Midland</t>
  </si>
  <si>
    <t>Midland</t>
  </si>
  <si>
    <t>Midland Dr N</t>
  </si>
  <si>
    <t>CORNERSTONE Apts</t>
  </si>
  <si>
    <t>Hunters Glen Apts</t>
  </si>
  <si>
    <t>Quail Hollow Apts</t>
  </si>
  <si>
    <t>Tremont</t>
  </si>
  <si>
    <t>Andrews Hwy</t>
  </si>
  <si>
    <t>Sunset</t>
  </si>
  <si>
    <t>Odessa</t>
  </si>
  <si>
    <t>50th St E</t>
  </si>
  <si>
    <t>Windchase Apts</t>
  </si>
  <si>
    <t>Southgate</t>
  </si>
  <si>
    <t>Texas St N</t>
  </si>
  <si>
    <t>LaPromesa Apts</t>
  </si>
  <si>
    <t>Oakwood Dr</t>
  </si>
  <si>
    <t>Peppertree and Spanish Oaks Apts</t>
  </si>
  <si>
    <t>Rocky Ln Rd</t>
  </si>
  <si>
    <t>Sunchase Apts</t>
  </si>
  <si>
    <t>Tanglewood Ln</t>
  </si>
  <si>
    <t>The Woodlands of Odessa</t>
  </si>
  <si>
    <t>Alto Rey Ave</t>
  </si>
  <si>
    <t>Park Ridge Apts</t>
  </si>
  <si>
    <t>El Paso</t>
  </si>
  <si>
    <t>Argonaut St</t>
  </si>
  <si>
    <t>Argonaut Heights</t>
  </si>
  <si>
    <t>Desert Pass St</t>
  </si>
  <si>
    <t>Legends of El Paso</t>
  </si>
  <si>
    <t>Dyer St</t>
  </si>
  <si>
    <t>Raintree Village Apts</t>
  </si>
  <si>
    <t>Fairbanks Dr</t>
  </si>
  <si>
    <t>Rushfair Villa</t>
  </si>
  <si>
    <t>Athen's Gate</t>
  </si>
  <si>
    <t>Magruder</t>
  </si>
  <si>
    <t>McCombs St</t>
  </si>
  <si>
    <t>Autumn Manor Apts</t>
  </si>
  <si>
    <t>Morehead Ave</t>
  </si>
  <si>
    <t>2500-2624</t>
  </si>
  <si>
    <t>Mountain Shadow</t>
  </si>
  <si>
    <t>Lee Trevino N</t>
  </si>
  <si>
    <t>Fairway View Estates</t>
  </si>
  <si>
    <t>Rubin Ct</t>
  </si>
  <si>
    <t>Belvidere S</t>
  </si>
  <si>
    <t>Legends of el Paso</t>
  </si>
  <si>
    <t>Mesa HillS Dr S</t>
  </si>
  <si>
    <t>Ryan's Mill</t>
  </si>
  <si>
    <t>Mesa Hills Dr S</t>
  </si>
  <si>
    <t>The Tuscany at Mesa Hills</t>
  </si>
  <si>
    <t>West Town Apts</t>
  </si>
  <si>
    <t>Schuster Ave</t>
  </si>
  <si>
    <t>Williamsburg Apt Group</t>
  </si>
  <si>
    <t>Shadow Mountain</t>
  </si>
  <si>
    <t>The Crest of Shadow Mountain</t>
  </si>
  <si>
    <t>Shadow Mountain Dr</t>
  </si>
  <si>
    <t>Coronado Hills Resort</t>
  </si>
  <si>
    <t>Trawood Dr</t>
  </si>
  <si>
    <t>The Wind Tree Apts</t>
  </si>
  <si>
    <t>Viscount Blvd</t>
  </si>
  <si>
    <t>Ridgemar Apts</t>
  </si>
  <si>
    <t>Zion St</t>
  </si>
  <si>
    <t>Mountain Plaza</t>
  </si>
  <si>
    <t>Jon Cunningham Blvd</t>
  </si>
  <si>
    <t>North Hills Village</t>
  </si>
  <si>
    <t>Will Ruth</t>
  </si>
  <si>
    <t>Mountain Vista</t>
  </si>
  <si>
    <t>The Woodland</t>
  </si>
  <si>
    <t>306 FM</t>
  </si>
  <si>
    <t>La Sierra Apts</t>
  </si>
  <si>
    <t>The Gibbs Building</t>
  </si>
  <si>
    <t>Grayson E</t>
  </si>
  <si>
    <t>Grayson Terrace</t>
  </si>
  <si>
    <t>Hawthorn Suites-San Antonio NE</t>
  </si>
  <si>
    <t>Everest St</t>
  </si>
  <si>
    <t>Dijon West Apts</t>
  </si>
  <si>
    <t>Hillcrest II</t>
  </si>
  <si>
    <t>Hillcrest Apts</t>
  </si>
  <si>
    <t>Montrose II</t>
  </si>
  <si>
    <t>Pkwy Dr</t>
  </si>
  <si>
    <t>La Normandie Condominium Project</t>
  </si>
  <si>
    <t>Vanderheck Blvd</t>
  </si>
  <si>
    <t>Regency Manor Apts</t>
  </si>
  <si>
    <t>The Ranch at State Hwy. 123</t>
  </si>
  <si>
    <t>Corner Stone Ct</t>
  </si>
  <si>
    <t>Beaumont</t>
  </si>
  <si>
    <t>Dowlen Rd</t>
  </si>
  <si>
    <t>Greentree Village</t>
  </si>
  <si>
    <t>Autumn Cove &amp; Cardinal Square</t>
  </si>
  <si>
    <t>Folsom</t>
  </si>
  <si>
    <t>French Rd</t>
  </si>
  <si>
    <t>French Road</t>
  </si>
  <si>
    <t>10 IH N</t>
  </si>
  <si>
    <t>Timberlake Courts</t>
  </si>
  <si>
    <t>Lexington Dr</t>
  </si>
  <si>
    <t>Longfellow</t>
  </si>
  <si>
    <t>Major Dr N</t>
  </si>
  <si>
    <t>West End Lodge</t>
  </si>
  <si>
    <t>Old Dowlen Rd</t>
  </si>
  <si>
    <t>The Pointe Apts</t>
  </si>
  <si>
    <t>Prutzman</t>
  </si>
  <si>
    <t>Lancaster Cornwall</t>
  </si>
  <si>
    <t>Maple Housing Of Beaumont</t>
  </si>
  <si>
    <t>Saxe</t>
  </si>
  <si>
    <t>Cardinal Square</t>
  </si>
  <si>
    <t>Sweetgum Ln</t>
  </si>
  <si>
    <t>Colonnade Apts</t>
  </si>
  <si>
    <t>Groves</t>
  </si>
  <si>
    <t>Gulfway Dr</t>
  </si>
  <si>
    <t>Beverly Place</t>
  </si>
  <si>
    <t>Vincent Park Apts</t>
  </si>
  <si>
    <t>31st St</t>
  </si>
  <si>
    <t>Spurlock North</t>
  </si>
  <si>
    <t>Nederland</t>
  </si>
  <si>
    <t>Ave B</t>
  </si>
  <si>
    <t>Chateau Nederland</t>
  </si>
  <si>
    <t>Nederland Ave</t>
  </si>
  <si>
    <t>The Avenue</t>
  </si>
  <si>
    <t>MacArthur Dr</t>
  </si>
  <si>
    <t>Orange</t>
  </si>
  <si>
    <t>Meeks Rd</t>
  </si>
  <si>
    <t>International Village</t>
  </si>
  <si>
    <t>Meeks N</t>
  </si>
  <si>
    <t>Chivas Square</t>
  </si>
  <si>
    <t>Ridgemont Dr</t>
  </si>
  <si>
    <t>Autumn Park Apts</t>
  </si>
  <si>
    <t>Historic Landmark</t>
  </si>
  <si>
    <t>Port Arthur</t>
  </si>
  <si>
    <t>Poole Avenue AH</t>
  </si>
  <si>
    <t>Poole Ave</t>
  </si>
  <si>
    <t>Poole Avenue Apts</t>
  </si>
  <si>
    <t>Ridgewood Dr</t>
  </si>
  <si>
    <t>Lubbock</t>
  </si>
  <si>
    <t>24th St</t>
  </si>
  <si>
    <t>Chaparral Apts</t>
  </si>
  <si>
    <t>27th St</t>
  </si>
  <si>
    <t>34th St</t>
  </si>
  <si>
    <t>Wellington</t>
  </si>
  <si>
    <t>3rd St</t>
  </si>
  <si>
    <t>Sierra Crossing</t>
  </si>
  <si>
    <t>44th St</t>
  </si>
  <si>
    <t>Magnolia Court Apts</t>
  </si>
  <si>
    <t>45th St</t>
  </si>
  <si>
    <t>4th St</t>
  </si>
  <si>
    <t>Meridian Park Apts</t>
  </si>
  <si>
    <t>Pine Grove Villas</t>
  </si>
  <si>
    <t>lubbock</t>
  </si>
  <si>
    <t>50th St</t>
  </si>
  <si>
    <t>Lubbock Square Apts</t>
  </si>
  <si>
    <t>66th St</t>
  </si>
  <si>
    <t>Farrar West Apts</t>
  </si>
  <si>
    <t>70th St</t>
  </si>
  <si>
    <t>The Wyndham</t>
  </si>
  <si>
    <t>82nd St</t>
  </si>
  <si>
    <t>Dakota Arms</t>
  </si>
  <si>
    <t>Willow Hill</t>
  </si>
  <si>
    <t>Aberdeen Ave</t>
  </si>
  <si>
    <t>Albany Ave</t>
  </si>
  <si>
    <t>Metropolitan Apts</t>
  </si>
  <si>
    <t>Preserve at Prairie Point</t>
  </si>
  <si>
    <t>Belmont Ave N</t>
  </si>
  <si>
    <t>Lynnwood TH</t>
  </si>
  <si>
    <t>28th St E</t>
  </si>
  <si>
    <t>Ranch Oak Apts (North &amp; South)</t>
  </si>
  <si>
    <t>Glenna Goodacre Blvd</t>
  </si>
  <si>
    <t>The Centre</t>
  </si>
  <si>
    <t>The Suites</t>
  </si>
  <si>
    <t>Indiana</t>
  </si>
  <si>
    <t>Indiana Ave</t>
  </si>
  <si>
    <t>College Pointe Apts</t>
  </si>
  <si>
    <t>Del Estrado Townhome Apts</t>
  </si>
  <si>
    <t>Indiana Dr</t>
  </si>
  <si>
    <t>La Salle Ave</t>
  </si>
  <si>
    <t>La Salle</t>
  </si>
  <si>
    <t>Brentwood Ave N</t>
  </si>
  <si>
    <t>Village TH</t>
  </si>
  <si>
    <t>Frankford Ave S</t>
  </si>
  <si>
    <t>Jefferson Commons Texas Tech</t>
  </si>
  <si>
    <t>289 Loop S</t>
  </si>
  <si>
    <t>White Plaza Apts</t>
  </si>
  <si>
    <t>University Plaza Apts</t>
  </si>
  <si>
    <t>Innsbruck West</t>
  </si>
  <si>
    <t>289 Loop W</t>
  </si>
  <si>
    <t>Ave J</t>
  </si>
  <si>
    <t>Green-Cobb Buildings</t>
  </si>
  <si>
    <t xml:space="preserve">Lubbock </t>
  </si>
  <si>
    <t>Lago del Mar</t>
  </si>
  <si>
    <t>Laredo</t>
  </si>
  <si>
    <t>rancho viejo Dr</t>
  </si>
  <si>
    <t>TEXOMA Pkwy</t>
  </si>
  <si>
    <t>Denison</t>
  </si>
  <si>
    <t>LaSalle Dr</t>
  </si>
  <si>
    <t>Diamond Place Apts</t>
  </si>
  <si>
    <t>1417 FM N</t>
  </si>
  <si>
    <t>Post Oak Crossing Apts</t>
  </si>
  <si>
    <t>Northridge</t>
  </si>
  <si>
    <t>Normandy Manor Apts</t>
  </si>
  <si>
    <t>Northridge Dr</t>
  </si>
  <si>
    <t>Normandy Manor</t>
  </si>
  <si>
    <t>Rex Cruise</t>
  </si>
  <si>
    <t>Turtle Creek Village Apts</t>
  </si>
  <si>
    <t>Highland Park Village</t>
  </si>
  <si>
    <t>Travis St Sherman S</t>
  </si>
  <si>
    <t>Southgate Apts</t>
  </si>
  <si>
    <t>Taylor W</t>
  </si>
  <si>
    <t>Arrow Wood</t>
  </si>
  <si>
    <t>Taylor St W</t>
  </si>
  <si>
    <t>Hunnington</t>
  </si>
  <si>
    <t>Washington St W</t>
  </si>
  <si>
    <t>Ridgeview AH</t>
  </si>
  <si>
    <t>Good Shepherd Dr</t>
  </si>
  <si>
    <t>Brownwood Apts Package</t>
  </si>
  <si>
    <t>Brownwood</t>
  </si>
  <si>
    <t>Waco St</t>
  </si>
  <si>
    <t>Andrea Gardens Apt Complex</t>
  </si>
  <si>
    <t>Colorado City</t>
  </si>
  <si>
    <t>Sadosa St W</t>
  </si>
  <si>
    <t>Eastland Village Apts</t>
  </si>
  <si>
    <t>Eastland</t>
  </si>
  <si>
    <t>Ave O</t>
  </si>
  <si>
    <t>Western Crest &amp; Windridge Apts</t>
  </si>
  <si>
    <t>Snyder</t>
  </si>
  <si>
    <t>Hovley Ln E</t>
  </si>
  <si>
    <t>Canterra</t>
  </si>
  <si>
    <t>Palm Desert</t>
  </si>
  <si>
    <t>Balsam Way S</t>
  </si>
  <si>
    <t>Littleton</t>
  </si>
  <si>
    <t>Community Center Dr</t>
  </si>
  <si>
    <t>Stone Mountain</t>
  </si>
  <si>
    <t>Northglenn</t>
  </si>
  <si>
    <t>Middlebrook Rd</t>
  </si>
  <si>
    <t>Middlebrook Farms</t>
  </si>
  <si>
    <t>Orlando</t>
  </si>
  <si>
    <t>42nd St N</t>
  </si>
  <si>
    <t>Sterling North Campus</t>
  </si>
  <si>
    <t>Tampa</t>
  </si>
  <si>
    <t>Waters Ave W</t>
  </si>
  <si>
    <t>New Stonecastle Terrace</t>
  </si>
  <si>
    <t>Stonecastle</t>
  </si>
  <si>
    <t>Winter Park</t>
  </si>
  <si>
    <t>Lake Dr</t>
  </si>
  <si>
    <t>Holly Tree</t>
  </si>
  <si>
    <t>Waldorf</t>
  </si>
  <si>
    <t>Kelso Dunes Rd</t>
  </si>
  <si>
    <t>Adobe Ranch</t>
  </si>
  <si>
    <t>Tropicana Ave E</t>
  </si>
  <si>
    <t>Majestic Heights</t>
  </si>
  <si>
    <t>Tamarus St</t>
  </si>
  <si>
    <t>Topaz St</t>
  </si>
  <si>
    <t>81st St E</t>
  </si>
  <si>
    <t>Estancia</t>
  </si>
  <si>
    <t>Tulsa</t>
  </si>
  <si>
    <t>Mingo Rd S</t>
  </si>
  <si>
    <t>Bethel Church Rd</t>
  </si>
  <si>
    <t>Ravenwood Hills</t>
  </si>
  <si>
    <t>Columbia</t>
  </si>
  <si>
    <t>River Terrace Rd</t>
  </si>
  <si>
    <t>River Road Terrace</t>
  </si>
  <si>
    <t>Petersburg</t>
  </si>
  <si>
    <t>SP1</t>
  </si>
  <si>
    <t>Alpha Delta Apts</t>
  </si>
  <si>
    <t>SP10</t>
  </si>
  <si>
    <t>Starlinda Ct</t>
  </si>
  <si>
    <t>SP100</t>
  </si>
  <si>
    <t>Charlotte</t>
  </si>
  <si>
    <t>2409-2413</t>
  </si>
  <si>
    <t>Scholars Inn</t>
  </si>
  <si>
    <t>SP101</t>
  </si>
  <si>
    <t>Charlotte St</t>
  </si>
  <si>
    <t xml:space="preserve">2422-2428 </t>
  </si>
  <si>
    <t>Charlotte Place Apts</t>
  </si>
  <si>
    <t>SP102</t>
  </si>
  <si>
    <t>1112-1116</t>
  </si>
  <si>
    <t>SP103</t>
  </si>
  <si>
    <t>Fallmeadow CT</t>
  </si>
  <si>
    <t>SP104</t>
  </si>
  <si>
    <t>Fallmeadow St</t>
  </si>
  <si>
    <t>SP105</t>
  </si>
  <si>
    <t>Cabernet Apts</t>
  </si>
  <si>
    <t>SP106</t>
  </si>
  <si>
    <t>Hercules Ln</t>
  </si>
  <si>
    <t>Crystalwood Apts</t>
  </si>
  <si>
    <t>SP107</t>
  </si>
  <si>
    <t>Louise St</t>
  </si>
  <si>
    <t>SP108</t>
  </si>
  <si>
    <t>Palmwood PI</t>
  </si>
  <si>
    <t>Palmwood Apts</t>
  </si>
  <si>
    <t>SP109</t>
  </si>
  <si>
    <t>Stuart Rd</t>
  </si>
  <si>
    <t>3817-3827</t>
  </si>
  <si>
    <t>SP11</t>
  </si>
  <si>
    <t>Demoye</t>
  </si>
  <si>
    <t>Aubrey</t>
  </si>
  <si>
    <t>SP110</t>
  </si>
  <si>
    <t>SP111</t>
  </si>
  <si>
    <t>Vine St</t>
  </si>
  <si>
    <t>Vineyard Apts</t>
  </si>
  <si>
    <t>SP112</t>
  </si>
  <si>
    <t>Cottonwood Apts</t>
  </si>
  <si>
    <t>SP113</t>
  </si>
  <si>
    <t>Hampton Gardens Apts</t>
  </si>
  <si>
    <t>SP114</t>
  </si>
  <si>
    <t>Cardinal E</t>
  </si>
  <si>
    <t>1303-1701</t>
  </si>
  <si>
    <t>SP115</t>
  </si>
  <si>
    <t>Alexander Ln E</t>
  </si>
  <si>
    <t>Emerald Gardens</t>
  </si>
  <si>
    <t>SP116</t>
  </si>
  <si>
    <t>Birchman Ave</t>
  </si>
  <si>
    <t>5504 &amp; 5508</t>
  </si>
  <si>
    <t>Birchman Plaza</t>
  </si>
  <si>
    <t>SP117</t>
  </si>
  <si>
    <t>5514-5634</t>
  </si>
  <si>
    <t>Boca Club Condos</t>
  </si>
  <si>
    <t>SP118</t>
  </si>
  <si>
    <t>SP119</t>
  </si>
  <si>
    <t>Byers Ave</t>
  </si>
  <si>
    <t>CHAPARRAL Apts</t>
  </si>
  <si>
    <t>SP12</t>
  </si>
  <si>
    <t>Azle Creek Apts</t>
  </si>
  <si>
    <t>SP120</t>
  </si>
  <si>
    <t>Chapin Rd</t>
  </si>
  <si>
    <t>Chapin Road Apts</t>
  </si>
  <si>
    <t>SP121</t>
  </si>
  <si>
    <t>SP122</t>
  </si>
  <si>
    <t>Inverness Ave</t>
  </si>
  <si>
    <t>SP123</t>
  </si>
  <si>
    <t>Lake Como Dr</t>
  </si>
  <si>
    <t>Forest Apts</t>
  </si>
  <si>
    <t>SP124</t>
  </si>
  <si>
    <t>Lariat Ln</t>
  </si>
  <si>
    <t>SP125</t>
  </si>
  <si>
    <t>Locke Ave</t>
  </si>
  <si>
    <t>West Apts</t>
  </si>
  <si>
    <t>SP126</t>
  </si>
  <si>
    <t>McLean</t>
  </si>
  <si>
    <t>3021-3017-3013</t>
  </si>
  <si>
    <t>Flamingo Apts</t>
  </si>
  <si>
    <t>SP127</t>
  </si>
  <si>
    <t>Monticello Rd</t>
  </si>
  <si>
    <t>SP128</t>
  </si>
  <si>
    <t>New York Ave</t>
  </si>
  <si>
    <t>SP129</t>
  </si>
  <si>
    <t>Normandy Rd</t>
  </si>
  <si>
    <t>Courtyard Villa Apts</t>
  </si>
  <si>
    <t>SP13</t>
  </si>
  <si>
    <t>Elam Rd</t>
  </si>
  <si>
    <t>Pioneer Crossing TH</t>
  </si>
  <si>
    <t>SP130</t>
  </si>
  <si>
    <t>Purington Ave</t>
  </si>
  <si>
    <t>SP131</t>
  </si>
  <si>
    <t>Saint Louis Ave</t>
  </si>
  <si>
    <t>SP132</t>
  </si>
  <si>
    <t>Trail Lake Dr</t>
  </si>
  <si>
    <t>SP133</t>
  </si>
  <si>
    <t>Tucker E</t>
  </si>
  <si>
    <t>SP134</t>
  </si>
  <si>
    <t>Tulsa Way</t>
  </si>
  <si>
    <t>SP135</t>
  </si>
  <si>
    <t>The Dawn Condominiums</t>
  </si>
  <si>
    <t>SP136</t>
  </si>
  <si>
    <t>Creekview Apts</t>
  </si>
  <si>
    <t>SP137</t>
  </si>
  <si>
    <t>Hampton Court Condominiums</t>
  </si>
  <si>
    <t>SP138</t>
  </si>
  <si>
    <t>Chaha</t>
  </si>
  <si>
    <t>Faulkner Point</t>
  </si>
  <si>
    <t>SP139</t>
  </si>
  <si>
    <t>Courtenay Pl</t>
  </si>
  <si>
    <t>Bradfield Creek TH</t>
  </si>
  <si>
    <t>SP14</t>
  </si>
  <si>
    <t xml:space="preserve">Fannidelia Dr </t>
  </si>
  <si>
    <t>SP140</t>
  </si>
  <si>
    <t>Rita Dr</t>
  </si>
  <si>
    <t xml:space="preserve">305-307 </t>
  </si>
  <si>
    <t>SP141</t>
  </si>
  <si>
    <t>The Reserve at Lake Granbury</t>
  </si>
  <si>
    <t>SP142</t>
  </si>
  <si>
    <t>Kemah Ct</t>
  </si>
  <si>
    <t>SP143</t>
  </si>
  <si>
    <t>14th St SE</t>
  </si>
  <si>
    <t>SP144</t>
  </si>
  <si>
    <t xml:space="preserve">Center St </t>
  </si>
  <si>
    <t>Raintree Apts</t>
  </si>
  <si>
    <t>SP145</t>
  </si>
  <si>
    <t>Worth St E</t>
  </si>
  <si>
    <t>Contessa Apts</t>
  </si>
  <si>
    <t>SP146</t>
  </si>
  <si>
    <t>Bernice St</t>
  </si>
  <si>
    <t>SP147</t>
  </si>
  <si>
    <t>Harmon</t>
  </si>
  <si>
    <t>Hurst Inn</t>
  </si>
  <si>
    <t>SP148</t>
  </si>
  <si>
    <t>Chamberlain</t>
  </si>
  <si>
    <t>903-921</t>
  </si>
  <si>
    <t>Chamberlain Complex</t>
  </si>
  <si>
    <t>SP149</t>
  </si>
  <si>
    <t>French St</t>
  </si>
  <si>
    <t>Chalet Apts</t>
  </si>
  <si>
    <t>SP15</t>
  </si>
  <si>
    <t>Jackson Cir</t>
  </si>
  <si>
    <t>SP150</t>
  </si>
  <si>
    <t>130-149</t>
  </si>
  <si>
    <t>Highland Park Court Apts</t>
  </si>
  <si>
    <t>SP151</t>
  </si>
  <si>
    <t>Riverview Dr</t>
  </si>
  <si>
    <t>SP152</t>
  </si>
  <si>
    <t>Rogers Rd N</t>
  </si>
  <si>
    <t>Tuscan Court Apts</t>
  </si>
  <si>
    <t>SP153</t>
  </si>
  <si>
    <t>Rolston Rd</t>
  </si>
  <si>
    <t>301-319</t>
  </si>
  <si>
    <t>Irving Court</t>
  </si>
  <si>
    <t>SP154</t>
  </si>
  <si>
    <t>Granada Terrace-Rishi Village</t>
  </si>
  <si>
    <t>SP155</t>
  </si>
  <si>
    <t xml:space="preserve">Greenville </t>
  </si>
  <si>
    <t>Joshua</t>
  </si>
  <si>
    <t>SP156</t>
  </si>
  <si>
    <t>Jefferson St S</t>
  </si>
  <si>
    <t>Jefferson Street Apts</t>
  </si>
  <si>
    <t>SP157</t>
  </si>
  <si>
    <t>Britton St W</t>
  </si>
  <si>
    <t>SP158</t>
  </si>
  <si>
    <t>Midwest Apts</t>
  </si>
  <si>
    <t>SP159</t>
  </si>
  <si>
    <t>Westridge Apts</t>
  </si>
  <si>
    <t>SP16</t>
  </si>
  <si>
    <t>SP160</t>
  </si>
  <si>
    <t>Lewisvilla Apts</t>
  </si>
  <si>
    <t>SP161</t>
  </si>
  <si>
    <t>Elmwood Apts</t>
  </si>
  <si>
    <t>SP162</t>
  </si>
  <si>
    <t>1585 FM</t>
  </si>
  <si>
    <t>FM 1585 Shopping Center</t>
  </si>
  <si>
    <t>SP163</t>
  </si>
  <si>
    <t>Twelve Oaks Apts</t>
  </si>
  <si>
    <t>SP164</t>
  </si>
  <si>
    <t>Elm St  W</t>
  </si>
  <si>
    <t>Casa Paradise</t>
  </si>
  <si>
    <t>Phoenix</t>
  </si>
  <si>
    <t>SP165</t>
  </si>
  <si>
    <t>F Ave</t>
  </si>
  <si>
    <t>1509 - 1531</t>
  </si>
  <si>
    <t>Plano Apts</t>
  </si>
  <si>
    <t>SP166</t>
  </si>
  <si>
    <t>100 Hwy</t>
  </si>
  <si>
    <t>Treasure Island Village</t>
  </si>
  <si>
    <t>Port Isabel</t>
  </si>
  <si>
    <t>SP167</t>
  </si>
  <si>
    <t>6th St N</t>
  </si>
  <si>
    <t>SP168</t>
  </si>
  <si>
    <t>Hazelwood Dr E</t>
  </si>
  <si>
    <t>Hazelwood Apts</t>
  </si>
  <si>
    <t>SP169</t>
  </si>
  <si>
    <t>Methodist N</t>
  </si>
  <si>
    <t>Steel Dust II</t>
  </si>
  <si>
    <t>SP17</t>
  </si>
  <si>
    <t>Ridgedale Dr</t>
  </si>
  <si>
    <t>SP170</t>
  </si>
  <si>
    <t>SH N</t>
  </si>
  <si>
    <t>Hawk's Landing</t>
  </si>
  <si>
    <t>SP171</t>
  </si>
  <si>
    <t>Bowser Rd</t>
  </si>
  <si>
    <t>Bowser Road Apts</t>
  </si>
  <si>
    <t>SP172</t>
  </si>
  <si>
    <t>Bowser Rd S</t>
  </si>
  <si>
    <t>Fairfield Apts</t>
  </si>
  <si>
    <t>SP173</t>
  </si>
  <si>
    <t>Candlewood Pl</t>
  </si>
  <si>
    <t>331-333</t>
  </si>
  <si>
    <t>SP174</t>
  </si>
  <si>
    <t>Foxboro Dr</t>
  </si>
  <si>
    <t>SP175</t>
  </si>
  <si>
    <t>Hilltop Ave</t>
  </si>
  <si>
    <t>Richardson Duplex</t>
  </si>
  <si>
    <t>SP176</t>
  </si>
  <si>
    <t>SP177</t>
  </si>
  <si>
    <t>SP178</t>
  </si>
  <si>
    <t>Saint Paul Ct</t>
  </si>
  <si>
    <t>817-819</t>
  </si>
  <si>
    <t>SP179</t>
  </si>
  <si>
    <t>Towne House Ln</t>
  </si>
  <si>
    <t>Woodhaven Duplex</t>
  </si>
  <si>
    <t>SP18</t>
  </si>
  <si>
    <t>Lynn Villa</t>
  </si>
  <si>
    <t>SP180</t>
  </si>
  <si>
    <t>Hardisty</t>
  </si>
  <si>
    <t>Plaza Apts</t>
  </si>
  <si>
    <t>SP181</t>
  </si>
  <si>
    <t>Laura Ann Ct</t>
  </si>
  <si>
    <t>6600-6623</t>
  </si>
  <si>
    <t>Laura Ann Court Duplexes</t>
  </si>
  <si>
    <t>SP182</t>
  </si>
  <si>
    <t>Park Pl Dr</t>
  </si>
  <si>
    <t>Richland Chateau</t>
  </si>
  <si>
    <t>SP183</t>
  </si>
  <si>
    <t>Reeves St</t>
  </si>
  <si>
    <t>Robinwood Apts</t>
  </si>
  <si>
    <t>SP184</t>
  </si>
  <si>
    <t>Rufe Snow D</t>
  </si>
  <si>
    <t>SP185</t>
  </si>
  <si>
    <t>Brocks</t>
  </si>
  <si>
    <t>6157-61-63</t>
  </si>
  <si>
    <t>SP186</t>
  </si>
  <si>
    <t>Cody Ct</t>
  </si>
  <si>
    <t>SP187</t>
  </si>
  <si>
    <t>Roberts Cut Off</t>
  </si>
  <si>
    <t>SP188</t>
  </si>
  <si>
    <t>Bent Creek Condos</t>
  </si>
  <si>
    <t>SP189</t>
  </si>
  <si>
    <t>Ranger Dr</t>
  </si>
  <si>
    <t>Lakeview Duplex</t>
  </si>
  <si>
    <t>SP19</t>
  </si>
  <si>
    <t>Cedar St</t>
  </si>
  <si>
    <t>SP190</t>
  </si>
  <si>
    <t>Alissa Dr</t>
  </si>
  <si>
    <t>6200-6700</t>
  </si>
  <si>
    <t>Lakeview Meadow Estates</t>
  </si>
  <si>
    <t>SP191</t>
  </si>
  <si>
    <t>SP192</t>
  </si>
  <si>
    <t>Knights Bridge</t>
  </si>
  <si>
    <t>SP193</t>
  </si>
  <si>
    <t>Rutgers Cir</t>
  </si>
  <si>
    <t>College Park Duplex</t>
  </si>
  <si>
    <t>SP194</t>
  </si>
  <si>
    <t>Stanford St</t>
  </si>
  <si>
    <t>SP195</t>
  </si>
  <si>
    <t>6th St</t>
  </si>
  <si>
    <t>SP196</t>
  </si>
  <si>
    <t>78 SH</t>
  </si>
  <si>
    <t>SP197</t>
  </si>
  <si>
    <t>Brookview Ct</t>
  </si>
  <si>
    <t>Brookview Ct Fourplex</t>
  </si>
  <si>
    <t>SP198</t>
  </si>
  <si>
    <t>Jewel St</t>
  </si>
  <si>
    <t>3624-3630</t>
  </si>
  <si>
    <t>SP199</t>
  </si>
  <si>
    <t>Hilltop Meadows</t>
  </si>
  <si>
    <t>SP2</t>
  </si>
  <si>
    <t>Benge Oaks Apts</t>
  </si>
  <si>
    <t>SP20</t>
  </si>
  <si>
    <t>Hickerson Place Apts</t>
  </si>
  <si>
    <t>SP200</t>
  </si>
  <si>
    <t>White Rock St</t>
  </si>
  <si>
    <t>SP201</t>
  </si>
  <si>
    <t>36th St SW</t>
  </si>
  <si>
    <t>LaGuna Apts</t>
  </si>
  <si>
    <t>SP202</t>
  </si>
  <si>
    <t>Glendora Ave</t>
  </si>
  <si>
    <t>Glendora Apts</t>
  </si>
  <si>
    <t>SP203</t>
  </si>
  <si>
    <t>Grayson St E</t>
  </si>
  <si>
    <t>Marshann Apts</t>
  </si>
  <si>
    <t>SP204</t>
  </si>
  <si>
    <t>Natalen Ave</t>
  </si>
  <si>
    <t>Natalen Square Apts</t>
  </si>
  <si>
    <t>SP205</t>
  </si>
  <si>
    <t>Ben Hogan</t>
  </si>
  <si>
    <t>Stephenville 4 Plexes</t>
  </si>
  <si>
    <t>SP206</t>
  </si>
  <si>
    <t>Long</t>
  </si>
  <si>
    <t>SP207</t>
  </si>
  <si>
    <t>SP208</t>
  </si>
  <si>
    <t>Alamo St W</t>
  </si>
  <si>
    <t>SP209</t>
  </si>
  <si>
    <t>Brin E</t>
  </si>
  <si>
    <t>SP21</t>
  </si>
  <si>
    <t>Lemons St</t>
  </si>
  <si>
    <t>Lemon Duplexes</t>
  </si>
  <si>
    <t>SP210</t>
  </si>
  <si>
    <t>College St E</t>
  </si>
  <si>
    <t>SP211</t>
  </si>
  <si>
    <t>Frances Ave</t>
  </si>
  <si>
    <t>SP212</t>
  </si>
  <si>
    <t>Frances N</t>
  </si>
  <si>
    <t>SP213</t>
  </si>
  <si>
    <t>Royal Oaks TH</t>
  </si>
  <si>
    <t>SP214</t>
  </si>
  <si>
    <t>Virginia N</t>
  </si>
  <si>
    <t>SP215</t>
  </si>
  <si>
    <t>Houston St W</t>
  </si>
  <si>
    <t>Villa Milano Apts</t>
  </si>
  <si>
    <t>SP216</t>
  </si>
  <si>
    <t>75 Hwy N</t>
  </si>
  <si>
    <t>Hackberry Park Apts</t>
  </si>
  <si>
    <t>Van Alstyne</t>
  </si>
  <si>
    <t>SP217</t>
  </si>
  <si>
    <t>Azalea Trl</t>
  </si>
  <si>
    <t>SP218</t>
  </si>
  <si>
    <t>Hibiscus Way</t>
  </si>
  <si>
    <t>Hibiscus Court TH</t>
  </si>
  <si>
    <t>SP219</t>
  </si>
  <si>
    <t>Colonial Manor</t>
  </si>
  <si>
    <t>SP22</t>
  </si>
  <si>
    <t>Caddo St S</t>
  </si>
  <si>
    <t>SP220</t>
  </si>
  <si>
    <t>1011 Vine St Apts</t>
  </si>
  <si>
    <t>SP221</t>
  </si>
  <si>
    <t>Cambridge Cir</t>
  </si>
  <si>
    <t>SP222</t>
  </si>
  <si>
    <t>SP223</t>
  </si>
  <si>
    <t>Redbud Ln</t>
  </si>
  <si>
    <t>SP224</t>
  </si>
  <si>
    <t>Brown St W</t>
  </si>
  <si>
    <t>SP23</t>
  </si>
  <si>
    <t>Samuel Blvd Apt 5 E</t>
  </si>
  <si>
    <t>Meadowridge</t>
  </si>
  <si>
    <t>SP24</t>
  </si>
  <si>
    <t>El Nina</t>
  </si>
  <si>
    <t>SP25</t>
  </si>
  <si>
    <t>Bishop Arts District</t>
  </si>
  <si>
    <t>SP26</t>
  </si>
  <si>
    <t>El Ricardo</t>
  </si>
  <si>
    <t>SP27</t>
  </si>
  <si>
    <t>Prairie Crossing Apts</t>
  </si>
  <si>
    <t>SP28</t>
  </si>
  <si>
    <t>SP29</t>
  </si>
  <si>
    <t>SP3</t>
  </si>
  <si>
    <t>Knoll Crest Dr</t>
  </si>
  <si>
    <t>Cedar Ridge Condominiums II</t>
  </si>
  <si>
    <t>SP30</t>
  </si>
  <si>
    <t>Starr of Dallas Apts</t>
  </si>
  <si>
    <t>SP31</t>
  </si>
  <si>
    <t>Bryan St</t>
  </si>
  <si>
    <t>SP32</t>
  </si>
  <si>
    <t>Carroll</t>
  </si>
  <si>
    <t>SP33</t>
  </si>
  <si>
    <t>SP34</t>
  </si>
  <si>
    <t>Studio Village TH</t>
  </si>
  <si>
    <t>SP35</t>
  </si>
  <si>
    <t>Columbia Ave</t>
  </si>
  <si>
    <t>El Cielo Apts</t>
  </si>
  <si>
    <t>SP36</t>
  </si>
  <si>
    <t>5114-5124</t>
  </si>
  <si>
    <t>Columbia House Apts</t>
  </si>
  <si>
    <t>SP37</t>
  </si>
  <si>
    <t>Belvedere</t>
  </si>
  <si>
    <t>SP38</t>
  </si>
  <si>
    <t>SP39</t>
  </si>
  <si>
    <t>Creek Cove DR</t>
  </si>
  <si>
    <t>Creek Cove Villas</t>
  </si>
  <si>
    <t>SP4</t>
  </si>
  <si>
    <t>Mc Queary St</t>
  </si>
  <si>
    <t>504-524</t>
  </si>
  <si>
    <t>SP40</t>
  </si>
  <si>
    <t>Diceman Ave</t>
  </si>
  <si>
    <t>SP41</t>
  </si>
  <si>
    <t>Elsbeth St</t>
  </si>
  <si>
    <t>SP42</t>
  </si>
  <si>
    <t>Ewing Ave N</t>
  </si>
  <si>
    <t>SP43</t>
  </si>
  <si>
    <t>Fairmount Gardens Apts</t>
  </si>
  <si>
    <t>SP44</t>
  </si>
  <si>
    <t>Park Highlands</t>
  </si>
  <si>
    <t>SP45</t>
  </si>
  <si>
    <t>Fitzhugh ave N</t>
  </si>
  <si>
    <t>1826-1830</t>
  </si>
  <si>
    <t>1826 &amp; 1830 N Fitzhugh Apts</t>
  </si>
  <si>
    <t>SP46</t>
  </si>
  <si>
    <t>2212 Fitzhugh Apts</t>
  </si>
  <si>
    <t>SP47</t>
  </si>
  <si>
    <t>Fitzhugh N</t>
  </si>
  <si>
    <t>Bonaventure Apts</t>
  </si>
  <si>
    <t>SP48</t>
  </si>
  <si>
    <t>Trinity Forest Condos</t>
  </si>
  <si>
    <t>SP49</t>
  </si>
  <si>
    <t>Garrett St</t>
  </si>
  <si>
    <t>SP5</t>
  </si>
  <si>
    <t>Medlin Dr</t>
  </si>
  <si>
    <t>Medlin Square</t>
  </si>
  <si>
    <t>SP50</t>
  </si>
  <si>
    <t>SP51</t>
  </si>
  <si>
    <t>Gaston Apts</t>
  </si>
  <si>
    <t>SP52</t>
  </si>
  <si>
    <t>Blue Sky Apts</t>
  </si>
  <si>
    <t>SP53</t>
  </si>
  <si>
    <t>4948-4950</t>
  </si>
  <si>
    <t>Ventura Apts</t>
  </si>
  <si>
    <t>SP54</t>
  </si>
  <si>
    <t>Grigsby</t>
  </si>
  <si>
    <t>Grigsby Place Apts</t>
  </si>
  <si>
    <t>SP55</t>
  </si>
  <si>
    <t>Hall N</t>
  </si>
  <si>
    <t>4014 &amp; 4018</t>
  </si>
  <si>
    <t>SP56</t>
  </si>
  <si>
    <t>Hudson St</t>
  </si>
  <si>
    <t>SP57</t>
  </si>
  <si>
    <t>Illinois Ave E</t>
  </si>
  <si>
    <t>Illinois Garden</t>
  </si>
  <si>
    <t>SP58</t>
  </si>
  <si>
    <t>Illinois Ave W</t>
  </si>
  <si>
    <t>SP59</t>
  </si>
  <si>
    <t>Junius St</t>
  </si>
  <si>
    <t>SP6</t>
  </si>
  <si>
    <t>Mitchell St E</t>
  </si>
  <si>
    <t>Mitchell Street Apts</t>
  </si>
  <si>
    <t>SP60</t>
  </si>
  <si>
    <t>Kiest Terrace</t>
  </si>
  <si>
    <t>SP61</t>
  </si>
  <si>
    <t>Kiest Villas</t>
  </si>
  <si>
    <t>SP62</t>
  </si>
  <si>
    <t>Lafayette St</t>
  </si>
  <si>
    <t>SP64</t>
  </si>
  <si>
    <t>Lindell Ave</t>
  </si>
  <si>
    <t>Lindell Ave Condos</t>
  </si>
  <si>
    <t>SP65</t>
  </si>
  <si>
    <t>SP66</t>
  </si>
  <si>
    <t>4100-4104</t>
  </si>
  <si>
    <t>SP67</t>
  </si>
  <si>
    <t>Marsalis N</t>
  </si>
  <si>
    <t>Townview Apts</t>
  </si>
  <si>
    <t>SP68</t>
  </si>
  <si>
    <t>Mather Ct</t>
  </si>
  <si>
    <t>Chiquita Apts</t>
  </si>
  <si>
    <t>SP69</t>
  </si>
  <si>
    <t>McCommas</t>
  </si>
  <si>
    <t>SP7</t>
  </si>
  <si>
    <t>North Oak Lofts</t>
  </si>
  <si>
    <t>SP70</t>
  </si>
  <si>
    <t>Tealwood Condos</t>
  </si>
  <si>
    <t>SP71</t>
  </si>
  <si>
    <t>2100-2110</t>
  </si>
  <si>
    <t>Fig Tree Apts</t>
  </si>
  <si>
    <t>SP72</t>
  </si>
  <si>
    <t>Munger Ave</t>
  </si>
  <si>
    <t>SP73</t>
  </si>
  <si>
    <t>Navajo Dr</t>
  </si>
  <si>
    <t>Jamestown</t>
  </si>
  <si>
    <t>SP74</t>
  </si>
  <si>
    <t>13934-14030</t>
  </si>
  <si>
    <t>Northwood Hills Apts</t>
  </si>
  <si>
    <t>SP75</t>
  </si>
  <si>
    <t>Pine St</t>
  </si>
  <si>
    <t>Berry Square Apts</t>
  </si>
  <si>
    <t>SP76</t>
  </si>
  <si>
    <t>Prospect Ave</t>
  </si>
  <si>
    <t>SP77</t>
  </si>
  <si>
    <t>Rawlins St</t>
  </si>
  <si>
    <t>Mirasol Court</t>
  </si>
  <si>
    <t>SP78</t>
  </si>
  <si>
    <t>Reagan</t>
  </si>
  <si>
    <t>The Delano</t>
  </si>
  <si>
    <t>SP79</t>
  </si>
  <si>
    <t>Ricksaw Dr</t>
  </si>
  <si>
    <t>SP8</t>
  </si>
  <si>
    <t>Park Row Dr W</t>
  </si>
  <si>
    <t>Park Ridge TH</t>
  </si>
  <si>
    <t>SP80</t>
  </si>
  <si>
    <t>Robert B. Cullum Blvd</t>
  </si>
  <si>
    <t>Delta Plaza Apts</t>
  </si>
  <si>
    <t>SP81</t>
  </si>
  <si>
    <t>Ronnie Dr</t>
  </si>
  <si>
    <t>SP82</t>
  </si>
  <si>
    <t>Ruidosa Ave</t>
  </si>
  <si>
    <t>SP83</t>
  </si>
  <si>
    <t>San Jacinto St</t>
  </si>
  <si>
    <t>Bryan Place Apts</t>
  </si>
  <si>
    <t>SP84</t>
  </si>
  <si>
    <t>San Jacinto Place</t>
  </si>
  <si>
    <t>SP85</t>
  </si>
  <si>
    <t>Sidney St</t>
  </si>
  <si>
    <t>Ciudad del Sol</t>
  </si>
  <si>
    <t>SP86</t>
  </si>
  <si>
    <t>SP87</t>
  </si>
  <si>
    <t>SP88</t>
  </si>
  <si>
    <t>Richland Trace Condo</t>
  </si>
  <si>
    <t>SP89</t>
  </si>
  <si>
    <t>Williamstown Dr</t>
  </si>
  <si>
    <t>SP9</t>
  </si>
  <si>
    <t>Coach Light Apts</t>
  </si>
  <si>
    <t>SP90</t>
  </si>
  <si>
    <t>SP91</t>
  </si>
  <si>
    <t>Downtown Lofts-TH</t>
  </si>
  <si>
    <t>SP92</t>
  </si>
  <si>
    <t>Halsell St</t>
  </si>
  <si>
    <t>Atrium Garden Apts</t>
  </si>
  <si>
    <t>Decatur</t>
  </si>
  <si>
    <t>SP93</t>
  </si>
  <si>
    <t>Austin St N</t>
  </si>
  <si>
    <t>SP94</t>
  </si>
  <si>
    <t>224 Ave F Apts</t>
  </si>
  <si>
    <t>DENTON</t>
  </si>
  <si>
    <t>SP95</t>
  </si>
  <si>
    <t>Ave G</t>
  </si>
  <si>
    <t>223-305</t>
  </si>
  <si>
    <t>Grace I &amp; II</t>
  </si>
  <si>
    <t>SP96</t>
  </si>
  <si>
    <t>SP97</t>
  </si>
  <si>
    <t>2406-2416</t>
  </si>
  <si>
    <t>Bernard St. Duplexes</t>
  </si>
  <si>
    <t>SP98</t>
  </si>
  <si>
    <t>Bonnie Brae St Apt A S</t>
  </si>
  <si>
    <t>Bonnie Green Apts</t>
  </si>
  <si>
    <t>SP99</t>
  </si>
  <si>
    <t>Folder Path</t>
  </si>
  <si>
    <t>Folder Name</t>
  </si>
  <si>
    <t xml:space="preserve"> Street Number</t>
  </si>
  <si>
    <t xml:space="preserve"> Complex</t>
  </si>
  <si>
    <t xml:space="preserve"> City</t>
  </si>
  <si>
    <t>Folder_ID</t>
  </si>
  <si>
    <t>E:\PropInv\MF\Abilene\2nd Street North_2082_6 Complex Apartment Portfolio_Abilene</t>
  </si>
  <si>
    <t>2nd Street North_2082_6 Complex Apartment Portfolio_Abilene</t>
  </si>
  <si>
    <t>2nd Street North</t>
  </si>
  <si>
    <t>6 Complex Apartment Portfolio</t>
  </si>
  <si>
    <t>E:\PropInv\MF\Abilene\Denton Street_1948_Cedar Creek Apartments_Abilene</t>
  </si>
  <si>
    <t>Denton Street_1948_Cedar Creek Apartments_Abilene</t>
  </si>
  <si>
    <t>Denton Street</t>
  </si>
  <si>
    <t>Cedar Creek Apartments</t>
  </si>
  <si>
    <t>E:\PropInv\MF\Abilene\Justice Way_1000_Country Place Apartments_Abilene</t>
  </si>
  <si>
    <t>Justice Way_1000_Country Place Apartments_Abilene</t>
  </si>
  <si>
    <t>Country Place Apartments</t>
  </si>
  <si>
    <t>E:\PropInv\MF\Abilene\Buffalo Gap_2400_Highland Oaks Apartments_Abilene</t>
  </si>
  <si>
    <t>Buffalo Gap_2400_Highland Oaks Apartments_Abilene</t>
  </si>
  <si>
    <t>Highland Oaks Apartments</t>
  </si>
  <si>
    <t>E:\PropInv\MF\Abilene\Texas Avenue_5450_Hunter's Ridge_Abilene</t>
  </si>
  <si>
    <t>Texas Avenue_5450_Hunter's Ridge_Abilene</t>
  </si>
  <si>
    <t>Texas Avenue</t>
  </si>
  <si>
    <t>E:\PropInv\MF\Abilene\Cedar Run Road_3500_Indian Run_Abilene</t>
  </si>
  <si>
    <t>Cedar Run Road_3500_Indian Run_Abilene</t>
  </si>
  <si>
    <t>Cedar Run Road</t>
  </si>
  <si>
    <t>E:\PropInv\MF\Abilene\3rd Street North_3201_Landmark Properties_Abilene</t>
  </si>
  <si>
    <t>3rd Street North_3201_Landmark Properties_Abilene</t>
  </si>
  <si>
    <t>3rd Street North</t>
  </si>
  <si>
    <t>E:\PropInv\MF\Abilene\277 US Highway_5249_Mill Creek_Abilene</t>
  </si>
  <si>
    <t>277 US Highway_5249_Mill Creek_Abilene</t>
  </si>
  <si>
    <t>277 US Highway</t>
  </si>
  <si>
    <t>E:\PropInv\MF\Abilene\Nonesuch Road_2500_Pine Meadows Apartments_Abilene</t>
  </si>
  <si>
    <t>Nonesuch Road_2500_Pine Meadows Apartments_Abilene</t>
  </si>
  <si>
    <t>Nonesuch Road</t>
  </si>
  <si>
    <t>Pine Meadows Apartments</t>
  </si>
  <si>
    <t>E:\PropInv\MF\Abilene\Musken Road_1111_Riatta Ranch_Abilene</t>
  </si>
  <si>
    <t>Musken Road_1111_Riatta Ranch_Abilene</t>
  </si>
  <si>
    <t>Musken Road</t>
  </si>
  <si>
    <t>E:\PropInv\MF\Abilene\Leggett Street_610_The Chaparral_Abilene</t>
  </si>
  <si>
    <t>Leggett Street_610_The Chaparral_Abilene</t>
  </si>
  <si>
    <t>Leggett Street</t>
  </si>
  <si>
    <t>E:\PropInv\MF\Abilene\Willis Street North_2410_Willow Park_Abilene</t>
  </si>
  <si>
    <t>Willis Street North_2410_Willow Park_Abilene</t>
  </si>
  <si>
    <t>Willis Street North</t>
  </si>
  <si>
    <t>E:\PropInv\MF\Abilene\Curry Lane_3501_Windsor Place_Abilene</t>
  </si>
  <si>
    <t>Curry Lane_3501_Windsor Place_Abilene</t>
  </si>
  <si>
    <t>Curry Lane</t>
  </si>
  <si>
    <t>E:\PropInv\MF\Addison\Marsh Lane_14600_Addison Park_Addison</t>
  </si>
  <si>
    <t>Marsh Lane_14600_Addison Park_Addison</t>
  </si>
  <si>
    <t>Marsh Lane</t>
  </si>
  <si>
    <t>E:\PropInv\MF\Addison\Sojourn Drive_4500_Addison_Bent Tree Park_Addison</t>
  </si>
  <si>
    <t>Sojourn Drive_4500_Addison_Bent Tree Park_Addison</t>
  </si>
  <si>
    <t>Sojourn Drive</t>
  </si>
  <si>
    <t>E:\PropInv\MF\Addison\Brookhaven Club Drive_4005_Brookhaven Village South - Garden Oaks_Addison</t>
  </si>
  <si>
    <t>Brookhaven Club Drive_4005_Brookhaven Village South - Garden Oaks_Addison</t>
  </si>
  <si>
    <t>Brookhaven Club Drive</t>
  </si>
  <si>
    <t>Brookhaven Village South - Garden Oaks</t>
  </si>
  <si>
    <t>E:\PropInv\MF\Addison\Brookhaven Club Drive_3900_Greenhaven Village(Demolished)_Addison</t>
  </si>
  <si>
    <t>Brookhaven Club Drive_3900_Greenhaven Village(Demolished)_Addison</t>
  </si>
  <si>
    <t>Greenhaven Village(Demolished)</t>
  </si>
  <si>
    <t>E:\PropInv\MF\Addison\Addison Circle_5001_Renovated Complex_Addison</t>
  </si>
  <si>
    <t>Addison Circle_5001_Renovated Complex_Addison</t>
  </si>
  <si>
    <t>Addison Circle</t>
  </si>
  <si>
    <t>E:\PropInv\MF\Addison\Brokkhaven Club Drive_3767_The Brooks_Addison</t>
  </si>
  <si>
    <t>Brokkhaven Club Drive_3767_The Brooks_Addison</t>
  </si>
  <si>
    <t>Brokkhaven Club Drive</t>
  </si>
  <si>
    <t>The Brooks</t>
  </si>
  <si>
    <t>E:\PropInv\MF\Allen\Jupiter Road South_301_Wyndsor Court_Allen</t>
  </si>
  <si>
    <t>Jupiter Road South_301_Wyndsor Court_Allen</t>
  </si>
  <si>
    <t>Jupiter Road South</t>
  </si>
  <si>
    <t>E:\PropInv\MF\Alvin\Street South East_800_Cedar Grove_Alvin</t>
  </si>
  <si>
    <t>Street South East_800_Cedar Grove_Alvin</t>
  </si>
  <si>
    <t>Street South East</t>
  </si>
  <si>
    <t>Cedar Grove</t>
  </si>
  <si>
    <t>E:\PropInv\MF\Alvin\35 Loop South_2551_Country Village Apartments_Alvin</t>
  </si>
  <si>
    <t>35 Loop South_2551_Country Village Apartments_Alvin</t>
  </si>
  <si>
    <t>35 Loop South</t>
  </si>
  <si>
    <t>Country Village Apartments</t>
  </si>
  <si>
    <t>E:\PropInv\MF\Alvin\Fairway Drive_2301_Fairway Square Apts_Alvin</t>
  </si>
  <si>
    <t>Fairway Drive_2301_Fairway Square Apts_Alvin</t>
  </si>
  <si>
    <t>Fairway Drive</t>
  </si>
  <si>
    <t>Fairway Square Apts</t>
  </si>
  <si>
    <t>E:\PropInv\MF\Alvin\Rosharon Road_1908_Quail Hollow_Alvin</t>
  </si>
  <si>
    <t>Rosharon Road_1908_Quail Hollow_Alvin</t>
  </si>
  <si>
    <t>Rosharon Road</t>
  </si>
  <si>
    <t>E:\PropInv\MF\Alvin\Mustang Road South_3833_Willow Creek Manor_Alvin</t>
  </si>
  <si>
    <t>Mustang Road South_3833_Willow Creek Manor_Alvin</t>
  </si>
  <si>
    <t>Mustang Road South</t>
  </si>
  <si>
    <t>E:\PropInv\MF\Amarillo\Williams Street South_1212_Amarillo Gardens_Amarillo</t>
  </si>
  <si>
    <t>Williams Street South_1212_Amarillo Gardens_Amarillo</t>
  </si>
  <si>
    <t>Williams Street South</t>
  </si>
  <si>
    <t>E:\PropInv\MF\Amarillo\Blake Avenue_6302_Arden Ridge Apartments_Amarillo</t>
  </si>
  <si>
    <t>Blake Avenue_6302_Arden Ridge Apartments_Amarillo</t>
  </si>
  <si>
    <t>Blake Avenue</t>
  </si>
  <si>
    <t>Arden Ridge Apartments</t>
  </si>
  <si>
    <t>E:\PropInv\MF\Amarillo\Bell Street_1524_Bell Plaza_Amarillo</t>
  </si>
  <si>
    <t>Bell Street_1524_Bell Plaza_Amarillo</t>
  </si>
  <si>
    <t>Bell Street</t>
  </si>
  <si>
    <t>E:\PropInv\MF\Amarillo\Bell Street_1550_Brighton Court_Amarillo</t>
  </si>
  <si>
    <t>Bell Street_1550_Brighton Court_Amarillo</t>
  </si>
  <si>
    <t>E:\PropInv\MF\Amarillo\Coulter Street South_3420_Chasewood Apartments_Amarillo</t>
  </si>
  <si>
    <t>Coulter Street South_3420_Chasewood Apartments_Amarillo</t>
  </si>
  <si>
    <t>Coulter Street South</t>
  </si>
  <si>
    <t>Chasewood Apartments</t>
  </si>
  <si>
    <t>E:\PropInv\MF\Amarillo\27th Avenue_3100_Coloniak Arms Or James_Amarillo</t>
  </si>
  <si>
    <t>27th Avenue_3100_Coloniak Arms Or James_Amarillo</t>
  </si>
  <si>
    <t>27th Avenue</t>
  </si>
  <si>
    <t>Coloniak Arms Or James</t>
  </si>
  <si>
    <t>E:\PropInv\MF\Amarillo\27th Ave West_3003_Greenbriar Terrace Apartments_Amarillo</t>
  </si>
  <si>
    <t>27th Ave West_3003_Greenbriar Terrace Apartments_Amarillo</t>
  </si>
  <si>
    <t>27th Ave West</t>
  </si>
  <si>
    <t>Greenbriar Terrace Apartments</t>
  </si>
  <si>
    <t>E:\PropInv\MF\Amarillo\Polk Street South_724_Loft Conversion Opportunity_Amarillo</t>
  </si>
  <si>
    <t>Polk Street South_724_Loft Conversion Opportunity_Amarillo</t>
  </si>
  <si>
    <t>Polk Street South</t>
  </si>
  <si>
    <t>E:\PropInv\MF\Amarillo\Paramount Terrace_4210_Paramount Terrace FSBO Principal Only_Amarillo</t>
  </si>
  <si>
    <t>Paramount Terrace_4210_Paramount Terrace FSBO Principal Only_Amarillo</t>
  </si>
  <si>
    <t>Paramount Terrace FSBO Principal Only</t>
  </si>
  <si>
    <t>E:\PropInv\MF\Amarillo\Plum Creek_6600_Quail Creek Apartments_Amarillo</t>
  </si>
  <si>
    <t>Plum Creek_6600_Quail Creek Apartments_Amarillo</t>
  </si>
  <si>
    <t>Quail Creek Apartments</t>
  </si>
  <si>
    <t>E:\PropInv\MF\Amarillo\Bell South_5601_Red Oak Ranch Apartments_Amarillo</t>
  </si>
  <si>
    <t>Bell South_5601_Red Oak Ranch Apartments_Amarillo</t>
  </si>
  <si>
    <t>Bell South</t>
  </si>
  <si>
    <t>Red Oak Ranch Apartments</t>
  </si>
  <si>
    <t>E:\PropInv\MF\Amarillo\Bell South_3920_The Crossings At Bell_Amarillo</t>
  </si>
  <si>
    <t>Bell South_3920_The Crossings At Bell_Amarillo</t>
  </si>
  <si>
    <t>The Crossings At Bell</t>
  </si>
  <si>
    <t>E:\PropInv\MF\Amarillo\Virginia Street South_4515_The Lighthouse_Amarillo</t>
  </si>
  <si>
    <t>Virginia Street South_4515_The Lighthouse_Amarillo</t>
  </si>
  <si>
    <t>Virginia Street South</t>
  </si>
  <si>
    <t>E:\PropInv\MF\Amarillo\51st Street West_4301_Westbridge Square_Amarillo</t>
  </si>
  <si>
    <t>51st Street West_4301_Westbridge Square_Amarillo</t>
  </si>
  <si>
    <t>51st Street West</t>
  </si>
  <si>
    <t>E:\PropInv\MF\Angleton\Cannon Drive_301_Angleton_Cambridge Apartments_Angleton</t>
  </si>
  <si>
    <t>Cannon Drive_301_Angleton_Cambridge Apartments_Angleton</t>
  </si>
  <si>
    <t>Cannon Drive</t>
  </si>
  <si>
    <t>Cambridge Apartments</t>
  </si>
  <si>
    <t>E:\PropInv\MF\Aransas Pass\Ransom Road East_203_Bayshore And Rockport_Aransas Pass</t>
  </si>
  <si>
    <t>Ransom Road East_203_Bayshore And Rockport_Aransas Pass</t>
  </si>
  <si>
    <t>Ransom Road East</t>
  </si>
  <si>
    <t>Bayshore And Rockport</t>
  </si>
  <si>
    <t>E:\PropInv\MF\Aransas Pass\McMullen Lane_2001_Windy Shores_Aransas Pass</t>
  </si>
  <si>
    <t>McMullen Lane_2001_Windy Shores_Aransas Pass</t>
  </si>
  <si>
    <t>McMullen Lane</t>
  </si>
  <si>
    <t>E:\PropInv\MF\Arlington\Starlinda Court_615_615 Starlinda Court_Arlington</t>
  </si>
  <si>
    <t>Starlinda Court_615_615 Starlinda Court_Arlington</t>
  </si>
  <si>
    <t>Starlinda Court</t>
  </si>
  <si>
    <t>615 Starlinda Court</t>
  </si>
  <si>
    <t>E:\PropInv\MF\Arlington\3rd Street West_155_Alpha Delta Apartments_Arlington</t>
  </si>
  <si>
    <t>3rd Street West_155_Alpha Delta Apartments_Arlington</t>
  </si>
  <si>
    <t>3rd Street West</t>
  </si>
  <si>
    <t>Alpha Delta Apartments</t>
  </si>
  <si>
    <t>E:\PropInv\MF\Arlington\Arkansas Lane West_1029_Arbor Terrace_Arlington</t>
  </si>
  <si>
    <t>Arkansas Lane West_1029_Arbor Terrace_Arlington</t>
  </si>
  <si>
    <t>Arkansas Lane West</t>
  </si>
  <si>
    <t>E:\PropInv\MF\Arlington\Arkansas Lane East_1010_Arbors Of Alington_Arlington</t>
  </si>
  <si>
    <t>Arkansas Lane East_1010_Arbors Of Alington_Arlington</t>
  </si>
  <si>
    <t>Arkansas Lane East</t>
  </si>
  <si>
    <t>Arbors Of Alington</t>
  </si>
  <si>
    <t>E:\PropInv\MF\Arlington\Lovers Lane_1500_Arlington Square_Arlington</t>
  </si>
  <si>
    <t>Lovers Lane_1500_Arlington Square_Arlington</t>
  </si>
  <si>
    <t>Lovers Lane</t>
  </si>
  <si>
    <t>Arlington Square</t>
  </si>
  <si>
    <t>E:\PropInv\MF\Arlington\Harriett Street_2215_Arlington Village_Arlington</t>
  </si>
  <si>
    <t>Harriett Street_2215_Arlington Village_Arlington</t>
  </si>
  <si>
    <t>Harriett Street</t>
  </si>
  <si>
    <t>E:\PropInv\MF\Arlington\Pioneer Parkway West_600_Arroyo Park Townhomes_Arlington</t>
  </si>
  <si>
    <t>Pioneer Parkway West_600_Arroyo Park Townhomes_Arlington</t>
  </si>
  <si>
    <t>Pioneer Parkway West</t>
  </si>
  <si>
    <t>Arroyo Park Townhomes</t>
  </si>
  <si>
    <t>E:\PropInv\MF\Arlington\Ascension Boulevard_2500_Ascension Point Condominiums_Arlington</t>
  </si>
  <si>
    <t>Ascension Boulevard_2500_Ascension Point Condominiums_Arlington</t>
  </si>
  <si>
    <t>Ascension Boulevard</t>
  </si>
  <si>
    <t>Ascension Point Condominiums</t>
  </si>
  <si>
    <t>E:\PropInv\MF\Arlington\Collins Street North_2713_Ashley Village_Arlington</t>
  </si>
  <si>
    <t>Collins Street North_2713_Ashley Village_Arlington</t>
  </si>
  <si>
    <t>Collins Street North</t>
  </si>
  <si>
    <t>Ashley Village</t>
  </si>
  <si>
    <t>E:\PropInv\MF\Arlington\Tharp Street_800_Bel Aire_Arlington</t>
  </si>
  <si>
    <t>Tharp Street_800_Bel Aire_Arlington</t>
  </si>
  <si>
    <t>Tharp Street</t>
  </si>
  <si>
    <t>Bel Aire</t>
  </si>
  <si>
    <t>E:\PropInv\MF\Arlington\Benge Drive_716_Benge Oaks Apartments_Arlington</t>
  </si>
  <si>
    <t>Benge Drive_716_Benge Oaks Apartments_Arlington</t>
  </si>
  <si>
    <t>Benge Drive</t>
  </si>
  <si>
    <t>Benge Oaks Apartments</t>
  </si>
  <si>
    <t>E:\PropInv\MF\Arlington\Mayfield Road_600_Blleza Senior Apartment_Arlington</t>
  </si>
  <si>
    <t>Mayfield Road_600_Blleza Senior Apartment_Arlington</t>
  </si>
  <si>
    <t>Mayfield Road</t>
  </si>
  <si>
    <t>Blleza Senior Apartment</t>
  </si>
  <si>
    <t>E:\PropInv\MF\Arlington\Arkansas Lane East_701_Blue Bonnet Townhomes_Arlington</t>
  </si>
  <si>
    <t>Arkansas Lane East_701_Blue Bonnet Townhomes_Arlington</t>
  </si>
  <si>
    <t>Blue Bonnet Townhomes</t>
  </si>
  <si>
    <t>E:\PropInv\MF\Arlington\Bowen Road North_435_Bowen Square Apartments_Arlington</t>
  </si>
  <si>
    <t>Bowen Road North_435_Bowen Square Apartments_Arlington</t>
  </si>
  <si>
    <t>Bowen Road North</t>
  </si>
  <si>
    <t>Bowen Square Apartments</t>
  </si>
  <si>
    <t>E:\PropInv\MF\Arlington\Terlingua Lane_2008_Brazos Park_Arlington</t>
  </si>
  <si>
    <t>Terlingua Lane_2008_Brazos Park_Arlington</t>
  </si>
  <si>
    <t>Terlingua Lane</t>
  </si>
  <si>
    <t>E:\PropInv\MF\Arlington\Cooper Street South_2005_Casa Serena_Arlington</t>
  </si>
  <si>
    <t>Cooper Street South_2005_Casa Serena_Arlington</t>
  </si>
  <si>
    <t>Cooper Street South</t>
  </si>
  <si>
    <t>E:\PropInv\MF\Arlington\San Francisco Court_1519_Cascades Apartments_Arlington</t>
  </si>
  <si>
    <t>San Francisco Court_1519_Cascades Apartments_Arlington</t>
  </si>
  <si>
    <t>San Francisco Court</t>
  </si>
  <si>
    <t>Cascades Apartments</t>
  </si>
  <si>
    <t>E:\PropInv\MF\Arlington\Knoll Crest Drive_2103_Cedar Ridge Condominiums Phase II_Arlington</t>
  </si>
  <si>
    <t>Knoll Crest Drive_2103_Cedar Ridge Condominiums Phase II_Arlington</t>
  </si>
  <si>
    <t>Knoll Crest Drive</t>
  </si>
  <si>
    <t>Cedar Ridge Condominiums Phase II</t>
  </si>
  <si>
    <t>E:\PropInv\MF\Arlington\3rd Street East_111_Center Chase Apartments_Arlington</t>
  </si>
  <si>
    <t>3rd Street East_111_Center Chase Apartments_Arlington</t>
  </si>
  <si>
    <t>3rd Street East</t>
  </si>
  <si>
    <t>Center Chase Apartments</t>
  </si>
  <si>
    <t>E:\PropInv\MF\Arlington\3rd Street East_201_Center Chase Apartments_Arlington</t>
  </si>
  <si>
    <t>3rd Street East_201_Center Chase Apartments_Arlington</t>
  </si>
  <si>
    <t>E:\PropInv\MF\Arlington\Center Street South_1001_Center Court Apartments_Arlington</t>
  </si>
  <si>
    <t>Center Street South_1001_Center Court Apartments_Arlington</t>
  </si>
  <si>
    <t>Center Street South</t>
  </si>
  <si>
    <t>Center Court Apartments</t>
  </si>
  <si>
    <t>E:\PropInv\MF\Arlington\Park Row Drive East_2405_Coach Light Apartments_Arlington</t>
  </si>
  <si>
    <t>Park Row Drive East_2405_Coach Light Apartments_Arlington</t>
  </si>
  <si>
    <t>Park Row Drive East</t>
  </si>
  <si>
    <t>Coach Light Apartments</t>
  </si>
  <si>
    <t>E:\PropInv\MF\Arlington\Sanford Street East_808_Collins Park_Arlington</t>
  </si>
  <si>
    <t>Sanford Street East_808_Collins Park_Arlington</t>
  </si>
  <si>
    <t>Sanford Street East</t>
  </si>
  <si>
    <t>E:\PropInv\MF\Arlington\Lamar Boulevard East_525_CountyWood Apartments_Arlington</t>
  </si>
  <si>
    <t>Lamar Boulevard East_525_CountyWood Apartments_Arlington</t>
  </si>
  <si>
    <t>Lamar Boulevard East</t>
  </si>
  <si>
    <t>CountyWood Apartments</t>
  </si>
  <si>
    <t>E:\PropInv\MF\Arlington\Pioneer Parkway West_300_English Village Townhomes_Arlington</t>
  </si>
  <si>
    <t>Pioneer Parkway West_300_English Village Townhomes_Arlington</t>
  </si>
  <si>
    <t>English Village Townhomes</t>
  </si>
  <si>
    <t>E:\PropInv\MF\Arlington\Falcon River Way_6504_Falcon Lakes_Arlington</t>
  </si>
  <si>
    <t>Falcon River Way_6504_Falcon Lakes_Arlington</t>
  </si>
  <si>
    <t>E:\PropInv\MF\Arlington\Westview Terrace_1727_Fielder Crossing Condominiums_Arlington</t>
  </si>
  <si>
    <t>Westview Terrace_1727_Fielder Crossing Condominiums_Arlington</t>
  </si>
  <si>
    <t>Fielder Crossing Condominiums</t>
  </si>
  <si>
    <t>E:\PropInv\MF\Arlington\Fielders Glen Drive_3601_Fielders Glen Apartments_Arlington</t>
  </si>
  <si>
    <t>Fielders Glen Drive_3601_Fielders Glen Apartments_Arlington</t>
  </si>
  <si>
    <t>Fielders Glen Drive</t>
  </si>
  <si>
    <t>Fielders Glen Apartments</t>
  </si>
  <si>
    <t>E:\PropInv\MF\Arlington\Lincoln Drive_2107_Forest Hills Apartments_Arlington</t>
  </si>
  <si>
    <t>Lincoln Drive_2107_Forest Hills Apartments_Arlington</t>
  </si>
  <si>
    <t>Lincoln Drive</t>
  </si>
  <si>
    <t>Forest Hills Apartments</t>
  </si>
  <si>
    <t>E:\PropInv\MF\Arlington\Sherry Street_1609_Garden Park_Arlington</t>
  </si>
  <si>
    <t>Sherry Street_1609_Garden Park_Arlington</t>
  </si>
  <si>
    <t>Sherry Street</t>
  </si>
  <si>
    <t>E:\PropInv\MF\Arlington\Washington Drive_715_Hampton Hills_Arlington</t>
  </si>
  <si>
    <t>Washington Drive_715_Hampton Hills_Arlington</t>
  </si>
  <si>
    <t>Washington Drive</t>
  </si>
  <si>
    <t>E:\PropInv\MF\Arlington\Heather Hill Court_2706_Heather Ridge_Arlington</t>
  </si>
  <si>
    <t>Heather Hill Court_2706_Heather Ridge_Arlington</t>
  </si>
  <si>
    <t>Heather Hill Court</t>
  </si>
  <si>
    <t>E:\PropInv\MF\Arlington\Benge Drive_816_Heritage Cj Apartments_Arlington</t>
  </si>
  <si>
    <t>Benge Drive_816_Heritage Cj Apartments_Arlington</t>
  </si>
  <si>
    <t>Heritage Cj Apartments</t>
  </si>
  <si>
    <t>E:\PropInv\MF\Arlington\Brent Drive_605_High Oak Terrace_Arlington</t>
  </si>
  <si>
    <t>Brent Drive_605_High Oak Terrace_Arlington</t>
  </si>
  <si>
    <t>Brent Drive</t>
  </si>
  <si>
    <t>High Oak Terrace</t>
  </si>
  <si>
    <t>E:\PropInv\MF\Arlington\Ivy Brook Court_2504_Holly Ridge_Arlington</t>
  </si>
  <si>
    <t>Ivy Brook Court_2504_Holly Ridge_Arlington</t>
  </si>
  <si>
    <t>Ivy Brook Court</t>
  </si>
  <si>
    <t>E:\PropInv\MF\Arlington\Fielder Road North_408_Landmark Terrace_Arlington</t>
  </si>
  <si>
    <t>Fielder Road North_408_Landmark Terrace_Arlington</t>
  </si>
  <si>
    <t>Fielder Road North</t>
  </si>
  <si>
    <t>Landmark Terrace</t>
  </si>
  <si>
    <t>E:\PropInv\MF\Arlington\Timberlake Drive_834_Las Lomas_Arlington</t>
  </si>
  <si>
    <t>Timberlake Drive_834_Las Lomas_Arlington</t>
  </si>
  <si>
    <t>Timberlake Drive</t>
  </si>
  <si>
    <t>E:\PropInv\MF\Arlington\Carter Drive_1676_L'Atriums On The Creek_Arlington</t>
  </si>
  <si>
    <t>Carter Drive_1676_L'Atriums On The Creek_Arlington</t>
  </si>
  <si>
    <t>Carter Drive</t>
  </si>
  <si>
    <t>L'Atriums On The Creek</t>
  </si>
  <si>
    <t>E:\PropInv\MF\Arlington\Garden Shadow Lane_723_Lodge At Legacy_Arlington</t>
  </si>
  <si>
    <t>Garden Shadow Lane_723_Lodge At Legacy_Arlington</t>
  </si>
  <si>
    <t>Garden Shadow Lane</t>
  </si>
  <si>
    <t>Lodge At Legacy</t>
  </si>
  <si>
    <t>E:\PropInv\MF\Arlington\Pioneer Parkway West_200_Matlock Place_Arlington</t>
  </si>
  <si>
    <t>Pioneer Parkway West_200_Matlock Place_Arlington</t>
  </si>
  <si>
    <t>E:\PropInv\MF\Arlington\Center Street_805_Meadow Creek_Arlington</t>
  </si>
  <si>
    <t>Center Street_805_Meadow Creek_Arlington</t>
  </si>
  <si>
    <t>Center Street</t>
  </si>
  <si>
    <t>E:\PropInv\MF\Arlington\Medlin Drive_2505_Medlin Square Apartments_Arlington</t>
  </si>
  <si>
    <t>Medlin Drive_2505_Medlin Square Apartments_Arlington</t>
  </si>
  <si>
    <t>Medlin Drive</t>
  </si>
  <si>
    <t>Medlin Square Apartments</t>
  </si>
  <si>
    <t>E:\PropInv\MF\Arlington\Melrose Street_1900_Melrose Duplexes_Arlington</t>
  </si>
  <si>
    <t>Melrose Street_1900_Melrose Duplexes_Arlington</t>
  </si>
  <si>
    <t>Melrose Street</t>
  </si>
  <si>
    <t>E:\PropInv\MF\Arlington\Misty Ridge Circle_2300_Misty Woods_Arlington</t>
  </si>
  <si>
    <t>Misty Ridge Circle_2300_Misty Woods_Arlington</t>
  </si>
  <si>
    <t>Misty Ridge Circle</t>
  </si>
  <si>
    <t>Misty Woods</t>
  </si>
  <si>
    <t>E:\PropInv\MF\Arlington\Mitchell Street East_304_Mitchell Street Apartment_Arlington</t>
  </si>
  <si>
    <t>Mitchell Street East_304_Mitchell Street Apartment_Arlington</t>
  </si>
  <si>
    <t>Mitchell Street East</t>
  </si>
  <si>
    <t>Mitchell Street Apartment</t>
  </si>
  <si>
    <t>E:\PropInv\MF\Arlington\Matlock Road_2900_Mustang Creek_Arlington</t>
  </si>
  <si>
    <t>Matlock Road_2900_Mustang Creek_Arlington</t>
  </si>
  <si>
    <t>Matlock Road</t>
  </si>
  <si>
    <t>E:\PropInv\MF\Arlington\Oak Street North_406_North Oak Lofts_Arlington</t>
  </si>
  <si>
    <t>Oak Street North_406_North Oak Lofts_Arlington</t>
  </si>
  <si>
    <t>Oak Street North</t>
  </si>
  <si>
    <t>E:\PropInv\MF\Arlington\Lincoln Drive_2011_Northridge_Arlington</t>
  </si>
  <si>
    <t>Lincoln Drive_2011_Northridge_Arlington</t>
  </si>
  <si>
    <t>E:\PropInv\MF\Arlington\Washington Drive_707_Oak Creek_Arlington</t>
  </si>
  <si>
    <t>Washington Drive_707_Oak Creek_Arlington</t>
  </si>
  <si>
    <t>E:\PropInv\MF\Arlington\Oak Street North_901_Oak Square_Arlington</t>
  </si>
  <si>
    <t>Oak Street North_901_Oak Square_Arlington</t>
  </si>
  <si>
    <t>E:\PropInv\MF\Arlington\Abram Street East_2420_Oakwood Crossing_Arlington</t>
  </si>
  <si>
    <t>Abram Street East_2420_Oakwood Crossing_Arlington</t>
  </si>
  <si>
    <t>Abram Street East</t>
  </si>
  <si>
    <t>Oakwood Crossing</t>
  </si>
  <si>
    <t>E:\PropInv\MF\Arlington\Causley Avenue_604_Oxford_Arlington</t>
  </si>
  <si>
    <t>Causley Avenue_604_Oxford_Arlington</t>
  </si>
  <si>
    <t>Causley Avenue</t>
  </si>
  <si>
    <t>E:\PropInv\MF\Arlington\Camino Verdes Boulevard_5223_Palos Verdes Townhome_Arlington</t>
  </si>
  <si>
    <t>Camino Verdes Boulevard_5223_Palos Verdes Townhome_Arlington</t>
  </si>
  <si>
    <t>Camino Verdes Boulevard</t>
  </si>
  <si>
    <t>Palos Verdes Townhome</t>
  </si>
  <si>
    <t>E:\PropInv\MF\Arlington\Parkway Lane_1541_Park East Townhomes_Arlington</t>
  </si>
  <si>
    <t>Parkway Lane_1541_Park East Townhomes_Arlington</t>
  </si>
  <si>
    <t>Parkway Lane</t>
  </si>
  <si>
    <t>Park East Townhomes</t>
  </si>
  <si>
    <t>E:\PropInv\MF\Arlington\Park Row Drive East_3100_Park Lane Apartment_Arlington</t>
  </si>
  <si>
    <t>Park Row Drive East_3100_Park Lane Apartment_Arlington</t>
  </si>
  <si>
    <t>Park Lane Apartment</t>
  </si>
  <si>
    <t>E:\PropInv\MF\Arlington\Park Row Drive West_300_Park Ridge Townhomes_Arlington</t>
  </si>
  <si>
    <t>Park Row Drive West_300_Park Ridge Townhomes_Arlington</t>
  </si>
  <si>
    <t>Park Row Drive West</t>
  </si>
  <si>
    <t>Park Ridge Townhomes</t>
  </si>
  <si>
    <t>E:\PropInv\MF\Arlington\Little Road_3740_Pineridge_Arlington</t>
  </si>
  <si>
    <t>Little Road_3740_Pineridge_Arlington</t>
  </si>
  <si>
    <t>Little Road</t>
  </si>
  <si>
    <t>E:\PropInv\MF\Arlington\Pioneer Parkway West_1014_Pioneer Parkway_Arlington</t>
  </si>
  <si>
    <t>Pioneer Parkway West_1014_Pioneer Parkway_Arlington</t>
  </si>
  <si>
    <t>Pioneer Parkway</t>
  </si>
  <si>
    <t>E:\PropInv\MF\Arlington\Pioneer Parkway East_2021_Place On The Park_Arlington</t>
  </si>
  <si>
    <t>Pioneer Parkway East_2021_Place On The Park_Arlington</t>
  </si>
  <si>
    <t>Pioneer Parkway East</t>
  </si>
  <si>
    <t>Place On The Park</t>
  </si>
  <si>
    <t>E:\PropInv\MF\Arlington\Brentford Place_711_River Oaks Apartments_Arlington</t>
  </si>
  <si>
    <t>Brentford Place_711_River Oaks Apartments_Arlington</t>
  </si>
  <si>
    <t>River Oaks Apartments</t>
  </si>
  <si>
    <t>E:\PropInv\MF\Arlington\Trinity Bend_2711_Riverbend Village_Arlington</t>
  </si>
  <si>
    <t>Trinity Bend_2711_Riverbend Village_Arlington</t>
  </si>
  <si>
    <t>Trinity Bend</t>
  </si>
  <si>
    <t>E:\PropInv\MF\Arlington\Cooper Street North_1315_Saint Charles_Arlington</t>
  </si>
  <si>
    <t>Cooper Street North_1315_Saint Charles_Arlington</t>
  </si>
  <si>
    <t>Cooper Street North</t>
  </si>
  <si>
    <t>Saint Charles</t>
  </si>
  <si>
    <t>E:\PropInv\MF\Arlington\Grand Court_711_Sam Maverick Apartments_Arlington</t>
  </si>
  <si>
    <t>Grand Court_711_Sam Maverick Apartments_Arlington</t>
  </si>
  <si>
    <t>Grand Court</t>
  </si>
  <si>
    <t>Sam Maverick Apartments</t>
  </si>
  <si>
    <t>E:\PropInv\MF\Arlington\Fuller Street_501_Sawyer's Mill_Arlington</t>
  </si>
  <si>
    <t>Fuller Street_501_Sawyer's Mill_Arlington</t>
  </si>
  <si>
    <t>Fuller Street</t>
  </si>
  <si>
    <t>Sawyer's Mill</t>
  </si>
  <si>
    <t>E:\PropInv\MF\Arlington\Abram Street East_3232_Silver Belle Apartments_Arlington</t>
  </si>
  <si>
    <t>Abram Street East_3232_Silver Belle Apartments_Arlington</t>
  </si>
  <si>
    <t>Silver Belle Apartments</t>
  </si>
  <si>
    <t>E:\PropInv\MF\Arlington\Park Row Drive East_2411_South Park Apartments_Arlington</t>
  </si>
  <si>
    <t>Park Row Drive East_2411_South Park Apartments_Arlington</t>
  </si>
  <si>
    <t>South Park Apartments</t>
  </si>
  <si>
    <t>E:\PropInv\MF\Arlington\Southern Hills Boulevard_2624_Southern Hills_Arlington</t>
  </si>
  <si>
    <t>Southern Hills Boulevard_2624_Southern Hills_Arlington</t>
  </si>
  <si>
    <t>Southern Hills Boulevard</t>
  </si>
  <si>
    <t>E:\PropInv\MF\Arlington\Park Row Drive East_2407_SouthPark Apartments_Arlington</t>
  </si>
  <si>
    <t>Park Row Drive East_2407_SouthPark Apartments_Arlington</t>
  </si>
  <si>
    <t>SouthPark Apartments</t>
  </si>
  <si>
    <t>E:\PropInv\MF\Arlington\Park Row Drive West_420_Spanish Park Apartments_Arlington</t>
  </si>
  <si>
    <t>Park Row Drive West_420_Spanish Park Apartments_Arlington</t>
  </si>
  <si>
    <t>Spanish Park Apartments</t>
  </si>
  <si>
    <t>E:\PropInv\MF\Arlington\Springcrest Drive_2007_Springcrest_Arlington</t>
  </si>
  <si>
    <t>Springcrest Drive_2007_Springcrest_Arlington</t>
  </si>
  <si>
    <t>Springcrest Drive</t>
  </si>
  <si>
    <t>E:\PropInv\MF\Arlington\Randy Snow Road_1908_Summer Brook_Arlington</t>
  </si>
  <si>
    <t>Randy Snow Road_1908_Summer Brook_Arlington</t>
  </si>
  <si>
    <t>Randy Snow Road</t>
  </si>
  <si>
    <t>E:\PropInv\MF\Arlington\Brown Boulevard_812_Summer Oaks_Arlington</t>
  </si>
  <si>
    <t>Brown Boulevard_812_Summer Oaks_Arlington</t>
  </si>
  <si>
    <t>Brown Boulevard</t>
  </si>
  <si>
    <t>E:\PropInv\MF\Arlington\Plum Lane_2216_Sutter Creek_Arlington</t>
  </si>
  <si>
    <t>Plum Lane_2216_Sutter Creek_Arlington</t>
  </si>
  <si>
    <t>Plum Lane</t>
  </si>
  <si>
    <t>E:\PropInv\MF\Arlington\Abram Street East_2015_Tanglewoood Apartments_Arlington</t>
  </si>
  <si>
    <t>Abram Street East_2015_Tanglewoood Apartments_Arlington</t>
  </si>
  <si>
    <t>Tanglewoood Apartments</t>
  </si>
  <si>
    <t>E:\PropInv\MF\Arlington\Lamar Boulevard East_505_The Pointe of North Arlington_Arlington</t>
  </si>
  <si>
    <t>Lamar Boulevard East_505_The Pointe of North Arlington_Arlington</t>
  </si>
  <si>
    <t>E:\PropInv\MF\Arlington\Elite Circle_1405_Timber Ridge_Arlington</t>
  </si>
  <si>
    <t>Elite Circle_1405_Timber Ridge_Arlington</t>
  </si>
  <si>
    <t>Elite Circle</t>
  </si>
  <si>
    <t>E:\PropInv\MF\Arlington\Summer Tree Lane_2513_Valley Tree_Arlington</t>
  </si>
  <si>
    <t>Summer Tree Lane_2513_Valley Tree_Arlington</t>
  </si>
  <si>
    <t>Summer Tree Lane</t>
  </si>
  <si>
    <t>Valley Tree</t>
  </si>
  <si>
    <t>E:\PropInv\MF\Arlington\Valleycreek Lane_5901_Walnut Creek_Arlington</t>
  </si>
  <si>
    <t>Valleycreek Lane_5901_Walnut Creek_Arlington</t>
  </si>
  <si>
    <t>Valleycreek Lane</t>
  </si>
  <si>
    <t>E:\PropInv\MF\Arlington\Burney Road_2500_Walnut Ridge_Arlington</t>
  </si>
  <si>
    <t>Burney Road_2500_Walnut Ridge_Arlington</t>
  </si>
  <si>
    <t>Burney Road</t>
  </si>
  <si>
    <t>E:\PropInv\MF\Arlington\Randol Mill Road West_1736_Wilshire Manor_Arlington</t>
  </si>
  <si>
    <t>Randol Mill Road West_1736_Wilshire Manor_Arlington</t>
  </si>
  <si>
    <t>Randol Mill Road West</t>
  </si>
  <si>
    <t>E:\PropInv\MF\Arlington\Windstone Drive_4624_Windcastle_Arlington</t>
  </si>
  <si>
    <t>Windstone Drive_4624_Windcastle_Arlington</t>
  </si>
  <si>
    <t>Windstone Drive</t>
  </si>
  <si>
    <t>Windcastle</t>
  </si>
  <si>
    <t>E:\PropInv\MF\Arlington\Park Row Drive East_3025_Winding Oaks_Arlington</t>
  </si>
  <si>
    <t>Park Row Drive East_3025_Winding Oaks_Arlington</t>
  </si>
  <si>
    <t>E:\PropInv\MF\Arlington\Woodland Parkway_4022_Woodland Creek Apartments_Arlington</t>
  </si>
  <si>
    <t>Woodland Parkway_4022_Woodland Creek Apartments_Arlington</t>
  </si>
  <si>
    <t>Woodland Parkway</t>
  </si>
  <si>
    <t>Woodland Creek Apartments</t>
  </si>
  <si>
    <t>E:\PropInv\MF\Arlington\Washington Circle_2121_Woodstock_Arlington</t>
  </si>
  <si>
    <t>Washington Circle_2121_Woodstock_Arlington</t>
  </si>
  <si>
    <t>Washington Circle</t>
  </si>
  <si>
    <t>E:\PropInv\MF\Athens\Corsicana Street East_900_Athena Gardens_Athens</t>
  </si>
  <si>
    <t>Corsicana Street East_900_Athena Gardens_Athens</t>
  </si>
  <si>
    <t>Corsicana Street East</t>
  </si>
  <si>
    <t>E:\PropInv\MF\Atlanta\Louise Street North_307_Investor Package_Atlanta</t>
  </si>
  <si>
    <t>Louise Street North_307_Investor Package_Atlanta</t>
  </si>
  <si>
    <t>Louise Street North</t>
  </si>
  <si>
    <t>E:\PropInv\MF\Aubrey\De Moye Street_418_418 De Moye Street_Aubrey</t>
  </si>
  <si>
    <t>De Moye Street_418_418 De Moye Street_Aubrey</t>
  </si>
  <si>
    <t>De Moye Street</t>
  </si>
  <si>
    <t>418 De Moye Street</t>
  </si>
  <si>
    <t>E:\PropInv\MF\Austin\Gessner Drive_8001_180 Unit Portfolio_Austin</t>
  </si>
  <si>
    <t>Gessner Drive_8001_180 Unit Portfolio_Austin</t>
  </si>
  <si>
    <t>Gessner Drive</t>
  </si>
  <si>
    <t>180 Unit Portfolio</t>
  </si>
  <si>
    <t>E:\PropInv\MF\Austin\Congress Avenue_2020_2020 Congress_Austin</t>
  </si>
  <si>
    <t>Congress Avenue_2020_2020 Congress_Austin</t>
  </si>
  <si>
    <t>Congress Avenue</t>
  </si>
  <si>
    <t>2020 Congress</t>
  </si>
  <si>
    <t>E:\PropInv\MF\Austin\Brownie Drive_10100_21(4plex) Brownie Complex_Austin</t>
  </si>
  <si>
    <t>Brownie Drive_10100_21(4plex) Brownie Complex_Austin</t>
  </si>
  <si>
    <t>Brownie Drive</t>
  </si>
  <si>
    <t>21(4plex) Brownie Complex</t>
  </si>
  <si>
    <t>E:\PropInv\MF\Austin\La Frontera Boulevard_2811_2811 La Frontera Boulevard_Austin</t>
  </si>
  <si>
    <t>La Frontera Boulevard_2811_2811 La Frontera Boulevard_Austin</t>
  </si>
  <si>
    <t>La Frontera Boulevard</t>
  </si>
  <si>
    <t>2811 La Frontera Boulevard</t>
  </si>
  <si>
    <t>E:\PropInv\MF\Austin\Teri Road_4703_4703 Teri Rd_Austin</t>
  </si>
  <si>
    <t>Teri Road_4703_4703 Teri Rd_Austin</t>
  </si>
  <si>
    <t>Teri Road</t>
  </si>
  <si>
    <t>4703 Teri Rd</t>
  </si>
  <si>
    <t>E:\PropInv\MF\Austin\Oltorf Street East_4900_Alexan Cityview_Austin</t>
  </si>
  <si>
    <t>Oltorf Street East_4900_Alexan Cityview_Austin</t>
  </si>
  <si>
    <t>Oltorf Street East</t>
  </si>
  <si>
    <t>Alexan Cityview</t>
  </si>
  <si>
    <t>E:\PropInv\MF\Austin\Travis Hills Drive_8818_Alexan Miramont_Austin</t>
  </si>
  <si>
    <t>Travis Hills Drive_8818_Alexan Miramont_Austin</t>
  </si>
  <si>
    <t>Travis Hills Drive</t>
  </si>
  <si>
    <t>Alexan Miramont</t>
  </si>
  <si>
    <t>E:\PropInv\MF\Austin\Parmer Lane West_7011_Alexan Rattan Creek_Austin</t>
  </si>
  <si>
    <t>Parmer Lane West_7011_Alexan Rattan Creek_Austin</t>
  </si>
  <si>
    <t>Parmer Lane West</t>
  </si>
  <si>
    <t>Alexan Rattan Creek</t>
  </si>
  <si>
    <t>E:\PropInv\MF\Austin\Duval Road_3220_AMLI At Park Place_Austin</t>
  </si>
  <si>
    <t>Duval Road_3220_AMLI At Park Place_Austin</t>
  </si>
  <si>
    <t>Duval Road</t>
  </si>
  <si>
    <t>AMLI At Park Place</t>
  </si>
  <si>
    <t>E:\PropInv\MF\Austin\Stonehollow Drive_11915_AMLI At Stonehollow_Austin</t>
  </si>
  <si>
    <t>Stonehollow Drive_11915_AMLI At Stonehollow_Austin</t>
  </si>
  <si>
    <t>Stonehollow Drive</t>
  </si>
  <si>
    <t>AMLI At Stonehollow</t>
  </si>
  <si>
    <t>E:\PropInv\MF\Austin\Great Hills Trail_9417_AMLI At The Arboretum Apartments_Austin</t>
  </si>
  <si>
    <t>Great Hills Trail_9417_AMLI At The Arboretum Apartments_Austin</t>
  </si>
  <si>
    <t>Great Hills Trail</t>
  </si>
  <si>
    <t>AMLI At The Arboretum Apartments</t>
  </si>
  <si>
    <t>E:\PropInv\MF\Austin\Morado Circle_10610_AMLI In Great Hills Apartments_Austin</t>
  </si>
  <si>
    <t>Morado Circle_10610_AMLI In Great Hills Apartments_Austin</t>
  </si>
  <si>
    <t>Morado Circle</t>
  </si>
  <si>
    <t>AMLI In Great Hills Apartments</t>
  </si>
  <si>
    <t>E:\PropInv\MF\Austin\Anderson Lane East_1901_Anderson Springs_Austin</t>
  </si>
  <si>
    <t>Anderson Lane East_1901_Anderson Springs_Austin</t>
  </si>
  <si>
    <t>Anderson Lane East</t>
  </si>
  <si>
    <t>E:\PropInv\MF\Austin\Pleasant Valley Road_2317_Arbor Pointe_Austin</t>
  </si>
  <si>
    <t>Pleasant Valley Road_2317_Arbor Pointe_Austin</t>
  </si>
  <si>
    <t>Pleasant Valley Road</t>
  </si>
  <si>
    <t>E:\PropInv\MF\Austin\Manor Road_2504_Archways Portfolio_Austin</t>
  </si>
  <si>
    <t>Manor Road_2504_Archways Portfolio_Austin</t>
  </si>
  <si>
    <t>Manor Road</t>
  </si>
  <si>
    <t>Archways Portfolio</t>
  </si>
  <si>
    <t>E:\PropInv\MF\Austin\Northgate Boulevard_9024_Ashbury Parke_Austin</t>
  </si>
  <si>
    <t>Northgate Boulevard_9024_Ashbury Parke_Austin</t>
  </si>
  <si>
    <t>Northgate Boulevard</t>
  </si>
  <si>
    <t>E:\PropInv\MF\Austin\MoPac Expwy South_5417_Austin  Trail_Austin</t>
  </si>
  <si>
    <t>MoPac Expwy South_5417_Austin  Trail_Austin</t>
  </si>
  <si>
    <t>MoPac Expwy South</t>
  </si>
  <si>
    <t>Austin  Trail</t>
  </si>
  <si>
    <t>E:\PropInv\MF\Austin\Riverside Drive East_4821 &amp; 4823_Austin Oaks_Austin</t>
  </si>
  <si>
    <t>Riverside Drive East_4821 &amp; 4823_Austin Oaks_Austin</t>
  </si>
  <si>
    <t>Riverside Drive East</t>
  </si>
  <si>
    <t>4821 &amp; 4823</t>
  </si>
  <si>
    <t>Austin Oaks</t>
  </si>
  <si>
    <t>E:\PropInv\MF\Austin\Southridge Drive_3603_Bainbridge Villas_Austin</t>
  </si>
  <si>
    <t>Southridge Drive_3603_Bainbridge Villas_Austin</t>
  </si>
  <si>
    <t>Southridge Drive</t>
  </si>
  <si>
    <t>E:\PropInv\MF\Austin\183 Highway North_13145_Balcones Ranch_Austin</t>
  </si>
  <si>
    <t>183 Highway North_13145_Balcones Ranch_Austin</t>
  </si>
  <si>
    <t>183 Highway North</t>
  </si>
  <si>
    <t>E:\PropInv\MF\Austin\Elmont Drive_2101_Barcelona And Metropolitan_Austin</t>
  </si>
  <si>
    <t>Elmont Drive_2101_Barcelona And Metropolitan_Austin</t>
  </si>
  <si>
    <t>Elmont Drive</t>
  </si>
  <si>
    <t>Barcelona And Metropolitan</t>
  </si>
  <si>
    <t>E:\PropInv\MF\Austin\Dickson Drive_2200_Barton Court Apartments_Austin</t>
  </si>
  <si>
    <t>Dickson Drive_2200_Barton Court Apartments_Austin</t>
  </si>
  <si>
    <t>Dickson Drive</t>
  </si>
  <si>
    <t>Barton Court Apartments</t>
  </si>
  <si>
    <t>E:\PropInv\MF\Austin\Lamar Boulevard South_3816_Bartons Lodge_Austin</t>
  </si>
  <si>
    <t>Lamar Boulevard South_3816_Bartons Lodge_Austin</t>
  </si>
  <si>
    <t>Lamar Boulevard South</t>
  </si>
  <si>
    <t>Bartons Lodge</t>
  </si>
  <si>
    <t>E:\PropInv\MF\Austin\Lamar Boulevard South_3816_Barton's Lodge_Austin</t>
  </si>
  <si>
    <t>Lamar Boulevard South_3816_Barton's Lodge_Austin</t>
  </si>
  <si>
    <t>Barton's Lodge</t>
  </si>
  <si>
    <t>E:\PropInv\MF\Austin\Douglas Street_2336_Bristol Square Apartments_Austin</t>
  </si>
  <si>
    <t>Douglas Street_2336_Bristol Square Apartments_Austin</t>
  </si>
  <si>
    <t>Douglas Street</t>
  </si>
  <si>
    <t>Bristol Square Apartments</t>
  </si>
  <si>
    <t>E:\PropInv\MF\Austin\Bull Creek Road_4320_Bull Creek Apartments_Austin</t>
  </si>
  <si>
    <t>Bull Creek Road_4320_Bull Creek Apartments_Austin</t>
  </si>
  <si>
    <t>Bull Creek Road</t>
  </si>
  <si>
    <t>Bull Creek Apartments</t>
  </si>
  <si>
    <t>E:\PropInv\MF\Austin\Congress Avenue_1007_Camden South Congress_Austin</t>
  </si>
  <si>
    <t>Congress Avenue_1007_Camden South Congress_Austin</t>
  </si>
  <si>
    <t>E:\PropInv\MF\Austin\Cameron Greens Road_5700_Cameron Greens_Austin</t>
  </si>
  <si>
    <t>Cameron Greens Road_5700_Cameron Greens_Austin</t>
  </si>
  <si>
    <t>Cameron Greens Road</t>
  </si>
  <si>
    <t>E:\PropInv\MF\Austin\Jollyville Road_11316_Canyon Creek_Austin</t>
  </si>
  <si>
    <t>Jollyville Road_11316_Canyon Creek_Austin</t>
  </si>
  <si>
    <t>Jollyville Road</t>
  </si>
  <si>
    <t>E:\PropInv\MF\Austin\Bluff Springs Road_6307_Canyon Hills_Austin</t>
  </si>
  <si>
    <t>Bluff Springs Road_6307_Canyon Hills_Austin</t>
  </si>
  <si>
    <t>Bluff Springs Road</t>
  </si>
  <si>
    <t>Canyon Hills</t>
  </si>
  <si>
    <t>E:\PropInv\MF\Austin\290 Highway East_6855_Capitol Village_Austin</t>
  </si>
  <si>
    <t>290 Highway East_6855_Capitol Village_Austin</t>
  </si>
  <si>
    <t>290 Highway East</t>
  </si>
  <si>
    <t>E:\PropInv\MF\Austin\11th Street East_311_CBD Capitol Austin Mixed Use_Austin</t>
  </si>
  <si>
    <t>11th Street East_311_CBD Capitol Austin Mixed Use_Austin</t>
  </si>
  <si>
    <t>11th Street East</t>
  </si>
  <si>
    <t>E:\PropInv\MF\Austin\Red River_3401_Century Square Apartments_Austin</t>
  </si>
  <si>
    <t>Red River_3401_Century Square Apartments_Austin</t>
  </si>
  <si>
    <t>Century Square Apartments</t>
  </si>
  <si>
    <t>E:\PropInv\MF\Austin\Camino La Costa_1114_Chelsea Regent_Austin</t>
  </si>
  <si>
    <t>Camino La Costa_1114_Chelsea Regent_Austin</t>
  </si>
  <si>
    <t>Chelsea Regent</t>
  </si>
  <si>
    <t>E:\PropInv\MF\Austin\Rutland Dr_1630_Chelsea Village_Austin</t>
  </si>
  <si>
    <t>Rutland Dr_1630_Chelsea Village_Austin</t>
  </si>
  <si>
    <t>Chelsea Village</t>
  </si>
  <si>
    <t>E:\PropInv\MF\Austin\Foster Lane_2819_Chesea Creekside_Austin</t>
  </si>
  <si>
    <t>Foster Lane_2819_Chesea Creekside_Austin</t>
  </si>
  <si>
    <t>Foster Lane</t>
  </si>
  <si>
    <t>Chesea Creekside</t>
  </si>
  <si>
    <t>E:\PropInv\MF\Austin\Lakeshore Boulevard South_2201_Chesea On Town Lake_Austin</t>
  </si>
  <si>
    <t>Lakeshore Boulevard South_2201_Chesea On Town Lake_Austin</t>
  </si>
  <si>
    <t>Lakeshore Boulevard South</t>
  </si>
  <si>
    <t>Chesea On Town Lake</t>
  </si>
  <si>
    <t>E:\PropInv\MF\Austin\620 Ranch Road North_9501_Colonial Grand At Canyon Creek_Austin</t>
  </si>
  <si>
    <t>620 Ranch Road North_9501_Colonial Grand At Canyon Creek_Austin</t>
  </si>
  <si>
    <t>620 Ranch Road North</t>
  </si>
  <si>
    <t>Colonial Grand At Canyon Creek</t>
  </si>
  <si>
    <t>E:\PropInv\MF\Austin\Lamar Boulevard North_10000_Copper Mill_Austin</t>
  </si>
  <si>
    <t>Lamar Boulevard North_10000_Copper Mill_Austin</t>
  </si>
  <si>
    <t>Lamar Boulevard North</t>
  </si>
  <si>
    <t>E:\PropInv\MF\Austin\Patton Lane_1714_Cottonwood_Pavilion Portfolio_Austin</t>
  </si>
  <si>
    <t>Patton Lane_1714_Cottonwood_Pavilion Portfolio_Austin</t>
  </si>
  <si>
    <t>Patton Lane</t>
  </si>
  <si>
    <t>Cottonwood-Pavilion Portfolio</t>
  </si>
  <si>
    <t>E:\PropInv\MF\Austin\Grove Boulevard_1009_Country Club Townhomes_Austin</t>
  </si>
  <si>
    <t>Grove Boulevard_1009_Country Club Townhomes_Austin</t>
  </si>
  <si>
    <t>Grove Boulevard</t>
  </si>
  <si>
    <t>Country Club Townhomes</t>
  </si>
  <si>
    <t>E:\PropInv\MF\Austin\Anderson Lane East_1601_Creekwood Village_Austin</t>
  </si>
  <si>
    <t>Anderson Lane East_1601_Creekwood Village_Austin</t>
  </si>
  <si>
    <t>E:\PropInv\MF\Austin\Rutland Drive_1124_Cross Creek_Austin</t>
  </si>
  <si>
    <t>Rutland Drive_1124_Cross Creek_Austin</t>
  </si>
  <si>
    <t>Rutland Drive</t>
  </si>
  <si>
    <t>E:\PropInv\MF\Austin\Hunter's Chase Drive_12215_Dakota Springs_Austin</t>
  </si>
  <si>
    <t>Hunter's Chase Drive_12215_Dakota Springs_Austin</t>
  </si>
  <si>
    <t>Hunter's Chase Drive</t>
  </si>
  <si>
    <t>E:\PropInv\MF\Austin\620 FM South_3400_Falconhead Apartments_Austin</t>
  </si>
  <si>
    <t>620 FM South_3400_Falconhead Apartments_Austin</t>
  </si>
  <si>
    <t>620 FM South</t>
  </si>
  <si>
    <t>Falconhead Apartments</t>
  </si>
  <si>
    <t>E:\PropInv\MF\Austin\Victory Drive_4100_Fountainhead_Austin</t>
  </si>
  <si>
    <t>Victory Drive_4100_Fountainhead_Austin</t>
  </si>
  <si>
    <t>Victory Drive</t>
  </si>
  <si>
    <t>E:\PropInv\MF\Austin\Runberg E_1007_Glen Oaks_Austin</t>
  </si>
  <si>
    <t>Runberg E_1007_Glen Oaks_Austin</t>
  </si>
  <si>
    <t>Runberg E</t>
  </si>
  <si>
    <t>E:\PropInv\MF\Austin\Goodwin Avenue_3706_Grant Villas Apartments_Austin</t>
  </si>
  <si>
    <t>Goodwin Avenue_3706_Grant Villas Apartments_Austin</t>
  </si>
  <si>
    <t>Goodwin Avenue</t>
  </si>
  <si>
    <t>Grant Villas Apartments</t>
  </si>
  <si>
    <t>E:\PropInv\MF\Austin\Manor Road_6103_Greentree Apartments_Austin</t>
  </si>
  <si>
    <t>Manor Road_6103_Greentree Apartments_Austin</t>
  </si>
  <si>
    <t>Greentree Apartments</t>
  </si>
  <si>
    <t>E:\PropInv\MF\Austin\Cougar Drive_5704_Heatherwood_Austin</t>
  </si>
  <si>
    <t>Cougar Drive_5704_Heatherwood_Austin</t>
  </si>
  <si>
    <t>Cougar Drive</t>
  </si>
  <si>
    <t>E:\PropInv\MF\Austin\Manchaca Road_3506_Heritage Oaks_Austin</t>
  </si>
  <si>
    <t>Manchaca Road_3506_Heritage Oaks_Austin</t>
  </si>
  <si>
    <t>Manchaca Road</t>
  </si>
  <si>
    <t>E:\PropInv\MF\Austin\Jollyville Road_11028_High Oaks_Austin</t>
  </si>
  <si>
    <t>Jollyville Road_11028_High Oaks_Austin</t>
  </si>
  <si>
    <t>High Oaks</t>
  </si>
  <si>
    <t>E:\PropInv\MF\Austin\William Cannon West_3014_Highlands Hill Country_Austin</t>
  </si>
  <si>
    <t>William Cannon West_3014_Highlands Hill Country_Austin</t>
  </si>
  <si>
    <t>William Cannon West</t>
  </si>
  <si>
    <t>E:\PropInv\MF\Austin\Wells Branch Parkway_2801_Imt Wells Branch_Austin</t>
  </si>
  <si>
    <t>Wells Branch Parkway_2801_Imt Wells Branch_Austin</t>
  </si>
  <si>
    <t>Wells Branch Parkway</t>
  </si>
  <si>
    <t>E:\PropInv\MF\Austin\Copper Creek Drive_9811_International Residence_Austin</t>
  </si>
  <si>
    <t>Copper Creek Drive_9811_International Residence_Austin</t>
  </si>
  <si>
    <t>Copper Creek Drive</t>
  </si>
  <si>
    <t>E:\PropInv\MF\Austin\Four Points_11350_Jefferson Canyon_Austin</t>
  </si>
  <si>
    <t>Four Points_11350_Jefferson Canyon_Austin</t>
  </si>
  <si>
    <t>Four Points</t>
  </si>
  <si>
    <t>Jefferson Canyon</t>
  </si>
  <si>
    <t>E:\PropInv\MF\Austin\620 Ranch Road North_7655_Jefferson Lakes_Austin</t>
  </si>
  <si>
    <t>620 Ranch Road North_7655_Jefferson Lakes_Austin</t>
  </si>
  <si>
    <t>Jefferson Lakes</t>
  </si>
  <si>
    <t>E:\PropInv\MF\Austin\Greystone Drive_3500_Juniper Springs_Austin</t>
  </si>
  <si>
    <t>Greystone Drive_3500_Juniper Springs_Austin</t>
  </si>
  <si>
    <t>Greystone Drive</t>
  </si>
  <si>
    <t>E:\PropInv\MF\Austin\Manor Road_3300_Kensington_Austin</t>
  </si>
  <si>
    <t>Manor Road_3300_Kensington_Austin</t>
  </si>
  <si>
    <t>E:\PropInv\MF\Austin\Thunder Creek Road_5230_Keystone_Austin</t>
  </si>
  <si>
    <t>Thunder Creek Road_5230_Keystone_Austin</t>
  </si>
  <si>
    <t>Thunder Creek Road</t>
  </si>
  <si>
    <t>E:\PropInv\MF\Austin\Cuernavaca Drive North_1900_Lake Austin Package_Austin</t>
  </si>
  <si>
    <t>Cuernavaca Drive North_1900_Lake Austin Package_Austin</t>
  </si>
  <si>
    <t>Cuernavaca Drive North</t>
  </si>
  <si>
    <t>E:\PropInv\MF\Austin\Reagan Hill Drive_1500_Lantern Hills_Austin</t>
  </si>
  <si>
    <t>Reagan Hill Drive_1500_Lantern Hills_Austin</t>
  </si>
  <si>
    <t>Reagan Hill Drive</t>
  </si>
  <si>
    <t>Lantern Hills</t>
  </si>
  <si>
    <t>E:\PropInv\MF\Austin\Town Lake Circle Drive_2409_Las Palmas_Austin</t>
  </si>
  <si>
    <t>Town Lake Circle Drive_2409_Las Palmas_Austin</t>
  </si>
  <si>
    <t>Town Lake Circle Drive</t>
  </si>
  <si>
    <t>E:\PropInv\MF\Austin\Steck Avenue_3605_Le Montreaux_Austin</t>
  </si>
  <si>
    <t>Steck Avenue_3605_Le Montreaux_Austin</t>
  </si>
  <si>
    <t>Steck Avenue</t>
  </si>
  <si>
    <t>E:\PropInv\MF\Austin\La Cresada Drive_8800_Legacy At Western Oaks_Austin</t>
  </si>
  <si>
    <t>La Cresada Drive_8800_Legacy At Western Oaks_Austin</t>
  </si>
  <si>
    <t>La Cresada Drive</t>
  </si>
  <si>
    <t>Legacy At Western Oaks</t>
  </si>
  <si>
    <t>E:\PropInv\MF\Austin\Cromwell Circle_2430_Lexington Hills_Austin</t>
  </si>
  <si>
    <t>Cromwell Circle_2430_Lexington Hills_Austin</t>
  </si>
  <si>
    <t>Cromwell Circle</t>
  </si>
  <si>
    <t>E:\PropInv\MF\Austin\Bluff Springs Road_6503_Lincoln Ridge_Austin</t>
  </si>
  <si>
    <t>Bluff Springs Road_6503_Lincoln Ridge_Austin</t>
  </si>
  <si>
    <t>Lincoln Ridge</t>
  </si>
  <si>
    <t>E:\PropInv\MF\Austin\Masterson Pass_401_Longbranch_Austin</t>
  </si>
  <si>
    <t>Masterson Pass_401_Longbranch_Austin</t>
  </si>
  <si>
    <t>E:\PropInv\MF\Austin\Wickersham Lane_1515_Longhorn Landing_Austin</t>
  </si>
  <si>
    <t>Wickersham Lane_1515_Longhorn Landing_Austin</t>
  </si>
  <si>
    <t>Wickersham Lane</t>
  </si>
  <si>
    <t>E:\PropInv\MF\Austin\Riverside Drive East_4700_Longhorn Landing_Austin</t>
  </si>
  <si>
    <t>Riverside Drive East_4700_Longhorn Landing_Austin</t>
  </si>
  <si>
    <t>E:\PropInv\MF\Austin\Tech Ridge Boulevard_12443_Mandalay_Austin</t>
  </si>
  <si>
    <t>Tech Ridge Boulevard_12443_Mandalay_Austin</t>
  </si>
  <si>
    <t>Tech Ridge Boulevard</t>
  </si>
  <si>
    <t>E:\PropInv\MF\Austin\Duval Road_3201_Mesa Verde_Austin</t>
  </si>
  <si>
    <t>Duval Road_3201_Mesa Verde_Austin</t>
  </si>
  <si>
    <t>E:\PropInv\MF\Austin\Parker Lane_3111_Montecito_Austin</t>
  </si>
  <si>
    <t>Parker Lane_3111_Montecito_Austin</t>
  </si>
  <si>
    <t>Parker Lane</t>
  </si>
  <si>
    <t>E:\PropInv\MF\Austin\Shepherd Mountain Cove_6000_Montevista_Austin</t>
  </si>
  <si>
    <t>Shepherd Mountain Cove_6000_Montevista_Austin</t>
  </si>
  <si>
    <t>E:\PropInv\MF\Austin\Summer Oak Drive_1305_Oak Run Apartments_Austin</t>
  </si>
  <si>
    <t>Summer Oak Drive_1305_Oak Run Apartments_Austin</t>
  </si>
  <si>
    <t>Summer Oak Drive</t>
  </si>
  <si>
    <t>Oak Run Apartments</t>
  </si>
  <si>
    <t>E:\PropInv\MF\Austin\Woodward Street East_1720_Park Lane Villas_Austin</t>
  </si>
  <si>
    <t>Woodward Street East_1720_Park Lane Villas_Austin</t>
  </si>
  <si>
    <t>Woodward Street East</t>
  </si>
  <si>
    <t>E:\PropInv\MF\Austin\Burton Drive_2000 &amp; 2101_Park View At Town Lake_Austin</t>
  </si>
  <si>
    <t>Burton Drive_2000 &amp; 2101_Park View At Town Lake_Austin</t>
  </si>
  <si>
    <t>Burton Drive</t>
  </si>
  <si>
    <t>2000 &amp; 2101</t>
  </si>
  <si>
    <t>Park View At Town Lake</t>
  </si>
  <si>
    <t>E:\PropInv\MF\Austin\Mellow Meadow_10616_Park West_Austin</t>
  </si>
  <si>
    <t>Mellow Meadow_10616_Park West_Austin</t>
  </si>
  <si>
    <t>Mellow Meadow</t>
  </si>
  <si>
    <t>E:\PropInv\MF\Austin\Plaza Drive North_8805_Pebble Creek_Austin</t>
  </si>
  <si>
    <t>Plaza Drive North_8805_Pebble Creek_Austin</t>
  </si>
  <si>
    <t>Plaza Drive North</t>
  </si>
  <si>
    <t>E:\PropInv\MF\Austin\290 Highway East_7227_Penbrook Club_Austin</t>
  </si>
  <si>
    <t>290 Highway East_7227_Penbrook Club_Austin</t>
  </si>
  <si>
    <t>E:\PropInv\MF\Austin\Argonne Forest Trail_11600-11701_Ranchstone Garden Homes(Duplexes)_Austin</t>
  </si>
  <si>
    <t>Argonne Forest Trail_11600-11701_Ranchstone Garden Homes(Duplexes)_Austin</t>
  </si>
  <si>
    <t>Argonne Forest Trail</t>
  </si>
  <si>
    <t>11600-11701</t>
  </si>
  <si>
    <t>Ranchstone Garden Homes(Duplexes)</t>
  </si>
  <si>
    <t>E:\PropInv\MF\Austin\Lavaca Street_1701_Rare Bid Opportunity_Austin</t>
  </si>
  <si>
    <t>Lavaca Street_1701_Rare Bid Opportunity_Austin</t>
  </si>
  <si>
    <t>Lavaca Street</t>
  </si>
  <si>
    <t>Rare Bid Opportunity</t>
  </si>
  <si>
    <t>E:\PropInv\MF\Austin\Lamplight Village Road_12345_Renaissance At North Bend- Reserve At North Bend_Austin</t>
  </si>
  <si>
    <t>Lamplight Village Road_12345_Renaissance At North Bend- Reserve At North Bend_Austin</t>
  </si>
  <si>
    <t>Lamplight Village Road</t>
  </si>
  <si>
    <t>Renaissance At North Bend- Reserve At North Bend</t>
  </si>
  <si>
    <t>E:\PropInv\MF\Austin\Willow Creek Drive_2201_Renaissance Park_Austin</t>
  </si>
  <si>
    <t>Willow Creek Drive_2201_Renaissance Park_Austin</t>
  </si>
  <si>
    <t>Willow Creek Drive</t>
  </si>
  <si>
    <t>E:\PropInv\MF\Austin\Rutland Drive_1101_Runnymede_Austin</t>
  </si>
  <si>
    <t>Rutland Drive_1101_Runnymede_Austin</t>
  </si>
  <si>
    <t>E:\PropInv\MF\Austin\Rutland Drive_1647 &amp; 1711_Rutland Place I &amp; II_Austin</t>
  </si>
  <si>
    <t>Rutland Drive_1647 &amp; 1711_Rutland Place I &amp; II_Austin</t>
  </si>
  <si>
    <t>1647 &amp; 1711</t>
  </si>
  <si>
    <t>E:\PropInv\MF\Austin\Manchaca Road_10801_Saddlecreek Apartments_Austin</t>
  </si>
  <si>
    <t>Manchaca Road_10801_Saddlecreek Apartments_Austin</t>
  </si>
  <si>
    <t>Saddlecreek Apartments</t>
  </si>
  <si>
    <t>E:\PropInv\MF\Austin\Anderson Lane East_2104_Salado At Walnut Creek_Austin</t>
  </si>
  <si>
    <t>Anderson Lane East_2104_Salado At Walnut Creek_Austin</t>
  </si>
  <si>
    <t>Salado At Walnut Creek</t>
  </si>
  <si>
    <t>E:\PropInv\MF\Austin\Hudson Bend Road_6409_Sanctuary @ Hudson Harbor_Austin</t>
  </si>
  <si>
    <t>Hudson Bend Road_6409_Sanctuary @ Hudson Harbor_Austin</t>
  </si>
  <si>
    <t>Hudson Bend Road</t>
  </si>
  <si>
    <t>Sanctuary @ Hudson Harbor</t>
  </si>
  <si>
    <t>E:\PropInv\MF\Austin\Haart Lane_7201_Savannah Apartments_Austin</t>
  </si>
  <si>
    <t>Haart Lane_7201_Savannah Apartments_Austin</t>
  </si>
  <si>
    <t>Haart Lane</t>
  </si>
  <si>
    <t>Savannah Apartments</t>
  </si>
  <si>
    <t>E:\PropInv\MF\Austin\Manor Road_2401_Sea Breeze Apartments_Austin</t>
  </si>
  <si>
    <t>Manor Road_2401_Sea Breeze Apartments_Austin</t>
  </si>
  <si>
    <t>Sea Breeze Apartments</t>
  </si>
  <si>
    <t>E:\PropInv\MF\Austin\Birmingham Drive_8750_Section 8 Package_Austin</t>
  </si>
  <si>
    <t>Birmingham Drive_8750_Section 8 Package_Austin</t>
  </si>
  <si>
    <t>Birmingham Drive</t>
  </si>
  <si>
    <t>Section 8 Package</t>
  </si>
  <si>
    <t>E:\PropInv\MF\Austin\Plaza Drive North_9200_Shadow Creek Apartments_Austin</t>
  </si>
  <si>
    <t>Plaza Drive North_9200_Shadow Creek Apartments_Austin</t>
  </si>
  <si>
    <t>Shadow Creek Apartments</t>
  </si>
  <si>
    <t>E:\PropInv\MF\Austin\Congress Avenue_4320_Shady Oaks South Apartments_Austin</t>
  </si>
  <si>
    <t>Congress Avenue_4320_Shady Oaks South Apartments_Austin</t>
  </si>
  <si>
    <t>Shady Oaks South Apartments</t>
  </si>
  <si>
    <t>E:\PropInv\MF\Austin\Shoal Creek Boulevard_8515_Shoal Creek Arms Apartments_Austin</t>
  </si>
  <si>
    <t>Shoal Creek Boulevard_8515_Shoal Creek Arms Apartments_Austin</t>
  </si>
  <si>
    <t>Shoal Creek Boulevard</t>
  </si>
  <si>
    <t>Shoal Creek Arms Apartments</t>
  </si>
  <si>
    <t>E:\PropInv\MF\Austin\Oltorf Street East_1817_Sienna Ridge_Austin</t>
  </si>
  <si>
    <t>Oltorf Street East_1817_Sienna Ridge_Austin</t>
  </si>
  <si>
    <t>E:\PropInv\MF\Austin\38 12 Street_1230_Silver Ridge Aartments_Austin</t>
  </si>
  <si>
    <t>38 12 Street_1230_Silver Ridge Aartments_Austin</t>
  </si>
  <si>
    <t>38 12 Street</t>
  </si>
  <si>
    <t>Silver Ridge Aartments</t>
  </si>
  <si>
    <t>E:\PropInv\MF\Austin\35 Interstate Highway North_8800-8900_Silvervale Crossing-Brookstone_Austin</t>
  </si>
  <si>
    <t>35 Interstate Highway North_8800-8900_Silvervale Crossing-Brookstone_Austin</t>
  </si>
  <si>
    <t>35 Interstate Highway North</t>
  </si>
  <si>
    <t>8800-8900</t>
  </si>
  <si>
    <t>Silvervale Crossing-Brookstone</t>
  </si>
  <si>
    <t>E:\PropInv\MF\Austin\Nimbus_1001_Skyview Apartments_Austin</t>
  </si>
  <si>
    <t>Nimbus_1001_Skyview Apartments_Austin</t>
  </si>
  <si>
    <t>Nimbus</t>
  </si>
  <si>
    <t>Skyview Apartments</t>
  </si>
  <si>
    <t>E:\PropInv\MF\Austin\Congress Avenue South_6300_SoCo_Austin</t>
  </si>
  <si>
    <t>Congress Avenue South_6300_SoCo_Austin</t>
  </si>
  <si>
    <t>Congress Avenue South</t>
  </si>
  <si>
    <t>SoCo</t>
  </si>
  <si>
    <t>E:\PropInv\MF\Austin\620 FM North_8801_Sonterra_Austin</t>
  </si>
  <si>
    <t>620 FM North_8801_Sonterra_Austin</t>
  </si>
  <si>
    <t>620 FM North</t>
  </si>
  <si>
    <t>E:\PropInv\MF\Austin\Boulder Lane_10320_Sonterra_Austin</t>
  </si>
  <si>
    <t>Boulder Lane_10320_Sonterra_Austin</t>
  </si>
  <si>
    <t>Boulder Lane</t>
  </si>
  <si>
    <t>E:\PropInv\MF\Austin\Sneed Cove_6201_Sorrento_Austin</t>
  </si>
  <si>
    <t>Sneed Cove_6201_Sorrento_Austin</t>
  </si>
  <si>
    <t>E:\PropInv\MF\Austin\35 Interstate Highway South_6808_South Point Village_Austin</t>
  </si>
  <si>
    <t>35 Interstate Highway South_6808_South Point Village_Austin</t>
  </si>
  <si>
    <t>35 Interstate Highway South</t>
  </si>
  <si>
    <t>E:\PropInv\MF\Austin\Springdale Road_6407_Spring Creek Apartments Homes_Austin</t>
  </si>
  <si>
    <t>Springdale Road_6407_Spring Creek Apartments Homes_Austin</t>
  </si>
  <si>
    <t>Springdale Road</t>
  </si>
  <si>
    <t>Spring Creek Apartments Homes</t>
  </si>
  <si>
    <t>E:\PropInv\MF\Austin\Springdale Road_554_Springdale Gardens_Austin</t>
  </si>
  <si>
    <t>Springdale Road_554_Springdale Gardens_Austin</t>
  </si>
  <si>
    <t>E:\PropInv\MF\Austin\Spicewood Springs Road_8585_Statton Park At Spicewood Springs_Austin</t>
  </si>
  <si>
    <t>Spicewood Springs Road_8585_Statton Park At Spicewood Springs_Austin</t>
  </si>
  <si>
    <t>Spicewood Springs Road</t>
  </si>
  <si>
    <t>Statton Park At Spicewood Springs</t>
  </si>
  <si>
    <t>E:\PropInv\MF\Austin\Rio Grande_2704_Sterling University West Campus_Austin</t>
  </si>
  <si>
    <t>Rio Grande_2704_Sterling University West Campus_Austin</t>
  </si>
  <si>
    <t>Sterling University West Campus</t>
  </si>
  <si>
    <t>E:\PropInv\MF\Austin\Lamar Boulevard North_10401_Sterling Village Apartments_Austin</t>
  </si>
  <si>
    <t>Lamar Boulevard North_10401_Sterling Village Apartments_Austin</t>
  </si>
  <si>
    <t>Sterling Village Apartments</t>
  </si>
  <si>
    <t>E:\PropInv\MF\Austin\Gracy Farms Lane_2320_Stoneleigh At Gracy Farms_Austin</t>
  </si>
  <si>
    <t>Gracy Farms Lane_2320_Stoneleigh At Gracy Farms_Austin</t>
  </si>
  <si>
    <t>Gracy Farms Lane</t>
  </si>
  <si>
    <t>Stoneleigh At Gracy Farms</t>
  </si>
  <si>
    <t>E:\PropInv\MF\Austin\Manchaca Road_4911_Stony Creek_Austin</t>
  </si>
  <si>
    <t>Manchaca Road_4911_Stony Creek_Austin</t>
  </si>
  <si>
    <t>E:\PropInv\MF\Austin\San Felipe Boulevard_7905_Summer Grove_Austin</t>
  </si>
  <si>
    <t>San Felipe Boulevard_7905_Summer Grove_Austin</t>
  </si>
  <si>
    <t>San Felipe Boulevard</t>
  </si>
  <si>
    <t>E:\PropInv\MF\Austin\Fairfield Drive_833_Summer Wind Condominiums_Austin</t>
  </si>
  <si>
    <t>Fairfield Drive_833_Summer Wind Condominiums_Austin</t>
  </si>
  <si>
    <t>Fairfield Drive</t>
  </si>
  <si>
    <t>E:\PropInv\MF\Austin\Willow Creek_2005_Terra Vista_Austin</t>
  </si>
  <si>
    <t>Willow Creek_2005_Terra Vista_Austin</t>
  </si>
  <si>
    <t>Terra Vista</t>
  </si>
  <si>
    <t>E:\PropInv\MF\Austin\Salado Street_2616_Texan West Campus_Austin</t>
  </si>
  <si>
    <t>Salado Street_2616_Texan West Campus_Austin</t>
  </si>
  <si>
    <t>Salado Street</t>
  </si>
  <si>
    <t>E:\PropInv\MF\Austin\Royal Crest Drive_1500-1600_The Arbor &amp; Autumn Hills_Austin</t>
  </si>
  <si>
    <t>Royal Crest Drive_1500-1600_The Arbor &amp; Autumn Hills_Austin</t>
  </si>
  <si>
    <t>Royal Crest Drive</t>
  </si>
  <si>
    <t>1500-1600</t>
  </si>
  <si>
    <t>The Arbor &amp; Autumn Hills</t>
  </si>
  <si>
    <t>E:\PropInv\MF\Austin\Metric Boulevard_12001_The Broadmoor_Austin</t>
  </si>
  <si>
    <t>Metric Boulevard_12001_The Broadmoor_Austin</t>
  </si>
  <si>
    <t>Metric Boulevard</t>
  </si>
  <si>
    <t>E:\PropInv\MF\Austin\William Cannon Drive West_744_The Club At Summer Valley_Austin</t>
  </si>
  <si>
    <t>William Cannon Drive West_744_The Club At Summer Valley_Austin</t>
  </si>
  <si>
    <t>William Cannon Drive West</t>
  </si>
  <si>
    <t>The Club At Summer Valley</t>
  </si>
  <si>
    <t>E:\PropInv\MF\Austin\Seton Center_4600_The Estate On Quarry Lake_Austin</t>
  </si>
  <si>
    <t>Seton Center_4600_The Estate On Quarry Lake_Austin</t>
  </si>
  <si>
    <t>Seton Center</t>
  </si>
  <si>
    <t>The Estate On Quarry Lake</t>
  </si>
  <si>
    <t>E:\PropInv\MF\Austin\Shoreline Drive_3501_The Estates At Shoreline_Austin</t>
  </si>
  <si>
    <t>Shoreline Drive_3501_The Estates At Shoreline_Austin</t>
  </si>
  <si>
    <t>Shoreline Drive</t>
  </si>
  <si>
    <t>The Estates At Shoreline</t>
  </si>
  <si>
    <t>E:\PropInv\MF\Austin\Manchaca Road_3707_The Forest Apartments_Austin</t>
  </si>
  <si>
    <t>Manchaca Road_3707_The Forest Apartments_Austin</t>
  </si>
  <si>
    <t>The Forest Apartments</t>
  </si>
  <si>
    <t>E:\PropInv\MF\Austin\Panther Trail_2200_The Hamilton_Austin</t>
  </si>
  <si>
    <t>Panther Trail_2200_The Hamilton_Austin</t>
  </si>
  <si>
    <t>Panther Trail</t>
  </si>
  <si>
    <t>E:\PropInv\MF\Austin\Broadmoor Drive_1200 &amp; 1201_The Heritage At Hillcrest_Austin</t>
  </si>
  <si>
    <t>Broadmoor Drive_1200 &amp; 1201_The Heritage At Hillcrest_Austin</t>
  </si>
  <si>
    <t>Broadmoor Drive</t>
  </si>
  <si>
    <t>1200 &amp; 1201</t>
  </si>
  <si>
    <t>The Heritage At Hillcrest</t>
  </si>
  <si>
    <t>E:\PropInv\MF\Austin\Great Hills Trail_9009_The Hills At The Arboretum_Austin</t>
  </si>
  <si>
    <t>Great Hills Trail_9009_The Hills At The Arboretum_Austin</t>
  </si>
  <si>
    <t>The Hills At The Arboretum</t>
  </si>
  <si>
    <t>E:\PropInv\MF\Austin\Reinli Street_1100_The Legacy Apartments_Austin</t>
  </si>
  <si>
    <t>Reinli Street_1100_The Legacy Apartments_Austin</t>
  </si>
  <si>
    <t>Reinli Street</t>
  </si>
  <si>
    <t>The Legacy Apartments</t>
  </si>
  <si>
    <t>E:\PropInv\MF\Austin\Slaughter Lane West_1215_The Marquis At Iron Rock Ranch_Austin</t>
  </si>
  <si>
    <t>Slaughter Lane West_1215_The Marquis At Iron Rock Ranch_Austin</t>
  </si>
  <si>
    <t>Slaughter Lane West</t>
  </si>
  <si>
    <t>The Marquis At Iron Rock Ranch</t>
  </si>
  <si>
    <t>E:\PropInv\MF\Austin\Exchange Drive_8054_The Palms At Walnut Creek_Austin</t>
  </si>
  <si>
    <t>Exchange Drive_8054_The Palms At Walnut Creek_Austin</t>
  </si>
  <si>
    <t>Exchange Drive</t>
  </si>
  <si>
    <t>The Palms At Walnut Creek</t>
  </si>
  <si>
    <t>E:\PropInv\MF\Austin\Woodhollow Drive_6805_The Ridge_Austin</t>
  </si>
  <si>
    <t>Woodhollow Drive_6805_The Ridge_Austin</t>
  </si>
  <si>
    <t>Woodhollow Drive</t>
  </si>
  <si>
    <t>E:\PropInv\MF\Austin\Lamar Boulevard South_919_The Townhollow Apartments_Austin</t>
  </si>
  <si>
    <t>Lamar Boulevard South_919_The Townhollow Apartments_Austin</t>
  </si>
  <si>
    <t>The Townhollow Apartments</t>
  </si>
  <si>
    <t>E:\PropInv\MF\Austin\Gracy Farms Lane_2600_The Village At Gracy Farms_Austin</t>
  </si>
  <si>
    <t>Gracy Farms Lane_2600_The Village At Gracy Farms_Austin</t>
  </si>
  <si>
    <t>E:\PropInv\MF\Austin\Burton Drive_2124_Tollgate Creek_Austin</t>
  </si>
  <si>
    <t>Burton Drive_2124_Tollgate Creek_Austin</t>
  </si>
  <si>
    <t>Tollgate Creek</t>
  </si>
  <si>
    <t>E:\PropInv\MF\Austin\Clayton Lane_1071_Trestles_Austin</t>
  </si>
  <si>
    <t>Clayton Lane_1071_Trestles_Austin</t>
  </si>
  <si>
    <t>Clayton Lane</t>
  </si>
  <si>
    <t>Trestles</t>
  </si>
  <si>
    <t>E:\PropInv\MF\Austin\40th Street East_910_Turnberry_Austin</t>
  </si>
  <si>
    <t>40th Street East_910_Turnberry_Austin</t>
  </si>
  <si>
    <t>40th Street East</t>
  </si>
  <si>
    <t>E:\PropInv\MF\Austin\Wickersham Drive_1600_University Commons_Austin</t>
  </si>
  <si>
    <t>Wickersham Drive_1600_University Commons_Austin</t>
  </si>
  <si>
    <t>Wickersham Drive</t>
  </si>
  <si>
    <t>University Commons</t>
  </si>
  <si>
    <t>E:\PropInv\MF\Austin\Royal Crest Drive_1616_University Crest_Austin</t>
  </si>
  <si>
    <t>Royal Crest Drive_1616_University Crest_Austin</t>
  </si>
  <si>
    <t>E:\PropInv\MF\Austin\Parmer Lane West_9500_Ventana Oaks_Austin</t>
  </si>
  <si>
    <t>Parmer Lane West_9500_Ventana Oaks_Austin</t>
  </si>
  <si>
    <t>E:\PropInv\MF\Austin\Crossing Place_1500_Village at Riverside_Austin</t>
  </si>
  <si>
    <t>Crossing Place_1500_Village at Riverside_Austin</t>
  </si>
  <si>
    <t>E:\PropInv\MF\Austin\Turtle Rock Road_12800_Village at Turtle Rock_Austin</t>
  </si>
  <si>
    <t>Turtle Rock Road_12800_Village at Turtle Rock_Austin</t>
  </si>
  <si>
    <t>Turtle Rock Road</t>
  </si>
  <si>
    <t>Village at Turtle Rock</t>
  </si>
  <si>
    <t>E:\PropInv\MF\Austin\Lamar Boulevard North_12820_Villages Of Sage Creek_Austin</t>
  </si>
  <si>
    <t>Lamar Boulevard North_12820_Villages Of Sage Creek_Austin</t>
  </si>
  <si>
    <t>Villages Of Sage Creek</t>
  </si>
  <si>
    <t>E:\PropInv\MF\Austin\Lamar Boulevard North_9036_Villas Of Quail Creek_Austin</t>
  </si>
  <si>
    <t>Lamar Boulevard North_9036_Villas Of Quail Creek_Austin</t>
  </si>
  <si>
    <t>Villas Of Quail Creek</t>
  </si>
  <si>
    <t>E:\PropInv\MF\Austin\Hemphill Park_2810_Villas On Gudalupe_Austin</t>
  </si>
  <si>
    <t>Hemphill Park_2810_Villas On Gudalupe_Austin</t>
  </si>
  <si>
    <t>Villas On Gudalupe</t>
  </si>
  <si>
    <t>E:\PropInv\MF\Austin\Town Lake Circle_2215_Vista Lago Apartments_Austin</t>
  </si>
  <si>
    <t>Town Lake Circle_2215_Vista Lago Apartments_Austin</t>
  </si>
  <si>
    <t>Town Lake Circle</t>
  </si>
  <si>
    <t>Vista Lago Apartments</t>
  </si>
  <si>
    <t>E:\PropInv\MF\Austin\620 FM North_8025_Vistas At Canyon Creek_Austin</t>
  </si>
  <si>
    <t>620 FM North_8025_Vistas At Canyon Creek_Austin</t>
  </si>
  <si>
    <t>Vistas At Canyon Creek</t>
  </si>
  <si>
    <t>E:\PropInv\MF\Austin\Capital Of Texas Highway North_6804_Walden Oaks At Bull Creek_Austin</t>
  </si>
  <si>
    <t>Capital Of Texas Highway North_6804_Walden Oaks At Bull Creek_Austin</t>
  </si>
  <si>
    <t>Capital Of Texas Highway North</t>
  </si>
  <si>
    <t>Walden Oaks At Bull Creek</t>
  </si>
  <si>
    <t>E:\PropInv\MF\Austin\Spyglass Drive_1781_Windsor At Spyglass_Austin</t>
  </si>
  <si>
    <t>Spyglass Drive_1781_Windsor At Spyglass_Austin</t>
  </si>
  <si>
    <t>Spyglass Drive</t>
  </si>
  <si>
    <t>Windsor At Spyglass</t>
  </si>
  <si>
    <t>E:\PropInv\MF\Austin\Burton Drive_1900_Wood Ridge Apartments_Austin</t>
  </si>
  <si>
    <t>Burton Drive_1900_Wood Ridge Apartments_Austin</t>
  </si>
  <si>
    <t>Wood Ridge Apartments</t>
  </si>
  <si>
    <t>E:\PropInv\MF\Austin\35 Interstate Highway North_8312_Woodland Heights_Austin</t>
  </si>
  <si>
    <t>35 Interstate Highway North_8312_Woodland Heights_Austin</t>
  </si>
  <si>
    <t>E:\PropInv\MF\Austin\Lamar Boulevard South_3505_Woodmoor_Austin</t>
  </si>
  <si>
    <t>Lamar Boulevard South_3505_Woodmoor_Austin</t>
  </si>
  <si>
    <t>E:\PropInv\MF\Azle\Main Street_517_Azle Creek Apartments_Azle</t>
  </si>
  <si>
    <t>Main Street_517_Azle Creek Apartments_Azle</t>
  </si>
  <si>
    <t>Main Street</t>
  </si>
  <si>
    <t>Azle Creek Apartments</t>
  </si>
  <si>
    <t>E:\PropInv\MF\Azle\Timber Oaks Drive_1021_Azlewood_Azle</t>
  </si>
  <si>
    <t>Timber Oaks Drive_1021_Azlewood_Azle</t>
  </si>
  <si>
    <t>Timber Oaks Drive</t>
  </si>
  <si>
    <t>E:\PropInv\MF\Azle\Boyd Road_133_Reata West Multifamily Development_Azle</t>
  </si>
  <si>
    <t>Boyd Road_133_Reata West Multifamily Development_Azle</t>
  </si>
  <si>
    <t>Boyd Road</t>
  </si>
  <si>
    <t>Reata West Multifamily Development</t>
  </si>
  <si>
    <t>E:\PropInv\MF\Balch Springs\Elam Road_12904_Elam Road_12904_Balch Springs</t>
  </si>
  <si>
    <t>Elam Road_12904_Elam Road_12904_Balch Springs</t>
  </si>
  <si>
    <t>Elam Road</t>
  </si>
  <si>
    <t>12904 Elam Road</t>
  </si>
  <si>
    <t>E:\PropInv\MF\Balch Springs\Glenshire Drive_3301_Glenshire Villas Phase I_Balch Springs</t>
  </si>
  <si>
    <t>Glenshire Drive_3301_Glenshire Villas Phase I_Balch Springs</t>
  </si>
  <si>
    <t>Glenshire Drive</t>
  </si>
  <si>
    <t>Glenshire Villas Phase I</t>
  </si>
  <si>
    <t>E:\PropInv\MF\Balch Springs\Quail Drive_12222_Glenshire Villas Phase II_Balch Springs</t>
  </si>
  <si>
    <t>Quail Drive_12222_Glenshire Villas Phase II_Balch Springs</t>
  </si>
  <si>
    <t>Quail Drive</t>
  </si>
  <si>
    <t>Glenshire Villas Phase II</t>
  </si>
  <si>
    <t>E:\PropInv\MF\Balch Springs\Pioneer Road_4614_Oaks_Balch Springs</t>
  </si>
  <si>
    <t>Pioneer Road_4614_Oaks_Balch Springs</t>
  </si>
  <si>
    <t>Pioneer Road</t>
  </si>
  <si>
    <t>Oaks</t>
  </si>
  <si>
    <t>E:\PropInv\MF\Balch Springs\Quail Drive_12725_Quail Oaks Apartments_Balch Springs</t>
  </si>
  <si>
    <t>Quail Drive_12725_Quail Oaks Apartments_Balch Springs</t>
  </si>
  <si>
    <t>Quail Oaks Apartments</t>
  </si>
  <si>
    <t>E:\PropInv\MF\Balch Springs\Cartwright Road_500_Stoneleigh On Cartwright_Balch Springs</t>
  </si>
  <si>
    <t>Cartwright Road_500_Stoneleigh On Cartwright_Balch Springs</t>
  </si>
  <si>
    <t>Cartwright Road</t>
  </si>
  <si>
    <t>Stoneleigh On Cartwright</t>
  </si>
  <si>
    <t>E:\PropInv\MF\Bay City\Avenue F_5001_Baybrook_Bay City</t>
  </si>
  <si>
    <t>Avenue F_5001_Baybrook_Bay City</t>
  </si>
  <si>
    <t>Avenue F</t>
  </si>
  <si>
    <t>E:\PropInv\MF\Bay City\Baywood Drive_1700_Baywood Square_Bay City</t>
  </si>
  <si>
    <t>Baywood Drive_1700_Baywood Square_Bay City</t>
  </si>
  <si>
    <t>Baywood Drive</t>
  </si>
  <si>
    <t>E:\PropInv\MF\Bay City\Hamman Road_1909_Riverway Apartments_Bay City</t>
  </si>
  <si>
    <t>Hamman Road_1909_Riverway Apartments_Bay City</t>
  </si>
  <si>
    <t>Hamman Road</t>
  </si>
  <si>
    <t>Riverway Apartments</t>
  </si>
  <si>
    <t>E:\PropInv\MF\Bay City\Hamman Road_2300_Wildwood Apartments_Bay City</t>
  </si>
  <si>
    <t>Hamman Road_2300_Wildwood Apartments_Bay City</t>
  </si>
  <si>
    <t>Wildwood Apartments</t>
  </si>
  <si>
    <t>E:\PropInv\MF\Baytown\Northwood Drive_813_Bay Pointe Apartments_Baytown</t>
  </si>
  <si>
    <t>Northwood Drive_813_Bay Pointe Apartments_Baytown</t>
  </si>
  <si>
    <t>Northwood Drive</t>
  </si>
  <si>
    <t>Bay Pointe Apartments</t>
  </si>
  <si>
    <t>E:\PropInv\MF\Baytown\Garth Road_3403_Trestles Of Baytown_Baytown</t>
  </si>
  <si>
    <t>Garth Road_3403_Trestles Of Baytown_Baytown</t>
  </si>
  <si>
    <t>Garth Road</t>
  </si>
  <si>
    <t>Trestles Of Baytown</t>
  </si>
  <si>
    <t>E:\PropInv\MF\Beaumont\Eastex Freeway_3190_Autumn Cove &amp; Cardinal Square_Beaumont</t>
  </si>
  <si>
    <t>Eastex Freeway_3190_Autumn Cove &amp; Cardinal Square_Beaumont</t>
  </si>
  <si>
    <t>Eastex Freeway</t>
  </si>
  <si>
    <t>E:\PropInv\MF\Beaumont\Crow Road_3925_Beaumont Multifamily Porfolio_Beaumont</t>
  </si>
  <si>
    <t>Crow Road_3925_Beaumont Multifamily Porfolio_Beaumont</t>
  </si>
  <si>
    <t>Crow Road</t>
  </si>
  <si>
    <t>Beaumont Multifamily Porfolio</t>
  </si>
  <si>
    <t>E:\PropInv\MF\Beaumont\Saxe Street_1280_Cardinal Square_Beaumont</t>
  </si>
  <si>
    <t>Saxe Street_1280_Cardinal Square_Beaumont</t>
  </si>
  <si>
    <t>Saxe Street</t>
  </si>
  <si>
    <t>E:\PropInv\MF\Beaumont\Sweetgum Lane_2570_Colonnade Apartments_Beaumont</t>
  </si>
  <si>
    <t>Sweetgum Lane_2570_Colonnade Apartments_Beaumont</t>
  </si>
  <si>
    <t>Sweetgum Lane</t>
  </si>
  <si>
    <t>Colonnade Apartments</t>
  </si>
  <si>
    <t>E:\PropInv\MF\Beaumont\Corner Stone Court_1605_Cypress Bend_Beaumont</t>
  </si>
  <si>
    <t>Corner Stone Court_1605_Cypress Bend_Beaumont</t>
  </si>
  <si>
    <t>Corner Stone Court</t>
  </si>
  <si>
    <t>E:\PropInv\MF\Beaumont\French Road_3155_French Road_Beaumont</t>
  </si>
  <si>
    <t>French Road_3155_French Road_Beaumont</t>
  </si>
  <si>
    <t>E:\PropInv\MF\Beaumont\Dowlen Road_520_Greentree Village_Beaumont</t>
  </si>
  <si>
    <t>Dowlen Road_520_Greentree Village_Beaumont</t>
  </si>
  <si>
    <t>Dowlen Road</t>
  </si>
  <si>
    <t>E:\PropInv\MF\Beaumont\Prutzman Road_6550_Lancaster Cornwall_Beaumont</t>
  </si>
  <si>
    <t>Prutzman Road_6550_Lancaster Cornwall_Beaumont</t>
  </si>
  <si>
    <t>Prutzman Road</t>
  </si>
  <si>
    <t>E:\PropInv\MF\Beaumont\Longfellow Drive_1215_Longfellow_Beaumont</t>
  </si>
  <si>
    <t>Longfellow Drive_1215_Longfellow_Beaumont</t>
  </si>
  <si>
    <t>Longfellow Drive</t>
  </si>
  <si>
    <t>E:\PropInv\MF\Beaumont\4th Street Street_4365_Pear Orchard Plaza_Beaumont</t>
  </si>
  <si>
    <t>4th Street Street_4365_Pear Orchard Plaza_Beaumont</t>
  </si>
  <si>
    <t>4th Street Street</t>
  </si>
  <si>
    <t>Pear Orchard Plaza</t>
  </si>
  <si>
    <t>E:\PropInv\MF\Beaumont\Folsom Drive_5550_Regency Place_Beaumont</t>
  </si>
  <si>
    <t>Folsom Drive_5550_Regency Place_Beaumont</t>
  </si>
  <si>
    <t>Folsom Drive</t>
  </si>
  <si>
    <t>E:\PropInv\MF\Beaumont\Old Dowlen Road_4165_The Pointe Apartments_Beaumont</t>
  </si>
  <si>
    <t>Old Dowlen Road_4165_The Pointe Apartments_Beaumont</t>
  </si>
  <si>
    <t>Old Dowlen Road</t>
  </si>
  <si>
    <t>The Pointe Apartments</t>
  </si>
  <si>
    <t>E:\PropInv\MF\Beaumont\10 Interstate Highway North_125_Timberlake Courts_Beaumont</t>
  </si>
  <si>
    <t>10 Interstate Highway North_125_Timberlake Courts_Beaumont</t>
  </si>
  <si>
    <t>10 Interstate Highway North</t>
  </si>
  <si>
    <t>E:\PropInv\MF\Beaumont\Lexington Drive_6550_Towne Oaks_Beaumont</t>
  </si>
  <si>
    <t>Lexington Drive_6550_Towne Oaks_Beaumont</t>
  </si>
  <si>
    <t>Lexington Drive</t>
  </si>
  <si>
    <t>E:\PropInv\MF\Beaumont\Major Drive North_4215_West End Lodge_Beaumont</t>
  </si>
  <si>
    <t>Major Drive North_4215_West End Lodge_Beaumont</t>
  </si>
  <si>
    <t>Major Drive North</t>
  </si>
  <si>
    <t>E:\PropInv\MF\Bedford\Amherst Drive_1121_Amherst Apartments_Bedford</t>
  </si>
  <si>
    <t>Amherst Drive_1121_Amherst Apartments_Bedford</t>
  </si>
  <si>
    <t>Amherst Drive</t>
  </si>
  <si>
    <t>Amherst Apartments</t>
  </si>
  <si>
    <t>E:\PropInv\MF\Bedford\Pecan Bend Drive_400_Brownstones_Bedford</t>
  </si>
  <si>
    <t>Pecan Bend Drive_400_Brownstones_Bedford</t>
  </si>
  <si>
    <t>Pecan Bend Drive</t>
  </si>
  <si>
    <t>Brownstones</t>
  </si>
  <si>
    <t>E:\PropInv\MF\Bedford\Bedford Road_328_Gentry's Walk_Bedford</t>
  </si>
  <si>
    <t>Bedford Road_328_Gentry's Walk_Bedford</t>
  </si>
  <si>
    <t>Bedford Road</t>
  </si>
  <si>
    <t>E:\PropInv\MF\Bedford\Central Drive_805_Hamptons At Central_Bedford</t>
  </si>
  <si>
    <t>Central Drive_805_Hamptons At Central_Bedford</t>
  </si>
  <si>
    <t>Central Drive</t>
  </si>
  <si>
    <t>Hamptons At Central</t>
  </si>
  <si>
    <t>E:\PropInv\MF\Bedford\Tennis Drive_1325_Toscana Villas_Bedford</t>
  </si>
  <si>
    <t>Tennis Drive_1325_Toscana Villas_Bedford</t>
  </si>
  <si>
    <t>Tennis Drive</t>
  </si>
  <si>
    <t>E:\PropInv\MF\Bedford\Shady Lane_1401_Waters Park_Bedford</t>
  </si>
  <si>
    <t>Shady Lane_1401_Waters Park_Bedford</t>
  </si>
  <si>
    <t>Shady Lane</t>
  </si>
  <si>
    <t>Waters Park</t>
  </si>
  <si>
    <t>E:\PropInv\MF\Bedford\Murphy Drive_2200_Windmill Terrace Apartments_Bedford</t>
  </si>
  <si>
    <t>Murphy Drive_2200_Windmill Terrace Apartments_Bedford</t>
  </si>
  <si>
    <t>Murphy Drive</t>
  </si>
  <si>
    <t>Windmill Terrace Apartments</t>
  </si>
  <si>
    <t>E:\PropInv\MF\Beeville\Mary's Street North_4000_Imperial Apartments_Beeville</t>
  </si>
  <si>
    <t>Mary's Street North_4000_Imperial Apartments_Beeville</t>
  </si>
  <si>
    <t>Mary's Street North</t>
  </si>
  <si>
    <t>Imperial Apartments</t>
  </si>
  <si>
    <t>E:\PropInv\MF\Benbrook\Boston Avenue_3510_Boston Apartments_Benbrook</t>
  </si>
  <si>
    <t>Boston Avenue_3510_Boston Apartments_Benbrook</t>
  </si>
  <si>
    <t>Boston Avenue</t>
  </si>
  <si>
    <t>Boston Apartments</t>
  </si>
  <si>
    <t>E:\PropInv\MF\Benbrook\Cross Creek Lane_5513_Cross Creek Ranch_Benbrook</t>
  </si>
  <si>
    <t>Cross Creek Lane_5513_Cross Creek Ranch_Benbrook</t>
  </si>
  <si>
    <t>Cross Creek Lane</t>
  </si>
  <si>
    <t>E:\PropInv\MF\Big Spring\6th Street East_1425_Ponderosa_Big Spring</t>
  </si>
  <si>
    <t>6th Street East_1425_Ponderosa_Big Spring</t>
  </si>
  <si>
    <t>6th Street East</t>
  </si>
  <si>
    <t>E:\PropInv\MF\Blossom\Walnut Street_155_Blossom Downtown Duplexes_Blossom</t>
  </si>
  <si>
    <t>Walnut Street_155_Blossom Downtown Duplexes_Blossom</t>
  </si>
  <si>
    <t>Walnut Street</t>
  </si>
  <si>
    <t>Blossom Downtown Duplexes</t>
  </si>
  <si>
    <t>E:\PropInv\MF\Brownsville\Parades Line Road_605_Brandywyne Apartments_Brownsville</t>
  </si>
  <si>
    <t>Parades Line Road_605_Brandywyne Apartments_Brownsville</t>
  </si>
  <si>
    <t>Parades Line Road</t>
  </si>
  <si>
    <t>Brandywyne Apartments</t>
  </si>
  <si>
    <t>E:\PropInv\MF\Brownsville\802 FM Road_2700_La Mansion_Brownsville</t>
  </si>
  <si>
    <t>802 FM Road_2700_La Mansion_Brownsville</t>
  </si>
  <si>
    <t>802 FM Road</t>
  </si>
  <si>
    <t>E:\PropInv\MF\Brownsville\Shilder Drive_2313_La Residencia &amp; The Bonaventure_Brownsville</t>
  </si>
  <si>
    <t>Shilder Drive_2313_La Residencia &amp; The Bonaventure_Brownsville</t>
  </si>
  <si>
    <t>Shilder Drive</t>
  </si>
  <si>
    <t>E:\PropInv\MF\Brownwood\Good Shepherd Drive_1700_Brownwood Apartments_Brownwood</t>
  </si>
  <si>
    <t>Good Shepherd Drive_1700_Brownwood Apartments_Brownwood</t>
  </si>
  <si>
    <t>Good Shepherd Drive</t>
  </si>
  <si>
    <t>Brownwood Apartments</t>
  </si>
  <si>
    <t>E:\PropInv\MF\Bryan\Hollow Hill Drive_1512_Autumn Woods FSBO_Bryan</t>
  </si>
  <si>
    <t>Hollow Hill Drive_1512_Autumn Woods FSBO_Bryan</t>
  </si>
  <si>
    <t>Hollow Hill Drive</t>
  </si>
  <si>
    <t>Autumn Woods FSBO</t>
  </si>
  <si>
    <t>E:\PropInv\MF\Bryan\Finfeather Road_3200_Avalon Apartments_Bryan</t>
  </si>
  <si>
    <t>Finfeather Road_3200_Avalon Apartments_Bryan</t>
  </si>
  <si>
    <t>Finfeather Road</t>
  </si>
  <si>
    <t>Avalon Apartments</t>
  </si>
  <si>
    <t>E:\PropInv\MF\Bryan\Lynn street_208_Costa Mesa Residencies_Bryan</t>
  </si>
  <si>
    <t>Lynn street_208_Costa Mesa Residencies_Bryan</t>
  </si>
  <si>
    <t>Lynn street</t>
  </si>
  <si>
    <t>Costa Mesa Residencies</t>
  </si>
  <si>
    <t>E:\PropInv\MF\Bryan\Silver Spur Circle_2903_Forest Creek_Bryan</t>
  </si>
  <si>
    <t>Silver Spur Circle_2903_Forest Creek_Bryan</t>
  </si>
  <si>
    <t>Silver Spur Circle</t>
  </si>
  <si>
    <t>E:\PropInv\MF\Bryan\Plainsman Lane_3535_Quail Hollow_Bryan</t>
  </si>
  <si>
    <t>Plainsman Lane_3535_Quail Hollow_Bryan</t>
  </si>
  <si>
    <t>Plainsman Lane</t>
  </si>
  <si>
    <t>E:\PropInv\MF\Bryan\Hardy Street_106_Residential Income Package Bryan TX_Bryan</t>
  </si>
  <si>
    <t>Hardy Street_106_Residential Income Package Bryan TX_Bryan</t>
  </si>
  <si>
    <t>Hardy Street</t>
  </si>
  <si>
    <t>Residential Income Package Bryan TX</t>
  </si>
  <si>
    <t>E:\PropInv\MF\Bryan\29th Street East_3130_The Grove_Bryan</t>
  </si>
  <si>
    <t>29th Street East_3130_The Grove_Bryan</t>
  </si>
  <si>
    <t>29th Street East</t>
  </si>
  <si>
    <t>E:\PropInv\MF\Bryan\Providence Avenue_3301_The Oaks_Bryan</t>
  </si>
  <si>
    <t>Providence Avenue_3301_The Oaks_Bryan</t>
  </si>
  <si>
    <t>Providence Avenue</t>
  </si>
  <si>
    <t>E:\PropInv\MF\Burleson\Walnut Hill_940_Mistletoe Hill Duplexes_Burleson</t>
  </si>
  <si>
    <t>Walnut Hill_940_Mistletoe Hill Duplexes_Burleson</t>
  </si>
  <si>
    <t>E:\PropInv\MF\Canyon\Cottonwood Lane_10_Cimarron Apartments_Canyon</t>
  </si>
  <si>
    <t>Cottonwood Lane_10_Cimarron Apartments_Canyon</t>
  </si>
  <si>
    <t>Cottonwood Lane</t>
  </si>
  <si>
    <t>Cimarron Apartments</t>
  </si>
  <si>
    <t>E:\PropInv\MF\Carrollton\Jackson Circle_2201_2201 Jackson Circle_Carrollton</t>
  </si>
  <si>
    <t>Jackson Circle_2201_2201 Jackson Circle_Carrollton</t>
  </si>
  <si>
    <t>Jackson Circle</t>
  </si>
  <si>
    <t>2201 Jackson Circle</t>
  </si>
  <si>
    <t>E:\PropInv\MF\Carrollton\Josey Lane_4600_Amli At AutumnChase_Carrollton</t>
  </si>
  <si>
    <t>Josey Lane_4600_Amli At AutumnChase_Carrollton</t>
  </si>
  <si>
    <t>Josey Lane</t>
  </si>
  <si>
    <t>Amli At AutumnChase</t>
  </si>
  <si>
    <t>E:\PropInv\MF\Carrollton\Branch Hollow Drive_1110_Branch Hollow Townhomes_Carrollton</t>
  </si>
  <si>
    <t>Branch Hollow Drive_1110_Branch Hollow Townhomes_Carrollton</t>
  </si>
  <si>
    <t>Branch Hollow Drive</t>
  </si>
  <si>
    <t>Branch Hollow Townhomes</t>
  </si>
  <si>
    <t>E:\PropInv\MF\Carrollton\Belt Line Road_1600_Carrollton Arms_Carrollton</t>
  </si>
  <si>
    <t>Belt Line Road_1600_Carrollton Arms_Carrollton</t>
  </si>
  <si>
    <t>Belt Line Road</t>
  </si>
  <si>
    <t>E:\PropInv\MF\Carrollton\Ridgeale Drive_2416_Carrollton Home For Sale_Carrollton</t>
  </si>
  <si>
    <t>Ridgeale Drive_2416_Carrollton Home For Sale_Carrollton</t>
  </si>
  <si>
    <t>Ridgeale Drive</t>
  </si>
  <si>
    <t>Carrollton Home For Sale</t>
  </si>
  <si>
    <t>E:\PropInv\MF\Carrollton\Crosby Road East_1300_Crosby Creek_Carrollton</t>
  </si>
  <si>
    <t>Crosby Road East_1300_Crosby Creek_Carrollton</t>
  </si>
  <si>
    <t>Crosby Road East</t>
  </si>
  <si>
    <t>E:\PropInv\MF\Carrollton\Josey Lane South_1920_Fox Creek_Carrollton</t>
  </si>
  <si>
    <t>Josey Lane South_1920_Fox Creek_Carrollton</t>
  </si>
  <si>
    <t>Josey Lane South</t>
  </si>
  <si>
    <t>Fox Creek</t>
  </si>
  <si>
    <t>E:\PropInv\MF\Carrollton\Heritage Circle_2206_Full Block Duplexes_Carrollton</t>
  </si>
  <si>
    <t>Heritage Circle_2206_Full Block Duplexes_Carrollton</t>
  </si>
  <si>
    <t>Heritage Circle</t>
  </si>
  <si>
    <t>Full Block Duplexes</t>
  </si>
  <si>
    <t>E:\PropInv\MF\Carrollton\Marsh Lane_2121_Keller Oaks_Carrollton</t>
  </si>
  <si>
    <t>Marsh Lane_2121_Keller Oaks_Carrollton</t>
  </si>
  <si>
    <t>E:\PropInv\MF\Carrollton\Crosby Road_1400_La Sombra_Carrollton</t>
  </si>
  <si>
    <t>Crosby Road_1400_La Sombra_Carrollton</t>
  </si>
  <si>
    <t>Crosby Road</t>
  </si>
  <si>
    <t>E:\PropInv\MF\Carrollton\Lakehill Lane_2610_Lakehills Townhomes_Carrollton</t>
  </si>
  <si>
    <t>Lakehill Lane_2610_Lakehills Townhomes_Carrollton</t>
  </si>
  <si>
    <t>Lakehill Lane</t>
  </si>
  <si>
    <t>Lakehills Townhomes</t>
  </si>
  <si>
    <t>E:\PropInv\MF\Carrollton\School Road_1310_Lynn Villa_Carrollton</t>
  </si>
  <si>
    <t>School Road_1310_Lynn Villa_Carrollton</t>
  </si>
  <si>
    <t>School Road</t>
  </si>
  <si>
    <t>E:\PropInv\MF\Carrollton\Cox Street_1801_New Orleans Of Carrollton_Carrollton</t>
  </si>
  <si>
    <t>Cox Street_1801_New Orleans Of Carrollton_Carrollton</t>
  </si>
  <si>
    <t>Cox Street</t>
  </si>
  <si>
    <t>New Orleans Of Carrollton</t>
  </si>
  <si>
    <t>E:\PropInv\MF\Carrollton\Perry Road_1455_Sevilla Condominiums_Carrollton</t>
  </si>
  <si>
    <t>Perry Road_1455_Sevilla Condominiums_Carrollton</t>
  </si>
  <si>
    <t>Perry Road</t>
  </si>
  <si>
    <t>Sevilla Condominiums</t>
  </si>
  <si>
    <t>E:\PropInv\MF\Carrollton\Park Avenue_1050_Summit Park Avenue_Carrollton</t>
  </si>
  <si>
    <t>Park Avenue_1050_Summit Park Avenue_Carrollton</t>
  </si>
  <si>
    <t>Park Avenue</t>
  </si>
  <si>
    <t>Summit Park Avenue</t>
  </si>
  <si>
    <t>E:\PropInv\MF\Carrollton\Fannidelia Drive_1404_The Meadows_Carrollton</t>
  </si>
  <si>
    <t>Fannidelia Drive_1404_The Meadows_Carrollton</t>
  </si>
  <si>
    <t>Fannidelia Drive</t>
  </si>
  <si>
    <t>E:\PropInv\MF\Carrollton\Country Square Drive_3420_The Place at Saddle Creek_Carrollton</t>
  </si>
  <si>
    <t>Country Square Drive_3420_The Place at Saddle Creek_Carrollton</t>
  </si>
  <si>
    <t>Country Square Drive</t>
  </si>
  <si>
    <t>E:\PropInv\MF\Carrollton\Trinity Mills East_2200_Trinity Medows_Carrollton</t>
  </si>
  <si>
    <t>Trinity Mills East_2200_Trinity Medows_Carrollton</t>
  </si>
  <si>
    <t>Trinity Mills East</t>
  </si>
  <si>
    <t>Trinity Medows</t>
  </si>
  <si>
    <t>E:\PropInv\MF\Carrollton\Marsh Lane_2250_TwentyTwo50 Marsh At Carrollton_Carrollton</t>
  </si>
  <si>
    <t>Marsh Lane_2250_TwentyTwo50 Marsh At Carrollton_Carrollton</t>
  </si>
  <si>
    <t>TwentyTwo50 Marsh At Carrollton</t>
  </si>
  <si>
    <t>E:\PropInv\MF\Carrollton\Keller Springs_2800_Villas @ 2800 Keller Springs_Carrollton</t>
  </si>
  <si>
    <t>Keller Springs_2800_Villas @ 2800 Keller Springs_Carrollton</t>
  </si>
  <si>
    <t>Villas @ 2800 Keller Springs</t>
  </si>
  <si>
    <t>E:\PropInv\MF\Carrollton\Indian Run Drive_1220_Wind Dance Apartment_Carrollton</t>
  </si>
  <si>
    <t>Indian Run Drive_1220_Wind Dance Apartment_Carrollton</t>
  </si>
  <si>
    <t>Indian Run Drive</t>
  </si>
  <si>
    <t>Wind Dance Apartment</t>
  </si>
  <si>
    <t>E:\PropInv\MF\Carrollton\Josey Lane_3022_Woodlake Apartments_Carrollton</t>
  </si>
  <si>
    <t>Josey Lane_3022_Woodlake Apartments_Carrollton</t>
  </si>
  <si>
    <t>Woodlake Apartments</t>
  </si>
  <si>
    <t>E:\PropInv\MF\Carrollton\Sandy Lake Road_1915_Carrollton</t>
  </si>
  <si>
    <t>Sandy Lake Road_1915_Carrollton</t>
  </si>
  <si>
    <t>Sandy Lake Road</t>
  </si>
  <si>
    <t>E:\PropInv\MF\Castroville\Meadow Drive_211_Country Villa Apartments_Castroville</t>
  </si>
  <si>
    <t>Meadow Drive_211_Country Villa Apartments_Castroville</t>
  </si>
  <si>
    <t>Meadow Drive</t>
  </si>
  <si>
    <t>Country Villa Apartments</t>
  </si>
  <si>
    <t>E:\PropInv\MF\Cedar Hill\Cedar Street_315_Cedars Apartments_Cedar Hill</t>
  </si>
  <si>
    <t>Cedar Street_315_Cedars Apartments_Cedar Hill</t>
  </si>
  <si>
    <t>Cedar Street</t>
  </si>
  <si>
    <t>Cedars Apartments</t>
  </si>
  <si>
    <t>E:\PropInv\MF\Cedar Hill\Hickerson Street_312_Hickerson Street_Cedar Hill</t>
  </si>
  <si>
    <t>Hickerson Street_312_Hickerson Street_Cedar Hill</t>
  </si>
  <si>
    <t>Hickerson Street</t>
  </si>
  <si>
    <t>E:\PropInv\MF\Cedar Hill\Lemons Street_706_Lemon Duplexes_Cedar Hill</t>
  </si>
  <si>
    <t>Lemons Street_706_Lemon Duplexes_Cedar Hill</t>
  </si>
  <si>
    <t>Lemons Street</t>
  </si>
  <si>
    <t>E:\PropInv\MF\Cedar Hill\Little Creek Road_151_Little Creek Apartments_Cedar Hill</t>
  </si>
  <si>
    <t>Little Creek Road_151_Little Creek Apartments_Cedar Hill</t>
  </si>
  <si>
    <t>Little Creek Road</t>
  </si>
  <si>
    <t>Little Creek Apartments</t>
  </si>
  <si>
    <t>E:\PropInv\MF\Cedar Park\Buttercup Creek Boulevard_403_Buttercup Creek Apartments_Cedar Park</t>
  </si>
  <si>
    <t>Buttercup Creek Boulevard_403_Buttercup Creek Apartments_Cedar Park</t>
  </si>
  <si>
    <t>Buttercup Creek Boulevard</t>
  </si>
  <si>
    <t>Buttercup Creek Apartments</t>
  </si>
  <si>
    <t>E:\PropInv\MF\Cedar Park\Cypress Creek Road_350_Regal Canyon_Cedar Park</t>
  </si>
  <si>
    <t>Cypress Creek Road_350_Regal Canyon_Cedar Park</t>
  </si>
  <si>
    <t>Cypress Creek Road</t>
  </si>
  <si>
    <t>E:\PropInv\MF\Cleburne\Woodard Avenue_1661_Cleburne Terrace Apartments_Cleburne</t>
  </si>
  <si>
    <t>Woodard Avenue_1661_Cleburne Terrace Apartments_Cleburne</t>
  </si>
  <si>
    <t>Woodard Avenue</t>
  </si>
  <si>
    <t>Cleburne Terrace Apartments</t>
  </si>
  <si>
    <t>E:\PropInv\MF\Cleburne\Westcourt Drive_101_Northridge Court Apartments_Cleburne</t>
  </si>
  <si>
    <t>Westcourt Drive_101_Northridge Court Apartments_Cleburne</t>
  </si>
  <si>
    <t>Westcourt Drive</t>
  </si>
  <si>
    <t>Northridge Court Apartments</t>
  </si>
  <si>
    <t>E:\PropInv\MF\Cleburne\Caddo Street South_605_Cleburne</t>
  </si>
  <si>
    <t>Caddo Street South_605_Cleburne</t>
  </si>
  <si>
    <t>Caddo Street South</t>
  </si>
  <si>
    <t>E:\PropInv\MF\Clute\Hackberry Street_201_Ashton Oaks 1,2,3,4_Clute</t>
  </si>
  <si>
    <t>Hackberry Street_201_Ashton Oaks 1,2,3,4_Clute</t>
  </si>
  <si>
    <t>Hackberry Street</t>
  </si>
  <si>
    <t>Ashton Oaks 1,2,3,4</t>
  </si>
  <si>
    <t>E:\PropInv\MF\Clute\Brazoswood Drive East_200_Fisherman's Wharf_Clute</t>
  </si>
  <si>
    <t>Brazoswood Drive East_200_Fisherman's Wharf_Clute</t>
  </si>
  <si>
    <t>Brazoswood Drive East</t>
  </si>
  <si>
    <t>E:\PropInv\MF\Clute\Hackberry Street_202_Oak Park_Clute</t>
  </si>
  <si>
    <t>Hackberry Street_202_Oak Park_Clute</t>
  </si>
  <si>
    <t>E:\PropInv\MF\College Station\Harvey Road_1201_Briarwood Apartment Homes_College Station</t>
  </si>
  <si>
    <t>Harvey Road_1201_Briarwood Apartment Homes_College Station</t>
  </si>
  <si>
    <t>Harvey Road</t>
  </si>
  <si>
    <t>Briarwood Apartment Homes</t>
  </si>
  <si>
    <t>E:\PropInv\MF\College Station\Parkway Southwest_205_Copper Creek Apartments_College Station</t>
  </si>
  <si>
    <t>Parkway Southwest_205_Copper Creek Apartments_College Station</t>
  </si>
  <si>
    <t>Parkway Southwest</t>
  </si>
  <si>
    <t>Copper Creek Apartments</t>
  </si>
  <si>
    <t>E:\PropInv\MF\College Station\Central Park Lane_2400_Eastmark At Wolfpen_College Station</t>
  </si>
  <si>
    <t>Central Park Lane_2400_Eastmark At Wolfpen_College Station</t>
  </si>
  <si>
    <t>Central Park Lane</t>
  </si>
  <si>
    <t>Eastmark At Wolfpen</t>
  </si>
  <si>
    <t>E:\PropInv\MF\College Station\Luther Street West_601_Melrose_College Station</t>
  </si>
  <si>
    <t>Luther Street West_601_Melrose_College Station</t>
  </si>
  <si>
    <t>Luther Street West</t>
  </si>
  <si>
    <t>E:\PropInv\MF\College Station\Redmond Drive_309_Meridian Apartment Complex_College Station</t>
  </si>
  <si>
    <t>Redmond Drive_309_Meridian Apartment Complex_College Station</t>
  </si>
  <si>
    <t>Redmond Drive</t>
  </si>
  <si>
    <t>Meridian Apartment Complex</t>
  </si>
  <si>
    <t>E:\PropInv\MF\College Station\Parkway Southwest_1600_Parkway_College Station</t>
  </si>
  <si>
    <t>Parkway Southwest_1600_Parkway_College Station</t>
  </si>
  <si>
    <t>E:\PropInv\MF\College Station\Holleman Drive_1501_Sevilla_College Station</t>
  </si>
  <si>
    <t>Holleman Drive_1501_Sevilla_College Station</t>
  </si>
  <si>
    <t>Holleman Drive</t>
  </si>
  <si>
    <t>Sevilla</t>
  </si>
  <si>
    <t>E:\PropInv\MF\College Station\Dartmouth Street_1903_Stonewood Village Apartment_College Station</t>
  </si>
  <si>
    <t>Dartmouth Street_1903_Stonewood Village Apartment_College Station</t>
  </si>
  <si>
    <t>Dartmouth Street</t>
  </si>
  <si>
    <t>Stonewood Village Apartment</t>
  </si>
  <si>
    <t>E:\PropInv\MF\College Station\Stasney Street_311_Student Apartment Portfolio_College Station</t>
  </si>
  <si>
    <t>Stasney Street_311_Student Apartment Portfolio_College Station</t>
  </si>
  <si>
    <t>Stasney Street</t>
  </si>
  <si>
    <t>Student Apartment Portfolio</t>
  </si>
  <si>
    <t>E:\PropInv\MF\College Station\Parkway Southwest_1011_The Colony Apartments_College Station</t>
  </si>
  <si>
    <t>Parkway Southwest_1011_The Colony Apartments_College Station</t>
  </si>
  <si>
    <t>The Colony Apartments</t>
  </si>
  <si>
    <t>E:\PropInv\MF\College Station\Parkway Southwest_502_Willowick_College Station</t>
  </si>
  <si>
    <t>Parkway Southwest_502_Willowick_College Station</t>
  </si>
  <si>
    <t>E:\PropInv\MF\Colorado City\Waco Street_928_Andrea Gardens Apartment Complex_Colorado City</t>
  </si>
  <si>
    <t>Waco Street_928_Andrea Gardens Apartment Complex_Colorado City</t>
  </si>
  <si>
    <t>Waco Street</t>
  </si>
  <si>
    <t>Andrea Gardens Apartment Complex</t>
  </si>
  <si>
    <t>E:\PropInv\MF\State_SC\Columbia\Bethel Church Road_4215_Ravenwood Hills_Columbia</t>
  </si>
  <si>
    <t>Bethel Church Road_4215_Ravenwood Hills_Columbia</t>
  </si>
  <si>
    <t>Bethel Church Road</t>
  </si>
  <si>
    <t>E:\PropInv\MF\Commerce\Washington_2309_Regency Square Apartments_Commerce</t>
  </si>
  <si>
    <t>Washington_2309_Regency Square Apartments_Commerce</t>
  </si>
  <si>
    <t>Regency Square Apartments</t>
  </si>
  <si>
    <t>E:\PropInv\MF\Commerce\Westgate drive_2458_Village Apartments_Commerce</t>
  </si>
  <si>
    <t>Westgate drive_2458_Village Apartments_Commerce</t>
  </si>
  <si>
    <t>Westgate drive</t>
  </si>
  <si>
    <t>Village Apartments</t>
  </si>
  <si>
    <t>E:\PropInv\MF\Conroe\Westview Boulevard_2210_Central Park Condos_Conroe</t>
  </si>
  <si>
    <t>Westview Boulevard_2210_Central Park Condos_Conroe</t>
  </si>
  <si>
    <t>Westview Boulevard</t>
  </si>
  <si>
    <t>Central Park Condos</t>
  </si>
  <si>
    <t>E:\PropInv\MF\Conroe\Montgomery Park Boulevard_2200_Forest Creek_Conroe</t>
  </si>
  <si>
    <t>Montgomery Park Boulevard_2200_Forest Creek_Conroe</t>
  </si>
  <si>
    <t>Montgomery Park Boulevard</t>
  </si>
  <si>
    <t>E:\PropInv\MF\Conroe\Longmire Road_1840_Landmark Of Conroe_Conroe</t>
  </si>
  <si>
    <t>Longmire Road_1840_Landmark Of Conroe_Conroe</t>
  </si>
  <si>
    <t>Longmire Road</t>
  </si>
  <si>
    <t>Landmark Of Conroe</t>
  </si>
  <si>
    <t>E:\PropInv\MF\Conroe\Frazier Street North_3030_Pines Of Conroe_Conroe</t>
  </si>
  <si>
    <t>Frazier Street North_3030_Pines Of Conroe_Conroe</t>
  </si>
  <si>
    <t>Frazier Street North</t>
  </si>
  <si>
    <t>Pines Of Conroe</t>
  </si>
  <si>
    <t>E:\PropInv\MF\Conroe\Gladstell Road_808_Redford Park Apartments_Conroe</t>
  </si>
  <si>
    <t>Gladstell Road_808_Redford Park Apartments_Conroe</t>
  </si>
  <si>
    <t>Gladstell Road</t>
  </si>
  <si>
    <t>Redford Park Apartments</t>
  </si>
  <si>
    <t>E:\PropInv\MF\Conroe\River Pointe Drive_1600_River Pointe_Conroe</t>
  </si>
  <si>
    <t>River Pointe Drive_1600_River Pointe_Conroe</t>
  </si>
  <si>
    <t>River Pointe Drive</t>
  </si>
  <si>
    <t>E:\PropInv\MF\Conroe\Scarborough Drive_291_Riverwalk Apartments_Conroe</t>
  </si>
  <si>
    <t>Scarborough Drive_291_Riverwalk Apartments_Conroe</t>
  </si>
  <si>
    <t>Scarborough Drive</t>
  </si>
  <si>
    <t>Riverwalk Apartments</t>
  </si>
  <si>
    <t>E:\PropInv\MF\Conroe\River Pointe Drive_201_RiverWood_Conroe</t>
  </si>
  <si>
    <t>River Pointe Drive_201_RiverWood_Conroe</t>
  </si>
  <si>
    <t>RiverWood</t>
  </si>
  <si>
    <t>E:\PropInv\MF\Conroe\Frazier Street North_2205_Sunpark Apartments_Conroe</t>
  </si>
  <si>
    <t>Frazier Street North_2205_Sunpark Apartments_Conroe</t>
  </si>
  <si>
    <t>Sunpark Apartments</t>
  </si>
  <si>
    <t>E:\PropInv\MF\Conroe\Fountains Lane_200_The Fountains Of Conroe_Conroe</t>
  </si>
  <si>
    <t>Fountains Lane_200_The Fountains Of Conroe_Conroe</t>
  </si>
  <si>
    <t>Fountains Lane</t>
  </si>
  <si>
    <t>The Fountains Of Conroe</t>
  </si>
  <si>
    <t>E:\PropInv\MF\Conroe\Shenandoah Park Drive_8787_The Park At Woodmoor_Conroe</t>
  </si>
  <si>
    <t>Shenandoah Park Drive_8787_The Park At Woodmoor_Conroe</t>
  </si>
  <si>
    <t>Shenandoah Park Drive</t>
  </si>
  <si>
    <t>The Park At Woodmoor</t>
  </si>
  <si>
    <t>E:\PropInv\MF\Conroe\Plantation Drive_2020_Timbers Of Pine Hollow_Conroe</t>
  </si>
  <si>
    <t>Plantation Drive_2020_Timbers Of Pine Hollow_Conroe</t>
  </si>
  <si>
    <t>Plantation Drive</t>
  </si>
  <si>
    <t>Timbers Of Pine Hollow</t>
  </si>
  <si>
    <t>E:\PropInv\MF\Converse\Shadow Creek Lane_9180_Shadow Creek_Converse</t>
  </si>
  <si>
    <t>Shadow Creek Lane_9180_Shadow Creek_Converse</t>
  </si>
  <si>
    <t>Shadow Creek Lane</t>
  </si>
  <si>
    <t>E:\PropInv\MF\Converse\78 FM Road_9060_Towne East Village_Converse</t>
  </si>
  <si>
    <t>78 FM Road_9060_Towne East Village_Converse</t>
  </si>
  <si>
    <t>78 FM Road</t>
  </si>
  <si>
    <t>E:\PropInv\MF\Coppell\Fairway Drive_777_Amli On The Fairways_Coppell</t>
  </si>
  <si>
    <t>Fairway Drive_777_Amli On The Fairways_Coppell</t>
  </si>
  <si>
    <t>Amli On The Fairways</t>
  </si>
  <si>
    <t>E:\PropInv\MF\Coppell\Samuel Boulevard East_218_Meadowridge_Coppell</t>
  </si>
  <si>
    <t>Samuel Boulevard East_218_Meadowridge_Coppell</t>
  </si>
  <si>
    <t>Samuel Boulevard East</t>
  </si>
  <si>
    <t>E:\PropInv\MF\Corpus Christi\Broadway Street West_2510_9 Property Package Deal_Corpus Christi</t>
  </si>
  <si>
    <t>Broadway Street West_2510_9 Property Package Deal_Corpus Christi</t>
  </si>
  <si>
    <t>Broadway Street West</t>
  </si>
  <si>
    <t>9 Property Package Deal</t>
  </si>
  <si>
    <t>E:\PropInv\MF\Corpus Christi\Ennis Joslin Road_1701_Alta Bayside_Corpus Christi</t>
  </si>
  <si>
    <t>Ennis Joslin Road_1701_Alta Bayside_Corpus Christi</t>
  </si>
  <si>
    <t>Ennis Joslin Road</t>
  </si>
  <si>
    <t>E:\PropInv\MF\Corpus Christi\Williams Drive_5701_Arrowsmith Apartments_Corpus Christi</t>
  </si>
  <si>
    <t>Williams Drive_5701_Arrowsmith Apartments_Corpus Christi</t>
  </si>
  <si>
    <t>Williams Drive</t>
  </si>
  <si>
    <t>Arrowsmith Apartments</t>
  </si>
  <si>
    <t>E:\PropInv\MF\Corpus Christi\Alameda Street South_3401_Cathedral Of The Palms_Corpus Christi</t>
  </si>
  <si>
    <t>Alameda Street South_3401_Cathedral Of The Palms_Corpus Christi</t>
  </si>
  <si>
    <t>Alameda Street South</t>
  </si>
  <si>
    <t>Cathedral Of The Palms</t>
  </si>
  <si>
    <t>E:\PropInv\MF\Corpus Christi\Ennis Joslin_1802_Corpus Christi Portfolio_Corpus Christi</t>
  </si>
  <si>
    <t>Ennis Joslin_1802_Corpus Christi Portfolio_Corpus Christi</t>
  </si>
  <si>
    <t>Ennis Joslin</t>
  </si>
  <si>
    <t>Corpus Christi Portfolio</t>
  </si>
  <si>
    <t>E:\PropInv\MF\Corpus Christi\Corona Drive_4502_Embassy House_Corpus Christi</t>
  </si>
  <si>
    <t>Corona Drive_4502_Embassy House_Corpus Christi</t>
  </si>
  <si>
    <t>Corona Drive</t>
  </si>
  <si>
    <t>E:\PropInv\MF\Corpus Christi\Patti Drive_6533_Gulf Breeze_Corpus Christi</t>
  </si>
  <si>
    <t>Patti Drive_6533_Gulf Breeze_Corpus Christi</t>
  </si>
  <si>
    <t>Patti Drive</t>
  </si>
  <si>
    <t>E:\PropInv\MF\Corpus Christi\Alameda Street South_5525_Islander Village_Corpus Christi</t>
  </si>
  <si>
    <t>Alameda Street South_5525_Islander Village_Corpus Christi</t>
  </si>
  <si>
    <t>E:\PropInv\MF\Corpus Christi\Cimarron Boulevard_3701_Lipes Apartments_Corpus Christi</t>
  </si>
  <si>
    <t>Cimarron Boulevard_3701_Lipes Apartments_Corpus Christi</t>
  </si>
  <si>
    <t>Cimarron Boulevard</t>
  </si>
  <si>
    <t>Lipes Apartments</t>
  </si>
  <si>
    <t>E:\PropInv\MF\Corpus Christi\Weber Road_5901_Paradise Bay_Corpus Christi</t>
  </si>
  <si>
    <t>Weber Road_5901_Paradise Bay_Corpus Christi</t>
  </si>
  <si>
    <t>Weber Road</t>
  </si>
  <si>
    <t>E:\PropInv\MF\Corpus Christi\Saratoga Boulevard_5701_Reserve At Saratoga_Corpus Christi</t>
  </si>
  <si>
    <t>Saratoga Boulevard_5701_Reserve At Saratoga_Corpus Christi</t>
  </si>
  <si>
    <t>Saratoga Boulevard</t>
  </si>
  <si>
    <t>Reserve At Saratoga</t>
  </si>
  <si>
    <t>E:\PropInv\MF\Corpus Christi\Woolridge Road_5757_The Oasis_Corpus Christi</t>
  </si>
  <si>
    <t>Woolridge Road_5757_The Oasis_Corpus Christi</t>
  </si>
  <si>
    <t>Woolridge Road</t>
  </si>
  <si>
    <t>E:\PropInv\MF\Corpus Christi\Schanen Boulevard_4040_The Park Apartments_Corpus Christi</t>
  </si>
  <si>
    <t>Schanen Boulevard_4040_The Park Apartments_Corpus Christi</t>
  </si>
  <si>
    <t>Schanen Boulevard</t>
  </si>
  <si>
    <t>The Park Apartments</t>
  </si>
  <si>
    <t>E:\PropInv\MF\Corpus Christi\Everhart Road_6730_Valhalla Apartments_Corpus Christi</t>
  </si>
  <si>
    <t>Everhart Road_6730_Valhalla Apartments_Corpus Christi</t>
  </si>
  <si>
    <t>Everhart Road</t>
  </si>
  <si>
    <t>Valhalla Apartments</t>
  </si>
  <si>
    <t>E:\PropInv\MF\Corpus Christi\Wood River Drive_4021_Wood River_Corpus Christi</t>
  </si>
  <si>
    <t>Wood River Drive_4021_Wood River_Corpus Christi</t>
  </si>
  <si>
    <t>Wood River Drive</t>
  </si>
  <si>
    <t>E:\PropInv\MF\Corpus Christi\Barry Street_802_Woodbury Apartments_Corpus Christi</t>
  </si>
  <si>
    <t>Barry Street_802_Woodbury Apartments_Corpus Christi</t>
  </si>
  <si>
    <t>Barry Street</t>
  </si>
  <si>
    <t>Woodbury Apartments</t>
  </si>
  <si>
    <t>E:\PropInv\MF\Crowley\Centennial Place_108_Centennial Place_Crowley</t>
  </si>
  <si>
    <t>Centennial Place_108_Centennial Place_Crowley</t>
  </si>
  <si>
    <t>E:\PropInv\MF\Dallas\Walnut Hill Lane_10850_10850 Walnut Hill Lane_Dallas</t>
  </si>
  <si>
    <t>Walnut Hill Lane_10850_10850 Walnut Hill Lane_Dallas</t>
  </si>
  <si>
    <t>Walnut Hill Lane</t>
  </si>
  <si>
    <t>10850 Walnut Hill Lane</t>
  </si>
  <si>
    <t>E:\PropInv\MF\Dallas\Westmount Avenue_1248_1248 Westmount Avenue_Dallas</t>
  </si>
  <si>
    <t>Westmount Avenue_1248_1248 Westmount Avenue_Dallas</t>
  </si>
  <si>
    <t>Westmount Avenue</t>
  </si>
  <si>
    <t>1248 Westmount Avenue</t>
  </si>
  <si>
    <t>E:\PropInv\MF\Dallas\Plymouth Road North_1305_1305 N Plymouth Road_Dallas</t>
  </si>
  <si>
    <t>Plymouth Road North_1305_1305 N Plymouth Road_Dallas</t>
  </si>
  <si>
    <t>Plymouth Road North</t>
  </si>
  <si>
    <t>1305 N Plymouth Road</t>
  </si>
  <si>
    <t>E:\PropInv\MF\Dallas\Preston Road_14255_14255 Preston Road_Dallas</t>
  </si>
  <si>
    <t>Preston Road_14255_14255 Preston Road_Dallas</t>
  </si>
  <si>
    <t>Preston Road</t>
  </si>
  <si>
    <t>14255 Preston Road</t>
  </si>
  <si>
    <t>E:\PropInv\MF\Dallas\Carroll Avenue North_1501_1501 Carroll Avenue_Dallas</t>
  </si>
  <si>
    <t>Carroll Avenue North_1501_1501 Carroll Avenue_Dallas</t>
  </si>
  <si>
    <t>Carroll Avenue North</t>
  </si>
  <si>
    <t>1501 Carroll Avenue</t>
  </si>
  <si>
    <t>E:\PropInv\MF\Dallas\Peak Street North_1516_1516 Peak Street North_Dallas</t>
  </si>
  <si>
    <t>Peak Street North_1516_1516 Peak Street North_Dallas</t>
  </si>
  <si>
    <t>Peak Street North</t>
  </si>
  <si>
    <t>1516 Peak Street North</t>
  </si>
  <si>
    <t>E:\PropInv\MF\Dallas\Bennett Avenue_1715_1715 Bennett Avenue_Dallas</t>
  </si>
  <si>
    <t>Bennett Avenue_1715_1715 Bennett Avenue_Dallas</t>
  </si>
  <si>
    <t>Bennett Avenue</t>
  </si>
  <si>
    <t>1715 Bennett Avenue</t>
  </si>
  <si>
    <t>E:\PropInv\MF\Dallas\Fitzhugh North_1826_1826 &amp; 1830 N Fitzhugh Apartments_Dallas</t>
  </si>
  <si>
    <t>Fitzhugh North_1826_1826 &amp; 1830 N Fitzhugh Apartments_Dallas</t>
  </si>
  <si>
    <t>Fitzhugh North</t>
  </si>
  <si>
    <t>1826 &amp; 1830 N Fitzhugh Apartments</t>
  </si>
  <si>
    <t>E:\PropInv\MF\Dallas\Moser Avenue_2107_2107 Moser Avenue_Dallas</t>
  </si>
  <si>
    <t>Moser Avenue_2107_2107 Moser Avenue_Dallas</t>
  </si>
  <si>
    <t>Moser Avenue</t>
  </si>
  <si>
    <t>2107 Moser Avenue</t>
  </si>
  <si>
    <t>E:\PropInv\MF\Dallas\Fitzhugh Avenue North_2212_2212 Fitzhugh Avenue North_Dallas</t>
  </si>
  <si>
    <t>Fitzhugh Avenue North_2212_2212 Fitzhugh Avenue North_Dallas</t>
  </si>
  <si>
    <t>Fitzhugh Avenue North</t>
  </si>
  <si>
    <t>2212 Fitzhugh Avenue North</t>
  </si>
  <si>
    <t>E:\PropInv\MF\Dallas\Throckmorton Street_2801_2801 Throckmorton Street_Dallas</t>
  </si>
  <si>
    <t>Throckmorton Street_2801_2801 Throckmorton Street_Dallas</t>
  </si>
  <si>
    <t>Throckmorton Street</t>
  </si>
  <si>
    <t>2801 Throckmorton Street</t>
  </si>
  <si>
    <t>E:\PropInv\MF\Dallas\Monet_2804_2804-06 Monet_Dallas</t>
  </si>
  <si>
    <t>Monet_2804_2804-06 Monet_Dallas</t>
  </si>
  <si>
    <t>Monet</t>
  </si>
  <si>
    <t>2804-06 Monet</t>
  </si>
  <si>
    <t>E:\PropInv\MF\Dallas\Ruidosa Avenue_2910_2910 &amp; 2912 Ruidosa Avenue_Dallas</t>
  </si>
  <si>
    <t>Ruidosa Avenue_2910_2910 &amp; 2912 Ruidosa Avenue_Dallas</t>
  </si>
  <si>
    <t>Ruidosa Avenue</t>
  </si>
  <si>
    <t>2910 &amp; 2912 Ruidosa Avenue</t>
  </si>
  <si>
    <t>E:\PropInv\MF\Dallas\Welborn Street_3111_3111 Welborn Street_Dallas</t>
  </si>
  <si>
    <t>Welborn Street_3111_3111 Welborn Street_Dallas</t>
  </si>
  <si>
    <t>Welborn Street</t>
  </si>
  <si>
    <t>3111 Welborn Street</t>
  </si>
  <si>
    <t>E:\PropInv\MF\Dallas\Rickshaw Drive_3660_3660 Rickshaw Drive_Dallas</t>
  </si>
  <si>
    <t>Rickshaw Drive_3660_3660 Rickshaw Drive_Dallas</t>
  </si>
  <si>
    <t>Rickshaw Drive</t>
  </si>
  <si>
    <t>3660 Rickshaw Drive</t>
  </si>
  <si>
    <t>E:\PropInv\MF\Dallas\Hall Street North_4014_4014 &amp; 4018 Hall Street North_Dallas</t>
  </si>
  <si>
    <t>Hall Street North_4014_4014 &amp; 4018 Hall Street North_Dallas</t>
  </si>
  <si>
    <t>Hall Street North</t>
  </si>
  <si>
    <t>4014 &amp; 4018 Hall Street North</t>
  </si>
  <si>
    <t>E:\PropInv\MF\Dallas\Main Street_4100_4100 Main Street_Dallas</t>
  </si>
  <si>
    <t>Main Street_4100_4100 Main Street_Dallas</t>
  </si>
  <si>
    <t>4100 Main Street</t>
  </si>
  <si>
    <t>E:\PropInv\MF\Dallas\Live Oak Street_4207_4207 Live Oak Street_Dallas</t>
  </si>
  <si>
    <t>Live Oak Street_4207_4207 Live Oak Street_Dallas</t>
  </si>
  <si>
    <t>Live Oak Street</t>
  </si>
  <si>
    <t>4207 Live Oak Street</t>
  </si>
  <si>
    <t>E:\PropInv\MF\Dallas\Gaston Avenue_4320_4320 Gaston_Dallas</t>
  </si>
  <si>
    <t>Gaston Avenue_4320_4320 Gaston_Dallas</t>
  </si>
  <si>
    <t>Gaston Avenue</t>
  </si>
  <si>
    <t>4320 Gaston</t>
  </si>
  <si>
    <t>E:\PropInv\MF\Dallas\Gould (1810 Grand Avenue)_2808_44 units Dallas Seller Financing_Dallas</t>
  </si>
  <si>
    <t>Gould (1810 Grand Avenue)_2808_44 units Dallas Seller Financing_Dallas</t>
  </si>
  <si>
    <t>Gould (1810 Grand Avenue)</t>
  </si>
  <si>
    <t>44 units Dallas Seller Financing</t>
  </si>
  <si>
    <t>E:\PropInv\MF\Dallas\Bowser Avenue_4429_4429 Bowser_Dallas</t>
  </si>
  <si>
    <t>Bowser Avenue_4429_4429 Bowser_Dallas</t>
  </si>
  <si>
    <t>Bowser Avenue</t>
  </si>
  <si>
    <t>4429 Bowser</t>
  </si>
  <si>
    <t>E:\PropInv\MF\Dallas\Lafayette Street_4515_4515 Lafayette Street_Dallas</t>
  </si>
  <si>
    <t>Lafayette Street_4515_4515 Lafayette Street_Dallas</t>
  </si>
  <si>
    <t>Lafayette Street</t>
  </si>
  <si>
    <t>4515 Lafayette Street</t>
  </si>
  <si>
    <t>E:\PropInv\MF\Dallas\Cedar Springs Road_4625_4625 Cedar Springs Road_Dallas</t>
  </si>
  <si>
    <t>Cedar Springs Road_4625_4625 Cedar Springs Road_Dallas</t>
  </si>
  <si>
    <t>Cedar Springs Road</t>
  </si>
  <si>
    <t>4625 Cedar Springs Road</t>
  </si>
  <si>
    <t>E:\PropInv\MF\Dallas\Bryan Street_5114_5114 Bryan Street Condominiums_Dallas</t>
  </si>
  <si>
    <t>Bryan Street_5114_5114 Bryan Street Condominiums_Dallas</t>
  </si>
  <si>
    <t>Bryan Street</t>
  </si>
  <si>
    <t>5114 Bryan Street Condominiums</t>
  </si>
  <si>
    <t>E:\PropInv\MF\Dallas\Bryan Street_5217_5217 Bryan Street Apartments_Dallas</t>
  </si>
  <si>
    <t>Bryan Street_5217_5217 Bryan Street Apartments_Dallas</t>
  </si>
  <si>
    <t>5217 Bryan Street Apartments</t>
  </si>
  <si>
    <t>E:\PropInv\MF\Dallas\Hudson Street_5708_5708 Hudson_Dallas</t>
  </si>
  <si>
    <t>Hudson Street_5708_5708 Hudson_Dallas</t>
  </si>
  <si>
    <t>Hudson Street</t>
  </si>
  <si>
    <t>5708 Hudson</t>
  </si>
  <si>
    <t>E:\PropInv\MF\Dallas\Prospect Avenue_5829_5829 Prospect Avenue_Dallas</t>
  </si>
  <si>
    <t>Prospect Avenue_5829_5829 Prospect Avenue_Dallas</t>
  </si>
  <si>
    <t>Prospect Avenue</t>
  </si>
  <si>
    <t>5829 Prospect Avenue</t>
  </si>
  <si>
    <t>E:\PropInv\MF\Dallas\Williamstown Drive_5840_5840 Williamstown Drive_Dallas</t>
  </si>
  <si>
    <t>Williamstown Drive_5840_5840 Williamstown Drive_Dallas</t>
  </si>
  <si>
    <t>Williamstown Drive</t>
  </si>
  <si>
    <t>5840 Williamstown Drive</t>
  </si>
  <si>
    <t>E:\PropInv\MF\Dallas\Preston Oaks Road_5902_5902 Preston Oaks Road_Dallas</t>
  </si>
  <si>
    <t>Preston Oaks Road_5902_5902 Preston Oaks Road_Dallas</t>
  </si>
  <si>
    <t>Preston Oaks Road</t>
  </si>
  <si>
    <t>5902 Preston Oaks Road</t>
  </si>
  <si>
    <t>E:\PropInv\MF\Dallas\Manett_5017_6 REO Townhomes + Lot - Premium Uptown Location_Dallas</t>
  </si>
  <si>
    <t>Manett_5017_6 REO Townhomes + Lot - Premium Uptown Location_Dallas</t>
  </si>
  <si>
    <t>Manett</t>
  </si>
  <si>
    <t>6 REO Townhomes + Lot - Premium Uptown Location</t>
  </si>
  <si>
    <t>E:\PropInv\MF\Dallas\Elsbeth Street_600_600 Elsbeth Street_Dallas</t>
  </si>
  <si>
    <t>Elsbeth Street_600_600 Elsbeth Street_Dallas</t>
  </si>
  <si>
    <t>Elsbeth Street</t>
  </si>
  <si>
    <t>600 Elsbeth Street</t>
  </si>
  <si>
    <t>E:\PropInv\MF\Dallas\Chaucer Place_7575_7575 Chaucer Place_Dallas</t>
  </si>
  <si>
    <t>Chaucer Place_7575_7575 Chaucer Place_Dallas</t>
  </si>
  <si>
    <t>Chaucer Place</t>
  </si>
  <si>
    <t>7575 Chaucer Place</t>
  </si>
  <si>
    <t>E:\PropInv\MF\Dallas\Ronnie Drive_7650_7650 Ronnie Driveve_Dallas</t>
  </si>
  <si>
    <t>Ronnie Drive_7650_7650 Ronnie Driveve_Dallas</t>
  </si>
  <si>
    <t>Ronnie Drive</t>
  </si>
  <si>
    <t>7650 Ronnie Driveve</t>
  </si>
  <si>
    <t>E:\PropInv\MF\Dallas\Sienna Court_1530_8 New Townhomes In Prime Location_Dallas</t>
  </si>
  <si>
    <t>Sienna Court_1530_8 New Townhomes In Prime Location_Dallas</t>
  </si>
  <si>
    <t>Sienna Court</t>
  </si>
  <si>
    <t>8 New Townhomes In Prime Location</t>
  </si>
  <si>
    <t>E:\PropInv\MF\Dallas\Park Lane_8317_Acacia Village Apartments_Dallas</t>
  </si>
  <si>
    <t>Park Lane_8317_Acacia Village Apartments_Dallas</t>
  </si>
  <si>
    <t>Acacia Village Apartments</t>
  </si>
  <si>
    <t>E:\PropInv\MF\Dallas\Davis Street_2105_Acron Tree_Dallas</t>
  </si>
  <si>
    <t>Davis Street_2105_Acron Tree_Dallas</t>
  </si>
  <si>
    <t>Davis Street</t>
  </si>
  <si>
    <t>Acron Tree</t>
  </si>
  <si>
    <t>E:\PropInv\MF\Dallas\Central Expressway North_10843_Advenir at Foxmoor_Dallas</t>
  </si>
  <si>
    <t>Central Expressway North_10843_Advenir at Foxmoor_Dallas</t>
  </si>
  <si>
    <t>Central Expressway North</t>
  </si>
  <si>
    <t>E:\PropInv\MF\Dallas\Fitzhugh Avenue North_2707_Alexan_Dallas</t>
  </si>
  <si>
    <t>Fitzhugh Avenue North_2707_Alexan_Dallas</t>
  </si>
  <si>
    <t>Alexan</t>
  </si>
  <si>
    <t>E:\PropInv\MF\Dallas\Live Oak Street_5027_Ambassador_Dallas</t>
  </si>
  <si>
    <t>Live Oak Street_5027_Ambassador_Dallas</t>
  </si>
  <si>
    <t>E:\PropInv\MF\Dallas\Rosemeade Parkway_4300_AMLI On Rosemeade_Dallas</t>
  </si>
  <si>
    <t>Rosemeade Parkway_4300_AMLI On Rosemeade_Dallas</t>
  </si>
  <si>
    <t>Rosemeade Parkway</t>
  </si>
  <si>
    <t>AMLI On Rosemeade</t>
  </si>
  <si>
    <t>E:\PropInv\MF\Dallas\Linda Drive_3302_Andora Apartments_Dallas</t>
  </si>
  <si>
    <t>Linda Drive_3302_Andora Apartments_Dallas</t>
  </si>
  <si>
    <t>Linda Drive</t>
  </si>
  <si>
    <t>Andora Apartments</t>
  </si>
  <si>
    <t>E:\PropInv\MF\Dallas\Linda Drive_3305_Andora Apartments_Dallas</t>
  </si>
  <si>
    <t>Linda Drive_3305_Andora Apartments_Dallas</t>
  </si>
  <si>
    <t>E:\PropInv\MF\Dallas\Coit Road_12009_Ansley At Park Central_Dallas</t>
  </si>
  <si>
    <t>Coit Road_12009_Ansley At Park Central_Dallas</t>
  </si>
  <si>
    <t>Coit Road</t>
  </si>
  <si>
    <t>Ansley At Park Central</t>
  </si>
  <si>
    <t>E:\PropInv\MF\Dallas\Nogales Drive_3514_Arawak Apartments_Dallas</t>
  </si>
  <si>
    <t>Nogales Drive_3514_Arawak Apartments_Dallas</t>
  </si>
  <si>
    <t>Nogales Drive</t>
  </si>
  <si>
    <t>Arawak Apartments</t>
  </si>
  <si>
    <t>E:\PropInv\MF\Dallas\Leisure Driveve_11515_Arbor Park_Dallas</t>
  </si>
  <si>
    <t>Leisure Driveve_11515_Arbor Park_Dallas</t>
  </si>
  <si>
    <t>Leisure Driveve</t>
  </si>
  <si>
    <t>Arbor Park</t>
  </si>
  <si>
    <t>E:\PropInv\MF\Dallas\Spring Valley Road_5704_Arbor Springs_Dallas</t>
  </si>
  <si>
    <t>Spring Valley Road_5704_Arbor Springs_Dallas</t>
  </si>
  <si>
    <t>Spring Valley Road</t>
  </si>
  <si>
    <t>E:\PropInv\MF\Dallas\Shadow Way_9855_Ashley Creek_Dallas</t>
  </si>
  <si>
    <t>Shadow Way_9855_Ashley Creek_Dallas</t>
  </si>
  <si>
    <t>Ashley Creek</t>
  </si>
  <si>
    <t>E:\PropInv\MF\Dallas\Ferguson Road_11760_Aspen Chase Apartments_Dallas</t>
  </si>
  <si>
    <t>Ferguson Road_11760_Aspen Chase Apartments_Dallas</t>
  </si>
  <si>
    <t>Ferguson Road</t>
  </si>
  <si>
    <t>Aspen Chase Apartments</t>
  </si>
  <si>
    <t>E:\PropInv\MF\Dallas\8th Street East_321_Auction-Five Multi-Family Non-Perf Notes_Dallas</t>
  </si>
  <si>
    <t>8th Street East_321_Auction-Five Multi-Family Non-Perf Notes_Dallas</t>
  </si>
  <si>
    <t>8th Street East</t>
  </si>
  <si>
    <t>Auction-Five Multi-Family Non-Perf Notes</t>
  </si>
  <si>
    <t>E:\PropInv\MF\Dallas\Saint Augustine Road_2808_August Park Apartments_Dallas</t>
  </si>
  <si>
    <t>Saint Augustine Road_2808_August Park Apartments_Dallas</t>
  </si>
  <si>
    <t>Saint Augustine Road</t>
  </si>
  <si>
    <t>August Park Apartments</t>
  </si>
  <si>
    <t>E:\PropInv\MF\Dallas\Dennis Road_11661_Aventerra_Dallas</t>
  </si>
  <si>
    <t>Dennis Road_11661_Aventerra_Dallas</t>
  </si>
  <si>
    <t>Dennis Road</t>
  </si>
  <si>
    <t>E:\PropInv\MF\Dallas\Bachman Drive_2807_Bachman Place_Dallas</t>
  </si>
  <si>
    <t>Bachman Drive_2807_Bachman Place_Dallas</t>
  </si>
  <si>
    <t>Bachman Drive</t>
  </si>
  <si>
    <t>E:\PropInv\MF\Dallas\Barclay Street_8117_Barclay Square_Dallas</t>
  </si>
  <si>
    <t>Barclay Street_8117_Barclay Square_Dallas</t>
  </si>
  <si>
    <t>Barclay Street</t>
  </si>
  <si>
    <t>Barclay Square</t>
  </si>
  <si>
    <t>E:\PropInv\MF\Dallas\Barry Avenue South_1315_Barrymore Apartments_Dallas</t>
  </si>
  <si>
    <t>Barry Avenue South_1315_Barrymore Apartments_Dallas</t>
  </si>
  <si>
    <t>Barry Avenue South</t>
  </si>
  <si>
    <t>Barrymore Apartments</t>
  </si>
  <si>
    <t>E:\PropInv\MF\Dallas\Lombardy Lane_3353_Bayou Bend_Dallas</t>
  </si>
  <si>
    <t>Lombardy Lane_3353_Bayou Bend_Dallas</t>
  </si>
  <si>
    <t>Lombardy Lane</t>
  </si>
  <si>
    <t>E:\PropInv\MF\Dallas\Adelta Boulevard_9959_Beacon Hill Apartments_Dallas</t>
  </si>
  <si>
    <t>Adelta Boulevard_9959_Beacon Hill Apartments_Dallas</t>
  </si>
  <si>
    <t>Adelta Boulevard</t>
  </si>
  <si>
    <t>Beacon Hill Apartments</t>
  </si>
  <si>
    <t>E:\PropInv\MF\Dallas\Chaucer Place_7351_Bella Vista_Dallas</t>
  </si>
  <si>
    <t>Chaucer Place_7351_Bella Vista_Dallas</t>
  </si>
  <si>
    <t>E:\PropInv\MF\Dallas\Columbia Avenue_5315_Belvedere_Dallas</t>
  </si>
  <si>
    <t>Columbia Avenue_5315_Belvedere_Dallas</t>
  </si>
  <si>
    <t>Columbia Avenue</t>
  </si>
  <si>
    <t>E:\PropInv\MF\Dallas\Pine Street_3628_Berry Square Apartments_Dallas</t>
  </si>
  <si>
    <t>Pine Street_3628_Berry Square Apartments_Dallas</t>
  </si>
  <si>
    <t>Pine Street</t>
  </si>
  <si>
    <t>Berry Square Apartments</t>
  </si>
  <si>
    <t>E:\PropInv\MF\Dallas\Norwalk Avenue_3131_Big Block_Dallas</t>
  </si>
  <si>
    <t>Norwalk Avenue_3131_Big Block_Dallas</t>
  </si>
  <si>
    <t>Norwalk Avenue</t>
  </si>
  <si>
    <t>Big Block</t>
  </si>
  <si>
    <t>E:\PropInv\MF\Dallas\Webb Chapel Extension_3131_Big Block_Dallas</t>
  </si>
  <si>
    <t>Webb Chapel Extension_3131_Big Block_Dallas</t>
  </si>
  <si>
    <t>E:\PropInv\MF\Dallas\Montfort_14735_Biltmore_Dallas</t>
  </si>
  <si>
    <t>Montfort_14735_Biltmore_Dallas</t>
  </si>
  <si>
    <t>E:\PropInv\MF\Dallas\Vernon Avenue South_3211_Biscayne_Dallas</t>
  </si>
  <si>
    <t>Vernon Avenue South_3211_Biscayne_Dallas</t>
  </si>
  <si>
    <t>Vernon Avenue South</t>
  </si>
  <si>
    <t>E:\PropInv\MF\Dallas\8th Street West_324_Bishop Arts District_Dallas</t>
  </si>
  <si>
    <t>8th Street West_324_Bishop Arts District_Dallas</t>
  </si>
  <si>
    <t>8th Street West</t>
  </si>
  <si>
    <t>E:\PropInv\MF\Dallas\Gaston Avenue_5921_Blue Sky Apartments_Dallas</t>
  </si>
  <si>
    <t>Gaston Avenue_5921_Blue Sky Apartments_Dallas</t>
  </si>
  <si>
    <t>Blue Sky Apartments</t>
  </si>
  <si>
    <t>E:\PropInv\MF\Dallas\Fitzhugh Avenue North_1728_Bonaventure Apartments_Dallas</t>
  </si>
  <si>
    <t>Fitzhugh Avenue North_1728_Bonaventure Apartments_Dallas</t>
  </si>
  <si>
    <t>Bonaventure Apartments</t>
  </si>
  <si>
    <t>E:\PropInv\MF\Dallas\Bonnie View Road_3823_Bonnie View Apartments_Dallas</t>
  </si>
  <si>
    <t>Bonnie View Road_3823_Bonnie View Apartments_Dallas</t>
  </si>
  <si>
    <t>Bonnie View Road</t>
  </si>
  <si>
    <t>Bonnie View Apartments</t>
  </si>
  <si>
    <t>E:\PropInv\MF\Dallas\Bonnie View Road_3827_Bonnie View Apartments_Dallas</t>
  </si>
  <si>
    <t>Bonnie View Road_3827_Bonnie View Apartments_Dallas</t>
  </si>
  <si>
    <t>E:\PropInv\MF\Dallas\Springwood Lane_3103_Boulder Ridge Apartments_Dallas</t>
  </si>
  <si>
    <t>Springwood Lane_3103_Boulder Ridge Apartments_Dallas</t>
  </si>
  <si>
    <t>Springwood Lane</t>
  </si>
  <si>
    <t>Boulder Ridge Apartments</t>
  </si>
  <si>
    <t>E:\PropInv\MF\Dallas\Lake Avenue_4710_Brandywine_Dallas</t>
  </si>
  <si>
    <t>Lake Avenue_4710_Brandywine_Dallas</t>
  </si>
  <si>
    <t>Lake Avenue</t>
  </si>
  <si>
    <t>E:\PropInv\MF\Dallas\Walnut Street_10110_Briarwyck_Dallas</t>
  </si>
  <si>
    <t>Walnut Street_10110_Briarwyck_Dallas</t>
  </si>
  <si>
    <t>E:\PropInv\MF\Dallas\Jim Miller Road_5440_Bridgeport_Dallas</t>
  </si>
  <si>
    <t>Jim Miller Road_5440_Bridgeport_Dallas</t>
  </si>
  <si>
    <t>Jim Miller Road</t>
  </si>
  <si>
    <t>E:\PropInv\MF\Dallas\CF Hawn Freeway_13700_Bridle Path_Dallas</t>
  </si>
  <si>
    <t>CF Hawn Freeway_13700_Bridle Path_Dallas</t>
  </si>
  <si>
    <t>CF Hawn Freeway</t>
  </si>
  <si>
    <t>E:\PropInv\MF\Dallas\John West Road_1720_Bristol Square_Dallas</t>
  </si>
  <si>
    <t>John West Road_1720_Bristol Square_Dallas</t>
  </si>
  <si>
    <t>John West Road</t>
  </si>
  <si>
    <t>E:\PropInv\MF\Dallas\Investor Drive_3900_Broadmoor Apartments_Dallas</t>
  </si>
  <si>
    <t>Investor Drive_3900_Broadmoor Apartments_Dallas</t>
  </si>
  <si>
    <t>Investor Drive</t>
  </si>
  <si>
    <t>Broadmoor Apartments</t>
  </si>
  <si>
    <t>E:\PropInv\MF\Dallas\Brockbank Drive_9827_Brockbank Village_Dallas</t>
  </si>
  <si>
    <t>Brockbank Drive_9827_Brockbank Village_Dallas</t>
  </si>
  <si>
    <t>Brockbank Drive</t>
  </si>
  <si>
    <t>Brockbank Village</t>
  </si>
  <si>
    <t>E:\PropInv\MF\Dallas\Spring Valley Road_8360_Brookbend Village_Dallas</t>
  </si>
  <si>
    <t>Spring Valley Road_8360_Brookbend Village_Dallas</t>
  </si>
  <si>
    <t>E:\PropInv\MF\Dallas\Norwalk_3200-3203_Brooks Apartments_Dallas</t>
  </si>
  <si>
    <t>Norwalk_3200-3203_Brooks Apartments_Dallas</t>
  </si>
  <si>
    <t>3200-3203</t>
  </si>
  <si>
    <t>Brooks Apartments</t>
  </si>
  <si>
    <t>E:\PropInv\MF\Dallas\Winding Brook Circle_1342_Brookwood Apartments_Dallas</t>
  </si>
  <si>
    <t>Winding Brook Circle_1342_Brookwood Apartments_Dallas</t>
  </si>
  <si>
    <t>Winding Brook Circle</t>
  </si>
  <si>
    <t>Brookwood Apartments</t>
  </si>
  <si>
    <t>E:\PropInv\MF\Dallas\Bruton Road_9901_Bruton Oaks_Dallas</t>
  </si>
  <si>
    <t>Bruton Road_9901_Bruton Oaks_Dallas</t>
  </si>
  <si>
    <t>Bruton Road</t>
  </si>
  <si>
    <t>Bruton Oaks</t>
  </si>
  <si>
    <t>E:\PropInv\MF\Dallas\San Jacinto Street_3219_Bryan Place Apartments_Dallas</t>
  </si>
  <si>
    <t>San Jacinto Street_3219_Bryan Place Apartments_Dallas</t>
  </si>
  <si>
    <t>San Jacinto Street</t>
  </si>
  <si>
    <t>Bryan Place Apartments</t>
  </si>
  <si>
    <t>E:\PropInv\MF\Dallas\Cityplace West Boulevard_2901_Bryson At City Place_Dallas</t>
  </si>
  <si>
    <t>Cityplace West Boulevard_2901_Bryson At City Place_Dallas</t>
  </si>
  <si>
    <t>Cityplace West Boulevard</t>
  </si>
  <si>
    <t>Bryson At City Place</t>
  </si>
  <si>
    <t>E:\PropInv\MF\Dallas\John West Road_1810_Buckner Village_Dallas</t>
  </si>
  <si>
    <t>John West Road_1810_Buckner Village_Dallas</t>
  </si>
  <si>
    <t>E:\PropInv\MF\Dallas\Altoona Drive_3969_Buena Vista Townhomes_Dallas</t>
  </si>
  <si>
    <t>Altoona Drive_3969_Buena Vista Townhomes_Dallas</t>
  </si>
  <si>
    <t>Altoona Drive</t>
  </si>
  <si>
    <t>Buena Vista Townhomes</t>
  </si>
  <si>
    <t>E:\PropInv\MF\Dallas\Eastridge Drive_6706_Calais Slopes Condominiums_Dallas</t>
  </si>
  <si>
    <t>Eastridge Drive_6706_Calais Slopes Condominiums_Dallas</t>
  </si>
  <si>
    <t>Eastridge Drive</t>
  </si>
  <si>
    <t>Calais Slopes Condominiums</t>
  </si>
  <si>
    <t>E:\PropInv\MF\Dallas\Ferguson Road_7323_Cambridge Square Apartments_Dallas</t>
  </si>
  <si>
    <t>Ferguson Road_7323_Cambridge Square Apartments_Dallas</t>
  </si>
  <si>
    <t>Cambridge Square Apartments</t>
  </si>
  <si>
    <t>E:\PropInv\MF\Dallas\Central Expressway North_8150_Campbell Centre_Dallas</t>
  </si>
  <si>
    <t>Central Expressway North_8150_Campbell Centre_Dallas</t>
  </si>
  <si>
    <t>Campbell Centre</t>
  </si>
  <si>
    <t>E:\PropInv\MF\Dallas\Jefferson Boulevard West_2727_Cantera Crossing_Dallas</t>
  </si>
  <si>
    <t>Jefferson Boulevard West_2727_Cantera Crossing_Dallas</t>
  </si>
  <si>
    <t>Jefferson Boulevard West</t>
  </si>
  <si>
    <t>E:\PropInv\MF\Dallas\Peavy Road_2970_Casa Bella Apartments_Dallas</t>
  </si>
  <si>
    <t>Peavy Road_2970_Casa Bella Apartments_Dallas</t>
  </si>
  <si>
    <t>Peavy Road</t>
  </si>
  <si>
    <t>Casa Bella Apartments</t>
  </si>
  <si>
    <t>E:\PropInv\MF\Dallas\Randolph Drive North_100_Casa De Loma_Dallas</t>
  </si>
  <si>
    <t>Randolph Drive North_100_Casa De Loma_Dallas</t>
  </si>
  <si>
    <t>Randolph Drive North</t>
  </si>
  <si>
    <t>Casa De Loma</t>
  </si>
  <si>
    <t>E:\PropInv\MF\Dallas\Ferguson Road_7621_Casa Nueva Apartments_Dallas</t>
  </si>
  <si>
    <t>Ferguson Road_7621_Casa Nueva Apartments_Dallas</t>
  </si>
  <si>
    <t>Casa Nueva Apartments</t>
  </si>
  <si>
    <t>E:\PropInv\MF\Dallas\Chapel Creek Drive_3303_Casa Place Apartments_Dallas</t>
  </si>
  <si>
    <t>Chapel Creek Drive_3303_Casa Place Apartments_Dallas</t>
  </si>
  <si>
    <t>Chapel Creek Drive</t>
  </si>
  <si>
    <t>Casa Place Apartments</t>
  </si>
  <si>
    <t>E:\PropInv\MF\Dallas\Polk Street South_3425_Catalina Court_Dallas</t>
  </si>
  <si>
    <t>Polk Street South_3425_Catalina Court_Dallas</t>
  </si>
  <si>
    <t>E:\PropInv\MF\Dallas\Polk Street South_3425-3235_Catalina Court_Dallas</t>
  </si>
  <si>
    <t>Polk Street South_3425-3235_Catalina Court_Dallas</t>
  </si>
  <si>
    <t>3425-3235</t>
  </si>
  <si>
    <t>E:\PropInv\MF\Dallas\Holly Hill Drive_7117_Cedarmont_Dallas</t>
  </si>
  <si>
    <t>Holly Hill Drive_7117_Cedarmont_Dallas</t>
  </si>
  <si>
    <t>Holly Hill Drive</t>
  </si>
  <si>
    <t>Cedarmont</t>
  </si>
  <si>
    <t>E:\PropInv\MF\Dallas\Forest Lane_9637_Centergate Chimney Hill_Dallas</t>
  </si>
  <si>
    <t>Forest Lane_9637_Centergate Chimney Hill_Dallas</t>
  </si>
  <si>
    <t>Forest Lane</t>
  </si>
  <si>
    <t>Centergate Chimney Hill</t>
  </si>
  <si>
    <t>E:\PropInv\MF\Dallas\Frankford Road_2636_Centerpoint_Dallas</t>
  </si>
  <si>
    <t>Frankford Road_2636_Centerpoint_Dallas</t>
  </si>
  <si>
    <t>Frankford Road</t>
  </si>
  <si>
    <t>E:\PropInv\MF\Dallas\Stone Canyon Road_10931_Chase Crossing Apartment Homes_Dallas</t>
  </si>
  <si>
    <t>Stone Canyon Road_10931_Chase Crossing Apartment Homes_Dallas</t>
  </si>
  <si>
    <t>Stone Canyon Road</t>
  </si>
  <si>
    <t>Chase Crossing Apartment Homes</t>
  </si>
  <si>
    <t>E:\PropInv\MF\Dallas\Webb Chapel Road_9825_Chase Place Apartments_Dallas</t>
  </si>
  <si>
    <t>Webb Chapel Road_9825_Chase Place Apartments_Dallas</t>
  </si>
  <si>
    <t>Webb Chapel Road</t>
  </si>
  <si>
    <t>Chase Place Apartments</t>
  </si>
  <si>
    <t>E:\PropInv\MF\Dallas\Stevens Forest Drive_1818_Chateau Crete_Dallas</t>
  </si>
  <si>
    <t>Stevens Forest Drive_1818_Chateau Crete_Dallas</t>
  </si>
  <si>
    <t>Stevens Forest Drive</t>
  </si>
  <si>
    <t>E:\PropInv\MF\Dallas\Audelia Road_11620_Chesapeake Apartments_Dallas</t>
  </si>
  <si>
    <t>Audelia Road_11620_Chesapeake Apartments_Dallas</t>
  </si>
  <si>
    <t>Audelia Road</t>
  </si>
  <si>
    <t>Chesapeake Apartments</t>
  </si>
  <si>
    <t>E:\PropInv\MF\Dallas\Mather Court_3955_Chiquita Apartments_Dallas</t>
  </si>
  <si>
    <t>Mather Court_3955_Chiquita Apartments_Dallas</t>
  </si>
  <si>
    <t>Mather Court</t>
  </si>
  <si>
    <t>Chiquita Apartments</t>
  </si>
  <si>
    <t>E:\PropInv\MF\Dallas\Gannon Lane_3829_Cielo Ranch Phase I_Dallas</t>
  </si>
  <si>
    <t>Gannon Lane_3829_Cielo Ranch Phase I_Dallas</t>
  </si>
  <si>
    <t>Gannon Lane</t>
  </si>
  <si>
    <t>Cielo Ranch Phase I</t>
  </si>
  <si>
    <t>E:\PropInv\MF\Dallas\Gannon Lane_3839_Cielo Ranch Phase II_Dallas</t>
  </si>
  <si>
    <t>Gannon Lane_3839_Cielo Ranch Phase II_Dallas</t>
  </si>
  <si>
    <t>Cielo Ranch Phase II</t>
  </si>
  <si>
    <t>E:\PropInv\MF\Dallas\Fair Oaks Avenue_7407_City Central_Dallas</t>
  </si>
  <si>
    <t>Fair Oaks Avenue_7407_City Central_Dallas</t>
  </si>
  <si>
    <t>Fair Oaks Avenue</t>
  </si>
  <si>
    <t>E:\PropInv\MF\Dallas\Sidney Street_3919_Ciudad Del Sol_Dallas</t>
  </si>
  <si>
    <t>Sidney Street_3919_Ciudad Del Sol_Dallas</t>
  </si>
  <si>
    <t>Sidney Street</t>
  </si>
  <si>
    <t>Ciudad Del Sol</t>
  </si>
  <si>
    <t>E:\PropInv\MF\Dallas\Park Lane_8350_Claridge Point_Dallas</t>
  </si>
  <si>
    <t>Park Lane_8350_Claridge Point_Dallas</t>
  </si>
  <si>
    <t>Claridge Point</t>
  </si>
  <si>
    <t>E:\PropInv\MF\Dallas\Cliffbrook Drive_7965_Cliffbrook Condos_Dallas</t>
  </si>
  <si>
    <t>Cliffbrook Drive_7965_Cliffbrook Condos_Dallas</t>
  </si>
  <si>
    <t>Cliffbrook Drive</t>
  </si>
  <si>
    <t>E:\PropInv\MF\Dallas\Webb Chapel Extension_3333_Clubview Gardens_Dallas</t>
  </si>
  <si>
    <t>Webb Chapel Extension_3333_Clubview Gardens_Dallas</t>
  </si>
  <si>
    <t>E:\PropInv\MF\Dallas\Audelia Road_13030_Cole Springs Apartments_Dallas</t>
  </si>
  <si>
    <t>Audelia Road_13030_Cole Springs Apartments_Dallas</t>
  </si>
  <si>
    <t>Cole Springs Apartments</t>
  </si>
  <si>
    <t>E:\PropInv\MF\Dallas\Illinois Avenue East_326_Colonial Hills Apartments_Dallas</t>
  </si>
  <si>
    <t>Illinois Avenue East_326_Colonial Hills Apartments_Dallas</t>
  </si>
  <si>
    <t>Illinois Avenue East</t>
  </si>
  <si>
    <t>Colonial Hills Apartments</t>
  </si>
  <si>
    <t>E:\PropInv\MF\Dallas\Columbia Avenue_5114_Columbia House_Dallas</t>
  </si>
  <si>
    <t>Columbia Avenue_5114_Columbia House_Dallas</t>
  </si>
  <si>
    <t>Columbia House</t>
  </si>
  <si>
    <t>E:\PropInv\MF\Dallas\Maham Road_13450_Copper Creek Apartments_Dallas</t>
  </si>
  <si>
    <t>Maham Road_13450_Copper Creek Apartments_Dallas</t>
  </si>
  <si>
    <t>Maham Road</t>
  </si>
  <si>
    <t>E:\PropInv\MF\Dallas\Grand Avenue East_7414_Coronado_Dallas</t>
  </si>
  <si>
    <t>Grand Avenue East_7414_Coronado_Dallas</t>
  </si>
  <si>
    <t>Grand Avenue East</t>
  </si>
  <si>
    <t>E:\PropInv\MF\Dallas\Royal Lane_10062_Country Squire Apartments_Dallas</t>
  </si>
  <si>
    <t>Royal Lane_10062_Country Squire Apartments_Dallas</t>
  </si>
  <si>
    <t>Royal Lane</t>
  </si>
  <si>
    <t>Country Squire Apartments</t>
  </si>
  <si>
    <t>E:\PropInv\MF\Dallas\Chapel Creek Drive_3232_Courtney Place Apartments_Dallas</t>
  </si>
  <si>
    <t>Chapel Creek Drive_3232_Courtney Place Apartments_Dallas</t>
  </si>
  <si>
    <t>Courtney Place Apartments</t>
  </si>
  <si>
    <t>E:\PropInv\MF\Dallas\Atlantic Street_1930_Courtyards at Emery Park_Dallas</t>
  </si>
  <si>
    <t>Atlantic Street_1930_Courtyards at Emery Park_Dallas</t>
  </si>
  <si>
    <t>Atlantic Street</t>
  </si>
  <si>
    <t>E:\PropInv\MF\Dallas\Lucas Drive_2924_Crescent View_Dallas</t>
  </si>
  <si>
    <t>Lucas Drive_2924_Crescent View_Dallas</t>
  </si>
  <si>
    <t>Lucas Drive</t>
  </si>
  <si>
    <t>E:\PropInv\MF\Dallas\Wheatland Road West_1025_Crystal Creek_Dallas</t>
  </si>
  <si>
    <t>Wheatland Road West_1025_Crystal Creek_Dallas</t>
  </si>
  <si>
    <t>Wheatland Road West</t>
  </si>
  <si>
    <t>E:\PropInv\MF\Dallas\Wheatland Road West_919_Crystal Creek Apartments_Dallas</t>
  </si>
  <si>
    <t>Wheatland Road West_919_Crystal Creek Apartments_Dallas</t>
  </si>
  <si>
    <t>Crystal Creek Apartments</t>
  </si>
  <si>
    <t>E:\PropInv\MF\Dallas\Wheatland Road West_1005_Crystal Creek Apartments_Dallas</t>
  </si>
  <si>
    <t>Wheatland Road West_1005_Crystal Creek Apartments_Dallas</t>
  </si>
  <si>
    <t>E:\PropInv\MF\Dallas\Alpha Road_5557_Dallas North Apartments_Dallas</t>
  </si>
  <si>
    <t>Alpha Road_5557_Dallas North Apartments_Dallas</t>
  </si>
  <si>
    <t>Alpha Road</t>
  </si>
  <si>
    <t>Dallas North Apartments</t>
  </si>
  <si>
    <t>E:\PropInv\MF\Dallas\Robert Bcullum Boulevard_2410_Delta Plaza_Dallas</t>
  </si>
  <si>
    <t>Robert Bcullum Boulevard_2410_Delta Plaza_Dallas</t>
  </si>
  <si>
    <t>Robert Bcullum Boulevard</t>
  </si>
  <si>
    <t>Delta Plaza</t>
  </si>
  <si>
    <t>E:\PropInv\MF\Dallas\Wheatland Road West_1301_Delujo Southwind Apartments_Dallas</t>
  </si>
  <si>
    <t>Wheatland Road West_1301_Delujo Southwind Apartments_Dallas</t>
  </si>
  <si>
    <t>Delujo Southwind Apartments</t>
  </si>
  <si>
    <t>E:\PropInv\MF\Dallas\Buckner Boulevard South_3402_Diamond Creek_Dallas</t>
  </si>
  <si>
    <t>Buckner Boulevard South_3402_Diamond Creek_Dallas</t>
  </si>
  <si>
    <t>Buckner Boulevard South</t>
  </si>
  <si>
    <t>Diamond Creek</t>
  </si>
  <si>
    <t>E:\PropInv\MF\Dallas\Young Street_1775_Downtown Lofts.Townhome_Dallas</t>
  </si>
  <si>
    <t>Young Street_1775_Downtown Lofts.Townhome_Dallas</t>
  </si>
  <si>
    <t>Young Street</t>
  </si>
  <si>
    <t>Downtown Lofts.Townhome</t>
  </si>
  <si>
    <t>E:\PropInv\MF\Dallas\San Jacinto Street_4123_East Dallas Apartment Protfolio_Dallas</t>
  </si>
  <si>
    <t>San Jacinto Street_4123_East Dallas Apartment Protfolio_Dallas</t>
  </si>
  <si>
    <t>East Dallas Apartment Protfolio</t>
  </si>
  <si>
    <t>E:\PropInv\MF\Dallas\Bennett Avenue_2222_East Dallas Portfolio_Dallas</t>
  </si>
  <si>
    <t>Bennett Avenue_2222_East Dallas Portfolio_Dallas</t>
  </si>
  <si>
    <t>East Dallas Portfolio</t>
  </si>
  <si>
    <t>E:\PropInv\MF\Dallas\La Prada Drive East_8405_Eastfield Village_Dallas</t>
  </si>
  <si>
    <t>La Prada Drive East_8405_Eastfield Village_Dallas</t>
  </si>
  <si>
    <t>La Prada Drive East</t>
  </si>
  <si>
    <t>E:\PropInv\MF\Dallas\Columbia Avenue_4602_El Cielo Apartment_Dallas</t>
  </si>
  <si>
    <t>Columbia Avenue_4602_El Cielo Apartment_Dallas</t>
  </si>
  <si>
    <t>El Cielo Apartment</t>
  </si>
  <si>
    <t>E:\PropInv\MF\Dallas\8th Street East_308_El Nina_Dallas</t>
  </si>
  <si>
    <t>8th Street East_308_El Nina_Dallas</t>
  </si>
  <si>
    <t>E:\PropInv\MF\Dallas\9th Street East_409_El Ricardo_Dallas</t>
  </si>
  <si>
    <t>9th Street East_409_El Ricardo_Dallas</t>
  </si>
  <si>
    <t>9th Street East</t>
  </si>
  <si>
    <t>E:\PropInv\MF\Dallas\Bordeaux Avenue_6201_Fairfax_Dallas</t>
  </si>
  <si>
    <t>Bordeaux Avenue_6201_Fairfax_Dallas</t>
  </si>
  <si>
    <t>Bordeaux Avenue</t>
  </si>
  <si>
    <t>E:\PropInv\MF\Dallas\Fairmount Street_4633_Fairmount Gardens Apartments_Dallas</t>
  </si>
  <si>
    <t>Fairmount Street_4633_Fairmount Gardens Apartments_Dallas</t>
  </si>
  <si>
    <t>Fairmount Street</t>
  </si>
  <si>
    <t>Fairmount Gardens Apartments</t>
  </si>
  <si>
    <t>E:\PropInv\MF\Dallas\Woodmeadow Parkway_11011_Fairway Greens_Dallas</t>
  </si>
  <si>
    <t>Woodmeadow Parkway_11011_Fairway Greens_Dallas</t>
  </si>
  <si>
    <t>Woodmeadow Parkway</t>
  </si>
  <si>
    <t>E:\PropInv\MF\Dallas\Moser Avenue_2110-2100_Fig Tree Apartments_Dallas</t>
  </si>
  <si>
    <t>Moser Avenue_2110-2100_Fig Tree Apartments_Dallas</t>
  </si>
  <si>
    <t>2110-2100</t>
  </si>
  <si>
    <t>Fig Tree Apartments</t>
  </si>
  <si>
    <t>E:\PropInv\MF\Dallas\Chimney Hill Lane_9655_Forest Estates_Dallas</t>
  </si>
  <si>
    <t>Chimney Hill Lane_9655_Forest Estates_Dallas</t>
  </si>
  <si>
    <t>Chimney Hill Lane</t>
  </si>
  <si>
    <t>Forest Estates</t>
  </si>
  <si>
    <t>E:\PropInv\MF\Dallas\Forest Lane_9659_Forest Hills_Dallas</t>
  </si>
  <si>
    <t>Forest Lane_9659_Forest Hills_Dallas</t>
  </si>
  <si>
    <t>E:\PropInv\MF\Dallas\Forest Lane_9601_Forestwood on the Creek_Dallas</t>
  </si>
  <si>
    <t>Forest Lane_9601_Forestwood on the Creek_Dallas</t>
  </si>
  <si>
    <t>E:\PropInv\MF\Dallas\Roayal Lane_9450_Forx Hollow Apartments_Dallas</t>
  </si>
  <si>
    <t>Roayal Lane_9450_Forx Hollow Apartments_Dallas</t>
  </si>
  <si>
    <t>Roayal Lane</t>
  </si>
  <si>
    <t>Forx Hollow Apartments</t>
  </si>
  <si>
    <t>E:\PropInv\MF\Dallas\Jupiter Road_12993_Fountains Of Jupiter_Dallas</t>
  </si>
  <si>
    <t>Jupiter Road_12993_Fountains Of Jupiter_Dallas</t>
  </si>
  <si>
    <t>Jupiter Road</t>
  </si>
  <si>
    <t>Fountains Of Jupiter</t>
  </si>
  <si>
    <t>E:\PropInv\MF\Dallas\Woodmedow Parkway_10950_Fountains Of Woodmeadow_Dallas</t>
  </si>
  <si>
    <t>Woodmedow Parkway_10950_Fountains Of Woodmeadow_Dallas</t>
  </si>
  <si>
    <t>Woodmedow Parkway</t>
  </si>
  <si>
    <t>Fountains Of Woodmeadow</t>
  </si>
  <si>
    <t>E:\PropInv\MF\Dallas\Royal Lane_9450_Fox Hollow Apartments_Dallas</t>
  </si>
  <si>
    <t>Royal Lane_9450_Fox Hollow Apartments_Dallas</t>
  </si>
  <si>
    <t>Fox Hollow Apartments</t>
  </si>
  <si>
    <t>E:\PropInv\MF\Dallas\Pineland Drive_5759_Foxfire Apartments_Dallas</t>
  </si>
  <si>
    <t>Pineland Drive_5759_Foxfire Apartments_Dallas</t>
  </si>
  <si>
    <t>Pineland Drive</t>
  </si>
  <si>
    <t>Foxfire Apartments</t>
  </si>
  <si>
    <t>E:\PropInv\MF\Dallas\Lancaster South_4810_Frances Place_Dallas</t>
  </si>
  <si>
    <t>Lancaster South_4810_Frances Place_Dallas</t>
  </si>
  <si>
    <t>Lancaster South</t>
  </si>
  <si>
    <t>E:\PropInv\MF\Dallas\Kiest Boulevard West_950_Fredericksburg Apartments_Dallas</t>
  </si>
  <si>
    <t>Kiest Boulevard West_950_Fredericksburg Apartments_Dallas</t>
  </si>
  <si>
    <t>Kiest Boulevard West</t>
  </si>
  <si>
    <t>Fredericksburg Apartments</t>
  </si>
  <si>
    <t>E:\PropInv\MF\Dallas\Hartsdale Street_1239_French Colony_Dallas</t>
  </si>
  <si>
    <t>Hartsdale Street_1239_French Colony_Dallas</t>
  </si>
  <si>
    <t>Hartsdale Street</t>
  </si>
  <si>
    <t>E:\PropInv\MF\Dallas\Garrett Avenue North_1820_Garrett Gables Apartments_Dallas</t>
  </si>
  <si>
    <t>Garrett Avenue North_1820_Garrett Gables Apartments_Dallas</t>
  </si>
  <si>
    <t>Garrett Avenue North</t>
  </si>
  <si>
    <t>Garrett Gables Apartments</t>
  </si>
  <si>
    <t>E:\PropInv\MF\Dallas\Garrett Street_1407_Garrett Street_Dallas</t>
  </si>
  <si>
    <t>Garrett Street_1407_Garrett Street_Dallas</t>
  </si>
  <si>
    <t>Garrett Street</t>
  </si>
  <si>
    <t>E:\PropInv\MF\Dallas\Gaston Avenue_4912_Gaston Apartments_Dallas</t>
  </si>
  <si>
    <t>Gaston Avenue_4912_Gaston Apartments_Dallas</t>
  </si>
  <si>
    <t>Gaston Apartments</t>
  </si>
  <si>
    <t>E:\PropInv\MF\Dallas\Skillman Road_8300_Glen Oaks Apartments_Dallas</t>
  </si>
  <si>
    <t>Skillman Road_8300_Glen Oaks Apartments_Dallas</t>
  </si>
  <si>
    <t>Skillman Road</t>
  </si>
  <si>
    <t>Glen Oaks Apartments</t>
  </si>
  <si>
    <t>E:\PropInv\MF\Dallas\Beckley Avenue North_1520_Grand Estates at Kessler Park_Dallas</t>
  </si>
  <si>
    <t>Beckley Avenue North_1520_Grand Estates at Kessler Park_Dallas</t>
  </si>
  <si>
    <t>Beckley Avenue North</t>
  </si>
  <si>
    <t>E:\PropInv\MF\Dallas\Frankford Road_3621_Greyson's Gate_Dallas</t>
  </si>
  <si>
    <t>Frankford Road_3621_Greyson's Gate_Dallas</t>
  </si>
  <si>
    <t>Greyson's Gate</t>
  </si>
  <si>
    <t>E:\PropInv\MF\Dallas\Grigsby Avenue_1625_Grigsby Place Apartments_Dallas</t>
  </si>
  <si>
    <t>Grigsby Avenue_1625_Grigsby Place Apartments_Dallas</t>
  </si>
  <si>
    <t>Grigsby Avenue</t>
  </si>
  <si>
    <t>Grigsby Place Apartments</t>
  </si>
  <si>
    <t>E:\PropInv\MF\Dallas\Congress Avenue_4300_Hartford Apartments_Dallas</t>
  </si>
  <si>
    <t>Congress Avenue_4300_Hartford Apartments_Dallas</t>
  </si>
  <si>
    <t>Hartford Apartments</t>
  </si>
  <si>
    <t>E:\PropInv\MF\Dallas\Hartford Street_4328_Hartford Apartments_Dallas</t>
  </si>
  <si>
    <t>Hartford Street_4328_Hartford Apartments_Dallas</t>
  </si>
  <si>
    <t>Hartford Street</t>
  </si>
  <si>
    <t>E:\PropInv\MF\Dallas\Harvest Hill Road_4121_Harvest Hill Village Apartments_Dallas</t>
  </si>
  <si>
    <t>Harvest Hill Road_4121_Harvest Hill Village Apartments_Dallas</t>
  </si>
  <si>
    <t>Harvest Hill Road</t>
  </si>
  <si>
    <t>Harvest Hill Village Apartments</t>
  </si>
  <si>
    <t>E:\PropInv\MF\Dallas\Hundall Street_3301_Harvey's Racquet Club_Dallas</t>
  </si>
  <si>
    <t>Hundall Street_3301_Harvey's Racquet Club_Dallas</t>
  </si>
  <si>
    <t>Hundall Street</t>
  </si>
  <si>
    <t>E:\PropInv\MF\Dallas\Scyenee Road_9755_Heatherwood_Dallas</t>
  </si>
  <si>
    <t>Scyenee Road_9755_Heatherwood_Dallas</t>
  </si>
  <si>
    <t>Scyenee Road</t>
  </si>
  <si>
    <t>E:\PropInv\MF\Dallas\Bonnie View Road_5821_Highland Hills Apartments_Dallas</t>
  </si>
  <si>
    <t>Bonnie View Road_5821_Highland Hills Apartments_Dallas</t>
  </si>
  <si>
    <t>Highland Hills Apartments</t>
  </si>
  <si>
    <t>E:\PropInv\MF\Dallas\Kingsley Drive_9707_Highland House_Dallas</t>
  </si>
  <si>
    <t>Kingsley Drive_9707_Highland House_Dallas</t>
  </si>
  <si>
    <t>Kingsley Drive</t>
  </si>
  <si>
    <t>E:\PropInv\MF\Dallas\Highland Road_2600_Highland Meadows_Dallas</t>
  </si>
  <si>
    <t>Highland Road_2600_Highland Meadows_Dallas</t>
  </si>
  <si>
    <t>Highland Road</t>
  </si>
  <si>
    <t>E:\PropInv\MF\Dallas\Highland Hills_6271_Highland Park Apartments_Dallas</t>
  </si>
  <si>
    <t>Highland Hills_6271_Highland Park Apartments_Dallas</t>
  </si>
  <si>
    <t>Highland Park Apartments</t>
  </si>
  <si>
    <t>E:\PropInv\MF\Dallas\Cockrell Road South_2704_Highland Road Village_Dallas</t>
  </si>
  <si>
    <t>Cockrell Road South_2704_Highland Road Village_Dallas</t>
  </si>
  <si>
    <t>Cockrell Road South</t>
  </si>
  <si>
    <t>E:\PropInv\MF\Dallas\Prichard Lane_2910_Hillside Apartments_Dallas</t>
  </si>
  <si>
    <t>Prichard Lane_2910_Hillside Apartments_Dallas</t>
  </si>
  <si>
    <t>Prichard Lane</t>
  </si>
  <si>
    <t>Hillside Apartments</t>
  </si>
  <si>
    <t>E:\PropInv\MF\Dallas\Prichard Lane_2920_Hillside Apartments_Dallas</t>
  </si>
  <si>
    <t>Prichard Lane_2920_Hillside Apartments_Dallas</t>
  </si>
  <si>
    <t>E:\PropInv\MF\Dallas\Holly Hill Drive_7112_Holly Bend_Dallas</t>
  </si>
  <si>
    <t>Holly Hill Drive_7112_Holly Bend_Dallas</t>
  </si>
  <si>
    <t>E:\PropInv\MF\Dallas\Military Parkway_9710_Holly Park Apartments_Dallas</t>
  </si>
  <si>
    <t>Military Parkway_9710_Holly Park Apartments_Dallas</t>
  </si>
  <si>
    <t>Military Parkway</t>
  </si>
  <si>
    <t>Holly Park Apartments</t>
  </si>
  <si>
    <t>E:\PropInv\MF\Dallas\Ferguson Road_11611_Honey Creek_Dallas</t>
  </si>
  <si>
    <t>Ferguson Road_11611_Honey Creek_Dallas</t>
  </si>
  <si>
    <t>E:\PropInv\MF\Dallas\Illinois Avenue East_333_Illinois Garden - REO_Dallas</t>
  </si>
  <si>
    <t>Illinois Avenue East_333_Illinois Garden - REO_Dallas</t>
  </si>
  <si>
    <t>Illinois Garden - REO</t>
  </si>
  <si>
    <t>E:\PropInv\MF\Dallas\Illinois_3333_Illinois Garden Apartments_Dallas</t>
  </si>
  <si>
    <t>Illinois_3333_Illinois Garden Apartments_Dallas</t>
  </si>
  <si>
    <t>Illinois</t>
  </si>
  <si>
    <t>Illinois Garden Apartments</t>
  </si>
  <si>
    <t>E:\PropInv\MF\Dallas\Gilpin Road North_312_Indian Ridge Apartments_Dallas</t>
  </si>
  <si>
    <t>Gilpin Road North_312_Indian Ridge Apartments_Dallas</t>
  </si>
  <si>
    <t>Gilpin Road North</t>
  </si>
  <si>
    <t>Indian Ridge Apartments</t>
  </si>
  <si>
    <t>E:\PropInv\MF\Dallas\Mt. Raineer_3621_Indian Ridge Apartments_Dallas</t>
  </si>
  <si>
    <t>Mt. Raineer_3621_Indian Ridge Apartments_Dallas</t>
  </si>
  <si>
    <t>E:\PropInv\MF\Dallas\Forest Lane_9669_Indigo On Forest_Dallas</t>
  </si>
  <si>
    <t>Forest Lane_9669_Indigo On Forest_Dallas</t>
  </si>
  <si>
    <t>Indigo On Forest</t>
  </si>
  <si>
    <t>E:\PropInv\MF\Dallas\Park Lane_8776_Ivanhoe Apartments_Dallas</t>
  </si>
  <si>
    <t>Park Lane_8776_Ivanhoe Apartments_Dallas</t>
  </si>
  <si>
    <t>Ivanhoe Apartments</t>
  </si>
  <si>
    <t>E:\PropInv\MF\Dallas\Navajo Drive_3326_Jamestown_Dallas</t>
  </si>
  <si>
    <t>Navajo Drive_3326_Jamestown_Dallas</t>
  </si>
  <si>
    <t>Navajo Drive</t>
  </si>
  <si>
    <t>E:\PropInv\MF\Dallas\Texas Street_910_Jefferson At Bryan Place_Dallas</t>
  </si>
  <si>
    <t>Texas Street_910_Jefferson At Bryan Place_Dallas</t>
  </si>
  <si>
    <t>Texas Street</t>
  </si>
  <si>
    <t>Jefferson At Bryan Place</t>
  </si>
  <si>
    <t>E:\PropInv\MF\Dallas\Technology Boulevard_10106_Jefferson At La Valencia_Dallas</t>
  </si>
  <si>
    <t>Technology Boulevard_10106_Jefferson At La Valencia_Dallas</t>
  </si>
  <si>
    <t>Technology Boulevard</t>
  </si>
  <si>
    <t>Jefferson At La Valencia</t>
  </si>
  <si>
    <t>E:\PropInv\MF\Dallas\Timberglen Road_4651_Jefferson At Timberglen_Dallas</t>
  </si>
  <si>
    <t>Timberglen Road_4651_Jefferson At Timberglen_Dallas</t>
  </si>
  <si>
    <t>Timberglen Road</t>
  </si>
  <si>
    <t>Jefferson At Timberglen</t>
  </si>
  <si>
    <t>E:\PropInv\MF\Dallas\Lombardy Lane_3130_Julianna Place Apartments_Dallas</t>
  </si>
  <si>
    <t>Lombardy Lane_3130_Julianna Place Apartments_Dallas</t>
  </si>
  <si>
    <t>Julianna Place Apartments</t>
  </si>
  <si>
    <t>E:\PropInv\MF\Dallas\Vernon Avenue South_3311_Kiest Park Estates_Dallas</t>
  </si>
  <si>
    <t>Vernon Avenue South_3311_Kiest Park Estates_Dallas</t>
  </si>
  <si>
    <t>E:\PropInv\MF\Dallas\Kiest Boulevard East_3811_Kiest Terrace_Dallas</t>
  </si>
  <si>
    <t>Kiest Boulevard East_3811_Kiest Terrace_Dallas</t>
  </si>
  <si>
    <t>Kiest Boulevard East</t>
  </si>
  <si>
    <t>E:\PropInv\MF\Dallas\Kiest Boulevard East_3808_Kiest Villas_Dallas</t>
  </si>
  <si>
    <t>Kiest Boulevard East_3808_Kiest Villas_Dallas</t>
  </si>
  <si>
    <t>E:\PropInv\MF\Dallas\Kiest Boulevard West_4542_Kimball Square Apartments_Dallas</t>
  </si>
  <si>
    <t>Kiest Boulevard West_4542_Kimball Square Apartments_Dallas</t>
  </si>
  <si>
    <t>Kimball Square Apartments</t>
  </si>
  <si>
    <t>E:\PropInv\MF\Dallas\Kings Road_2787_Kings Quarter_Dallas</t>
  </si>
  <si>
    <t>Kings Road_2787_Kings Quarter_Dallas</t>
  </si>
  <si>
    <t>Kings Road</t>
  </si>
  <si>
    <t>E:\PropInv\MF\Dallas\Royal Lane_10028_Kingsborough Townhomes_Dallas</t>
  </si>
  <si>
    <t>Royal Lane_10028_Kingsborough Townhomes_Dallas</t>
  </si>
  <si>
    <t>Kingsborough Townhomes</t>
  </si>
  <si>
    <t>E:\PropInv\MF\Dallas\Empire Central_2201_KOKO Apartments_Dallas</t>
  </si>
  <si>
    <t>Empire Central_2201_KOKO Apartments_Dallas</t>
  </si>
  <si>
    <t>KOKO Apartments</t>
  </si>
  <si>
    <t>E:\PropInv\MF\Dallas\RL Thornton Freeway East_7751_La Arboleda_Dallas</t>
  </si>
  <si>
    <t>RL Thornton Freeway East_7751_La Arboleda_Dallas</t>
  </si>
  <si>
    <t>RL Thornton Freeway East</t>
  </si>
  <si>
    <t>E:\PropInv\MF\Dallas\Merit Drive_12500_La Costa Villas Apartments_Dallas</t>
  </si>
  <si>
    <t>Merit Drive_12500_La Costa Villas Apartments_Dallas</t>
  </si>
  <si>
    <t>Merit Drive</t>
  </si>
  <si>
    <t>La Costa Villas Apartments</t>
  </si>
  <si>
    <t>E:\PropInv\MF\Dallas\Belt Line Road_5769_Laguna Terrace_Dallas</t>
  </si>
  <si>
    <t>Belt Line Road_5769_Laguna Terrace_Dallas</t>
  </si>
  <si>
    <t>E:\PropInv\MF\Dallas\Spring Valley Road_8376_Landmark On The Valley_Dallas</t>
  </si>
  <si>
    <t>Spring Valley Road_8376_Landmark On The Valley_Dallas</t>
  </si>
  <si>
    <t>Landmark On The Valley</t>
  </si>
  <si>
    <t>E:\PropInv\MF\Dallas\Colorado Boulevard_2620_Las Palmas Apartments_Dallas</t>
  </si>
  <si>
    <t>Colorado Boulevard_2620_Las Palmas Apartments_Dallas</t>
  </si>
  <si>
    <t>Colorado Boulevard</t>
  </si>
  <si>
    <t>Las Palmas Apartments</t>
  </si>
  <si>
    <t>E:\PropInv\MF\Dallas\Community Drive_3208_Lexington_Dallas</t>
  </si>
  <si>
    <t>Community Drive_3208_Lexington_Dallas</t>
  </si>
  <si>
    <t>Community Drive</t>
  </si>
  <si>
    <t>E:\PropInv\MF\Dallas\Lindell Avenue_5613_Lindell Avenue Condos_Dallas</t>
  </si>
  <si>
    <t>Lindell Avenue_5613_Lindell Avenue Condos_Dallas</t>
  </si>
  <si>
    <t>Lindell Avenue</t>
  </si>
  <si>
    <t>Lindell Avenue Condos</t>
  </si>
  <si>
    <t>E:\PropInv\MF\Dallas\Lochwood Boulevard_11117_Lochwood Boulevard_Dallas</t>
  </si>
  <si>
    <t>Lochwood Boulevard_11117_Lochwood Boulevard_Dallas</t>
  </si>
  <si>
    <t>Lochwood Boulevard</t>
  </si>
  <si>
    <t>E:\PropInv\MF\Dallas\Schroeder Road_12708_Lyndon Manor Apartments_Dallas</t>
  </si>
  <si>
    <t>Schroeder Road_12708_Lyndon Manor Apartments_Dallas</t>
  </si>
  <si>
    <t>Schroeder Road</t>
  </si>
  <si>
    <t>Lyndon Manor Apartments</t>
  </si>
  <si>
    <t>E:\PropInv\MF\Dallas\Cedar Springs Road_4606_Madison at Cedar Springs_Dallas</t>
  </si>
  <si>
    <t>Cedar Springs Road_4606_Madison at Cedar Springs_Dallas</t>
  </si>
  <si>
    <t>Madison at Cedar Springs</t>
  </si>
  <si>
    <t>E:\PropInv\MF\Dallas\Coit Road_17817_Mandalay Apartment Homes_Dallas</t>
  </si>
  <si>
    <t>Coit Road_17817_Mandalay Apartment Homes_Dallas</t>
  </si>
  <si>
    <t>Mandalay Apartment Homes</t>
  </si>
  <si>
    <t>E:\PropInv\MF\Dallas\Cliff Creek Crossing_7550_Mandalay Palms Apartments_Dallas</t>
  </si>
  <si>
    <t>Cliff Creek Crossing_7550_Mandalay Palms Apartments_Dallas</t>
  </si>
  <si>
    <t>Cliff Creek Crossing</t>
  </si>
  <si>
    <t>Mandalay Palms Apartments</t>
  </si>
  <si>
    <t>E:\PropInv\MF\Dallas\Chesterfield Drive_7501_Mandalay Palms Phase I_Dallas</t>
  </si>
  <si>
    <t>Chesterfield Drive_7501_Mandalay Palms Phase I_Dallas</t>
  </si>
  <si>
    <t>Chesterfield Drive</t>
  </si>
  <si>
    <t>Mandalay Palms Phase I</t>
  </si>
  <si>
    <t>E:\PropInv\MF\Dallas\Marsalis Avenue North_929_Marsalis Apartments_Dallas</t>
  </si>
  <si>
    <t>Marsalis Avenue North_929_Marsalis Apartments_Dallas</t>
  </si>
  <si>
    <t>Marsalis Avenue North</t>
  </si>
  <si>
    <t>Marsalis Apartments</t>
  </si>
  <si>
    <t>E:\PropInv\MF\Dallas\Hunnicut Road_7526_Mayan Palms Apartments_Dallas</t>
  </si>
  <si>
    <t>Hunnicut Road_7526_Mayan Palms Apartments_Dallas</t>
  </si>
  <si>
    <t>Hunnicut Road</t>
  </si>
  <si>
    <t>Mayan Palms Apartments</t>
  </si>
  <si>
    <t>E:\PropInv\MF\Dallas\McCallum Boulevard_7720_McCallum Crossing_Dallas</t>
  </si>
  <si>
    <t>McCallum Boulevard_7720_McCallum Crossing_Dallas</t>
  </si>
  <si>
    <t>McCallum Boulevard</t>
  </si>
  <si>
    <t>McCallum Crossing</t>
  </si>
  <si>
    <t>E:\PropInv\MF\Dallas\McCallum Boulevard_7740_McCallum Glen_Dallas</t>
  </si>
  <si>
    <t>McCallum Boulevard_7740_McCallum Glen_Dallas</t>
  </si>
  <si>
    <t>E:\PropInv\MF\Dallas\McCallum Boulevard_7760_McCallum Meadows_Dallas</t>
  </si>
  <si>
    <t>McCallum Boulevard_7760_McCallum Meadows_Dallas</t>
  </si>
  <si>
    <t>E:\PropInv\MF\Dallas\McCommas Boulevard_5714_McCommas Colonial Apartments_Dallas</t>
  </si>
  <si>
    <t>McCommas Boulevard_5714_McCommas Colonial Apartments_Dallas</t>
  </si>
  <si>
    <t>McCommas Boulevard</t>
  </si>
  <si>
    <t>McCommas Colonial Apartments</t>
  </si>
  <si>
    <t>E:\PropInv\MF\Dallas\Jupiter Road_12610_McMillan Place_Dallas</t>
  </si>
  <si>
    <t>Jupiter Road_12610_McMillan Place_Dallas</t>
  </si>
  <si>
    <t>E:\PropInv\MF\Dallas\Lucas Drive_2816_Melrose Place_Dallas</t>
  </si>
  <si>
    <t>Lucas Drive_2816_Melrose Place_Dallas</t>
  </si>
  <si>
    <t>E:\PropInv\MF\Dallas\Midpark Road_8550_Midpark Towers_Dallas</t>
  </si>
  <si>
    <t>Midpark Road_8550_Midpark Towers_Dallas</t>
  </si>
  <si>
    <t>Midpark Road</t>
  </si>
  <si>
    <t>E:\PropInv\MF\Dallas\Dilido Road_2900_Millennium Pointe Apartments_Dallas</t>
  </si>
  <si>
    <t>Dilido Road_2900_Millennium Pointe Apartments_Dallas</t>
  </si>
  <si>
    <t>Dilido Road</t>
  </si>
  <si>
    <t>Millennium Pointe Apartments</t>
  </si>
  <si>
    <t>E:\PropInv\MF\Dallas\Rawlins Street_3720_Mirasol Court_Dallas</t>
  </si>
  <si>
    <t>Rawlins Street_3720_Mirasol Court_Dallas</t>
  </si>
  <si>
    <t>Rawlins Street</t>
  </si>
  <si>
    <t>E:\PropInv\MF\Dallas\Amanda Lane_11330_Montecito Creek_Dallas</t>
  </si>
  <si>
    <t>Amanda Lane_11330_Montecito Creek_Dallas</t>
  </si>
  <si>
    <t>Amanda Lane</t>
  </si>
  <si>
    <t>E:\PropInv\MF\Dallas\Preston Oaks Road_5445_Montfort Place_Dallas</t>
  </si>
  <si>
    <t>Preston Oaks Road_5445_Montfort Place_Dallas</t>
  </si>
  <si>
    <t>E:\PropInv\MF\Dallas\Akard Street North_318_Mosaic_Dallas</t>
  </si>
  <si>
    <t>Akard Street North_318_Mosaic_Dallas</t>
  </si>
  <si>
    <t>Akard Street North</t>
  </si>
  <si>
    <t>E:\PropInv\MF\Dallas\Mountain Valley Lane_5875_Mountain Valley Apartments_Dallas</t>
  </si>
  <si>
    <t>Mountain Valley Lane_5875_Mountain Valley Apartments_Dallas</t>
  </si>
  <si>
    <t>Mountain Valley Lane</t>
  </si>
  <si>
    <t>Mountain Valley Apartments</t>
  </si>
  <si>
    <t>E:\PropInv\MF\Dallas\Scyene Road_9760_Myrtle Cove_Dallas</t>
  </si>
  <si>
    <t>Scyene Road_9760_Myrtle Cove_Dallas</t>
  </si>
  <si>
    <t>Scyene Road</t>
  </si>
  <si>
    <t>Myrtle Cove</t>
  </si>
  <si>
    <t>E:\PropInv\MF\Dallas\Pinyon Tree Lane_9387_North Creek Condominiums_Dallas</t>
  </si>
  <si>
    <t>Pinyon Tree Lane_9387_North Creek Condominiums_Dallas</t>
  </si>
  <si>
    <t>Pinyon Tree Lane</t>
  </si>
  <si>
    <t>E:\PropInv\MF\Dallas\Park Lane_8662_North Park Terrace_Dallas</t>
  </si>
  <si>
    <t>Park Lane_8662_North Park Terrace_Dallas</t>
  </si>
  <si>
    <t>E:\PropInv\MF\Dallas\Northgate Drive West_3146_Northgate_Dallas</t>
  </si>
  <si>
    <t>Northgate Drive West_3146_Northgate_Dallas</t>
  </si>
  <si>
    <t>Northgate Drive West</t>
  </si>
  <si>
    <t>E:\PropInv\MF\Dallas\Northhaven Road_2800_Northhaven Terrace_Dallas</t>
  </si>
  <si>
    <t>Northhaven Road_2800_Northhaven Terrace_Dallas</t>
  </si>
  <si>
    <t>Northhaven Road</t>
  </si>
  <si>
    <t>Northhaven Terrace</t>
  </si>
  <si>
    <t>E:\PropInv\MF\Dallas\Plymouth Road North_640_Northills_Dallas</t>
  </si>
  <si>
    <t>Plymouth Road North_640_Northills_Dallas</t>
  </si>
  <si>
    <t>E:\PropInv\MF\Dallas\Ridgecrest Road_6041_Northridge Court_Dallas</t>
  </si>
  <si>
    <t>Ridgecrest Road_6041_Northridge Court_Dallas</t>
  </si>
  <si>
    <t>Ridgecrest Road</t>
  </si>
  <si>
    <t>E:\PropInv\MF\Dallas\Ridgecrest Road_6401_Northridge Court_Dallas</t>
  </si>
  <si>
    <t>Ridgecrest Road_6401_Northridge Court_Dallas</t>
  </si>
  <si>
    <t>E:\PropInv\MF\Dallas\Timberline Drive_9640_Northwest Crossing_Dallas</t>
  </si>
  <si>
    <t>Timberline Drive_9640_Northwest Crossing_Dallas</t>
  </si>
  <si>
    <t>Timberline Drive</t>
  </si>
  <si>
    <t>E:\PropInv\MF\Dallas\Timberline Drive_9680_Northwest Crossing_Dallas</t>
  </si>
  <si>
    <t>Timberline Drive_9680_Northwest Crossing_Dallas</t>
  </si>
  <si>
    <t>E:\PropInv\MF\Dallas\Peyton Drive_13980_Northwood Hills_Dallas</t>
  </si>
  <si>
    <t>Peyton Drive_13980_Northwood Hills_Dallas</t>
  </si>
  <si>
    <t>Peyton Drive</t>
  </si>
  <si>
    <t>E:\PropInv\MF\Dallas\Peyton Drive_13934-14030_Northwood Hills_Dallas</t>
  </si>
  <si>
    <t>Peyton Drive_13934-14030_Northwood Hills_Dallas</t>
  </si>
  <si>
    <t>E:\PropInv\MF\Dallas\52nd Street_2607_Oak Glen Apartments_Dallas</t>
  </si>
  <si>
    <t>52nd Street_2607_Oak Glen Apartments_Dallas</t>
  </si>
  <si>
    <t>52nd Street</t>
  </si>
  <si>
    <t>Oak Glen Apartments</t>
  </si>
  <si>
    <t>E:\PropInv\MF\Dallas\Woodmeadow Parkway_11050_Oak Meadow_Dallas</t>
  </si>
  <si>
    <t>Woodmeadow Parkway_11050_Oak Meadow_Dallas</t>
  </si>
  <si>
    <t>E:\PropInv\MF\Dallas\Clydedale Drive_2911_Oak Trails Apartments_Dallas</t>
  </si>
  <si>
    <t>Clydedale Drive_2911_Oak Trails Apartments_Dallas</t>
  </si>
  <si>
    <t>Clydedale Drive</t>
  </si>
  <si>
    <t>Oak Trails Apartments</t>
  </si>
  <si>
    <t>E:\PropInv\MF\Dallas\Poppy Drive_9000_Oak White Rock_Dallas</t>
  </si>
  <si>
    <t>Poppy Drive_9000_Oak White Rock_Dallas</t>
  </si>
  <si>
    <t>Poppy Drive</t>
  </si>
  <si>
    <t>Oak White Rock</t>
  </si>
  <si>
    <t>E:\PropInv\MF\Dallas\Samuell Boulevard_4611_Oakdale Townhomes_Dallas</t>
  </si>
  <si>
    <t>Samuell Boulevard_4611_Oakdale Townhomes_Dallas</t>
  </si>
  <si>
    <t>Samuell Boulevard</t>
  </si>
  <si>
    <t>Oakdale Townhomes</t>
  </si>
  <si>
    <t>E:\PropInv\MF\Dallas\Illinois Avenue West_2803_Oakridge_Dallas</t>
  </si>
  <si>
    <t>Illinois Avenue West_2803_Oakridge_Dallas</t>
  </si>
  <si>
    <t>Illinois Avenue West</t>
  </si>
  <si>
    <t>E:\PropInv\MF\Dallas\Wadsworth Drive_4950_Oakwood Place_Dallas</t>
  </si>
  <si>
    <t>Wadsworth Drive_4950_Oakwood Place_Dallas</t>
  </si>
  <si>
    <t>Wadsworth Drive</t>
  </si>
  <si>
    <t>E:\PropInv\MF\Dallas\Southland Street_2202_Palms Of Dallas_Dallas</t>
  </si>
  <si>
    <t>Southland Street_2202_Palms Of Dallas_Dallas</t>
  </si>
  <si>
    <t>Southland Street</t>
  </si>
  <si>
    <t>Palms Of Dallas</t>
  </si>
  <si>
    <t>E:\PropInv\MF\Dallas\Dale Crest Drive_9701_Park Dale Garden_Dallas</t>
  </si>
  <si>
    <t>Dale Crest Drive_9701_Park Dale Garden_Dallas</t>
  </si>
  <si>
    <t>Dale Crest Drive</t>
  </si>
  <si>
    <t>E:\PropInv\MF\Dallas\La Vista Drive_7425_Park Glen_Dallas</t>
  </si>
  <si>
    <t>La Vista Drive_7425_Park Glen_Dallas</t>
  </si>
  <si>
    <t>La Vista Drive</t>
  </si>
  <si>
    <t>E:\PropInv\MF\Dallas\Ferguson Road_7827_Park Highlands_Dallas</t>
  </si>
  <si>
    <t>Ferguson Road_7827_Park Highlands_Dallas</t>
  </si>
  <si>
    <t>E:\PropInv\MF\Dallas\Park Lane_3040_Park Lane Apartments_Dallas</t>
  </si>
  <si>
    <t>Park Lane_3040_Park Lane Apartments_Dallas</t>
  </si>
  <si>
    <t>Park Lane Apartments</t>
  </si>
  <si>
    <t>E:\PropInv\MF\Dallas\Preston Road_17878_Park on Preston_Dallas</t>
  </si>
  <si>
    <t>Preston Road_17878_Park on Preston_Dallas</t>
  </si>
  <si>
    <t>Park on Preston</t>
  </si>
  <si>
    <t>E:\PropInv\MF\Dallas\Ewing Avenue North_405_Park Place_Dallas</t>
  </si>
  <si>
    <t>Ewing Avenue North_405_Park Place_Dallas</t>
  </si>
  <si>
    <t>Ewing Avenue North</t>
  </si>
  <si>
    <t>E:\PropInv\MF\Dallas\Meandering Way_13005_Park Plaza_Dallas</t>
  </si>
  <si>
    <t>Meandering Way_13005_Park Plaza_Dallas</t>
  </si>
  <si>
    <t>E:\PropInv\MF\Dallas\Shadybrook Lane_6727_Park Vali Hai Apartments_Dallas</t>
  </si>
  <si>
    <t>Shadybrook Lane_6727_Park Vali Hai Apartments_Dallas</t>
  </si>
  <si>
    <t>Shadybrook Lane</t>
  </si>
  <si>
    <t>Park Vali Hai Apartments</t>
  </si>
  <si>
    <t>E:\PropInv\MF\Dallas\Blackwell Street_5835_Park Vali Hai Apartments (Land)_Dallas</t>
  </si>
  <si>
    <t>Blackwell Street_5835_Park Vali Hai Apartments (Land)_Dallas</t>
  </si>
  <si>
    <t>Blackwell Street</t>
  </si>
  <si>
    <t>Park Vali Hai Apartments (Land)</t>
  </si>
  <si>
    <t>E:\PropInv\MF\Dallas\Westmoreland Road South_7575_Park Village_Dallas</t>
  </si>
  <si>
    <t>Westmoreland Road South_7575_Park Village_Dallas</t>
  </si>
  <si>
    <t>Westmoreland Road South</t>
  </si>
  <si>
    <t>E:\PropInv\MF\Dallas\Park Lane_8780_ParkPointe_Dallas</t>
  </si>
  <si>
    <t>Park Lane_8780_ParkPointe_Dallas</t>
  </si>
  <si>
    <t>ParkPointe</t>
  </si>
  <si>
    <t>E:\PropInv\MF\Dallas\Military Parkway_8008_Parkway-Norvell Garden Apartments_Dallas</t>
  </si>
  <si>
    <t>Military Parkway_8008_Parkway-Norvell Garden Apartments_Dallas</t>
  </si>
  <si>
    <t>Parkway-Norvell Garden Apartments</t>
  </si>
  <si>
    <t>E:\PropInv\MF\Dallas\Norvell Driveve_8008_Parkway_ Norvell Garden Apartments_Dallas</t>
  </si>
  <si>
    <t>Norvell Driveve_8008_Parkway_ Norvell Garden Apartments_Dallas</t>
  </si>
  <si>
    <t>Norvell Drive</t>
  </si>
  <si>
    <t>E:\PropInv\MF\Dallas\Webb Chapel Extension_3535_Pecan Square_Dallas</t>
  </si>
  <si>
    <t>Webb Chapel Extension_3535_Pecan Square_Dallas</t>
  </si>
  <si>
    <t>E:\PropInv\MF\Dallas\Kendale Drive_3001_Pecan Tree_Dallas</t>
  </si>
  <si>
    <t>Kendale Drive_3001_Pecan Tree_Dallas</t>
  </si>
  <si>
    <t>Kendale Drive</t>
  </si>
  <si>
    <t>E:\PropInv\MF\Dallas\Arooyo Avenue_2601_Phoenix Place_Dallas</t>
  </si>
  <si>
    <t>Arooyo Avenue_2601_Phoenix Place_Dallas</t>
  </si>
  <si>
    <t>Arooyo Avenue</t>
  </si>
  <si>
    <t>Phoenix Place</t>
  </si>
  <si>
    <t>E:\PropInv\MF\Dallas\Kings Road_3102_Piazza Siena_Dallas</t>
  </si>
  <si>
    <t>Kings Road_3102_Piazza Siena_Dallas</t>
  </si>
  <si>
    <t>E:\PropInv\MF\Dallas\Hudnall Street_2625_Plantation House_Dallas</t>
  </si>
  <si>
    <t>Hudnall Street_2625_Plantation House_Dallas</t>
  </si>
  <si>
    <t>Hudnall Street</t>
  </si>
  <si>
    <t>E:\PropInv\MF\Dallas\Hundall Street_2625_Plantation House_Dallas</t>
  </si>
  <si>
    <t>Hundall Street_2625_Plantation House_Dallas</t>
  </si>
  <si>
    <t>E:\PropInv\MF\Dallas\Royal Lane_2825_Plantation Royal Apartments_Dallas</t>
  </si>
  <si>
    <t>Royal Lane_2825_Plantation Royal Apartments_Dallas</t>
  </si>
  <si>
    <t>Plantation Royal Apartments</t>
  </si>
  <si>
    <t>E:\PropInv\MF\Dallas\Webb Chapel Extensions_3330_Plaza Del Lago_Dallas</t>
  </si>
  <si>
    <t>Webb Chapel Extensions_3330_Plaza Del Lago_Dallas</t>
  </si>
  <si>
    <t>Webb Chapel Extensions</t>
  </si>
  <si>
    <t>E:\PropInv\MF\Dallas\Jim Miller Road North_1441_Pleasant Grove_Dallas</t>
  </si>
  <si>
    <t>Jim Miller Road North_1441_Pleasant Grove_Dallas</t>
  </si>
  <si>
    <t>Jim Miller Road North</t>
  </si>
  <si>
    <t>E:\PropInv\MF\Dallas\Church Road_9236_Pleasant Woods_Dallas</t>
  </si>
  <si>
    <t>Church Road_9236_Pleasant Woods_Dallas</t>
  </si>
  <si>
    <t>Church Road</t>
  </si>
  <si>
    <t>E:\PropInv\MF\Dallas\Stone Canyon Road_10588_Pointe at Stone Canyon_Dallas</t>
  </si>
  <si>
    <t>Stone Canyon Road_10588_Pointe at Stone Canyon_Dallas</t>
  </si>
  <si>
    <t>E:\PropInv\MF\Dallas\Lancaster North_338_Portfolio Of 4 Apartments_Dallas</t>
  </si>
  <si>
    <t>Lancaster North_338_Portfolio Of 4 Apartments_Dallas</t>
  </si>
  <si>
    <t>Lancaster North</t>
  </si>
  <si>
    <t>Portfolio Of 4 Apartments</t>
  </si>
  <si>
    <t>E:\PropInv\MF\Dallas\Main Street_1623_Post Wilson_Dallas</t>
  </si>
  <si>
    <t>Main Street_1623_Post Wilson_Dallas</t>
  </si>
  <si>
    <t>Post Wilson</t>
  </si>
  <si>
    <t>E:\PropInv\MF\Dallas\Spring Valley Road_5631_Preston Valley_Dallas</t>
  </si>
  <si>
    <t>Spring Valley Road_5631_Preston Valley_Dallas</t>
  </si>
  <si>
    <t>E:\PropInv\MF\Dallas\Audelia Road_11700_Providence_Dallas</t>
  </si>
  <si>
    <t>Audelia Road_11700_Providence_Dallas</t>
  </si>
  <si>
    <t>E:\PropInv\MF\Dallas\Scyene Road_9666_Quail Hollow Apartments_Dallas</t>
  </si>
  <si>
    <t>Scyene Road_9666_Quail Hollow Apartments_Dallas</t>
  </si>
  <si>
    <t>Quail Hollow Apartments</t>
  </si>
  <si>
    <t>E:\PropInv\MF\Dallas\Saint Lawrence Circle_13214_Quebec House_Dallas</t>
  </si>
  <si>
    <t>Saint Lawrence Circle_13214_Quebec House_Dallas</t>
  </si>
  <si>
    <t>Saint Lawrence Circle</t>
  </si>
  <si>
    <t>Quebec House</t>
  </si>
  <si>
    <t>E:\PropInv\MF\Dallas\Lancaster North_336_Rainbow Properties Portfolio_Dallas</t>
  </si>
  <si>
    <t>Lancaster North_336_Rainbow Properties Portfolio_Dallas</t>
  </si>
  <si>
    <t>Rainbow Properties Portfolio</t>
  </si>
  <si>
    <t>E:\PropInv\MF\Dallas\West Red Bird Lane_3636_Redbird Trails Apartments_Dallas</t>
  </si>
  <si>
    <t>West Red Bird Lane_3636_Redbird Trails Apartments_Dallas</t>
  </si>
  <si>
    <t>West Red Bird Lane</t>
  </si>
  <si>
    <t>Redbird Trails Apartments</t>
  </si>
  <si>
    <t>E:\PropInv\MF\Dallas\Skillman Street_8303_Regal Brook_Dallas</t>
  </si>
  <si>
    <t>Skillman Street_8303_Regal Brook_Dallas</t>
  </si>
  <si>
    <t>Skillman Street</t>
  </si>
  <si>
    <t>Regal Brook</t>
  </si>
  <si>
    <t>E:\PropInv\MF\Dallas\Remond Drive_2928_Remond Cliff Plaza_Dallas</t>
  </si>
  <si>
    <t>Remond Drive_2928_Remond Cliff Plaza_Dallas</t>
  </si>
  <si>
    <t>Remond Drive</t>
  </si>
  <si>
    <t>E:\PropInv\MF\Dallas\Walnut Street_9801_Richland Trace Condos_Dallas</t>
  </si>
  <si>
    <t>Walnut Street_9801_Richland Trace Condos_Dallas</t>
  </si>
  <si>
    <t>Richland Trace Condos</t>
  </si>
  <si>
    <t>E:\PropInv\MF\Dallas\Walnut Street_9999_Richland Village_Dallas</t>
  </si>
  <si>
    <t>Walnut Street_9999_Richland Village_Dallas</t>
  </si>
  <si>
    <t>E:\PropInv\MF\Dallas\Walton Walker_526_Ridgecrest Terrace_Dallas</t>
  </si>
  <si>
    <t>Walton Walker_526_Ridgecrest Terrace_Dallas</t>
  </si>
  <si>
    <t>Walton Walker</t>
  </si>
  <si>
    <t>E:\PropInv\MF\Dallas\Forest Lane_9737_Ridgegate Apartments_Dallas</t>
  </si>
  <si>
    <t>Forest Lane_9737_Ridgegate Apartments_Dallas</t>
  </si>
  <si>
    <t>Ridgegate Apartments</t>
  </si>
  <si>
    <t>E:\PropInv\MF\Dallas\Riverfall Driveve_7879_Riverfall Square_Dallas</t>
  </si>
  <si>
    <t>Riverfall Driveve_7879_Riverfall Square_Dallas</t>
  </si>
  <si>
    <t>Riverfall Driveve</t>
  </si>
  <si>
    <t>E:\PropInv\MF\Dallas\Summerwood Circle_9823_Riverpointe Apartments_Dallas</t>
  </si>
  <si>
    <t>Summerwood Circle_9823_Riverpointe Apartments_Dallas</t>
  </si>
  <si>
    <t>Summerwood Circle</t>
  </si>
  <si>
    <t>Riverpointe Apartments</t>
  </si>
  <si>
    <t>E:\PropInv\MF\Dallas\Audelia Road_12970_Riverwalk Apartments_Dallas</t>
  </si>
  <si>
    <t>Audelia Road_12970_Riverwalk Apartments_Dallas</t>
  </si>
  <si>
    <t>E:\PropInv\MF\Dallas\Travis Street_3530_Riviera at West Village_Dallas</t>
  </si>
  <si>
    <t>Travis Street_3530_Riviera at West Village_Dallas</t>
  </si>
  <si>
    <t>Travis Street</t>
  </si>
  <si>
    <t>E:\PropInv\MF\Dallas\Legendary Lane_3783_Rosa Vista Apartments_Dallas</t>
  </si>
  <si>
    <t>Legendary Lane_3783_Rosa Vista Apartments_Dallas</t>
  </si>
  <si>
    <t>Legendary Lane</t>
  </si>
  <si>
    <t>Rosa Vista Apartments</t>
  </si>
  <si>
    <t>E:\PropInv\MF\Dallas\52nd Street_2121_Rose Garden_Dallas</t>
  </si>
  <si>
    <t>52nd Street_2121_Rose Garden_Dallas</t>
  </si>
  <si>
    <t>E:\PropInv\MF\Dallas\Rosemeade Parkway_3939_Rosemeade Court Apartments_Dallas</t>
  </si>
  <si>
    <t>Rosemeade Parkway_3939_Rosemeade Court Apartments_Dallas</t>
  </si>
  <si>
    <t>Rosemeade Court Apartments</t>
  </si>
  <si>
    <t>E:\PropInv\MF\Dallas\Community Drive_2625_Rush Creek_Dallas</t>
  </si>
  <si>
    <t>Community Drive_2625_Rush Creek_Dallas</t>
  </si>
  <si>
    <t>E:\PropInv\MF\Dallas\Keller Springs Road_5353_Saddle Brook_Dallas</t>
  </si>
  <si>
    <t>Keller Springs Road_5353_Saddle Brook_Dallas</t>
  </si>
  <si>
    <t>Keller Springs Road</t>
  </si>
  <si>
    <t>E:\PropInv\MF\Dallas\Adelta Boulevard_9900_Sage Pointe_Dallas</t>
  </si>
  <si>
    <t>Adelta Boulevard_9900_Sage Pointe_Dallas</t>
  </si>
  <si>
    <t>E:\PropInv\MF\Dallas\Saint Augustine Road North_1198_Saint Augustine_Dallas</t>
  </si>
  <si>
    <t>Saint Augustine Road North_1198_Saint Augustine_Dallas</t>
  </si>
  <si>
    <t>Saint Augustine Road North</t>
  </si>
  <si>
    <t>Saint Augustine</t>
  </si>
  <si>
    <t>E:\PropInv\MF\Dallas\Senate_8943_Saint Francis Apartments_Dallas</t>
  </si>
  <si>
    <t>Senate_8943_Saint Francis Apartments_Dallas</t>
  </si>
  <si>
    <t>Saint Francis Apartments</t>
  </si>
  <si>
    <t>E:\PropInv\MF\Dallas\New Orleans Place_2516_San Carlos_Dallas</t>
  </si>
  <si>
    <t>New Orleans Place_2516_San Carlos_Dallas</t>
  </si>
  <si>
    <t>New Orleans Place</t>
  </si>
  <si>
    <t>E:\PropInv\MF\Dallas\San Jacinto Street_4407_San Jacinto Place_Dallas</t>
  </si>
  <si>
    <t>San Jacinto Street_4407_San Jacinto Place_Dallas</t>
  </si>
  <si>
    <t>E:\PropInv\MF\Dallas\Arroyo Avenue_2600_Savannah Heights_Dallas</t>
  </si>
  <si>
    <t>Arroyo Avenue_2600_Savannah Heights_Dallas</t>
  </si>
  <si>
    <t>Arroyo Avenue</t>
  </si>
  <si>
    <t>Savannah Heights</t>
  </si>
  <si>
    <t>E:\PropInv\MF\Dallas\Ferguson Road_11511_Shadowbrook North Condominiums_Dallas</t>
  </si>
  <si>
    <t>Ferguson Road_11511_Shadowbrook North Condominiums_Dallas</t>
  </si>
  <si>
    <t>Shadowbrook North Condominiums</t>
  </si>
  <si>
    <t>E:\PropInv\MF\Dallas\Peavy Road_2880_Shayona Apartments_Dallas</t>
  </si>
  <si>
    <t>Peavy Road_2880_Shayona Apartments_Dallas</t>
  </si>
  <si>
    <t>Shayona Apartments</t>
  </si>
  <si>
    <t>E:\PropInv\MF\Dallas\Skillman Street_9455_Sienna Springs_Dallas</t>
  </si>
  <si>
    <t>Skillman Street_9455_Sienna Springs_Dallas</t>
  </si>
  <si>
    <t>E:\PropInv\MF\Dallas\Lovers East_5936_Signature Pointe_Dallas</t>
  </si>
  <si>
    <t>Lovers East_5936_Signature Pointe_Dallas</t>
  </si>
  <si>
    <t>Lovers East</t>
  </si>
  <si>
    <t>E:\PropInv\MF\Dallas\Kingsley Road_11100_Silverado Springs_Dallas</t>
  </si>
  <si>
    <t>Kingsley Road_11100_Silverado Springs_Dallas</t>
  </si>
  <si>
    <t>Kingsley Road</t>
  </si>
  <si>
    <t>E:\PropInv\MF\Dallas\Walnut Hill Road_11100_Silverado Springs_Dallas</t>
  </si>
  <si>
    <t>Walnut Hill Road_11100_Silverado Springs_Dallas</t>
  </si>
  <si>
    <t>Walnut Hill Road</t>
  </si>
  <si>
    <t>E:\PropInv\MF\Dallas\Wimbleton Way_4700_Skyline Place_Apartments_Dallas</t>
  </si>
  <si>
    <t>Wimbleton Way_4700_Skyline Place_Apartments_Dallas</t>
  </si>
  <si>
    <t>Skyline Place Apartments</t>
  </si>
  <si>
    <t>E:\PropInv\MF\Dallas\Chariot Drive_8039_Solana Ridge_Dallas</t>
  </si>
  <si>
    <t>Chariot Drive_8039_Solana Ridge_Dallas</t>
  </si>
  <si>
    <t>Chariot Drive</t>
  </si>
  <si>
    <t>E:\PropInv\MF\Dallas\Graycliff Drive_2222_Solara Palms_Dallas</t>
  </si>
  <si>
    <t>Graycliff Drive_2222_Solara Palms_Dallas</t>
  </si>
  <si>
    <t>Graycliff Drive</t>
  </si>
  <si>
    <t>Solara Palms</t>
  </si>
  <si>
    <t>E:\PropInv\MF\Dallas\Plymouth Road North_716_Sonoma Apartments_Dallas</t>
  </si>
  <si>
    <t>Plymouth Road North_716_Sonoma Apartments_Dallas</t>
  </si>
  <si>
    <t>Sonoma Apartments</t>
  </si>
  <si>
    <t>E:\PropInv\MF\Dallas\Chapel Creek Drive_3109_Spanish Creek Apartments_Dallas</t>
  </si>
  <si>
    <t>Chapel Creek Drive_3109_Spanish Creek Apartments_Dallas</t>
  </si>
  <si>
    <t>Spanish Creek Apartments</t>
  </si>
  <si>
    <t>E:\PropInv\MF\Dallas\Royal Lane_2828_Spanish Garden Apartments_Dallas</t>
  </si>
  <si>
    <t>Royal Lane_2828_Spanish Garden Apartments_Dallas</t>
  </si>
  <si>
    <t>Spanish Garden Apartments</t>
  </si>
  <si>
    <t>E:\PropInv\MF\Dallas\Royal Lane_2838_Spanish Garden Apartments_Dallas</t>
  </si>
  <si>
    <t>Royal Lane_2838_Spanish Garden Apartments_Dallas</t>
  </si>
  <si>
    <t>E:\PropInv\MF\Dallas\Ferguson Road_7803_Spring Gardens_Dallas</t>
  </si>
  <si>
    <t>Ferguson Road_7803_Spring Gardens_Dallas</t>
  </si>
  <si>
    <t>E:\PropInv\MF\Dallas\Saint Augustine Drive South_442_Spruce Square_Dallas</t>
  </si>
  <si>
    <t>Saint Augustine Drive South_442_Spruce Square_Dallas</t>
  </si>
  <si>
    <t>Saint Augustine Drive South</t>
  </si>
  <si>
    <t>E:\PropInv\MF\Dallas\Bruton Road_9855_Starr Of Dallas Apartments_Dallas</t>
  </si>
  <si>
    <t>Bruton Road_9855_Starr Of Dallas Apartments_Dallas</t>
  </si>
  <si>
    <t>Starr Of Dallas Apartments</t>
  </si>
  <si>
    <t>E:\PropInv\MF\Dallas\Cole Avenue_4136_Studio Village Townhomes_Dallas</t>
  </si>
  <si>
    <t>Cole Avenue_4136_Studio Village Townhomes_Dallas</t>
  </si>
  <si>
    <t>Cole Avenue</t>
  </si>
  <si>
    <t>Studio Village Townhomes</t>
  </si>
  <si>
    <t>E:\PropInv\MF\Dallas\Rolling Rock Lane_9624_Summer Glen_Dallas</t>
  </si>
  <si>
    <t>Rolling Rock Lane_9624_Summer Glen_Dallas</t>
  </si>
  <si>
    <t>Rolling Rock Lane</t>
  </si>
  <si>
    <t>E:\PropInv\MF\Dallas\Whitehurst Drive_10010_Summer Hill_Dallas</t>
  </si>
  <si>
    <t>Whitehurst Drive_10010_Summer Hill_Dallas</t>
  </si>
  <si>
    <t>Whitehurst Drive</t>
  </si>
  <si>
    <t>Summer Hill</t>
  </si>
  <si>
    <t>E:\PropInv\MF\Dallas\Fair Oaks Avenue_7502_Sundance Apartments_Dallas</t>
  </si>
  <si>
    <t>Fair Oaks Avenue_7502_Sundance Apartments_Dallas</t>
  </si>
  <si>
    <t>Sundance Apartments</t>
  </si>
  <si>
    <t>E:\PropInv\MF\Dallas\Marvin D Love Freeway_7272_Surrey Row_Dallas</t>
  </si>
  <si>
    <t>Marvin D Love Freeway_7272_Surrey Row_Dallas</t>
  </si>
  <si>
    <t>Marvin D Love Freeway</t>
  </si>
  <si>
    <t>E:\PropInv\MF\Dallas\Lahoma Street_5051_Sycamore Tree_Dallas</t>
  </si>
  <si>
    <t>Lahoma Street_5051_Sycamore Tree_Dallas</t>
  </si>
  <si>
    <t>Lahoma Street</t>
  </si>
  <si>
    <t>Sycamore Tree</t>
  </si>
  <si>
    <t>E:\PropInv\MF\Dallas\Melody Lane_6050_Tealwood On The Creek_Dallas</t>
  </si>
  <si>
    <t>Melody Lane_6050_Tealwood On The Creek_Dallas</t>
  </si>
  <si>
    <t>Melody Lane</t>
  </si>
  <si>
    <t>Tealwood On The Creek</t>
  </si>
  <si>
    <t>E:\PropInv\MF\Dallas\Cedar Springs Road_4531_Tecali Apartment Homes_Dallas</t>
  </si>
  <si>
    <t>Cedar Springs Road_4531_Tecali Apartment Homes_Dallas</t>
  </si>
  <si>
    <t>Tecali Apartment Homes</t>
  </si>
  <si>
    <t>E:\PropInv\MF\Dallas\Westmount Avenue_510_Telstar Apartments_Dallas</t>
  </si>
  <si>
    <t>Westmount Avenue_510_Telstar Apartments_Dallas</t>
  </si>
  <si>
    <t>Telstar Apartments</t>
  </si>
  <si>
    <t>E:\PropInv\MF\Dallas\Ledbetter Drive East_1130_Terrace Hills_Dallas</t>
  </si>
  <si>
    <t>Ledbetter Drive East_1130_Terrace Hills_Dallas</t>
  </si>
  <si>
    <t>Ledbetter Drive East</t>
  </si>
  <si>
    <t>E:\PropInv\MF\Dallas\Cedar Springs Road_2215_The Ashton_Dallas</t>
  </si>
  <si>
    <t>Cedar Springs Road_2215_The Ashton_Dallas</t>
  </si>
  <si>
    <t>E:\PropInv\MF\Dallas\Gilbert Avenue_4425_The Bailiwick_Dallas</t>
  </si>
  <si>
    <t>Gilbert Avenue_4425_The Bailiwick_Dallas</t>
  </si>
  <si>
    <t>Gilbert Avenue</t>
  </si>
  <si>
    <t>The Bailiwick</t>
  </si>
  <si>
    <t>E:\PropInv\MF\Dallas\Horizon Parkway North_4341_The Brazos Apartments_Dallas</t>
  </si>
  <si>
    <t>Horizon Parkway North_4341_The Brazos Apartments_Dallas</t>
  </si>
  <si>
    <t>Horizon Parkway North</t>
  </si>
  <si>
    <t>The Brazos Apartments</t>
  </si>
  <si>
    <t>E:\PropInv\MF\Dallas\Univesity Boulevard East_5750_The Carlyle_Dallas</t>
  </si>
  <si>
    <t>Univesity Boulevard East_5750_The Carlyle_Dallas</t>
  </si>
  <si>
    <t>Univesity Boulevard East</t>
  </si>
  <si>
    <t>E:\PropInv\MF\Dallas\Caruth Haven Lane_5445_The Caruth At Lincoln Park_Dallas</t>
  </si>
  <si>
    <t>Caruth Haven Lane_5445_The Caruth At Lincoln Park_Dallas</t>
  </si>
  <si>
    <t>Caruth Haven Lane</t>
  </si>
  <si>
    <t>E:\PropInv\MF\Dallas\Webb Chapel Extension_3130_The Clusters_Dallas</t>
  </si>
  <si>
    <t>Webb Chapel Extension_3130_The Clusters_Dallas</t>
  </si>
  <si>
    <t>The Clusters</t>
  </si>
  <si>
    <t>E:\PropInv\MF\Dallas\Knoll Trail_17250_The Courts At Bent Tree_Dallas</t>
  </si>
  <si>
    <t>Knoll Trail_17250_The Courts At Bent Tree_Dallas</t>
  </si>
  <si>
    <t>Knoll Trail</t>
  </si>
  <si>
    <t>The Courts At Bent Tree</t>
  </si>
  <si>
    <t>E:\PropInv\MF\Dallas\McCallum Boulevard_7777_The Courts of McCallum_Dallas</t>
  </si>
  <si>
    <t>McCallum Boulevard_7777_The Courts of McCallum_Dallas</t>
  </si>
  <si>
    <t>The Courts of McCallum</t>
  </si>
  <si>
    <t>E:\PropInv\MF\Dallas\Reagan Street_2806_The Delano_Dallas</t>
  </si>
  <si>
    <t>Reagan Street_2806_The Delano_Dallas</t>
  </si>
  <si>
    <t>Reagan Street</t>
  </si>
  <si>
    <t>E:\PropInv\MF\Dallas\Henderson Avenue North_2525_The Easton_Dallas</t>
  </si>
  <si>
    <t>Henderson Avenue North_2525_The Easton_Dallas</t>
  </si>
  <si>
    <t>Henderson Avenue North</t>
  </si>
  <si>
    <t>The Easton</t>
  </si>
  <si>
    <t>E:\PropInv\MF\Dallas\Bruton Road_9797_The Falls_Dallas</t>
  </si>
  <si>
    <t>Bruton Road_9797_The Falls_Dallas</t>
  </si>
  <si>
    <t>E:\PropInv\MF\Dallas\Ledbetter Drive East_2805_The Gardens_Dallas</t>
  </si>
  <si>
    <t>Ledbetter Drive East_2805_The Gardens_Dallas</t>
  </si>
  <si>
    <t>E:\PropInv\MF\Dallas\Northwest Highway_3932_The Gates Of Bluffview_Dallas</t>
  </si>
  <si>
    <t>Northwest Highway_3932_The Gates Of Bluffview_Dallas</t>
  </si>
  <si>
    <t>Northwest Highway</t>
  </si>
  <si>
    <t>The Gates Of Bluffview</t>
  </si>
  <si>
    <t>E:\PropInv\MF\Dallas\Hudnall Street_3136_The Hub_Dallas</t>
  </si>
  <si>
    <t>Hudnall Street_3136_The Hub_Dallas</t>
  </si>
  <si>
    <t>The Hub</t>
  </si>
  <si>
    <t>E:\PropInv\MF\Dallas\Wedglea Drive_2511_The Indigo_Dallas</t>
  </si>
  <si>
    <t>Wedglea Drive_2511_The Indigo_Dallas</t>
  </si>
  <si>
    <t>Wedglea Drive</t>
  </si>
  <si>
    <t>E:\PropInv\MF\Dallas\Fair Oaks Avenue_7225_The Ivy_Dallas</t>
  </si>
  <si>
    <t>Fair Oaks Avenue_7225_The Ivy_Dallas</t>
  </si>
  <si>
    <t>E:\PropInv\MF\Dallas\Jupiter Road_12800_The Madison_Dallas</t>
  </si>
  <si>
    <t>Jupiter Road_12800_The Madison_Dallas</t>
  </si>
  <si>
    <t>The Madison</t>
  </si>
  <si>
    <t>E:\PropInv\MF\Dallas\Commerce Street_3800_The Mitchell Lofts_Dallas</t>
  </si>
  <si>
    <t>Commerce Street_3800_The Mitchell Lofts_Dallas</t>
  </si>
  <si>
    <t>Commerce Street</t>
  </si>
  <si>
    <t>The Mitchell Lofts</t>
  </si>
  <si>
    <t>E:\PropInv\MF\Dallas\Whitehurst Drive_9941_The Park On Whitehurst_Dallas</t>
  </si>
  <si>
    <t>Whitehurst Drive_9941_The Park On Whitehurst_Dallas</t>
  </si>
  <si>
    <t>E:\PropInv\MF\Dallas\Chenault Street_1540_The Royal Orleans Apartments_Dallas</t>
  </si>
  <si>
    <t>Chenault Street_1540_The Royal Orleans Apartments_Dallas</t>
  </si>
  <si>
    <t>Chenault Street</t>
  </si>
  <si>
    <t>The Royal Orleans Apartments</t>
  </si>
  <si>
    <t>E:\PropInv\MF\Dallas\Luther Lane_5909_The Shelton_Dallas</t>
  </si>
  <si>
    <t>Luther Lane_5909_The Shelton_Dallas</t>
  </si>
  <si>
    <t>Luther Lane</t>
  </si>
  <si>
    <t>E:\PropInv\MF\Dallas\Timberglen Road_4607_The Verandas at Timberglen_Dallas</t>
  </si>
  <si>
    <t>Timberglen Road_4607_The Verandas at Timberglen_Dallas</t>
  </si>
  <si>
    <t>E:\PropInv\MF\Dallas\Webb Chapel Extension_3435_The Victorian Apartments_Dallas</t>
  </si>
  <si>
    <t>Webb Chapel Extension_3435_The Victorian Apartments_Dallas</t>
  </si>
  <si>
    <t>The Victorian Apartments</t>
  </si>
  <si>
    <t>E:\PropInv\MF\Dallas\Maple Avenue_3200_The Villas at Katy Trail_Dallas</t>
  </si>
  <si>
    <t>Maple Avenue_3200_The Villas at Katy Trail_Dallas</t>
  </si>
  <si>
    <t>Maple Avenue</t>
  </si>
  <si>
    <t>E:\PropInv\MF\Dallas\Hillcrest Road_12660_The Williamburg_Dallas</t>
  </si>
  <si>
    <t>Hillcrest Road_12660_The Williamburg_Dallas</t>
  </si>
  <si>
    <t>Hillcrest Road</t>
  </si>
  <si>
    <t>The Williamburg</t>
  </si>
  <si>
    <t>E:\PropInv\MF\Dallas\Westmoreland Road South_6010_The Woods_Dallas</t>
  </si>
  <si>
    <t>Westmoreland Road South_6010_The Woods_Dallas</t>
  </si>
  <si>
    <t>E:\PropInv\MF\Dallas\Pentagon Parkway_3035_Tierra Linda Apartments_Dallas</t>
  </si>
  <si>
    <t>Pentagon Parkway_3035_Tierra Linda Apartments_Dallas</t>
  </si>
  <si>
    <t>Pentagon Parkway</t>
  </si>
  <si>
    <t>Tierra Linda Apartments</t>
  </si>
  <si>
    <t>E:\PropInv\MF\Dallas\Buckner Boulevard North_2700_Timber Park Apartments_Dallas</t>
  </si>
  <si>
    <t>Buckner Boulevard North_2700_Timber Park Apartments_Dallas</t>
  </si>
  <si>
    <t>Buckner Boulevard North</t>
  </si>
  <si>
    <t>Timber Park Apartments</t>
  </si>
  <si>
    <t>E:\PropInv\MF\Dallas\Cockrell Hill Road South_4105_Timber Rock Apartments_Dallas</t>
  </si>
  <si>
    <t>Cockrell Hill Road South_4105_Timber Rock Apartments_Dallas</t>
  </si>
  <si>
    <t>Cockrell Hill Road South</t>
  </si>
  <si>
    <t>Timber Rock Apartments</t>
  </si>
  <si>
    <t>E:\PropInv\MF\Dallas\Audelia Road_11600_Timberlodge Apartments_Dallas</t>
  </si>
  <si>
    <t>Audelia Road_11600_Timberlodge Apartments_Dallas</t>
  </si>
  <si>
    <t>Timberlodge Apartments</t>
  </si>
  <si>
    <t>E:\PropInv\MF\Dallas\Whitehurst Drive_9850_Timmaron Ridge_Dallas</t>
  </si>
  <si>
    <t>Whitehurst Drive_9850_Timmaron Ridge_Dallas</t>
  </si>
  <si>
    <t>Timmaron Ridge</t>
  </si>
  <si>
    <t>E:\PropInv\MF\Dallas\Park Lane_8620_Towne Center Apartments_Dallas</t>
  </si>
  <si>
    <t>Park Lane_8620_Towne Center Apartments_Dallas</t>
  </si>
  <si>
    <t>Towne Center Apartments</t>
  </si>
  <si>
    <t>E:\PropInv\MF\Dallas\Marsalis Avenue North_926_Townview Apartments_Dallas</t>
  </si>
  <si>
    <t>Marsalis Avenue North_926_Townview Apartments_Dallas</t>
  </si>
  <si>
    <t>Townview Apartments</t>
  </si>
  <si>
    <t>E:\PropInv\MF\Dallas\Fisher Road_6418_Treehaven Apartments_Dallas</t>
  </si>
  <si>
    <t>Fisher Road_6418_Treehaven Apartments_Dallas</t>
  </si>
  <si>
    <t>Fisher Road</t>
  </si>
  <si>
    <t>Treehaven Apartments</t>
  </si>
  <si>
    <t>E:\PropInv\MF\Dallas\Forest Lane_9254_Trinity Forest Condos_Dallas</t>
  </si>
  <si>
    <t>Forest Lane_9254_Trinity Forest Condos_Dallas</t>
  </si>
  <si>
    <t>E:\PropInv\MF\Dallas\Forest Lane_9690_Trinity Palm_Dallas</t>
  </si>
  <si>
    <t>Forest Lane_9690_Trinity Palm_Dallas</t>
  </si>
  <si>
    <t>Trinity Palm</t>
  </si>
  <si>
    <t>E:\PropInv\MF\Dallas\Gaston Avenue_4948-4950_Ventura Apartments_Dallas</t>
  </si>
  <si>
    <t>Gaston Avenue_4948-4950_Ventura Apartments_Dallas</t>
  </si>
  <si>
    <t>Ventura Apartments</t>
  </si>
  <si>
    <t>E:\PropInv\MF\Dallas\Kings Road_2930_Versailles On Cedar Spring_Dallas</t>
  </si>
  <si>
    <t>Kings Road_2930_Versailles On Cedar Spring_Dallas</t>
  </si>
  <si>
    <t>Versailles On Cedar Spring</t>
  </si>
  <si>
    <t>E:\PropInv\MF\Dallas\Fair Oaks Avenue_7319_Vickery Creek Apartments_Dallas</t>
  </si>
  <si>
    <t>Fair Oaks Avenue_7319_Vickery Creek Apartments_Dallas</t>
  </si>
  <si>
    <t>Vickery Creek Apartments</t>
  </si>
  <si>
    <t>E:\PropInv\MF\Dallas\Garrett Avenue North_1919_Villa Garrett_Dallas</t>
  </si>
  <si>
    <t>Garrett Avenue North_1919_Villa Garrett_Dallas</t>
  </si>
  <si>
    <t>E:\PropInv\MF\Dallas\Peavy Road_2815_Villa Serena Apartments_Dallas</t>
  </si>
  <si>
    <t>Peavy Road_2815_Villa Serena Apartments_Dallas</t>
  </si>
  <si>
    <t>Villa Serena Apartments</t>
  </si>
  <si>
    <t>E:\PropInv\MF\Dallas\Amanda Lane_11363_Villa Vista Apartments_Dallas</t>
  </si>
  <si>
    <t>Amanda Lane_11363_Villa Vista Apartments_Dallas</t>
  </si>
  <si>
    <t>Villa Vista Apartments</t>
  </si>
  <si>
    <t>E:\PropInv\MF\Dallas\Overton Road East_3550_Village Oaks_Dallas</t>
  </si>
  <si>
    <t>Overton Road East_3550_Village Oaks_Dallas</t>
  </si>
  <si>
    <t>Overton Road East</t>
  </si>
  <si>
    <t>E:\PropInv\MF\Dallas\Forest Lane_9920_Village Oaks Condos_Dallas</t>
  </si>
  <si>
    <t>Forest Lane_9920_Village Oaks Condos_Dallas</t>
  </si>
  <si>
    <t>Village Oaks Condos</t>
  </si>
  <si>
    <t>E:\PropInv\MF\Dallas\Timberglen Road_3565_Village on Timberglen_Dallas</t>
  </si>
  <si>
    <t>Timberglen Road_3565_Village on Timberglen_Dallas</t>
  </si>
  <si>
    <t>E:\PropInv\MF\Dallas\Throckmorton Street_2612_Village Square Apartments_Dallas</t>
  </si>
  <si>
    <t>Throckmorton Street_2612_Village Square Apartments_Dallas</t>
  </si>
  <si>
    <t>Village Square Apartments</t>
  </si>
  <si>
    <t>E:\PropInv\MF\Dallas\John West Road_1615_Villas At Montierra I_Dallas</t>
  </si>
  <si>
    <t>John West Road_1615_Villas At Montierra I_Dallas</t>
  </si>
  <si>
    <t>E:\PropInv\MF\Dallas\Forest Springs Drive_9475_Villas on Forest Springs Phase II_Dallas</t>
  </si>
  <si>
    <t>Forest Springs Drive_9475_Villas on Forest Springs Phase II_Dallas</t>
  </si>
  <si>
    <t>Forest Springs Drive</t>
  </si>
  <si>
    <t>Villas on Forest Springs Phase II</t>
  </si>
  <si>
    <t>E:\PropInv\MF\Dallas\Maham Road_13350_Vista Buena_Dallas</t>
  </si>
  <si>
    <t>Maham Road_13350_Vista Buena_Dallas</t>
  </si>
  <si>
    <t>E:\PropInv\MF\Dallas\Davis Street West_4599_Vista Of Pinnacle Park_Dallas</t>
  </si>
  <si>
    <t>Davis Street West_4599_Vista Of Pinnacle Park_Dallas</t>
  </si>
  <si>
    <t>Davis Street West</t>
  </si>
  <si>
    <t>Vista Of Pinnacle Park</t>
  </si>
  <si>
    <t>E:\PropInv\MF\Dallas\Fitzhugh Avenue North_2819_Vue Fitzhugh_Dallas</t>
  </si>
  <si>
    <t>Fitzhugh Avenue North_2819_Vue Fitzhugh_Dallas</t>
  </si>
  <si>
    <t>E:\PropInv\MF\Dallas\Greenville Avenue_1811_Vue Greenville_Dallas</t>
  </si>
  <si>
    <t>Greenville Avenue_1811_Vue Greenville_Dallas</t>
  </si>
  <si>
    <t>Greenville Avenue</t>
  </si>
  <si>
    <t>E:\PropInv\MF\Dallas\Ledbetter Drive West_2107_Westridge Apartments_Dallas</t>
  </si>
  <si>
    <t>Ledbetter Drive West_2107_Westridge Apartments_Dallas</t>
  </si>
  <si>
    <t>Ledbetter Drive West</t>
  </si>
  <si>
    <t>Westridge Apartments</t>
  </si>
  <si>
    <t>E:\PropInv\MF\Dallas\Druid Hills Drive_4115_Westridge Apartments_Dallas</t>
  </si>
  <si>
    <t>Druid Hills Drive_4115_Westridge Apartments_Dallas</t>
  </si>
  <si>
    <t>Druid Hills Drive</t>
  </si>
  <si>
    <t>E:\PropInv\MF\Dallas\Webb Chapel Extension_2631_Westwood Apartments_Dallas</t>
  </si>
  <si>
    <t>Webb Chapel Extension_2631_Westwood Apartments_Dallas</t>
  </si>
  <si>
    <t>Westwood Apartments</t>
  </si>
  <si>
    <t>E:\PropInv\MF\Dallas\Cockrell Hill Road South_6910_Whispering Hollow_Dallas</t>
  </si>
  <si>
    <t>Cockrell Hill Road South_6910_Whispering Hollow_Dallas</t>
  </si>
  <si>
    <t>E:\PropInv\MF\Dallas\Norwalk Avenue_3233_Williamstown_Dallas</t>
  </si>
  <si>
    <t>Norwalk Avenue_3233_Williamstown_Dallas</t>
  </si>
  <si>
    <t>E:\PropInv\MF\Dallas\Skillman Street_6910_Willow Park Apartments_Dallas</t>
  </si>
  <si>
    <t>Skillman Street_6910_Willow Park Apartments_Dallas</t>
  </si>
  <si>
    <t>Willow Park Apartments</t>
  </si>
  <si>
    <t>E:\PropInv\MF\Dallas\Abrams Road_6003_Willow Pond Apartments_Dallas</t>
  </si>
  <si>
    <t>Abrams Road_6003_Willow Pond Apartments_Dallas</t>
  </si>
  <si>
    <t>Abrams Road</t>
  </si>
  <si>
    <t>Willow Pond Apartments</t>
  </si>
  <si>
    <t>E:\PropInv\MF\Dallas\University Boulevard_5902_Windsor House_Dallas</t>
  </si>
  <si>
    <t>University Boulevard_5902_Windsor House_Dallas</t>
  </si>
  <si>
    <t>University Boulevard</t>
  </si>
  <si>
    <t>E:\PropInv\MF\Dallas\Altoona Drive_4170_Windsor Townhomes_Dallas</t>
  </si>
  <si>
    <t>Altoona Drive_4170_Windsor Townhomes_Dallas</t>
  </si>
  <si>
    <t>Windsor Townhomes</t>
  </si>
  <si>
    <t>E:\PropInv\MF\Dallas\Skillman Street_8110_Windtree Condominiums_Dallas</t>
  </si>
  <si>
    <t>Skillman Street_8110_Windtree Condominiums_Dallas</t>
  </si>
  <si>
    <t>Windtree Condominiums</t>
  </si>
  <si>
    <t>E:\PropInv\MF\Dallas\Brockbank_9859_Woodland Village_Dallas</t>
  </si>
  <si>
    <t>Brockbank_9859_Woodland Village_Dallas</t>
  </si>
  <si>
    <t>E:\PropInv\MF\Dallas\CF Hawn Freeway_13660_Woodside_Dallas</t>
  </si>
  <si>
    <t>CF Hawn Freeway_13660_Woodside_Dallas</t>
  </si>
  <si>
    <t>E:\PropInv\MF\Dallas\Worth Street_5203_Worth Street Apartments_Dallas</t>
  </si>
  <si>
    <t>Worth Street_5203_Worth Street Apartments_Dallas</t>
  </si>
  <si>
    <t>Worth Street</t>
  </si>
  <si>
    <t>Worth Street Apartments</t>
  </si>
  <si>
    <t>E:\PropInv\MF\Dallas\Ferris Branch Road_9633_Wyndham On The Creek_Dallas</t>
  </si>
  <si>
    <t>Ferris Branch Road_9633_Wyndham On The Creek_Dallas</t>
  </si>
  <si>
    <t>Ferris Branch Road</t>
  </si>
  <si>
    <t>E:\PropInv\MF\Dayton\Waring East_704_Brookhhollow_Dayton</t>
  </si>
  <si>
    <t>Waring East_704_Brookhhollow_Dayton</t>
  </si>
  <si>
    <t>Waring East</t>
  </si>
  <si>
    <t>Brookhhollow</t>
  </si>
  <si>
    <t>E:\PropInv\MF\Deer Park\McDermott Street_401_Deerglen_Deer Park</t>
  </si>
  <si>
    <t>McDermott Street_401_Deerglen_Deer Park</t>
  </si>
  <si>
    <t>McDermott Street</t>
  </si>
  <si>
    <t>E:\PropInv\MF\Denison\Texoma Parkway_3800_Creekmore Apartments_Denison</t>
  </si>
  <si>
    <t>Texoma Parkway_3800_Creekmore Apartments_Denison</t>
  </si>
  <si>
    <t>Texoma Parkway</t>
  </si>
  <si>
    <t>Creekmore Apartments</t>
  </si>
  <si>
    <t>E:\PropInv\MF\Denton\Oak Street West_1616_1616 Oak Street West_Denton</t>
  </si>
  <si>
    <t>Oak Street West_1616_1616 Oak Street West_Denton</t>
  </si>
  <si>
    <t>Oak Street West</t>
  </si>
  <si>
    <t>1616 Oak Street West</t>
  </si>
  <si>
    <t>E:\PropInv\MF\Denton\Avenue F_224_224 Avenue F Apartments_Denton</t>
  </si>
  <si>
    <t>Avenue F_224_224 Avenue F Apartments_Denton</t>
  </si>
  <si>
    <t>224 Avenue F Apartments</t>
  </si>
  <si>
    <t>E:\PropInv\MF\Denton\Fallmeadow_3211_3211 Fallmeadow 4 Plex_Denton</t>
  </si>
  <si>
    <t>Fallmeadow_3211_3211 Fallmeadow 4 Plex_Denton</t>
  </si>
  <si>
    <t>Fallmeadow</t>
  </si>
  <si>
    <t>3211 Fallmeadow 4 Plex</t>
  </si>
  <si>
    <t>E:\PropInv\MF\Denton\Bryan Street_410_410 Bryan Street_Denton</t>
  </si>
  <si>
    <t>Bryan Street_410_410 Bryan Street_Denton</t>
  </si>
  <si>
    <t>410 Bryan Street</t>
  </si>
  <si>
    <t>E:\PropInv\MF\Denton\Londonderry Lane_501_501 Londonderry_Denton</t>
  </si>
  <si>
    <t>Londonderry Lane_501_501 Londonderry_Denton</t>
  </si>
  <si>
    <t>Londonderry Lane</t>
  </si>
  <si>
    <t>501 Londonderry</t>
  </si>
  <si>
    <t>E:\PropInv\MF\Denton\Joyce Lane_3401_Autumn Ridge Apartments_Denton</t>
  </si>
  <si>
    <t>Joyce Lane_3401_Autumn Ridge Apartments_Denton</t>
  </si>
  <si>
    <t>Joyce Lane</t>
  </si>
  <si>
    <t>Autumn Ridge Apartments</t>
  </si>
  <si>
    <t>E:\PropInv\MF\Denton\Bell Avenue North_816_Bellmere Apartments_Denton</t>
  </si>
  <si>
    <t>Bell Avenue North_816_Bellmere Apartments_Denton</t>
  </si>
  <si>
    <t>Bell Avenue North</t>
  </si>
  <si>
    <t>Bellmere Apartments</t>
  </si>
  <si>
    <t>E:\PropInv\MF\Denton\Bernard Street_2406_Bernard Street Duplexes_Denton</t>
  </si>
  <si>
    <t>Bernard Street_2406_Bernard Street Duplexes_Denton</t>
  </si>
  <si>
    <t>Bernard Street</t>
  </si>
  <si>
    <t>Bernard Street Duplexes</t>
  </si>
  <si>
    <t>E:\PropInv\MF\Denton\Bonnie Bare South_101-121_Bonnie Green Apartments_Denton</t>
  </si>
  <si>
    <t>Bonnie Bare South_101-121_Bonnie Green Apartments_Denton</t>
  </si>
  <si>
    <t>Bonnie Bare South</t>
  </si>
  <si>
    <t>101-121</t>
  </si>
  <si>
    <t>Bonnie Green Apartments</t>
  </si>
  <si>
    <t>E:\PropInv\MF\Denton\Bonnie Brae Street_121-A_Bonnie Green Apartments_Denton</t>
  </si>
  <si>
    <t>Bonnie Brae Street_121-A_Bonnie Green Apartments_Denton</t>
  </si>
  <si>
    <t>Bonnie Brae Street</t>
  </si>
  <si>
    <t>121-A</t>
  </si>
  <si>
    <t>E:\PropInv\MF\Denton\Fulton Street_425_Cabernet Apartments_Denton</t>
  </si>
  <si>
    <t>Fulton Street_425_Cabernet Apartments_Denton</t>
  </si>
  <si>
    <t>Fulton Street</t>
  </si>
  <si>
    <t>Cabernet Apartments</t>
  </si>
  <si>
    <t>E:\PropInv\MF\Denton\Charlotte Street_2422-2428_Charlotte Place Apartments_Denton</t>
  </si>
  <si>
    <t>Charlotte Street_2422-2428_Charlotte Place Apartments_Denton</t>
  </si>
  <si>
    <t>Charlotte Street</t>
  </si>
  <si>
    <t>2422-2428</t>
  </si>
  <si>
    <t>Charlotte Place Apartments</t>
  </si>
  <si>
    <t>E:\PropInv\MF\Denton\Coronado Road_113_Coronado Villas_Denton</t>
  </si>
  <si>
    <t>Coronado Road_113_Coronado Villas_Denton</t>
  </si>
  <si>
    <t>Coronado Road</t>
  </si>
  <si>
    <t>E:\PropInv\MF\Denton\Cornado_201_Country Place_Denton</t>
  </si>
  <si>
    <t>Cornado_201_Country Place_Denton</t>
  </si>
  <si>
    <t>Cornado</t>
  </si>
  <si>
    <t>E:\PropInv\MF\Denton\Hercules Lane_709_Crystalwood Apartments_Denton</t>
  </si>
  <si>
    <t>Hercules Lane_709_Crystalwood Apartments_Denton</t>
  </si>
  <si>
    <t>Hercules Lane</t>
  </si>
  <si>
    <t>Crystalwood Apartments</t>
  </si>
  <si>
    <t>E:\PropInv\MF\Denton\Stuart Road_3815_Crystalwood Apartments_Denton</t>
  </si>
  <si>
    <t>Stuart Road_3815_Crystalwood Apartments_Denton</t>
  </si>
  <si>
    <t>Stuart Road</t>
  </si>
  <si>
    <t>E:\PropInv\MF\Denton\Eagle Drive_603_Eagle's Nest Apartments_Denton</t>
  </si>
  <si>
    <t>Eagle Drive_603_Eagle's Nest Apartments_Denton</t>
  </si>
  <si>
    <t>Eagle Drive</t>
  </si>
  <si>
    <t>Eagle's Nest Apartments</t>
  </si>
  <si>
    <t>E:\PropInv\MF\Denton\Fallmeadow Court_612_Fallmeadow_Denton</t>
  </si>
  <si>
    <t>Fallmeadow Court_612_Fallmeadow_Denton</t>
  </si>
  <si>
    <t>Fallmeadow Court</t>
  </si>
  <si>
    <t>E:\PropInv\MF\Denton\Westminister Street_1810_Forest Ridge Apartments_Denton</t>
  </si>
  <si>
    <t>Westminister Street_1810_Forest Ridge Apartments_Denton</t>
  </si>
  <si>
    <t>Westminister Street</t>
  </si>
  <si>
    <t>Forest Ridge Apartments</t>
  </si>
  <si>
    <t>E:\PropInv\MF\Denton\Fort Worth_701_Former Home Depot_Denton</t>
  </si>
  <si>
    <t>Fort Worth_701_Former Home Depot_Denton</t>
  </si>
  <si>
    <t>E:\PropInv\MF\Denton\Bell Avenue North_2421_Foxfire Apartments_Denton</t>
  </si>
  <si>
    <t>Bell Avenue North_2421_Foxfire Apartments_Denton</t>
  </si>
  <si>
    <t>E:\PropInv\MF\Denton\Avenue G_223-305_Grace I &amp; II_Denton</t>
  </si>
  <si>
    <t>Avenue G_223-305_Grace I &amp; II_Denton</t>
  </si>
  <si>
    <t>Avenue G</t>
  </si>
  <si>
    <t>E:\PropInv\MF\Denton\Londonderry Lane_900_Holly Hills Apartments_Denton</t>
  </si>
  <si>
    <t>Londonderry Lane_900_Holly Hills Apartments_Denton</t>
  </si>
  <si>
    <t>Holly Hills Apartments</t>
  </si>
  <si>
    <t>E:\PropInv\MF\Denton\Hickory Street West_2211_Hunt Club Apartments_Denton</t>
  </si>
  <si>
    <t>Hickory Street West_2211_Hunt Club Apartments_Denton</t>
  </si>
  <si>
    <t>Hickory Street West</t>
  </si>
  <si>
    <t>Hunt Club Apartments</t>
  </si>
  <si>
    <t>E:\PropInv\MF\Denton\Teasley Lane_2007_La Prairie_Denton</t>
  </si>
  <si>
    <t>Teasley Lane_2007_La Prairie_Denton</t>
  </si>
  <si>
    <t>Teasley Lane</t>
  </si>
  <si>
    <t>E:\PropInv\MF\Denton\Bell Avenue North_2211-2221_Oaklawn Gardens_Denton</t>
  </si>
  <si>
    <t>Bell Avenue North_2211-2221_Oaklawn Gardens_Denton</t>
  </si>
  <si>
    <t>E:\PropInv\MF\Denton\Mayhill South_2601_Pecan Creek_Denton</t>
  </si>
  <si>
    <t>Mayhill South_2601_Pecan Creek_Denton</t>
  </si>
  <si>
    <t>Mayhill South</t>
  </si>
  <si>
    <t>E:\PropInv\MF\Denton\Prairie Street West_2626_Prairie Hollow_Denton</t>
  </si>
  <si>
    <t>Prairie Street West_2626_Prairie Hollow_Denton</t>
  </si>
  <si>
    <t>Prairie Street West</t>
  </si>
  <si>
    <t>E:\PropInv\MF\Denton\Bernard Street_1407_Ramsgate_Denton</t>
  </si>
  <si>
    <t>Bernard Street_1407_Ramsgate_Denton</t>
  </si>
  <si>
    <t>E:\PropInv\MF\Denton\Charlotte_2409-2413_Scholars Inn_Denton</t>
  </si>
  <si>
    <t>Charlotte_2409-2413_Scholars Inn_Denton</t>
  </si>
  <si>
    <t>E:\PropInv\MF\Denton\288 Loop North_307_Singing Oaks_Denton</t>
  </si>
  <si>
    <t>288 Loop North_307_Singing Oaks_Denton</t>
  </si>
  <si>
    <t>288 Loop North</t>
  </si>
  <si>
    <t>Singing Oaks</t>
  </si>
  <si>
    <t>E:\PropInv\MF\Denton\Louise Street_2425_The Arbor_Denton</t>
  </si>
  <si>
    <t>Louise Street_2425_The Arbor_Denton</t>
  </si>
  <si>
    <t>Louise Street</t>
  </si>
  <si>
    <t>E:\PropInv\MF\Denton\McKinney Street East_1610_The Parks of Denton_Denton</t>
  </si>
  <si>
    <t>McKinney Street East_1610_The Parks of Denton_Denton</t>
  </si>
  <si>
    <t>McKinney Street East</t>
  </si>
  <si>
    <t>E:\PropInv\MF\Denton\Eagle Drive_1112_The Village Apartments_Denton</t>
  </si>
  <si>
    <t>Eagle Drive_1112_The Village Apartments_Denton</t>
  </si>
  <si>
    <t>The Village Apartments</t>
  </si>
  <si>
    <t>E:\PropInv\MF\Denton\Village Street East_1700_Village East Apartments_Denton</t>
  </si>
  <si>
    <t>Village Street East_1700_Village East Apartments_Denton</t>
  </si>
  <si>
    <t>Village Street East</t>
  </si>
  <si>
    <t>Village East Apartments</t>
  </si>
  <si>
    <t>E:\PropInv\MF\Denton\Vine Street_902_Vinelands Apartments_Denton</t>
  </si>
  <si>
    <t>Vine Street_902_Vinelands Apartments_Denton</t>
  </si>
  <si>
    <t>Vine Street</t>
  </si>
  <si>
    <t>Vinelands Apartments</t>
  </si>
  <si>
    <t>E:\PropInv\MF\Denton\Windsor Drive East_521_Windsor Village_Denton</t>
  </si>
  <si>
    <t>Windsor Drive East_521_Windsor Village_Denton</t>
  </si>
  <si>
    <t>Windsor Drive East</t>
  </si>
  <si>
    <t>E:\PropInv\MF\Denton\Teasley Lane_1408_Woodhill_Denton</t>
  </si>
  <si>
    <t>Teasley Lane_1408_Woodhill_Denton</t>
  </si>
  <si>
    <t>E:\PropInv\MF\DeSoto\Belt Line Road East_510_Cottonwood Apartments_DeSoto</t>
  </si>
  <si>
    <t>Belt Line Road East_510_Cottonwood Apartments_DeSoto</t>
  </si>
  <si>
    <t>Belt Line Road East</t>
  </si>
  <si>
    <t>Cottonwood Apartments</t>
  </si>
  <si>
    <t>E:\PropInv\MF\DeSoto\Polk Street South_801_Desoto Ranch_DeSoto</t>
  </si>
  <si>
    <t>Polk Street South_801_Desoto Ranch_DeSoto</t>
  </si>
  <si>
    <t>Desoto Ranch</t>
  </si>
  <si>
    <t>E:\PropInv\MF\DeSoto\Pleasant Run Road East_207_DeSoto Town Center_DeSoto</t>
  </si>
  <si>
    <t>Pleasant Run Road East_207_DeSoto Town Center_DeSoto</t>
  </si>
  <si>
    <t>Pleasant Run Road East</t>
  </si>
  <si>
    <t>DeSoto Town Center</t>
  </si>
  <si>
    <t>E:\PropInv\MF\DeSoto\Hampton North_518_Hampton Gardens Apartments_DeSoto</t>
  </si>
  <si>
    <t>Hampton North_518_Hampton Gardens Apartments_DeSoto</t>
  </si>
  <si>
    <t>Hampton Gardens Apartments</t>
  </si>
  <si>
    <t>E:\PropInv\MF\DeSoto\Hampton Road North_1369_Las Casitas_DeSoto</t>
  </si>
  <si>
    <t>Hampton Road North_1369_Las Casitas_DeSoto</t>
  </si>
  <si>
    <t>Hampton Road North</t>
  </si>
  <si>
    <t>E:\PropInv\MF\DeSoto\Pleasant Run Road East_1225_Pecan Crossing_DeSoto</t>
  </si>
  <si>
    <t>Pleasant Run Road East_1225_Pecan Crossing_DeSoto</t>
  </si>
  <si>
    <t>E:\PropInv\MF\DeSoto\Pecan Crossing_1021_South Point_DeSoto</t>
  </si>
  <si>
    <t>Pecan Crossing_1021_South Point_DeSoto</t>
  </si>
  <si>
    <t>E:\PropInv\MF\DeSoto\Westridge_1207_Westridge Apartments_DeSoto</t>
  </si>
  <si>
    <t>Westridge_1207_Westridge Apartments_DeSoto</t>
  </si>
  <si>
    <t>E:\PropInv\MF\Dickinson\Deats Road_110_Bayou Village_Dickinson</t>
  </si>
  <si>
    <t>Deats Road_110_Bayou Village_Dickinson</t>
  </si>
  <si>
    <t>Deats Road</t>
  </si>
  <si>
    <t>E:\PropInv\MF\Dickinson\517 FM Road South_5301_Green River Townhomes_Dickinson</t>
  </si>
  <si>
    <t>517 FM Road South_5301_Green River Townhomes_Dickinson</t>
  </si>
  <si>
    <t>517 FM Road South</t>
  </si>
  <si>
    <t>Green River Townhomes</t>
  </si>
  <si>
    <t>E:\PropInv\MF\Dickinson\Deats Road_406_Pine Forest_Dickinson</t>
  </si>
  <si>
    <t>Deats Road_406_Pine Forest_Dickinson</t>
  </si>
  <si>
    <t>E:\PropInv\MF\Dickinson\517 Highway East_5425_Wise Investments_Dickinson</t>
  </si>
  <si>
    <t>517 Highway East_5425_Wise Investments_Dickinson</t>
  </si>
  <si>
    <t>517 Highway East</t>
  </si>
  <si>
    <t>E:\PropInv\MF\Dumas\Maddox South_1301_Harmanywood and Tiffanywood_Dumas</t>
  </si>
  <si>
    <t>Maddox South_1301_Harmanywood and Tiffanywood_Dumas</t>
  </si>
  <si>
    <t>Maddox South</t>
  </si>
  <si>
    <t>Harmanywood and Tiffanywood</t>
  </si>
  <si>
    <t>E:\PropInv\MF\Duncanville\67 US Highway East_250_Bella Ruscello Luxury Apartment Homes_Duncanville</t>
  </si>
  <si>
    <t>67 US Highway East_250_Bella Ruscello Luxury Apartment Homes_Duncanville</t>
  </si>
  <si>
    <t>67 US Highway East</t>
  </si>
  <si>
    <t>Bella Ruscello Luxury Apartment Homes</t>
  </si>
  <si>
    <t>E:\PropInv\MF\Duncanville\Acton Avenue_1407_Candlelight Park_Duncanville</t>
  </si>
  <si>
    <t>Acton Avenue_1407_Candlelight Park_Duncanville</t>
  </si>
  <si>
    <t>Acton Avenue</t>
  </si>
  <si>
    <t>E:\PropInv\MF\Duncanville\Acton Avenue_1402_Candlelight Park Apartments_Duncanville</t>
  </si>
  <si>
    <t>Acton Avenue_1402_Candlelight Park Apartments_Duncanville</t>
  </si>
  <si>
    <t>Candlelight Park Apartments</t>
  </si>
  <si>
    <t>E:\PropInv\MF\Duncanville\Main Street South_1303_Main Park Apartments_Duncanville</t>
  </si>
  <si>
    <t>Main Street South_1303_Main Park Apartments_Duncanville</t>
  </si>
  <si>
    <t>Main Street South</t>
  </si>
  <si>
    <t>Main Park Apartments</t>
  </si>
  <si>
    <t>E:\PropInv\MF\Duncanville\Merrill Avenue North_400_Merrill Square_Duncanville</t>
  </si>
  <si>
    <t>Merrill Avenue North_400_Merrill Square_Duncanville</t>
  </si>
  <si>
    <t>Merrill Avenue North</t>
  </si>
  <si>
    <t>E:\PropInv\MF\Duncanville\Country Bend_103_Townhouse Portfolio_Duncanville</t>
  </si>
  <si>
    <t>Country Bend_103_Townhouse Portfolio_Duncanville</t>
  </si>
  <si>
    <t>Townhouse Portfolio</t>
  </si>
  <si>
    <t>E:\PropInv\MF\Duncanville\Center Street West_603_Westwood Townhomes_Duncanville</t>
  </si>
  <si>
    <t>Center Street West_603_Westwood Townhomes_Duncanville</t>
  </si>
  <si>
    <t>Center Street West</t>
  </si>
  <si>
    <t>Westwood Townhomes</t>
  </si>
  <si>
    <t>E:\PropInv\MF\Eastland\Sadosa Street West_600_Eastland Village Apartments_Eastland</t>
  </si>
  <si>
    <t>Sadosa Street West_600_Eastland Village Apartments_Eastland</t>
  </si>
  <si>
    <t>Sadosa Street West</t>
  </si>
  <si>
    <t>Eastland Village Apartments</t>
  </si>
  <si>
    <t>E:\PropInv\MF\Edna\Wells Street North_1400_Cottonwood Apartment(Portfolio Sale 4)_Edna</t>
  </si>
  <si>
    <t>Wells Street North_1400_Cottonwood Apartment(Portfolio Sale 4)_Edna</t>
  </si>
  <si>
    <t>Wells Street North</t>
  </si>
  <si>
    <t>Cottonwood Apartment(Portfolio Sale 4)</t>
  </si>
  <si>
    <t>Edna</t>
  </si>
  <si>
    <t>E:\PropInv\MF\El Paso\Viscount Boulevard_7900_Arbor Vista_El Paso</t>
  </si>
  <si>
    <t>Viscount Boulevard_7900_Arbor Vista_El Paso</t>
  </si>
  <si>
    <t>Viscount Boulevard</t>
  </si>
  <si>
    <t>E:\PropInv\MF\El Paso\Argonaut Street_213_Argonaut Heights_El Paso</t>
  </si>
  <si>
    <t>Argonaut Street_213_Argonaut Heights_El Paso</t>
  </si>
  <si>
    <t>Argonaut Street</t>
  </si>
  <si>
    <t>E:\PropInv\MF\El Paso\Hercules_4554_Athen's Gate_El Paso</t>
  </si>
  <si>
    <t>Hercules_4554_Athen's Gate_El Paso</t>
  </si>
  <si>
    <t>E:\PropInv\MF\El Paso\McCombs Street_9960_Autumn Manor Apartments_El Paso</t>
  </si>
  <si>
    <t>McCombs Street_9960_Autumn Manor Apartments_El Paso</t>
  </si>
  <si>
    <t>McCombs Street</t>
  </si>
  <si>
    <t>Autumn Manor Apartments</t>
  </si>
  <si>
    <t>E:\PropInv\MF\El Paso\Shadow Mountain_272_Coronado Hills Resort_El Paso</t>
  </si>
  <si>
    <t>Shadow Mountain_272_Coronado Hills Resort_El Paso</t>
  </si>
  <si>
    <t>E:\PropInv\MF\El Paso\Lee Trevino North_1750_Fairway View Estates FSBO Principals Only_El Paso</t>
  </si>
  <si>
    <t>Lee Trevino North_1750_Fairway View Estates FSBO Principals Only_El Paso</t>
  </si>
  <si>
    <t>Lee Trevino North</t>
  </si>
  <si>
    <t>Fairway View Estates FSBO Principals Only</t>
  </si>
  <si>
    <t>E:\PropInv\MF\El Paso\Rubin Court_500_Las Lomas Apartments_El Paso</t>
  </si>
  <si>
    <t>Rubin Court_500_Las Lomas Apartments_El Paso</t>
  </si>
  <si>
    <t>Rubin Court</t>
  </si>
  <si>
    <t>Las Lomas Apartments</t>
  </si>
  <si>
    <t>E:\PropInv\MF\El Paso\Desert Pass Street_200_Legends Of El Paso_El Paso</t>
  </si>
  <si>
    <t>Desert Pass Street_200_Legends Of El Paso_El Paso</t>
  </si>
  <si>
    <t>Desert Pass Street</t>
  </si>
  <si>
    <t>Legends Of El Paso</t>
  </si>
  <si>
    <t>E:\PropInv\MF\El Paso\Zion Lane_3334_Mountain Plaza FSBO principals only pls_El Paso</t>
  </si>
  <si>
    <t>Zion Lane_3334_Mountain Plaza FSBO principals only pls_El Paso</t>
  </si>
  <si>
    <t>Zion Lane</t>
  </si>
  <si>
    <t>Mountain Plaza FSBO principals only pls</t>
  </si>
  <si>
    <t>E:\PropInv\MF\El Paso\Will Ruth Avenue_5757_Mountain Vista Apartments_El Paso</t>
  </si>
  <si>
    <t>Will Ruth Avenue_5757_Mountain Vista Apartments_El Paso</t>
  </si>
  <si>
    <t>Will Ruth Avenue</t>
  </si>
  <si>
    <t>Mountain Vista Apartments</t>
  </si>
  <si>
    <t>E:\PropInv\MF\El Paso\Jon Cunningham Boulevard_4495_North Hills Village_El Paso</t>
  </si>
  <si>
    <t>Jon Cunningham Boulevard_4495_North Hills Village_El Paso</t>
  </si>
  <si>
    <t>Jon Cunningham Boulevard</t>
  </si>
  <si>
    <t>E:\PropInv\MF\El Paso\Dyer Street_9550_Raintree Village Apartments_El Paso</t>
  </si>
  <si>
    <t>Dyer Street_9550_Raintree Village Apartments_El Paso</t>
  </si>
  <si>
    <t>Dyer Street</t>
  </si>
  <si>
    <t>Raintree Village Apartments</t>
  </si>
  <si>
    <t>E:\PropInv\MF\El Paso\Vista Del Sol_10701_Ridgemar Apartments_El Paso</t>
  </si>
  <si>
    <t>Vista Del Sol_10701_Ridgemar Apartments_El Paso</t>
  </si>
  <si>
    <t>Ridgemar Apartments</t>
  </si>
  <si>
    <t>E:\PropInv\MF\El Paso\Fairbanks Drive_5205_Rushfair Villa_El Paso</t>
  </si>
  <si>
    <t>Fairbanks Drive_5205_Rushfair Villa_El Paso</t>
  </si>
  <si>
    <t>Fairbanks Drive</t>
  </si>
  <si>
    <t>E:\PropInv\MF\El Paso\Mesa Hills Drive South_601_Ryan's Mill_El Paso</t>
  </si>
  <si>
    <t>Mesa Hills Drive South_601_Ryan's Mill_El Paso</t>
  </si>
  <si>
    <t>Mesa Hills Drive South</t>
  </si>
  <si>
    <t>E:\PropInv\MF\El Paso\Shadow Mountain_345_The Crest of Shadow Mountain_El Paso</t>
  </si>
  <si>
    <t>Shadow Mountain_345_The Crest of Shadow Mountain_El Paso</t>
  </si>
  <si>
    <t>E:\PropInv\MF\El Paso\Miracle Way_1435_The Monterrey Portfolio_El Paso</t>
  </si>
  <si>
    <t>Miracle Way_1435_The Monterrey Portfolio_El Paso</t>
  </si>
  <si>
    <t>Miracle Way</t>
  </si>
  <si>
    <t>The Monterrey Portfolio</t>
  </si>
  <si>
    <t>E:\PropInv\MF\El Paso\Mesa Hills Drive South_415_The Tuscany at Mesa Hills_El Paso</t>
  </si>
  <si>
    <t>Mesa Hills Drive South_415_The Tuscany at Mesa Hills_El Paso</t>
  </si>
  <si>
    <t>E:\PropInv\MF\El Paso\Trawood Drive_2990_The Wind Tree Apartments_El Paso</t>
  </si>
  <si>
    <t>Trawood Drive_2990_The Wind Tree Apartments_El Paso</t>
  </si>
  <si>
    <t>Trawood Drive</t>
  </si>
  <si>
    <t>The Wind Tree Apartments</t>
  </si>
  <si>
    <t>E:\PropInv\MF\El Paso\Mesa Hills Drive South_734_West Town Apartments_El Paso</t>
  </si>
  <si>
    <t>Mesa Hills Drive South_734_West Town Apartments_El Paso</t>
  </si>
  <si>
    <t>West Town Apartments</t>
  </si>
  <si>
    <t>E:\PropInv\MF\El Paso\Schuster Avenue_300_Williamsburg Apartment Group_El Paso</t>
  </si>
  <si>
    <t>Schuster Avenue_300_Williamsburg Apartment Group_El Paso</t>
  </si>
  <si>
    <t>Schuster Avenue</t>
  </si>
  <si>
    <t>Williamsburg Apartment Group</t>
  </si>
  <si>
    <t>E:\PropInv\MF\Ennis\Cardinal East_1303-1701_1303-1701 Cardinal East_Ennis</t>
  </si>
  <si>
    <t>Cardinal East_1303-1701_1303-1701 Cardinal East_Ennis</t>
  </si>
  <si>
    <t>Cardinal East</t>
  </si>
  <si>
    <t>1303-1701 Cardinal East</t>
  </si>
  <si>
    <t>E:\PropInv\MF\Ennis\45 Interstate Highway North_901_Bluebonnet Place_Ennis</t>
  </si>
  <si>
    <t>45 Interstate Highway North_901_Bluebonnet Place_Ennis</t>
  </si>
  <si>
    <t>45 Interstate Highway North</t>
  </si>
  <si>
    <t>E:\PropInv\MF\Ennis\Lake Bardwell Drive_1600_Oak Timbers_Ennis</t>
  </si>
  <si>
    <t>Lake Bardwell Drive_1600_Oak Timbers_Ennis</t>
  </si>
  <si>
    <t>Lake Bardwell Drive</t>
  </si>
  <si>
    <t>E:\PropInv\MF\Ennis\Yorkstown Drive_2300_The Willows Apartments_Ennis</t>
  </si>
  <si>
    <t>Yorkstown Drive_2300_The Willows Apartments_Ennis</t>
  </si>
  <si>
    <t>Yorkstown Drive</t>
  </si>
  <si>
    <t>The Willows Apartments</t>
  </si>
  <si>
    <t>E:\PropInv\MF\Ennis\Biloxi Drive_1001_Townhouse Apartments_Ennis</t>
  </si>
  <si>
    <t>Biloxi Drive_1001_Townhouse Apartments_Ennis</t>
  </si>
  <si>
    <t>Biloxi Drive</t>
  </si>
  <si>
    <t>Townhouse Apartments</t>
  </si>
  <si>
    <t>E:\PropInv\MF\Euless\Del Paso Street_605_Bear Creek Apartment Homes_Euless</t>
  </si>
  <si>
    <t>Del Paso Street_605_Bear Creek Apartment Homes_Euless</t>
  </si>
  <si>
    <t>Del Paso Street</t>
  </si>
  <si>
    <t>Bear Creek Apartment Homes</t>
  </si>
  <si>
    <t>E:\PropInv\MF\Euless\Harwood Road East_500_Bear Creek Villas_Euless</t>
  </si>
  <si>
    <t>Harwood Road East_500_Bear Creek Villas_Euless</t>
  </si>
  <si>
    <t>Harwood Road East</t>
  </si>
  <si>
    <t>E:\PropInv\MF\Euless\Alexander Lane East_505_Emerald Gardens Apartments_Euless</t>
  </si>
  <si>
    <t>Alexander Lane East_505_Emerald Gardens Apartments_Euless</t>
  </si>
  <si>
    <t>Alexander Lane East</t>
  </si>
  <si>
    <t>Emerald Gardens Apartments</t>
  </si>
  <si>
    <t>E:\PropInv\MF\Euless\Raider Drive_1304_Euless Square_Euless</t>
  </si>
  <si>
    <t>Raider Drive_1304_Euless Square_Euless</t>
  </si>
  <si>
    <t>Raider Drive</t>
  </si>
  <si>
    <t>E:\PropInv\MF\Euless\Vine Street_306_Hillside Village Apartments_Euless</t>
  </si>
  <si>
    <t>Vine Street_306_Hillside Village Apartments_Euless</t>
  </si>
  <si>
    <t>Hillside Village Apartments</t>
  </si>
  <si>
    <t>E:\PropInv\MF\Euless\Del Paso Street_917_Mission Pointe Club_Euless</t>
  </si>
  <si>
    <t>Del Paso Street_917_Mission Pointe Club_Euless</t>
  </si>
  <si>
    <t>E:\PropInv\MF\Euless\Ash Lane East_700_Norstar At Bear Creek_Euless</t>
  </si>
  <si>
    <t>Ash Lane East_700_Norstar At Bear Creek_Euless</t>
  </si>
  <si>
    <t>Ash Lane East</t>
  </si>
  <si>
    <t>Norstar At Bear Creek</t>
  </si>
  <si>
    <t>E:\PropInv\MF\Euless\Post Oak Boulevard_3700_Paradise Hills_Euless</t>
  </si>
  <si>
    <t>Post Oak Boulevard_3700_Paradise Hills_Euless</t>
  </si>
  <si>
    <t>Post Oak Boulevard</t>
  </si>
  <si>
    <t>E:\PropInv\MF\Euless\Martha Street_309_Royal Terrace_Euless</t>
  </si>
  <si>
    <t>Martha Street_309_Royal Terrace_Euless</t>
  </si>
  <si>
    <t>Martha Street</t>
  </si>
  <si>
    <t>E:\PropInv\MF\Euless\Industrial Boulevard South_311_Shadow Creek Apartments_Euless</t>
  </si>
  <si>
    <t>Industrial Boulevard South_311_Shadow Creek Apartments_Euless</t>
  </si>
  <si>
    <t>Industrial Boulevard South</t>
  </si>
  <si>
    <t>E:\PropInv\MF\Euless\Norman Drive_304_Southwest Apartments_Euless</t>
  </si>
  <si>
    <t>Norman Drive_304_Southwest Apartments_Euless</t>
  </si>
  <si>
    <t>Norman Drive</t>
  </si>
  <si>
    <t>Southwest Apartments</t>
  </si>
  <si>
    <t>E:\PropInv\MF\Euless\Fair Oaks Boulevard_301_The Lodge At Main_Euless</t>
  </si>
  <si>
    <t>Fair Oaks Boulevard_301_The Lodge At Main_Euless</t>
  </si>
  <si>
    <t>Fair Oaks Boulevard</t>
  </si>
  <si>
    <t>The Lodge At Main</t>
  </si>
  <si>
    <t>E:\PropInv\MF\Euless\Post Oak Boulevard_3808_The Village on Post Oak_Euless</t>
  </si>
  <si>
    <t>Post Oak Boulevard_3808_The Village on Post Oak_Euless</t>
  </si>
  <si>
    <t>E:\PropInv\MF\Euless\Del Paso Street_601_Twin Bridge Apartments_Euless</t>
  </si>
  <si>
    <t>Del Paso Street_601_Twin Bridge Apartments_Euless</t>
  </si>
  <si>
    <t>Twin Bridge Apartments</t>
  </si>
  <si>
    <t>E:\PropInv\MF\Euless\Ash Lane East_1000_Woodchase_Euless</t>
  </si>
  <si>
    <t>Ash Lane East_1000_Woodchase_Euless</t>
  </si>
  <si>
    <t>E:\PropInv\MF\Everman\Michael Drive_9301_Varaison Village Apartments_Everman</t>
  </si>
  <si>
    <t>Michael Drive_9301_Varaison Village Apartments_Everman</t>
  </si>
  <si>
    <t>Michael Drive</t>
  </si>
  <si>
    <t>Varaison Village Apartments</t>
  </si>
  <si>
    <t>E:\PropInv\MF\Farmers Branch\Cookscreek Place_2706_Cooks Creek_Farmers Branch</t>
  </si>
  <si>
    <t>Cookscreek Place_2706_Cooks Creek_Farmers Branch</t>
  </si>
  <si>
    <t>Cooks Creek</t>
  </si>
  <si>
    <t>E:\PropInv\MF\Farmers Branch\Enterprise Drive_14802_Huntington Cove Townhomes_Farmers Branch</t>
  </si>
  <si>
    <t>Enterprise Drive_14802_Huntington Cove Townhomes_Farmers Branch</t>
  </si>
  <si>
    <t>Enterprise Drive</t>
  </si>
  <si>
    <t>Huntington Cove Townhomes</t>
  </si>
  <si>
    <t>E:\PropInv\MF\Farmers Branch\Villa Creek Drive_2835_London Villa_Farmers Branch</t>
  </si>
  <si>
    <t>Villa Creek Drive_2835_London Villa_Farmers Branch</t>
  </si>
  <si>
    <t>Villa Creek Drive</t>
  </si>
  <si>
    <t>E:\PropInv\MF\Farmers Branch\Lago Vista West_11601_Portfino At Mercer Crossing_Farmers Branch</t>
  </si>
  <si>
    <t>Lago Vista West_11601_Portfino At Mercer Crossing_Farmers Branch</t>
  </si>
  <si>
    <t>Lago Vista West</t>
  </si>
  <si>
    <t>Portfino At Mercer Crossing</t>
  </si>
  <si>
    <t>E:\PropInv\MF\Farmers Branch\Fyke Road_2730_Villa Marquis_Farmers Branch</t>
  </si>
  <si>
    <t>Fyke Road_2730_Villa Marquis_Farmers Branch</t>
  </si>
  <si>
    <t>Fyke Road</t>
  </si>
  <si>
    <t>E:\PropInv\MF\Flower Mound\Morriss Road_4100_Timber Ridge_Flower Mound</t>
  </si>
  <si>
    <t>Morriss Road_4100_Timber Ridge_Flower Mound</t>
  </si>
  <si>
    <t>Morriss Road</t>
  </si>
  <si>
    <t>E:\PropInv\MF\Fort Worth\Weiler Boulevard_1404_1404 Weiler Boulevard_Fort Worth</t>
  </si>
  <si>
    <t>Weiler Boulevard_1404_1404 Weiler Boulevard_Fort Worth</t>
  </si>
  <si>
    <t>Weiler Boulevard</t>
  </si>
  <si>
    <t>1404 Weiler Boulevard</t>
  </si>
  <si>
    <t>E:\PropInv\MF\Fort Worth\New York Avenue_200_200 New York Avenue_Fort Worth</t>
  </si>
  <si>
    <t>New York Avenue_200_200 New York Avenue_Fort Worth</t>
  </si>
  <si>
    <t>New York Avenue</t>
  </si>
  <si>
    <t>200 New York Avenue</t>
  </si>
  <si>
    <t>E:\PropInv\MF\Fort Worth\Purington Avenue_2735_2735 Purington Avenue_Fort Worth</t>
  </si>
  <si>
    <t>Purington Avenue_2735_2735 Purington Avenue_Fort Worth</t>
  </si>
  <si>
    <t>Purington Avenue</t>
  </si>
  <si>
    <t>2735 Purington Avenue</t>
  </si>
  <si>
    <t>E:\PropInv\MF\Fort Worth\Tamworth Road_4300_4300 Tamworth Road_Fort Worth</t>
  </si>
  <si>
    <t>Tamworth Road_4300_4300 Tamworth Road_Fort Worth</t>
  </si>
  <si>
    <t>Tamworth Road</t>
  </si>
  <si>
    <t>4300 Tamworth Road</t>
  </si>
  <si>
    <t>E:\PropInv\MF\Fort Worth\Calloway Street_5901_5901 Calloway Street_Fort Worth</t>
  </si>
  <si>
    <t>Calloway Street_5901_5901 Calloway Street_Fort Worth</t>
  </si>
  <si>
    <t>Calloway Street</t>
  </si>
  <si>
    <t>5901 Calloway Street</t>
  </si>
  <si>
    <t>E:\PropInv\MF\Fort Worth\Rosedale Street East_5320_Ala Casa Apartments_Fort Worth</t>
  </si>
  <si>
    <t>Rosedale Street East_5320_Ala Casa Apartments_Fort Worth</t>
  </si>
  <si>
    <t>Rosedale Street East</t>
  </si>
  <si>
    <t>Ala Casa Apartments</t>
  </si>
  <si>
    <t>E:\PropInv\MF\Fort Worth\Westridge Lane_6109_Alta Ridglea Village_Fort Worth</t>
  </si>
  <si>
    <t>Westridge Lane_6109_Alta Ridglea Village_Fort Worth</t>
  </si>
  <si>
    <t>Westridge Lane</t>
  </si>
  <si>
    <t>Alta Ridglea Village</t>
  </si>
  <si>
    <t>E:\PropInv\MF\Fort Worth\Houston Street North_2304_Armadillo Flats_Fort Worth</t>
  </si>
  <si>
    <t>Houston Street North_2304_Armadillo Flats_Fort Worth</t>
  </si>
  <si>
    <t>Houston Street North</t>
  </si>
  <si>
    <t>Armadillo Flats</t>
  </si>
  <si>
    <t>E:\PropInv\MF\Fort Worth\Riverside Drive South_3500_Autumn Chase_Fort Worth</t>
  </si>
  <si>
    <t>Riverside Drive South_3500_Autumn Chase_Fort Worth</t>
  </si>
  <si>
    <t>Riverside Drive South</t>
  </si>
  <si>
    <t>E:\PropInv\MF\Fort Worth\Beaty Street_5500_Beaty Street Apartments_Fort Worth</t>
  </si>
  <si>
    <t>Beaty Street_5500_Beaty Street Apartments_Fort Worth</t>
  </si>
  <si>
    <t>Beaty Street</t>
  </si>
  <si>
    <t>Beaty Street Apartments</t>
  </si>
  <si>
    <t>E:\PropInv\MF\Fort Worth\Ben Day Murrin Road_5130_Benbrook_Fort Worth</t>
  </si>
  <si>
    <t>Ben Day Murrin Road_5130_Benbrook_Fort Worth</t>
  </si>
  <si>
    <t>Ben Day Murrin Road</t>
  </si>
  <si>
    <t>E:\PropInv\MF\Fort Worth\Birchman Avenue_5504-5508_Birchman Plaza_Fort Worth</t>
  </si>
  <si>
    <t>Birchman Avenue_5504-5508_Birchman Plaza_Fort Worth</t>
  </si>
  <si>
    <t>Birchman Avenue</t>
  </si>
  <si>
    <t>5504-5508</t>
  </si>
  <si>
    <t>E:\PropInv\MF\Fort Worth\Boca Raton Boulevard_5546_Boca Club Condos_Fort Worth</t>
  </si>
  <si>
    <t>Boca Raton Boulevard_5546_Boca Club Condos_Fort Worth</t>
  </si>
  <si>
    <t>Boca Raton Boulevard</t>
  </si>
  <si>
    <t>E:\PropInv\MF\Fort Worth\Campus Drive_4500_Breckenridge Apartments_Fort Worth</t>
  </si>
  <si>
    <t>Campus Drive_4500_Breckenridge Apartments_Fort Worth</t>
  </si>
  <si>
    <t>Campus Drive</t>
  </si>
  <si>
    <t>Breckenridge Apartments</t>
  </si>
  <si>
    <t>E:\PropInv\MF\Fort Worth\Hulen Street South_6822_Candle Chase_Fort Worth</t>
  </si>
  <si>
    <t>Hulen Street South_6822_Candle Chase_Fort Worth</t>
  </si>
  <si>
    <t>Hulen Street South</t>
  </si>
  <si>
    <t>E:\PropInv\MF\Fort Worth\Woodway Drive_6301_Carlton Apartment Homes_Fort Worth</t>
  </si>
  <si>
    <t>Woodway Drive_6301_Carlton Apartment Homes_Fort Worth</t>
  </si>
  <si>
    <t>Woodway Drive</t>
  </si>
  <si>
    <t>Carlton Apartment Homes</t>
  </si>
  <si>
    <t>E:\PropInv\MF\Fort Worth\Vega Drive_6300_Caryle Crossing_Fort Worth</t>
  </si>
  <si>
    <t>Vega Drive_6300_Caryle Crossing_Fort Worth</t>
  </si>
  <si>
    <t>Vega Drive</t>
  </si>
  <si>
    <t>Caryle Crossing</t>
  </si>
  <si>
    <t>E:\PropInv\MF\Fort Worth\Oakland Hills Drive_6100_Casa Villa_Fort Worth</t>
  </si>
  <si>
    <t>Oakland Hills Drive_6100_Casa Villa_Fort Worth</t>
  </si>
  <si>
    <t>Oakland Hills Drive</t>
  </si>
  <si>
    <t>E:\PropInv\MF\Fort Worth\Oakland Hills Drive_6130_Casa Villa_Fort Worth</t>
  </si>
  <si>
    <t>Oakland Hills Drive_6130_Casa Villa_Fort Worth</t>
  </si>
  <si>
    <t>E:\PropInv\MF\Fort Worth\Chapin Road_7700_Chapin Road Apts_Fort Worth</t>
  </si>
  <si>
    <t>Chapin Road_7700_Chapin Road Apts_Fort Worth</t>
  </si>
  <si>
    <t>Chapin Road</t>
  </si>
  <si>
    <t>E:\PropInv\MF\Fort Worth\Callaston Lane_5925_Cherry Hill_Fort Worth</t>
  </si>
  <si>
    <t>Callaston Lane_5925_Cherry Hill_Fort Worth</t>
  </si>
  <si>
    <t>Callaston Lane</t>
  </si>
  <si>
    <t>E:\PropInv\MF\Fort Worth\Randol Mill Road_8951_Chestnut Ridge_Fort Worth</t>
  </si>
  <si>
    <t>Randol Mill Road_8951_Chestnut Ridge_Fort Worth</t>
  </si>
  <si>
    <t>Randol Mill Road</t>
  </si>
  <si>
    <t>Chestnut Ridge</t>
  </si>
  <si>
    <t>E:\PropInv\MF\Fort Worth\820 Loop West South_500_Constellation Ranch_Fort Worth</t>
  </si>
  <si>
    <t>820 Loop West South_500_Constellation Ranch_Fort Worth</t>
  </si>
  <si>
    <t>820 Loop West South</t>
  </si>
  <si>
    <t>E:\PropInv\MF\Fort Worth\Baker Boulevard_6324_Country View Apartments_Fort Worth</t>
  </si>
  <si>
    <t>Baker Boulevard_6324_Country View Apartments_Fort Worth</t>
  </si>
  <si>
    <t>Baker Boulevard</t>
  </si>
  <si>
    <t>Country View Apartments</t>
  </si>
  <si>
    <t>E:\PropInv\MF\Fort Worth\Calmont Avenue_6760_Courtyard On Calmont_Fort Worth</t>
  </si>
  <si>
    <t>Calmont Avenue_6760_Courtyard On Calmont_Fort Worth</t>
  </si>
  <si>
    <t>Calmont Avenue</t>
  </si>
  <si>
    <t>Courtyard On Calmont</t>
  </si>
  <si>
    <t>E:\PropInv\MF\Fort Worth\Normandale Street West_3001_Crescent Oaks_Fort Worth</t>
  </si>
  <si>
    <t>Normandale Street West_3001_Crescent Oaks_Fort Worth</t>
  </si>
  <si>
    <t>Normandale Street West</t>
  </si>
  <si>
    <t>E:\PropInv\MF\Fort Worth\Crosscreek Lane_5513_Cross Creek Ranch_Fort Worth</t>
  </si>
  <si>
    <t>Crosscreek Lane_5513_Cross Creek Ranch_Fort Worth</t>
  </si>
  <si>
    <t>Crosscreek Lane</t>
  </si>
  <si>
    <t>E:\PropInv\MF\Fort Worth\Milburn Street_6025_Cumberland At Ridglea_Fort Worth</t>
  </si>
  <si>
    <t>Milburn Street_6025_Cumberland At Ridglea_Fort Worth</t>
  </si>
  <si>
    <t>Milburn Street</t>
  </si>
  <si>
    <t>Cumberland At Ridglea</t>
  </si>
  <si>
    <t>E:\PropInv\MF\Fort Worth\Granbury Road_6850_Cumberland On Granbury_Fort Worth</t>
  </si>
  <si>
    <t>Granbury Road_6850_Cumberland On Granbury_Fort Worth</t>
  </si>
  <si>
    <t>Granbury Road</t>
  </si>
  <si>
    <t>Cumberland On Granbury</t>
  </si>
  <si>
    <t>E:\PropInv\MF\Fort Worth\Hallmark Drive South_7125_Emerland Trails_Fort Worth</t>
  </si>
  <si>
    <t>Hallmark Drive South_7125_Emerland Trails_Fort Worth</t>
  </si>
  <si>
    <t>Hallmark Drive South</t>
  </si>
  <si>
    <t>Emerland Trails</t>
  </si>
  <si>
    <t>E:\PropInv\MF\Fort Worth\Meadowbrook Gardens_2324_Escalante Park Apartments_Fort Worth</t>
  </si>
  <si>
    <t>Meadowbrook Gardens_2324_Escalante Park Apartments_Fort Worth</t>
  </si>
  <si>
    <t>Meadowbrook Gardens</t>
  </si>
  <si>
    <t>Escalante Park Apartments</t>
  </si>
  <si>
    <t>E:\PropInv\MF\Fort Worth\The Heights_807_Fairwy Estates_Fort Worth</t>
  </si>
  <si>
    <t>The Heights_807_Fairwy Estates_Fort Worth</t>
  </si>
  <si>
    <t>The Heights</t>
  </si>
  <si>
    <t>Fairwy Estates</t>
  </si>
  <si>
    <t>E:\PropInv\MF\Fort Worth\Mc Lean_3021-3017-3013_Flamingo Apartaments_Fort Worth</t>
  </si>
  <si>
    <t>Mc Lean_3021-3017-3013_Flamingo Apartaments_Fort Worth</t>
  </si>
  <si>
    <t>Mc Lean</t>
  </si>
  <si>
    <t>Flamingo Apartaments</t>
  </si>
  <si>
    <t>E:\PropInv\MF\Fort Worth\Wonder Drive_5250_Foreclosed 114 Unit Apartment Community_Fort Worth</t>
  </si>
  <si>
    <t>Wonder Drive_5250_Foreclosed 114 Unit Apartment Community_Fort Worth</t>
  </si>
  <si>
    <t>Wonder Drive</t>
  </si>
  <si>
    <t>Foreclosed 114 Unit Apartment Community</t>
  </si>
  <si>
    <t>E:\PropInv\MF\Fort Worth\Lake Como Drive_3200_Forest Apartments_Fort Worth</t>
  </si>
  <si>
    <t>Lake Como Drive_3200_Forest Apartments_Fort Worth</t>
  </si>
  <si>
    <t>Lake Como Drive</t>
  </si>
  <si>
    <t>Forest Apartments</t>
  </si>
  <si>
    <t>E:\PropInv\MF\Fort Worth\Handley Drive_2120_Handley Oaks_Fort Worth</t>
  </si>
  <si>
    <t>Handley Drive_2120_Handley Oaks_Fort Worth</t>
  </si>
  <si>
    <t>Handley Drive</t>
  </si>
  <si>
    <t>E:\PropInv\MF\Fort Worth\Wellesley Avenue_4720_Hulen Hills_Fort Worth</t>
  </si>
  <si>
    <t>Wellesley Avenue_4720_Hulen Hills_Fort Worth</t>
  </si>
  <si>
    <t>Wellesley Avenue</t>
  </si>
  <si>
    <t>Hulen Hills</t>
  </si>
  <si>
    <t>E:\PropInv\MF\Fort Worth\Parker Henderson Road_5400_Indian Creek_Fort Worth</t>
  </si>
  <si>
    <t>Parker Henderson Road_5400_Indian Creek_Fort Worth</t>
  </si>
  <si>
    <t>Parker Henderson Road</t>
  </si>
  <si>
    <t>E:\PropInv\MF\Fort Worth\Glen Garden Drive_1212_La Acienda Gardens_Fort Worth</t>
  </si>
  <si>
    <t>Glen Garden Drive_1212_La Acienda Gardens_Fort Worth</t>
  </si>
  <si>
    <t>Glen Garden Drive</t>
  </si>
  <si>
    <t>E:\PropInv\MF\Fort Worth\Lackland Road_3223_Lackland Court_Fort Worth</t>
  </si>
  <si>
    <t>Lackland Road_3223_Lackland Court_Fort Worth</t>
  </si>
  <si>
    <t>Lackland Road</t>
  </si>
  <si>
    <t>E:\PropInv\MF\Fort Worth\Boat Club Road_9385_Legends At Eagle Mountain Lake_Fort Worth</t>
  </si>
  <si>
    <t>Boat Club Road_9385_Legends At Eagle Mountain Lake_Fort Worth</t>
  </si>
  <si>
    <t>Boat Club Road</t>
  </si>
  <si>
    <t>Legends At Eagle Mountain Lake</t>
  </si>
  <si>
    <t>E:\PropInv\MF\Fort Worth\Bridge Street_5801_Lincoln Meadows_Fort Worth</t>
  </si>
  <si>
    <t>Bridge Street_5801_Lincoln Meadows_Fort Worth</t>
  </si>
  <si>
    <t>Bridge Street</t>
  </si>
  <si>
    <t>Lincoln Meadows</t>
  </si>
  <si>
    <t>E:\PropInv\MF\Fort Worth\Overton Ridge Boulevard_5301_Marina Club_Fort Worth</t>
  </si>
  <si>
    <t>Overton Ridge Boulevard_5301_Marina Club_Fort Worth</t>
  </si>
  <si>
    <t>Overton Ridge Boulevard</t>
  </si>
  <si>
    <t>E:\PropInv\MF\Fort Worth\Randol Mill Road_9001_Mill Valley Apartments_Fort Worth</t>
  </si>
  <si>
    <t>Randol Mill Road_9001_Mill Valley Apartments_Fort Worth</t>
  </si>
  <si>
    <t>Mill Valley Apartments</t>
  </si>
  <si>
    <t>E:\PropInv\MF\Fort Worth\Las Vegas Trail_2800_Mira Monte Apartments_Fort Worth</t>
  </si>
  <si>
    <t>Las Vegas Trail_2800_Mira Monte Apartments_Fort Worth</t>
  </si>
  <si>
    <t>Las Vegas Trail</t>
  </si>
  <si>
    <t>Mira Monte Apartments</t>
  </si>
  <si>
    <t>E:\PropInv\MF\Fort Worth\Vickery Boulevard West_7100_Monterrey Apartments_Fort Worth</t>
  </si>
  <si>
    <t>Vickery Boulevard West_7100_Monterrey Apartments_Fort Worth</t>
  </si>
  <si>
    <t>Vickery Boulevard West</t>
  </si>
  <si>
    <t>Monterrey Apartments</t>
  </si>
  <si>
    <t>E:\PropInv\MF\Fort Worth\Miller Avenue_4600_Nueva Vista Apartments_Fort Worth</t>
  </si>
  <si>
    <t>Miller Avenue_4600_Nueva Vista Apartments_Fort Worth</t>
  </si>
  <si>
    <t>Miller Avenue</t>
  </si>
  <si>
    <t>Nueva Vista Apartments</t>
  </si>
  <si>
    <t>E:\PropInv\MF\Fort Worth\Normandale Street South_9051_Oak Village Apartments_Fort Worth</t>
  </si>
  <si>
    <t>Normandale Street South_9051_Oak Village Apartments_Fort Worth</t>
  </si>
  <si>
    <t>Normandale Street South</t>
  </si>
  <si>
    <t>Oak Village Apartments</t>
  </si>
  <si>
    <t>E:\PropInv\MF\Fort Worth\King George Drive_525_Oaks Apartments_Fort Worth</t>
  </si>
  <si>
    <t>King George Drive_525_Oaks Apartments_Fort Worth</t>
  </si>
  <si>
    <t>King George Drive</t>
  </si>
  <si>
    <t>Oaks Apartments</t>
  </si>
  <si>
    <t>E:\PropInv\MF\Fort Worth\Vega Drive_6351_Oakwood Apartments_Fort Worth</t>
  </si>
  <si>
    <t>Vega Drive_6351_Oakwood Apartments_Fort Worth</t>
  </si>
  <si>
    <t>Oakwood Apartments</t>
  </si>
  <si>
    <t>E:\PropInv\MF\Fort Worth\Chickering Road_6869_Oakwood Estates_Fort Worth</t>
  </si>
  <si>
    <t>Chickering Road_6869_Oakwood Estates_Fort Worth</t>
  </si>
  <si>
    <t>Chickering Road</t>
  </si>
  <si>
    <t>Oakwood Estates</t>
  </si>
  <si>
    <t>E:\PropInv\MF\Fort Worth\Beach Street North_6960_Park Creek Apartments_Fort Worth</t>
  </si>
  <si>
    <t>Beach Street North_6960_Park Creek Apartments_Fort Worth</t>
  </si>
  <si>
    <t>Beach Street North</t>
  </si>
  <si>
    <t>Park Creek Apartments</t>
  </si>
  <si>
    <t>E:\PropInv\MF\Fort Worth\Vega Drive_6172_Park Lake Apartments_Fort Worth</t>
  </si>
  <si>
    <t>Vega Drive_6172_Park Lake Apartments_Fort Worth</t>
  </si>
  <si>
    <t>Park Lake Apartments</t>
  </si>
  <si>
    <t>E:\PropInv\MF\Fort Worth\Mccurdy Street_2400_Park Terrace_Fort Worth</t>
  </si>
  <si>
    <t>Mccurdy Street_2400_Park Terrace_Fort Worth</t>
  </si>
  <si>
    <t>Mccurdy Street</t>
  </si>
  <si>
    <t>E:\PropInv\MF\Fort Worth\Boca Raton Boulevard_6000_Park Terrace Apartments_Fort Worth</t>
  </si>
  <si>
    <t>Boca Raton Boulevard_6000_Park Terrace Apartments_Fort Worth</t>
  </si>
  <si>
    <t>Park Terrace Apartments</t>
  </si>
  <si>
    <t>E:\PropInv\MF\Fort Worth\Crowley Road_7251_Park West_Fort Worth</t>
  </si>
  <si>
    <t>Crowley Road_7251_Park West_Fort Worth</t>
  </si>
  <si>
    <t>Crowley Road</t>
  </si>
  <si>
    <t>E:\PropInv\MF\Fort Worth\Sappington Place_3101_Parkside Apartments_Fort Worth</t>
  </si>
  <si>
    <t>Sappington Place_3101_Parkside Apartments_Fort Worth</t>
  </si>
  <si>
    <t>Parkside Apartments</t>
  </si>
  <si>
    <t>E:\PropInv\MF\Fort Worth\Las Vegas Trail_2840_Peppertree Apartment Homes_Fort Worth</t>
  </si>
  <si>
    <t>Las Vegas Trail_2840_Peppertree Apartment Homes_Fort Worth</t>
  </si>
  <si>
    <t>Peppertree Apartment Homes</t>
  </si>
  <si>
    <t>E:\PropInv\MF\Fort Worth\Robert Street East_1701_Pilgrim Valley Manor_Fort Worth</t>
  </si>
  <si>
    <t>Robert Street East_1701_Pilgrim Valley Manor_Fort Worth</t>
  </si>
  <si>
    <t>Robert Street East</t>
  </si>
  <si>
    <t>E:\PropInv\MF\Fort Worth\Normandale Street West_2925_Point West Apartment_Fort Worth</t>
  </si>
  <si>
    <t>Normandale Street West_2925_Point West Apartment_Fort Worth</t>
  </si>
  <si>
    <t>Point West Apartment</t>
  </si>
  <si>
    <t>E:\PropInv\MF\Fort Worth\Normandale Street West_2925_Point West Apartments_Fort Worth</t>
  </si>
  <si>
    <t>Normandale Street West_2925_Point West Apartments_Fort Worth</t>
  </si>
  <si>
    <t>Point West Apartments</t>
  </si>
  <si>
    <t>E:\PropInv\MF\Fort Worth\Meadowbrook Boulevard_8901_Randol Crossing_Fort Worth</t>
  </si>
  <si>
    <t>Meadowbrook Boulevard_8901_Randol Crossing_Fort Worth</t>
  </si>
  <si>
    <t>Meadowbrook Boulevard</t>
  </si>
  <si>
    <t>Randol Crossing</t>
  </si>
  <si>
    <t>E:\PropInv\MF\Fort Worth\Handley Drive_2121_Regency Oaks Apartments_Fort Worth</t>
  </si>
  <si>
    <t>Handley Drive_2121_Regency Oaks Apartments_Fort Worth</t>
  </si>
  <si>
    <t>Regency Oaks Apartments</t>
  </si>
  <si>
    <t>E:\PropInv\MF\Fort Worth\Ridgmar Boulevard_2500_Ridgmar Square Apartments_Fort Worth</t>
  </si>
  <si>
    <t>Ridgmar Boulevard_2500_Ridgmar Square Apartments_Fort Worth</t>
  </si>
  <si>
    <t>Ridgmar Boulevard</t>
  </si>
  <si>
    <t>Ridgmar Square Apartments</t>
  </si>
  <si>
    <t>E:\PropInv\MF\Fort Worth\Riverpark Drive_3451_River Park Place_Fort Worth</t>
  </si>
  <si>
    <t>Riverpark Drive_3451_River Park Place_Fort Worth</t>
  </si>
  <si>
    <t>Riverpark Drive</t>
  </si>
  <si>
    <t>E:\PropInv\MF\Fort Worth\Morrison Street_1401_Sahara Palms Apartments_Fort Worth</t>
  </si>
  <si>
    <t>Morrison Street_1401_Sahara Palms Apartments_Fort Worth</t>
  </si>
  <si>
    <t>Morrison Street</t>
  </si>
  <si>
    <t>Sahara Palms Apartments</t>
  </si>
  <si>
    <t>E:\PropInv\MF\Fort Worth\Sandy Lane_1525_Sandy Oaks_Fort Worth</t>
  </si>
  <si>
    <t>Sandy Lane_1525_Sandy Oaks_Fort Worth</t>
  </si>
  <si>
    <t>Sandy Lane</t>
  </si>
  <si>
    <t>E:\PropInv\MF\Fort Worth\Calmont Road_8300_Serrano Apartment Homes_Fort Worth</t>
  </si>
  <si>
    <t>Calmont Road_8300_Serrano Apartment Homes_Fort Worth</t>
  </si>
  <si>
    <t>Calmont Road</t>
  </si>
  <si>
    <t>Serrano Apartment Homes</t>
  </si>
  <si>
    <t>E:\PropInv\MF\Fort Worth\John T White_8515_Silver Leaf Villas_Fort Worth</t>
  </si>
  <si>
    <t>John T White_8515_Silver Leaf Villas_Fort Worth</t>
  </si>
  <si>
    <t>John T White</t>
  </si>
  <si>
    <t>E:\PropInv\MF\Fort Worth\Westridge Lane_6008-6028_Spanish Gardens Condominium Portfolio_Fort Worth</t>
  </si>
  <si>
    <t>Westridge Lane_6008-6028_Spanish Gardens Condominium Portfolio_Fort Worth</t>
  </si>
  <si>
    <t>6008-6028</t>
  </si>
  <si>
    <t>Spanish Gardens Condominium Portfolio</t>
  </si>
  <si>
    <t>E:\PropInv\MF\Fort Worth\Seminary Drive East_1350_Spanish Gate Apartments_Fort Worth</t>
  </si>
  <si>
    <t>Seminary Drive East_1350_Spanish Gate Apartments_Fort Worth</t>
  </si>
  <si>
    <t>Seminary Drive East</t>
  </si>
  <si>
    <t>Spanish Gate Apartments</t>
  </si>
  <si>
    <t>E:\PropInv\MF\Fort Worth\Calmont Avenue_8021_Spanish View Apartments_Fort Worth</t>
  </si>
  <si>
    <t>Calmont Avenue_8021_Spanish View Apartments_Fort Worth</t>
  </si>
  <si>
    <t>Spanish View Apartments</t>
  </si>
  <si>
    <t>E:\PropInv\MF\Fort Worth\Meadowbrook Drive_5720_Spanish Village Apartments_Fort Worth</t>
  </si>
  <si>
    <t>Meadowbrook Drive_5720_Spanish Village Apartments_Fort Worth</t>
  </si>
  <si>
    <t>Meadowbrook Drive</t>
  </si>
  <si>
    <t>Spanish Village Apartments</t>
  </si>
  <si>
    <t>E:\PropInv\MF\Fort Worth\Berry Street East_2201_Spring Chase_Fort Worth</t>
  </si>
  <si>
    <t>Berry Street East_2201_Spring Chase_Fort Worth</t>
  </si>
  <si>
    <t>Berry Street East</t>
  </si>
  <si>
    <t>Spring Chase</t>
  </si>
  <si>
    <t>E:\PropInv\MF\Fort Worth\Normandy Road_6528_Springbrook Apartments_Fort Worth</t>
  </si>
  <si>
    <t>Normandy Road_6528_Springbrook Apartments_Fort Worth</t>
  </si>
  <si>
    <t>Normandy Road</t>
  </si>
  <si>
    <t>Springbrook Apartments</t>
  </si>
  <si>
    <t>E:\PropInv\MF\Fort Worth\Ederville Road_7501_Steeplechase_Fort Worth</t>
  </si>
  <si>
    <t>Ederville Road_7501_Steeplechase_Fort Worth</t>
  </si>
  <si>
    <t>Ederville Road</t>
  </si>
  <si>
    <t>E:\PropInv\MF\Fort Worth\Oakland Hills Drive_6001_Sterling Pointe_Fort Worth</t>
  </si>
  <si>
    <t>Oakland Hills Drive_6001_Sterling Pointe_Fort Worth</t>
  </si>
  <si>
    <t>E:\PropInv\MF\Fort Worth\Cravens Road South_4225_Summer Lakes Estates_Fort Worth</t>
  </si>
  <si>
    <t>Cravens Road South_4225_Summer Lakes Estates_Fort Worth</t>
  </si>
  <si>
    <t>Cravens Road South</t>
  </si>
  <si>
    <t>E:\PropInv\MF\Fort Worth\Shady Oaks Manor_6555_Summit On The Lake_Fort Worth</t>
  </si>
  <si>
    <t>Shady Oaks Manor_6555_Summit On The Lake_Fort Worth</t>
  </si>
  <si>
    <t>E:\PropInv\MF\Fort Worth\Bryant Irvin Road North_4900_Summit View Apartments_Fort Worth</t>
  </si>
  <si>
    <t>Bryant Irvin Road North_4900_Summit View Apartments_Fort Worth</t>
  </si>
  <si>
    <t>Bryant Irvin Road North</t>
  </si>
  <si>
    <t>Summit View Apartments</t>
  </si>
  <si>
    <t>E:\PropInv\MF\Fort Worth\Freeway South_6608_Sun Ridge_Fort Worth</t>
  </si>
  <si>
    <t>Freeway South_6608_Sun Ridge_Fort Worth</t>
  </si>
  <si>
    <t>Freeway South</t>
  </si>
  <si>
    <t>E:\PropInv\MF\Fort Worth\Sycamore School Road_4633_Sycamore Hill_Fort Worth</t>
  </si>
  <si>
    <t>Sycamore School Road_4633_Sycamore Hill_Fort Worth</t>
  </si>
  <si>
    <t>Sycamore School Road</t>
  </si>
  <si>
    <t>E:\PropInv\MF\Fort Worth\820 Loop East_2100_The Brentwood Apartments_Fort Worth</t>
  </si>
  <si>
    <t>820 Loop East_2100_The Brentwood Apartments_Fort Worth</t>
  </si>
  <si>
    <t>820 Loop East</t>
  </si>
  <si>
    <t>The Brentwood Apartments</t>
  </si>
  <si>
    <t>E:\PropInv\MF\Fort Worth\Normandale West_3101 &amp; 3001_The Hills_Fort Worth</t>
  </si>
  <si>
    <t>Normandale West_3101 &amp; 3001_The Hills_Fort Worth</t>
  </si>
  <si>
    <t>Normandale West</t>
  </si>
  <si>
    <t>3101 &amp; 3001</t>
  </si>
  <si>
    <t>E:\PropInv\MF\Fort Worth\Park Vista Boulevard_6728_The KRR Dallas_Fort Worth</t>
  </si>
  <si>
    <t>Park Vista Boulevard_6728_The KRR Dallas_Fort Worth</t>
  </si>
  <si>
    <t>Park Vista Boulevard</t>
  </si>
  <si>
    <t>The KRR Dallas</t>
  </si>
  <si>
    <t>E:\PropInv\MF\Fort Worth\River Park Drive_3101_The Lodge At River Park_Fort Worth</t>
  </si>
  <si>
    <t>River Park Drive_3101_The Lodge At River Park_Fort Worth</t>
  </si>
  <si>
    <t>River Park Drive</t>
  </si>
  <si>
    <t>The Lodge At River Park</t>
  </si>
  <si>
    <t>E:\PropInv\MF\Fort Worth\7th Street West_411_The Neil P. At Burnett Park_Fort Worth</t>
  </si>
  <si>
    <t>7th Street West_411_The Neil P. At Burnett Park_Fort Worth</t>
  </si>
  <si>
    <t>7th Street West</t>
  </si>
  <si>
    <t>The Neil P. At Burnett Park</t>
  </si>
  <si>
    <t>E:\PropInv\MF\Fort Worth\Hulen Bend Boulevard_6401_The Township On Hulen Bend_Fort Worth</t>
  </si>
  <si>
    <t>Hulen Bend Boulevard_6401_The Township On Hulen Bend_Fort Worth</t>
  </si>
  <si>
    <t>Hulen Bend Boulevard</t>
  </si>
  <si>
    <t>The Township On Hulen Bend</t>
  </si>
  <si>
    <t>E:\PropInv\MF\Fort Worth\Freeway South_2900_The Trinidad Apartments_Fort Worth</t>
  </si>
  <si>
    <t>Freeway South_2900_The Trinidad Apartments_Fort Worth</t>
  </si>
  <si>
    <t>The Trinidad Apartments</t>
  </si>
  <si>
    <t>E:\PropInv\MF\Fort Worth\Sandshell Boulevard_6700_The Villages Of Fossil Creek_Fort Worth</t>
  </si>
  <si>
    <t>Sandshell Boulevard_6700_The Villages Of Fossil Creek_Fort Worth</t>
  </si>
  <si>
    <t>Sandshell Boulevard</t>
  </si>
  <si>
    <t>The Villages Of Fossil Creek</t>
  </si>
  <si>
    <t>E:\PropInv\MF\Fort Worth\Presidio Vista Drive_2301_The Wyatt At Presidio Junction_Fort Worth</t>
  </si>
  <si>
    <t>Presidio Vista Drive_2301_The Wyatt At Presidio Junction_Fort Worth</t>
  </si>
  <si>
    <t>Presidio Vista Drive</t>
  </si>
  <si>
    <t>The Wyatt At Presidio Junction</t>
  </si>
  <si>
    <t>E:\PropInv\MF\Fort Worth\Tulsa Way_3858_Tulsa Apartments_Fort Worth</t>
  </si>
  <si>
    <t>Tulsa Way_3858_Tulsa Apartments_Fort Worth</t>
  </si>
  <si>
    <t>Tulsa Apartments</t>
  </si>
  <si>
    <t>E:\PropInv\MF\Fort Worth\Ederville Road_7301_Valencia Palms Apartments_Fort Worth</t>
  </si>
  <si>
    <t>Ederville Road_7301_Valencia Palms Apartments_Fort Worth</t>
  </si>
  <si>
    <t>Valencia Palms Apartments</t>
  </si>
  <si>
    <t>E:\PropInv\MF\Fort Worth\Michael Drive_9417_Veraison Village_Fort Worth</t>
  </si>
  <si>
    <t>Michael Drive_9417_Veraison Village_Fort Worth</t>
  </si>
  <si>
    <t>E:\PropInv\MF\Fort Worth\Oakmont Boulevard_7301_Verandas At Cityview_Fort Worth</t>
  </si>
  <si>
    <t>Oakmont Boulevard_7301_Verandas At Cityview_Fort Worth</t>
  </si>
  <si>
    <t>Oakmont Boulevard</t>
  </si>
  <si>
    <t>Verandas At Cityview</t>
  </si>
  <si>
    <t>E:\PropInv\MF\Fort Worth\Boca Raton Boulevard_5817_Villa Del Rio Apartments_Fort Worth</t>
  </si>
  <si>
    <t>Boca Raton Boulevard_5817_Villa Del Rio Apartments_Fort Worth</t>
  </si>
  <si>
    <t>Villa Del Rio Apartments</t>
  </si>
  <si>
    <t>E:\PropInv\MF\Fort Worth\Briery Street_2800_Village Creek Townhomes_Fort Worth</t>
  </si>
  <si>
    <t>Briery Street_2800_Village Creek Townhomes_Fort Worth</t>
  </si>
  <si>
    <t>Briery Street</t>
  </si>
  <si>
    <t>Village Creek Townhomes</t>
  </si>
  <si>
    <t>E:\PropInv\MF\Fort Worth\Shady Oaks Manor_6303_Vistas At Lake Worth_Fort Worth</t>
  </si>
  <si>
    <t>Shady Oaks Manor_6303_Vistas At Lake Worth_Fort Worth</t>
  </si>
  <si>
    <t>Vistas At Lake Worth</t>
  </si>
  <si>
    <t>E:\PropInv\MF\Fort Worth\Weiler Boulevard_1445_Weiler Townhomes_Fort Worth</t>
  </si>
  <si>
    <t>Weiler Boulevard_1445_Weiler Townhomes_Fort Worth</t>
  </si>
  <si>
    <t>Weiler Townhomes</t>
  </si>
  <si>
    <t>E:\PropInv\MF\Fort Worth\Locke Avenue_4805_West Apartments_Fort Worth</t>
  </si>
  <si>
    <t>Locke Avenue_4805_West Apartments_Fort Worth</t>
  </si>
  <si>
    <t>Locke Avenue</t>
  </si>
  <si>
    <t>West Apartments</t>
  </si>
  <si>
    <t>E:\PropInv\MF\Fort Worth\Las Vegas Trail_3000_West Point Pines_Fort Worth</t>
  </si>
  <si>
    <t>Las Vegas Trail_3000_West Point Pines_Fort Worth</t>
  </si>
  <si>
    <t>E:\PropInv\MF\Fort Worth\Avril Court North_8841_Westridge_Fort Worth</t>
  </si>
  <si>
    <t>Avril Court North_8841_Westridge_Fort Worth</t>
  </si>
  <si>
    <t>Avril Court North</t>
  </si>
  <si>
    <t>E:\PropInv\MF\Fort Worth\Las Vegas Trail_3254_Westwood_Fort Worth</t>
  </si>
  <si>
    <t>Las Vegas Trail_3254_Westwood_Fort Worth</t>
  </si>
  <si>
    <t>E:\PropInv\MF\Fort Worth\Sycamore School Road_1301_Willow Glen Apartments_Fort Worth</t>
  </si>
  <si>
    <t>Sycamore School Road_1301_Willow Glen Apartments_Fort Worth</t>
  </si>
  <si>
    <t>Willow Glen Apartments</t>
  </si>
  <si>
    <t>E:\PropInv\MF\Fort Worth\Heatherbend Street_3400_Windsor Park_Fort Worth</t>
  </si>
  <si>
    <t>Heatherbend Street_3400_Windsor Park_Fort Worth</t>
  </si>
  <si>
    <t>Heatherbend Street</t>
  </si>
  <si>
    <t>E:\PropInv\MF\Fort Worth\Cotswold Hills Drive_5600_Windtree Apartments_Fort Worth</t>
  </si>
  <si>
    <t>Cotswold Hills Drive_5600_Windtree Apartments_Fort Worth</t>
  </si>
  <si>
    <t>Cotswold Hills Drive</t>
  </si>
  <si>
    <t>Windtree Apartments</t>
  </si>
  <si>
    <t>E:\PropInv\MF\Fort Worth\Boca Raton Boulevard_5950_Woddstock Apartments_Fort Worth</t>
  </si>
  <si>
    <t>Boca Raton Boulevard_5950_Woddstock Apartments_Fort Worth</t>
  </si>
  <si>
    <t>Woddstock Apartments</t>
  </si>
  <si>
    <t>E:\PropInv\MF\Fort Worth\Boca Raton Boulevard_5400_Woodglen_Fort Worth</t>
  </si>
  <si>
    <t>Boca Raton Boulevard_5400_Woodglen_Fort Worth</t>
  </si>
  <si>
    <t>E:\PropInv\MF\Fort Worth\Oakland Hills Drive_5931_Woodhaven Crossroads_Fort Worth</t>
  </si>
  <si>
    <t>Oakland Hills Drive_5931_Woodhaven Crossroads_Fort Worth</t>
  </si>
  <si>
    <t>E:\PropInv\MF\Fort Worth\820 Loop East_500_Woodridge_Fort Worth</t>
  </si>
  <si>
    <t>820 Loop East_500_Woodridge_Fort Worth</t>
  </si>
  <si>
    <t>E:\PropInv\MF\Fort Worth\Woodway Drive_6201_Woodway On The Green_Fort Worth</t>
  </si>
  <si>
    <t>Woodway Drive_6201_Woodway On The Green_Fort Worth</t>
  </si>
  <si>
    <t>Woodway On The Green</t>
  </si>
  <si>
    <t>E:\PropInv\MF\Fort Worth\Boca Raton Boulevard_6101_Wyndham Pointe_Fort Worth</t>
  </si>
  <si>
    <t>Boca Raton Boulevard_6101_Wyndham Pointe_Fort Worth</t>
  </si>
  <si>
    <t>E:\PropInv\MF\Fort Worth\Scenic Vista Drive_1200_Wynhaven At Westpoint_Fort Worth</t>
  </si>
  <si>
    <t>Scenic Vista Drive_1200_Wynhaven At Westpoint_Fort Worth</t>
  </si>
  <si>
    <t>Scenic Vista Drive</t>
  </si>
  <si>
    <t>Wynhaven At Westpoint</t>
  </si>
  <si>
    <t>E:\PropInv\MF\Fredericksburg\Friendship Lane_1019_Highland Oaks_Fredericksburg</t>
  </si>
  <si>
    <t>Friendship Lane_1019_Highland Oaks_Fredericksburg</t>
  </si>
  <si>
    <t>Friendship Lane</t>
  </si>
  <si>
    <t>E:\PropInv\MF\Freeport\Avenue J North_902_Azalea Court Apartments_Freeport</t>
  </si>
  <si>
    <t>Avenue J North_902_Azalea Court Apartments_Freeport</t>
  </si>
  <si>
    <t>Avenue J North</t>
  </si>
  <si>
    <t>Azalea Court Apartments</t>
  </si>
  <si>
    <t>E:\PropInv\MF\Freeport\Avenue J North_1001_Freeport Meadows_Freeport</t>
  </si>
  <si>
    <t>Avenue J North_1001_Freeport Meadows_Freeport</t>
  </si>
  <si>
    <t>E:\PropInv\MF\Freeport\Magnolia Drive_1010_The Remington Apartments_Freeport</t>
  </si>
  <si>
    <t>Magnolia Drive_1010_The Remington Apartments_Freeport</t>
  </si>
  <si>
    <t>Magnolia Drive</t>
  </si>
  <si>
    <t>The Remington Apartments</t>
  </si>
  <si>
    <t>E:\PropInv\MF\Freeport\Avenue J North_850_Villa Brazos Apartment_Freeport</t>
  </si>
  <si>
    <t>Avenue J North_850_Villa Brazos Apartment_Freeport</t>
  </si>
  <si>
    <t>Villa Brazos Apartment</t>
  </si>
  <si>
    <t>E:\PropInv\MF\Friendswood\Blackhawk Boulevard_17201_Bay Meadows Apartments_Friendswood</t>
  </si>
  <si>
    <t>Blackhawk Boulevard_17201_Bay Meadows Apartments_Friendswood</t>
  </si>
  <si>
    <t>Blackhawk Boulevard</t>
  </si>
  <si>
    <t>Bay Meadows Apartments</t>
  </si>
  <si>
    <t>E:\PropInv\MF\Friendswood\Glenwest Drive_19100_The Lodge At Baybrook_Friendswood</t>
  </si>
  <si>
    <t>Glenwest Drive_19100_The Lodge At Baybrook_Friendswood</t>
  </si>
  <si>
    <t>Glenwest Drive</t>
  </si>
  <si>
    <t>The Lodge At Baybrook</t>
  </si>
  <si>
    <t>E:\PropInv\MF\Frisco\Lebanon Road_11700_Plantation Villas_Frisco</t>
  </si>
  <si>
    <t>Lebanon Road_11700_Plantation Villas_Frisco</t>
  </si>
  <si>
    <t>Lebanon Road</t>
  </si>
  <si>
    <t>Plantation Villas</t>
  </si>
  <si>
    <t>E:\PropInv\MF\Frisco\Wade Boulevard_9399_Wade Crossing_Frisco</t>
  </si>
  <si>
    <t>Wade Boulevard_9399_Wade Crossing_Frisco</t>
  </si>
  <si>
    <t>Wade Boulevard</t>
  </si>
  <si>
    <t>E:\PropInv\MF\Galveston\Cove View Boulevard_3433_Club of the Isle_Galveston</t>
  </si>
  <si>
    <t>Cove View Boulevard_3433_Club of the Isle_Galveston</t>
  </si>
  <si>
    <t>Cove View Boulevard</t>
  </si>
  <si>
    <t>E:\PropInv\MF\Galveston\Market Street_100_Ebbtide_Galveston</t>
  </si>
  <si>
    <t>Market Street_100_Ebbtide_Galveston</t>
  </si>
  <si>
    <t>Market Street</t>
  </si>
  <si>
    <t>E:\PropInv\MF\Galveston\Church Street_2101_Former Jean Lafitte Hotel_Galveston</t>
  </si>
  <si>
    <t>Church Street_2101_Former Jean Lafitte Hotel_Galveston</t>
  </si>
  <si>
    <t>Church Street</t>
  </si>
  <si>
    <t>Former Jean Lafitte Hotel</t>
  </si>
  <si>
    <t>E:\PropInv\MF\Galveston\Heards Lane_7200_Galveston Apartment Properties Principals Only_Galveston</t>
  </si>
  <si>
    <t>Heards Lane_7200_Galveston Apartment Properties Principals Only_Galveston</t>
  </si>
  <si>
    <t>Heards Lane</t>
  </si>
  <si>
    <t>Galveston Apartment Properties Principals Only</t>
  </si>
  <si>
    <t>E:\PropInv\MF\Galveston\37th Street_705_Galveston Island Rehabb Project_Galveston</t>
  </si>
  <si>
    <t>37th Street_705_Galveston Island Rehabb Project_Galveston</t>
  </si>
  <si>
    <t>37th Street</t>
  </si>
  <si>
    <t>Galveston Island Rehabb Project</t>
  </si>
  <si>
    <t>E:\PropInv\MF\Galveston\Moody Avenue_302_Moody Plaza_Galveston</t>
  </si>
  <si>
    <t>Moody Avenue_302_Moody Plaza_Galveston</t>
  </si>
  <si>
    <t>Moody Avenue</t>
  </si>
  <si>
    <t>E:\PropInv\MF\Galveston\Fort Crockett_4925_Seaside Village Apartments_Galveston</t>
  </si>
  <si>
    <t>Fort Crockett_4925_Seaside Village Apartments_Galveston</t>
  </si>
  <si>
    <t>Seaside Village Apartments</t>
  </si>
  <si>
    <t>E:\PropInv\MF\Galveston\61st Street_2828_Somerset Apartments_Galveston</t>
  </si>
  <si>
    <t>61st Street_2828_Somerset Apartments_Galveston</t>
  </si>
  <si>
    <t>61st Street</t>
  </si>
  <si>
    <t>Somerset Apartments</t>
  </si>
  <si>
    <t>E:\PropInv\MF\Galveston\Stewart Road_8020_Stewart Court Apartments_Galveston</t>
  </si>
  <si>
    <t>Stewart Road_8020_Stewart Court Apartments_Galveston</t>
  </si>
  <si>
    <t>Stewart Road</t>
  </si>
  <si>
    <t>Stewart Court Apartments</t>
  </si>
  <si>
    <t>E:\PropInv\MF\Galveston\Seawall Boulevard_7000_The Dawn Condominiums_Galveston</t>
  </si>
  <si>
    <t>Seawall Boulevard_7000_The Dawn Condominiums_Galveston</t>
  </si>
  <si>
    <t>Seawall Boulevard</t>
  </si>
  <si>
    <t>E:\PropInv\MF\Galveston\Seawall Boulevard_8100_The Season's Resort_Galveston</t>
  </si>
  <si>
    <t>Seawall Boulevard_8100_The Season's Resort_Galveston</t>
  </si>
  <si>
    <t>The Season's Resort</t>
  </si>
  <si>
    <t>E:\PropInv\MF\Garland\Jupiter Road North_1702_1702N Jupiter Road_Garland</t>
  </si>
  <si>
    <t>Jupiter Road North_1702_1702N Jupiter Road_Garland</t>
  </si>
  <si>
    <t>Jupiter Road North</t>
  </si>
  <si>
    <t>1702N Jupiter Road</t>
  </si>
  <si>
    <t>E:\PropInv\MF\Garland\Bay Island_6109_Bay Island Apartments_Garland</t>
  </si>
  <si>
    <t>Bay Island_6109_Bay Island Apartments_Garland</t>
  </si>
  <si>
    <t>Bay Island Apartments</t>
  </si>
  <si>
    <t>E:\PropInv\MF\Garland\Courtenay Place_832_Bradfield Creek Townhomes_Garland</t>
  </si>
  <si>
    <t>Courtenay Place_832_Bradfield Creek Townhomes_Garland</t>
  </si>
  <si>
    <t>Courtenay Place</t>
  </si>
  <si>
    <t>Bradfield Creek Townhomes</t>
  </si>
  <si>
    <t>E:\PropInv\MF\Garland\Broadway Boulevard_5118_Broadway_Garland</t>
  </si>
  <si>
    <t>Broadway Boulevard_5118_Broadway_Garland</t>
  </si>
  <si>
    <t>Broadway Boulevard</t>
  </si>
  <si>
    <t>E:\PropInv\MF\Garland\Buckingham Road West_3520_Buckingham Court_Garland</t>
  </si>
  <si>
    <t>Buckingham Road West_3520_Buckingham Court_Garland</t>
  </si>
  <si>
    <t>Buckingham Road West</t>
  </si>
  <si>
    <t>E:\PropInv\MF\Garland\Walnut Street West_4362_Country Village Townhomes_Garland</t>
  </si>
  <si>
    <t>Walnut Street West_4362_Country Village Townhomes_Garland</t>
  </si>
  <si>
    <t>Walnut Street West</t>
  </si>
  <si>
    <t>Country Village Townhomes</t>
  </si>
  <si>
    <t>E:\PropInv\MF\Garland\Belt Line Road North_1601-1605_Creekview Apartments_Garland</t>
  </si>
  <si>
    <t>Belt Line Road North_1601-1605_Creekview Apartments_Garland</t>
  </si>
  <si>
    <t>Belt Line Road North</t>
  </si>
  <si>
    <t>1601-1605</t>
  </si>
  <si>
    <t>Creekview Apartments</t>
  </si>
  <si>
    <t>E:\PropInv\MF\Garland\Oates Road East_238_Eagles Landing Apartments_Garland</t>
  </si>
  <si>
    <t>Oates Road East_238_Eagles Landing Apartments_Garland</t>
  </si>
  <si>
    <t>Oates Road East</t>
  </si>
  <si>
    <t>Eagles Landing Apartments</t>
  </si>
  <si>
    <t>E:\PropInv\MF\Garland\Chaha_4560_Faulkner Point_Garland</t>
  </si>
  <si>
    <t>Chaha_4560_Faulkner Point_Garland</t>
  </si>
  <si>
    <t>E:\PropInv\MF\Garland\Chaha Road_4560_Faulkner Point_Garland</t>
  </si>
  <si>
    <t>Chaha Road_4560_Faulkner Point_Garland</t>
  </si>
  <si>
    <t>Chaha Road</t>
  </si>
  <si>
    <t>E:\PropInv\MF\Garland\Glenbrook South_2035_Glenbrook Apartment Homes_Garland</t>
  </si>
  <si>
    <t>Glenbrook South_2035_Glenbrook Apartment Homes_Garland</t>
  </si>
  <si>
    <t>Glenbrook South</t>
  </si>
  <si>
    <t>Glenbrook Apartment Homes</t>
  </si>
  <si>
    <t>E:\PropInv\MF\Garland\Glenbrook South_2121_Glenbrook Place_Garland</t>
  </si>
  <si>
    <t>Glenbrook South_2121_Glenbrook Place_Garland</t>
  </si>
  <si>
    <t>E:\PropInv\MF\Garland\Buckingham Road West_701_Hampton Court Condominiums_Garland</t>
  </si>
  <si>
    <t>Buckingham Road West_701_Hampton Court Condominiums_Garland</t>
  </si>
  <si>
    <t>E:\PropInv\MF\Garland\30 Interstate Highway West_930_Hills Of Palos Verdes_Garland</t>
  </si>
  <si>
    <t>30 Interstate Highway West_930_Hills Of Palos Verdes_Garland</t>
  </si>
  <si>
    <t>30 Interstate Highway West</t>
  </si>
  <si>
    <t>Hills Of Palos Verdes</t>
  </si>
  <si>
    <t>E:\PropInv\MF\Garland\Belt Line Road_1810_Holiday Park Apartments_Garland</t>
  </si>
  <si>
    <t>Belt Line Road_1810_Holiday Park Apartments_Garland</t>
  </si>
  <si>
    <t>Holiday Park Apartments</t>
  </si>
  <si>
    <t>E:\PropInv\MF\Garland\Point Boulevard_4351_Hubbars's Ridge_Garland</t>
  </si>
  <si>
    <t>Point Boulevard_4351_Hubbars's Ridge_Garland</t>
  </si>
  <si>
    <t>Point Boulevard</t>
  </si>
  <si>
    <t>Hubbars's Ridge</t>
  </si>
  <si>
    <t>E:\PropInv\MF\Garland\Walnut Street West_3820_Kent Apartments_Garland</t>
  </si>
  <si>
    <t>Walnut Street West_3820_Kent Apartments_Garland</t>
  </si>
  <si>
    <t>Kent Apartments</t>
  </si>
  <si>
    <t>E:\PropInv\MF\Garland\Kingsley Road West_1900_Kingsley Crossing_Garland</t>
  </si>
  <si>
    <t>Kingsley Road West_1900_Kingsley Crossing_Garland</t>
  </si>
  <si>
    <t>Kingsley Road West</t>
  </si>
  <si>
    <t>Kingsley Crossing</t>
  </si>
  <si>
    <t>E:\PropInv\MF\Garland\30 Interstate Highway East_1365_Lake Bluff Apartments_Garland</t>
  </si>
  <si>
    <t>30 Interstate Highway East_1365_Lake Bluff Apartments_Garland</t>
  </si>
  <si>
    <t>30 Interstate Highway East</t>
  </si>
  <si>
    <t>Lake Bluff Apartments</t>
  </si>
  <si>
    <t>E:\PropInv\MF\Garland\Bobtown_4501_Lakeview Apartments_Garland</t>
  </si>
  <si>
    <t>Bobtown_4501_Lakeview Apartments_Garland</t>
  </si>
  <si>
    <t>Lakeview Apartments</t>
  </si>
  <si>
    <t>E:\PropInv\MF\Garland\Bobtown Road_4501_Lakeview Village Apartments_Garland</t>
  </si>
  <si>
    <t>Bobtown Road_4501_Lakeview Village Apartments_Garland</t>
  </si>
  <si>
    <t>Bobtown Road</t>
  </si>
  <si>
    <t>Lakeview Village Apartments</t>
  </si>
  <si>
    <t>E:\PropInv\MF\Garland\Saturn Road_4420_Oak Glen Apartments_Garland</t>
  </si>
  <si>
    <t>Saturn Road_4420_Oak Glen Apartments_Garland</t>
  </si>
  <si>
    <t>Saturn Road</t>
  </si>
  <si>
    <t>E:\PropInv\MF\Garland\Kingsley Road West_1510_Orchard Square Apartments_Garland</t>
  </si>
  <si>
    <t>Kingsley Road West_1510_Orchard Square Apartments_Garland</t>
  </si>
  <si>
    <t>Orchard Square Apartments</t>
  </si>
  <si>
    <t>E:\PropInv\MF\Garland\Kingsley Road_1520_Orchard Square Apartments_Garland</t>
  </si>
  <si>
    <t>Kingsley Road_1520_Orchard Square Apartments_Garland</t>
  </si>
  <si>
    <t>E:\PropInv\MF\Garland\Glenbrook Drive South_1899_Park Ridge_Garland</t>
  </si>
  <si>
    <t>Glenbrook Drive South_1899_Park Ridge_Garland</t>
  </si>
  <si>
    <t>Glenbrook Drive South</t>
  </si>
  <si>
    <t>E:\PropInv\MF\Garland\Walnut Street West_3910_Pineview Apartments_Garland</t>
  </si>
  <si>
    <t>Walnut Street West_3910_Pineview Apartments_Garland</t>
  </si>
  <si>
    <t>Pineview Apartments</t>
  </si>
  <si>
    <t>E:\PropInv\MF\Garland\Shiloh Road North_1302_Shiloh Bend_Garland</t>
  </si>
  <si>
    <t>Shiloh Road North_1302_Shiloh Bend_Garland</t>
  </si>
  <si>
    <t>Shiloh Road North</t>
  </si>
  <si>
    <t>Shiloh Bend</t>
  </si>
  <si>
    <t>E:\PropInv\MF\Garland\Walnut Street West_2710_Sierra Springs_Garland</t>
  </si>
  <si>
    <t>Walnut Street West_2710_Sierra Springs_Garland</t>
  </si>
  <si>
    <t>E:\PropInv\MF\Garland\Jupiter Road North_110_Spanish Villa_Garland</t>
  </si>
  <si>
    <t>Jupiter Road North_110_Spanish Villa_Garland</t>
  </si>
  <si>
    <t>E:\PropInv\MF\Garland\Walnut Street West_4301_Stonewood_Garland</t>
  </si>
  <si>
    <t>Walnut Street West_4301_Stonewood_Garland</t>
  </si>
  <si>
    <t>E:\PropInv\MF\Garland\Duck Creek Drive_4328_The Forest At Duck Creek_Garland</t>
  </si>
  <si>
    <t>Duck Creek Drive_4328_The Forest At Duck Creek_Garland</t>
  </si>
  <si>
    <t>Duck Creek Drive</t>
  </si>
  <si>
    <t>The Forest At Duck Creek</t>
  </si>
  <si>
    <t>E:\PropInv\MF\Georgetown\Waters Edge Circle_25 Waters Edge Cir_Georgetown</t>
  </si>
  <si>
    <t>Waters Edge Circle_25 Waters Edge Cir_Georgetown</t>
  </si>
  <si>
    <t>Waters Edge Circle</t>
  </si>
  <si>
    <t>25 Waters Edge Cir</t>
  </si>
  <si>
    <t>E:\PropInv\MF\Georgetown\Apple Creek Drive_302_Apple Creek Apartments_Georgetown</t>
  </si>
  <si>
    <t>Apple Creek Drive_302_Apple Creek Apartments_Georgetown</t>
  </si>
  <si>
    <t>Apple Creek Drive</t>
  </si>
  <si>
    <t>Apple Creek Apartments</t>
  </si>
  <si>
    <t>E:\PropInv\MF\Georgetown\Luther Drive_600_Indian Creek I &amp; II_Georgetown</t>
  </si>
  <si>
    <t>Luther Drive_600_Indian Creek I &amp; II_Georgetown</t>
  </si>
  <si>
    <t>Luther Drive</t>
  </si>
  <si>
    <t>Indian Creek I &amp; II</t>
  </si>
  <si>
    <t>E:\PropInv\MF\Georgetown\Riverbend Drive_200_Westwood Townhomes_Georgetown</t>
  </si>
  <si>
    <t>Riverbend Drive_200_Westwood Townhomes_Georgetown</t>
  </si>
  <si>
    <t>Riverbend Drive</t>
  </si>
  <si>
    <t>E:\PropInv\MF\Glenn Heights\Glenn Heights_Glenn Heights Duplexes_Glenn Heights</t>
  </si>
  <si>
    <t>Glenn Heights_Glenn Heights Duplexes_Glenn Heights</t>
  </si>
  <si>
    <t>Glenn Heights Duplexes</t>
  </si>
  <si>
    <t>E:\PropInv\MF\Granbury\Kemah Court_5607_5607 Kemah Court_Granbury</t>
  </si>
  <si>
    <t>Kemah Court_5607_5607 Kemah Court_Granbury</t>
  </si>
  <si>
    <t>Kemah Court</t>
  </si>
  <si>
    <t>5607 Kemah Court</t>
  </si>
  <si>
    <t>E:\PropInv\MF\Granbury\Pearl Street West_1201_Spanish Oaks Apartments_Granbury</t>
  </si>
  <si>
    <t>Pearl Street West_1201_Spanish Oaks Apartments_Granbury</t>
  </si>
  <si>
    <t>Pearl Street West</t>
  </si>
  <si>
    <t>Spanish Oaks Apartments</t>
  </si>
  <si>
    <t>E:\PropInv\MF\Granbury\Crawford Court_1520_The Reserve at Lake Granbury_Granbury</t>
  </si>
  <si>
    <t>Crawford Court_1520_The Reserve at Lake Granbury_Granbury</t>
  </si>
  <si>
    <t>Crawford Court</t>
  </si>
  <si>
    <t>E:\PropInv\MF\Granbury\Crawford Court_1220_The Reserve on Lake Granbury_Granbury</t>
  </si>
  <si>
    <t>Crawford Court_1220_The Reserve on Lake Granbury_Granbury</t>
  </si>
  <si>
    <t>The Reserve on Lake Granbury</t>
  </si>
  <si>
    <t>E:\PropInv\MF\Grand Prairie\Tarrant Road West_1920_1920 W Tarrant Road_Grand Prairie</t>
  </si>
  <si>
    <t>Tarrant Road West_1920_1920 W Tarrant Road_Grand Prairie</t>
  </si>
  <si>
    <t>Tarrant Road West</t>
  </si>
  <si>
    <t>1920 W Tarrant Road</t>
  </si>
  <si>
    <t>E:\PropInv\MF\Grand Prairie\360 State Highway North_2601_2601 State Highway 360 North_Grand Prairie</t>
  </si>
  <si>
    <t>360 State Highway North_2601_2601 State Highway 360 North_Grand Prairie</t>
  </si>
  <si>
    <t>360 State Highway North</t>
  </si>
  <si>
    <t>2601 State Highway 360 North</t>
  </si>
  <si>
    <t>E:\PropInv\MF\Grand Prairie\Great Southwest Parkway_701_Barrington Apartments_Grand Prairie</t>
  </si>
  <si>
    <t>Great Southwest Parkway_701_Barrington Apartments_Grand Prairie</t>
  </si>
  <si>
    <t>Great Southwest Parkway</t>
  </si>
  <si>
    <t>Barrington Apartments</t>
  </si>
  <si>
    <t>E:\PropInv\MF\Grand Prairie\Dickey Road West_575_Cottonwood Park_Grand Prairie</t>
  </si>
  <si>
    <t>Dickey Road West_575_Cottonwood Park_Grand Prairie</t>
  </si>
  <si>
    <t>Dickey Road West</t>
  </si>
  <si>
    <t>E:\PropInv\MF\Grand Prairie\Marshall Road East_1301_Donna Lynn Apartments_Grand Prairie</t>
  </si>
  <si>
    <t>Marshall Road East_1301_Donna Lynn Apartments_Grand Prairie</t>
  </si>
  <si>
    <t>Marshall Road East</t>
  </si>
  <si>
    <t>Donna Lynn Apartments</t>
  </si>
  <si>
    <t>E:\PropInv\MF\Grand Prairie\Forum Drive East_2650_Forum At Grand Prairie_Grand Prairie</t>
  </si>
  <si>
    <t>Forum Drive East_2650_Forum At Grand Prairie_Grand Prairie</t>
  </si>
  <si>
    <t>Forum Drive East</t>
  </si>
  <si>
    <t>Forum At Grand Prairie</t>
  </si>
  <si>
    <t>E:\PropInv\MF\Grand Prairie\Small Hill Drive_403_Greenhill_Grand Prairie</t>
  </si>
  <si>
    <t>Small Hill Drive_403_Greenhill_Grand Prairie</t>
  </si>
  <si>
    <t>Small Hill Drive</t>
  </si>
  <si>
    <t>Greenhill</t>
  </si>
  <si>
    <t>E:\PropInv\MF\Grand Prairie\Bardin Road_3033_Indigo Pointe_Grand Prairie</t>
  </si>
  <si>
    <t>Bardin Road_3033_Indigo Pointe_Grand Prairie</t>
  </si>
  <si>
    <t>Bardin Road</t>
  </si>
  <si>
    <t>E:\PropInv\MF\Grand Prairie\Bardin Road West_3033_Indigo Pointe_Grand Prairie</t>
  </si>
  <si>
    <t>Bardin Road West_3033_Indigo Pointe_Grand Prairie</t>
  </si>
  <si>
    <t>Bardin Road West</t>
  </si>
  <si>
    <t>E:\PropInv\MF\Grand Prairie\Doreen Street_2337_Investment Property_Grand Prairie</t>
  </si>
  <si>
    <t>Doreen Street_2337_Investment Property_Grand Prairie</t>
  </si>
  <si>
    <t>Doreen Street</t>
  </si>
  <si>
    <t>E:\PropInv\MF\Grand Prairie\360 State Highway North_1991_Lost Creek_Grand Prairie</t>
  </si>
  <si>
    <t>360 State Highway North_1991_Lost Creek_Grand Prairie</t>
  </si>
  <si>
    <t>E:\PropInv\MF\Grand Prairie\Safari Parkway West_606_Merit Place Apartments_Grand Prairie</t>
  </si>
  <si>
    <t>Safari Parkway West_606_Merit Place Apartments_Grand Prairie</t>
  </si>
  <si>
    <t>Safari Parkway West</t>
  </si>
  <si>
    <t>Merit Place Apartments</t>
  </si>
  <si>
    <t>E:\PropInv\MF\Grand Prairie\Tarrant Road West_201_Mill Valley Apartments_Grand Prairie</t>
  </si>
  <si>
    <t>Tarrant Road West_201_Mill Valley Apartments_Grand Prairie</t>
  </si>
  <si>
    <t>E:\PropInv\MF\Grand Prairie\Center Street South_8112_Raintree Apartments_Grand Prairie</t>
  </si>
  <si>
    <t>Center Street South_8112_Raintree Apartments_Grand Prairie</t>
  </si>
  <si>
    <t>Raintree Apartments</t>
  </si>
  <si>
    <t>E:\PropInv\MF\Grand Prairie\Pioneer Parkway West_602_Royal Oaks Manor_Grand Prairie</t>
  </si>
  <si>
    <t>Pioneer Parkway West_602_Royal Oaks Manor_Grand Prairie</t>
  </si>
  <si>
    <t>E:\PropInv\MF\Grand Prairie\Skyline Circle_201_Skyline Apartments_Grand Prairie</t>
  </si>
  <si>
    <t>Skyline Circle_201_Skyline Apartments_Grand Prairie</t>
  </si>
  <si>
    <t>Skyline Circle</t>
  </si>
  <si>
    <t>Skyline Apartments</t>
  </si>
  <si>
    <t>E:\PropInv\MF\Grand Prairie\360 State Highway North_1450_The Fairways_Grand Prairie</t>
  </si>
  <si>
    <t>360 State Highway North_1450_The Fairways_Grand Prairie</t>
  </si>
  <si>
    <t>The Fairways</t>
  </si>
  <si>
    <t>E:\PropInv\MF\Grand Prairie\Freeway Street West_1933_Tree Top Apartments_Grand Prairie</t>
  </si>
  <si>
    <t>Freeway Street West_1933_Tree Top Apartments_Grand Prairie</t>
  </si>
  <si>
    <t>Freeway Street West</t>
  </si>
  <si>
    <t>Tree Top Apartments</t>
  </si>
  <si>
    <t>E:\PropInv\MF\Grand Prairie\Dickey Road West_511_Village On The Park_Grand Prairie</t>
  </si>
  <si>
    <t>Dickey Road West_511_Village On The Park_Grand Prairie</t>
  </si>
  <si>
    <t>Village On The Park</t>
  </si>
  <si>
    <t>E:\PropInv\MF\Grand Prairie\Dalworth Street_2377_Vista Verde_Grand Prairie</t>
  </si>
  <si>
    <t>Dalworth Street_2377_Vista Verde_Grand Prairie</t>
  </si>
  <si>
    <t>Dalworth Street</t>
  </si>
  <si>
    <t>E:\PropInv\MF\Grand Prairie\Westchester Parkway West_620_Westchester By Norstar_Grand Prairie</t>
  </si>
  <si>
    <t>Westchester Parkway West_620_Westchester By Norstar_Grand Prairie</t>
  </si>
  <si>
    <t>Westchester Parkway West</t>
  </si>
  <si>
    <t>Westchester By Norstar</t>
  </si>
  <si>
    <t>E:\PropInv\MF\Grand Prairie\Carrier Parkway South_1104_Wright Senior Apartments_Grand Prairie</t>
  </si>
  <si>
    <t>Carrier Parkway South_1104_Wright Senior Apartments_Grand Prairie</t>
  </si>
  <si>
    <t>Carrier Parkway South</t>
  </si>
  <si>
    <t>Wright Senior Apartments</t>
  </si>
  <si>
    <t>E:\PropInv\MF\Grapevine\Worth Street East_421_Contessa Apartment_Grapevine</t>
  </si>
  <si>
    <t>Worth Street East_421_Contessa Apartment_Grapevine</t>
  </si>
  <si>
    <t>Worth Street East</t>
  </si>
  <si>
    <t>Contessa Apartment</t>
  </si>
  <si>
    <t>E:\PropInv\MF\Grapevine\Mustang Drive_2913_Courtyards On Mustang_Grapevine</t>
  </si>
  <si>
    <t>Mustang Drive_2913_Courtyards On Mustang_Grapevine</t>
  </si>
  <si>
    <t>Mustang Drive</t>
  </si>
  <si>
    <t>Courtyards On Mustang</t>
  </si>
  <si>
    <t>E:\PropInv\MF\Grapevine\Park Boulevard North_601_Oaks At Park Boulevard_Grapevine</t>
  </si>
  <si>
    <t>Park Boulevard North_601_Oaks At Park Boulevard_Grapevine</t>
  </si>
  <si>
    <t>Park Boulevard North</t>
  </si>
  <si>
    <t>Oaks At Park Boulevard</t>
  </si>
  <si>
    <t>E:\PropInv\MF\Grapevine\Mustang Drive_3037_Regional Place_Grapevine</t>
  </si>
  <si>
    <t>Mustang Drive_3037_Regional Place_Grapevine</t>
  </si>
  <si>
    <t>E:\PropInv\MF\Grapevine\Mustang Drive_2805_Ridgecrest_Grapevine</t>
  </si>
  <si>
    <t>Mustang Drive_2805_Ridgecrest_Grapevine</t>
  </si>
  <si>
    <t>E:\PropInv\MF\Grapevine\Mustang Drive_3101_Village On The Creek_Grapevine</t>
  </si>
  <si>
    <t>Mustang Drive_3101_Village On The Creek_Grapevine</t>
  </si>
  <si>
    <t>Village On The Creek</t>
  </si>
  <si>
    <t>E:\PropInv\MF\Greenville\Jack Finney Boulevard_6775_Chalet_Greenville</t>
  </si>
  <si>
    <t>Jack Finney Boulevard_6775_Chalet_Greenville</t>
  </si>
  <si>
    <t>Jack Finney Boulevard</t>
  </si>
  <si>
    <t>E:\PropInv\MF\Greenville\Jack Finney Boulevard_6115_Chalet Apartment Homes_Greenville</t>
  </si>
  <si>
    <t>Jack Finney Boulevard_6115_Chalet Apartment Homes_Greenville</t>
  </si>
  <si>
    <t>Chalet Apartment Homes</t>
  </si>
  <si>
    <t>E:\PropInv\MF\Greenville\Joe Ramsey Boulevard_5015_Galleria Apartments_Greenville</t>
  </si>
  <si>
    <t>Joe Ramsey Boulevard_5015_Galleria Apartments_Greenville</t>
  </si>
  <si>
    <t>Joe Ramsey Boulevard</t>
  </si>
  <si>
    <t>Galleria Apartments</t>
  </si>
  <si>
    <t>E:\PropInv\MF\Greenville\Anderson Gibson Road_2650_Grapevine Diamond Condominums_Greenville</t>
  </si>
  <si>
    <t>Anderson Gibson Road_2650_Grapevine Diamond Condominums_Greenville</t>
  </si>
  <si>
    <t>Anderson Gibson Road</t>
  </si>
  <si>
    <t>E:\PropInv\MF\Greenville\30 Interstate Highway_6011_Lakeway Apartments_Greenville</t>
  </si>
  <si>
    <t>30 Interstate Highway_6011_Lakeway Apartments_Greenville</t>
  </si>
  <si>
    <t>30 Interstate Highway</t>
  </si>
  <si>
    <t>Lakeway Apartments</t>
  </si>
  <si>
    <t>E:\PropInv\MF\Greenville\Sayle Street_4701_Sayle Gardens Apartments_Greenville</t>
  </si>
  <si>
    <t>Sayle Street_4701_Sayle Gardens Apartments_Greenville</t>
  </si>
  <si>
    <t>Sayle Street</t>
  </si>
  <si>
    <t>Sayle Gardens Apartments</t>
  </si>
  <si>
    <t>E:\PropInv\MF\Greenville\Stonewall Street_6002_Spanish Trace Apartments_Greenville</t>
  </si>
  <si>
    <t>Stonewall Street_6002_Spanish Trace Apartments_Greenville</t>
  </si>
  <si>
    <t>Stonewall Street</t>
  </si>
  <si>
    <t>Spanish Trace Apartments</t>
  </si>
  <si>
    <t>E:\PropInv\MF\Greenville\Moulton Street_4701_Town East Apartments_Greenville</t>
  </si>
  <si>
    <t>Moulton Street_4701_Town East Apartments_Greenville</t>
  </si>
  <si>
    <t>Moulton Street</t>
  </si>
  <si>
    <t>Town East Apartments</t>
  </si>
  <si>
    <t>E:\PropInv\MF\Groves\Gulfway Drive_5305_Amber_Groves</t>
  </si>
  <si>
    <t>Gulfway Drive_5305_Amber_Groves</t>
  </si>
  <si>
    <t>Gulfway Drive</t>
  </si>
  <si>
    <t>E:\PropInv\MF\Groves\Gulfway Drive_5401_Vincent Park Apartments_Groves</t>
  </si>
  <si>
    <t>Gulfway Drive_5401_Vincent Park Apartments_Groves</t>
  </si>
  <si>
    <t>Vincent Park Apartments</t>
  </si>
  <si>
    <t>E:\PropInv\MF\Haltom City\Jane Lane_3001_Jane Lane_Haltom City</t>
  </si>
  <si>
    <t>Jane Lane_3001_Jane Lane_Haltom City</t>
  </si>
  <si>
    <t>E:\PropInv\MF\Haltom City\Hills Drive North_3501_North Hills Crest_Haltom City</t>
  </si>
  <si>
    <t>Hills Drive North_3501_North Hills Crest_Haltom City</t>
  </si>
  <si>
    <t>Hills Drive North</t>
  </si>
  <si>
    <t>E:\PropInv\MF\Haltom City\Springlake Parkway_5201_The Club At Springlake_Haltom City</t>
  </si>
  <si>
    <t>Springlake Parkway_5201_The Club At Springlake_Haltom City</t>
  </si>
  <si>
    <t>Springlake Parkway</t>
  </si>
  <si>
    <t>The Club At Springlake</t>
  </si>
  <si>
    <t>E:\PropInv\MF\Haltom City\Waldemar Street_4816_Villages Of Savannah_Haltom City</t>
  </si>
  <si>
    <t>Waldemar Street_4816_Villages Of Savannah_Haltom City</t>
  </si>
  <si>
    <t>Waldemar Street</t>
  </si>
  <si>
    <t>Villages Of Savannah</t>
  </si>
  <si>
    <t>E:\PropInv\MF\Harker Heights\Lookout Ridge Boulevard_201_Lookout Ridge Apartments_Harker Heights</t>
  </si>
  <si>
    <t>Lookout Ridge Boulevard_201_Lookout Ridge Apartments_Harker Heights</t>
  </si>
  <si>
    <t>Lookout Ridge Boulevard</t>
  </si>
  <si>
    <t>Lookout Ridge Apartments</t>
  </si>
  <si>
    <t>E:\PropInv\MF\Harlingen\Washington Avenue East_1802-1804_Casa Granda Apartments_Harlingen</t>
  </si>
  <si>
    <t>Washington Avenue East_1802-1804_Casa Granda Apartments_Harlingen</t>
  </si>
  <si>
    <t>Washington Avenue East</t>
  </si>
  <si>
    <t>Casa Granda Apartments</t>
  </si>
  <si>
    <t>E:\PropInv\MF\Harlingen\499 Loop South_902_Oak Terrace_Harlingen</t>
  </si>
  <si>
    <t>499 Loop South_902_Oak Terrace_Harlingen</t>
  </si>
  <si>
    <t>499 Loop South</t>
  </si>
  <si>
    <t>E:\PropInv\MF\Harlingen\Sam Houston_1501_Palm Terrace Apartments_Harlingen</t>
  </si>
  <si>
    <t>Sam Houston_1501_Palm Terrace Apartments_Harlingen</t>
  </si>
  <si>
    <t>Palm Terrace Apartments</t>
  </si>
  <si>
    <t>E:\PropInv\MF\Harlingen\Haine Drive_2901_Sierra_Harlingen</t>
  </si>
  <si>
    <t>Haine Drive_2901_Sierra_Harlingen</t>
  </si>
  <si>
    <t>Haine Drive</t>
  </si>
  <si>
    <t>E:\PropInv\MF\Harlingen\Glasscock Street_4402_Somerset Apartments_Harlingen</t>
  </si>
  <si>
    <t>Glasscock Street_4402_Somerset Apartments_Harlingen</t>
  </si>
  <si>
    <t>Glasscock Street</t>
  </si>
  <si>
    <t>E:\PropInv\MF\Harlingen\Oak Hollow_20502_Stone Oak Townhomes_Harlingen</t>
  </si>
  <si>
    <t>Oak Hollow_20502_Stone Oak Townhomes_Harlingen</t>
  </si>
  <si>
    <t>Stone Oak Townhomes</t>
  </si>
  <si>
    <t>E:\PropInv\MF\State_NV\Henderson\Kelso Dunes Road_1350_Adobe Ranch_Henderson</t>
  </si>
  <si>
    <t>Kelso Dunes Road_1350_Adobe Ranch_Henderson</t>
  </si>
  <si>
    <t>Kelso Dunes Road</t>
  </si>
  <si>
    <t>E:\PropInv\MF\Henderson\Fordall Henderson West_900_Point North_Henderson</t>
  </si>
  <si>
    <t>Fordall Henderson West_900_Point North_Henderson</t>
  </si>
  <si>
    <t>Fordall Henderson West</t>
  </si>
  <si>
    <t>E:\PropInv\MF\Houston\Houston South East_123_120 Unit In Houston_Houston</t>
  </si>
  <si>
    <t>Houston South East_123_120 Unit In Houston_Houston</t>
  </si>
  <si>
    <t>Houston South East</t>
  </si>
  <si>
    <t>120 Unit In Houston</t>
  </si>
  <si>
    <t>E:\PropInv\MF\Houston\Fondren Road_12261_12261 Fondren Road_Houston</t>
  </si>
  <si>
    <t>Fondren Road_12261_12261 Fondren Road_Houston</t>
  </si>
  <si>
    <t>Fondren Road</t>
  </si>
  <si>
    <t>12261 Fondren Road</t>
  </si>
  <si>
    <t>E:\PropInv\MF\Houston\Richmond Avenue_3660_36sixty_Houston</t>
  </si>
  <si>
    <t>Richmond Avenue_3660_36sixty_Houston</t>
  </si>
  <si>
    <t>Richmond Avenue</t>
  </si>
  <si>
    <t>36sixty</t>
  </si>
  <si>
    <t>E:\PropInv\MF\Houston\Town Park Drive_8721_6200 Gessner_Houston</t>
  </si>
  <si>
    <t>Town Park Drive_8721_6200 Gessner_Houston</t>
  </si>
  <si>
    <t>Town Park Drive</t>
  </si>
  <si>
    <t>E:\PropInv\MF\Houston\Ella Lee_6434_6434 Ella Lee Lane_Houston</t>
  </si>
  <si>
    <t>Ella Lee_6434_6434 Ella Lee Lane_Houston</t>
  </si>
  <si>
    <t>Ella Lee</t>
  </si>
  <si>
    <t>6434 Ella Lee Lane</t>
  </si>
  <si>
    <t>E:\PropInv\MF\Houston\Riverway 7_7 Riverway_Houston</t>
  </si>
  <si>
    <t>Riverway 7_7 Riverway_Houston</t>
  </si>
  <si>
    <t>Riverway</t>
  </si>
  <si>
    <t>E:\PropInv\MF\Houston\Sommerall Drive_6777_Alexan Sommerall_Houston</t>
  </si>
  <si>
    <t>Sommerall Drive_6777_Alexan Sommerall_Houston</t>
  </si>
  <si>
    <t>Sommerall Drive</t>
  </si>
  <si>
    <t>E:\PropInv\MF\Houston\Richmond Avenue_2300_Alexan Upper Kirby_Houston</t>
  </si>
  <si>
    <t>Richmond Avenue_2300_Alexan Upper Kirby_Houston</t>
  </si>
  <si>
    <t>E:\PropInv\MF\Houston\Antoine Drive_5555_Antoine Drive_Houston</t>
  </si>
  <si>
    <t>Antoine Drive_5555_Antoine Drive_Houston</t>
  </si>
  <si>
    <t>Antoine Drive</t>
  </si>
  <si>
    <t>E:\PropInv\MF\Houston\Imperial Valley Drive_22921_Arbor Ridge_Houston</t>
  </si>
  <si>
    <t>Imperial Valley Drive_22921_Arbor Ridge_Houston</t>
  </si>
  <si>
    <t>Imperial Valley Drive</t>
  </si>
  <si>
    <t>E:\PropInv\MF\Houston\Dairy Ashford_2700_Ashford Park_Houston</t>
  </si>
  <si>
    <t>Dairy Ashford_2700_Ashford Park_Houston</t>
  </si>
  <si>
    <t>Dairy Ashford</t>
  </si>
  <si>
    <t>Ashford Park</t>
  </si>
  <si>
    <t>E:\PropInv\MF\Houston\Windswept Lane_6330_Ashley Square_Houston</t>
  </si>
  <si>
    <t>Windswept Lane_6330_Ashley Square_Houston</t>
  </si>
  <si>
    <t>Windswept Lane</t>
  </si>
  <si>
    <t>E:\PropInv\MF\Houston\Ella Boulevard_13800_Bayou Oaks_Houston</t>
  </si>
  <si>
    <t>Ella Boulevard_13800_Bayou Oaks_Houston</t>
  </si>
  <si>
    <t>Ella Boulevard</t>
  </si>
  <si>
    <t>E:\PropInv\MF\Houston\Witte Road_1500_Bermuda Woods_Houston</t>
  </si>
  <si>
    <t>Witte Road_1500_Bermuda Woods_Houston</t>
  </si>
  <si>
    <t>Witte Road</t>
  </si>
  <si>
    <t>E:\PropInv\MF\Houston\Bissonnet Street_7500_Bissonnet Gardens_Houston</t>
  </si>
  <si>
    <t>Bissonnet Street_7500_Bissonnet Gardens_Houston</t>
  </si>
  <si>
    <t>Bissonnet Street</t>
  </si>
  <si>
    <t>E:\PropInv\MF\Houston\Blalock Road_1111_Blalock Woods_Houston</t>
  </si>
  <si>
    <t>Blalock Road_1111_Blalock Woods_Houston</t>
  </si>
  <si>
    <t>Blalock Road</t>
  </si>
  <si>
    <t>E:\PropInv\MF\Houston\Fondren Road_9100_Boardwalk_Houston</t>
  </si>
  <si>
    <t>Fondren Road_9100_Boardwalk_Houston</t>
  </si>
  <si>
    <t>E:\PropInv\MF\Houston\Braeswood South_8800_Braeswood Atrium_Houston</t>
  </si>
  <si>
    <t>Braeswood South_8800_Braeswood Atrium_Houston</t>
  </si>
  <si>
    <t>Braeswood South</t>
  </si>
  <si>
    <t>E:\PropInv\MF\Houston\Breton Ridge Street_13555_Breton Mill_Houston</t>
  </si>
  <si>
    <t>Breton Ridge Street_13555_Breton Mill_Houston</t>
  </si>
  <si>
    <t>Breton Ridge Street</t>
  </si>
  <si>
    <t>E:\PropInv\MF\Houston\Broadway Boulevard_8751_Broadway Square_Houston</t>
  </si>
  <si>
    <t>Broadway Boulevard_8751_Broadway Square_Houston</t>
  </si>
  <si>
    <t>Broadway Square</t>
  </si>
  <si>
    <t>E:\PropInv\MF\Houston\Brompton Street_7510_Brompton Court_Houston</t>
  </si>
  <si>
    <t>Brompton Street_7510_Brompton Court_Houston</t>
  </si>
  <si>
    <t>Brompton Street</t>
  </si>
  <si>
    <t>E:\PropInv\MF\Houston\Wooded Pine_1601_Candleridge Park_Houston</t>
  </si>
  <si>
    <t>Wooded Pine_1601_Candleridge Park_Houston</t>
  </si>
  <si>
    <t>E:\PropInv\MF\Houston\Hollow Tree_100_Carriage Hill_Houston</t>
  </si>
  <si>
    <t>Hollow Tree_100_Carriage Hill_Houston</t>
  </si>
  <si>
    <t>Carriage Hill</t>
  </si>
  <si>
    <t>E:\PropInv\MF\Houston\Court Glen Drive_9700_Casa Nube En Bissonnet_Houston</t>
  </si>
  <si>
    <t>Court Glen Drive_9700_Casa Nube En Bissonnet_Houston</t>
  </si>
  <si>
    <t>Court Glen Drive</t>
  </si>
  <si>
    <t>Casa Nube En Bissonnet</t>
  </si>
  <si>
    <t>E:\PropInv\MF\Houston\Court Glen_9700_Casa Nube On Bissonet_Houston</t>
  </si>
  <si>
    <t>Court Glen_9700_Casa Nube On Bissonet_Houston</t>
  </si>
  <si>
    <t>Court Glen</t>
  </si>
  <si>
    <t>Casa Nube On Bissonet</t>
  </si>
  <si>
    <t>E:\PropInv\MF\Houston\Memorial Drive_14800_CDPB Residential Portfolio_Houston</t>
  </si>
  <si>
    <t>Memorial Drive_14800_CDPB Residential Portfolio_Houston</t>
  </si>
  <si>
    <t>Memorial Drive</t>
  </si>
  <si>
    <t>CDPB Residential Portfolio</t>
  </si>
  <si>
    <t>E:\PropInv\MF\Houston\Cedar Post_1207_Cedar Branch_Houston</t>
  </si>
  <si>
    <t>Cedar Post_1207_Cedar Branch_Houston</t>
  </si>
  <si>
    <t>E:\PropInv\MF\Houston\Fulton Street_4411_Central Apartments_Houston</t>
  </si>
  <si>
    <t>Fulton Street_4411_Central Apartments_Houston</t>
  </si>
  <si>
    <t>Central Apartments</t>
  </si>
  <si>
    <t>E:\PropInv\MF\Houston\Travis Street_2100_Central Square Plaza_Houston</t>
  </si>
  <si>
    <t>Travis Street_2100_Central Square Plaza_Houston</t>
  </si>
  <si>
    <t>E:\PropInv\MF\Houston\Wunderlich Road_14150_Champion Oaks_Houston</t>
  </si>
  <si>
    <t>Wunderlich Road_14150_Champion Oaks_Houston</t>
  </si>
  <si>
    <t>Wunderlich Road</t>
  </si>
  <si>
    <t>E:\PropInv\MF\Houston\Champsion Centre Drive_13222_Champions Centre_Houston</t>
  </si>
  <si>
    <t>Champsion Centre Drive_13222_Champions Centre_Houston</t>
  </si>
  <si>
    <t>Champsion Centre Drive</t>
  </si>
  <si>
    <t>E:\PropInv\MF\Houston\Champions Park Drive_13050_Champions Park_Houston</t>
  </si>
  <si>
    <t>Champions Park Drive_13050_Champions Park_Houston</t>
  </si>
  <si>
    <t>Champions Park Drive</t>
  </si>
  <si>
    <t>E:\PropInv\MF\Houston\Westward Street_5621_Chateaux Carmel_Houston</t>
  </si>
  <si>
    <t>Westward Street_5621_Chateaux Carmel_Houston</t>
  </si>
  <si>
    <t>Westward Street</t>
  </si>
  <si>
    <t>E:\PropInv\MF\Houston\Spice Lane_10027_Claridge Apartments_Houston</t>
  </si>
  <si>
    <t>Spice Lane_10027_Claridge Apartments_Houston</t>
  </si>
  <si>
    <t>Spice Lane</t>
  </si>
  <si>
    <t>Claridge Apartments</t>
  </si>
  <si>
    <t>E:\PropInv\MF\Houston\Clarke Springs Drive_15706_Clarke Springs__Houston</t>
  </si>
  <si>
    <t>Clarke Springs Drive_15706_Clarke Springs__Houston</t>
  </si>
  <si>
    <t>Clarke Springs Drive</t>
  </si>
  <si>
    <t>E:\PropInv\MF\Houston\Long Point_9550_Cornerstone Chase_Houston</t>
  </si>
  <si>
    <t>Long Point_9550_Cornerstone Chase_Houston</t>
  </si>
  <si>
    <t>E:\PropInv\MF\Houston\Creekbend Drive_7600_Creekbend_Houston</t>
  </si>
  <si>
    <t>Creekbend Drive_7600_Creekbend_Houston</t>
  </si>
  <si>
    <t>Creekbend Drive</t>
  </si>
  <si>
    <t>E:\PropInv\MF\Houston\Lockfield_4200_Crossing At Willowbend_Houston</t>
  </si>
  <si>
    <t>Lockfield_4200_Crossing At Willowbend_Houston</t>
  </si>
  <si>
    <t>Crossing At Willowbend</t>
  </si>
  <si>
    <t>E:\PropInv\MF\Houston\Crosswinds Drive_14810_Crosswinds_Houston</t>
  </si>
  <si>
    <t>Crosswinds Drive_14810_Crosswinds_Houston</t>
  </si>
  <si>
    <t>Crosswinds Drive</t>
  </si>
  <si>
    <t>E:\PropInv\MF\Houston\Bammelwood_2331_Cypress Ridge_Houston</t>
  </si>
  <si>
    <t>Bammelwood_2331_Cypress Ridge_Houston</t>
  </si>
  <si>
    <t>E:\PropInv\MF\Houston\Antonie Drive_6407_Diamond Ridge Apartment Homes_Houston</t>
  </si>
  <si>
    <t>Antonie Drive_6407_Diamond Ridge Apartment Homes_Houston</t>
  </si>
  <si>
    <t>Antonie Drive</t>
  </si>
  <si>
    <t>Diamond Ridge Apartment Homes</t>
  </si>
  <si>
    <t>E:\PropInv\MF\Houston\Texas Avenue_1114_Downtown Houston_Houston</t>
  </si>
  <si>
    <t>Texas Avenue_1114_Downtown Houston_Houston</t>
  </si>
  <si>
    <t>E:\PropInv\MF\Houston\Mesa Drive_9700_Dyersdale Village_Houston</t>
  </si>
  <si>
    <t>Mesa Drive_9700_Dyersdale Village_Houston</t>
  </si>
  <si>
    <t>Mesa Drive</t>
  </si>
  <si>
    <t>E:\PropInv\MF\Houston\Shadowbriar Drive_2840_Estancia At Shadowlake_Houston</t>
  </si>
  <si>
    <t>Shadowbriar Drive_2840_Estancia At Shadowlake_Houston</t>
  </si>
  <si>
    <t>Shadowbriar Drive</t>
  </si>
  <si>
    <t>Estancia At Shadowlake</t>
  </si>
  <si>
    <t>E:\PropInv\MF\Houston\Evergreen Drive_3499_Evergreen Apartments_Houston</t>
  </si>
  <si>
    <t>Evergreen Drive_3499_Evergreen Apartments_Houston</t>
  </si>
  <si>
    <t>Evergreen Drive</t>
  </si>
  <si>
    <t>Evergreen Apartments</t>
  </si>
  <si>
    <t>E:\PropInv\MF\Houston\Dunlavy Street_777_Exceptional Houston Multi-Housing Portfolio_Houston</t>
  </si>
  <si>
    <t>Dunlavy Street_777_Exceptional Houston Multi-Housing Portfolio_Houston</t>
  </si>
  <si>
    <t>Dunlavy Street</t>
  </si>
  <si>
    <t>Exceptional Houston Multi-Housing Portfolio</t>
  </si>
  <si>
    <t>E:\PropInv\MF\Houston\Blue Ash Drive_15615_Fairfield Cove Apartments_Houston</t>
  </si>
  <si>
    <t>Blue Ash Drive_15615_Fairfield Cove Apartments_Houston</t>
  </si>
  <si>
    <t>Blue Ash Drive</t>
  </si>
  <si>
    <t>Fairfield Cove Apartments</t>
  </si>
  <si>
    <t>E:\PropInv\MF\Houston\Westbrae Parkway_10750_Fairfield Trails_Houston</t>
  </si>
  <si>
    <t>Westbrae Parkway_10750_Fairfield Trails_Houston</t>
  </si>
  <si>
    <t>Westbrae Parkway</t>
  </si>
  <si>
    <t>E:\PropInv\MF\Houston\Greens Parkway_1415_Fall Lake_Houston</t>
  </si>
  <si>
    <t>Greens Parkway_1415_Fall Lake_Houston</t>
  </si>
  <si>
    <t>Greens Parkway</t>
  </si>
  <si>
    <t>E:\PropInv\MF\Houston\Plaza Verde Drive_201_Fallbrook_Houston</t>
  </si>
  <si>
    <t>Plaza Verde Drive_201_Fallbrook_Houston</t>
  </si>
  <si>
    <t>Plaza Verde Drive</t>
  </si>
  <si>
    <t>E:\PropInv\MF\Houston\6 Highway North_9140_Falls at Copper Lake_Houston</t>
  </si>
  <si>
    <t>6 Highway North_9140_Falls at Copper Lake_Houston</t>
  </si>
  <si>
    <t>6 Highway North</t>
  </si>
  <si>
    <t>Falls at Copper Lake</t>
  </si>
  <si>
    <t>E:\PropInv\MF\Houston\Grow Lane_8103_Fawndale_Houston</t>
  </si>
  <si>
    <t>Grow Lane_8103_Fawndale_Houston</t>
  </si>
  <si>
    <t>Grow Lane</t>
  </si>
  <si>
    <t>E:\PropInv\MF\Houston\Augusta Drive_2660_Gables Augusta_Houston</t>
  </si>
  <si>
    <t>Augusta Drive_2660_Gables Augusta_Houston</t>
  </si>
  <si>
    <t>Augusta Drive</t>
  </si>
  <si>
    <t>Gables Augusta</t>
  </si>
  <si>
    <t>E:\PropInv\MF\Houston\Pin Oak Park Drive_4848_Gables Pin Oak Park - Green_Houston</t>
  </si>
  <si>
    <t>Pin Oak Park Drive_4848_Gables Pin Oak Park - Green_Houston</t>
  </si>
  <si>
    <t>Pin Oak Park Drive</t>
  </si>
  <si>
    <t>Gables Pin Oak Park - Green</t>
  </si>
  <si>
    <t>E:\PropInv\MF\Houston\Shepherd Drive North_3405_Garden Oaks Condos_Houston</t>
  </si>
  <si>
    <t>Shepherd Drive North_3405_Garden Oaks Condos_Houston</t>
  </si>
  <si>
    <t>Shepherd Drive North</t>
  </si>
  <si>
    <t>Garden Oaks Condos</t>
  </si>
  <si>
    <t>E:\PropInv\MF\Houston\Gustine Lane_8701-8801_Glendale Park Apartments_Houston</t>
  </si>
  <si>
    <t>Gustine Lane_8701-8801_Glendale Park Apartments_Houston</t>
  </si>
  <si>
    <t>Gustine Lane</t>
  </si>
  <si>
    <t>8701-8801</t>
  </si>
  <si>
    <t>Glendale Park Apartments</t>
  </si>
  <si>
    <t>E:\PropInv\MF\Houston\Winkler Drive_8311_Glenview Apartments_Houston</t>
  </si>
  <si>
    <t>Winkler Drive_8311_Glenview Apartments_Houston</t>
  </si>
  <si>
    <t>Glenview Apartments</t>
  </si>
  <si>
    <t>E:\PropInv\MF\Houston\Richcrest Drive_818_Greenbriar Park North_Houston</t>
  </si>
  <si>
    <t>Richcrest Drive_818_Greenbriar Park North_Houston</t>
  </si>
  <si>
    <t>Richcrest Drive</t>
  </si>
  <si>
    <t>E:\PropInv\MF\Houston\Ranchester Drive_6200_Hamilton Court_Houston</t>
  </si>
  <si>
    <t>Ranchester Drive_6200_Hamilton Court_Houston</t>
  </si>
  <si>
    <t>Ranchester Drive</t>
  </si>
  <si>
    <t>Hamilton Court</t>
  </si>
  <si>
    <t>E:\PropInv\MF\Houston\Kieth Horrow Boulevard_16160_Harpers Mill_Houston</t>
  </si>
  <si>
    <t>Kieth Horrow Boulevard_16160_Harpers Mill_Houston</t>
  </si>
  <si>
    <t>Kieth Horrow Boulevard</t>
  </si>
  <si>
    <t>E:\PropInv\MF\Houston\Braeswood South_9001_Heatherwood_Houston</t>
  </si>
  <si>
    <t>Braeswood South_9001_Heatherwood_Houston</t>
  </si>
  <si>
    <t>E:\PropInv\MF\Houston\Skyline Drive_6360_Hidden Pines_Houston</t>
  </si>
  <si>
    <t>Skyline Drive_6360_Hidden Pines_Houston</t>
  </si>
  <si>
    <t>Skyline Drive</t>
  </si>
  <si>
    <t>Hidden Pines</t>
  </si>
  <si>
    <t>E:\PropInv\MF\Houston\Hayes Road_3131_Holiday on Hayes_Houston</t>
  </si>
  <si>
    <t>Hayes Road_3131_Holiday on Hayes_Houston</t>
  </si>
  <si>
    <t>Hayes Road</t>
  </si>
  <si>
    <t>Holiday on Hayes</t>
  </si>
  <si>
    <t>E:\PropInv\MF\Houston\Hollyvale Road_423_Hollyvale Apartment Community_Houston</t>
  </si>
  <si>
    <t>Hollyvale Road_423_Hollyvale Apartment Community_Houston</t>
  </si>
  <si>
    <t>Hollyvale Road</t>
  </si>
  <si>
    <t>Hollyvale Apartment Community</t>
  </si>
  <si>
    <t>E:\PropInv\MF\Houston\Lake Houston Parkway South_5830_Hunterwood_Houston</t>
  </si>
  <si>
    <t>Lake Houston Parkway South_5830_Hunterwood_Houston</t>
  </si>
  <si>
    <t>Lake Houston Parkway South</t>
  </si>
  <si>
    <t>E:\PropInv\MF\Houston\Bellfort Street West_11675_Idlewood Park_Houston</t>
  </si>
  <si>
    <t>Bellfort Street West_11675_Idlewood Park_Houston</t>
  </si>
  <si>
    <t>Bellfort Street West</t>
  </si>
  <si>
    <t>E:\PropInv\MF\Houston\Cotillion Drive_16001_Imperial Landing_Houston</t>
  </si>
  <si>
    <t>Cotillion Drive_16001_Imperial Landing_Houston</t>
  </si>
  <si>
    <t>Cotillion Drive</t>
  </si>
  <si>
    <t>E:\PropInv\MF\Houston\Watonga Boulevard_3700_Indian Springs_Houston</t>
  </si>
  <si>
    <t>Watonga Boulevard_3700_Indian Springs_Houston</t>
  </si>
  <si>
    <t>Watonga Boulevard</t>
  </si>
  <si>
    <t>E:\PropInv\MF\Houston\Nathaniel Houston _9220_Indigo Falls_Houston</t>
  </si>
  <si>
    <t>Nathaniel Houston _9220_Indigo Falls_Houston</t>
  </si>
  <si>
    <t xml:space="preserve">Nathaniel Houston </t>
  </si>
  <si>
    <t>E:\PropInv\MF\Houston\Antoine Drive_9021_Inwood Meadows_Houston</t>
  </si>
  <si>
    <t>Antoine Drive_9021_Inwood Meadows_Houston</t>
  </si>
  <si>
    <t>E:\PropInv\MF\Houston\Gulf Bank West_5300_Inwood Properties_Houston</t>
  </si>
  <si>
    <t>Gulf Bank West_5300_Inwood Properties_Houston</t>
  </si>
  <si>
    <t>Gulf Bank West</t>
  </si>
  <si>
    <t>Inwood Properties</t>
  </si>
  <si>
    <t>E:\PropInv\MF\Houston\Gulfton Street_6200_Jefferson House_Houston</t>
  </si>
  <si>
    <t>Gulfton Street_6200_Jefferson House_Houston</t>
  </si>
  <si>
    <t>Gulfton Street</t>
  </si>
  <si>
    <t>E:\PropInv\MF\Houston\Kings Gate Circle_7298_Kingsgate Village_Houston</t>
  </si>
  <si>
    <t>Kings Gate Circle_7298_Kingsgate Village_Houston</t>
  </si>
  <si>
    <t>Kings Gate Circle</t>
  </si>
  <si>
    <t>Kingsgate Village</t>
  </si>
  <si>
    <t>E:\PropInv\MF\Houston\Sunnyside Street_200_La Casita_Houston</t>
  </si>
  <si>
    <t>Sunnyside Street_200_La Casita_Houston</t>
  </si>
  <si>
    <t>Sunnyside Street</t>
  </si>
  <si>
    <t>E:\PropInv\MF\Houston\Ella Boulevard_15530_La Jolla Champions on Ella_Houston</t>
  </si>
  <si>
    <t>Ella Boulevard_15530_La Jolla Champions on Ella_Houston</t>
  </si>
  <si>
    <t>E:\PropInv\MF\Houston\Gasmer Drive_5525_La Peak Apartments_Houston</t>
  </si>
  <si>
    <t>Gasmer Drive_5525_La Peak Apartments_Houston</t>
  </si>
  <si>
    <t>Gasmer Drive</t>
  </si>
  <si>
    <t>La Peak Apartments</t>
  </si>
  <si>
    <t>E:\PropInv\MF\Houston\1960 FM Road West_5007_Lexington At Champions_Houston</t>
  </si>
  <si>
    <t>1960 FM Road West_5007_Lexington At Champions_Houston</t>
  </si>
  <si>
    <t>1960 FM Road West</t>
  </si>
  <si>
    <t>Lexington At Champions</t>
  </si>
  <si>
    <t>E:\PropInv\MF\Houston\Sunfrorest Drive West_5801_Luxor Park_Houston</t>
  </si>
  <si>
    <t>Sunfrorest Drive West_5801_Luxor Park_Houston</t>
  </si>
  <si>
    <t>Sunfrorest Drive West</t>
  </si>
  <si>
    <t>E:\PropInv\MF\Houston\Overbrook Lane_12200_Mansions of Shadowbriar_Houston</t>
  </si>
  <si>
    <t>Overbrook Lane_12200_Mansions of Shadowbriar_Houston</t>
  </si>
  <si>
    <t>Overbrook Lane</t>
  </si>
  <si>
    <t>E:\PropInv\MF\Houston\Fulton Street_8217_Meadow Lea Apartments_Houston</t>
  </si>
  <si>
    <t>Fulton Street_8217_Meadow Lea Apartments_Houston</t>
  </si>
  <si>
    <t>Meadow Lea Apartments</t>
  </si>
  <si>
    <t>E:\PropInv\MF\Houston\Walker Street_1121_Melrose Building_Houston</t>
  </si>
  <si>
    <t>Walker Street_1121_Melrose Building_Houston</t>
  </si>
  <si>
    <t>Walker Street</t>
  </si>
  <si>
    <t>E:\PropInv\MF\Houston\Memorial Drive_5400_Memorial Towers_Houston</t>
  </si>
  <si>
    <t>Memorial Drive_5400_Memorial Towers_Houston</t>
  </si>
  <si>
    <t>E:\PropInv\MF\Houston\Dunlap Street_6500_Milagro Plaza_Houston</t>
  </si>
  <si>
    <t>Dunlap Street_6500_Milagro Plaza_Houston</t>
  </si>
  <si>
    <t>Dunlap Street</t>
  </si>
  <si>
    <t>E:\PropInv\MF\Houston\Autumn Wood_805_New Apartments_Houston</t>
  </si>
  <si>
    <t>Autumn Wood_805_New Apartments_Houston</t>
  </si>
  <si>
    <t>New Apartments</t>
  </si>
  <si>
    <t>E:\PropInv\MF\Houston\Braeswood North_5410_Nob Hill_Houston</t>
  </si>
  <si>
    <t>Braeswood North_5410_Nob Hill_Houston</t>
  </si>
  <si>
    <t>Braeswood North</t>
  </si>
  <si>
    <t>E:\PropInv\MF\Houston\Hafer Road_17111_Northbrooke Apartment Homes_Houston</t>
  </si>
  <si>
    <t>Hafer Road_17111_Northbrooke Apartment Homes_Houston</t>
  </si>
  <si>
    <t>Hafer Road</t>
  </si>
  <si>
    <t>Northbrooke Apartment Homes</t>
  </si>
  <si>
    <t>E:\PropInv\MF\Houston\Cypress Trace Road_18001_Northwoods_Houston</t>
  </si>
  <si>
    <t>Cypress Trace Road_18001_Northwoods_Houston</t>
  </si>
  <si>
    <t>Cypress Trace Road</t>
  </si>
  <si>
    <t>E:\PropInv\MF\Houston\Rushcreek Drive_633_Oakridge Apartments_Houston</t>
  </si>
  <si>
    <t>Rushcreek Drive_633_Oakridge Apartments_Houston</t>
  </si>
  <si>
    <t>Rushcreek Drive</t>
  </si>
  <si>
    <t>Oakridge Apartments</t>
  </si>
  <si>
    <t>E:\PropInv\MF\Houston\Cypress Station_1000_Oaks Of Cypress Station_Houston</t>
  </si>
  <si>
    <t>Cypress Station_1000_Oaks Of Cypress Station_Houston</t>
  </si>
  <si>
    <t>Oaks Of Cypress Station</t>
  </si>
  <si>
    <t>E:\PropInv\MF\Houston\Antonie Drive_5555_Oaks on Antonie_Houston</t>
  </si>
  <si>
    <t>Antonie Drive_5555_Oaks on Antonie_Houston</t>
  </si>
  <si>
    <t>Oaks on Antonie</t>
  </si>
  <si>
    <t>E:\PropInv\MF\Houston\Antonie Drive_5625_Oakwood Gardens_Houston</t>
  </si>
  <si>
    <t>Antonie Drive_5625_Oakwood Gardens_Houston</t>
  </si>
  <si>
    <t>E:\PropInv\MF\Houston\Old Farm Road_2500_Old Farm_Houston</t>
  </si>
  <si>
    <t>Old Farm Road_2500_Old Farm_Houston</t>
  </si>
  <si>
    <t>Old Farm Road</t>
  </si>
  <si>
    <t>Old Farm</t>
  </si>
  <si>
    <t>E:\PropInv\MF\Houston\Antonie Drive_12411_One Camden Court_Houston</t>
  </si>
  <si>
    <t>Antonie Drive_12411_One Camden Court_Houston</t>
  </si>
  <si>
    <t>E:\PropInv\MF\Houston\Westheimer Road_6425_Palms On Westheimer_Houston</t>
  </si>
  <si>
    <t>Westheimer Road_6425_Palms On Westheimer_Houston</t>
  </si>
  <si>
    <t>Westheimer Road</t>
  </si>
  <si>
    <t>Palms On Westheimer</t>
  </si>
  <si>
    <t>E:\PropInv\MF\Houston\Voss Road South_2424_Park at Voss_Houston</t>
  </si>
  <si>
    <t>Voss Road South_2424_Park at Voss_Houston</t>
  </si>
  <si>
    <t>Voss Road South</t>
  </si>
  <si>
    <t>Park at Voss</t>
  </si>
  <si>
    <t>E:\PropInv\MF\Houston\Woodfair Drive_9303_Park Place_Houston</t>
  </si>
  <si>
    <t>Woodfair Drive_9303_Park Place_Houston</t>
  </si>
  <si>
    <t>Woodfair Drive</t>
  </si>
  <si>
    <t>E:\PropInv\MF\Houston\Cook Road_7000_Parque At Bellaire_Houston</t>
  </si>
  <si>
    <t>Cook Road_7000_Parque At Bellaire_Houston</t>
  </si>
  <si>
    <t>Cook Road</t>
  </si>
  <si>
    <t>Parque At Bellaire</t>
  </si>
  <si>
    <t>E:\PropInv\MF\Houston\Main Street North_4725_Pecan Villas_Houston</t>
  </si>
  <si>
    <t>Main Street North_4725_Pecan Villas_Houston</t>
  </si>
  <si>
    <t>Main Street North</t>
  </si>
  <si>
    <t>E:\PropInv\MF\Houston\Pine Chase_1717_Pine Chase Apartments_Houston</t>
  </si>
  <si>
    <t>Pine Chase_1717_Pine Chase Apartments_Houston</t>
  </si>
  <si>
    <t>Pine Chase Apartments</t>
  </si>
  <si>
    <t>E:\PropInv\MF\Houston\Thousand Oaks_5700_Pine Ridge Place_Houston</t>
  </si>
  <si>
    <t>Thousand Oaks_5700_Pine Ridge Place_Houston</t>
  </si>
  <si>
    <t>E:\PropInv\MF\Houston\O'Meara_3901_Pine Terrace Apartments_Houston</t>
  </si>
  <si>
    <t>O'Meara_3901_Pine Terrace Apartments_Houston</t>
  </si>
  <si>
    <t>Pine Terrace Apartments</t>
  </si>
  <si>
    <t>E:\PropInv\MF\Houston\Dunlap Street_12500_Pines of Westbury_Houston</t>
  </si>
  <si>
    <t>Dunlap Street_12500_Pines of Westbury_Houston</t>
  </si>
  <si>
    <t>E:\PropInv\MF\Houston\Hamill Road_5601_Pinewood North_Houston</t>
  </si>
  <si>
    <t>Hamill Road_5601_Pinewood North_Houston</t>
  </si>
  <si>
    <t>Hamill Road</t>
  </si>
  <si>
    <t>E:\PropInv\MF\Houston\Woodfair Drive_9502_Premier On woodfair_Houston</t>
  </si>
  <si>
    <t>Woodfair Drive_9502_Premier On woodfair_Houston</t>
  </si>
  <si>
    <t>Premier On woodfair</t>
  </si>
  <si>
    <t>E:\PropInv\MF\Houston\Grow Lane_7835_Quail Creek_Houston</t>
  </si>
  <si>
    <t>Grow Lane_7835_Quail Creek_Houston</t>
  </si>
  <si>
    <t>E:\PropInv\MF\Houston\Redford Street_9406_Redford Square_Houston</t>
  </si>
  <si>
    <t>Redford Street_9406_Redford Square_Houston</t>
  </si>
  <si>
    <t>Redford Street</t>
  </si>
  <si>
    <t>E:\PropInv\MF\Houston\Willowbend Boulevard_6111_Regal Pointe_Houston</t>
  </si>
  <si>
    <t>Willowbend Boulevard_6111_Regal Pointe_Houston</t>
  </si>
  <si>
    <t>Willowbend Boulevard</t>
  </si>
  <si>
    <t>E:\PropInv\MF\Houston\Briar Forest Drive_12951_Renaissance Village at Briar Forest_Houston</t>
  </si>
  <si>
    <t>Briar Forest Drive_12951_Renaissance Village at Briar Forest_Houston</t>
  </si>
  <si>
    <t>Briar Forest Drive</t>
  </si>
  <si>
    <t>Renaissance Village at Briar Forest</t>
  </si>
  <si>
    <t>E:\PropInv\MF\Houston\Normandy Street_450_Riverwalk Apartments_Houston</t>
  </si>
  <si>
    <t>Normandy Street_450_Riverwalk Apartments_Houston</t>
  </si>
  <si>
    <t>Normandy Street</t>
  </si>
  <si>
    <t>E:\PropInv\MF\Houston\Gessner Drive North_1702_Royalgate - Timberwood_Houston</t>
  </si>
  <si>
    <t>Gessner Drive North_1702_Royalgate - Timberwood_Houston</t>
  </si>
  <si>
    <t>Gessner Drive North</t>
  </si>
  <si>
    <t>Royalgate - Timberwood</t>
  </si>
  <si>
    <t>E:\PropInv\MF\Houston\Gessner Drive_1702-1711_Royalgate Timberwood_Houston</t>
  </si>
  <si>
    <t>Gessner Drive_1702-1711_Royalgate Timberwood_Houston</t>
  </si>
  <si>
    <t>1702-1711</t>
  </si>
  <si>
    <t>Royalgate Timberwood</t>
  </si>
  <si>
    <t>E:\PropInv\MF\Houston\Northborough Drive_13502_Sago Palms Apartments_Houston</t>
  </si>
  <si>
    <t>Northborough Drive_13502_Sago Palms Apartments_Houston</t>
  </si>
  <si>
    <t>Northborough Drive</t>
  </si>
  <si>
    <t>Sago Palms Apartments</t>
  </si>
  <si>
    <t>E:\PropInv\MF\Houston\Windchase Boulevard_3003_Savannah Place_Houston</t>
  </si>
  <si>
    <t>Windchase Boulevard_3003_Savannah Place_Houston</t>
  </si>
  <si>
    <t>Windchase Boulevard</t>
  </si>
  <si>
    <t>Savannah Place</t>
  </si>
  <si>
    <t>E:\PropInv\MF\Houston\Main Street_1616_Savoy Houston Hotel_Houston</t>
  </si>
  <si>
    <t>Main Street_1616_Savoy Houston Hotel_Houston</t>
  </si>
  <si>
    <t>Savoy Houston Hotel</t>
  </si>
  <si>
    <t>E:\PropInv\MF\Houston\Seton Lake Drive_7703_Seton Chase_Houston</t>
  </si>
  <si>
    <t>Seton Lake Drive_7703_Seton Chase_Houston</t>
  </si>
  <si>
    <t>Seton Lake Drive</t>
  </si>
  <si>
    <t>E:\PropInv\MF\Houston\34th Street West_4250_Shenandoah Woods_Houston</t>
  </si>
  <si>
    <t>34th Street West_4250_Shenandoah Woods_Houston</t>
  </si>
  <si>
    <t>34th Street West</t>
  </si>
  <si>
    <t>Shenandoah Woods</t>
  </si>
  <si>
    <t>E:\PropInv\MF\Houston\Skyline Drive_6353_Southern Oaks_Houston</t>
  </si>
  <si>
    <t>Skyline Drive_6353_Southern Oaks_Houston</t>
  </si>
  <si>
    <t>E:\PropInv\MF\Houston\Bissonnet Street_6000_Spring Forest Apartments_Houston</t>
  </si>
  <si>
    <t>Bissonnet Street_6000_Spring Forest Apartments_Houston</t>
  </si>
  <si>
    <t>Spring Forest Apartments</t>
  </si>
  <si>
    <t>E:\PropInv\MF\Houston\Club Creek_10000_Spring Rose_Houston</t>
  </si>
  <si>
    <t>Club Creek_10000_Spring Rose_Houston</t>
  </si>
  <si>
    <t>E:\PropInv\MF\Houston\Bissonnet Street_8901_Stoneriver_Houston</t>
  </si>
  <si>
    <t>Bissonnet Street_8901_Stoneriver_Houston</t>
  </si>
  <si>
    <t>E:\PropInv\MF\Houston\Stoney Brook_2717_Stoney Brook_Houston</t>
  </si>
  <si>
    <t>Stoney Brook_2717_Stoney Brook_Houston</t>
  </si>
  <si>
    <t>E:\PropInv\MF\Houston\Gessner Drive South_7514_Summerfield_Houston</t>
  </si>
  <si>
    <t>Gessner Drive South_7514_Summerfield_Houston</t>
  </si>
  <si>
    <t>Gessner Drive South</t>
  </si>
  <si>
    <t>E:\PropInv\MF\Houston\Uvalde Road_333_Summit Point_Houston</t>
  </si>
  <si>
    <t>Uvalde Road_333_Summit Point_Houston</t>
  </si>
  <si>
    <t>Uvalde Road</t>
  </si>
  <si>
    <t>E:\PropInv\MF\Houston\Village Bend Lane_10901_Suncrest Village Townhomes_Houston</t>
  </si>
  <si>
    <t>Village Bend Lane_10901_Suncrest Village Townhomes_Houston</t>
  </si>
  <si>
    <t>Village Bend Lane</t>
  </si>
  <si>
    <t>Suncrest Village Townhomes</t>
  </si>
  <si>
    <t>E:\PropInv\MF\Houston\Airport Boulevard West_8300_The Bradford_Houston</t>
  </si>
  <si>
    <t>Airport Boulevard West_8300_The Bradford_Houston</t>
  </si>
  <si>
    <t>Airport Boulevard West</t>
  </si>
  <si>
    <t>The Bradford</t>
  </si>
  <si>
    <t>E:\PropInv\MF\Houston\Kuykendahl Road_15915_The Bridges_Houston</t>
  </si>
  <si>
    <t>Kuykendahl Road_15915_The Bridges_Houston</t>
  </si>
  <si>
    <t>Kuykendahl Road</t>
  </si>
  <si>
    <t>E:\PropInv\MF\Houston\Beechnut Street_10215_The Broadmoor_Houston</t>
  </si>
  <si>
    <t>Beechnut Street_10215_The Broadmoor_Houston</t>
  </si>
  <si>
    <t>Beechnut Street</t>
  </si>
  <si>
    <t>E:\PropInv\MF\Houston\Gessner Drive South_6425_The Carlingford_Houston</t>
  </si>
  <si>
    <t>Gessner Drive South_6425_The Carlingford_Houston</t>
  </si>
  <si>
    <t>The Carlingford</t>
  </si>
  <si>
    <t>E:\PropInv\MF\Houston\Road West_14811_The Club At Copperleaf_Houston</t>
  </si>
  <si>
    <t>Road West_14811_The Club At Copperleaf_Houston</t>
  </si>
  <si>
    <t>Road West</t>
  </si>
  <si>
    <t>The Club At Copperleaf</t>
  </si>
  <si>
    <t>E:\PropInv\MF\Houston\TC Jester Boulevard East_2424_The Crossing At White Oak_Houston</t>
  </si>
  <si>
    <t>TC Jester Boulevard East_2424_The Crossing At White Oak_Houston</t>
  </si>
  <si>
    <t>TC Jester Boulevard East</t>
  </si>
  <si>
    <t>The Crossing At White Oak</t>
  </si>
  <si>
    <t>E:\PropInv\MF\Houston\Forum Park Drive_9701_The Madison Apartments_Houston</t>
  </si>
  <si>
    <t>Forum Park Drive_9701_The Madison Apartments_Houston</t>
  </si>
  <si>
    <t>Forum Park Drive</t>
  </si>
  <si>
    <t>The Madison Apartments</t>
  </si>
  <si>
    <t>E:\PropInv\MF\Houston\Southwest Freeway_4100_The Millennium Greenway_Houston</t>
  </si>
  <si>
    <t>Southwest Freeway_4100_The Millennium Greenway_Houston</t>
  </si>
  <si>
    <t>Southwest Freeway</t>
  </si>
  <si>
    <t>The Millennium Greenway</t>
  </si>
  <si>
    <t>E:\PropInv\MF\Houston\Gemini Street_1300_The Palms at Clear Lake_Houston</t>
  </si>
  <si>
    <t>Gemini Street_1300_The Palms at Clear Lake_Houston</t>
  </si>
  <si>
    <t>Gemini Street</t>
  </si>
  <si>
    <t>E:\PropInv\MF\Houston\Briar Forest_11710_The Palms At Kirkwood_Houston</t>
  </si>
  <si>
    <t>Briar Forest_11710_The Palms At Kirkwood_Houston</t>
  </si>
  <si>
    <t>The Palms At Kirkwood</t>
  </si>
  <si>
    <t>E:\PropInv\MF\Houston\1960 FM Road West_5959_The Promenade Champions Forest_Houston</t>
  </si>
  <si>
    <t>1960 FM Road West_5959_The Promenade Champions Forest_Houston</t>
  </si>
  <si>
    <t>E:\PropInv\MF\Houston\TC Jester Boulevard East_1640_The Retreat At City Park_Houston</t>
  </si>
  <si>
    <t>TC Jester Boulevard East_1640_The Retreat At City Park_Houston</t>
  </si>
  <si>
    <t>The Retreat At City Park</t>
  </si>
  <si>
    <t>E:\PropInv\MF\Houston\1960 FM Road_4200_Timberstone_Houston</t>
  </si>
  <si>
    <t>1960 FM Road_4200_Timberstone_Houston</t>
  </si>
  <si>
    <t>1960 FM Road</t>
  </si>
  <si>
    <t>E:\PropInv\MF\Houston\Gessner Drive_1702_Timberwood_Houston</t>
  </si>
  <si>
    <t>Gessner Drive_1702_Timberwood_Houston</t>
  </si>
  <si>
    <t>E:\PropInv\MF\Houston\Dominion Park Drive_200_Trails at Dominion Park_Houston</t>
  </si>
  <si>
    <t>Dominion Park Drive_200_Trails at Dominion Park_Houston</t>
  </si>
  <si>
    <t>Dominion Park Drive</t>
  </si>
  <si>
    <t>Trails at Dominion Park</t>
  </si>
  <si>
    <t>E:\PropInv\MF\Houston\Brant Rock Drive_12710_Trails Of Ashford_Houston</t>
  </si>
  <si>
    <t>Brant Rock Drive_12710_Trails Of Ashford_Houston</t>
  </si>
  <si>
    <t>Brant Rock Drive</t>
  </si>
  <si>
    <t>Trails Of Ashford</t>
  </si>
  <si>
    <t>E:\PropInv\MF\Houston\Windswept Lane_6370_Unity Pointe_Houston</t>
  </si>
  <si>
    <t>Windswept Lane_6370_Unity Pointe_Houston</t>
  </si>
  <si>
    <t>E:\PropInv\MF\Houston\Ashford Point Drive_12630_Vanderbilt Court_Houston</t>
  </si>
  <si>
    <t>Ashford Point Drive_12630_Vanderbilt Court_Houston</t>
  </si>
  <si>
    <t>Ashford Point Drive</t>
  </si>
  <si>
    <t>E:\PropInv\MF\Houston\Conventry Square_9400_Victorian Apartments_Houston</t>
  </si>
  <si>
    <t>Conventry Square_9400_Victorian Apartments_Houston</t>
  </si>
  <si>
    <t>Conventry Square</t>
  </si>
  <si>
    <t>Victorian Apartments</t>
  </si>
  <si>
    <t>E:\PropInv\MF\Houston\Sam Houston Parkway South_10101_Villa Ana_Houston</t>
  </si>
  <si>
    <t>Sam Houston Parkway South_10101_Villa Ana_Houston</t>
  </si>
  <si>
    <t>Sam Houston Parkway South</t>
  </si>
  <si>
    <t>E:\PropInv\MF\Houston\Hammerly Boulevard_8701_Village Park Apartmenr Homes_Houston</t>
  </si>
  <si>
    <t>Hammerly Boulevard_8701_Village Park Apartmenr Homes_Houston</t>
  </si>
  <si>
    <t>Hammerly Boulevard</t>
  </si>
  <si>
    <t>Village Park Apartmenr Homes</t>
  </si>
  <si>
    <t>E:\PropInv\MF\Houston\Airport Road West_6255_Villages Of Fondren_Houston</t>
  </si>
  <si>
    <t>Airport Road West_6255_Villages Of Fondren_Houston</t>
  </si>
  <si>
    <t>Airport Road West</t>
  </si>
  <si>
    <t>Villages Of Fondren</t>
  </si>
  <si>
    <t>E:\PropInv\MF\Houston\Mt. Houston Road_5710_Villages of Innwood_Houston</t>
  </si>
  <si>
    <t>Mt. Houston Road_5710_Villages of Innwood_Houston</t>
  </si>
  <si>
    <t>Mt. Houston Road</t>
  </si>
  <si>
    <t>Villages of Innwood</t>
  </si>
  <si>
    <t>E:\PropInv\MF\Houston\Wakeforest Street_3700_Wakeforest_Houston</t>
  </si>
  <si>
    <t>Wakeforest Street_3700_Wakeforest_Houston</t>
  </si>
  <si>
    <t>Wakeforest Street</t>
  </si>
  <si>
    <t>E:\PropInv\MF\Houston\Woodway Drive_8600_West Point..Creekside_Houston</t>
  </si>
  <si>
    <t>Woodway Drive_8600_West Point..Creekside_Houston</t>
  </si>
  <si>
    <t>West Point..Creekside</t>
  </si>
  <si>
    <t>E:\PropInv\MF\Houston\Richmond Avenue_11355_Westchase Forest_Houston</t>
  </si>
  <si>
    <t>Richmond Avenue_11355_Westchase Forest_Houston</t>
  </si>
  <si>
    <t>E:\PropInv\MF\Houston\Westview Drive_10110_Westview Forest Apartments_Houston</t>
  </si>
  <si>
    <t>Westview Drive_10110_Westview Forest Apartments_Houston</t>
  </si>
  <si>
    <t>Westview Drive</t>
  </si>
  <si>
    <t>Westview Forest Apartments</t>
  </si>
  <si>
    <t>E:\PropInv\MF\Houston\Gulfton Street_6233_Westward Square_Houston</t>
  </si>
  <si>
    <t>Gulfton Street_6233_Westward Square_Houston</t>
  </si>
  <si>
    <t>E:\PropInv\MF\Houston\Sam Houston Parkway North West_2401_Westway Village_Houston</t>
  </si>
  <si>
    <t>Sam Houston Parkway North West_2401_Westway Village_Houston</t>
  </si>
  <si>
    <t>Sam Houston Parkway North West</t>
  </si>
  <si>
    <t>Westway Village</t>
  </si>
  <si>
    <t>E:\PropInv\MF\Houston\Tannehill Drive_2100 &amp; 2121_Whispertree_Houston</t>
  </si>
  <si>
    <t>Tannehill Drive_2100 &amp; 2121_Whispertree_Houston</t>
  </si>
  <si>
    <t>Tannehill Drive</t>
  </si>
  <si>
    <t>2100 &amp; 2121</t>
  </si>
  <si>
    <t>E:\PropInv\MF\Houston\Bissonet Street_9200_Williamstown_Houston</t>
  </si>
  <si>
    <t>Bissonet Street_9200_Williamstown_Houston</t>
  </si>
  <si>
    <t>Bissonet Street</t>
  </si>
  <si>
    <t>E:\PropInv\MF\Houston\Bissonnet Street_9200_Williamstown_Houston</t>
  </si>
  <si>
    <t>Bissonnet Street_9200_Williamstown_Houston</t>
  </si>
  <si>
    <t>E:\PropInv\MF\Houston\Dunlap Street_12800_Willow Ridge_Houston</t>
  </si>
  <si>
    <t>Dunlap Street_12800_Willow Ridge_Houston</t>
  </si>
  <si>
    <t>E:\PropInv\MF\Houston\Westview Drive_9595_windcrest On Westview_Houston</t>
  </si>
  <si>
    <t>Westview Drive_9595_windcrest On Westview_Houston</t>
  </si>
  <si>
    <t>windcrest On Westview</t>
  </si>
  <si>
    <t>E:\PropInv\MF\Houston\Hayes Road_2909_Windemere_Houston</t>
  </si>
  <si>
    <t>Hayes Road_2909_Windemere_Houston</t>
  </si>
  <si>
    <t>E:\PropInv\MF\Houston\1959 FM Road_950_Windjammer Apartments_Houston</t>
  </si>
  <si>
    <t>1959 FM Road_950_Windjammer Apartments_Houston</t>
  </si>
  <si>
    <t>1959 FM Road</t>
  </si>
  <si>
    <t>Windjammer Apartments</t>
  </si>
  <si>
    <t>E:\PropInv\MF\Houston\Corporate Drive_7700_Winfield Park_Houston</t>
  </si>
  <si>
    <t>Corporate Drive_7700_Winfield Park_Houston</t>
  </si>
  <si>
    <t>Corporate Drive</t>
  </si>
  <si>
    <t>Winfield Park</t>
  </si>
  <si>
    <t>E:\PropInv\MF\Houston\Montgomery Road West_11111_Woodglen Village_Houston</t>
  </si>
  <si>
    <t>Montgomery Road West_11111_Woodglen Village_Houston</t>
  </si>
  <si>
    <t>Montgomery Road West</t>
  </si>
  <si>
    <t>E:\PropInv\MF\Houston\Gessner Drive South_9707_Woodscape Apartments_Houston</t>
  </si>
  <si>
    <t>Gessner Drive South_9707_Woodscape Apartments_Houston</t>
  </si>
  <si>
    <t>Woodscape Apartments</t>
  </si>
  <si>
    <t>E:\PropInv\MF\Houston\Fleming Drive_12221_Yorkshire Village_Houston</t>
  </si>
  <si>
    <t>Fleming Drive_12221_Yorkshire Village_Houston</t>
  </si>
  <si>
    <t>Fleming Drive</t>
  </si>
  <si>
    <t>E:\PropInv\MF\Hughes Springs\Pecan South_607_Patman Switch_Hughes Springs</t>
  </si>
  <si>
    <t>Pecan South_607_Patman Switch_Hughes Springs</t>
  </si>
  <si>
    <t>Pecan South</t>
  </si>
  <si>
    <t>E:\PropInv\MF\Humble\59 Highway North_14400_14400 Highway 59 North_Humble</t>
  </si>
  <si>
    <t>59 Highway North_14400_14400 Highway 59 North_Humble</t>
  </si>
  <si>
    <t>59 Highway North</t>
  </si>
  <si>
    <t>14400 Highway 59 North</t>
  </si>
  <si>
    <t>E:\PropInv\MF\Humble\1960 FM Road East_1230_Deerpark Garden_Humble</t>
  </si>
  <si>
    <t>1960 FM Road East_1230_Deerpark Garden_Humble</t>
  </si>
  <si>
    <t>1960 FM Road East</t>
  </si>
  <si>
    <t>Deerpark Garden</t>
  </si>
  <si>
    <t>E:\PropInv\MF\Huntsville\Brazos Drive_1440_Brazos Apartments_Huntsville</t>
  </si>
  <si>
    <t>Brazos Drive_1440_Brazos Apartments_Huntsville</t>
  </si>
  <si>
    <t>Brazos Drive</t>
  </si>
  <si>
    <t>Brazos Apartments</t>
  </si>
  <si>
    <t>E:\PropInv\MF\Huntsville\Bobby K Marks Drive_2209_Cornersstone_Huntsville</t>
  </si>
  <si>
    <t>Bobby K Marks Drive_2209_Cornersstone_Huntsville</t>
  </si>
  <si>
    <t>Bobby K Marks Drive</t>
  </si>
  <si>
    <t>Cornersstone</t>
  </si>
  <si>
    <t>E:\PropInv\MF\Huntsville\Lake Road_2450_Huntsville Apartment Complexes_Huntsville</t>
  </si>
  <si>
    <t>Lake Road_2450_Huntsville Apartment Complexes_Huntsville</t>
  </si>
  <si>
    <t>Lake Road</t>
  </si>
  <si>
    <t>Huntsville Apartment Complexes</t>
  </si>
  <si>
    <t>E:\PropInv\MF\Huntsville\20th Street_2002_Huntsville Apartments_Huntsville</t>
  </si>
  <si>
    <t>20th Street_2002_Huntsville Apartments_Huntsville</t>
  </si>
  <si>
    <t>20th Street</t>
  </si>
  <si>
    <t>Huntsville Apartments</t>
  </si>
  <si>
    <t>E:\PropInv\MF\Huntsville\45 Avenue I_1301_Texas Apartment Complex_Huntsville</t>
  </si>
  <si>
    <t>45 Avenue I_1301_Texas Apartment Complex_Huntsville</t>
  </si>
  <si>
    <t>45 Avenue I</t>
  </si>
  <si>
    <t>Texas Apartment Complex</t>
  </si>
  <si>
    <t>E:\PropInv\MF\Huntsville\Josey Street_1235_Woodcreek_Huntsville</t>
  </si>
  <si>
    <t>Josey Street_1235_Woodcreek_Huntsville</t>
  </si>
  <si>
    <t>Josey Street</t>
  </si>
  <si>
    <t>E:\PropInv\MF\Hurst\Hurst Boulevard East_450_Aspen Square Apartments_Hurst</t>
  </si>
  <si>
    <t>Hurst Boulevard East_450_Aspen Square Apartments_Hurst</t>
  </si>
  <si>
    <t>Hurst Boulevard East</t>
  </si>
  <si>
    <t>Aspen Square Apartments</t>
  </si>
  <si>
    <t>E:\PropInv\MF\Hurst\Cavender Drive_1232_Cavender Manor_Hurst</t>
  </si>
  <si>
    <t>Cavender Drive_1232_Cavender Manor_Hurst</t>
  </si>
  <si>
    <t>Cavender Drive</t>
  </si>
  <si>
    <t>E:\PropInv\MF\Hurst\Norwood Drive_825_Manchester Apartments_Hurst</t>
  </si>
  <si>
    <t>Norwood Drive_825_Manchester Apartments_Hurst</t>
  </si>
  <si>
    <t>Norwood Drive</t>
  </si>
  <si>
    <t>Manchester Apartments</t>
  </si>
  <si>
    <t>E:\PropInv\MF\Hurst\Precinct Line Road_555_Parkside_Hurst</t>
  </si>
  <si>
    <t>Precinct Line Road_555_Parkside_Hurst</t>
  </si>
  <si>
    <t>Precinct Line Road</t>
  </si>
  <si>
    <t>E:\PropInv\MF\Hurst\Pecan Street East_700-706_Pecan Manor_Hurst</t>
  </si>
  <si>
    <t>Pecan Street East_700-706_Pecan Manor_Hurst</t>
  </si>
  <si>
    <t>Pecan Street East</t>
  </si>
  <si>
    <t>700-706</t>
  </si>
  <si>
    <t>Pecan Manor</t>
  </si>
  <si>
    <t>E:\PropInv\MF\Hurst\Brown Trail_601_Sequoia Bend_Hurst</t>
  </si>
  <si>
    <t>Brown Trail_601_Sequoia Bend_Hurst</t>
  </si>
  <si>
    <t>Brown Trail</t>
  </si>
  <si>
    <t>E:\PropInv\MF\Irving\Lake Carolyn Parkway_1001_1001 Lake Carolyn Parkway_Irving</t>
  </si>
  <si>
    <t>Lake Carolyn Parkway_1001_1001 Lake Carolyn Parkway_Irving</t>
  </si>
  <si>
    <t>Lake Carolyn Parkway</t>
  </si>
  <si>
    <t>1001 Lake Carolyn Parkway</t>
  </si>
  <si>
    <t>E:\PropInv\MF\Irving\Pioneer Drive East_1013_1013 Pioneer Drive East_Irving</t>
  </si>
  <si>
    <t>Pioneer Drive East_1013_1013 Pioneer Drive East_Irving</t>
  </si>
  <si>
    <t>Pioneer Drive East</t>
  </si>
  <si>
    <t>1013 Pioneer Drive East</t>
  </si>
  <si>
    <t>E:\PropInv\MF\Irving\Nursery Road North_1306_1306 Nursery Road North_Irving</t>
  </si>
  <si>
    <t>Nursery Road North_1306_1306 Nursery Road North_Irving</t>
  </si>
  <si>
    <t>Nursery Road North</t>
  </si>
  <si>
    <t>1306 Nursery Road North</t>
  </si>
  <si>
    <t>E:\PropInv\MF\Irving\Rolston Road_301_301 Rolston Road_Irving</t>
  </si>
  <si>
    <t>Rolston Road_301_301 Rolston Road_Irving</t>
  </si>
  <si>
    <t>Rolston Road</t>
  </si>
  <si>
    <t>301 Rolston Road</t>
  </si>
  <si>
    <t>E:\PropInv\MF\Irving\Willow Creek Drive_3327_3327 Willow Creek Drive_Irving</t>
  </si>
  <si>
    <t>Willow Creek Drive_3327_3327 Willow Creek Drive_Irving</t>
  </si>
  <si>
    <t>3327 Willow Creek Drive</t>
  </si>
  <si>
    <t>E:\PropInv\MF\Irving\Walnut Hill Lane West_3501_3501 Walnut Hill Lane West_Irving</t>
  </si>
  <si>
    <t>Walnut Hill Lane West_3501_3501 Walnut Hill Lane West_Irving</t>
  </si>
  <si>
    <t>Walnut Hill Lane West</t>
  </si>
  <si>
    <t>3501 Walnut Hill Lane West</t>
  </si>
  <si>
    <t>E:\PropInv\MF\Irving\Northgate Drive West_3703_3703 Northgate Drive West_Irving</t>
  </si>
  <si>
    <t>Northgate Drive West_3703_3703 Northgate Drive West_Irving</t>
  </si>
  <si>
    <t>3703 Northgate Drive West</t>
  </si>
  <si>
    <t>E:\PropInv\MF\Irving\Pioneer Drive West_4500_4500 Pioneer Drive West_Irving</t>
  </si>
  <si>
    <t>Pioneer Drive West_4500_4500 Pioneer Drive West_Irving</t>
  </si>
  <si>
    <t>Pioneer Drive West</t>
  </si>
  <si>
    <t>4500 Pioneer Drive West</t>
  </si>
  <si>
    <t>E:\PropInv\MF\Irving\Airport Freeway East_215_America Best Value Inn &amp; Suites_Irving</t>
  </si>
  <si>
    <t>Airport Freeway East_215_America Best Value Inn &amp; Suites_Irving</t>
  </si>
  <si>
    <t>Airport Freeway East</t>
  </si>
  <si>
    <t>E:\PropInv\MF\Irving\Country Club Drive West_3424_Benchmark_Irving</t>
  </si>
  <si>
    <t>Country Club Drive West_3424_Benchmark_Irving</t>
  </si>
  <si>
    <t>Country Club Drive West</t>
  </si>
  <si>
    <t>E:\PropInv\MF\Irving\Nursery Road South_821_Brentwood Apartments_Irving</t>
  </si>
  <si>
    <t>Nursery Road South_821_Brentwood Apartments_Irving</t>
  </si>
  <si>
    <t>Nursery Road South</t>
  </si>
  <si>
    <t>Brentwood Apartments</t>
  </si>
  <si>
    <t>E:\PropInv\MF\Irving\Rogers Road North_506_Briarcrest Apartments_Irving</t>
  </si>
  <si>
    <t>Rogers Road North_506_Briarcrest Apartments_Irving</t>
  </si>
  <si>
    <t>Rogers Road North</t>
  </si>
  <si>
    <t>Briarcrest Apartments</t>
  </si>
  <si>
    <t>E:\PropInv\MF\Irving\Shoaf Drive_1954_Britian Way Apartments_Irving</t>
  </si>
  <si>
    <t>Shoaf Drive_1954_Britian Way Apartments_Irving</t>
  </si>
  <si>
    <t>Shoaf Drive</t>
  </si>
  <si>
    <t>Britian Way Apartments</t>
  </si>
  <si>
    <t>E:\PropInv\MF\Irving\Irving Boulevard East_1516_Brittney Place Apartments_Irving</t>
  </si>
  <si>
    <t>Irving Boulevard East_1516_Brittney Place Apartments_Irving</t>
  </si>
  <si>
    <t>Irving Boulevard East</t>
  </si>
  <si>
    <t>Brittney Place Apartments</t>
  </si>
  <si>
    <t>E:\PropInv\MF\Irving\Northgate Drive West_4200_Burn Brae_Irving</t>
  </si>
  <si>
    <t>Northgate Drive West_4200_Burn Brae_Irving</t>
  </si>
  <si>
    <t>E:\PropInv\MF\Irving\Chamberlain_903-921_Chamberlain Complex(5 Duplex 2 Minstorage)_Irving</t>
  </si>
  <si>
    <t>Chamberlain_903-921_Chamberlain Complex(5 Duplex 2 Minstorage)_Irving</t>
  </si>
  <si>
    <t>Chamberlain Complex(5 Duplex 2 Minstorage)</t>
  </si>
  <si>
    <t>E:\PropInv\MF\Irving\Nursery Road North_730_Cheyenne Apartments_Irving</t>
  </si>
  <si>
    <t>Nursery Road North_730_Cheyenne Apartments_Irving</t>
  </si>
  <si>
    <t>Cheyenne Apartments</t>
  </si>
  <si>
    <t>E:\PropInv\MF\Irving\Belt Line Road North_3800_Clarendn Apartments_Irving</t>
  </si>
  <si>
    <t>Belt Line Road North_3800_Clarendn Apartments_Irving</t>
  </si>
  <si>
    <t>Clarendn Apartments</t>
  </si>
  <si>
    <t>E:\PropInv\MF\Irving\Belt Line Road North_3800_Clarendon Apartments_Irving</t>
  </si>
  <si>
    <t>Belt Line Road North_3800_Clarendon Apartments_Irving</t>
  </si>
  <si>
    <t>Clarendon Apartments</t>
  </si>
  <si>
    <t>E:\PropInv\MF\Irving\Airport Freeway West_1415_Delujo Embassy Apartments_Irving</t>
  </si>
  <si>
    <t>Airport Freeway West_1415_Delujo Embassy Apartments_Irving</t>
  </si>
  <si>
    <t>Airport Freeway West</t>
  </si>
  <si>
    <t>Delujo Embassy Apartments</t>
  </si>
  <si>
    <t>E:\PropInv\MF\Irving\Finley Road_3201_EL Morocco Apartments_Irving</t>
  </si>
  <si>
    <t>Finley Road_3201_EL Morocco Apartments_Irving</t>
  </si>
  <si>
    <t>Finley Road</t>
  </si>
  <si>
    <t>EL Morocco Apartments</t>
  </si>
  <si>
    <t>E:\PropInv\MF\Irving\Pioneer Drive West_2871_Emerald Point_Irving</t>
  </si>
  <si>
    <t>Pioneer Drive West_2871_Emerald Point_Irving</t>
  </si>
  <si>
    <t>E:\PropInv\MF\Irving\Pioneer Drive_2851_Executive &amp; Pioneer_Irving</t>
  </si>
  <si>
    <t>Pioneer Drive_2851_Executive &amp; Pioneer_Irving</t>
  </si>
  <si>
    <t>Pioneer Drive</t>
  </si>
  <si>
    <t>Executive &amp; Pioneer</t>
  </si>
  <si>
    <t>E:\PropInv\MF\Irving\Finely Road_2504_Finely Terrace_Irving</t>
  </si>
  <si>
    <t>Finely Road_2504_Finely Terrace_Irving</t>
  </si>
  <si>
    <t>Finely Road</t>
  </si>
  <si>
    <t>Finely Terrace</t>
  </si>
  <si>
    <t>E:\PropInv\MF\Irving\Grauwyler Road West_2656_Garden Plaza_Irving</t>
  </si>
  <si>
    <t>Grauwyler Road West_2656_Garden Plaza_Irving</t>
  </si>
  <si>
    <t>Grauwyler Road West</t>
  </si>
  <si>
    <t>E:\PropInv\MF\Irving\Belt Line Road_4003_Glen Arbor Apartments_Irving</t>
  </si>
  <si>
    <t>Belt Line Road_4003_Glen Arbor Apartments_Irving</t>
  </si>
  <si>
    <t>Glen Arbor Apartments</t>
  </si>
  <si>
    <t>E:\PropInv\MF\Irving\5th Street West_1901_Hidden Village_Irving</t>
  </si>
  <si>
    <t>5th Street West_1901_Hidden Village_Irving</t>
  </si>
  <si>
    <t>5th Street West</t>
  </si>
  <si>
    <t>E:\PropInv\MF\Irving\Irving Boulevard West_2121_Highland Oaks_Irving</t>
  </si>
  <si>
    <t>Irving Boulevard West_2121_Highland Oaks_Irving</t>
  </si>
  <si>
    <t>Irving Boulevard West</t>
  </si>
  <si>
    <t>E:\PropInv\MF\Irving\Highland Park Court_130_Highland Park Court Apartments_Irving</t>
  </si>
  <si>
    <t>Highland Park Court_130_Highland Park Court Apartments_Irving</t>
  </si>
  <si>
    <t>Highland Park Court</t>
  </si>
  <si>
    <t>Highland Park Court Apartments</t>
  </si>
  <si>
    <t>E:\PropInv\MF\Irving\Walnut Hill Lane West_3149_Hillcrest_Irving</t>
  </si>
  <si>
    <t>Walnut Hill Lane West_3149_Hillcrest_Irving</t>
  </si>
  <si>
    <t>E:\PropInv\MF\Irving\O'Connor Road North_1111_Huntington Chase Apartments_Irving</t>
  </si>
  <si>
    <t>O'Connor Road North_1111_Huntington Chase Apartments_Irving</t>
  </si>
  <si>
    <t>O'Connor Road North</t>
  </si>
  <si>
    <t>Huntington Chase Apartments</t>
  </si>
  <si>
    <t>E:\PropInv\MF\Irving\6th Street West_430_Imperial Courtyards_Irving</t>
  </si>
  <si>
    <t>6th Street West_430_Imperial Courtyards_Irving</t>
  </si>
  <si>
    <t>6th Street West</t>
  </si>
  <si>
    <t>Imperial Courtyards</t>
  </si>
  <si>
    <t>E:\PropInv\MF\Irving\Riverview Drive_2232_Irving Fourplex For Sale_Irving</t>
  </si>
  <si>
    <t>Riverview Drive_2232_Irving Fourplex For Sale_Irving</t>
  </si>
  <si>
    <t>Riverview Drive</t>
  </si>
  <si>
    <t>Irving Fourplex For Sale</t>
  </si>
  <si>
    <t>E:\PropInv\MF\Irving\Rock Island Road_1900_Irving Oaks Apartments_Irving</t>
  </si>
  <si>
    <t>Rock Island Road_1900_Irving Oaks Apartments_Irving</t>
  </si>
  <si>
    <t>Rock Island Road</t>
  </si>
  <si>
    <t>Irving Oaks Apartments</t>
  </si>
  <si>
    <t>E:\PropInv\MF\Irving\Rock Island Road_1928_Irving Oaks Apartments_Irving</t>
  </si>
  <si>
    <t>Rock Island Road_1928_Irving Oaks Apartments_Irving</t>
  </si>
  <si>
    <t>E:\PropInv\MF\Irving\Nursery Road North_1010_Jamestown Colony House_Irving</t>
  </si>
  <si>
    <t>Nursery Road North_1010_Jamestown Colony House_Irving</t>
  </si>
  <si>
    <t>E:\PropInv\MF\Irving\Glen Drive North_7904_Jefferson At Villa Miranda_Irving</t>
  </si>
  <si>
    <t>Glen Drive North_7904_Jefferson At Villa Miranda_Irving</t>
  </si>
  <si>
    <t>Glen Drive North</t>
  </si>
  <si>
    <t>Jefferson At Villa Miranda</t>
  </si>
  <si>
    <t>E:\PropInv\MF\Irving\MacArthur Boulevard_7902_Jefferson Hill_Irving</t>
  </si>
  <si>
    <t>MacArthur Boulevard_7902_Jefferson Hill_Irving</t>
  </si>
  <si>
    <t>MacArthur Boulevard</t>
  </si>
  <si>
    <t>Jefferson Hill</t>
  </si>
  <si>
    <t>E:\PropInv\MF\Irving\Country Club Drive West_3413_Kensington Park_Irving</t>
  </si>
  <si>
    <t>Country Club Drive West_3413_Kensington Park_Irving</t>
  </si>
  <si>
    <t>E:\PropInv\MF\Irving\Bond Street_5342_Kinghtsbridge_Irving</t>
  </si>
  <si>
    <t>Bond Street_5342_Kinghtsbridge_Irving</t>
  </si>
  <si>
    <t>Bond Street</t>
  </si>
  <si>
    <t>Kinghtsbridge</t>
  </si>
  <si>
    <t>E:\PropInv\MF\Irving\Grauwyler Road East_801_Kings Manor_Irving</t>
  </si>
  <si>
    <t>Grauwyler Road East_801_Kings Manor_Irving</t>
  </si>
  <si>
    <t>Grauwyler Road East</t>
  </si>
  <si>
    <t>E:\PropInv\MF\Irving\Grauwyler Road East_811_Kings Manor_Irving</t>
  </si>
  <si>
    <t>Grauwyler Road East_811_Kings Manor_Irving</t>
  </si>
  <si>
    <t>E:\PropInv\MF\Irving\Story Road South_700_Lirkwood Park_Irving</t>
  </si>
  <si>
    <t>Story Road South_700_Lirkwood Park_Irving</t>
  </si>
  <si>
    <t>Story Road South</t>
  </si>
  <si>
    <t>Lirkwood Park</t>
  </si>
  <si>
    <t>E:\PropInv\MF\Irving\MacArthur Boulevard South_119_MacArthur Square Apartments_Irving</t>
  </si>
  <si>
    <t>MacArthur Boulevard South_119_MacArthur Square Apartments_Irving</t>
  </si>
  <si>
    <t>MacArthur Boulevard South</t>
  </si>
  <si>
    <t>MacArthur Square Apartments</t>
  </si>
  <si>
    <t>E:\PropInv\MF\Irving\Lake Carolyn Parkway_620_Mandalay on the Lake_Irving</t>
  </si>
  <si>
    <t>Lake Carolyn Parkway_620_Mandalay on the Lake_Irving</t>
  </si>
  <si>
    <t>Mandalay on the Lake</t>
  </si>
  <si>
    <t>E:\PropInv\MF\Irving\Lake Carolyn Parkway_692_Mandalay On The Lake_Irving</t>
  </si>
  <si>
    <t>Lake Carolyn Parkway_692_Mandalay On The Lake_Irving</t>
  </si>
  <si>
    <t>Mandalay On The Lake</t>
  </si>
  <si>
    <t>E:\PropInv\MF\Irving\Pioneer Drive West_3701_Montoro_Irving</t>
  </si>
  <si>
    <t>Pioneer Drive West_3701_Montoro_Irving</t>
  </si>
  <si>
    <t>E:\PropInv\MF\Irving\Nursery Road North_1417_North Oak Apartments_Irving</t>
  </si>
  <si>
    <t>Nursery Road North_1417_North Oak Apartments_Irving</t>
  </si>
  <si>
    <t>North Oak Apartments</t>
  </si>
  <si>
    <t>E:\PropInv\MF\Irving\Northgate Drive West_3146_Northgate_Irving</t>
  </si>
  <si>
    <t>Northgate Drive West_3146_Northgate_Irving</t>
  </si>
  <si>
    <t>E:\PropInv\MF\Irving\Pioneer Drive West_2800_Oak Park Apartments_Irving</t>
  </si>
  <si>
    <t>Pioneer Drive West_2800_Oak Park Apartments_Irving</t>
  </si>
  <si>
    <t>Oak Park Apartments</t>
  </si>
  <si>
    <t>E:\PropInv\MF\Irving\Irving Heights Boulevard South_731_Oakway Manor Apartments_Irving</t>
  </si>
  <si>
    <t>Irving Heights Boulevard South_731_Oakway Manor Apartments_Irving</t>
  </si>
  <si>
    <t>Irving Heights Boulevard South</t>
  </si>
  <si>
    <t>Oakway Manor Apartments</t>
  </si>
  <si>
    <t>E:\PropInv\MF\Irving\Parkridge Boulevard_7300-7388_Parkridge Place_Irving</t>
  </si>
  <si>
    <t>Parkridge Boulevard_7300-7388_Parkridge Place_Irving</t>
  </si>
  <si>
    <t>Parkridge Boulevard</t>
  </si>
  <si>
    <t>7300-7388</t>
  </si>
  <si>
    <t>Parkridge Place</t>
  </si>
  <si>
    <t>E:\PropInv\MF\Irving\O'Connor Road North_1113_Parkside Apartments_Irving</t>
  </si>
  <si>
    <t>O'Connor Road North_1113_Parkside Apartments_Irving</t>
  </si>
  <si>
    <t>E:\PropInv\MF\Irving\O'Connor Road North_1115_Parkside Apartments_Irving</t>
  </si>
  <si>
    <t>O'Connor Road North_1115_Parkside Apartments_Irving</t>
  </si>
  <si>
    <t>E:\PropInv\MF\Irving\Valley View Lane_6901_Post Hackberry Creek Apartments_Irving</t>
  </si>
  <si>
    <t>Valley View Lane_6901_Post Hackberry Creek Apartments_Irving</t>
  </si>
  <si>
    <t>Valley View Lane</t>
  </si>
  <si>
    <t>Post Hackberry Creek Apartments</t>
  </si>
  <si>
    <t>E:\PropInv\MF\Irving\Rochelle Road West_2200_Rayo De Sol_Irving</t>
  </si>
  <si>
    <t>Rochelle Road West_2200_Rayo De Sol_Irving</t>
  </si>
  <si>
    <t>Rochelle Road West</t>
  </si>
  <si>
    <t>Rayo De Sol</t>
  </si>
  <si>
    <t>E:\PropInv\MF\Irving\MacArthur Boulevard North_2346_Regal Parc_Irving</t>
  </si>
  <si>
    <t>MacArthur Boulevard North_2346_Regal Parc_Irving</t>
  </si>
  <si>
    <t>MacArthur Boulevard North</t>
  </si>
  <si>
    <t>E:\PropInv\MF\Irving\Story Road South_325_Rishi Village_Irving</t>
  </si>
  <si>
    <t>Story Road South_325_Rishi Village_Irving</t>
  </si>
  <si>
    <t>Rishi Village</t>
  </si>
  <si>
    <t>E:\PropInv\MF\Irving\Rock Island Road_2002_Rock Island Apartments_Irving</t>
  </si>
  <si>
    <t>Rock Island Road_2002_Rock Island Apartments_Irving</t>
  </si>
  <si>
    <t>Rock Island Apartments</t>
  </si>
  <si>
    <t>E:\PropInv\MF\Irving\Rochelle Boulevard_601_Rosewood Village_Irving</t>
  </si>
  <si>
    <t>Rochelle Boulevard_601_Rosewood Village_Irving</t>
  </si>
  <si>
    <t>Rochelle Boulevard</t>
  </si>
  <si>
    <t>E:\PropInv\MF\Irving\Nursey Road North_1025_Sale Of Property Highly Confidential_Irving</t>
  </si>
  <si>
    <t>Nursey Road North_1025_Sale Of Property Highly Confidential_Irving</t>
  </si>
  <si>
    <t>Nursey Road North</t>
  </si>
  <si>
    <t>Sale Of Property Highly Confidential</t>
  </si>
  <si>
    <t>E:\PropInv\MF\Irving\Pioneer Drive West_3200_Spanish Chase Apartments_Irving</t>
  </si>
  <si>
    <t>Pioneer Drive West_3200_Spanish Chase Apartments_Irving</t>
  </si>
  <si>
    <t>Spanish Chase Apartments</t>
  </si>
  <si>
    <t>E:\PropInv\MF\Irving\Airport Freeway West_1551-1613_Spanish Haven Apartments_Irving</t>
  </si>
  <si>
    <t>Airport Freeway West_1551-1613_Spanish Haven Apartments_Irving</t>
  </si>
  <si>
    <t>1551-1613</t>
  </si>
  <si>
    <t>Spanish Haven Apartments</t>
  </si>
  <si>
    <t>E:\PropInv\MF\Irving\Country Club Road North_3604_Spanish Oaks Apartments_Irving</t>
  </si>
  <si>
    <t>Country Club Road North_3604_Spanish Oaks Apartments_Irving</t>
  </si>
  <si>
    <t>Country Club Road North</t>
  </si>
  <si>
    <t>E:\PropInv\MF\Irving\Grauwyler Road East_1919_Spanish Trace Apartments_Irving</t>
  </si>
  <si>
    <t>Grauwyler Road East_1919_Spanish Trace Apartments_Irving</t>
  </si>
  <si>
    <t>E:\PropInv\MF\Irving\Grauwyler Road East_1927_Spanish Trace Apartments_Irving</t>
  </si>
  <si>
    <t>Grauwyler Road East_1927_Spanish Trace Apartments_Irving</t>
  </si>
  <si>
    <t>E:\PropInv\MF\Irving\Willow Creek Drive_3315_Tanner Place Apartments_Irving</t>
  </si>
  <si>
    <t>Willow Creek Drive_3315_Tanner Place Apartments_Irving</t>
  </si>
  <si>
    <t>Tanner Place Apartments</t>
  </si>
  <si>
    <t>E:\PropInv\MF\Irving\Belt Line Road North_3466_The Newport Apartments_Irving</t>
  </si>
  <si>
    <t>Belt Line Road North_3466_The Newport Apartments_Irving</t>
  </si>
  <si>
    <t>The Newport Apartments</t>
  </si>
  <si>
    <t>E:\PropInv\MF\Irving\Willow Creek Drive_3304_The Willows_Irving</t>
  </si>
  <si>
    <t>Willow Creek Drive_3304_The Willows_Irving</t>
  </si>
  <si>
    <t>E:\PropInv\MF\Irving\Shady Grove Road East_1313_The Woods Apartments_Irving</t>
  </si>
  <si>
    <t>Shady Grove Road East_1313_The Woods Apartments_Irving</t>
  </si>
  <si>
    <t>Shady Grove Road East</t>
  </si>
  <si>
    <t>The Woods Apartments</t>
  </si>
  <si>
    <t>E:\PropInv\MF\Irving\Pioneer Drive West_4525_Towne Lake Village Apartments_Irving</t>
  </si>
  <si>
    <t>Pioneer Drive West_4525_Towne Lake Village Apartments_Irving</t>
  </si>
  <si>
    <t>Towne Lake Village Apartments</t>
  </si>
  <si>
    <t>E:\PropInv\MF\Irving\Mary Lee Circle_847_Towne Oaks Townhomes_Irving</t>
  </si>
  <si>
    <t>Mary Lee Circle_847_Towne Oaks Townhomes_Irving</t>
  </si>
  <si>
    <t>Mary Lee Circle</t>
  </si>
  <si>
    <t>Towne Oaks Townhomes</t>
  </si>
  <si>
    <t>E:\PropInv\MF\Irving\Walnut Hill Lane_3203_Treehouse Apartments_Irving</t>
  </si>
  <si>
    <t>Walnut Hill Lane_3203_Treehouse Apartments_Irving</t>
  </si>
  <si>
    <t>Treehouse Apartments</t>
  </si>
  <si>
    <t>E:\PropInv\MF\Irving\Rogers Road North_618_Tuscan Court Apartments_Irving</t>
  </si>
  <si>
    <t>Rogers Road North_618_Tuscan Court Apartments_Irving</t>
  </si>
  <si>
    <t>Tuscan Court Apartments</t>
  </si>
  <si>
    <t>E:\PropInv\MF\Irving\Grauwyler East_2700_View Pointe Apartments_Irving</t>
  </si>
  <si>
    <t>Grauwyler East_2700_View Pointe Apartments_Irving</t>
  </si>
  <si>
    <t>Grauwyler East</t>
  </si>
  <si>
    <t>View Pointe Apartments</t>
  </si>
  <si>
    <t>E:\PropInv\MF\Irving\Grauwyler Road East_2700_View Pointe Apartments_Irving</t>
  </si>
  <si>
    <t>Grauwyler Road East_2700_View Pointe Apartments_Irving</t>
  </si>
  <si>
    <t>E:\PropInv\MF\Irving\Pioneer Drive_1831_Villa France_Irving</t>
  </si>
  <si>
    <t>Pioneer Drive_1831_Villa France_Irving</t>
  </si>
  <si>
    <t>E:\PropInv\MF\Irving\Brown Drive_310_Villas Apartments_Irving</t>
  </si>
  <si>
    <t>Brown Drive_310_Villas Apartments_Irving</t>
  </si>
  <si>
    <t>Brown Drive</t>
  </si>
  <si>
    <t>Villas Apartments</t>
  </si>
  <si>
    <t>E:\PropInv\MF\Irving\Cowboys Parkway_701_Vista Pointe At The Valley_Irving</t>
  </si>
  <si>
    <t>Cowboys Parkway_701_Vista Pointe At The Valley_Irving</t>
  </si>
  <si>
    <t>Cowboys Parkway</t>
  </si>
  <si>
    <t>Vista Pointe At The Valley</t>
  </si>
  <si>
    <t>E:\PropInv\MF\Irving\Cowboys Parkway_151_Waterford At Valley Ranch_Irving</t>
  </si>
  <si>
    <t>Cowboys Parkway_151_Waterford At Valley Ranch_Irving</t>
  </si>
  <si>
    <t>Waterford At Valley Ranch</t>
  </si>
  <si>
    <t>E:\PropInv\MF\Irving\William DeHaes Drive_3829_Westgate Apartments_Irving</t>
  </si>
  <si>
    <t>William DeHaes Drive_3829_Westgate Apartments_Irving</t>
  </si>
  <si>
    <t>William DeHaes Drive</t>
  </si>
  <si>
    <t>Westgate Apartments</t>
  </si>
  <si>
    <t>E:\PropInv\MF\Irving\Virgina Street West_1620_Westwood Apartments_Irving</t>
  </si>
  <si>
    <t>Virgina Street West_1620_Westwood Apartments_Irving</t>
  </si>
  <si>
    <t>Virgina Street West</t>
  </si>
  <si>
    <t>E:\PropInv\MF\Irving\Shady Grove Road West_1407_Willowbend_Irving</t>
  </si>
  <si>
    <t>Shady Grove Road West_1407_Willowbend_Irving</t>
  </si>
  <si>
    <t>Shady Grove Road West</t>
  </si>
  <si>
    <t>E:\PropInv\MF\Irving\MacArthur Boulevard North_8001_Windsor Heights_Irving</t>
  </si>
  <si>
    <t>MacArthur Boulevard North_8001_Windsor Heights_Irving</t>
  </si>
  <si>
    <t>Windsor Heights</t>
  </si>
  <si>
    <t>E:\PropInv\MF\Irving\Rochelle Road West_3429_Woodside Villas_Irving</t>
  </si>
  <si>
    <t>Rochelle Road West_3429_Woodside Villas_Irving</t>
  </si>
  <si>
    <t>E:\PropInv\MF\Jacksonville\Canada Street_701 &amp; 645_Little Creek Apartments_Jacksonville</t>
  </si>
  <si>
    <t>Canada Street_701 &amp; 645_Little Creek Apartments_Jacksonville</t>
  </si>
  <si>
    <t>Canada Street</t>
  </si>
  <si>
    <t>E:\PropInv\MF\Jacksonville\Jackson Street North_1011_Sweet Union Apartments_Jacksonville</t>
  </si>
  <si>
    <t>Jackson Street North_1011_Sweet Union Apartments_Jacksonville</t>
  </si>
  <si>
    <t>Jackson Street North</t>
  </si>
  <si>
    <t>Sweet Union Apartments</t>
  </si>
  <si>
    <t>E:\PropInv\MF\Katy\Park Row Drive_21500_Bent Tree Apartments_Katy</t>
  </si>
  <si>
    <t>Park Row Drive_21500_Bent Tree Apartments_Katy</t>
  </si>
  <si>
    <t>Park Row Drive</t>
  </si>
  <si>
    <t>Bent Tree Apartments</t>
  </si>
  <si>
    <t>E:\PropInv\MF\Katy\Falcon Park Drive_1111_Broadstone Grand Parkway_Katy</t>
  </si>
  <si>
    <t>Falcon Park Drive_1111_Broadstone Grand Parkway_Katy</t>
  </si>
  <si>
    <t>Falcon Park Drive</t>
  </si>
  <si>
    <t>E:\PropInv\MF\Katy\Grand Colony Drive_5906_Greenhouse Villas_Katy</t>
  </si>
  <si>
    <t>Grand Colony Drive_5906_Greenhouse Villas_Katy</t>
  </si>
  <si>
    <t>Grand Colony Drive</t>
  </si>
  <si>
    <t>E:\PropInv\MF\Katy\A Tallowpine_5240_Pineview Terrace_Katy</t>
  </si>
  <si>
    <t>A Tallowpine_5240_Pineview Terrace_Katy</t>
  </si>
  <si>
    <t>E:\PropInv\MF\Katy\Westborough Drive_2031_Westborough Crossing_Katy</t>
  </si>
  <si>
    <t>Westborough Drive_2031_Westborough Crossing_Katy</t>
  </si>
  <si>
    <t>Westborough Drive</t>
  </si>
  <si>
    <t>E:\PropInv\MF\Katy\Kingsland_21077_Westbrooke Apartments_Katy</t>
  </si>
  <si>
    <t>Kingsland_21077_Westbrooke Apartments_Katy</t>
  </si>
  <si>
    <t>Westbrooke Apartments</t>
  </si>
  <si>
    <t>E:\PropInv\MF\Kaufman\Jefferson Street South_400_Jefferson Apartments_Kaufman</t>
  </si>
  <si>
    <t>Jefferson Street South_400_Jefferson Apartments_Kaufman</t>
  </si>
  <si>
    <t>Jefferson Street South</t>
  </si>
  <si>
    <t>Jefferson Apartments</t>
  </si>
  <si>
    <t>E:\PropInv\MF\Kaufman\Ebo Street_151_Windtree Apartments_Kaufman</t>
  </si>
  <si>
    <t>Ebo Street_151_Windtree Apartments_Kaufman</t>
  </si>
  <si>
    <t>Ebo Street</t>
  </si>
  <si>
    <t>E:\PropInv\MF\Keller\Keller Parkway_1870_Crosstimbers Office Park_Keller</t>
  </si>
  <si>
    <t>Keller Parkway_1870_Crosstimbers Office Park_Keller</t>
  </si>
  <si>
    <t>Keller Parkway</t>
  </si>
  <si>
    <t>E:\PropInv\MF\Keller\Keller Parkway_1300_Dominion Town Center_Keller</t>
  </si>
  <si>
    <t>Keller Parkway_1300_Dominion Town Center_Keller</t>
  </si>
  <si>
    <t>E:\PropInv\MF\Keller\Bourland Road_300_Lakes Of Stone Glen_Keller</t>
  </si>
  <si>
    <t>Bourland Road_300_Lakes Of Stone Glen_Keller</t>
  </si>
  <si>
    <t>Bourland Road</t>
  </si>
  <si>
    <t>Lakes Of Stone Glen</t>
  </si>
  <si>
    <t>E:\PropInv\MF\Keller\Keller Parkway_1745_Villages Of Tuscany Residences_Keller</t>
  </si>
  <si>
    <t>Keller Parkway_1745_Villages Of Tuscany Residences_Keller</t>
  </si>
  <si>
    <t>Villages Of Tuscany Residences</t>
  </si>
  <si>
    <t>E:\PropInv\MF\Kemp\274 State Highway_18630_Hamlins At Cedar Creek Lake_Kemp</t>
  </si>
  <si>
    <t>274 State Highway_18630_Hamlins At Cedar Creek Lake_Kemp</t>
  </si>
  <si>
    <t>274 State Highway</t>
  </si>
  <si>
    <t>Hamlins At Cedar Creek Lake</t>
  </si>
  <si>
    <t>E:\PropInv\MF\Kerrville\Bandera Highway_1300_River Hills_Kerrville</t>
  </si>
  <si>
    <t>Bandera Highway_1300_River Hills_Kerrville</t>
  </si>
  <si>
    <t>Bandera Highway</t>
  </si>
  <si>
    <t>E:\PropInv\MF\Kilgore\Danville Road South_1000_Stoneridge Apartments_Kilgore</t>
  </si>
  <si>
    <t>Danville Road South_1000_Stoneridge Apartments_Kilgore</t>
  </si>
  <si>
    <t>Danville Road South</t>
  </si>
  <si>
    <t>Stoneridge Apartments</t>
  </si>
  <si>
    <t>E:\PropInv\MF\Killeen\Trimmier Road_2700_2700 Trimmier Road_Killeen</t>
  </si>
  <si>
    <t>Trimmier Road_2700_2700 Trimmier Road_Killeen</t>
  </si>
  <si>
    <t>Trimmier Road</t>
  </si>
  <si>
    <t>2700 Trimmier Road</t>
  </si>
  <si>
    <t>E:\PropInv\MF\Killeen\440 Old FM Road_1121_Ashton Park_Killeen</t>
  </si>
  <si>
    <t>440 Old FM Road_1121_Ashton Park_Killeen</t>
  </si>
  <si>
    <t>440 Old FM Road</t>
  </si>
  <si>
    <t>E:\PropInv\MF\Killeen\Twin Creek Drive North_1001_Remington_Killeen</t>
  </si>
  <si>
    <t>Twin Creek Drive North_1001_Remington_Killeen</t>
  </si>
  <si>
    <t>Twin Creek Drive North</t>
  </si>
  <si>
    <t>E:\PropInv\MF\Killeen\Terrace Drive_1701_Terrace Heights Apartments_Killeen</t>
  </si>
  <si>
    <t>Terrace Drive_1701_Terrace Heights Apartments_Killeen</t>
  </si>
  <si>
    <t>Terrace Drive</t>
  </si>
  <si>
    <t>Terrace Heights Apartments</t>
  </si>
  <si>
    <t>E:\PropInv\MF\Killeen\Cunningham Road_2710_The Bridgemoor At Killeen_Killeen</t>
  </si>
  <si>
    <t>Cunningham Road_2710_The Bridgemoor At Killeen_Killeen</t>
  </si>
  <si>
    <t>Cunningham Road</t>
  </si>
  <si>
    <t>E:\PropInv\MF\Kingsville\Corral Street West_1300_360Bed-Class A Student Housing-Javelina Station_Kingsville</t>
  </si>
  <si>
    <t>Corral Street West_1300_360Bed-Class A Student Housing-Javelina Station_Kingsville</t>
  </si>
  <si>
    <t>Corral Street West</t>
  </si>
  <si>
    <t>360Bed-Class A Student Housing-Javelina Station</t>
  </si>
  <si>
    <t>E:\PropInv\MF\Kingsville\Brahma South_2901_Bordeaux Apartments_Kingsville</t>
  </si>
  <si>
    <t>Brahma South_2901_Bordeaux Apartments_Kingsville</t>
  </si>
  <si>
    <t>Brahma South</t>
  </si>
  <si>
    <t>Bordeaux Apartments</t>
  </si>
  <si>
    <t>E:\PropInv\MF\Kingsville\Caesar Street East_1201_Kingsville Pointe_Kingsville</t>
  </si>
  <si>
    <t>Caesar Street East_1201_Kingsville Pointe_Kingsville</t>
  </si>
  <si>
    <t>Caesar Street East</t>
  </si>
  <si>
    <t>E:\PropInv\MF\Kingsville\Corral Avenue West_1100_University Square_Kingsville</t>
  </si>
  <si>
    <t>Corral Avenue West_1100_University Square_Kingsville</t>
  </si>
  <si>
    <t>Corral Avenue West</t>
  </si>
  <si>
    <t>E:\PropInv\MF\Krum\Britton Street West_115_Britton Street Apartments_Krum</t>
  </si>
  <si>
    <t>Britton Street West_115_Britton Street Apartments_Krum</t>
  </si>
  <si>
    <t>Britton Street West</t>
  </si>
  <si>
    <t>Britton Street Apartments</t>
  </si>
  <si>
    <t>E:\PropInv\MF\Krum\Masch Branch Road_4891_Estate Villas_Krum</t>
  </si>
  <si>
    <t>Masch Branch Road_4891_Estate Villas_Krum</t>
  </si>
  <si>
    <t>Masch Branch Road</t>
  </si>
  <si>
    <t>Estate Villas</t>
  </si>
  <si>
    <t>E:\PropInv\MF\Krum\Masch Branch Road_4892_Midwest Apartments_Krum</t>
  </si>
  <si>
    <t>Masch Branch Road_4892_Midwest Apartments_Krum</t>
  </si>
  <si>
    <t>Midwest Apartments</t>
  </si>
  <si>
    <t>E:\PropInv\MF\La Marque\Gulf Freeway_1725_Crossing @ La Marque_La Marque</t>
  </si>
  <si>
    <t>Gulf Freeway_1725_Crossing @ La Marque_La Marque</t>
  </si>
  <si>
    <t>Gulf Freeway</t>
  </si>
  <si>
    <t>Crossing @ La Marque</t>
  </si>
  <si>
    <t>E:\PropInv\MF\Lake Dallas\Overly Drive West_155_Ashley Village_Lake Dallas</t>
  </si>
  <si>
    <t>Overly Drive West_155_Ashley Village_Lake Dallas</t>
  </si>
  <si>
    <t>Overly Drive West</t>
  </si>
  <si>
    <t>E:\PropInv\MF\Lake Dallas\Water's Edge_500_Luxury Senior Living Facility_Lake Dallas</t>
  </si>
  <si>
    <t>Water's Edge_500_Luxury Senior Living Facility_Lake Dallas</t>
  </si>
  <si>
    <t>E:\PropInv\MF\Lake Jackson\That Way_514_EdgeWater Apartments_Lake Jackson</t>
  </si>
  <si>
    <t>That Way_514_EdgeWater Apartments_Lake Jackson</t>
  </si>
  <si>
    <t>That Way</t>
  </si>
  <si>
    <t>EdgeWater Apartments</t>
  </si>
  <si>
    <t>E:\PropInv\MF\Lake Jackson\332 Highway West_905_Oakwood_Lake Jackson</t>
  </si>
  <si>
    <t>332 Highway West_905_Oakwood_Lake Jackson</t>
  </si>
  <si>
    <t>332 Highway West</t>
  </si>
  <si>
    <t>E:\PropInv\MF\Lake Jackson\Garland Drive_420_Sun Forest_Lake Jackson</t>
  </si>
  <si>
    <t>Garland Drive_420_Sun Forest_Lake Jackson</t>
  </si>
  <si>
    <t>Garland Drive</t>
  </si>
  <si>
    <t>E:\PropInv\MF\Lake Jackson\Plantation Drive_127_The Oaks of Flagridge_Lake Jackson</t>
  </si>
  <si>
    <t>Plantation Drive_127_The Oaks of Flagridge_Lake Jackson</t>
  </si>
  <si>
    <t>The Oaks of Flagridge</t>
  </si>
  <si>
    <t>E:\PropInv\MF\Lake Jackson\332 Highway_440_The Palms of Lake Jackson_Lake Jackson</t>
  </si>
  <si>
    <t>332 Highway_440_The Palms of Lake Jackson_Lake Jackson</t>
  </si>
  <si>
    <t>332 Highway</t>
  </si>
  <si>
    <t>The Palms of Lake Jackson</t>
  </si>
  <si>
    <t>E:\PropInv\MF\Lake Jackson\332 Highway West_504_Villages of Lake Jackson_Lake Jackson</t>
  </si>
  <si>
    <t>332 Highway West_504_Villages of Lake Jackson_Lake Jackson</t>
  </si>
  <si>
    <t>Villages of Lake Jackson</t>
  </si>
  <si>
    <t>E:\PropInv\MF\Lake Jackson\332 Highway_460_Woodhollow Apartmenrts_Lake Jackson</t>
  </si>
  <si>
    <t>332 Highway_460_Woodhollow Apartmenrts_Lake Jackson</t>
  </si>
  <si>
    <t>Woodhollow Apartmenrts</t>
  </si>
  <si>
    <t>E:\PropInv\MF\Lancaster\Pleasant Run Road West_2525_Pleasant Run Apartments_Lancaster</t>
  </si>
  <si>
    <t>Pleasant Run Road West_2525_Pleasant Run Apartments_Lancaster</t>
  </si>
  <si>
    <t>Pleasant Run Road West</t>
  </si>
  <si>
    <t>Pleasant Run Apartments</t>
  </si>
  <si>
    <t>E:\PropInv\MF\Lancaster\Westridge Avenue_1207_Westridge Apartments_Lancaster</t>
  </si>
  <si>
    <t>Westridge Avenue_1207_Westridge Apartments_Lancaster</t>
  </si>
  <si>
    <t>Westridge Avenue</t>
  </si>
  <si>
    <t>E:\PropInv\MF\Laredo\Country Club Drive_7550_Lago Del Mar_Laredo</t>
  </si>
  <si>
    <t>Country Club Drive_7550_Lago Del Mar_Laredo</t>
  </si>
  <si>
    <t>Country Club Drive</t>
  </si>
  <si>
    <t>Lago Del Mar</t>
  </si>
  <si>
    <t>E:\PropInv\MF\Laredo\Rancho Viejo Drive_604_Rancho Viejo Apts_Laredo</t>
  </si>
  <si>
    <t>Rancho Viejo Drive_604_Rancho Viejo Apts_Laredo</t>
  </si>
  <si>
    <t>Rancho Viejo Drive</t>
  </si>
  <si>
    <t>Rancho Viejo Apts</t>
  </si>
  <si>
    <t>E:\PropInv\MF\State_NV\Las Vegas\Tropicana Avenue East_5325_Majestic Heights_Las Vegas</t>
  </si>
  <si>
    <t>Tropicana Avenue East_5325_Majestic Heights_Las Vegas</t>
  </si>
  <si>
    <t>Tropicana Avenue East</t>
  </si>
  <si>
    <t>E:\PropInv\MF\State_NV\Las Vegas\Tamarus Street_5050_Sonterra_Las Vegas</t>
  </si>
  <si>
    <t>Tamarus Street_5050_Sonterra_Las Vegas</t>
  </si>
  <si>
    <t>Tamarus Street</t>
  </si>
  <si>
    <t>E:\PropInv\MF\State_NV\Las Vegas\Topaz Street_4775_Toscana Villas_Las Vegas</t>
  </si>
  <si>
    <t>Topaz Street_4775_Toscana Villas_Las Vegas</t>
  </si>
  <si>
    <t>Topaz Street</t>
  </si>
  <si>
    <t>E:\PropInv\MF\Lavon\Armstrong Lane_331_Grand Heritage Estates_Lavon</t>
  </si>
  <si>
    <t>Armstrong Lane_331_Grand Heritage Estates_Lavon</t>
  </si>
  <si>
    <t>Armstrong Lane</t>
  </si>
  <si>
    <t>E:\PropInv\MF\League City\League City Parkway East_1450_Amalfi At Tuscan Lakes_League City</t>
  </si>
  <si>
    <t>League City Parkway East_1450_Amalfi At Tuscan Lakes_League City</t>
  </si>
  <si>
    <t>League City Parkway East</t>
  </si>
  <si>
    <t>Amalfi At Tuscan Lakes</t>
  </si>
  <si>
    <t>E:\PropInv\MF\League City\Hobbs Road_305_Oaks Of League City Apts_League City</t>
  </si>
  <si>
    <t>Hobbs Road_305_Oaks Of League City Apts_League City</t>
  </si>
  <si>
    <t>Hobbs Road</t>
  </si>
  <si>
    <t>Oaks Of League City Apts</t>
  </si>
  <si>
    <t>E:\PropInv\MF\League City\Louisiana Avenue_1455_Sorrento At Tuscan Lakes_League City</t>
  </si>
  <si>
    <t>Louisiana Avenue_1455_Sorrento At Tuscan Lakes_League City</t>
  </si>
  <si>
    <t>Louisiana Avenue</t>
  </si>
  <si>
    <t>Sorrento At Tuscan Lakes</t>
  </si>
  <si>
    <t>E:\PropInv\MF\League City\518 FM Road East_3850_South Shore Lakes_League City</t>
  </si>
  <si>
    <t>518 FM Road East_3850_South Shore Lakes_League City</t>
  </si>
  <si>
    <t>518 FM Road East</t>
  </si>
  <si>
    <t>E:\PropInv\MF\League City\Enterprise Avenue_601_The Moorings_League City</t>
  </si>
  <si>
    <t>Enterprise Avenue_601_The Moorings_League City</t>
  </si>
  <si>
    <t>Enterprise Avenue</t>
  </si>
  <si>
    <t>E:\PropInv\MF\League City\Enterprise Avenue_1201_The Palms at South Shore Harbor_League City</t>
  </si>
  <si>
    <t>Enterprise Avenue_1201_The Palms at South Shore Harbor_League City</t>
  </si>
  <si>
    <t>The Palms at South Shore Harbor</t>
  </si>
  <si>
    <t>E:\PropInv\MF\Lewisville\Windhaven Parkway_2500_Amarnath @544_Lewisville</t>
  </si>
  <si>
    <t>Windhaven Parkway_2500_Amarnath @544_Lewisville</t>
  </si>
  <si>
    <t>Windhaven Parkway</t>
  </si>
  <si>
    <t>Amarnath @544</t>
  </si>
  <si>
    <t>E:\PropInv\MF\Lewisville\Southwest Parkway West_210_Camden Westview_Lewisville</t>
  </si>
  <si>
    <t>Southwest Parkway West_210_Camden Westview_Lewisville</t>
  </si>
  <si>
    <t>Southwest Parkway West</t>
  </si>
  <si>
    <t>E:\PropInv\MF\Lewisville\Forestbrook Drive_165_Forest Brook Apartments_Lewisville</t>
  </si>
  <si>
    <t>Forestbrook Drive_165_Forest Brook Apartments_Lewisville</t>
  </si>
  <si>
    <t>Forestbrook Drive</t>
  </si>
  <si>
    <t>Forest Brook Apartments</t>
  </si>
  <si>
    <t>E:\PropInv\MF\Lewisville\Garden Ridge North_901_Franklin Park At Lewisville_Lewisville</t>
  </si>
  <si>
    <t>Garden Ridge North_901_Franklin Park At Lewisville_Lewisville</t>
  </si>
  <si>
    <t>Garden Ridge North</t>
  </si>
  <si>
    <t>Franklin Park At Lewisville</t>
  </si>
  <si>
    <t>E:\PropInv\MF\Lewisville\College Parkway_1200_Hidden Creek_Lewisville</t>
  </si>
  <si>
    <t>College Parkway_1200_Hidden Creek_Lewisville</t>
  </si>
  <si>
    <t>College Parkway</t>
  </si>
  <si>
    <t>E:\PropInv\MF\Lewisville\Leora Lane_701_Lakeside At 121_Lewisville</t>
  </si>
  <si>
    <t>Leora Lane_701_Lakeside At 121_Lewisville</t>
  </si>
  <si>
    <t>Leora Lane</t>
  </si>
  <si>
    <t>Lakeside At 121</t>
  </si>
  <si>
    <t>E:\PropInv\MF\Lewisville\Main Street West_370_Lone Oak_Lewisville</t>
  </si>
  <si>
    <t>Main Street West_370_Lone Oak_Lewisville</t>
  </si>
  <si>
    <t>Main Street West</t>
  </si>
  <si>
    <t>Lone Oak</t>
  </si>
  <si>
    <t>E:\PropInv\MF\Lewisville\Uecker Drive_2200_Rockbrook Creek_Lewisville</t>
  </si>
  <si>
    <t>Uecker Drive_2200_Rockbrook Creek_Lewisville</t>
  </si>
  <si>
    <t>Uecker Drive</t>
  </si>
  <si>
    <t>E:\PropInv\MF\Lewisville\Grandys Lane_1070_Summit Ridge Apartment_Lewisville</t>
  </si>
  <si>
    <t>Grandys Lane_1070_Summit Ridge Apartment_Lewisville</t>
  </si>
  <si>
    <t>Grandys Lane</t>
  </si>
  <si>
    <t>Summit Ridge Apartment</t>
  </si>
  <si>
    <t>E:\PropInv\MF\Lewisville\Deer Run_2479_Wellington Park Apartments_Lewisville</t>
  </si>
  <si>
    <t>Deer Run_2479_Wellington Park Apartments_Lewisville</t>
  </si>
  <si>
    <t>Wellington Park Apartments</t>
  </si>
  <si>
    <t>E:\PropInv\MF\Little Elm\Main Street_210_Elmwood Apartments_Little Elm</t>
  </si>
  <si>
    <t>Main Street_210_Elmwood Apartments_Little Elm</t>
  </si>
  <si>
    <t>Elmwood Apartments</t>
  </si>
  <si>
    <t>E:\PropInv\MF\State_CO\Littleton\Balsam Way South_4601_Monterey_Littleton</t>
  </si>
  <si>
    <t>Balsam Way South_4601_Monterey_Littleton</t>
  </si>
  <si>
    <t>Balsam Way South</t>
  </si>
  <si>
    <t>E:\PropInv\MF\Longview\Lake Lamond_300_Autumnwood_Longview</t>
  </si>
  <si>
    <t>Lake Lamond_300_Autumnwood_Longview</t>
  </si>
  <si>
    <t>E:\PropInv\MF\Longview\Pine Tree Road_803_Longview Multifamily Group_Longview</t>
  </si>
  <si>
    <t>Pine Tree Road_803_Longview Multifamily Group_Longview</t>
  </si>
  <si>
    <t>Pine Tree Road</t>
  </si>
  <si>
    <t>Longview Multifamily Group</t>
  </si>
  <si>
    <t>E:\PropInv\MF\Longview\Tryon Road_2108_Longview Portfolio(Towne Oaks- North)_Longview</t>
  </si>
  <si>
    <t>Tryon Road_2108_Longview Portfolio(Towne Oaks- North)_Longview</t>
  </si>
  <si>
    <t>Tryon Road</t>
  </si>
  <si>
    <t>Longview Portfolio(Towne Oaks- North)</t>
  </si>
  <si>
    <t>E:\PropInv\MF\Longview\McCann Road_2900_Mill Park_Longview</t>
  </si>
  <si>
    <t>McCann Road_2900_Mill Park_Longview</t>
  </si>
  <si>
    <t>McCann Road</t>
  </si>
  <si>
    <t>E:\PropInv\MF\Longview\Hawkins Parkway West_301_Misty Ridge_Longview</t>
  </si>
  <si>
    <t>Hawkins Parkway West_301_Misty Ridge_Longview</t>
  </si>
  <si>
    <t>Hawkins Parkway West</t>
  </si>
  <si>
    <t>E:\PropInv\MF\Longview\Scenic Drive_502_Penwood Apartments_Longview</t>
  </si>
  <si>
    <t>Scenic Drive_502_Penwood Apartments_Longview</t>
  </si>
  <si>
    <t>Scenic Drive</t>
  </si>
  <si>
    <t>Penwood Apartments</t>
  </si>
  <si>
    <t>E:\PropInv\MF\Longview\Thelma Drive_100-115_Pine Tree Duplexes_Longview</t>
  </si>
  <si>
    <t>Thelma Drive_100-115_Pine Tree Duplexes_Longview</t>
  </si>
  <si>
    <t>Thelma Drive</t>
  </si>
  <si>
    <t>Pine Tree Duplexes</t>
  </si>
  <si>
    <t>E:\PropInv\MF\Longview\Hawkins Parkway East_110_Summer Green_Longview</t>
  </si>
  <si>
    <t>Hawkins Parkway East_110_Summer Green_Longview</t>
  </si>
  <si>
    <t>Hawkins Parkway East</t>
  </si>
  <si>
    <t>E:\PropInv\MF\Longview\259 Highway North_3401_The Reserve_Longview</t>
  </si>
  <si>
    <t>259 Highway North_3401_The Reserve_Longview</t>
  </si>
  <si>
    <t>259 Highway North</t>
  </si>
  <si>
    <t>E:\PropInv\MF\Longview\Green Street_South_717_Village South_Longview</t>
  </si>
  <si>
    <t>Green Street_South_717_Village South_Longview</t>
  </si>
  <si>
    <t>Green Street South</t>
  </si>
  <si>
    <t>E:\PropInv\MF\Longview\Eden Drive_203_William Tell Apartments_Longview</t>
  </si>
  <si>
    <t>Eden Drive_203_William Tell Apartments_Longview</t>
  </si>
  <si>
    <t>Eden Drive</t>
  </si>
  <si>
    <t>William Tell Apartments</t>
  </si>
  <si>
    <t>E:\PropInv\MF\Lubbock\Indiana Drive_7906_Apartment Complex_Lubbock</t>
  </si>
  <si>
    <t>Indiana Drive_7906_Apartment Complex_Lubbock</t>
  </si>
  <si>
    <t>Indiana Drive</t>
  </si>
  <si>
    <t>Apartment Complex</t>
  </si>
  <si>
    <t>E:\PropInv\MF\Lubbock\Indiana Avenue_201_College Pointe Apartments_Lubbock</t>
  </si>
  <si>
    <t>Indiana Avenue_201_College Pointe Apartments_Lubbock</t>
  </si>
  <si>
    <t>Indiana Avenue</t>
  </si>
  <si>
    <t>College Pointe Apartments</t>
  </si>
  <si>
    <t>E:\PropInv\MF\Lubbock\Indiana Avenue_6201_Del Estrado Townhome Apartments_Lubbock</t>
  </si>
  <si>
    <t>Indiana Avenue_6201_Del Estrado Townhome Apartments_Lubbock</t>
  </si>
  <si>
    <t>Del Estrado Townhome Apartments</t>
  </si>
  <si>
    <t>E:\PropInv\MF\Lubbock\66th Street_5720_Farrar West Apartments_Lubbock</t>
  </si>
  <si>
    <t>66th Street_5720_Farrar West Apartments_Lubbock</t>
  </si>
  <si>
    <t>66th Street</t>
  </si>
  <si>
    <t>Farrar West Apartments</t>
  </si>
  <si>
    <t>E:\PropInv\MF\Lubbock\1585 FM Road_1114_FM 1585 Shopping Center_Lubbock</t>
  </si>
  <si>
    <t>1585 FM Road_1114_FM 1585 Shopping Center_Lubbock</t>
  </si>
  <si>
    <t>1585 FM Road</t>
  </si>
  <si>
    <t>E:\PropInv\MF\Lubbock\Avenue J_1215_Green Or Cobb Buildings_Lubbock</t>
  </si>
  <si>
    <t>Avenue J_1215_Green Or Cobb Buildings_Lubbock</t>
  </si>
  <si>
    <t>Avenue J</t>
  </si>
  <si>
    <t>Green Or Cobb Buildings</t>
  </si>
  <si>
    <t>E:\PropInv\MF\Lubbock\289 Loop West_2302_Innsbruck West_Lubbock</t>
  </si>
  <si>
    <t>289 Loop West_2302_Innsbruck West_Lubbock</t>
  </si>
  <si>
    <t>289 Loop West</t>
  </si>
  <si>
    <t>E:\PropInv\MF\Lubbock\Frankford Avenue South_1002_Jefferson Commons Texas Tech_Lubbock</t>
  </si>
  <si>
    <t>Frankford Avenue South_1002_Jefferson Commons Texas Tech_Lubbock</t>
  </si>
  <si>
    <t>Frankford Avenue South</t>
  </si>
  <si>
    <t>E:\PropInv\MF\Lubbock\La Salle Avenue_2104_La Salle_Lubbock</t>
  </si>
  <si>
    <t>La Salle Avenue_2104_La Salle_Lubbock</t>
  </si>
  <si>
    <t>La Salle Avenue</t>
  </si>
  <si>
    <t>E:\PropInv\MF\Lubbock\50th Street_4602_Lubbock Square Apartments_Lubbock</t>
  </si>
  <si>
    <t>50th Street_4602_Lubbock Square Apartments_Lubbock</t>
  </si>
  <si>
    <t>50th Street</t>
  </si>
  <si>
    <t>Lubbock Square Apartments</t>
  </si>
  <si>
    <t>E:\PropInv\MF\Lubbock\Belmont B_602_Lynnwood Townhomes_Lubbock</t>
  </si>
  <si>
    <t>Belmont B_602_Lynnwood Townhomes_Lubbock</t>
  </si>
  <si>
    <t>Belmont B</t>
  </si>
  <si>
    <t>Lynnwood Townhomes</t>
  </si>
  <si>
    <t>E:\PropInv\MF\Lubbock\44th Street_2400_Magnolia Court Apartments_Lubbock</t>
  </si>
  <si>
    <t>44th Street_2400_Magnolia Court Apartments_Lubbock</t>
  </si>
  <si>
    <t>44th Street</t>
  </si>
  <si>
    <t>Magnolia Court Apartments</t>
  </si>
  <si>
    <t>E:\PropInv\MF\Lubbock\4th Street_5710_Meridian Park Apartments_Lubbock</t>
  </si>
  <si>
    <t>4th Street_5710_Meridian Park Apartments_Lubbock</t>
  </si>
  <si>
    <t>4th Street</t>
  </si>
  <si>
    <t>Meridian Park Apartments</t>
  </si>
  <si>
    <t>E:\PropInv\MF\Lubbock\289 Loop West_5351_Metropolitan Apartments_Lubbock</t>
  </si>
  <si>
    <t>289 Loop West_5351_Metropolitan Apartments_Lubbock</t>
  </si>
  <si>
    <t>Metropolitan Apartments</t>
  </si>
  <si>
    <t>E:\PropInv\MF\Lubbock\Albany Avenue_6402_Metropolitan Apartments_Lubbock</t>
  </si>
  <si>
    <t>Albany Avenue_6402_Metropolitan Apartments_Lubbock</t>
  </si>
  <si>
    <t>Albany Avenue</t>
  </si>
  <si>
    <t>E:\PropInv\MF\Lubbock\Aberdeen Avenue_5310_Mission Villas Apartments_Lubbock</t>
  </si>
  <si>
    <t>Aberdeen Avenue_5310_Mission Villas Apartments_Lubbock</t>
  </si>
  <si>
    <t>Aberdeen Avenue</t>
  </si>
  <si>
    <t>Mission Villas Apartments</t>
  </si>
  <si>
    <t>E:\PropInv\MF\Lubbock\45th Street_2401_Park Terrace_Lubbock</t>
  </si>
  <si>
    <t>45th Street_2401_Park Terrace_Lubbock</t>
  </si>
  <si>
    <t>45th Street</t>
  </si>
  <si>
    <t>E:\PropInv\MF\Lubbock\27th Street_1617_Park Tower Apartments_Lubbock</t>
  </si>
  <si>
    <t>27th Street_1617_Park Tower Apartments_Lubbock</t>
  </si>
  <si>
    <t>27th Street</t>
  </si>
  <si>
    <t>Park Tower Apartments</t>
  </si>
  <si>
    <t>E:\PropInv\MF\Lubbock\Avenue U_8217_Preserve At Prairie Point_Lubbock</t>
  </si>
  <si>
    <t>Avenue U_8217_Preserve At Prairie Point_Lubbock</t>
  </si>
  <si>
    <t>Avenue U</t>
  </si>
  <si>
    <t>Preserve At Prairie Point</t>
  </si>
  <si>
    <t>E:\PropInv\MF\Lubbock\4th Street_4901_Stratford Place_Lubbock</t>
  </si>
  <si>
    <t>4th Street_4901_Stratford Place_Lubbock</t>
  </si>
  <si>
    <t>E:\PropInv\MF\Lubbock\70th Street_2310_Texas Apartment Complex_Lubbock</t>
  </si>
  <si>
    <t>70th Street_2310_Texas Apartment Complex_Lubbock</t>
  </si>
  <si>
    <t>70th Street</t>
  </si>
  <si>
    <t>E:\PropInv\MF\Lubbock\Glenna Goodacre Boulevard_2400_The Centre_Lubbock</t>
  </si>
  <si>
    <t>Glenna Goodacre Boulevard_2400_The Centre_Lubbock</t>
  </si>
  <si>
    <t>Glenna Goodacre Boulevard</t>
  </si>
  <si>
    <t>E:\PropInv\MF\Lubbock\Indiana Avenue_223_The Intern_Lubbock</t>
  </si>
  <si>
    <t>Indiana Avenue_223_The Intern_Lubbock</t>
  </si>
  <si>
    <t>The Intern</t>
  </si>
  <si>
    <t>E:\PropInv\MF\Lubbock\Glenna Goodacre Boulevard_2300_The Suites_Lubbock</t>
  </si>
  <si>
    <t>Glenna Goodacre Boulevard_2300_The Suites_Lubbock</t>
  </si>
  <si>
    <t>E:\PropInv\MF\Lubbock\71st Street_4501_The Wyndham_Lubbock</t>
  </si>
  <si>
    <t>71st Street_4501_The Wyndham_Lubbock</t>
  </si>
  <si>
    <t>71st Street</t>
  </si>
  <si>
    <t>E:\PropInv\MF\Lubbock\50th Street_3508_Town Plaza_Lubbock</t>
  </si>
  <si>
    <t>50th Street_3508_Town Plaza_Lubbock</t>
  </si>
  <si>
    <t>E:\PropInv\MF\Lubbock\University Avenue_1001_ULofts Lubbock -Retail_Lubbock</t>
  </si>
  <si>
    <t>University Avenue_1001_ULofts Lubbock -Retail_Lubbock</t>
  </si>
  <si>
    <t>University Avenue</t>
  </si>
  <si>
    <t>ULofts Lubbock -Retail</t>
  </si>
  <si>
    <t>E:\PropInv\MF\Lubbock\Brentwood Avenue North_308_Village Townhomes_Lubbock</t>
  </si>
  <si>
    <t>Brentwood Avenue North_308_Village Townhomes_Lubbock</t>
  </si>
  <si>
    <t>Brentwood Avenue North</t>
  </si>
  <si>
    <t>Village Townhomes</t>
  </si>
  <si>
    <t>E:\PropInv\MF\Lubbock\34th Street_2102_Wellington_Lubbock</t>
  </si>
  <si>
    <t>34th Street_2102_Wellington_Lubbock</t>
  </si>
  <si>
    <t>34th Street</t>
  </si>
  <si>
    <t>E:\PropInv\MF\Lubbock\289 Loop South_3001_White Plaza Apartments_Lubbock</t>
  </si>
  <si>
    <t>289 Loop South_3001_White Plaza Apartments_Lubbock</t>
  </si>
  <si>
    <t>289 Loop South</t>
  </si>
  <si>
    <t>White Plaza Apartments</t>
  </si>
  <si>
    <t>E:\PropInv\MF\Lubbock\82nd Street_4421_Willow Hill_Lubbock</t>
  </si>
  <si>
    <t>82nd Street_4421_Willow Hill_Lubbock</t>
  </si>
  <si>
    <t>82nd Street</t>
  </si>
  <si>
    <t>E:\PropInv\MF\Lubbock\66th Street_5402_Woodcrest_Lubbock</t>
  </si>
  <si>
    <t>66th Street_5402_Woodcrest_Lubbock</t>
  </si>
  <si>
    <t>E:\PropInv\MF\Lufkin\Shepherd West_101_101 West Shepherd_Lufkin</t>
  </si>
  <si>
    <t>Shepherd West_101_101 West Shepherd_Lufkin</t>
  </si>
  <si>
    <t>Shepherd West</t>
  </si>
  <si>
    <t>101 West Shepherd</t>
  </si>
  <si>
    <t>E:\PropInv\MF\Lufkin\Daniel McCall Drive_3200_Hiddens Oaks Apartments_Lufkin</t>
  </si>
  <si>
    <t>Daniel McCall Drive_3200_Hiddens Oaks Apartments_Lufkin</t>
  </si>
  <si>
    <t>Daniel McCall Drive</t>
  </si>
  <si>
    <t>Hiddens Oaks Apartments</t>
  </si>
  <si>
    <t>E:\PropInv\MF\Lewisville\Lakepointe Drive_2025_Lakepointe Residences_Lweisville</t>
  </si>
  <si>
    <t>Lakepointe Drive_2025_Lakepointe Residences_Lweisville</t>
  </si>
  <si>
    <t>Lakepointe Drive</t>
  </si>
  <si>
    <t>Lweisville</t>
  </si>
  <si>
    <t>E:\PropInv\MF\Mansfield\Matlock Road_3251_Spyglass Apartments_Mansfield</t>
  </si>
  <si>
    <t>Matlock Road_3251_Spyglass Apartments_Mansfield</t>
  </si>
  <si>
    <t>Spyglass Apartments</t>
  </si>
  <si>
    <t>E:\PropInv\MF\Mansfield\Towne Crossing Boulevard_1701_The Falls At Towne Crossing_Mansfield</t>
  </si>
  <si>
    <t>Towne Crossing Boulevard_1701_The Falls At Towne Crossing_Mansfield</t>
  </si>
  <si>
    <t>Towne Crossing Boulevard</t>
  </si>
  <si>
    <t>The Falls At Towne Crossing</t>
  </si>
  <si>
    <t>E:\PropInv\MF\Marshall\Victory Road_2800_Oak Manor Apartments_Marshall</t>
  </si>
  <si>
    <t>Victory Road_2800_Oak Manor Apartments_Marshall</t>
  </si>
  <si>
    <t>Victory Road</t>
  </si>
  <si>
    <t>Oak Manor Apartments</t>
  </si>
  <si>
    <t>E:\PropInv\MF\Marshall\Pinecrest Drive West_2107_Seven Keys Apartments_Marshall</t>
  </si>
  <si>
    <t>Pinecrest Drive West_2107_Seven Keys Apartments_Marshall</t>
  </si>
  <si>
    <t>Pinecrest Drive West</t>
  </si>
  <si>
    <t>Seven Keys Apartments</t>
  </si>
  <si>
    <t>E:\PropInv\MF\McAllen\I Street North_2501_Clocktower Village_McAllen</t>
  </si>
  <si>
    <t>I Street North_2501_Clocktower Village_McAllen</t>
  </si>
  <si>
    <t>I Street North</t>
  </si>
  <si>
    <t>E:\PropInv\MF\McAllen\Tamarack Avenue_1600_El Camino Real Apartments_McAllen</t>
  </si>
  <si>
    <t>Tamarack Avenue_1600_El Camino Real Apartments_McAllen</t>
  </si>
  <si>
    <t>Tamarack Avenue</t>
  </si>
  <si>
    <t>El Camino Real Apartments</t>
  </si>
  <si>
    <t>E:\PropInv\MF\McAllen\8th Street North_3101_Greens Pointe Apartments LTD_McAllen</t>
  </si>
  <si>
    <t>8th Street North_3101_Greens Pointe Apartments LTD_McAllen</t>
  </si>
  <si>
    <t>8th Street North</t>
  </si>
  <si>
    <t>Greens Pointe Apartments LTD</t>
  </si>
  <si>
    <t>E:\PropInv\MF\McAllen\Nolana Avenue_1200_Nolana Apartments_McAllen</t>
  </si>
  <si>
    <t>Nolana Avenue_1200_Nolana Apartments_McAllen</t>
  </si>
  <si>
    <t>Nolana Avenue</t>
  </si>
  <si>
    <t>Nolana Apartments</t>
  </si>
  <si>
    <t>E:\PropInv\MF\McAllen\Main Street North_4210_Paradise Village Apartments_McAllen</t>
  </si>
  <si>
    <t>Main Street North_4210_Paradise Village Apartments_McAllen</t>
  </si>
  <si>
    <t>Paradise Village Apartments</t>
  </si>
  <si>
    <t>E:\PropInv\MF\McAllen\Bales Road_700_Plaza Royale Apartments_McAllen</t>
  </si>
  <si>
    <t>Bales Road_700_Plaza Royale Apartments_McAllen</t>
  </si>
  <si>
    <t>Bales Road</t>
  </si>
  <si>
    <t>Plaza Royale Apartments</t>
  </si>
  <si>
    <t>E:\PropInv\MF\McAllen\2nd Street North_1101_Tamarack Apartments_McAllen</t>
  </si>
  <si>
    <t>2nd Street North_1101_Tamarack Apartments_McAllen</t>
  </si>
  <si>
    <t>Tamarack Apartments</t>
  </si>
  <si>
    <t>E:\PropInv\MF\McAllen\2nd Street North_1901_Tamrack Apartments_McAllen</t>
  </si>
  <si>
    <t>2nd Street North_1901_Tamrack Apartments_McAllen</t>
  </si>
  <si>
    <t>Tamrack Apartments</t>
  </si>
  <si>
    <t>E:\PropInv\MF\McAllen\Quamasia Street East_121_Villas De Nolana_McAllen</t>
  </si>
  <si>
    <t>Quamasia Street East_121_Villas De Nolana_McAllen</t>
  </si>
  <si>
    <t>Quamasia Street East</t>
  </si>
  <si>
    <t>Villas De Nolana</t>
  </si>
  <si>
    <t>E:\PropInv\MF\McAllen\Bicentennial Boulevard_3601_Vintage square_McAllen</t>
  </si>
  <si>
    <t>Bicentennial Boulevard_3601_Vintage square_McAllen</t>
  </si>
  <si>
    <t>Bicentennial Boulevard</t>
  </si>
  <si>
    <t>Vintage square</t>
  </si>
  <si>
    <t>E:\PropInv\MF\McKinney\White Avenue West_ 2301_ Westcreek Ranch Apartments_McKinney</t>
  </si>
  <si>
    <t>White Avenue West_ 2301_ Westcreek Ranch Apartments_McKinney</t>
  </si>
  <si>
    <t>White Avenue West</t>
  </si>
  <si>
    <t xml:space="preserve"> Westcreek Ranch Apartments</t>
  </si>
  <si>
    <t>E:\PropInv\MF\McKinney\Mckinney Ranch Parkway_6653_Alexan Parkway_McKinney</t>
  </si>
  <si>
    <t>Mckinney Ranch Parkway_6653_Alexan Parkway_McKinney</t>
  </si>
  <si>
    <t>Mckinney Ranch Parkway</t>
  </si>
  <si>
    <t>Alexan Parkway</t>
  </si>
  <si>
    <t>E:\PropInv\MF\McKinney\Virginia Parkway West_2520_Twelve Oaks Apartments_McKinney</t>
  </si>
  <si>
    <t>Virginia Parkway West_2520_Twelve Oaks Apartments_McKinney</t>
  </si>
  <si>
    <t>Virginia Parkway West</t>
  </si>
  <si>
    <t>Twelve Oaks Apartments</t>
  </si>
  <si>
    <t>E:\PropInv\MF\McKinney\Virginia Parkway_5701_Village Of Stone Brooke_McKinney</t>
  </si>
  <si>
    <t>Virginia Parkway_5701_Village Of Stone Brooke_McKinney</t>
  </si>
  <si>
    <t>Virginia Parkway</t>
  </si>
  <si>
    <t>Village Of Stone Brooke</t>
  </si>
  <si>
    <t>E:\PropInv\MF\Mesquite\Americana Lane_1208_1208 Americana Lane_Mesquite</t>
  </si>
  <si>
    <t>Americana Lane_1208_1208 Americana Lane_Mesquite</t>
  </si>
  <si>
    <t>Americana Lane</t>
  </si>
  <si>
    <t>1208 Americana Lane</t>
  </si>
  <si>
    <t>E:\PropInv\MF\Mesquite\Meadows Boulevard East_2500_2500 Meadows Boulevard East_Mesquite</t>
  </si>
  <si>
    <t>Meadows Boulevard East_2500_2500 Meadows Boulevard East_Mesquite</t>
  </si>
  <si>
    <t>Meadows Boulevard East</t>
  </si>
  <si>
    <t>2500 Meadows Boulevard East</t>
  </si>
  <si>
    <t>E:\PropInv\MF\Mesquite\Poteet Drive_3700_3700 Poteet Drive_Mesquite</t>
  </si>
  <si>
    <t>Poteet Drive_3700_3700 Poteet Drive_Mesquite</t>
  </si>
  <si>
    <t>Poteet Drive</t>
  </si>
  <si>
    <t>3700 Poteet Drive</t>
  </si>
  <si>
    <t>E:\PropInv\MF\Mesquite\Town Boulevard East North_645_Alexan Town East_Mesquite</t>
  </si>
  <si>
    <t>Town Boulevard East North_645_Alexan Town East_Mesquite</t>
  </si>
  <si>
    <t>Town Boulevard East North</t>
  </si>
  <si>
    <t>Alexan Town East</t>
  </si>
  <si>
    <t>E:\PropInv\MF\Mesquite\Baker Drive_1809_Baker Square_Mesquite</t>
  </si>
  <si>
    <t>Baker Drive_1809_Baker Square_Mesquite</t>
  </si>
  <si>
    <t>Baker Drive</t>
  </si>
  <si>
    <t>E:\PropInv\MF\Mesquite\Baker Drive_1802_Baker Square Apartments_Mesquite</t>
  </si>
  <si>
    <t>Baker Drive_1802_Baker Square Apartments_Mesquite</t>
  </si>
  <si>
    <t>Baker Square Apartments</t>
  </si>
  <si>
    <t>E:\PropInv\MF\Mesquite\Hillcrest Road_1125_Casa Claire Apartments_Mesquite</t>
  </si>
  <si>
    <t>Hillcrest Road_1125_Casa Claire Apartments_Mesquite</t>
  </si>
  <si>
    <t>Casa Claire Apartments</t>
  </si>
  <si>
    <t>E:\PropInv\MF\Mesquite\Via Ventura_4804_Central Park_Mesquite</t>
  </si>
  <si>
    <t>Via Ventura_4804_Central Park_Mesquite</t>
  </si>
  <si>
    <t>E:\PropInv\MF\Mesquite\Highland Village Drive_400_Courtyards Of Mesquite_Mesquite</t>
  </si>
  <si>
    <t>Highland Village Drive_400_Courtyards Of Mesquite_Mesquite</t>
  </si>
  <si>
    <t>Highland Village Drive</t>
  </si>
  <si>
    <t>Courtyards Of Mesquite</t>
  </si>
  <si>
    <t>E:\PropInv\MF\Mesquite\Samuell Boulevard_4049_Elmwood Gardens Apartments_Mesquite</t>
  </si>
  <si>
    <t>Samuell Boulevard_4049_Elmwood Gardens Apartments_Mesquite</t>
  </si>
  <si>
    <t>Elmwood Gardens Apartments</t>
  </si>
  <si>
    <t>E:\PropInv\MF\Mesquite\67 US Highway_801_Fairways At Mesquite_Mesquite</t>
  </si>
  <si>
    <t>67 US Highway_801_Fairways At Mesquite_Mesquite</t>
  </si>
  <si>
    <t>67 US Highway</t>
  </si>
  <si>
    <t>Fairways At Mesquite</t>
  </si>
  <si>
    <t>E:\PropInv\MF\Mesquite\Galloway Avenue North_1540_Heather Creek_Mesquite</t>
  </si>
  <si>
    <t>Galloway Avenue North_1540_Heather Creek_Mesquite</t>
  </si>
  <si>
    <t>Galloway Avenue North</t>
  </si>
  <si>
    <t>E:\PropInv\MF\Mesquite\Hillcrest Street_2019_Hillcrest Apartments_Mesquite</t>
  </si>
  <si>
    <t>Hillcrest Street_2019_Hillcrest Apartments_Mesquite</t>
  </si>
  <si>
    <t>Hillcrest Street</t>
  </si>
  <si>
    <t>Hillcrest Apartments</t>
  </si>
  <si>
    <t>E:\PropInv\MF\Mesquite\Pinehurst Lane_1901_La Prada Club_Mesquite</t>
  </si>
  <si>
    <t>Pinehurst Lane_1901_La Prada Club_Mesquite</t>
  </si>
  <si>
    <t>Pinehurst Lane</t>
  </si>
  <si>
    <t>La Prada Club</t>
  </si>
  <si>
    <t>E:\PropInv\MF\Mesquite\80 US Highway East_901_Mission Ranch_Mesquite</t>
  </si>
  <si>
    <t>80 US Highway East_901_Mission Ranch_Mesquite</t>
  </si>
  <si>
    <t>80 US Highway East</t>
  </si>
  <si>
    <t>E:\PropInv\MF\Mesquite\80 US Highway East_2735_Oakwood Village_Mesquite</t>
  </si>
  <si>
    <t>80 US Highway East_2735_Oakwood Village_Mesquite</t>
  </si>
  <si>
    <t>E:\PropInv\MF\Mesquite\80 US Highway East_2707_Oakwood Village Apartments_Mesquite</t>
  </si>
  <si>
    <t>80 US Highway East_2707_Oakwood Village Apartments_Mesquite</t>
  </si>
  <si>
    <t>Oakwood Village Apartments</t>
  </si>
  <si>
    <t>E:\PropInv\MF\Mesquite\Galloway Avenue North_1716_Pine Oaks_Mesquite</t>
  </si>
  <si>
    <t>Galloway Avenue North_1716_Pine Oaks_Mesquite</t>
  </si>
  <si>
    <t>E:\PropInv\MF\Mesquite\80 US Highway East_2101_The Barons_Mesquite</t>
  </si>
  <si>
    <t>80 US Highway East_2101_The Barons_Mesquite</t>
  </si>
  <si>
    <t>E:\PropInv\MF\Mesquite\Tradewind Drive_2136_Trade Wind Apartments_Mesquite</t>
  </si>
  <si>
    <t>Tradewind Drive_2136_Trade Wind Apartments_Mesquite</t>
  </si>
  <si>
    <t>Tradewind Drive</t>
  </si>
  <si>
    <t>Trade Wind Apartments</t>
  </si>
  <si>
    <t>E:\PropInv\MF\Mexia\McKinney South_604_Alpine, Sherwood And Eastridge Apartments_Mexia</t>
  </si>
  <si>
    <t>McKinney South_604_Alpine, Sherwood And Eastridge Apartments_Mexia</t>
  </si>
  <si>
    <t>McKinney South</t>
  </si>
  <si>
    <t>Alpine, Sherwood And Eastridge Apartments</t>
  </si>
  <si>
    <t>E:\PropInv\MF\Midland\Midland Drive North_3101_Cornerstone Apartments_Midland</t>
  </si>
  <si>
    <t>Midland Drive North_3101_Cornerstone Apartments_Midland</t>
  </si>
  <si>
    <t>Midland Drive North</t>
  </si>
  <si>
    <t>Cornerstone Apartments</t>
  </si>
  <si>
    <t>E:\PropInv\MF\Midland\Midland Drive North_1902_Hunters Glen Apartments Principals Only_Midland</t>
  </si>
  <si>
    <t>Midland Drive North_1902_Hunters Glen Apartments Principals Only_Midland</t>
  </si>
  <si>
    <t>Hunters Glen Apartments Principals Only</t>
  </si>
  <si>
    <t>E:\PropInv\MF\Midland\Holiday Hill Road North_4400_Midland Or Odessa Or Longview 3128 Units FSBO Principals_Midland</t>
  </si>
  <si>
    <t>Holiday Hill Road North_4400_Midland Or Odessa Or Longview 3128 Units FSBO Principals_Midland</t>
  </si>
  <si>
    <t>Holiday Hill Road North</t>
  </si>
  <si>
    <t>Midland Or Odessa Or Longview 3128 Units FSBO Principals</t>
  </si>
  <si>
    <t>E:\PropInv\MF\Midland\Midland Drive North_3001_Quail Hollow Apartments_Midland</t>
  </si>
  <si>
    <t>Midland Drive North_3001_Quail Hollow Apartments_Midland</t>
  </si>
  <si>
    <t>E:\PropInv\MF\Midland\Tremont Avenue_5216_Treemont Apartments_Midland</t>
  </si>
  <si>
    <t>Tremont Avenue_5216_Treemont Apartments_Midland</t>
  </si>
  <si>
    <t>Tremont Avenue</t>
  </si>
  <si>
    <t>Treemont Apartments</t>
  </si>
  <si>
    <t>E:\PropInv\MF\Midland\Bromley Place_3200_Vantage At Midland_Midland</t>
  </si>
  <si>
    <t>Bromley Place_3200_Vantage At Midland_Midland</t>
  </si>
  <si>
    <t>Vantage At Midland</t>
  </si>
  <si>
    <t>E:\PropInv\MF\Midlothian\Henderson Street_170_Henderson Place Apartments_Midlothian</t>
  </si>
  <si>
    <t>Henderson Street_170_Henderson Place Apartments_Midlothian</t>
  </si>
  <si>
    <t>Henderson Street</t>
  </si>
  <si>
    <t>Henderson Place Apartments</t>
  </si>
  <si>
    <t>E:\PropInv\MF\Midlothian\Eastridge Drive_721_Timber Oaks_Midlothian</t>
  </si>
  <si>
    <t>Eastridge Drive_721_Timber Oaks_Midlothian</t>
  </si>
  <si>
    <t>Timber Oaks</t>
  </si>
  <si>
    <t>E:\PropInv\MF\Midlothian\9th Street North_1600_Turtle Cove Apartments_Midlothian</t>
  </si>
  <si>
    <t>9th Street North_1600_Turtle Cove Apartments_Midlothian</t>
  </si>
  <si>
    <t>9th Street North</t>
  </si>
  <si>
    <t>Turtle Cove Apartments</t>
  </si>
  <si>
    <t>E:\PropInv\MF\Mineral Wells\2nd Street North East_3001_Spanish Trace Apartments_Mineral Wells</t>
  </si>
  <si>
    <t>2nd Street North East_3001_Spanish Trace Apartments_Mineral Wells</t>
  </si>
  <si>
    <t>2nd Street North East</t>
  </si>
  <si>
    <t>E:\PropInv\MF\Mission\Plantation Grove Boulevard_3807_Las Misiones Apartments_Mission</t>
  </si>
  <si>
    <t>Plantation Grove Boulevard_3807_Las Misiones Apartments_Mission</t>
  </si>
  <si>
    <t>Plantation Grove Boulevard</t>
  </si>
  <si>
    <t>Las Misiones Apartments</t>
  </si>
  <si>
    <t>E:\PropInv\MF\Missouri City\Sign Street_7736_Westbury Village_Missouri City</t>
  </si>
  <si>
    <t>Sign Street_7736_Westbury Village_Missouri City</t>
  </si>
  <si>
    <t>Sign Street</t>
  </si>
  <si>
    <t>Westbury Village</t>
  </si>
  <si>
    <t>E:\PropInv\MF\Nacogdoches\Starr Avenue East_1710_Chevy Chase Apartments_Nacogdoches</t>
  </si>
  <si>
    <t>Starr Avenue East_1710_Chevy Chase Apartments_Nacogdoches</t>
  </si>
  <si>
    <t>Starr Avenue East</t>
  </si>
  <si>
    <t>Chevy Chase Apartments</t>
  </si>
  <si>
    <t>E:\PropInv\MF\Nacogdoches\University North_2614_Woodforest_Nacogdoches</t>
  </si>
  <si>
    <t>University North_2614_Woodforest_Nacogdoches</t>
  </si>
  <si>
    <t>University North</t>
  </si>
  <si>
    <t>E:\PropInv\MF\Nederland\Avenue B_1003_Chateau Nederland_Nederland</t>
  </si>
  <si>
    <t>Avenue B_1003_Chateau Nederland_Nederland</t>
  </si>
  <si>
    <t>Avenue B</t>
  </si>
  <si>
    <t>E:\PropInv\MF\Nederland\31st Street North_2575_Spurlock North_Nederland</t>
  </si>
  <si>
    <t>31st Street North_2575_Spurlock North_Nederland</t>
  </si>
  <si>
    <t>31st Street North</t>
  </si>
  <si>
    <t>E:\PropInv\MF\Nederland\Nederland Avenue_2900_The Avenue_Nederland</t>
  </si>
  <si>
    <t>Nederland Avenue_2900_The Avenue_Nederland</t>
  </si>
  <si>
    <t>Nederland Avenue</t>
  </si>
  <si>
    <t>E:\PropInv\MF\New Braunfels\Howard Street_730_Braunfels Haus Apartments &amp; Village Center_New Braunfels</t>
  </si>
  <si>
    <t>Howard Street_730_Braunfels Haus Apartments &amp; Village Center_New Braunfels</t>
  </si>
  <si>
    <t>Howard Street</t>
  </si>
  <si>
    <t>Braunfels Haus Apartments &amp; Village Center</t>
  </si>
  <si>
    <t>E:\PropInv\MF\New Braunfels\Huisache Ave_1231_Braunfels Place_New Braunfels</t>
  </si>
  <si>
    <t>Huisache Ave_1231_Braunfels Place_New Braunfels</t>
  </si>
  <si>
    <t>E:\PropInv\MF\New Braunfels\Village Way_705_Cotton Crossing_New Braunfels</t>
  </si>
  <si>
    <t>Village Way_705_Cotton Crossing_New Braunfels</t>
  </si>
  <si>
    <t>E:\PropInv\MF\New Braunfels\306 FM Road_520_La Sierra Apartments_New Braunfels</t>
  </si>
  <si>
    <t>306 FM Road_520_La Sierra Apartments_New Braunfels</t>
  </si>
  <si>
    <t>306 FM Road</t>
  </si>
  <si>
    <t>La Sierra Apartments</t>
  </si>
  <si>
    <t>E:\PropInv\MF\New Braunfels\35 Interstate Highway Business North_1565_Langtry Village_New Braunfels</t>
  </si>
  <si>
    <t>35 Interstate Highway Business North_1565_Langtry Village_New Braunfels</t>
  </si>
  <si>
    <t>35 Interstate Highway Business North</t>
  </si>
  <si>
    <t>E:\PropInv\MF\New Braunfels\Seville Drive_241_River Park Apartments_New Braunfels</t>
  </si>
  <si>
    <t>Seville Drive_241_River Park Apartments_New Braunfels</t>
  </si>
  <si>
    <t>Seville Drive</t>
  </si>
  <si>
    <t>River Park Apartments</t>
  </si>
  <si>
    <t>E:\PropInv\MF\New Braunfels\County Line Road West_1360_Vantage at New Braunfels_New Braunfels</t>
  </si>
  <si>
    <t>County Line Road West_1360_Vantage at New Braunfels_New Braunfels</t>
  </si>
  <si>
    <t>County Line Road West</t>
  </si>
  <si>
    <t>Vantage at New Braunfels</t>
  </si>
  <si>
    <t>E:\PropInv\MF\New Braunfels\35 Interstate Highway North_770_Westshore Colony_New Braunfels</t>
  </si>
  <si>
    <t>35 Interstate Highway North_770_Westshore Colony_New Braunfels</t>
  </si>
  <si>
    <t>Westshore Colony</t>
  </si>
  <si>
    <t>E:\PropInv\MF\North Richland Hills\Glenview Drive_7030_7030 Glenview Drive_North Richland Hills</t>
  </si>
  <si>
    <t>Glenview Drive_7030_7030 Glenview Drive_North Richland Hills</t>
  </si>
  <si>
    <t>Glenview Drive</t>
  </si>
  <si>
    <t>7030 Glenview Drive</t>
  </si>
  <si>
    <t>E:\PropInv\MF\North Richland Hills\Irish Drive_7800_Davis Plaza_North Richland Hills</t>
  </si>
  <si>
    <t>Irish Drive_7800_Davis Plaza_North Richland Hills</t>
  </si>
  <si>
    <t>Irish Drive</t>
  </si>
  <si>
    <t>E:\PropInv\MF\North Richland Hills\Glenview Drive_6100_Diamond Loch Apartments_North Richland Hills</t>
  </si>
  <si>
    <t>Glenview Drive_6100_Diamond Loch Apartments_North Richland Hills</t>
  </si>
  <si>
    <t>Diamond Loch Apartments</t>
  </si>
  <si>
    <t>E:\PropInv\MF\North Richland Hills\Emerald Hills Way_8341_Emerald Park Apartments_North Richland Hills</t>
  </si>
  <si>
    <t>Emerald Hills Way_8341_Emerald Park Apartments_North Richland Hills</t>
  </si>
  <si>
    <t>Emerald Park Apartments</t>
  </si>
  <si>
    <t>E:\PropInv\MF\North Richland Hills\Maplewood Avenue_7500_Emerald Run_North Richland Hills</t>
  </si>
  <si>
    <t>Maplewood Avenue_7500_Emerald Run_North Richland Hills</t>
  </si>
  <si>
    <t>Maplewood Avenue</t>
  </si>
  <si>
    <t>E:\PropInv\MF\North Richland Hills\Emerland Hills Way_8337_Emerland Park_North Richland Hills</t>
  </si>
  <si>
    <t>Emerland Hills Way_8337_Emerland Park_North Richland Hills</t>
  </si>
  <si>
    <t>Emerland Hills Way</t>
  </si>
  <si>
    <t>Emerland Park</t>
  </si>
  <si>
    <t>E:\PropInv\MF\North Richland Hills\820 Loop Northeast_6901_Grayson Ridge_North Richland Hills</t>
  </si>
  <si>
    <t>820 Loop Northeast_6901_Grayson Ridge_North Richland Hills</t>
  </si>
  <si>
    <t>820 Loop Northeast</t>
  </si>
  <si>
    <t>E:\PropInv\MF\North Richland Hills\Weyland Drive_1601_Remington Oaks_North Richland Hills</t>
  </si>
  <si>
    <t>Weyland Drive_1601_Remington Oaks_North Richland Hills</t>
  </si>
  <si>
    <t>Weyland Drive</t>
  </si>
  <si>
    <t>E:\PropInv\MF\North Richland Hills\Courtenay Street_9012_Venue At Home Town_North Richland Hills</t>
  </si>
  <si>
    <t>Courtenay Street_9012_Venue At Home Town_North Richland Hills</t>
  </si>
  <si>
    <t>Courtenay Street</t>
  </si>
  <si>
    <t>Venue At Home Town</t>
  </si>
  <si>
    <t>E:\PropInv\MF\North Richland Hills\26 Boulevard North_9101_Venue At Hometown_North Richland Hills</t>
  </si>
  <si>
    <t>26 Boulevard North_9101_Venue At Hometown_North Richland Hills</t>
  </si>
  <si>
    <t>26 Boulevard North</t>
  </si>
  <si>
    <t>Venue At Hometown</t>
  </si>
  <si>
    <t>E:\PropInv\MF\North Richland Hills\Glenview Drive_6525_North Richland Hills</t>
  </si>
  <si>
    <t>Glenview Drive_6525_North Richland Hills</t>
  </si>
  <si>
    <t>E:\PropInv\MF\State_CO\Northglenn\Community Center Drive_11625_Stone Mountain_Northglenn</t>
  </si>
  <si>
    <t>Community Center Drive_11625_Stone Mountain_Northglenn</t>
  </si>
  <si>
    <t>Community Center Drive</t>
  </si>
  <si>
    <t>E:\PropInv\MF\Odessa\Oakwood Drive_4600_Peppertree and Spanish Oaks Apartments_Odessa</t>
  </si>
  <si>
    <t>Oakwood Drive_4600_Peppertree and Spanish Oaks Apartments_Odessa</t>
  </si>
  <si>
    <t>Oakwood Drive</t>
  </si>
  <si>
    <t>Peppertree and Spanish Oaks Apartments</t>
  </si>
  <si>
    <t>E:\PropInv\MF\Odessa\8th Street East_2735_Southgate Principals only pls. FSBO_Odessa</t>
  </si>
  <si>
    <t>8th Street East_2735_Southgate Principals only pls. FSBO_Odessa</t>
  </si>
  <si>
    <t>Southgate Principals only pls. FSBO</t>
  </si>
  <si>
    <t>E:\PropInv\MF\Odessa\Rocky Lane Road_2201_Sunchase Apartments Principals only_Odessa</t>
  </si>
  <si>
    <t>Rocky Lane Road_2201_Sunchase Apartments Principals only_Odessa</t>
  </si>
  <si>
    <t>Rocky Lane Road</t>
  </si>
  <si>
    <t>Sunchase Apartments Principals only</t>
  </si>
  <si>
    <t>E:\PropInv\MF\Odessa\Andrews Highway_9100_Sunset Principals only pls_Odessa</t>
  </si>
  <si>
    <t>Andrews Highway_9100_Sunset Principals only pls_Odessa</t>
  </si>
  <si>
    <t>Andrews Highway</t>
  </si>
  <si>
    <t>Sunset Principals only pls</t>
  </si>
  <si>
    <t>E:\PropInv\MF\Odessa\Tanglewood Lane_5050_The Woodlands of Odessa_Odessa</t>
  </si>
  <si>
    <t>Tanglewood Lane_5050_The Woodlands of Odessa_Odessa</t>
  </si>
  <si>
    <t>Tanglewood Lane</t>
  </si>
  <si>
    <t>E:\PropInv\MF\Odessa\50th Street East_4100_Windchase Apartments FSBO Principals only_Odessa</t>
  </si>
  <si>
    <t>50th Street East_4100_Windchase Apartments FSBO Principals only_Odessa</t>
  </si>
  <si>
    <t>50th Street East</t>
  </si>
  <si>
    <t>Windchase Apartments FSBO Principals only</t>
  </si>
  <si>
    <t>E:\PropInv\MF\Orange\Meeks North_3819_Chivas Square_Orange</t>
  </si>
  <si>
    <t>Meeks North_3819_Chivas Square_Orange</t>
  </si>
  <si>
    <t>Meeks North</t>
  </si>
  <si>
    <t>E:\PropInv\MF\Orange\Meeks Road_4750_International Village_Orange</t>
  </si>
  <si>
    <t>Meeks Road_4750_International Village_Orange</t>
  </si>
  <si>
    <t>Meeks Road</t>
  </si>
  <si>
    <t>E:\PropInv\MF\Orange\MacArthur Drive_3000_Sussex Apartments_Orange</t>
  </si>
  <si>
    <t>MacArthur Drive_3000_Sussex Apartments_Orange</t>
  </si>
  <si>
    <t>MacArthur Drive</t>
  </si>
  <si>
    <t>Sussex Apartments</t>
  </si>
  <si>
    <t>E:\PropInv\MF\State_FL\Orlando\Middlebrook Road_4000_Middlebrook Farms_Orlando</t>
  </si>
  <si>
    <t>Middlebrook Road_4000_Middlebrook Farms_Orlando</t>
  </si>
  <si>
    <t>Middlebrook Road</t>
  </si>
  <si>
    <t>E:\PropInv\MF\Palestine\Sugar Lane_1020_Timbercrest Apartments_Palestine</t>
  </si>
  <si>
    <t>Sugar Lane_1020_Timbercrest Apartments_Palestine</t>
  </si>
  <si>
    <t>Sugar Lane</t>
  </si>
  <si>
    <t>Timbercrest Apartments</t>
  </si>
  <si>
    <t>E:\PropInv\MF\Palestine\Sugar Lane_1010_Whispering Pines_Palestine</t>
  </si>
  <si>
    <t>Sugar Lane_1010_Whispering Pines_Palestine</t>
  </si>
  <si>
    <t>E:\PropInv\MF\State_CA\Palm Desert\Hovley Lane East_Canterra_Palm Desert</t>
  </si>
  <si>
    <t>Hovley Lane East_Canterra_Palm Desert</t>
  </si>
  <si>
    <t>Hovley Lane East</t>
  </si>
  <si>
    <t>E:\PropInv\MF\Paris\Cherry East_2193_Cherry Street_Paris</t>
  </si>
  <si>
    <t>Cherry East_2193_Cherry Street_Paris</t>
  </si>
  <si>
    <t>Cherry East</t>
  </si>
  <si>
    <t>E:\PropInv\MF\Paris\7th Steet_635_Paris 120 Units_Paris</t>
  </si>
  <si>
    <t>7th Steet_635_Paris 120 Units_Paris</t>
  </si>
  <si>
    <t>7th Steet</t>
  </si>
  <si>
    <t>Paris 120 Units</t>
  </si>
  <si>
    <t>E:\PropInv\MF\Paris\Clarksville Street_3125_Spanish Oaks_Paris</t>
  </si>
  <si>
    <t>Clarksville Street_3125_Spanish Oaks_Paris</t>
  </si>
  <si>
    <t>Clarksville Street</t>
  </si>
  <si>
    <t>E:\PropInv\MF\Paris\Lamar Avenue_2526_The Regency Apartments_Paris</t>
  </si>
  <si>
    <t>Lamar Avenue_2526_The Regency Apartments_Paris</t>
  </si>
  <si>
    <t>Lamar Avenue</t>
  </si>
  <si>
    <t>The Regency Apartments</t>
  </si>
  <si>
    <t>E:\PropInv\MF\Pasadena\Queens Road_1111_allen Square_Pasadena</t>
  </si>
  <si>
    <t>Queens Road_1111_allen Square_Pasadena</t>
  </si>
  <si>
    <t>Queens Road</t>
  </si>
  <si>
    <t>allen Square</t>
  </si>
  <si>
    <t>E:\PropInv\MF\Pasadena\Richey South_519_Bryton Hill_Pasadena</t>
  </si>
  <si>
    <t>Richey South_519_Bryton Hill_Pasadena</t>
  </si>
  <si>
    <t>Richey South</t>
  </si>
  <si>
    <t>Bryton Hill</t>
  </si>
  <si>
    <t>E:\PropInv\MF\Pasadena\Spencer Highway_7201_Deer Park Village Apartments_Pasadena</t>
  </si>
  <si>
    <t>Spencer Highway_7201_Deer Park Village Apartments_Pasadena</t>
  </si>
  <si>
    <t>Spencer Highway</t>
  </si>
  <si>
    <t>Deer Park Village Apartments</t>
  </si>
  <si>
    <t>E:\PropInv\MF\Pasadena\Red Bluff Road_1120_First Line Apartments_Pasadena</t>
  </si>
  <si>
    <t>Red Bluff Road_1120_First Line Apartments_Pasadena</t>
  </si>
  <si>
    <t>Red Bluff Road</t>
  </si>
  <si>
    <t>First Line Apartments</t>
  </si>
  <si>
    <t>E:\PropInv\MF\Pasadena\Burke Road_4025_Sandridge_Pasadena</t>
  </si>
  <si>
    <t>Burke Road_4025_Sandridge_Pasadena</t>
  </si>
  <si>
    <t>Burke Road</t>
  </si>
  <si>
    <t>E:\PropInv\MF\Pasadena\Red Bluff Road_3823_The Palm Apartments_Pasadena</t>
  </si>
  <si>
    <t>Red Bluff Road_3823_The Palm Apartments_Pasadena</t>
  </si>
  <si>
    <t>The Palm Apartments</t>
  </si>
  <si>
    <t>E:\PropInv\MF\Pearland\Tranquility Lake Boulevard_2800_Club At Trarnquility Lake_Pearland</t>
  </si>
  <si>
    <t>Tranquility Lake Boulevard_2800_Club At Trarnquility Lake_Pearland</t>
  </si>
  <si>
    <t>Tranquility Lake Boulevard</t>
  </si>
  <si>
    <t>Club At Trarnquility Lake</t>
  </si>
  <si>
    <t>E:\PropInv\MF\Pearland\Old Alvin Road_1710_Oakbridge Apartments_Pearland</t>
  </si>
  <si>
    <t>Old Alvin Road_1710_Oakbridge Apartments_Pearland</t>
  </si>
  <si>
    <t>Old Alvin Road</t>
  </si>
  <si>
    <t>Oakbridge Apartments</t>
  </si>
  <si>
    <t>E:\PropInv\MF\Pearland\Walnut Street East_3340_Park Place_Pearland</t>
  </si>
  <si>
    <t>Walnut Street East_3340_Park Place_Pearland</t>
  </si>
  <si>
    <t>Walnut Street East</t>
  </si>
  <si>
    <t>E:\PropInv\MF\Pearland\Broadway East_3510_Salem Village_Pearland</t>
  </si>
  <si>
    <t>Broadway East_3510_Salem Village_Pearland</t>
  </si>
  <si>
    <t>Broadway East</t>
  </si>
  <si>
    <t>E:\PropInv\MF\Pearland\Broadway East_3512_Silver Maples_Pearland</t>
  </si>
  <si>
    <t>Broadway East_3512_Silver Maples_Pearland</t>
  </si>
  <si>
    <t>E:\PropInv\MF\Pearland\Pearland Parkway_2900_The Enclave At Mary's Creek_Pearland</t>
  </si>
  <si>
    <t>Pearland Parkway_2900_The Enclave At Mary's Creek_Pearland</t>
  </si>
  <si>
    <t>Pearland Parkway</t>
  </si>
  <si>
    <t>The Enclave At Mary's Creek</t>
  </si>
  <si>
    <t>E:\PropInv\MF\State_VA\Petersburg\River Terrace Road_20900_River Road Terrace_Petersburg</t>
  </si>
  <si>
    <t>River Terrace Road_20900_River Road Terrace_Petersburg</t>
  </si>
  <si>
    <t>River Terrace Road</t>
  </si>
  <si>
    <t>E:\PropInv\MF\Pflugerville\Foothill Farms_15835_1825 Park Place_Pflugerville</t>
  </si>
  <si>
    <t>Foothill Farms_15835_1825 Park Place_Pflugerville</t>
  </si>
  <si>
    <t>Foothill Farms</t>
  </si>
  <si>
    <t>1825 Park Place</t>
  </si>
  <si>
    <t>E:\PropInv\MF\State_AZ\Phoenix\Elm Street West_2521_Casa Paradise_Phoenix</t>
  </si>
  <si>
    <t>Elm Street West_2521_Casa Paradise_Phoenix</t>
  </si>
  <si>
    <t>Elm Street West</t>
  </si>
  <si>
    <t>E:\PropInv\MF\Plano\Avenue F_1400_1400 F Ave_Plano</t>
  </si>
  <si>
    <t>Avenue F_1400_1400 F Ave_Plano</t>
  </si>
  <si>
    <t>1400 F Ave</t>
  </si>
  <si>
    <t>E:\PropInv\MF\Plano\15th Street East_1901_Amber Vista_Plano</t>
  </si>
  <si>
    <t>15th Street East_1901_Amber Vista_Plano</t>
  </si>
  <si>
    <t>15th Street East</t>
  </si>
  <si>
    <t>E:\PropInv\MF\Plano\Legacy Drive_600_Chase Oaks_Plano</t>
  </si>
  <si>
    <t>Legacy Drive_600_Chase Oaks_Plano</t>
  </si>
  <si>
    <t>Legacy Drive</t>
  </si>
  <si>
    <t>Chase Oaks</t>
  </si>
  <si>
    <t>E:\PropInv\MF\Plano\Independence Parkway_1717_Cornerstone Ranch_Plano</t>
  </si>
  <si>
    <t>Independence Parkway_1717_Cornerstone Ranch_Plano</t>
  </si>
  <si>
    <t>Independence Parkway</t>
  </si>
  <si>
    <t>E:\PropInv\MF\Plano\Pebble Vale Drive_2301_Formely Riverwalk Village_Plano</t>
  </si>
  <si>
    <t>Pebble Vale Drive_2301_Formely Riverwalk Village_Plano</t>
  </si>
  <si>
    <t>Pebble Vale Drive</t>
  </si>
  <si>
    <t>Formely Riverwalk Village</t>
  </si>
  <si>
    <t>E:\PropInv\MF\Plano\Spring Creek Parkway West_1901_Greenbriar_Plano</t>
  </si>
  <si>
    <t>Spring Creek Parkway West_1901_Greenbriar_Plano</t>
  </si>
  <si>
    <t>Spring Creek Parkway West</t>
  </si>
  <si>
    <t>E:\PropInv\MF\Plano\Independence Parkway_6400_Hunters Glen_Plano</t>
  </si>
  <si>
    <t>Independence Parkway_6400_Hunters Glen_Plano</t>
  </si>
  <si>
    <t>E:\PropInv\MF\Plano\Park Boulevard East_1201_La Jolla On Park_Plano</t>
  </si>
  <si>
    <t>Park Boulevard East_1201_La Jolla On Park_Plano</t>
  </si>
  <si>
    <t>Park Boulevard East</t>
  </si>
  <si>
    <t>La Jolla On Park</t>
  </si>
  <si>
    <t>E:\PropInv\MF\Plano\Townbluff Drive_2821_Laurel Ridge_Plano</t>
  </si>
  <si>
    <t>Townbluff Drive_2821_Laurel Ridge_Plano</t>
  </si>
  <si>
    <t>Townbluff Drive</t>
  </si>
  <si>
    <t>E:\PropInv\MF\Plano\16th Street East_623_Oak Gate Apartments_Plano</t>
  </si>
  <si>
    <t>16th Street East_623_Oak Gate Apartments_Plano</t>
  </si>
  <si>
    <t>16th Street East</t>
  </si>
  <si>
    <t>Oak Gate Apartments</t>
  </si>
  <si>
    <t>E:\PropInv\MF\Plano\Roundrock Trail_6300_Park At Fox Trails_Plano</t>
  </si>
  <si>
    <t>Roundrock Trail_6300_Park At Fox Trails_Plano</t>
  </si>
  <si>
    <t>Roundrock Trail</t>
  </si>
  <si>
    <t>Park At Fox Trails</t>
  </si>
  <si>
    <t>E:\PropInv\MF\Plano\Avenue F_1509-1531_Plano Apartments_Plano</t>
  </si>
  <si>
    <t>Avenue F_1509-1531_Plano Apartments_Plano</t>
  </si>
  <si>
    <t>1509-1531</t>
  </si>
  <si>
    <t>Plano Apartments</t>
  </si>
  <si>
    <t>E:\PropInv\MF\Plano\Lloyd Drive_18790_Preston Bend Apartments_Plano</t>
  </si>
  <si>
    <t>Lloyd Drive_18790_Preston Bend Apartments_Plano</t>
  </si>
  <si>
    <t>Lloyd Drive</t>
  </si>
  <si>
    <t>Preston Bend Apartments</t>
  </si>
  <si>
    <t>E:\PropInv\MF\Plano\Park Boulevard East_3500_Shiloh Park Town Homes_Plano</t>
  </si>
  <si>
    <t>Park Boulevard East_3500_Shiloh Park Town Homes_Plano</t>
  </si>
  <si>
    <t>Shiloh Park Town Homes</t>
  </si>
  <si>
    <t>E:\PropInv\MF\Plano\Windhaven Parkway_6301_The Livingston_Plano</t>
  </si>
  <si>
    <t>Windhaven Parkway_6301_The Livingston_Plano</t>
  </si>
  <si>
    <t>E:\PropInv\MF\Plano\Charles Place_4701_The Reserve At Charles Place_Plano</t>
  </si>
  <si>
    <t>Charles Place_4701_The Reserve At Charles Place_Plano</t>
  </si>
  <si>
    <t>The Reserve At Charles Place</t>
  </si>
  <si>
    <t>E:\PropInv\MF\Plano\Stonewood Drive_6301_Villas Of Spring Creek_Plano</t>
  </si>
  <si>
    <t>Stonewood Drive_6301_Villas Of Spring Creek_Plano</t>
  </si>
  <si>
    <t>Stonewood Drive</t>
  </si>
  <si>
    <t>Villas Of Spring Creek</t>
  </si>
  <si>
    <t>E:\PropInv\MF\Port Arthur\Normandy Drive_3500_Brittany Place Apartments_Port Arthur</t>
  </si>
  <si>
    <t>Normandy Drive_3500_Brittany Place Apartments_Port Arthur</t>
  </si>
  <si>
    <t>Normandy Drive</t>
  </si>
  <si>
    <t>Brittany Place Apartments</t>
  </si>
  <si>
    <t>E:\PropInv\MF\Port Arthur\Austin Avenue_440_Historic Landmark_Port Arthur</t>
  </si>
  <si>
    <t>Austin Avenue_440_Historic Landmark_Port Arthur</t>
  </si>
  <si>
    <t>Austin Avenue</t>
  </si>
  <si>
    <t>E:\PropInv\MF\Port Arthur\Poole Avenue_1401_Poole Avenue Apartments_Port Arthur</t>
  </si>
  <si>
    <t>Poole Avenue_1401_Poole Avenue Apartments_Port Arthur</t>
  </si>
  <si>
    <t>Poole Avenue</t>
  </si>
  <si>
    <t>Poole Avenue Apartments</t>
  </si>
  <si>
    <t>E:\PropInv\MF\Port Isabel\100 State Highway_1506_Treasure Island Village_Port Isabel</t>
  </si>
  <si>
    <t>100 State Highway_1506_Treasure Island Village_Port Isabel</t>
  </si>
  <si>
    <t>100 State Highway</t>
  </si>
  <si>
    <t>E:\PropInv\MF\Port Neches\Ridgewood Drive_877_Las Brisas_Port Neches</t>
  </si>
  <si>
    <t>Ridgewood Drive_877_Las Brisas_Port Neches</t>
  </si>
  <si>
    <t>Ridgewood Drive</t>
  </si>
  <si>
    <t>Port Neches</t>
  </si>
  <si>
    <t>E:\PropInv\MF\Porter\Valley Ranch Crossing Drive_21899_The Villas At Valley Ranch_Porter</t>
  </si>
  <si>
    <t>Valley Ranch Crossing Drive_21899_The Villas At Valley Ranch_Porter</t>
  </si>
  <si>
    <t>Valley Ranch Crossing Drive</t>
  </si>
  <si>
    <t>The Villas At Valley Ranch</t>
  </si>
  <si>
    <t>E:\PropInv\MF\Portland\Cimmarron Street_1617_Sun Valley Apartments_Portland</t>
  </si>
  <si>
    <t>Cimmarron Street_1617_Sun Valley Apartments_Portland</t>
  </si>
  <si>
    <t>Cimmarron Street</t>
  </si>
  <si>
    <t>Sun Valley Apartments</t>
  </si>
  <si>
    <t>E:\PropInv\MF\Princeton\Hazelwood Street East_500_Hazelwood Apartment_Princeton</t>
  </si>
  <si>
    <t>Hazelwood Street East_500_Hazelwood Apartment_Princeton</t>
  </si>
  <si>
    <t>Hazelwood Street East</t>
  </si>
  <si>
    <t>Hazelwood Apartment</t>
  </si>
  <si>
    <t>E:\PropInv\MF\Red Oak\342 State Highway North_106_Hawk's Landing_Red Oak</t>
  </si>
  <si>
    <t>342 State Highway North_106_Hawk's Landing_Red Oak</t>
  </si>
  <si>
    <t>342 State Highway North</t>
  </si>
  <si>
    <t>E:\PropInv\MF\Red Oak\Red Oak Road West_407_Red Oak Portfolio_Red Oak</t>
  </si>
  <si>
    <t>Red Oak Road West_407_Red Oak Portfolio_Red Oak</t>
  </si>
  <si>
    <t>Red Oak Road West</t>
  </si>
  <si>
    <t>E:\PropInv\MF\Red Oak\Methodist North_600_Steel Dust II_Red Oak</t>
  </si>
  <si>
    <t>Methodist North_600_Steel Dust II_Red Oak</t>
  </si>
  <si>
    <t>Methodist North</t>
  </si>
  <si>
    <t>E:\PropInv\MF\Richardson\Cavalier Drive_1400_1400 Cavalier Drive_Richardson</t>
  </si>
  <si>
    <t>Cavalier Drive_1400_1400 Cavalier Drive_Richardson</t>
  </si>
  <si>
    <t>Cavalier Drive</t>
  </si>
  <si>
    <t>1400 Cavalier Drive</t>
  </si>
  <si>
    <t>E:\PropInv\MF\Richardson\Richardson Drive_1520_1520 Richardson Drive_Richardson</t>
  </si>
  <si>
    <t>Richardson Drive_1520_1520 Richardson Drive_Richardson</t>
  </si>
  <si>
    <t>Richardson Drive</t>
  </si>
  <si>
    <t>1520 Richardson Drive</t>
  </si>
  <si>
    <t>E:\PropInv\MF\Richardson\Foxboro Drive_3204_3204 Foxboro Drive_Richardson</t>
  </si>
  <si>
    <t>Foxboro Drive_3204_3204 Foxboro Drive_Richardson</t>
  </si>
  <si>
    <t>Foxboro Drive</t>
  </si>
  <si>
    <t>3204 Foxboro Drive</t>
  </si>
  <si>
    <t>E:\PropInv\MF\Richardson\CandleWood Place_331-333_331-333 CandleWood Place_Richardson</t>
  </si>
  <si>
    <t>CandleWood Place_331-333_331-333 CandleWood Place_Richardson</t>
  </si>
  <si>
    <t>CandleWood Place</t>
  </si>
  <si>
    <t>331-333 CandleWood Place</t>
  </si>
  <si>
    <t>E:\PropInv\MF\Richardson\Royal Crest Drive_609_609 Royal Crest Drive_Richardson</t>
  </si>
  <si>
    <t>Royal Crest Drive_609_609 Royal Crest Drive_Richardson</t>
  </si>
  <si>
    <t>609 Royal Crest Drive</t>
  </si>
  <si>
    <t>E:\PropInv\MF\Richardson\Royal Crest Drive_628_628 Roayal Crest_Richardson</t>
  </si>
  <si>
    <t>Royal Crest Drive_628_628 Roayal Crest_Richardson</t>
  </si>
  <si>
    <t>628 Roayal Crest</t>
  </si>
  <si>
    <t>E:\PropInv\MF\Richardson\Saint Paul Court_817-819_817-819 Saint Paul Court_Richardson</t>
  </si>
  <si>
    <t>Saint Paul Court_817-819_817-819 Saint Paul Court_Richardson</t>
  </si>
  <si>
    <t>Saint Paul Court</t>
  </si>
  <si>
    <t>817-819 Saint Paul Court</t>
  </si>
  <si>
    <t>E:\PropInv\MF\Richardson\Buckingham Road East_411_Arboretum Estates_Richardson</t>
  </si>
  <si>
    <t>Buckingham Road East_411_Arboretum Estates_Richardson</t>
  </si>
  <si>
    <t>Buckingham Road East</t>
  </si>
  <si>
    <t>E:\PropInv\MF\Richardson\Spring Valley Road West_732_Ashley Place Apartments_Richardson</t>
  </si>
  <si>
    <t>Spring Valley Road West_732_Ashley Place Apartments_Richardson</t>
  </si>
  <si>
    <t>Spring Valley Road West</t>
  </si>
  <si>
    <t>Ashley Place Apartments</t>
  </si>
  <si>
    <t>E:\PropInv\MF\Richardson\Custer Road_800_Belle Grove At Custer_Richardson</t>
  </si>
  <si>
    <t>Custer Road_800_Belle Grove At Custer_Richardson</t>
  </si>
  <si>
    <t>Custer Road</t>
  </si>
  <si>
    <t>Belle Grove At Custer</t>
  </si>
  <si>
    <t>E:\PropInv\MF\Richardson\Bowser Road_116_Bowser Road Apartments_Richardson</t>
  </si>
  <si>
    <t>Bowser Road_116_Bowser Road Apartments_Richardson</t>
  </si>
  <si>
    <t>Bowser Road</t>
  </si>
  <si>
    <t>Bowser Road Apartments</t>
  </si>
  <si>
    <t>E:\PropInv\MF\Richardson\Bowser Road North_101_Eastgate Apartments Of Richardson_Richardson</t>
  </si>
  <si>
    <t>Bowser Road North_101_Eastgate Apartments Of Richardson_Richardson</t>
  </si>
  <si>
    <t>Bowser Road North</t>
  </si>
  <si>
    <t>Eastgate Apartments Of Richardson</t>
  </si>
  <si>
    <t>E:\PropInv\MF\Richardson\Bowser Road South_100_Fairfield Apartments_Richardson</t>
  </si>
  <si>
    <t>Bowser Road South_100_Fairfield Apartments_Richardson</t>
  </si>
  <si>
    <t>Bowser Road South</t>
  </si>
  <si>
    <t>Fairfield Apartments</t>
  </si>
  <si>
    <t>E:\PropInv\MF\Richardson\Spring Valley West_800_Hillsdale Gardens_Richardson</t>
  </si>
  <si>
    <t>Spring Valley West_800_Hillsdale Gardens_Richardson</t>
  </si>
  <si>
    <t>Spring Valley West</t>
  </si>
  <si>
    <t>Hillsdale Gardens</t>
  </si>
  <si>
    <t>E:\PropInv\MF\Richardson\Waterview Drive South_915-935_New Orleans Apartment Homes_Richardson</t>
  </si>
  <si>
    <t>Waterview Drive South_915-935_New Orleans Apartment Homes_Richardson</t>
  </si>
  <si>
    <t>Waterview Drive South</t>
  </si>
  <si>
    <t>915-935</t>
  </si>
  <si>
    <t>New Orleans Apartment Homes</t>
  </si>
  <si>
    <t>E:\PropInv\MF\Richardson\Renner Road_601_Pepper Place_Richardson</t>
  </si>
  <si>
    <t>Renner Road_601_Pepper Place_Richardson</t>
  </si>
  <si>
    <t>Renner Road</t>
  </si>
  <si>
    <t>E:\PropInv\MF\Richardson\Alma Road_3560_Prairie Creek_Richardson</t>
  </si>
  <si>
    <t>Alma Road_3560_Prairie Creek_Richardson</t>
  </si>
  <si>
    <t>Alma Road</t>
  </si>
  <si>
    <t>E:\PropInv\MF\Richardson\Alma Road_3560_Prairie Creek Villas_Richardson</t>
  </si>
  <si>
    <t>Alma Road_3560_Prairie Creek Villas_Richardson</t>
  </si>
  <si>
    <t>Prairie Creek Villas</t>
  </si>
  <si>
    <t>E:\PropInv\MF\Richardson\Hilltop Avenue_306_Richardson Duplex_Richardson</t>
  </si>
  <si>
    <t>Hilltop Avenue_306_Richardson Duplex_Richardson</t>
  </si>
  <si>
    <t>Hilltop Avenue</t>
  </si>
  <si>
    <t>E:\PropInv\MF\Richardson\Custer Parkway_2811_Royal Arms Apartments_Richardson</t>
  </si>
  <si>
    <t>Custer Parkway_2811_Royal Arms Apartments_Richardson</t>
  </si>
  <si>
    <t>Custer Parkway</t>
  </si>
  <si>
    <t>Royal Arms Apartments</t>
  </si>
  <si>
    <t>E:\PropInv\MF\Richardson\Buckingham Road_540_Sweetwater Ranch_Richardson</t>
  </si>
  <si>
    <t>Buckingham Road_540_Sweetwater Ranch_Richardson</t>
  </si>
  <si>
    <t>Buckingham Road</t>
  </si>
  <si>
    <t>E:\PropInv\MF\Richardson\Clear Springs Drive_2600_The Villages At Clear Springs_Richardson</t>
  </si>
  <si>
    <t>Clear Springs Drive_2600_The Villages At Clear Springs_Richardson</t>
  </si>
  <si>
    <t>Clear Springs Drive</t>
  </si>
  <si>
    <t>The Villages At Clear Springs</t>
  </si>
  <si>
    <t>E:\PropInv\MF\Richardson\Towne House Lane_412_Woodhaven Duplex_Richardson</t>
  </si>
  <si>
    <t>Towne House Lane_412_Woodhaven Duplex_Richardson</t>
  </si>
  <si>
    <t>Towne House Lane</t>
  </si>
  <si>
    <t>E:\PropInv\MF\Richland Hills\Laura Ann Court_6600-6623_Laura Ann Court Duplexes_Richland Hills</t>
  </si>
  <si>
    <t>Laura Ann Court_6600-6623_Laura Ann Court Duplexes_Richland Hills</t>
  </si>
  <si>
    <t>Laura Ann Court</t>
  </si>
  <si>
    <t>E:\PropInv\MF\Richland Hills\Hardisty Street_6731_Plaza Apartments_Richland Hills</t>
  </si>
  <si>
    <t>Hardisty Street_6731_Plaza Apartments_Richland Hills</t>
  </si>
  <si>
    <t>Hardisty Street</t>
  </si>
  <si>
    <t>Plaza Apartments</t>
  </si>
  <si>
    <t>E:\PropInv\MF\Richland Hills\Rufe Snow Drive_3101_Richland Chateau_Richland Hills</t>
  </si>
  <si>
    <t>Rufe Snow Drive_3101_Richland Chateau_Richland Hills</t>
  </si>
  <si>
    <t>Rufe Snow Drive</t>
  </si>
  <si>
    <t>E:\PropInv\MF\Richland Hills\Park Place Drive_6605_Richland Chateau_Richland Hills</t>
  </si>
  <si>
    <t>Park Place Drive_6605_Richland Chateau_Richland Hills</t>
  </si>
  <si>
    <t>Park Place Drive</t>
  </si>
  <si>
    <t>E:\PropInv\MF\Richland Hills\Reeves Street_6626_Robinwood Apartments_Richland Hills</t>
  </si>
  <si>
    <t>Reeves Street_6626_Robinwood Apartments_Richland Hills</t>
  </si>
  <si>
    <t>Reeves Street</t>
  </si>
  <si>
    <t>Robinwood Apartments</t>
  </si>
  <si>
    <t>E:\PropInv\MF\Richmond\Wildwood Park Road_22155_The Reserve at River Park West_Richmond</t>
  </si>
  <si>
    <t>Wildwood Park Road_22155_The Reserve at River Park West_Richmond</t>
  </si>
  <si>
    <t>Wildwood Park Road</t>
  </si>
  <si>
    <t>E:\PropInv\MF\Richmond\Wildwood Park Road_21811_The Villas at River Park West_Richmond</t>
  </si>
  <si>
    <t>Wildwood Park Road_21811_The Villas at River Park West_Richmond</t>
  </si>
  <si>
    <t>E:\PropInv\MF\Richwood\Timbercreek Drive_200_Creekside Estates_Richwood</t>
  </si>
  <si>
    <t>Timbercreek Drive_200_Creekside Estates_Richwood</t>
  </si>
  <si>
    <t>Timbercreek Drive</t>
  </si>
  <si>
    <t>E:\PropInv\MF\River Oaks\Cody Court_940_940 Cody Court_River Oaks</t>
  </si>
  <si>
    <t>Cody Court_940_940 Cody Court_River Oaks</t>
  </si>
  <si>
    <t>Cody Court</t>
  </si>
  <si>
    <t>940 Cody Court</t>
  </si>
  <si>
    <t>E:\PropInv\MF\River Oaks\Barbara Road_4600_Hidden Oaks Apartments_River Oaks</t>
  </si>
  <si>
    <t>Barbara Road_4600_Hidden Oaks Apartments_River Oaks</t>
  </si>
  <si>
    <t>Barbara Road</t>
  </si>
  <si>
    <t>Hidden Oaks Apartments</t>
  </si>
  <si>
    <t>E:\PropInv\MF\River Oaks\Brocks Lane_6157-6163_Owner Finance 3 Duplexes_River Oaks</t>
  </si>
  <si>
    <t>Brocks Lane_6157-6163_Owner Finance 3 Duplexes_River Oaks</t>
  </si>
  <si>
    <t>Brocks Lane</t>
  </si>
  <si>
    <t>6157-6163</t>
  </si>
  <si>
    <t>Owner Finance 3 Duplexes</t>
  </si>
  <si>
    <t>E:\PropInv\MF\River Oaks\Roberts Cut Off_420_The Park At River Oaks_River Oaks</t>
  </si>
  <si>
    <t>Roberts Cut Off_420_The Park At River Oaks_River Oaks</t>
  </si>
  <si>
    <t>The Park At River Oaks</t>
  </si>
  <si>
    <t>E:\PropInv\MF\Roanoke\Small Block Road_8299_Creekside At Northlake_Roanoke</t>
  </si>
  <si>
    <t>Small Block Road_8299_Creekside At Northlake_Roanoke</t>
  </si>
  <si>
    <t>Small Block Road</t>
  </si>
  <si>
    <t>Creekside At Northlake</t>
  </si>
  <si>
    <t>E:\PropInv\MF\Rockwall\Lake Meadows_101_Bent Creek Condos_Rockwall</t>
  </si>
  <si>
    <t>Lake Meadows_101_Bent Creek Condos_Rockwall</t>
  </si>
  <si>
    <t>E:\PropInv\MF\Rockwall\Ranger Drive_5412-5414_Lakeview Duplex_Rockwall</t>
  </si>
  <si>
    <t>Ranger Drive_5412-5414_Lakeview Duplex_Rockwall</t>
  </si>
  <si>
    <t>Ranger Drive</t>
  </si>
  <si>
    <t>5412-5414</t>
  </si>
  <si>
    <t>E:\PropInv\MF\Rockwall\Ridge Road_1389_Rockwall Commons_Rockwall</t>
  </si>
  <si>
    <t>Ridge Road_1389_Rockwall Commons_Rockwall</t>
  </si>
  <si>
    <t>Ridge Road</t>
  </si>
  <si>
    <t>E:\PropInv\MF\Rockwall\Lake Meadows_108_Rockwall Condos_Rockwall</t>
  </si>
  <si>
    <t>Lake Meadows_108_Rockwall Condos_Rockwall</t>
  </si>
  <si>
    <t>E:\PropInv\MF\Rosenberg\Reading Road_4720_Brittany Square_Rosenberg</t>
  </si>
  <si>
    <t>Reading Road_4720_Brittany Square_Rosenberg</t>
  </si>
  <si>
    <t>Reading Road</t>
  </si>
  <si>
    <t>E:\PropInv\MF\Rosenberg\Westwood Drive_1217_Pecan Park_Rosenberg</t>
  </si>
  <si>
    <t>Westwood Drive_1217_Pecan Park_Rosenberg</t>
  </si>
  <si>
    <t>Westwood Drive</t>
  </si>
  <si>
    <t>E:\PropInv\MF\Round Rock\Bowman Drive East_101_Bowman's Walk_Round Rock</t>
  </si>
  <si>
    <t>Bowman Drive East_101_Bowman's Walk_Round Rock</t>
  </si>
  <si>
    <t>Bowman Drive East</t>
  </si>
  <si>
    <t>E:\PropInv\MF\Round Rock\35 Interstate Highway South_1500_Hunters Ridge_Round Rock</t>
  </si>
  <si>
    <t>35 Interstate Highway South_1500_Hunters Ridge_Round Rock</t>
  </si>
  <si>
    <t>E:\PropInv\MF\Round Rock\Louis Henna Boulevard_670_Mansions at Round Rock_Round Rock</t>
  </si>
  <si>
    <t>Louis Henna Boulevard_670_Mansions at Round Rock_Round Rock</t>
  </si>
  <si>
    <t>Louis Henna Boulevard</t>
  </si>
  <si>
    <t>Mansions at Round Rock</t>
  </si>
  <si>
    <t>E:\PropInv\MF\Round Rock\Louis Henna Boulevard_2501_Montelena_Round Rock</t>
  </si>
  <si>
    <t>Louis Henna Boulevard_2501_Montelena_Round Rock</t>
  </si>
  <si>
    <t>E:\PropInv\MF\Round Rock\Palm Valley Boulevard East_1801_Rocking Horse Ranch_Round Rock</t>
  </si>
  <si>
    <t>Palm Valley Boulevard East_1801_Rocking Horse Ranch_Round Rock</t>
  </si>
  <si>
    <t>Palm Valley Boulevard East</t>
  </si>
  <si>
    <t>E:\PropInv\MF\Rowlett\Stanford Street_2610_2610 Stanford_Rowlett</t>
  </si>
  <si>
    <t>Stanford Street_2610_2610 Stanford_Rowlett</t>
  </si>
  <si>
    <t>Stanford Street</t>
  </si>
  <si>
    <t>2610 Stanford</t>
  </si>
  <si>
    <t>E:\PropInv\MF\Rowlett\Chiesa Road_7400_Chiesa Estates-Hillcrest_Rowlett</t>
  </si>
  <si>
    <t>Chiesa Road_7400_Chiesa Estates-Hillcrest_Rowlett</t>
  </si>
  <si>
    <t>Chiesa Road</t>
  </si>
  <si>
    <t>E:\PropInv\MF\Rowlett\Rutgers Circle_7400_College Park Duplex_Rowlett</t>
  </si>
  <si>
    <t>Rutgers Circle_7400_College Park Duplex_Rowlett</t>
  </si>
  <si>
    <t>Rutgers Circle</t>
  </si>
  <si>
    <t>E:\PropInv\MF\Rowlett\Amherst Drive_7406_Full Duplex With Tenants_Rowlett</t>
  </si>
  <si>
    <t>Amherst Drive_7406_Full Duplex With Tenants_Rowlett</t>
  </si>
  <si>
    <t>Full Duplex With Tenants</t>
  </si>
  <si>
    <t>E:\PropInv\MF\Rowlett\Alissa Drive_6200-6700_Lakeview Meadow Estates_Rowlett</t>
  </si>
  <si>
    <t>Alissa Drive_6200-6700_Lakeview Meadow Estates_Rowlett</t>
  </si>
  <si>
    <t>Alissa Drive</t>
  </si>
  <si>
    <t>E:\PropInv\MF\Rowlett\Knights Bridge_3914_Single Family Home Package_Rowlett</t>
  </si>
  <si>
    <t>Knights Bridge_3914_Single Family Home Package_Rowlett</t>
  </si>
  <si>
    <t>Single Family Home Package</t>
  </si>
  <si>
    <t>E:\PropInv\MF\Sachse\6th Street_3116_3116 6th Street_Sachse</t>
  </si>
  <si>
    <t>6th Street_3116_3116 6th Street_Sachse</t>
  </si>
  <si>
    <t>6th Street</t>
  </si>
  <si>
    <t>3116 6th Street</t>
  </si>
  <si>
    <t>E:\PropInv\MF\Sachse\Jewel Street_3624-3630_3624-3630 Jewel Street_Sachse</t>
  </si>
  <si>
    <t>Jewel Street_3624-3630_3624-3630 Jewel Street_Sachse</t>
  </si>
  <si>
    <t>Jewel Street</t>
  </si>
  <si>
    <t>3624-3630 Jewel Street</t>
  </si>
  <si>
    <t>E:\PropInv\MF\Sachse\78 State Highway_6408_6410 78 State Highway_Sachse</t>
  </si>
  <si>
    <t>78 State Highway_6408_6410 78 State Highway_Sachse</t>
  </si>
  <si>
    <t>78 State Highway</t>
  </si>
  <si>
    <t>6410 78 State Highway</t>
  </si>
  <si>
    <t>E:\PropInv\MF\Sachse\Brookview Court_5510_Brookview Ct Fourplex_Sachse</t>
  </si>
  <si>
    <t>Brookview Court_5510_Brookview Ct Fourplex_Sachse</t>
  </si>
  <si>
    <t>Brookview Court</t>
  </si>
  <si>
    <t>E:\PropInv\MF\Sachse\Murphy Road_6340_Hilltop Meadows_Sachse</t>
  </si>
  <si>
    <t>Murphy Road_6340_Hilltop Meadows_Sachse</t>
  </si>
  <si>
    <t>Murphy Road</t>
  </si>
  <si>
    <t>E:\PropInv\MF\Saginaw\White Rock Street_805_805 White Rock_Saginaw</t>
  </si>
  <si>
    <t>White Rock Street_805_805 White Rock_Saginaw</t>
  </si>
  <si>
    <t>White Rock Street</t>
  </si>
  <si>
    <t>805 White Rock</t>
  </si>
  <si>
    <t>E:\PropInv\MF\Saginaw\Hialeah Park Street_101_Saginaw Crossing Apartments_Saginaw</t>
  </si>
  <si>
    <t>Hialeah Park Street_101_Saginaw Crossing Apartments_Saginaw</t>
  </si>
  <si>
    <t>Hialeah Park Street</t>
  </si>
  <si>
    <t>Saginaw Crossing Apartments</t>
  </si>
  <si>
    <t>E:\PropInv\MF\San Angelo\College Hills Boulevard_2431_Arroyo Square Apartments_San Angelo</t>
  </si>
  <si>
    <t>College Hills Boulevard_2431_Arroyo Square Apartments_San Angelo</t>
  </si>
  <si>
    <t>College Hills Boulevard</t>
  </si>
  <si>
    <t>Arroyo Square Apartments</t>
  </si>
  <si>
    <t>E:\PropInv\MF\San Angelo\Millbrook Drive_3426_College Hills West_San Angelo</t>
  </si>
  <si>
    <t>Millbrook Drive_3426_College Hills West_San Angelo</t>
  </si>
  <si>
    <t>Millbrook Drive</t>
  </si>
  <si>
    <t>E:\PropInv\MF\San Angelo\Sunset Drive_2901_Newport Village_San Angelo</t>
  </si>
  <si>
    <t>Sunset Drive_2901_Newport Village_San Angelo</t>
  </si>
  <si>
    <t>Sunset Drive</t>
  </si>
  <si>
    <t>E:\PropInv\MF\San Angelo\Lincoln Street North_1818_University Park Apartments_San Angelo</t>
  </si>
  <si>
    <t>Lincoln Street North_1818_University Park Apartments_San Angelo</t>
  </si>
  <si>
    <t>Lincoln Street North</t>
  </si>
  <si>
    <t>University Park Apartments</t>
  </si>
  <si>
    <t>E:\PropInv\MF\San Angelo\Glenna Drive_329_West Gate Villa Apartments_San Angelo</t>
  </si>
  <si>
    <t>Glenna Drive_329_West Gate Villa Apartments_San Angelo</t>
  </si>
  <si>
    <t>Glenna Drive</t>
  </si>
  <si>
    <t>West Gate Villa Apartments</t>
  </si>
  <si>
    <t>E:\PropInv\MF\San Angelo\Smith Boulevard_555_Willow Run_San Angelo</t>
  </si>
  <si>
    <t>Smith Boulevard_555_Willow Run_San Angelo</t>
  </si>
  <si>
    <t>Smith Boulevard</t>
  </si>
  <si>
    <t>E:\PropInv\MF\San Angelo\Raney Street_1929_Windmill Apartments_San Angelo</t>
  </si>
  <si>
    <t>Raney Street_1929_Windmill Apartments_San Angelo</t>
  </si>
  <si>
    <t>Raney Street</t>
  </si>
  <si>
    <t>Windmill Apartments</t>
  </si>
  <si>
    <t>E:\PropInv\MF\San Antonio\Huebner Oaks_11020_ 11020 Huebner Oaks_San Antonio</t>
  </si>
  <si>
    <t>Huebner Oaks_11020_ 11020 Huebner Oaks_San Antonio</t>
  </si>
  <si>
    <t xml:space="preserve"> 11020 Huebner Oaks</t>
  </si>
  <si>
    <t>E:\PropInv\MF\San Antonio\Huebner Road_11660_11660 Huebner Road_San Antonio</t>
  </si>
  <si>
    <t>Huebner Road_11660_11660 Huebner Road_San Antonio</t>
  </si>
  <si>
    <t>Huebner Road</t>
  </si>
  <si>
    <t>11660 Huebner Road</t>
  </si>
  <si>
    <t>E:\PropInv\MF\San Antonio\Commerce East_3735_3735 Commerce East_San Antonio</t>
  </si>
  <si>
    <t>Commerce East_3735_3735 Commerce East_San Antonio</t>
  </si>
  <si>
    <t>Commerce East</t>
  </si>
  <si>
    <t>3735 Commerce East</t>
  </si>
  <si>
    <t>E:\PropInv\MF\San Antonio\Blanco Road_5347_5347 Blanco Road_San Antonio</t>
  </si>
  <si>
    <t>Blanco Road_5347_5347 Blanco Road_San Antonio</t>
  </si>
  <si>
    <t>Blanco Road</t>
  </si>
  <si>
    <t>5347 Blanco Road</t>
  </si>
  <si>
    <t>E:\PropInv\MF\San Antonio\Royalgate Drive_5909_5909 Royalgate Drive_San Antonio</t>
  </si>
  <si>
    <t>Royalgate Drive_5909_5909 Royalgate Drive_San Antonio</t>
  </si>
  <si>
    <t>Royalgate Drive</t>
  </si>
  <si>
    <t>5909 Royalgate Drive</t>
  </si>
  <si>
    <t>E:\PropInv\MF\San Antonio\Lavender Lane_4550_Acadia Place Apartments_San Antonio</t>
  </si>
  <si>
    <t>Lavender Lane_4550_Acadia Place Apartments_San Antonio</t>
  </si>
  <si>
    <t>Lavender Lane</t>
  </si>
  <si>
    <t>Acadia Place Apartments</t>
  </si>
  <si>
    <t>E:\PropInv\MF\San Antonio\10 Interstate Highway West_6945_Alegria Del Sol Apartments_San Antonio</t>
  </si>
  <si>
    <t>10 Interstate Highway West_6945_Alegria Del Sol Apartments_San Antonio</t>
  </si>
  <si>
    <t>10 Interstate Highway West</t>
  </si>
  <si>
    <t>Alegria Del Sol Apartments</t>
  </si>
  <si>
    <t>E:\PropInv\MF\San Antonio\Rowley Road_5450_Arbor Pointe_San Antonio</t>
  </si>
  <si>
    <t>Rowley Road_5450_Arbor Pointe_San Antonio</t>
  </si>
  <si>
    <t>Rowley Road</t>
  </si>
  <si>
    <t>E:\PropInv\MF\San Antonio\Parkdale Drive_4100_Ashler Oaks_San Antonio</t>
  </si>
  <si>
    <t>Parkdale Drive_4100_Ashler Oaks_San Antonio</t>
  </si>
  <si>
    <t>Parkdale Drive</t>
  </si>
  <si>
    <t>E:\PropInv\MF\San Antonio\Avenue West_11726_Autumn Brook Apartments_San Antonio</t>
  </si>
  <si>
    <t>Avenue West_11726_Autumn Brook Apartments_San Antonio</t>
  </si>
  <si>
    <t>Avenue West</t>
  </si>
  <si>
    <t>Autumn Brook Apartments</t>
  </si>
  <si>
    <t>E:\PropInv\MF\San Antonio\Mainland Drive_8120_Bandera Commons_San Antonio</t>
  </si>
  <si>
    <t>Mainland Drive_8120_Bandera Commons_San Antonio</t>
  </si>
  <si>
    <t>Mainland Drive</t>
  </si>
  <si>
    <t>E:\PropInv\MF\San Antonio\Oakhill Road_2003_Bell Tower_San Antonio</t>
  </si>
  <si>
    <t>Oakhill Road_2003_Bell Tower_San Antonio</t>
  </si>
  <si>
    <t>Oakhill Road</t>
  </si>
  <si>
    <t>Bell Tower</t>
  </si>
  <si>
    <t>E:\PropInv\MF\San Antonio\Flores Street South_8237_Bellaire Apartments_San Antonio</t>
  </si>
  <si>
    <t>Flores Street South_8237_Bellaire Apartments_San Antonio</t>
  </si>
  <si>
    <t>Flores Street South</t>
  </si>
  <si>
    <t>Bellaire Apartments</t>
  </si>
  <si>
    <t>E:\PropInv\MF\San Antonio\Old Blanco Road_13999_Blanco Crossing_San Antonio</t>
  </si>
  <si>
    <t>Old Blanco Road_13999_Blanco Crossing_San Antonio</t>
  </si>
  <si>
    <t>Old Blanco Road</t>
  </si>
  <si>
    <t>E:\PropInv\MF\San Antonio\Braesview_11501_Braesview_San Antonio</t>
  </si>
  <si>
    <t>Braesview_11501_Braesview_San Antonio</t>
  </si>
  <si>
    <t>E:\PropInv\MF\San Antonio\151 State Highway_9531_Broadstone Westover Hills_San Antonio</t>
  </si>
  <si>
    <t>151 State Highway_9531_Broadstone Westover Hills_San Antonio</t>
  </si>
  <si>
    <t>151 State Highway</t>
  </si>
  <si>
    <t>Broadstone Westover Hills</t>
  </si>
  <si>
    <t>E:\PropInv\MF\San Antonio\Blanco Road_6014_Castle Hills Aartments_San Antonio</t>
  </si>
  <si>
    <t>Blanco Road_6014_Castle Hills Aartments_San Antonio</t>
  </si>
  <si>
    <t>Castle Hills Aartments</t>
  </si>
  <si>
    <t>E:\PropInv\MF\San Antonio\Commerece Street East_3144_Center Park Apartments_San Antonio</t>
  </si>
  <si>
    <t>Commerece Street East_3144_Center Park Apartments_San Antonio</t>
  </si>
  <si>
    <t>Commerece Street East</t>
  </si>
  <si>
    <t>Center Park Apartments</t>
  </si>
  <si>
    <t>E:\PropInv\MF\San Antonio\Military Drive Southeast_2819_Cielo Hills_San Antonio</t>
  </si>
  <si>
    <t>Military Drive Southeast_2819_Cielo Hills_San Antonio</t>
  </si>
  <si>
    <t>Military Drive Southeast</t>
  </si>
  <si>
    <t>E:\PropInv\MF\San Antonio\Ahern Drive_8502_Cosmopolitan_San Antonio</t>
  </si>
  <si>
    <t>Ahern Drive_8502_Cosmopolitan_San Antonio</t>
  </si>
  <si>
    <t>Ahern Drive</t>
  </si>
  <si>
    <t>E:\PropInv\MF\San Antonio\Ackermann Road_2644_Country Oaks_San Antonio</t>
  </si>
  <si>
    <t>Ackermann Road_2644_Country Oaks_San Antonio</t>
  </si>
  <si>
    <t>Ackermann Road</t>
  </si>
  <si>
    <t>E:\PropInv\MF\San Antonio\410 Loop Northeast_1946_Crystal Springs_San Antonio</t>
  </si>
  <si>
    <t>410 Loop Northeast_1946_Crystal Springs_San Antonio</t>
  </si>
  <si>
    <t>410 Loop Northeast</t>
  </si>
  <si>
    <t>E:\PropInv\MF\San Antonio\Deerwood Drive_220-227_Deerwood Apartments_San Antonio</t>
  </si>
  <si>
    <t>Deerwood Drive_220-227_Deerwood Apartments_San Antonio</t>
  </si>
  <si>
    <t>Deerwood Drive</t>
  </si>
  <si>
    <t>220-227</t>
  </si>
  <si>
    <t>Deerwood Apartments</t>
  </si>
  <si>
    <t>E:\PropInv\MF\San Antonio\Everest Street_335_Dijon West Apartments_San Antonio</t>
  </si>
  <si>
    <t>Everest Street_335_Dijon West Apartments_San Antonio</t>
  </si>
  <si>
    <t>Everest Street</t>
  </si>
  <si>
    <t>Dijon West Apartments</t>
  </si>
  <si>
    <t>E:\PropInv\MF\San Antonio\Culebra Road_7750_Doral Club_San Antonio</t>
  </si>
  <si>
    <t>Culebra Road_7750_Doral Club_San Antonio</t>
  </si>
  <si>
    <t>Culebra Road</t>
  </si>
  <si>
    <t>E:\PropInv\MF\San Antonio\Fredericksburg Road_5211_Eagle's Nest_San Antonio</t>
  </si>
  <si>
    <t>Fredericksburg Road_5211_Eagle's Nest_San Antonio</t>
  </si>
  <si>
    <t>Fredericksburg Road</t>
  </si>
  <si>
    <t>E:\PropInv\MF\San Antonio\De Chantle Road_158_Executive Apartments_San Antonio</t>
  </si>
  <si>
    <t>De Chantle Road_158_Executive Apartments_San Antonio</t>
  </si>
  <si>
    <t>De Chantle Road</t>
  </si>
  <si>
    <t>Executive Apartments</t>
  </si>
  <si>
    <t>E:\PropInv\MF\San Antonio\Fairhaven Street_8630_Fountains Of San Antonio_San Antonio</t>
  </si>
  <si>
    <t>Fairhaven Street_8630_Fountains Of San Antonio_San Antonio</t>
  </si>
  <si>
    <t>Fairhaven Street</t>
  </si>
  <si>
    <t>Fountains Of San Antonio</t>
  </si>
  <si>
    <t>E:\PropInv\MF\San Antonio\Expo Boulevard_11327_Four Oaks Tower_San Antonio</t>
  </si>
  <si>
    <t>Expo Boulevard_11327_Four Oaks Tower_San Antonio</t>
  </si>
  <si>
    <t>Expo Boulevard</t>
  </si>
  <si>
    <t>Four Oaks Tower</t>
  </si>
  <si>
    <t>E:\PropInv\MF\San Antonio\Jackson Keller_1650_French Chalet_San Antonio</t>
  </si>
  <si>
    <t>Jackson Keller_1650_French Chalet_San Antonio</t>
  </si>
  <si>
    <t>E:\PropInv\MF\San Antonio\Pinn Road_2431_Gateway Plaza Apartments_San Antonio</t>
  </si>
  <si>
    <t>Pinn Road_2431_Gateway Plaza Apartments_San Antonio</t>
  </si>
  <si>
    <t>Pinn Road</t>
  </si>
  <si>
    <t>Gateway Plaza Apartments</t>
  </si>
  <si>
    <t>E:\PropInv\MF\San Antonio\Glendora Avenue_6910_Glendora Apartments_San Antonio</t>
  </si>
  <si>
    <t>Glendora Avenue_6910_Glendora Apartments_San Antonio</t>
  </si>
  <si>
    <t>Glendora Avenue</t>
  </si>
  <si>
    <t>Glendora Apartments</t>
  </si>
  <si>
    <t>E:\PropInv\MF\San Antonio\1604 Loop Northeast_13101_Hawthorn Suites_San Antonio</t>
  </si>
  <si>
    <t>1604 Loop Northeast_13101_Hawthorn Suites_San Antonio</t>
  </si>
  <si>
    <t>1604 Loop Northeast</t>
  </si>
  <si>
    <t>Hawthorn Suites</t>
  </si>
  <si>
    <t>E:\PropInv\MF\San Antonio\Babcock Road_1543_Heritage Park Apartments_San Antonio</t>
  </si>
  <si>
    <t>Babcock Road_1543_Heritage Park Apartments_San Antonio</t>
  </si>
  <si>
    <t>Babcock Road</t>
  </si>
  <si>
    <t>Heritage Park Apartments</t>
  </si>
  <si>
    <t>E:\PropInv\MF\San Antonio\Laureate Drive_10951_Hill At Woodway_San Antonio</t>
  </si>
  <si>
    <t>Laureate Drive_10951_Hill At Woodway_San Antonio</t>
  </si>
  <si>
    <t>Laureate Drive</t>
  </si>
  <si>
    <t>Hill At Woodway</t>
  </si>
  <si>
    <t>E:\PropInv\MF\San Antonio\Hillcrest Drive_2822_Hillcrest  II_San Antonio</t>
  </si>
  <si>
    <t>Hillcrest Drive_2822_Hillcrest  II_San Antonio</t>
  </si>
  <si>
    <t>Hillcrest Drive</t>
  </si>
  <si>
    <t>Hillcrest  II</t>
  </si>
  <si>
    <t>E:\PropInv\MF\San Antonio\USAA Boulevard_5100_Huebner Oaks_San Antonio</t>
  </si>
  <si>
    <t>USAA Boulevard_5100_Huebner Oaks_San Antonio</t>
  </si>
  <si>
    <t>USAA Boulevard</t>
  </si>
  <si>
    <t>E:\PropInv\MF\San Antonio\Wurzbach Road_7110_Hunters Bend_San Antonio</t>
  </si>
  <si>
    <t>Wurzbach Road_7110_Hunters Bend_San Antonio</t>
  </si>
  <si>
    <t>Wurzbach Road</t>
  </si>
  <si>
    <t>E:\PropInv\MF\San Antonio\Military Highway Northwest_2358_Hunter's Ridge Apartments_San Antonio</t>
  </si>
  <si>
    <t>Military Highway Northwest_2358_Hunter's Ridge Apartments_San Antonio</t>
  </si>
  <si>
    <t>Military Highway Northwest</t>
  </si>
  <si>
    <t>Hunter's Ridge Apartments</t>
  </si>
  <si>
    <t>E:\PropInv\MF\San Antonio\Hutchins Place West_535_Hutchins Palms Apartments_San Antonio</t>
  </si>
  <si>
    <t>Hutchins Place West_535_Hutchins Palms Apartments_San Antonio</t>
  </si>
  <si>
    <t>Hutchins Place West</t>
  </si>
  <si>
    <t>Hutchins Palms Apartments</t>
  </si>
  <si>
    <t>E:\PropInv\MF\San Antonio\Vandiver North_6900_La Fiesta_San Antonio</t>
  </si>
  <si>
    <t>Vandiver North_6900_La Fiesta_San Antonio</t>
  </si>
  <si>
    <t>Vandiver North</t>
  </si>
  <si>
    <t>E:\PropInv\MF\San Antonio\Rowley Road_5455_La Normandie Condominium Project_San Antonio</t>
  </si>
  <si>
    <t>Rowley Road_5455_La Normandie Condominium Project_San Antonio</t>
  </si>
  <si>
    <t>E:\PropInv\MF\San Antonio\36th Street Southwest_915_LaGuna Apartments_San Antonio</t>
  </si>
  <si>
    <t>36th Street Southwest_915_LaGuna Apartments_San Antonio</t>
  </si>
  <si>
    <t>36th Street Southwest</t>
  </si>
  <si>
    <t>LaGuna Apartments</t>
  </si>
  <si>
    <t>E:\PropInv\MF\San Antonio\Laurens Lane_8555_Lakeside Villas_San Antonio</t>
  </si>
  <si>
    <t>Laurens Lane_8555_Lakeside Villas_San Antonio</t>
  </si>
  <si>
    <t>Laurens Lane</t>
  </si>
  <si>
    <t>E:\PropInv\MF\San Antonio\Chase Hill Boulevard_15800_Las Colinas_San Antonio</t>
  </si>
  <si>
    <t>Chase Hill Boulevard_15800_Las Colinas_San Antonio</t>
  </si>
  <si>
    <t>Chase Hill Boulevard</t>
  </si>
  <si>
    <t>E:\PropInv\MF\San Antonio\Babcock Road_1415_Laurel Crossing Apartments_San Antonio</t>
  </si>
  <si>
    <t>Babcock Road_1415_Laurel Crossing Apartments_San Antonio</t>
  </si>
  <si>
    <t>Laurel Crossing Apartments</t>
  </si>
  <si>
    <t>E:\PropInv\MF\San Antonio\Larkspur Drive_1947_Legacy Townhomes At Castle Hills_San Antonio</t>
  </si>
  <si>
    <t>Larkspur Drive_1947_Legacy Townhomes At Castle Hills_San Antonio</t>
  </si>
  <si>
    <t>Larkspur Drive</t>
  </si>
  <si>
    <t>Legacy Townhomes At Castle Hills</t>
  </si>
  <si>
    <t>E:\PropInv\MF\San Antonio\Talavera Parkway_130_Legends On The Greens_San Antonio</t>
  </si>
  <si>
    <t>Talavera Parkway_130_Legends On The Greens_San Antonio</t>
  </si>
  <si>
    <t>Talavera Parkway</t>
  </si>
  <si>
    <t>Legends On The Greens</t>
  </si>
  <si>
    <t>E:\PropInv\MF\San Antonio\Braeview_11800_Lincoln Green Apartment Homes_San Antonio</t>
  </si>
  <si>
    <t>Braeview_11800_Lincoln Green Apartment Homes_San Antonio</t>
  </si>
  <si>
    <t>Braeview</t>
  </si>
  <si>
    <t>Lincoln Green Apartment Homes</t>
  </si>
  <si>
    <t>E:\PropInv\MF\San Antonio\Marbach Road_7203_Marbach Manor_San Antonio</t>
  </si>
  <si>
    <t>Marbach Road_7203_Marbach Manor_San Antonio</t>
  </si>
  <si>
    <t>Marbach Road</t>
  </si>
  <si>
    <t>E:\PropInv\MF\San Antonio\Lockhill Selma_1835_Marquis At Castle Hills_San Antonio</t>
  </si>
  <si>
    <t>Lockhill Selma_1835_Marquis At Castle Hills_San Antonio</t>
  </si>
  <si>
    <t>Marquis At Castle Hills</t>
  </si>
  <si>
    <t>E:\PropInv\MF\San Antonio\Grayson Street East_831_Marshams_San Antonio</t>
  </si>
  <si>
    <t>Grayson Street East_831_Marshams_San Antonio</t>
  </si>
  <si>
    <t>Grayson Street East</t>
  </si>
  <si>
    <t>Marshams</t>
  </si>
  <si>
    <t>E:\PropInv\MF\San Antonio\Basse Road East_680_Meridian_San Antonio</t>
  </si>
  <si>
    <t>Basse Road East_680_Meridian_San Antonio</t>
  </si>
  <si>
    <t>Basse Road East</t>
  </si>
  <si>
    <t>E:\PropInv\MF\San Antonio\Rustleaf Street_150_Merry Oaks Apartments_San Antonio</t>
  </si>
  <si>
    <t>Rustleaf Street_150_Merry Oaks Apartments_San Antonio</t>
  </si>
  <si>
    <t>Rustleaf Street</t>
  </si>
  <si>
    <t>Merry Oaks Apartments</t>
  </si>
  <si>
    <t>E:\PropInv\MF\San Antonio\Bluemel Road_4400_Mission Station_San Antonio</t>
  </si>
  <si>
    <t>Bluemel Road_4400_Mission Station_San Antonio</t>
  </si>
  <si>
    <t>Bluemel Road</t>
  </si>
  <si>
    <t>Mission Station</t>
  </si>
  <si>
    <t>E:\PropInv\MF\San Antonio\Mulberry Avenue East_1202_Mulberry Village_San Antonio</t>
  </si>
  <si>
    <t>Mulberry Avenue East_1202_Mulberry Village_San Antonio</t>
  </si>
  <si>
    <t>Mulberry Avenue East</t>
  </si>
  <si>
    <t>E:\PropInv\MF\San Antonio\Natalen Avenue_451_Natalen Square Apartments_San Antonio</t>
  </si>
  <si>
    <t>Natalen Avenue_451_Natalen Square Apartments_San Antonio</t>
  </si>
  <si>
    <t>Natalen Avenue</t>
  </si>
  <si>
    <t>Natalen Square Apartments</t>
  </si>
  <si>
    <t>E:\PropInv\MF\San Antonio\Callaghan Road_7626_Nob Hill_San Antonio</t>
  </si>
  <si>
    <t>Callaghan Road_7626_Nob Hill_San Antonio</t>
  </si>
  <si>
    <t>Callaghan Road</t>
  </si>
  <si>
    <t>E:\PropInv\MF\San Antonio\Timber Path_8840-8841_Northwest Trails_San Antonio</t>
  </si>
  <si>
    <t>Timber Path_8840-8841_Northwest Trails_San Antonio</t>
  </si>
  <si>
    <t>8840-8841</t>
  </si>
  <si>
    <t>Northwest Trails</t>
  </si>
  <si>
    <t>E:\PropInv\MF\San Antonio\Vance Jackson Road_6111_Oak Creek Apartments_San Antonio</t>
  </si>
  <si>
    <t>Vance Jackson Road_6111_Oak Creek Apartments_San Antonio</t>
  </si>
  <si>
    <t>Vance Jackson Road</t>
  </si>
  <si>
    <t>Oak Creek Apartments</t>
  </si>
  <si>
    <t>E:\PropInv\MF\San Antonio\Babcock Road_1847_Oak Hills Village_San Antonio</t>
  </si>
  <si>
    <t>Babcock Road_1847_Oak Hills Village_San Antonio</t>
  </si>
  <si>
    <t>E:\PropInv\MF\San Antonio\Oaklawn Drive_7135_Oaklawn Apartments_San Antonio</t>
  </si>
  <si>
    <t>Oaklawn Drive_7135_Oaklawn Apartments_San Antonio</t>
  </si>
  <si>
    <t>Oaklawn Drive</t>
  </si>
  <si>
    <t>Oaklawn Apartments</t>
  </si>
  <si>
    <t>E:\PropInv\MF\San Antonio\Starcrest Drive_8800_Oaks Of Marymont_San Antonio</t>
  </si>
  <si>
    <t>Starcrest Drive_8800_Oaks Of Marymont_San Antonio</t>
  </si>
  <si>
    <t>Starcrest Drive</t>
  </si>
  <si>
    <t>Oaks Of Marymont</t>
  </si>
  <si>
    <t>E:\PropInv\MF\San Antonio\Lynn Batts Lane_33_Oakwood At Cenizo Flats_San Antonio</t>
  </si>
  <si>
    <t>Lynn Batts Lane_33_Oakwood At Cenizo Flats_San Antonio</t>
  </si>
  <si>
    <t>Lynn Batts Lane</t>
  </si>
  <si>
    <t>Oakwood At Cenizo Flats</t>
  </si>
  <si>
    <t>E:\PropInv\MF\San Antonio\Fredericksburg Road_9939_Park Hill_San Antonio</t>
  </si>
  <si>
    <t>Fredericksburg Road_9939_Park Hill_San Antonio</t>
  </si>
  <si>
    <t>E:\PropInv\MF\San Antonio\Goldfield Drive East_4848_Park On Goldfield_San Antonio</t>
  </si>
  <si>
    <t>Goldfield Drive East_4848_Park On Goldfield_San Antonio</t>
  </si>
  <si>
    <t>Goldfield Drive East</t>
  </si>
  <si>
    <t>Park On Goldfield</t>
  </si>
  <si>
    <t>E:\PropInv\MF\San Antonio\Parkway Drive_4407_Parkway Apartments_San Antonio</t>
  </si>
  <si>
    <t>Parkway Drive_4407_Parkway Apartments_San Antonio</t>
  </si>
  <si>
    <t>Parkway Drive</t>
  </si>
  <si>
    <t>Parkway Apartments</t>
  </si>
  <si>
    <t>E:\PropInv\MF\San Antonio\Parliamnet Drive_11838_Parliament Bend_San Antonio</t>
  </si>
  <si>
    <t>Parliamnet Drive_11838_Parliament Bend_San Antonio</t>
  </si>
  <si>
    <t>Parliamnet Drive</t>
  </si>
  <si>
    <t>E:\PropInv\MF\San Antonio\Babcock Road_140_Parque De Oro_San Antonio</t>
  </si>
  <si>
    <t>Babcock Road_140_Parque De Oro_San Antonio</t>
  </si>
  <si>
    <t>Parque De Oro</t>
  </si>
  <si>
    <t>E:\PropInv\MF\San Antonio\Southcross Boulevard East_3450_Pecan Valley Golf Club Apartments_San Antonio</t>
  </si>
  <si>
    <t>Southcross Boulevard East_3450_Pecan Valley Golf Club Apartments_San Antonio</t>
  </si>
  <si>
    <t>Southcross Boulevard East</t>
  </si>
  <si>
    <t>Pecan Valley Golf Club Apartments</t>
  </si>
  <si>
    <t>E:\PropInv\MF\San Antonio\Vance Jackson Road_1011_Pepperidge Apartments_San Antonio</t>
  </si>
  <si>
    <t>Vance Jackson Road_1011_Pepperidge Apartments_San Antonio</t>
  </si>
  <si>
    <t>Pepperidge Apartments</t>
  </si>
  <si>
    <t>E:\PropInv\MF\San Antonio\Uhr Lane_12660_Perrin Crest_San Antonio</t>
  </si>
  <si>
    <t>Uhr Lane_12660_Perrin Crest_San Antonio</t>
  </si>
  <si>
    <t>Uhr Lane</t>
  </si>
  <si>
    <t>E:\PropInv\MF\San Antonio\Montrose Street_436_Phase II Montrose_San Antonio</t>
  </si>
  <si>
    <t>Montrose Street_436_Phase II Montrose_San Antonio</t>
  </si>
  <si>
    <t>Montrose Street</t>
  </si>
  <si>
    <t>Phase II Montrose</t>
  </si>
  <si>
    <t>E:\PropInv\MF\San Antonio\Pipers Lane_7750_Pipers Square Apartments_San Antonio</t>
  </si>
  <si>
    <t>Pipers Lane_7750_Pipers Square Apartments_San Antonio</t>
  </si>
  <si>
    <t>Pipers Lane</t>
  </si>
  <si>
    <t>Pipers Square Apartments</t>
  </si>
  <si>
    <t>E:\PropInv\MF\San Antonio\Pleasanton Drive_3735_Pleasanton Village-Deeply Place Apartments_San Antonio</t>
  </si>
  <si>
    <t>Pleasanton Drive_3735_Pleasanton Village-Deeply Place Apartments_San Antonio</t>
  </si>
  <si>
    <t>Pleasanton Drive</t>
  </si>
  <si>
    <t>Pleasanton Village-Deeply Place Apartments</t>
  </si>
  <si>
    <t>E:\PropInv\MF\San Antonio\Dickson Avenue West_247_Pollyanna Apartments_San Antonio</t>
  </si>
  <si>
    <t>Dickson Avenue West_247_Pollyanna Apartments_San Antonio</t>
  </si>
  <si>
    <t>Dickson Avenue West</t>
  </si>
  <si>
    <t>Pollyanna Apartments</t>
  </si>
  <si>
    <t>E:\PropInv\MF\San Antonio\Broadway_7307_Principal Enterprise Portfolio_San Antonio</t>
  </si>
  <si>
    <t>Broadway_7307_Principal Enterprise Portfolio_San Antonio</t>
  </si>
  <si>
    <t>Principal Enterprise Portfolio</t>
  </si>
  <si>
    <t>E:\PropInv\MF\San Antonio\Lockhill Road_6298_Providence Estates Townhomes_San Antonio</t>
  </si>
  <si>
    <t>Lockhill Road_6298_Providence Estates Townhomes_San Antonio</t>
  </si>
  <si>
    <t>Lockhill Road</t>
  </si>
  <si>
    <t>Providence Estates Townhomes</t>
  </si>
  <si>
    <t>E:\PropInv\MF\San Antonio\Rampart East_123_Rampart House Apartments_San Antonio</t>
  </si>
  <si>
    <t>Rampart East_123_Rampart House Apartments_San Antonio</t>
  </si>
  <si>
    <t>Rampart East</t>
  </si>
  <si>
    <t>Rampart House Apartments</t>
  </si>
  <si>
    <t>E:\PropInv\MF\San Antonio\Scarsdale Street_12635_Regatta_San Antonio</t>
  </si>
  <si>
    <t>Scarsdale Street_12635_Regatta_San Antonio</t>
  </si>
  <si>
    <t>Scarsdale Street</t>
  </si>
  <si>
    <t>E:\PropInv\MF\San Antonio\Wildflower Drive_5042_Regency Manor Apartments_San Antonio</t>
  </si>
  <si>
    <t>Wildflower Drive_5042_Regency Manor Apartments_San Antonio</t>
  </si>
  <si>
    <t>Wildflower Drive</t>
  </si>
  <si>
    <t>Regency Manor Apartments</t>
  </si>
  <si>
    <t>E:\PropInv\MF\San Antonio\Cincinnati Avenue_639_Residential Income Portfolio_San Antonio</t>
  </si>
  <si>
    <t>Cincinnati Avenue_639_Residential Income Portfolio_San Antonio</t>
  </si>
  <si>
    <t>Cincinnati Avenue</t>
  </si>
  <si>
    <t>Residential Income Portfolio</t>
  </si>
  <si>
    <t>E:\PropInv\MF\San Antonio\Datapoint Road_8916_Rosemont Crossing_San Antonio</t>
  </si>
  <si>
    <t>Datapoint Road_8916_Rosemont Crossing_San Antonio</t>
  </si>
  <si>
    <t>Datapoint Road</t>
  </si>
  <si>
    <t>E:\PropInv\MF\San Antonio\Eisenhauer Road_5239_Rosillo Creek_San Antonio</t>
  </si>
  <si>
    <t>Eisenhauer Road_5239_Rosillo Creek_San Antonio</t>
  </si>
  <si>
    <t>Eisenhauer Road</t>
  </si>
  <si>
    <t>E:\PropInv\MF\San Antonio\410 Loop Northeast_2554_Saddlewood_San Antonio</t>
  </si>
  <si>
    <t>410 Loop Northeast_2554_Saddlewood_San Antonio</t>
  </si>
  <si>
    <t>E:\PropInv\MF\San Antonio\Oakdale Street_3431_Sage Crossing Apartments_San Antonio</t>
  </si>
  <si>
    <t>Oakdale Street_3431_Sage Crossing Apartments_San Antonio</t>
  </si>
  <si>
    <t>Oakdale Street</t>
  </si>
  <si>
    <t>Sage Crossing Apartments</t>
  </si>
  <si>
    <t>E:\PropInv\MF\San Antonio\Blanco Road_5231_Santa Fe Apartments_San Antonio</t>
  </si>
  <si>
    <t>Blanco Road_5231_Santa Fe Apartments_San Antonio</t>
  </si>
  <si>
    <t>Santa Fe Apartments</t>
  </si>
  <si>
    <t>E:\PropInv\MF\San Antonio\Jones Maltsberger Road_12315_Santa Fe Apartments_San Antonio</t>
  </si>
  <si>
    <t>Jones Maltsberger Road_12315_Santa Fe Apartments_San Antonio</t>
  </si>
  <si>
    <t>Jones Maltsberger Road</t>
  </si>
  <si>
    <t>E:\PropInv\MF\San Antonio\Mulberry Avenue East_1235_Sentinel Pte. Apartments_San Antonio</t>
  </si>
  <si>
    <t>Mulberry Avenue East_1235_Sentinel Pte. Apartments_San Antonio</t>
  </si>
  <si>
    <t>Sentinel Pte. Apartments</t>
  </si>
  <si>
    <t>E:\PropInv\MF\San Antonio\Gus Eckert Road_4822_Silver Creek_San Antonio</t>
  </si>
  <si>
    <t>Gus Eckert Road_4822_Silver Creek_San Antonio</t>
  </si>
  <si>
    <t>Gus Eckert Road</t>
  </si>
  <si>
    <t>E:\PropInv\MF\San Antonio\Ingram Road_7585_Silver Oaks_San Antonio</t>
  </si>
  <si>
    <t>Ingram Road_7585_Silver Oaks_San Antonio</t>
  </si>
  <si>
    <t>Ingram Road</t>
  </si>
  <si>
    <t>E:\PropInv\MF\San Antonio\Quail Creek Drive_8438_Silver Ridge_San Antonio</t>
  </si>
  <si>
    <t>Quail Creek Drive_8438_Silver Ridge_San Antonio</t>
  </si>
  <si>
    <t>Quail Creek Drive</t>
  </si>
  <si>
    <t>E:\PropInv\MF\San Antonio\Fairhaven Street_8631_Sonoma Canyon_San Antonio</t>
  </si>
  <si>
    <t>Fairhaven Street_8631_Sonoma Canyon_San Antonio</t>
  </si>
  <si>
    <t>E:\PropInv\MF\San Antonio\New Braunfels Ave South_5500_South Point Apartments_San Antonio</t>
  </si>
  <si>
    <t>New Braunfels Ave South_5500_South Point Apartments_San Antonio</t>
  </si>
  <si>
    <t>New Braunfels Ave South</t>
  </si>
  <si>
    <t>South Point Apartments</t>
  </si>
  <si>
    <t>E:\PropInv\MF\San Antonio\410 Loop Northwest_4235_South Point Oaks_San Antonio</t>
  </si>
  <si>
    <t>410 Loop Northwest_4235_South Point Oaks_San Antonio</t>
  </si>
  <si>
    <t>410 Loop Northwest</t>
  </si>
  <si>
    <t>E:\PropInv\MF\San Antonio\Callaghan Road_7600_Spanish Trail Apartment_San Antonio</t>
  </si>
  <si>
    <t>Callaghan Road_7600_Spanish Trail Apartment_San Antonio</t>
  </si>
  <si>
    <t>Spanish Trail Apartment</t>
  </si>
  <si>
    <t>E:\PropInv\MF\San Antonio\Cinnamon Creek Drive_8802_Spice Creek Apartments_San Antonio</t>
  </si>
  <si>
    <t>Cinnamon Creek Drive_8802_Spice Creek Apartments_San Antonio</t>
  </si>
  <si>
    <t>Cinnamon Creek Drive</t>
  </si>
  <si>
    <t>Spice Creek Apartments</t>
  </si>
  <si>
    <t>E:\PropInv\MF\San Antonio\Huebner Road_19950_Stone Manor At Sonerra_San Antonio</t>
  </si>
  <si>
    <t>Huebner Road_19950_Stone Manor At Sonerra_San Antonio</t>
  </si>
  <si>
    <t>Stone Manor At Sonerra</t>
  </si>
  <si>
    <t>E:\PropInv\MF\San Antonio\Belair Drive_11851_Summercreek_San Antonio</t>
  </si>
  <si>
    <t>Belair Drive_11851_Summercreek_San Antonio</t>
  </si>
  <si>
    <t>Belair Drive</t>
  </si>
  <si>
    <t>E:\PropInv\MF\San Antonio\Sahara Drive_10343_Sunny Glen Apartments_San Antonio</t>
  </si>
  <si>
    <t>Sahara Drive_10343_Sunny Glen Apartments_San Antonio</t>
  </si>
  <si>
    <t>Sahara Drive</t>
  </si>
  <si>
    <t>Sunny Glen Apartments</t>
  </si>
  <si>
    <t>E:\PropInv\MF\San Antonio\Parliament Street_11955_Sutters Mill_San Antonio</t>
  </si>
  <si>
    <t>Parliament Street_11955_Sutters Mill_San Antonio</t>
  </si>
  <si>
    <t>Parliament Street</t>
  </si>
  <si>
    <t>E:\PropInv\MF\San Antonio\Wall Street_11711_Sutton House_San Antonio</t>
  </si>
  <si>
    <t>Wall Street_11711_Sutton House_San Antonio</t>
  </si>
  <si>
    <t>Wall Street</t>
  </si>
  <si>
    <t>E:\PropInv\MF\San Antonio\Talavera Parkway_107_TalaVera_San Antonio</t>
  </si>
  <si>
    <t>Talavera Parkway_107_TalaVera_San Antonio</t>
  </si>
  <si>
    <t>TalaVera</t>
  </si>
  <si>
    <t>E:\PropInv\MF\San Antonio\Tanglebriar Lane_201_Tanglewood_San Antonio</t>
  </si>
  <si>
    <t>Tanglebriar Lane_201_Tanglewood_San Antonio</t>
  </si>
  <si>
    <t>Tanglebriar Lane</t>
  </si>
  <si>
    <t>E:\PropInv\MF\San Antonio\Howard Street_509_The Aurora_San Antonio</t>
  </si>
  <si>
    <t>Howard Street_509_The Aurora_San Antonio</t>
  </si>
  <si>
    <t>The Aurora</t>
  </si>
  <si>
    <t>E:\PropInv\MF\San Antonio\McCarty Road_539_The Cove_San Antonio</t>
  </si>
  <si>
    <t>McCarty Road_539_The Cove_San Antonio</t>
  </si>
  <si>
    <t>McCarty Road</t>
  </si>
  <si>
    <t>E:\PropInv\MF\San Antonio\Treeline Park_340_The Crescent_San Antonio</t>
  </si>
  <si>
    <t>Treeline Park_340_The Crescent_San Antonio</t>
  </si>
  <si>
    <t>E:\PropInv\MF\San Antonio\Thousand Oaks Drive_4620_The Crest Autumn Oaks_San Antonio</t>
  </si>
  <si>
    <t>Thousand Oaks Drive_4620_The Crest Autumn Oaks_San Antonio</t>
  </si>
  <si>
    <t>Thousand Oaks Drive</t>
  </si>
  <si>
    <t>The Crest Autumn Oaks</t>
  </si>
  <si>
    <t>E:\PropInv\MF\San Antonio\Alamo Plaza_105_The Gibbs Building_San Antonio</t>
  </si>
  <si>
    <t>Alamo Plaza_105_The Gibbs Building_San Antonio</t>
  </si>
  <si>
    <t>Alamo Plaza</t>
  </si>
  <si>
    <t>E:\PropInv\MF\San Antonio\Vance Jackson Road_16631_The Haven At The Rim_San Antonio</t>
  </si>
  <si>
    <t>Vance Jackson Road_16631_The Haven At The Rim_San Antonio</t>
  </si>
  <si>
    <t>The Haven At The Rim</t>
  </si>
  <si>
    <t>E:\PropInv\MF\San Antonio\Dartbrook Drive_9109_The Homes Of Cinnamon Creek_San Antonio</t>
  </si>
  <si>
    <t>Dartbrook Drive_9109_The Homes Of Cinnamon Creek_San Antonio</t>
  </si>
  <si>
    <t>Dartbrook Drive</t>
  </si>
  <si>
    <t>The Homes Of Cinnamon Creek</t>
  </si>
  <si>
    <t>E:\PropInv\MF\San Antonio\Austin Highway_2355_The Lodge At Perrin Creek_San Antonio</t>
  </si>
  <si>
    <t>Austin Highway_2355_The Lodge At Perrin Creek_San Antonio</t>
  </si>
  <si>
    <t>Austin Highway</t>
  </si>
  <si>
    <t>The Lodge At Perrin Creek</t>
  </si>
  <si>
    <t>E:\PropInv\MF\San Antonio\Lockhill Selma_3838_The Lodge At Shavano Park_San Antonio</t>
  </si>
  <si>
    <t>Lockhill Selma_3838_The Lodge At Shavano Park_San Antonio</t>
  </si>
  <si>
    <t>The Lodge At Shavano Park</t>
  </si>
  <si>
    <t>E:\PropInv\MF\San Antonio\Timberhill Drive_5544_The Lodge At Timberhill_San Antonio</t>
  </si>
  <si>
    <t>Timberhill Drive_5544_The Lodge At Timberhill_San Antonio</t>
  </si>
  <si>
    <t>Timberhill Drive</t>
  </si>
  <si>
    <t>The Lodge At Timberhill</t>
  </si>
  <si>
    <t>E:\PropInv\MF\San Antonio\Parliament Street_11721_The Mark At Parliament_San Antonio</t>
  </si>
  <si>
    <t>Parliament Street_11721_The Mark At Parliament_San Antonio</t>
  </si>
  <si>
    <t>The Mark At Parliament</t>
  </si>
  <si>
    <t>E:\PropInv\MF\San Antonio\Military Drive Southeast_2233_The Park At Presa Apartments_San Antonio</t>
  </si>
  <si>
    <t>Military Drive Southeast_2233_The Park At Presa Apartments_San Antonio</t>
  </si>
  <si>
    <t>The Park At Presa Apartments</t>
  </si>
  <si>
    <t>E:\PropInv\MF\San Antonio\Southcross Boulevard East_4032_The Reserve At Pecan Valley_San Antonio</t>
  </si>
  <si>
    <t>Southcross Boulevard East_4032_The Reserve At Pecan Valley_San Antonio</t>
  </si>
  <si>
    <t>The Reserve At Pecan Valley</t>
  </si>
  <si>
    <t>E:\PropInv\MF\San Antonio\Country Village Lane_8446_The Reserve In Alamo Heights_San Antonio</t>
  </si>
  <si>
    <t>Country Village Lane_8446_The Reserve In Alamo Heights_San Antonio</t>
  </si>
  <si>
    <t>Country Village Lane</t>
  </si>
  <si>
    <t>The Reserve In Alamo Heights</t>
  </si>
  <si>
    <t>E:\PropInv\MF\San Antonio\Thousand Oaks Drive_1550_The Summit Of Thousands_San Antonio</t>
  </si>
  <si>
    <t>Thousand Oaks Drive_1550_The Summit Of Thousands_San Antonio</t>
  </si>
  <si>
    <t>The Summit Of Thousands</t>
  </si>
  <si>
    <t>E:\PropInv\MF\San Antonio\Roszell Street_11300_The Terrace Apartments_San Antonio</t>
  </si>
  <si>
    <t>Roszell Street_11300_The Terrace Apartments_San Antonio</t>
  </si>
  <si>
    <t>Roszell Street</t>
  </si>
  <si>
    <t>The Terrace Apartments</t>
  </si>
  <si>
    <t>E:\PropInv\MF\San Antonio\Cable Ranch Road_1538_The Villages Of Cable Ranch_San Antonio</t>
  </si>
  <si>
    <t>Cable Ranch Road_1538_The Villages Of Cable Ranch_San Antonio</t>
  </si>
  <si>
    <t>Cable Ranch Road</t>
  </si>
  <si>
    <t>The Villages Of Cable Ranch</t>
  </si>
  <si>
    <t>E:\PropInv\MF\San Antonio\Judson Road_15302_The Villages Of Lost Creek_San Antonio</t>
  </si>
  <si>
    <t>Judson Road_15302_The Villages Of Lost Creek_San Antonio</t>
  </si>
  <si>
    <t>Judson Road</t>
  </si>
  <si>
    <t>The Villages Of Lost Creek</t>
  </si>
  <si>
    <t>E:\PropInv\MF\San Antonio\Oak Manor_7314_The Villas At Oak Hills_San Antonio</t>
  </si>
  <si>
    <t>Oak Manor_7314_The Villas At Oak Hills_San Antonio</t>
  </si>
  <si>
    <t>The Villas At Oak Hills</t>
  </si>
  <si>
    <t>E:\PropInv\MF\San Antonio\Jones Maltsberger Road_8607_The Villas of San Francisco_San Antonio</t>
  </si>
  <si>
    <t>Jones Maltsberger Road_8607_The Villas of San Francisco_San Antonio</t>
  </si>
  <si>
    <t>E:\PropInv\MF\San Antonio\Jackson Keller_107_The Willows Portfolio_San Antonio</t>
  </si>
  <si>
    <t>Jackson Keller_107_The Willows Portfolio_San Antonio</t>
  </si>
  <si>
    <t>The Willows Portfolio</t>
  </si>
  <si>
    <t>E:\PropInv\MF\San Antonio\Stone Oak Parkway_19275_Toscana At Sonterra_San Antonio</t>
  </si>
  <si>
    <t>Stone Oak Parkway_19275_Toscana At Sonterra_San Antonio</t>
  </si>
  <si>
    <t>Stone Oak Parkway</t>
  </si>
  <si>
    <t>Toscana At Sonterra</t>
  </si>
  <si>
    <t>E:\PropInv\MF\San Antonio\Vance Jackson_423_Tradewind Villas_San Antonio</t>
  </si>
  <si>
    <t>Vance Jackson_423_Tradewind Villas_San Antonio</t>
  </si>
  <si>
    <t>E:\PropInv\MF\San Antonio\Vance Jackson_11444_Trails Of Elm Creek_San Antonio</t>
  </si>
  <si>
    <t>Vance Jackson_11444_Trails Of Elm Creek_San Antonio</t>
  </si>
  <si>
    <t>Trails Of Elm Creek</t>
  </si>
  <si>
    <t>E:\PropInv\MF\San Antonio\Oasis Street_10334_View Point_San Antonio</t>
  </si>
  <si>
    <t>Oasis Street_10334_View Point_San Antonio</t>
  </si>
  <si>
    <t>Oasis Street</t>
  </si>
  <si>
    <t>E:\PropInv\MF\San Antonio\Cinnamon Creek_8722_Villages Of Cinnamon Creek_San Antonio</t>
  </si>
  <si>
    <t>Cinnamon Creek_8722_Villages Of Cinnamon Creek_San Antonio</t>
  </si>
  <si>
    <t>E:\PropInv\MF\San Antonio\Vance Jackson_12436_Vistas At Vance Jackson_San Antonio</t>
  </si>
  <si>
    <t>Vance Jackson_12436_Vistas At Vance Jackson_San Antonio</t>
  </si>
  <si>
    <t>Vistas At Vance Jackson</t>
  </si>
  <si>
    <t>E:\PropInv\MF\San Antonio\Medical Drive_5380_Walnut Springs_San Antonio</t>
  </si>
  <si>
    <t>Medical Drive_5380_Walnut Springs_San Antonio</t>
  </si>
  <si>
    <t>Medical Drive</t>
  </si>
  <si>
    <t>Walnut Springs</t>
  </si>
  <si>
    <t>E:\PropInv\MF\San Antonio\Orsinger Road_11910_Waters At Elm Creek_San Antonio</t>
  </si>
  <si>
    <t>Orsinger Road_11910_Waters At Elm Creek_San Antonio</t>
  </si>
  <si>
    <t>Orsinger Road</t>
  </si>
  <si>
    <t>Waters At Elm Creek</t>
  </si>
  <si>
    <t>E:\PropInv\MF\San Antonio\Thousan Oaks Drive_4031_Waters At Northern Hills_San Antonio</t>
  </si>
  <si>
    <t>Thousan Oaks Drive_4031_Waters At Northern Hills_San Antonio</t>
  </si>
  <si>
    <t>Thousan Oaks Drive</t>
  </si>
  <si>
    <t>Waters At Northern Hills</t>
  </si>
  <si>
    <t>E:\PropInv\MF\San Antonio\Callaghan Road_6623_Wellington Estates_San Antonio</t>
  </si>
  <si>
    <t>Callaghan Road_6623_Wellington Estates_San Antonio</t>
  </si>
  <si>
    <t>E:\PropInv\MF\San Antonio\WoodChase Road_7820_Westchase_San Antonio</t>
  </si>
  <si>
    <t>WoodChase Road_7820_Westchase_San Antonio</t>
  </si>
  <si>
    <t>WoodChase Road</t>
  </si>
  <si>
    <t>E:\PropInv\MF\San Antonio\Harry Wurzbach_2530_Wilshire Woods_San Antonio</t>
  </si>
  <si>
    <t>Harry Wurzbach_2530_Wilshire Woods_San Antonio</t>
  </si>
  <si>
    <t>E:\PropInv\MF\San Antonio\Lockhill Selma Road_2447_Windrush Apartments_San Antonio</t>
  </si>
  <si>
    <t>Lockhill Selma Road_2447_Windrush Apartments_San Antonio</t>
  </si>
  <si>
    <t>Lockhill Selma Road</t>
  </si>
  <si>
    <t>Windrush Apartments</t>
  </si>
  <si>
    <t>E:\PropInv\MF\San Antonio\Gawain Drive_5341_Windsor Village_San Antonio</t>
  </si>
  <si>
    <t>Gawain Drive_5341_Windsor Village_San Antonio</t>
  </si>
  <si>
    <t>Gawain Drive</t>
  </si>
  <si>
    <t>E:\PropInv\MF\San Antonio\Oakgate Drive_3500_Woodbridge_San Antonio</t>
  </si>
  <si>
    <t>Oakgate Drive_3500_Woodbridge_San Antonio</t>
  </si>
  <si>
    <t>Oakgate Drive</t>
  </si>
  <si>
    <t>E:\PropInv\MF\San Antonio\Sahara Drive_10362_Woodhollow Apartments_San Antonio</t>
  </si>
  <si>
    <t>Sahara Drive_10362_Woodhollow Apartments_San Antonio</t>
  </si>
  <si>
    <t>Woodhollow Apartments</t>
  </si>
  <si>
    <t>E:\PropInv\MF\San Antonio\Woodlake Parkway_6000_Woodlake Village Apartments_San Antonio</t>
  </si>
  <si>
    <t>Woodlake Parkway_6000_Woodlake Village Apartments_San Antonio</t>
  </si>
  <si>
    <t>Woodlake Parkway</t>
  </si>
  <si>
    <t>Woodlake Village Apartments</t>
  </si>
  <si>
    <t>E:\PropInv\MF\San Antonio\Wurzbach Road_9001_Woodtrails_San Antonio</t>
  </si>
  <si>
    <t>Wurzbach Road_9001_Woodtrails_San Antonio</t>
  </si>
  <si>
    <t>Woodtrails</t>
  </si>
  <si>
    <t>E:\PropInv\MF\San Marcos\Leah Avenue_1101_Cedars Of San Marcos_San Marcos</t>
  </si>
  <si>
    <t>Leah Avenue_1101_Cedars Of San Marcos_San Marcos</t>
  </si>
  <si>
    <t>Leah Avenue</t>
  </si>
  <si>
    <t>Cedars Of San Marcos</t>
  </si>
  <si>
    <t>E:\PropInv\MF\San Marcos\San Marcos Parkway_1109_Graystone Apartments_San Marcos</t>
  </si>
  <si>
    <t>San Marcos Parkway_1109_Graystone Apartments_San Marcos</t>
  </si>
  <si>
    <t>San Marcos Parkway</t>
  </si>
  <si>
    <t>Graystone Apartments</t>
  </si>
  <si>
    <t>E:\PropInv\MF\San Marcos\Linda Drive_518_Kelsea Place_San Marcos</t>
  </si>
  <si>
    <t>Linda Drive_518_Kelsea Place_San Marcos</t>
  </si>
  <si>
    <t>E:\PropInv\MF\San Marcos\Craddock Avenue_205_Langtry Apartments_San Marcos</t>
  </si>
  <si>
    <t>Craddock Avenue_205_Langtry Apartments_San Marcos</t>
  </si>
  <si>
    <t>Craddock Avenue</t>
  </si>
  <si>
    <t>Langtry Apartments</t>
  </si>
  <si>
    <t>E:\PropInv\MF\San Marcos\LBJ Drive North_1000_Les Chateaux_San Marcos</t>
  </si>
  <si>
    <t>LBJ Drive North_1000_Les Chateaux_San Marcos</t>
  </si>
  <si>
    <t>LBJ Drive North</t>
  </si>
  <si>
    <t>Les Chateaux</t>
  </si>
  <si>
    <t>E:\PropInv\MF\San Marcos\Old Post Road_1637_Mosscliff Apartments_San Marcos</t>
  </si>
  <si>
    <t>Old Post Road_1637_Mosscliff Apartments_San Marcos</t>
  </si>
  <si>
    <t>Old Post Road</t>
  </si>
  <si>
    <t>Mosscliff Apartments</t>
  </si>
  <si>
    <t>E:\PropInv\MF\San Marcos\Stagecoach Trail South_250_Savannah Club Apartments_San Marcos</t>
  </si>
  <si>
    <t>Stagecoach Trail South_250_Savannah Club Apartments_San Marcos</t>
  </si>
  <si>
    <t>Stagecoach Trail South</t>
  </si>
  <si>
    <t>Savannah Club Apartments</t>
  </si>
  <si>
    <t>E:\PropInv\MF\San Marcos\Aquarena Springs Drive_1623_Spring West Post Road Place_San Marcos</t>
  </si>
  <si>
    <t>Aquarena Springs Drive_1623_Spring West Post Road Place_San Marcos</t>
  </si>
  <si>
    <t>Aquarena Springs Drive</t>
  </si>
  <si>
    <t>Spring West Post Road Place</t>
  </si>
  <si>
    <t>E:\PropInv\MF\San Marcos\Aquarena Springs Drive_1200_The Hidden Village Apartments_San Marcos</t>
  </si>
  <si>
    <t>Aquarena Springs Drive_1200_The Hidden Village Apartments_San Marcos</t>
  </si>
  <si>
    <t>The Hidden Village Apartments</t>
  </si>
  <si>
    <t>E:\PropInv\MF\San Marcos\Ramsey Street_222_The Meadows_San Marcos</t>
  </si>
  <si>
    <t>Ramsey Street_222_The Meadows_San Marcos</t>
  </si>
  <si>
    <t>Ramsey Street</t>
  </si>
  <si>
    <t>E:\PropInv\MF\San Marcos\Wonder World Drive_1011_The Palazzo_San Marcos</t>
  </si>
  <si>
    <t>Wonder World Drive_1011_The Palazzo_San Marcos</t>
  </si>
  <si>
    <t>Wonder World Drive</t>
  </si>
  <si>
    <t>The Palazzo</t>
  </si>
  <si>
    <t>E:\PropInv\MF\San Marcos\Aquarena Springs Drive_1850_The Villagio_San Marcos</t>
  </si>
  <si>
    <t>Aquarena Springs Drive_1850_The Villagio_San Marcos</t>
  </si>
  <si>
    <t>E:\PropInv\MF\San Marcos\Saddler Drive_1350_Vantage At San Marcos_San Marcos</t>
  </si>
  <si>
    <t>Saddler Drive_1350_Vantage At San Marcos_San Marcos</t>
  </si>
  <si>
    <t>Saddler Drive</t>
  </si>
  <si>
    <t>Vantage At San Marcos</t>
  </si>
  <si>
    <t>E:\PropInv\MF\San Marcos\Aquarena Springs Drive_1805_Village On The River_San Marcos</t>
  </si>
  <si>
    <t>Aquarena Springs Drive_1805_Village On The River_San Marcos</t>
  </si>
  <si>
    <t>Village On The River</t>
  </si>
  <si>
    <t>E:\PropInv\MF\San Marcos\Aquarena Springs Drive_1631_Ye Olde Colony_San Marcos</t>
  </si>
  <si>
    <t>Aquarena Springs Drive_1631_Ye Olde Colony_San Marcos</t>
  </si>
  <si>
    <t>E:\PropInv\MF\San Marcos\Aquarena Springs Drive_1975_Zone At San Marcos_San Marcos</t>
  </si>
  <si>
    <t>Aquarena Springs Drive_1975_Zone At San Marcos_San Marcos</t>
  </si>
  <si>
    <t>Zone At San Marcos</t>
  </si>
  <si>
    <t>E:\PropInv\MF\Schertz\Elbel Road_1000_Sycamore Creek_Schertz</t>
  </si>
  <si>
    <t>Elbel Road_1000_Sycamore Creek_Schertz</t>
  </si>
  <si>
    <t>Elbel Road</t>
  </si>
  <si>
    <t>E:\PropInv\MF\Seabrook\Repsdorph Road_2401_Vista Shores_Seabrook</t>
  </si>
  <si>
    <t>Repsdorph Road_2401_Vista Shores_Seabrook</t>
  </si>
  <si>
    <t>Repsdorph Road</t>
  </si>
  <si>
    <t>E:\PropInv\MF\Seguin\Country Club Drive_1048_Fairway Manor_Seguin</t>
  </si>
  <si>
    <t>Country Club Drive_1048_Fairway Manor_Seguin</t>
  </si>
  <si>
    <t>E:\PropInv\MF\Seguin\Walnut Street East_1230_Summer's Bend (Fronteir Portfolio)_Seguin</t>
  </si>
  <si>
    <t>Walnut Street East_1230_Summer's Bend (Fronteir Portfolio)_Seguin</t>
  </si>
  <si>
    <t>Summer's Bend (Fronteir Portfolio)</t>
  </si>
  <si>
    <t>E:\PropInv\MF\Sherman\Taylor Street West_1200_Arrow Wood_Sherman</t>
  </si>
  <si>
    <t>Taylor Street West_1200_Arrow Wood_Sherman</t>
  </si>
  <si>
    <t>Taylor Street West</t>
  </si>
  <si>
    <t>E:\PropInv\MF\Sherman\LaSalle Drive_1600_Diamond Place Apartments_Sherman</t>
  </si>
  <si>
    <t>LaSalle Drive_1600_Diamond Place Apartments_Sherman</t>
  </si>
  <si>
    <t>LaSalle Drive</t>
  </si>
  <si>
    <t>Diamond Place Apartments</t>
  </si>
  <si>
    <t>E:\PropInv\MF\Sherman\Taylor Street West_1925_Highland Park Village_Sherman</t>
  </si>
  <si>
    <t>Taylor Street West_1925_Highland Park Village_Sherman</t>
  </si>
  <si>
    <t>E:\PropInv\MF\Sherman\Northridge Drive_3013_Normandy Manor_Sherman</t>
  </si>
  <si>
    <t>Northridge Drive_3013_Normandy Manor_Sherman</t>
  </si>
  <si>
    <t>Northridge Drive</t>
  </si>
  <si>
    <t>E:\PropInv\MF\Sherman\1417 FM Road_3301_Post Oak crossing Apartments_Sherman</t>
  </si>
  <si>
    <t>1417 FM Road_3301_Post Oak crossing Apartments_Sherman</t>
  </si>
  <si>
    <t>1417 FM Road</t>
  </si>
  <si>
    <t>Post Oak crossing Apartments</t>
  </si>
  <si>
    <t>E:\PropInv\MF\Sherman\Travis Street South_915_Southgate Apartments_Sherman</t>
  </si>
  <si>
    <t>Travis Street South_915_Southgate Apartments_Sherman</t>
  </si>
  <si>
    <t>Travis Street South</t>
  </si>
  <si>
    <t>Southgate Apartments</t>
  </si>
  <si>
    <t>E:\PropInv\MF\Sherman\Rex Cruise_3114_Turtle creek Village Apartments_Sherman</t>
  </si>
  <si>
    <t>Rex Cruise_3114_Turtle creek Village Apartments_Sherman</t>
  </si>
  <si>
    <t>Turtle creek Village Apartments</t>
  </si>
  <si>
    <t>E:\PropInv\MF\Sherman\Washington Street West_1800_Westlake Village Apartments_Sherman</t>
  </si>
  <si>
    <t>Washington Street West_1800_Westlake Village Apartments_Sherman</t>
  </si>
  <si>
    <t>Washington Street West</t>
  </si>
  <si>
    <t>Westlake Village Apartments</t>
  </si>
  <si>
    <t>E:\PropInv\MF\Snyder\Avenue O_3900_Western Crest &amp; Windridge Apartments_Snyder</t>
  </si>
  <si>
    <t>Avenue O_3900_Western Crest &amp; Windridge Apartments_Snyder</t>
  </si>
  <si>
    <t>Avenue O</t>
  </si>
  <si>
    <t>Western Crest &amp; Windridge Apartments</t>
  </si>
  <si>
    <t>E:\PropInv\MF\Spring\45 Interstate Highway_25650_Briarcrest_Spring</t>
  </si>
  <si>
    <t>45 Interstate Highway_25650_Briarcrest_Spring</t>
  </si>
  <si>
    <t>45 Interstate Highway</t>
  </si>
  <si>
    <t>E:\PropInv\MF\Spring\Oakwood Glen Boulevard_7203_Kressington Place_Spring</t>
  </si>
  <si>
    <t>Oakwood Glen Boulevard_7203_Kressington Place_Spring</t>
  </si>
  <si>
    <t>Oakwood Glen Boulevard</t>
  </si>
  <si>
    <t>Kressington Place</t>
  </si>
  <si>
    <t>E:\PropInv\MF\Spring\Budde Road_25335_Woodland Meadows Apartments_Spring</t>
  </si>
  <si>
    <t>Budde Road_25335_Woodland Meadows Apartments_Spring</t>
  </si>
  <si>
    <t>Budde Road</t>
  </si>
  <si>
    <t>Woodland Meadows Apartments</t>
  </si>
  <si>
    <t>E:\PropInv\MF\Spring\Sawdust Road_1475_Wooodridge Park_Spring</t>
  </si>
  <si>
    <t>Sawdust Road_1475_Wooodridge Park_Spring</t>
  </si>
  <si>
    <t>Sawdust Road</t>
  </si>
  <si>
    <t>Wooodridge Park</t>
  </si>
  <si>
    <t>E:\PropInv\MF\Stafford\Stafford Road_12660_Alexan Meadows_Stafford</t>
  </si>
  <si>
    <t>Stafford Road_12660_Alexan Meadows_Stafford</t>
  </si>
  <si>
    <t>Stafford Road</t>
  </si>
  <si>
    <t>Alexan Meadows</t>
  </si>
  <si>
    <t>E:\PropInv\MF\Stafford\Dulles Avenue_1025_Shadowbrooke_Stafford</t>
  </si>
  <si>
    <t>Dulles Avenue_1025_Shadowbrooke_Stafford</t>
  </si>
  <si>
    <t>Dulles Avenue</t>
  </si>
  <si>
    <t>E:\PropInv\MF\Stafford\Brand Lane_1020_Silverbrooke_Stafford</t>
  </si>
  <si>
    <t>Brand Lane_1020_Silverbrooke_Stafford</t>
  </si>
  <si>
    <t>Brand Lane</t>
  </si>
  <si>
    <t>E:\PropInv\MF\Stafford\Dulles Avenue_735_The Vinings_Stafford</t>
  </si>
  <si>
    <t>Dulles Avenue_735_The Vinings_Stafford</t>
  </si>
  <si>
    <t>E:\PropInv\MF\Stephenville\Bluebonnet Street West_100_Bluebonnet Apartments_Stephenville</t>
  </si>
  <si>
    <t>Bluebonnet Street West_100_Bluebonnet Apartments_Stephenville</t>
  </si>
  <si>
    <t>Bluebonnet Street West</t>
  </si>
  <si>
    <t>Bluebonnet Apartments</t>
  </si>
  <si>
    <t>E:\PropInv\MF\Stephenville\Long Street West_1380_Long Street_Stephenville</t>
  </si>
  <si>
    <t>Long Street West_1380_Long Street_Stephenville</t>
  </si>
  <si>
    <t>Long Street West</t>
  </si>
  <si>
    <t>Long Street</t>
  </si>
  <si>
    <t>E:\PropInv\MF\Stephenville\Lingleville Road West_1650_Oak Tree East_Stephenville</t>
  </si>
  <si>
    <t>Lingleville Road West_1650_Oak Tree East_Stephenville</t>
  </si>
  <si>
    <t>Lingleville Road West</t>
  </si>
  <si>
    <t>E:\PropInv\MF\Stephenville\Washington Street West_2865_Quality Inn As Of August 2008_Stephenville</t>
  </si>
  <si>
    <t>Washington Street West_2865_Quality Inn As Of August 2008_Stephenville</t>
  </si>
  <si>
    <t>Quality Inn As Of August 2008</t>
  </si>
  <si>
    <t>E:\PropInv\MF\Stephenville\Swan Street West_1400_Royal Manor Apartments_Stephenville</t>
  </si>
  <si>
    <t>Swan Street West_1400_Royal Manor Apartments_Stephenville</t>
  </si>
  <si>
    <t>Swan Street West</t>
  </si>
  <si>
    <t>Royal Manor Apartments</t>
  </si>
  <si>
    <t>E:\PropInv\MF\Stephenville\Ben Hogan Drive_139_Stephenville 4 Plexes_Stephenville</t>
  </si>
  <si>
    <t>Ben Hogan Drive_139_Stephenville 4 Plexes_Stephenville</t>
  </si>
  <si>
    <t>Ben Hogan Drive</t>
  </si>
  <si>
    <t>E:\PropInv\MF\Stephenville\Lilian Street North_805_University Village_Stephenville</t>
  </si>
  <si>
    <t>Lilian Street North_805_University Village_Stephenville</t>
  </si>
  <si>
    <t>Lilian Street North</t>
  </si>
  <si>
    <t>E:\PropInv\MF\Sugar Land\6 Highway South_12100_Parkside Apartments_Sugar Land</t>
  </si>
  <si>
    <t>6 Highway South_12100_Parkside Apartments_Sugar Land</t>
  </si>
  <si>
    <t>6 Highway South</t>
  </si>
  <si>
    <t>E:\PropInv\MF\Sugar Land\Voss Road_15270_Pebble Creek Ranch Apartment Homes_Sugar Land</t>
  </si>
  <si>
    <t>Voss Road_15270_Pebble Creek Ranch Apartment Homes_Sugar Land</t>
  </si>
  <si>
    <t>Voss Road</t>
  </si>
  <si>
    <t>Pebble Creek Ranch Apartment Homes</t>
  </si>
  <si>
    <t>E:\PropInv\MF\Sugar Land\Airport Boulevard West_15015_The Enclave At Woodbridge_Sugar Land</t>
  </si>
  <si>
    <t>Airport Boulevard West_15015_The Enclave At Woodbridge_Sugar Land</t>
  </si>
  <si>
    <t>The Enclave At Woodbridge</t>
  </si>
  <si>
    <t>E:\PropInv\MF\Sugar Land\Bellfort Avenue West_14402_West End Ranch_Sugar Land</t>
  </si>
  <si>
    <t>Bellfort Avenue West_14402_West End Ranch_Sugar Land</t>
  </si>
  <si>
    <t>Bellfort Avenue West</t>
  </si>
  <si>
    <t>E:\PropInv\MF\Sulphur Springs\Helm Lane_311_Quail Ridge_Sulphur Springs</t>
  </si>
  <si>
    <t>Helm Lane_311_Quail Ridge_Sulphur Springs</t>
  </si>
  <si>
    <t>Helm Lane</t>
  </si>
  <si>
    <t>E:\PropInv\MF\Sulphur Springs\Helm Lane_309_Quail Ridge or Green Tree apartments_Sulphur Springs</t>
  </si>
  <si>
    <t>Helm Lane_309_Quail Ridge or Green Tree apartments_Sulphur Springs</t>
  </si>
  <si>
    <t>Quail Ridge or Green Tree apartments</t>
  </si>
  <si>
    <t>E:\PropInv\MF\Sweeny\Ashley Wilson Road West_1000_Oak Bend Estates_Sweeny</t>
  </si>
  <si>
    <t>Ashley Wilson Road West_1000_Oak Bend Estates_Sweeny</t>
  </si>
  <si>
    <t>Ashley Wilson Road West</t>
  </si>
  <si>
    <t>E:\PropInv\MF\State_FL\Tampa\Waters Avenue West_3501_San Marin_Tampa</t>
  </si>
  <si>
    <t>Waters Avenue West_3501_San Marin_Tampa</t>
  </si>
  <si>
    <t>Waters Avenue West</t>
  </si>
  <si>
    <t>E:\PropInv\MF\State_FL\Tampa\42nd Street North_13702_Sterling North Campus_Tampa</t>
  </si>
  <si>
    <t>42nd Street North_13702_Sterling North Campus_Tampa</t>
  </si>
  <si>
    <t>42nd Street North</t>
  </si>
  <si>
    <t>E:\PropInv\MF\Taylor\Highland Drive_201_Arbors Of Taylor_Taylor</t>
  </si>
  <si>
    <t>Highland Drive_201_Arbors Of Taylor_Taylor</t>
  </si>
  <si>
    <t>Highland Drive</t>
  </si>
  <si>
    <t>Arbors Of Taylor</t>
  </si>
  <si>
    <t>E:\PropInv\MF\Temple\Fryers Creek Circle South_400_C&amp;C Apartments_Temple</t>
  </si>
  <si>
    <t>Fryers Creek Circle South_400_C&amp;C Apartments_Temple</t>
  </si>
  <si>
    <t>Fryers Creek Circle South</t>
  </si>
  <si>
    <t>C&amp;C Apartments</t>
  </si>
  <si>
    <t>E:\PropInv\MF\Temple\Thornton Lane_3320_Holly Oaks_Temple</t>
  </si>
  <si>
    <t>Thornton Lane_3320_Holly Oaks_Temple</t>
  </si>
  <si>
    <t>Thornton Lane</t>
  </si>
  <si>
    <t>E:\PropInv\MF\Temple\Elm Avenue West_620_Temple Gardens Apartments_Temple</t>
  </si>
  <si>
    <t>Elm Avenue West_620_Temple Gardens Apartments_Temple</t>
  </si>
  <si>
    <t>Elm Avenue West</t>
  </si>
  <si>
    <t>Temple Gardens Apartments</t>
  </si>
  <si>
    <t>E:\PropInv\MF\Temple\Adams Avenue West_4102_The Bluffs_Temple</t>
  </si>
  <si>
    <t>Adams Avenue West_4102_The Bluffs_Temple</t>
  </si>
  <si>
    <t>Adams Avenue West</t>
  </si>
  <si>
    <t>E:\PropInv\MF\Temple\39th Street South_2602_The Glen_Temple</t>
  </si>
  <si>
    <t>39th Street South_2602_The Glen_Temple</t>
  </si>
  <si>
    <t>39th Street South</t>
  </si>
  <si>
    <t>E:\PropInv\MF\Temple\Marlandwood Road_1810_The Village Apartments_Temple</t>
  </si>
  <si>
    <t>Marlandwood Road_1810_The Village Apartments_Temple</t>
  </si>
  <si>
    <t>Marlandwood Road</t>
  </si>
  <si>
    <t>E:\PropInv\MF\Temple\Antelope Trail_3007_Westgate Apartments_Temple</t>
  </si>
  <si>
    <t>Antelope Trail_3007_Westgate Apartments_Temple</t>
  </si>
  <si>
    <t>Antelope Trail</t>
  </si>
  <si>
    <t>E:\PropInv\MF\Temple\Woodbridge Boulevard_202_Woodbridge Crossing_Temple</t>
  </si>
  <si>
    <t>Woodbridge Boulevard_202_Woodbridge Crossing_Temple</t>
  </si>
  <si>
    <t>Woodbridge Boulevard</t>
  </si>
  <si>
    <t>E:\PropInv\MF\Terrell\Frances Avenue_1805_1805 Frances Avenue_Terrell</t>
  </si>
  <si>
    <t>Frances Avenue_1805_1805 Frances Avenue_Terrell</t>
  </si>
  <si>
    <t>Frances Avenue</t>
  </si>
  <si>
    <t>1805 Frances Avenue</t>
  </si>
  <si>
    <t>E:\PropInv\MF\Terrell\Alamo Street West_301_301 Alamo Street West_Terrell</t>
  </si>
  <si>
    <t>Alamo Street West_301_301 Alamo Street West_Terrell</t>
  </si>
  <si>
    <t>Alamo Street West</t>
  </si>
  <si>
    <t>301 Alamo Street West</t>
  </si>
  <si>
    <t>E:\PropInv\MF\Terrell\College Street East_409_409 College Street East_Terrell</t>
  </si>
  <si>
    <t>College Street East_409_409 College Street East_Terrell</t>
  </si>
  <si>
    <t>College Street East</t>
  </si>
  <si>
    <t>409 College Street East</t>
  </si>
  <si>
    <t>E:\PropInv\MF\Terrell\Frances Street North_904_904 Frances Street North_Terrell</t>
  </si>
  <si>
    <t>Frances Street North_904_904 Frances Street North_Terrell</t>
  </si>
  <si>
    <t>Frances Street North</t>
  </si>
  <si>
    <t>904 Frances Street North</t>
  </si>
  <si>
    <t>E:\PropInv\MF\Terrell\Brin Street East_301_Brin Street East_Terrell</t>
  </si>
  <si>
    <t>Brin Street East_301_Brin Street East_Terrell</t>
  </si>
  <si>
    <t>Brin Street East</t>
  </si>
  <si>
    <t>E:\PropInv\MF\Terrell\Colquitt Road_1451_Country Club Manor_Terrell</t>
  </si>
  <si>
    <t>Colquitt Road_1451_Country Club Manor_Terrell</t>
  </si>
  <si>
    <t>Colquitt Road</t>
  </si>
  <si>
    <t>E:\PropInv\MF\Terrell\Houston Street_907_Multi Unit Package_Terrell</t>
  </si>
  <si>
    <t>Houston Street_907_Multi Unit Package_Terrell</t>
  </si>
  <si>
    <t>Houston Street</t>
  </si>
  <si>
    <t>Multi Unit Package</t>
  </si>
  <si>
    <t>E:\PropInv\MF\Terrell\Adelaide Street South_1300_Oak Ridge Apartments_Terrell</t>
  </si>
  <si>
    <t>Adelaide Street South_1300_Oak Ridge Apartments_Terrell</t>
  </si>
  <si>
    <t>Adelaide Street South</t>
  </si>
  <si>
    <t>Oak Ridge Apartments</t>
  </si>
  <si>
    <t>E:\PropInv\MF\Terrell\Lovers Lane_200_Royal Oaks Town Homes_Terrell</t>
  </si>
  <si>
    <t>Lovers Lane_200_Royal Oaks Town Homes_Terrell</t>
  </si>
  <si>
    <t>Royal Oaks Town Homes</t>
  </si>
  <si>
    <t>E:\PropInv\MF\Terrell\Moore Avenue West_2390_Terell Crossing_Terrell</t>
  </si>
  <si>
    <t>Moore Avenue West_2390_Terell Crossing_Terrell</t>
  </si>
  <si>
    <t>Moore Avenue West</t>
  </si>
  <si>
    <t>Terell Crossing</t>
  </si>
  <si>
    <t>E:\PropInv\MF\Terrell\Virginia Street North_700_Terrell SF RentalsDuplex Package_Terrell</t>
  </si>
  <si>
    <t>Virginia Street North_700_Terrell SF RentalsDuplex Package_Terrell</t>
  </si>
  <si>
    <t>Virginia Street North</t>
  </si>
  <si>
    <t>Terrell SF RentalsDuplex Package</t>
  </si>
  <si>
    <t>E:\PropInv\MF\Terrell\Mineral Wells Street_1001_Texas Apartments_Terrell</t>
  </si>
  <si>
    <t>Mineral Wells Street_1001_Texas Apartments_Terrell</t>
  </si>
  <si>
    <t>Mineral Wells Street</t>
  </si>
  <si>
    <t>Texas Apartments</t>
  </si>
  <si>
    <t>E:\PropInv\MF\Terrell\Lovers Lane_100_Virginia Anne Apartments_Terrell</t>
  </si>
  <si>
    <t>Lovers Lane_100_Virginia Anne Apartments_Terrell</t>
  </si>
  <si>
    <t>Virginia Anne Apartments</t>
  </si>
  <si>
    <t>E:\PropInv\MF\Texarkana\Kennedy Lane_2605_Forest Point Apartments_Texarkana</t>
  </si>
  <si>
    <t>Kennedy Lane_2605_Forest Point Apartments_Texarkana</t>
  </si>
  <si>
    <t>Kennedy Lane</t>
  </si>
  <si>
    <t>Forest Point Apartments</t>
  </si>
  <si>
    <t>E:\PropInv\MF\Texarkana\Cherokee Trail 120_Krystal Plex Apartments_Texarkana</t>
  </si>
  <si>
    <t>Cherokee Trail 120_Krystal Plex Apartments_Texarkana</t>
  </si>
  <si>
    <t>Cherokee Trail</t>
  </si>
  <si>
    <t>Krystal Plex Apartments</t>
  </si>
  <si>
    <t>E:\PropInv\MF\Texarkana\Richmond Road_5911_Legacy At Pleasant Grove_Texarkana</t>
  </si>
  <si>
    <t>Richmond Road_5911_Legacy At Pleasant Grove_Texarkana</t>
  </si>
  <si>
    <t>Richmond Road</t>
  </si>
  <si>
    <t>Legacy At Pleasant Grove</t>
  </si>
  <si>
    <t>E:\PropInv\MF\Texarkana\College Drive_1023_The Woodlands_Texarkana</t>
  </si>
  <si>
    <t>College Drive_1023_The Woodlands_Texarkana</t>
  </si>
  <si>
    <t>College Drive</t>
  </si>
  <si>
    <t>E:\PropInv\MF\Texarkana\Richmond Road_1915_Three Fountains Apartments_Texarkana</t>
  </si>
  <si>
    <t>Richmond Road_1915_Three Fountains Apartments_Texarkana</t>
  </si>
  <si>
    <t>Three Fountains Apartments</t>
  </si>
  <si>
    <t>E:\PropInv\MF\Texarkana\Westlawn Drive_425_Westlawn Apartments_Texarkana</t>
  </si>
  <si>
    <t>Westlawn Drive_425_Westlawn Apartments_Texarkana</t>
  </si>
  <si>
    <t>Westlawn Drive</t>
  </si>
  <si>
    <t>Westlawn Apartments</t>
  </si>
  <si>
    <t>E:\PropInv\MF\Texas City\21st Street_2602_Ashton Park_Texas City</t>
  </si>
  <si>
    <t>21st Street_2602_Ashton Park_Texas City</t>
  </si>
  <si>
    <t>21st Street</t>
  </si>
  <si>
    <t>E:\PropInv\MF\Texas City\Glacier Avenue_9001_Fountain Lake FSBO Principals only pls_Texas City</t>
  </si>
  <si>
    <t>Glacier Avenue_9001_Fountain Lake FSBO Principals only pls_Texas City</t>
  </si>
  <si>
    <t>Glacier Avenue</t>
  </si>
  <si>
    <t>Fountain Lake FSBO Principals only pls</t>
  </si>
  <si>
    <t>E:\PropInv\MF\Texas City\Emmett F Lowery Expressway_8601_Oaks at Texas City Apartment Homes_Texas City</t>
  </si>
  <si>
    <t>Emmett F Lowery Expressway_8601_Oaks at Texas City Apartment Homes_Texas City</t>
  </si>
  <si>
    <t>Emmett F Lowery Expressway</t>
  </si>
  <si>
    <t>Oaks at Texas City Apartment Homes</t>
  </si>
  <si>
    <t>E:\PropInv\MF\Texas City\36th Street North_2020_Somerest Place_Texas City</t>
  </si>
  <si>
    <t>36th Street North_2020_Somerest Place_Texas City</t>
  </si>
  <si>
    <t>36th Street North</t>
  </si>
  <si>
    <t>Somerest Place</t>
  </si>
  <si>
    <t>E:\PropInv\MF\Texas City\9th Avenue North_3409_Sundance_Texas City</t>
  </si>
  <si>
    <t>9th Avenue North_3409_Sundance_Texas City</t>
  </si>
  <si>
    <t>9th Avenue North</t>
  </si>
  <si>
    <t>E:\PropInv\MF\Texas City\Monticello Drive_8801_The Breakers_Texas City</t>
  </si>
  <si>
    <t>Monticello Drive_8801_The Breakers_Texas City</t>
  </si>
  <si>
    <t>Monticello Drive</t>
  </si>
  <si>
    <t>E:\PropInv\MF\Texas City\Stewart Road_7301_The Pointe_Texas City</t>
  </si>
  <si>
    <t>Stewart Road_7301_The Pointe_Texas City</t>
  </si>
  <si>
    <t>E:\PropInv\MF\Texas City\13th Avenue North_1919_Tradewinds_Texas City</t>
  </si>
  <si>
    <t>13th Avenue North_1919_Tradewinds_Texas City</t>
  </si>
  <si>
    <t>13th Avenue North</t>
  </si>
  <si>
    <t>E:\PropInv\MF\The Woodlands\Millbend Drive South_2301_Village Square_The Woodlands</t>
  </si>
  <si>
    <t>Millbend Drive South_2301_Village Square_The Woodlands</t>
  </si>
  <si>
    <t>Millbend Drive South</t>
  </si>
  <si>
    <t>E:\PropInv\MF\State_OK\Tulsa\Mingo Road South_7705_Estancia_Tulsa</t>
  </si>
  <si>
    <t>Mingo Road South_7705_Estancia_Tulsa</t>
  </si>
  <si>
    <t>Mingo Road South</t>
  </si>
  <si>
    <t>E:\PropInv\MF\State_OK\Tulsa\81st Street East_9303_Sonoma Grande_Tulsa</t>
  </si>
  <si>
    <t>81st Street East_9303_Sonoma Grande_Tulsa</t>
  </si>
  <si>
    <t>81st Street East</t>
  </si>
  <si>
    <t>Sonoma Grande</t>
  </si>
  <si>
    <t>E:\PropInv\MF\Tyler\Kinsey Drive_4411_Bridges Of Kinsey_Tyler</t>
  </si>
  <si>
    <t>Kinsey Drive_4411_Bridges Of Kinsey_Tyler</t>
  </si>
  <si>
    <t>Kinsey Drive</t>
  </si>
  <si>
    <t>Bridges Of Kinsey</t>
  </si>
  <si>
    <t>E:\PropInv\MF\Tyler\323 Loop Southeast South_2601_Fox Run_Tyler</t>
  </si>
  <si>
    <t>323 Loop Southeast South_2601_Fox Run_Tyler</t>
  </si>
  <si>
    <t>323 Loop Southeast South</t>
  </si>
  <si>
    <t>E:\PropInv\MF\Tyler\Shiloh Road_2400_Hidden Springs Apartments_Tyler</t>
  </si>
  <si>
    <t>Shiloh Road_2400_Hidden Springs Apartments_Tyler</t>
  </si>
  <si>
    <t>Shiloh Road</t>
  </si>
  <si>
    <t>Hidden Springs Apartments</t>
  </si>
  <si>
    <t>E:\PropInv\MF\Tyler\Paluxy Drive_4400_Kensington Place_Tyler</t>
  </si>
  <si>
    <t>Paluxy Drive_4400_Kensington Place_Tyler</t>
  </si>
  <si>
    <t>Paluxy Drive</t>
  </si>
  <si>
    <t>E:\PropInv\MF\Tyler\Broadway Avenue South_2720_The Timbers On Braodway_Tyler</t>
  </si>
  <si>
    <t>Broadway Avenue South_2720_The Timbers On Braodway_Tyler</t>
  </si>
  <si>
    <t>Broadway Avenue South</t>
  </si>
  <si>
    <t>The Timbers On Braodway</t>
  </si>
  <si>
    <t>E:\PropInv\MF\Tyler\Broadway Avenue South_5315_The Village On Broadway_Tyler</t>
  </si>
  <si>
    <t>Broadway Avenue South_5315_The Village On Broadway_Tyler</t>
  </si>
  <si>
    <t>The Village On Broadway</t>
  </si>
  <si>
    <t>E:\PropInv\MF\Tyler\Erwin Street West_2500_Tyler Affordable Living_Tyler</t>
  </si>
  <si>
    <t>Erwin Street West_2500_Tyler Affordable Living_Tyler</t>
  </si>
  <si>
    <t>Erwin Street West</t>
  </si>
  <si>
    <t>E:\PropInv\MF\Tyler\Varsity Drive_3400_Varsity Place_Tyler</t>
  </si>
  <si>
    <t>Varsity Drive_3400_Varsity Place_Tyler</t>
  </si>
  <si>
    <t>Varsity Drive</t>
  </si>
  <si>
    <t>E:\PropInv\MF\Tyler\Houston Street West_620_Villa Milano Apartments_Tyler</t>
  </si>
  <si>
    <t>Houston Street West_620_Villa Milano Apartments_Tyler</t>
  </si>
  <si>
    <t>Houston Street West</t>
  </si>
  <si>
    <t>Villa Milano Apartments</t>
  </si>
  <si>
    <t>E:\PropInv\MF\Universal City\Universal City Boulevard_1950_Cimarron City Apartments_Universal City</t>
  </si>
  <si>
    <t>Universal City Boulevard_1950_Cimarron City Apartments_Universal City</t>
  </si>
  <si>
    <t>Universal City Boulevard</t>
  </si>
  <si>
    <t>Cimarron City Apartments</t>
  </si>
  <si>
    <t>E:\PropInv\MF\Universal City\1604 Loop East North_12900_Retama Ranch Apartment Homes_Universal City</t>
  </si>
  <si>
    <t>1604 Loop East North_12900_Retama Ranch Apartment Homes_Universal City</t>
  </si>
  <si>
    <t>1604 Loop East North</t>
  </si>
  <si>
    <t>Retama Ranch Apartment Homes</t>
  </si>
  <si>
    <t>E:\PropInv\MF\Van Alstyne\75 US Highway North_500_Hackberry Park Apartments_Van Alstyne</t>
  </si>
  <si>
    <t>75 US Highway North_500_Hackberry Park Apartments_Van Alstyne</t>
  </si>
  <si>
    <t>75 US Highway North</t>
  </si>
  <si>
    <t>Hackberry Park Apartments</t>
  </si>
  <si>
    <t>E:\PropInv\MF\Victoria\Colorado East_1810_Carriage Park_Victoria</t>
  </si>
  <si>
    <t>Colorado East_1810_Carriage Park_Victoria</t>
  </si>
  <si>
    <t>Colorado East</t>
  </si>
  <si>
    <t>E:\PropInv\MF\Victoria\Sam Houston_2008_Fox Run Apartments_Victoria</t>
  </si>
  <si>
    <t>Sam Houston_2008_Fox Run Apartments_Victoria</t>
  </si>
  <si>
    <t>Fox Run Apartments</t>
  </si>
  <si>
    <t>E:\PropInv\MF\Victoria\Sam Houston_1906_Mosswood_Victoria</t>
  </si>
  <si>
    <t>Sam Houston_1906_Mosswood_Victoria</t>
  </si>
  <si>
    <t>E:\PropInv\MF\Victoria\Fillmore Avenue_607_Sage Creek_Victoria</t>
  </si>
  <si>
    <t>Fillmore Avenue_607_Sage Creek_Victoria</t>
  </si>
  <si>
    <t>Fillmore Avenue</t>
  </si>
  <si>
    <t>E:\PropInv\MF\Victoria\Airline Rd East_3207_Stratford Place_Victoria</t>
  </si>
  <si>
    <t>Airline Rd East_3207_Stratford Place_Victoria</t>
  </si>
  <si>
    <t>Airline Rd East</t>
  </si>
  <si>
    <t>E:\PropInv\MF\Victoria\Ben Jordan Street North_2107_Town Park Apartments_Victoria</t>
  </si>
  <si>
    <t>Ben Jordan Street North_2107_Town Park Apartments_Victoria</t>
  </si>
  <si>
    <t>Ben Jordan Street North</t>
  </si>
  <si>
    <t>Town Park Apartments</t>
  </si>
  <si>
    <t>E:\PropInv\MF\Victoria\Victoria Station Drive_1701_Victoria Station Apartments_Victoria</t>
  </si>
  <si>
    <t>Victoria Station Drive_1701_Victoria Station Apartments_Victoria</t>
  </si>
  <si>
    <t>Victoria Station Drive</t>
  </si>
  <si>
    <t>Victoria Station Apartments</t>
  </si>
  <si>
    <t>E:\PropInv\MF\Waco\Westview Drive_700_700 Westview Drive_Waco</t>
  </si>
  <si>
    <t>Westview Drive_700_700 Westview Drive_Waco</t>
  </si>
  <si>
    <t>700 Westview Drive</t>
  </si>
  <si>
    <t>E:\PropInv\MF\Waco\Primrose Drive_1800_Arlington Farms_Waco</t>
  </si>
  <si>
    <t>Primrose Drive_1800_Arlington Farms_Waco</t>
  </si>
  <si>
    <t>Primrose Drive</t>
  </si>
  <si>
    <t>E:\PropInv\MF\Waco\Hawthorne Drive_5100_Asthon Oaks Apartments_Waco</t>
  </si>
  <si>
    <t>Hawthorne Drive_5100_Asthon Oaks Apartments_Waco</t>
  </si>
  <si>
    <t>Hawthorne Drive</t>
  </si>
  <si>
    <t>Asthon Oaks Apartments</t>
  </si>
  <si>
    <t>E:\PropInv\MF\Waco\Owen Lane_410_Baxter Crossing_Waco</t>
  </si>
  <si>
    <t>Owen Lane_410_Baxter Crossing_Waco</t>
  </si>
  <si>
    <t>Owen Lane</t>
  </si>
  <si>
    <t>E:\PropInv\MF\Waco\4th Street S_219_Behrens Lofts_Waco</t>
  </si>
  <si>
    <t>4th Street S_219_Behrens Lofts_Waco</t>
  </si>
  <si>
    <t>4th Street S</t>
  </si>
  <si>
    <t>E:\PropInv\MF\Waco\Brookview Drive West_3426_Brookview Hills Apartments_Waco</t>
  </si>
  <si>
    <t>Brookview Drive West_3426_Brookview Hills Apartments_Waco</t>
  </si>
  <si>
    <t>Brookview Drive West</t>
  </si>
  <si>
    <t>Brookview Hills Apartments</t>
  </si>
  <si>
    <t>E:\PropInv\MF\Waco\Owen Lane_416_Fleetwood Square_Waco</t>
  </si>
  <si>
    <t>Owen Lane_416_Fleetwood Square_Waco</t>
  </si>
  <si>
    <t>E:\PropInv\MF\Waco\Spring Street_1601_Former Pecan Gardens_Waco</t>
  </si>
  <si>
    <t>Spring Street_1601_Former Pecan Gardens_Waco</t>
  </si>
  <si>
    <t>Spring Street</t>
  </si>
  <si>
    <t>E:\PropInv\MF\Waco\Austin Ave_400_Former Regis_St. Elizabeth_Waco</t>
  </si>
  <si>
    <t>Austin Ave_400_Former Regis_St. Elizabeth_Waco</t>
  </si>
  <si>
    <t>E:\PropInv\MF\Waco\Hewiit Dive North_620_Four Seasons_Waco</t>
  </si>
  <si>
    <t>Hewiit Dive North_620_Four Seasons_Waco</t>
  </si>
  <si>
    <t>Hewiit Dive North</t>
  </si>
  <si>
    <t>E:\PropInv\MF\Waco\Daughtry Ave_1704_Legacy Point Condominiums_Waco</t>
  </si>
  <si>
    <t>Daughtry Ave_1704_Legacy Point Condominiums_Waco</t>
  </si>
  <si>
    <t>E:\PropInv\MF\Waco\Sanger Avenue_7301_Madeira Apartments_Waco</t>
  </si>
  <si>
    <t>Sanger Avenue_7301_Madeira Apartments_Waco</t>
  </si>
  <si>
    <t>Sanger Avenue</t>
  </si>
  <si>
    <t>Madeira Apartments</t>
  </si>
  <si>
    <t>E:\PropInv\MF\Waco\Hewitt Drive North_509_Meadow Park_Waco</t>
  </si>
  <si>
    <t>Hewitt Drive North_509_Meadow Park_Waco</t>
  </si>
  <si>
    <t>Hewitt Drive North</t>
  </si>
  <si>
    <t>E:\PropInv\MF\Waco\Hodde Drive_4722_Moderno Vivo Apartments_Waco</t>
  </si>
  <si>
    <t>Hodde Drive_4722_Moderno Vivo Apartments_Waco</t>
  </si>
  <si>
    <t>Hodde Drive</t>
  </si>
  <si>
    <t>Moderno Vivo Apartments</t>
  </si>
  <si>
    <t>E:\PropInv\MF\Waco\Rambler Drive_800_Oaktree Apartments_Waco</t>
  </si>
  <si>
    <t>Rambler Drive_800_Oaktree Apartments_Waco</t>
  </si>
  <si>
    <t>Rambler Drive</t>
  </si>
  <si>
    <t>Oaktree Apartments</t>
  </si>
  <si>
    <t>E:\PropInv\MF\Waco\Sanger Avenue_5101_Sandstone Apartments_Waco</t>
  </si>
  <si>
    <t>Sanger Avenue_5101_Sandstone Apartments_Waco</t>
  </si>
  <si>
    <t>Sandstone Apartments</t>
  </si>
  <si>
    <t>E:\PropInv\MF\Waco\Richter Street_1901_Southwind Apartments_Waco</t>
  </si>
  <si>
    <t>Richter Street_1901_Southwind Apartments_Waco</t>
  </si>
  <si>
    <t>Richter Street</t>
  </si>
  <si>
    <t>Southwind Apartments</t>
  </si>
  <si>
    <t>E:\PropInv\MF\Waco\Bagby Avenue_5210_The Residence At Central Texas Marketplace_Waco</t>
  </si>
  <si>
    <t>Bagby Avenue_5210_The Residence At Central Texas Marketplace_Waco</t>
  </si>
  <si>
    <t>Bagby Avenue</t>
  </si>
  <si>
    <t>The Residence At Central Texas Marketplace</t>
  </si>
  <si>
    <t>E:\PropInv\MF\Waco\China Spring Road_9900_The Riviera Apartments_Waco</t>
  </si>
  <si>
    <t>China Spring Road_9900_The Riviera Apartments_Waco</t>
  </si>
  <si>
    <t>China Spring Road</t>
  </si>
  <si>
    <t>The Riviera Apartments</t>
  </si>
  <si>
    <t>E:\PropInv\MF\Waco\Sanger Avenue_4801_Towne Oaks_Waco</t>
  </si>
  <si>
    <t>Sanger Avenue_4801_Towne Oaks_Waco</t>
  </si>
  <si>
    <t>E:\PropInv\MF\Waco\Neil Drive_728_Villa Victoria_Waco</t>
  </si>
  <si>
    <t>Neil Drive_728_Villa Victoria_Waco</t>
  </si>
  <si>
    <t>Neil Drive</t>
  </si>
  <si>
    <t>E:\PropInv\MF\Waco\Lake Shore Drive_4372_Waco Apartment Portfolio_Waco</t>
  </si>
  <si>
    <t>Lake Shore Drive_4372_Waco Apartment Portfolio_Waco</t>
  </si>
  <si>
    <t>Lake Shore Drive</t>
  </si>
  <si>
    <t>Waco Apartment Portfolio</t>
  </si>
  <si>
    <t>E:\PropInv\MF\Waco\Richland Drive_805_Waco Duplex Investment Package_Waco</t>
  </si>
  <si>
    <t>Richland Drive_805_Waco Duplex Investment Package_Waco</t>
  </si>
  <si>
    <t>Richland Drive</t>
  </si>
  <si>
    <t>E:\PropInv\MF\Waco\Western Oaks Drive_1500_Woodway Park Condominiums_Waco</t>
  </si>
  <si>
    <t>Western Oaks Drive_1500_Woodway Park Condominiums_Waco</t>
  </si>
  <si>
    <t>Western Oaks Drive</t>
  </si>
  <si>
    <t>E:\PropInv\MF\State_MD\Waldorf\Lake Drive_2482_Holly Tree_Waldorf</t>
  </si>
  <si>
    <t>Lake Drive_2482_Holly Tree_Waldorf</t>
  </si>
  <si>
    <t>Lake Drive</t>
  </si>
  <si>
    <t>E:\PropInv\MF\Waxahachie\Houston Street_501_65 Unit Garden Homes_Waxahachie</t>
  </si>
  <si>
    <t>Houston Street_501_65 Unit Garden Homes_Waxahachie</t>
  </si>
  <si>
    <t>65 Unit Garden Homes</t>
  </si>
  <si>
    <t>E:\PropInv\MF\Waxahachie\Azalea Trail_816_Azalea Trail Townhomes_Waxahachie</t>
  </si>
  <si>
    <t>Azalea Trail_816_Azalea Trail Townhomes_Waxahachie</t>
  </si>
  <si>
    <t>Azalea Trail</t>
  </si>
  <si>
    <t>Azalea Trail Townhomes</t>
  </si>
  <si>
    <t>E:\PropInv\MF\Waxahachie\Lakeside Drive_155_Blue Lake I &amp; II FSBO Principals Only_Waxahachie</t>
  </si>
  <si>
    <t>Lakeside Drive_155_Blue Lake I &amp; II FSBO Principals Only_Waxahachie</t>
  </si>
  <si>
    <t>Lakeside Drive</t>
  </si>
  <si>
    <t>Blue Lake I &amp; II FSBO Principals Only</t>
  </si>
  <si>
    <t>E:\PropInv\MF\Waxahachie\Rogers North_518_Colonial Manor_Waxahachie</t>
  </si>
  <si>
    <t>Rogers North_518_Colonial Manor_Waxahachie</t>
  </si>
  <si>
    <t>Rogers North</t>
  </si>
  <si>
    <t>E:\PropInv\MF\Waxahachie\Hibiscus Way_803_Hibiscus Court Townhomes_Waxahachie</t>
  </si>
  <si>
    <t>Hibiscus Way_803_Hibiscus Court Townhomes_Waxahachie</t>
  </si>
  <si>
    <t>Hibiscus Court Townhomes</t>
  </si>
  <si>
    <t>E:\PropInv\MF\Waxahachie\287 Bypass Highway West_1250_Hunter's Cove Apartments_Waxahachie</t>
  </si>
  <si>
    <t>287 Bypass Highway West_1250_Hunter's Cove Apartments_Waxahachie</t>
  </si>
  <si>
    <t>287 Bypass Highway West</t>
  </si>
  <si>
    <t>Hunter's Cove Apartments</t>
  </si>
  <si>
    <t>E:\PropInv\MF\Waxahachie\35 Interstate Highway South East_803_Knights Inn And Suites_Waxahachie</t>
  </si>
  <si>
    <t>35 Interstate Highway South East_803_Knights Inn And Suites_Waxahachie</t>
  </si>
  <si>
    <t>35 Interstate Highway South East</t>
  </si>
  <si>
    <t>Knights Inn And Suites</t>
  </si>
  <si>
    <t>E:\PropInv\MF\Waxahachie\Nandina Way_804_Nandina Way Town Homes_Waxahachie</t>
  </si>
  <si>
    <t>Nandina Way_804_Nandina Way Town Homes_Waxahachie</t>
  </si>
  <si>
    <t>Nandina Way Town Homes</t>
  </si>
  <si>
    <t>E:\PropInv\MF\Waxahachie\Brown Street_2200_The Bridgepoint Apartments_Waxahachie</t>
  </si>
  <si>
    <t>Brown Street_2200_The Bridgepoint Apartments_Waxahachie</t>
  </si>
  <si>
    <t>Brown Street</t>
  </si>
  <si>
    <t>The Bridgepoint Apartments</t>
  </si>
  <si>
    <t>E:\PropInv\MF\Weatherford\Vine Street_1011_1011 Vine Street Apartments_Weatherford</t>
  </si>
  <si>
    <t>Vine Street_1011_1011 Vine Street Apartments_Weatherford</t>
  </si>
  <si>
    <t>1011 Vine Street Apartments</t>
  </si>
  <si>
    <t>E:\PropInv\MF\Weatherford\Santa Fe Drive_1513_Country Oaks Apartments_Weatherford</t>
  </si>
  <si>
    <t>Santa Fe Drive_1513_Country Oaks Apartments_Weatherford</t>
  </si>
  <si>
    <t>Santa Fe Drive</t>
  </si>
  <si>
    <t>Country Oaks Apartments</t>
  </si>
  <si>
    <t>E:\PropInv\MF\Weatherford\Holland Lake Road_1650_Holland Lake Apartments_Weatherford</t>
  </si>
  <si>
    <t>Holland Lake Road_1650_Holland Lake Apartments_Weatherford</t>
  </si>
  <si>
    <t>Holland Lake Road</t>
  </si>
  <si>
    <t>Holland Lake Apartments</t>
  </si>
  <si>
    <t>E:\PropInv\MF\Weatherford\Holly Oaks Road_Holly Oaks Apartments_Weatherford</t>
  </si>
  <si>
    <t>Holly Oaks Road_Holly Oaks Apartments_Weatherford</t>
  </si>
  <si>
    <t>Holly Oaks Road</t>
  </si>
  <si>
    <t>Holly Oaks Apartments</t>
  </si>
  <si>
    <t>E:\PropInv\MF\Weatherford\Jameson Street_1121_Jameson Street Apartments_Weatherford</t>
  </si>
  <si>
    <t>Jameson Street_1121_Jameson Street Apartments_Weatherford</t>
  </si>
  <si>
    <t>Jameson Street</t>
  </si>
  <si>
    <t>Jameson Street Apartments</t>
  </si>
  <si>
    <t>E:\PropInv\MF\Weatherford\Marilyn Street_2216_Parker County Properties_Weatherford</t>
  </si>
  <si>
    <t>Marilyn Street_2216_Parker County Properties_Weatherford</t>
  </si>
  <si>
    <t>Marilyn Street</t>
  </si>
  <si>
    <t>E:\PropInv\MF\Weatherford\Sante Fe Drive_711_Santa Fe Apartments_Weatherford</t>
  </si>
  <si>
    <t>Sante Fe Drive_711_Santa Fe Apartments_Weatherford</t>
  </si>
  <si>
    <t>Sante Fe Drive</t>
  </si>
  <si>
    <t>E:\PropInv\MF\Weatherford\Tin Top Road_2024_Weatherford Town Center Senior Apartments_Weatherford</t>
  </si>
  <si>
    <t>Tin Top Road_2024_Weatherford Town Center Senior Apartments_Weatherford</t>
  </si>
  <si>
    <t>Tin Top Road</t>
  </si>
  <si>
    <t>Weatherford Town Center Senior Apartments</t>
  </si>
  <si>
    <t>E:\PropInv\MF\Webster\Nasa Parkway West_800_Baystone Apartments_Webster</t>
  </si>
  <si>
    <t>Nasa Parkway West_800_Baystone Apartments_Webster</t>
  </si>
  <si>
    <t>Nasa Parkway West</t>
  </si>
  <si>
    <t>Baystone Apartments</t>
  </si>
  <si>
    <t>E:\PropInv\MF\Webster\Galveston Road (Highway 3)_15240_Clear Lake Falls_Webster</t>
  </si>
  <si>
    <t>Galveston Road (Highway 3)_15240_Clear Lake Falls_Webster</t>
  </si>
  <si>
    <t>Galveston Road (Highway 3)</t>
  </si>
  <si>
    <t>Clear Lake Falls</t>
  </si>
  <si>
    <t>E:\PropInv\MF\Webster\528 FM Road_1799_The Gardens at Challenger Park_Webster</t>
  </si>
  <si>
    <t>528 FM Road_1799_The Gardens at Challenger Park_Webster</t>
  </si>
  <si>
    <t>528 FM Road</t>
  </si>
  <si>
    <t>E:\PropInv\MF\Wharton\Avenue F_2001_Greenbriar_Wharton</t>
  </si>
  <si>
    <t>Avenue F_2001_Greenbriar_Wharton</t>
  </si>
  <si>
    <t>E:\PropInv\MF\Wharton\Stadium Road_1823_Mill Creek_Wharton</t>
  </si>
  <si>
    <t>Stadium Road_1823_Mill Creek_Wharton</t>
  </si>
  <si>
    <t>Stadium Road</t>
  </si>
  <si>
    <t>E:\PropInv\MF\Wharton\Junior College Boulevard_2500_Portfolio Sale-Four Seperate Locations_Wharton</t>
  </si>
  <si>
    <t>Junior College Boulevard_2500_Portfolio Sale-Four Seperate Locations_Wharton</t>
  </si>
  <si>
    <t>Junior College Boulevard</t>
  </si>
  <si>
    <t>Portfolio Sale-Four Seperate Locations</t>
  </si>
  <si>
    <t>E:\PropInv\MF\White Settlement\Lariat Drive_714_714 Lariat Drive_White Settlement</t>
  </si>
  <si>
    <t>Lariat Drive_714_714 Lariat Drive_White Settlement</t>
  </si>
  <si>
    <t>Lariat Drive</t>
  </si>
  <si>
    <t>714 Lariat Drive</t>
  </si>
  <si>
    <t>E:\PropInv\MF\White Settlement\Cambridge Circle_8040_Fort Worth 4-Plex_White Settlement</t>
  </si>
  <si>
    <t>Cambridge Circle_8040_Fort Worth 4-Plex_White Settlement</t>
  </si>
  <si>
    <t>Cambridge Circle</t>
  </si>
  <si>
    <t>Fort Worth 4-Plex</t>
  </si>
  <si>
    <t>E:\PropInv\MF\Wichita Falls\Ridgeway Drive_1200_ 1200 Ridgeway_Wichita Falls</t>
  </si>
  <si>
    <t>Ridgeway Drive_1200_ 1200 Ridgeway_Wichita Falls</t>
  </si>
  <si>
    <t>Ridgeway Drive</t>
  </si>
  <si>
    <t xml:space="preserve"> 1200 Ridgeway</t>
  </si>
  <si>
    <t>E:\PropInv\MF\Wichita Falls\Trout Street_1520_Casa Manana_Wichita Falls</t>
  </si>
  <si>
    <t>Trout Street_1520_Casa Manana_Wichita Falls</t>
  </si>
  <si>
    <t>Trout Street</t>
  </si>
  <si>
    <t>E:\PropInv\MF\Wichita Falls\Cedar Elm_4201_French Quarter Apartments_Wichita Falls</t>
  </si>
  <si>
    <t>Cedar Elm_4201_French Quarter Apartments_Wichita Falls</t>
  </si>
  <si>
    <t>French Quarter Apartments</t>
  </si>
  <si>
    <t>E:\PropInv\MF\Wichita Falls\Nunneley Place_1510_Lincoln Heights Apartments_Wichita Falls</t>
  </si>
  <si>
    <t>Nunneley Place_1510_Lincoln Heights Apartments_Wichita Falls</t>
  </si>
  <si>
    <t>Lincoln Heights Apartments</t>
  </si>
  <si>
    <t>E:\PropInv\MF\Wichita Falls\Pearlie Drive_1701_Normandy Apartments_Wichita Falls</t>
  </si>
  <si>
    <t>Pearlie Drive_1701_Normandy Apartments_Wichita Falls</t>
  </si>
  <si>
    <t>Pearlie Drive</t>
  </si>
  <si>
    <t>Normandy Apartments</t>
  </si>
  <si>
    <t>E:\PropInv\MF\Wichita Falls\Central Freeway North_5601_Northpark Village Apartments_Wichita Falls</t>
  </si>
  <si>
    <t>Central Freeway North_5601_Northpark Village Apartments_Wichita Falls</t>
  </si>
  <si>
    <t>Central Freeway North</t>
  </si>
  <si>
    <t>Northpark Village Apartments</t>
  </si>
  <si>
    <t>E:\PropInv\MF\Wichita Falls\Brookdale Drive_4800_Parkway Villas_Wichita Falls</t>
  </si>
  <si>
    <t>Brookdale Drive_4800_Parkway Villas_Wichita Falls</t>
  </si>
  <si>
    <t>Brookdale Drive</t>
  </si>
  <si>
    <t>E:\PropInv\MF\Wichita Falls\Taft Boulevard_4709_Southern Oaks_Wichita Falls</t>
  </si>
  <si>
    <t>Taft Boulevard_4709_Southern Oaks_Wichita Falls</t>
  </si>
  <si>
    <t>Taft Boulevard</t>
  </si>
  <si>
    <t>E:\PropInv\MF\Wichita Falls\Southest Parkway_2612_The Elms_Wichita Falls</t>
  </si>
  <si>
    <t>Southest Parkway_2612_The Elms_Wichita Falls</t>
  </si>
  <si>
    <t>Southest Parkway</t>
  </si>
  <si>
    <t>E:\PropInv\MF\Wichita Falls\Barnett Road_3919_Wellington On The Lake_Wichita Falls</t>
  </si>
  <si>
    <t>Barnett Road_3919_Wellington On The Lake_Wichita Falls</t>
  </si>
  <si>
    <t>Barnett Road</t>
  </si>
  <si>
    <t>Wellington On The Lake</t>
  </si>
  <si>
    <t>E:\PropInv\MF\Wichita Falls\Johnson Road_4806_Westmoreland Park Apartments_Wichita Falls</t>
  </si>
  <si>
    <t>Johnson Road_4806_Westmoreland Park Apartments_Wichita Falls</t>
  </si>
  <si>
    <t>Johnson Road</t>
  </si>
  <si>
    <t>Westmoreland Park Apartments</t>
  </si>
  <si>
    <t>E:\PropInv\MF\Wichita Falls\Midwestern Parkway_1717_Wichita Falls Portfolio_Wichita Falls</t>
  </si>
  <si>
    <t>Midwestern Parkway_1717_Wichita Falls Portfolio_Wichita Falls</t>
  </si>
  <si>
    <t>Midwestern Parkway</t>
  </si>
  <si>
    <t>Wichita Falls Portfolio</t>
  </si>
  <si>
    <t>E:\PropInv\MF\Wilmer\Redbud Lane_301_8 Home Package_Wilmer</t>
  </si>
  <si>
    <t>Redbud Lane_301_8 Home Package_Wilmer</t>
  </si>
  <si>
    <t>Redbud Lane</t>
  </si>
  <si>
    <t>8 Home Package</t>
  </si>
  <si>
    <t>E:\PropInv\MF\State_FL\Winter Park\New Stonecastle Terrace_2015_Stonecastle_Winter Park</t>
  </si>
  <si>
    <t>New Stonecastle Terrace_2015_Stonecastle_Winter Park</t>
  </si>
  <si>
    <t>E:\PropInv\MF\Wylie\Trails Place_1_Trails Place Townhomes_Wylie</t>
  </si>
  <si>
    <t>Trails Place_1_Trails Place Townhomes_Wylie</t>
  </si>
  <si>
    <t>Trails Place</t>
  </si>
  <si>
    <t>Trails Place Townhomes</t>
  </si>
  <si>
    <t>E:\PropInv\MF\Wylie\Brown Street West_103_Wylie Sixplex_Wylie</t>
  </si>
  <si>
    <t>Brown Street West_103_Wylie Sixplex_Wylie</t>
  </si>
  <si>
    <t>Brown Street West</t>
  </si>
  <si>
    <t>Wylie Sixplex</t>
  </si>
  <si>
    <t>E:\PropInv\MF\State_AZ</t>
  </si>
  <si>
    <t>State_AZ</t>
  </si>
  <si>
    <t>State</t>
  </si>
  <si>
    <t>AZ</t>
  </si>
  <si>
    <t>E:\PropInv\MF\State_CA</t>
  </si>
  <si>
    <t>State_CA</t>
  </si>
  <si>
    <t>CA</t>
  </si>
  <si>
    <t>E:\PropInv\MF\State_CO</t>
  </si>
  <si>
    <t>State_CO</t>
  </si>
  <si>
    <t>CO</t>
  </si>
  <si>
    <t>E:\PropInv\MF\State_FL</t>
  </si>
  <si>
    <t>State_FL</t>
  </si>
  <si>
    <t>FL</t>
  </si>
  <si>
    <t>E:\PropInv\MF\State_MD</t>
  </si>
  <si>
    <t>State_MD</t>
  </si>
  <si>
    <t>MD</t>
  </si>
  <si>
    <t>E:\PropInv\MF\State_NV</t>
  </si>
  <si>
    <t>State_NV</t>
  </si>
  <si>
    <t>NV</t>
  </si>
  <si>
    <t>E:\PropInv\MF\State_OK</t>
  </si>
  <si>
    <t>State_OK</t>
  </si>
  <si>
    <t>OK</t>
  </si>
  <si>
    <t>E:\PropInv\MF\State_SC</t>
  </si>
  <si>
    <t>State_SC</t>
  </si>
  <si>
    <t>SC</t>
  </si>
  <si>
    <t>E:\PropInv\MF\State_VA</t>
  </si>
  <si>
    <t>State_VA</t>
  </si>
  <si>
    <t>VA</t>
  </si>
  <si>
    <t>E:\PropInv\MF\Abilene</t>
  </si>
  <si>
    <t>E:\PropInv\MF\Addison</t>
  </si>
  <si>
    <t>E:\PropInv\MF\Allen</t>
  </si>
  <si>
    <t>E:\PropInv\MF\Alvin</t>
  </si>
  <si>
    <t>E:\PropInv\MF\Amarillo</t>
  </si>
  <si>
    <t>E:\PropInv\MF\Angleton</t>
  </si>
  <si>
    <t>E:\PropInv\MF\Aransas Pass</t>
  </si>
  <si>
    <t>E:\PropInv\MF\Arlington</t>
  </si>
  <si>
    <t>E:\PropInv\MF\Euless\Del Paso Street_605_Bear Creek Apartment Homes_Euless\Pictures\AroundThis Property</t>
  </si>
  <si>
    <t>AroundThis Property</t>
  </si>
  <si>
    <t>E:\PropInv\MF\Athens</t>
  </si>
  <si>
    <t>E:\PropInv\MF\Atlanta</t>
  </si>
  <si>
    <t>E:\PropInv\MF\Aubrey</t>
  </si>
  <si>
    <t>E:\PropInv\MF\Austin</t>
  </si>
  <si>
    <t>E:\PropInv\MF\Azle</t>
  </si>
  <si>
    <t>E:\PropInv\MF\Balch Springs</t>
  </si>
  <si>
    <t>E:\PropInv\MF\Bay City</t>
  </si>
  <si>
    <t>E:\PropInv\MF\Baytown</t>
  </si>
  <si>
    <t>E:\PropInv\MF\Beaumont</t>
  </si>
  <si>
    <t>E:\PropInv\MF\Bedford</t>
  </si>
  <si>
    <t>E:\PropInv\MF\Beeville</t>
  </si>
  <si>
    <t>E:\PropInv\MF\Benbrook</t>
  </si>
  <si>
    <t>E:\PropInv\MF\Big Spring</t>
  </si>
  <si>
    <t>E:\PropInv\MF\Blossom</t>
  </si>
  <si>
    <t>E:\PropInv\MF\Brownsville</t>
  </si>
  <si>
    <t>E:\PropInv\MF\Brownwood</t>
  </si>
  <si>
    <t>E:\PropInv\MF\Bryan</t>
  </si>
  <si>
    <t>E:\PropInv\MF\Burleson</t>
  </si>
  <si>
    <t>E:\PropInv\MF\Canyon</t>
  </si>
  <si>
    <t>E:\PropInv\MF\Carrollton</t>
  </si>
  <si>
    <t>E:\PropInv\MF\Castroville</t>
  </si>
  <si>
    <t>E:\PropInv\MF\Cedar Hill</t>
  </si>
  <si>
    <t>E:\PropInv\MF\Cedar Park</t>
  </si>
  <si>
    <t>E:\PropInv\MF\Cleburne</t>
  </si>
  <si>
    <t>E:\PropInv\MF\Clute</t>
  </si>
  <si>
    <t>E:\PropInv\MF\College Station</t>
  </si>
  <si>
    <t>E:\PropInv\MF\Colorado City</t>
  </si>
  <si>
    <t>E:\PropInv\MF\State_SC\Columbia</t>
  </si>
  <si>
    <t>E:\PropInv\MF\Commerce</t>
  </si>
  <si>
    <t>E:\PropInv\MF\Conroe</t>
  </si>
  <si>
    <t>E:\PropInv\MF\Converse</t>
  </si>
  <si>
    <t>E:\PropInv\MF\Coppell</t>
  </si>
  <si>
    <t>E:\PropInv\MF\Corpus Christi</t>
  </si>
  <si>
    <t>E:\PropInv\MF\Crowley</t>
  </si>
  <si>
    <t>E:\PropInv\MF\Dallas</t>
  </si>
  <si>
    <t>E:\PropInv\MF\Dayton</t>
  </si>
  <si>
    <t>E:\PropInv\MF\Deer Park</t>
  </si>
  <si>
    <t>E:\PropInv\MF\Denison</t>
  </si>
  <si>
    <t>E:\PropInv\MF\Denton</t>
  </si>
  <si>
    <t>E:\PropInv\MF\DeSoto</t>
  </si>
  <si>
    <t>E:\PropInv\MF\Dickinson</t>
  </si>
  <si>
    <t>E:\PropInv\MF\Dumas</t>
  </si>
  <si>
    <t>E:\PropInv\MF\Duncanville</t>
  </si>
  <si>
    <t>E:\PropInv\MF\Eastland</t>
  </si>
  <si>
    <t>E:\PropInv\MF\Edna</t>
  </si>
  <si>
    <t>E:\PropInv\MF\El Paso</t>
  </si>
  <si>
    <t>E:\PropInv\MF\Ennis</t>
  </si>
  <si>
    <t>E:\PropInv\MF\Euless</t>
  </si>
  <si>
    <t>E:\PropInv\MF\Everman</t>
  </si>
  <si>
    <t>E:\PropInv\MF\Farmers Branch</t>
  </si>
  <si>
    <t>E:\PropInv\MF\Flower Mound</t>
  </si>
  <si>
    <t>E:\PropInv\MF\Fort Worth</t>
  </si>
  <si>
    <t>E:\PropInv\MF\Fredericksburg</t>
  </si>
  <si>
    <t>E:\PropInv\MF\Freeport</t>
  </si>
  <si>
    <t>E:\PropInv\MF\Friendswood</t>
  </si>
  <si>
    <t>E:\PropInv\MF\Frisco</t>
  </si>
  <si>
    <t>E:\PropInv\MF\Galveston</t>
  </si>
  <si>
    <t>E:\PropInv\MF\Garland</t>
  </si>
  <si>
    <t>E:\PropInv\MF\Georgetown</t>
  </si>
  <si>
    <t>E:\PropInv\MF\Glenn Heights</t>
  </si>
  <si>
    <t>E:\PropInv\MF\Granbury</t>
  </si>
  <si>
    <t>E:\PropInv\MF\Grand Prairie</t>
  </si>
  <si>
    <t>E:\PropInv\MF\Grapevine</t>
  </si>
  <si>
    <t>E:\PropInv\MF\Greenville</t>
  </si>
  <si>
    <t>E:\PropInv\MF\Groves</t>
  </si>
  <si>
    <t>E:\PropInv\MF\Haltom City</t>
  </si>
  <si>
    <t>E:\PropInv\MF\Harker Heights</t>
  </si>
  <si>
    <t>E:\PropInv\MF\Harlingen</t>
  </si>
  <si>
    <t>E:\PropInv\MF\Henderson</t>
  </si>
  <si>
    <t>E:\PropInv\MF\State_NV\Henderson</t>
  </si>
  <si>
    <t>E:\PropInv\MF\Houston</t>
  </si>
  <si>
    <t>E:\PropInv\MF\Hughes Springs</t>
  </si>
  <si>
    <t>E:\PropInv\MF\Humble</t>
  </si>
  <si>
    <t>E:\PropInv\MF\Huntsville</t>
  </si>
  <si>
    <t>E:\PropInv\MF\Hurst</t>
  </si>
  <si>
    <t>E:\PropInv\MF\Irving</t>
  </si>
  <si>
    <t>E:\PropInv\MF\Jacksonville</t>
  </si>
  <si>
    <t>E:\PropInv\MF\Katy</t>
  </si>
  <si>
    <t>E:\PropInv\MF\Kaufman</t>
  </si>
  <si>
    <t>E:\PropInv\MF\Keller</t>
  </si>
  <si>
    <t>E:\PropInv\MF\Kemp</t>
  </si>
  <si>
    <t>E:\PropInv\MF\Kerrville</t>
  </si>
  <si>
    <t>E:\PropInv\MF\Kilgore</t>
  </si>
  <si>
    <t>E:\PropInv\MF\Killeen</t>
  </si>
  <si>
    <t>E:\PropInv\MF\Kingsville</t>
  </si>
  <si>
    <t>E:\PropInv\MF\Krum</t>
  </si>
  <si>
    <t>E:\PropInv\MF\La Marque</t>
  </si>
  <si>
    <t>E:\PropInv\MF\Lake Dallas</t>
  </si>
  <si>
    <t>E:\PropInv\MF\Lake Jackson</t>
  </si>
  <si>
    <t>E:\PropInv\MF\Lancaster</t>
  </si>
  <si>
    <t>E:\PropInv\MF\Laredo</t>
  </si>
  <si>
    <t>E:\PropInv\MF\State_NV\Las Vegas</t>
  </si>
  <si>
    <t>E:\PropInv\MF\Lavon</t>
  </si>
  <si>
    <t>E:\PropInv\MF\League City</t>
  </si>
  <si>
    <t>E:\PropInv\MF\Lewisville</t>
  </si>
  <si>
    <t>E:\PropInv\MF\Little Elm</t>
  </si>
  <si>
    <t>E:\PropInv\MF\State_CO\Littleton</t>
  </si>
  <si>
    <t>E:\PropInv\MF\Longview</t>
  </si>
  <si>
    <t>E:\PropInv\MF\Lubbock</t>
  </si>
  <si>
    <t>E:\PropInv\MF\Lufkin</t>
  </si>
  <si>
    <t>E:\PropInv\MF\Mansfield</t>
  </si>
  <si>
    <t>E:\PropInv\MF\Marshall</t>
  </si>
  <si>
    <t>E:\PropInv\MF\McAllen</t>
  </si>
  <si>
    <t>E:\PropInv\MF\McKinney</t>
  </si>
  <si>
    <t>E:\PropInv\MF\Mesquite</t>
  </si>
  <si>
    <t>E:\PropInv\MF\Mexia</t>
  </si>
  <si>
    <t>E:\PropInv\MF</t>
  </si>
  <si>
    <t>MF</t>
  </si>
  <si>
    <t>E:\PropInv\MF\Midland</t>
  </si>
  <si>
    <t>E:\PropInv\MF\Midlothian</t>
  </si>
  <si>
    <t>E:\PropInv\MF\Mineral Wells</t>
  </si>
  <si>
    <t>E:\PropInv\MF\Mission</t>
  </si>
  <si>
    <t>E:\PropInv\MF\Missouri City</t>
  </si>
  <si>
    <t>E:\PropInv\MF\Nacogdoches</t>
  </si>
  <si>
    <t>E:\PropInv\MF\Nederland</t>
  </si>
  <si>
    <t>E:\PropInv\MF\New Braunfels</t>
  </si>
  <si>
    <t>E:\PropInv\MF\North Richland Hills</t>
  </si>
  <si>
    <t>E:\PropInv\MF\State_CO\Northglenn</t>
  </si>
  <si>
    <t>E:\PropInv\MF\Odessa</t>
  </si>
  <si>
    <t>E:\PropInv\MF\Orange</t>
  </si>
  <si>
    <t>E:\PropInv\MF\State_FL\Orlando</t>
  </si>
  <si>
    <t>E:\PropInv\MF\Palestine</t>
  </si>
  <si>
    <t>E:\PropInv\MF\State_CA\Palm Desert</t>
  </si>
  <si>
    <t>E:\PropInv\MF\Paris</t>
  </si>
  <si>
    <t>E:\PropInv\MF\Pasadena</t>
  </si>
  <si>
    <t>E:\PropInv\MF\Pearland</t>
  </si>
  <si>
    <t>E:\PropInv\MF\State_VA\Petersburg</t>
  </si>
  <si>
    <t>E:\PropInv\MF\Pflugerville</t>
  </si>
  <si>
    <t>E:\PropInv\MF\State_AZ\Phoenix</t>
  </si>
  <si>
    <t>E:\PropInv\MF\Euless\Del Paso Street_605_Bear Creek Apartment Homes_Euless\Pictures</t>
  </si>
  <si>
    <t>Pictures</t>
  </si>
  <si>
    <t>E:\PropInv\MF\Hurst\Hurst Boulevard East_450_Aspen Square Apartments_Hurst\Pictures Hurst and Irving April 2008</t>
  </si>
  <si>
    <t>Pictures Hurst and Irving April 2008</t>
  </si>
  <si>
    <t>E:\PropInv\MF\Plano</t>
  </si>
  <si>
    <t>E:\PropInv\MF\Port Arthur</t>
  </si>
  <si>
    <t>E:\PropInv\MF\Port Isabel</t>
  </si>
  <si>
    <t>E:\PropInv\MF\Port Neches</t>
  </si>
  <si>
    <t>E:\PropInv\MF\Porter</t>
  </si>
  <si>
    <t>E:\PropInv\MF\Portland</t>
  </si>
  <si>
    <t>E:\PropInv\MF\Princeton</t>
  </si>
  <si>
    <t>E:\PropInv\MF\Red Oak</t>
  </si>
  <si>
    <t>E:\PropInv\MF\Richardson</t>
  </si>
  <si>
    <t>E:\PropInv\MF\Richland Hills</t>
  </si>
  <si>
    <t>E:\PropInv\MF\Richmond</t>
  </si>
  <si>
    <t>E:\PropInv\MF\Richwood</t>
  </si>
  <si>
    <t>E:\PropInv\MF\River Oaks</t>
  </si>
  <si>
    <t>E:\PropInv\MF\Roanoke</t>
  </si>
  <si>
    <t>E:\PropInv\MF\Rockwall</t>
  </si>
  <si>
    <t>E:\PropInv\MF\Rosenberg</t>
  </si>
  <si>
    <t>E:\PropInv\MF\Round Rock</t>
  </si>
  <si>
    <t>E:\PropInv\MF\Rowlett</t>
  </si>
  <si>
    <t>E:\PropInv\MF\Sachse</t>
  </si>
  <si>
    <t>E:\PropInv\MF\Saginaw</t>
  </si>
  <si>
    <t>E:\PropInv\MF\San Angelo</t>
  </si>
  <si>
    <t>E:\PropInv\MF\San Antonio</t>
  </si>
  <si>
    <t>E:\PropInv\MF\San Marcos</t>
  </si>
  <si>
    <t>E:\PropInv\MF\Schertz</t>
  </si>
  <si>
    <t>E:\PropInv\MF\Seabrook</t>
  </si>
  <si>
    <t>E:\PropInv\MF\Seguin</t>
  </si>
  <si>
    <t>E:\PropInv\MF\Sherman</t>
  </si>
  <si>
    <t>E:\PropInv\MF\Snyder</t>
  </si>
  <si>
    <t>E:\PropInv\MF\Spring</t>
  </si>
  <si>
    <t>E:\PropInv\MF\Stafford</t>
  </si>
  <si>
    <t>E:\PropInv\MF\Stephenville</t>
  </si>
  <si>
    <t>E:\PropInv\MF\Sugar Land</t>
  </si>
  <si>
    <t>E:\PropInv\MF\Sulphur Springs</t>
  </si>
  <si>
    <t>E:\PropInv\MF\Sweeny</t>
  </si>
  <si>
    <t>E:\PropInv\MF\State_FL\Tampa</t>
  </si>
  <si>
    <t>E:\PropInv\MF\Taylor</t>
  </si>
  <si>
    <t>E:\PropInv\MF\Temple</t>
  </si>
  <si>
    <t>E:\PropInv\MF\Terrell</t>
  </si>
  <si>
    <t>E:\PropInv\MF\Texarkana</t>
  </si>
  <si>
    <t>E:\PropInv\MF\Texas City</t>
  </si>
  <si>
    <t>E:\PropInv\MF\The Woodlands</t>
  </si>
  <si>
    <t>E:\PropInv\MF\State_OK\Tulsa</t>
  </si>
  <si>
    <t>E:\PropInv\MF\Tyler</t>
  </si>
  <si>
    <t>E:\PropInv\MF\Universal City</t>
  </si>
  <si>
    <t>E:\PropInv\MF\Van Alstyne</t>
  </si>
  <si>
    <t>E:\PropInv\MF\Victoria</t>
  </si>
  <si>
    <t>E:\PropInv\MF\Waco</t>
  </si>
  <si>
    <t>E:\PropInv\MF\State_MD\Waldorf</t>
  </si>
  <si>
    <t>E:\PropInv\MF\Waxahachie</t>
  </si>
  <si>
    <t>E:\PropInv\MF\Weatherford</t>
  </si>
  <si>
    <t>E:\PropInv\MF\Webster</t>
  </si>
  <si>
    <t>E:\PropInv\MF\Wharton</t>
  </si>
  <si>
    <t>E:\PropInv\MF\White Settlement</t>
  </si>
  <si>
    <t>E:\PropInv\MF\Wichita Falls</t>
  </si>
  <si>
    <t>E:\PropInv\MF\Wilmer</t>
  </si>
  <si>
    <t>E:\PropInv\MF\State_FL\Winter Park</t>
  </si>
  <si>
    <t>E:\PropInv\MF\Wylie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</si>
  <si>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</si>
  <si>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</si>
  <si>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</si>
  <si>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</si>
  <si>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</si>
  <si>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</si>
  <si>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</si>
  <si>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</si>
  <si>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</si>
  <si>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</si>
  <si>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</si>
  <si>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</si>
  <si>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</si>
  <si>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</si>
  <si>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</si>
  <si>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</si>
  <si>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</si>
  <si>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</si>
  <si>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</si>
  <si>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</si>
  <si>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</si>
  <si>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</si>
  <si>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</si>
  <si>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</si>
  <si>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</si>
  <si>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</si>
  <si>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</si>
  <si>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</si>
  <si>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</si>
  <si>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</si>
  <si>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</si>
  <si>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</si>
  <si>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</si>
  <si>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</si>
  <si>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</si>
  <si>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</si>
  <si>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</si>
  <si>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</si>
  <si>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</si>
  <si>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</si>
  <si>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</si>
  <si>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</si>
  <si>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</si>
  <si>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</si>
  <si>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</si>
  <si>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</si>
  <si>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</si>
  <si>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</si>
  <si>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</si>
  <si>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</si>
  <si>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</si>
  <si>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</si>
  <si>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</si>
  <si>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</si>
  <si>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</si>
  <si>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</si>
  <si>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</si>
  <si>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</si>
  <si>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</si>
  <si>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</si>
  <si>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</si>
  <si>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</si>
  <si>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</si>
  <si>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</si>
  <si>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</si>
  <si>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</si>
  <si>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</si>
  <si>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</si>
  <si>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</si>
  <si>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</si>
  <si>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</si>
  <si>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</si>
  <si>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</si>
  <si>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</si>
  <si>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</si>
  <si>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</si>
  <si>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</si>
  <si>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</si>
  <si>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</si>
  <si>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</si>
  <si>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</si>
  <si>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</si>
  <si>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</si>
  <si>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</si>
  <si>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</si>
  <si>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</si>
  <si>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</si>
  <si>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</si>
  <si>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</si>
  <si>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</si>
  <si>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</si>
  <si>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</si>
  <si>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</si>
  <si>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</si>
  <si>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</si>
  <si>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</si>
  <si>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</si>
  <si>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</si>
  <si>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</si>
  <si>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</si>
  <si>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</si>
  <si>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</si>
  <si>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</si>
  <si>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</si>
  <si>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</si>
  <si>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</si>
  <si>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</si>
  <si>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</si>
  <si>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</si>
  <si>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</si>
  <si>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</si>
  <si>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</si>
  <si>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</si>
  <si>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</si>
  <si>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</si>
  <si>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</si>
  <si>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</si>
  <si>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</si>
  <si>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</si>
  <si>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</si>
  <si>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</si>
  <si>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</si>
  <si>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</si>
  <si>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</si>
  <si>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</si>
  <si>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</si>
  <si>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</si>
  <si>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</si>
  <si>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</si>
  <si>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</si>
  <si>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</si>
  <si>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</si>
  <si>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</si>
  <si>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</si>
  <si>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</si>
  <si>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</si>
  <si>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</si>
  <si>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</si>
  <si>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</si>
  <si>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</si>
  <si>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</si>
  <si>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</si>
  <si>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</si>
  <si>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</si>
  <si>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</si>
  <si>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</si>
  <si>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</si>
  <si>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</si>
  <si>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</si>
  <si>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</si>
  <si>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</si>
  <si>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</si>
  <si>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</si>
  <si>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</si>
  <si>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</si>
  <si>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</si>
  <si>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</si>
  <si>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</si>
  <si>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</si>
  <si>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</si>
  <si>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</si>
  <si>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</si>
  <si>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</si>
  <si>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</si>
  <si>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</si>
  <si>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</si>
  <si>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</si>
  <si>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</si>
  <si>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</si>
  <si>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</si>
  <si>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</si>
  <si>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</si>
  <si>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</si>
  <si>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</si>
  <si>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</si>
  <si>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</si>
  <si>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</si>
  <si>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</si>
  <si>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</si>
  <si>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</si>
  <si>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</si>
  <si>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</si>
  <si>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</si>
  <si>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</si>
  <si>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</si>
  <si>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</si>
  <si>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</si>
  <si>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</si>
  <si>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</si>
  <si>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</si>
  <si>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</si>
  <si>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</si>
  <si>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</si>
  <si>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</si>
  <si>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</si>
  <si>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</si>
  <si>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</si>
  <si>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</si>
  <si>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</si>
  <si>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</si>
  <si>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</si>
  <si>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</si>
  <si>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</si>
  <si>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</si>
  <si>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</si>
  <si>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</si>
  <si>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</si>
  <si>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</si>
  <si>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</si>
  <si>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</si>
  <si>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</si>
  <si>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</si>
  <si>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</si>
  <si>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</si>
  <si>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</si>
  <si>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</si>
  <si>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</si>
  <si>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</si>
  <si>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</si>
  <si>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</si>
  <si>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</si>
  <si>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</si>
  <si>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</si>
  <si>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</si>
  <si>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</si>
  <si>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</si>
  <si>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</si>
  <si>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</si>
  <si>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</si>
  <si>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</si>
  <si>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</si>
  <si>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</si>
  <si>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</si>
  <si>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</si>
  <si>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</si>
  <si>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</si>
  <si>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</si>
  <si>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</si>
  <si>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</si>
  <si>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</si>
  <si>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</si>
  <si>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</si>
  <si>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</si>
  <si>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</si>
  <si>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</si>
  <si>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</si>
  <si>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</si>
  <si>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</si>
  <si>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</si>
  <si>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</si>
  <si>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</si>
  <si>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</si>
  <si>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</si>
  <si>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</si>
  <si>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</si>
  <si>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</si>
  <si>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</si>
  <si>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</si>
  <si>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</si>
  <si>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</si>
  <si>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</si>
  <si>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</si>
  <si>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</si>
  <si>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</si>
  <si>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</si>
  <si>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</si>
  <si>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</si>
  <si>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</si>
  <si>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</si>
  <si>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</si>
  <si>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</si>
  <si>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</si>
  <si>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</si>
  <si>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</si>
  <si>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</si>
  <si>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</si>
  <si>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</si>
  <si>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</si>
  <si>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</si>
  <si>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</si>
  <si>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</si>
  <si>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</si>
  <si>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</si>
  <si>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</si>
  <si>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</si>
  <si>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</si>
  <si>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</si>
  <si>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</si>
  <si>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</si>
  <si>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</si>
  <si>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</si>
  <si>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</si>
  <si>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</si>
  <si>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</si>
  <si>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</si>
  <si>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</si>
  <si>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</si>
  <si>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</si>
  <si>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</si>
  <si>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</si>
  <si>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</si>
  <si>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</si>
  <si>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</si>
  <si>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</si>
  <si>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</si>
  <si>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</si>
  <si>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</si>
  <si>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</si>
  <si>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</si>
  <si>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</si>
  <si>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</si>
  <si>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</si>
  <si>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</si>
  <si>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</si>
  <si>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</si>
  <si>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</si>
  <si>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</si>
  <si>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</si>
  <si>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</si>
  <si>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</si>
  <si>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</si>
  <si>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</si>
  <si>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</si>
  <si>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</si>
  <si>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</si>
  <si>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</si>
  <si>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</si>
  <si>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</si>
  <si>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</si>
  <si>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</si>
  <si>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</si>
  <si>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</si>
  <si>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</si>
  <si>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</si>
  <si>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</si>
  <si>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</si>
  <si>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</si>
  <si>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</si>
  <si>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</si>
  <si>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</si>
  <si>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</si>
  <si>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</si>
  <si>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</si>
  <si>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</si>
  <si>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</si>
  <si>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</si>
  <si>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</si>
  <si>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</si>
  <si>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</si>
  <si>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</si>
  <si>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</si>
  <si>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</si>
  <si>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</si>
  <si>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</si>
  <si>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</si>
  <si>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</si>
  <si>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</si>
  <si>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</si>
  <si>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</si>
  <si>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</si>
  <si>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</si>
  <si>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</si>
  <si>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</si>
  <si>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</si>
  <si>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</si>
  <si>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</si>
  <si>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</si>
  <si>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</si>
  <si>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</si>
  <si>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</si>
  <si>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</si>
  <si>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</si>
  <si>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</si>
  <si>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</si>
  <si>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</si>
  <si>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</si>
  <si>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</si>
  <si>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</si>
  <si>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</si>
  <si>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</si>
  <si>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</si>
  <si>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</si>
  <si>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</si>
  <si>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</si>
  <si>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</si>
  <si>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</si>
  <si>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</si>
  <si>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</si>
  <si>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</si>
  <si>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</si>
  <si>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</si>
  <si>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</si>
  <si>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</si>
  <si>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</si>
  <si>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</si>
  <si>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</si>
  <si>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</si>
  <si>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</si>
  <si>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</si>
  <si>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</si>
  <si>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</si>
  <si>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</si>
  <si>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</si>
  <si>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</si>
  <si>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</si>
  <si>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</si>
  <si>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</si>
  <si>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</si>
  <si>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</si>
  <si>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</si>
  <si>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</si>
  <si>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</si>
  <si>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</si>
  <si>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</si>
  <si>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</si>
  <si>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</si>
  <si>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</si>
  <si>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</si>
  <si>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</si>
  <si>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</si>
  <si>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</si>
  <si>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</si>
  <si>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</si>
  <si>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</si>
  <si>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</si>
  <si>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</si>
  <si>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</si>
  <si>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</si>
  <si>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</si>
  <si>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</si>
  <si>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</si>
  <si>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</si>
  <si>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</si>
  <si>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</si>
  <si>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</si>
  <si>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</si>
  <si>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</si>
  <si>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</si>
  <si>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</si>
  <si>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</si>
  <si>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</si>
  <si>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</si>
  <si>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</si>
  <si>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</si>
  <si>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</si>
  <si>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</si>
  <si>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</si>
  <si>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</si>
  <si>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</si>
  <si>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</si>
  <si>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</si>
  <si>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</si>
  <si>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</si>
  <si>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</si>
  <si>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</si>
  <si>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</si>
  <si>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</si>
  <si>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</si>
  <si>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</si>
  <si>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</si>
  <si>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</si>
  <si>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</si>
  <si>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</si>
  <si>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</si>
  <si>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</si>
  <si>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</si>
  <si>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</si>
  <si>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</si>
  <si>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</si>
  <si>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</si>
  <si>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</si>
  <si>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</si>
  <si>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</si>
  <si>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</si>
  <si>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</si>
  <si>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</si>
  <si>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</si>
  <si>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</si>
  <si>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</si>
  <si>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</si>
  <si>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</si>
  <si>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</si>
  <si>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</si>
  <si>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</si>
  <si>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</si>
  <si>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</si>
  <si>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</si>
  <si>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</si>
  <si>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</si>
  <si>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</si>
  <si>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</si>
  <si>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</si>
  <si>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</si>
  <si>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</si>
  <si>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</si>
  <si>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</si>
  <si>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</si>
  <si>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</si>
  <si>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</si>
  <si>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</si>
  <si>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</si>
  <si>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</si>
  <si>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</si>
  <si>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</si>
  <si>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</si>
  <si>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</si>
  <si>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</si>
  <si>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</si>
  <si>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</si>
  <si>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</si>
  <si>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</si>
  <si>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</si>
  <si>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</si>
  <si>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</si>
  <si>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</si>
  <si>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</si>
  <si>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</si>
  <si>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</si>
  <si>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</si>
  <si>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</si>
  <si>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</si>
  <si>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</si>
  <si>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</si>
  <si>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</si>
  <si>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</si>
  <si>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</si>
  <si>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</si>
  <si>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</si>
  <si>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</si>
  <si>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</si>
  <si>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</si>
  <si>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</si>
  <si>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</si>
  <si>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</si>
  <si>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</si>
  <si>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</si>
  <si>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</si>
  <si>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</si>
  <si>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</si>
  <si>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</si>
  <si>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</si>
  <si>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</si>
  <si>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</si>
  <si>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</si>
  <si>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</si>
  <si>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</si>
  <si>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</si>
  <si>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</si>
  <si>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</si>
  <si>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</si>
  <si>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</si>
  <si>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</si>
  <si>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</si>
  <si>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</si>
  <si>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</si>
  <si>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</si>
  <si>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</si>
  <si>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</si>
  <si>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</si>
  <si>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</si>
  <si>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</si>
  <si>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</si>
  <si>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</si>
  <si>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</si>
  <si>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</si>
  <si>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</si>
  <si>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</si>
  <si>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</si>
  <si>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</si>
  <si>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</si>
  <si>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</si>
  <si>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</si>
  <si>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</si>
  <si>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</si>
  <si>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</si>
  <si>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</si>
  <si>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</si>
  <si>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</si>
  <si>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</si>
  <si>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</si>
  <si>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</si>
  <si>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</si>
  <si>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</si>
  <si>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</si>
  <si>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</si>
  <si>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</si>
  <si>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</si>
  <si>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</si>
  <si>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</si>
  <si>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</si>
  <si>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</si>
  <si>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</si>
  <si>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</si>
  <si>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</si>
  <si>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</si>
  <si>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</si>
  <si>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</si>
  <si>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</si>
  <si>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</si>
  <si>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</si>
  <si>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</si>
  <si>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</si>
  <si>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</si>
  <si>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</si>
  <si>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</si>
  <si>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</si>
  <si>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</si>
  <si>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</si>
  <si>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</si>
  <si>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</si>
  <si>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</si>
  <si>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</si>
  <si>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</si>
  <si>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</si>
  <si>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</si>
  <si>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</si>
  <si>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</si>
  <si>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</si>
  <si>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</si>
  <si>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</si>
  <si>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</si>
  <si>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</si>
  <si>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</si>
  <si>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</si>
  <si>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</si>
  <si>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</si>
  <si>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</si>
  <si>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</si>
  <si>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</si>
  <si>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</si>
  <si>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</si>
  <si>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</si>
  <si>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</si>
  <si>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</si>
  <si>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</si>
  <si>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</si>
  <si>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</si>
  <si>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</si>
  <si>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</si>
  <si>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</si>
  <si>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</si>
  <si>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</si>
  <si>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</si>
  <si>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</si>
  <si>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</si>
  <si>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</si>
  <si>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</si>
  <si>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</si>
  <si>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</si>
  <si>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</si>
  <si>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</si>
  <si>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</si>
  <si>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</si>
  <si>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</si>
  <si>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</si>
  <si>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</si>
  <si>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</si>
  <si>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</si>
  <si>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</si>
  <si>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</si>
  <si>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</si>
  <si>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</si>
  <si>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</si>
  <si>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</si>
  <si>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</si>
  <si>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</si>
  <si>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</si>
  <si>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</si>
  <si>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</si>
  <si>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</si>
  <si>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</si>
  <si>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</si>
  <si>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</si>
  <si>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</si>
  <si>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</si>
  <si>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</si>
  <si>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</si>
  <si>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</si>
  <si>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</si>
  <si>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</si>
  <si>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</si>
  <si>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</si>
  <si>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</si>
  <si>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</si>
  <si>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</si>
  <si>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</si>
  <si>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</si>
  <si>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</si>
  <si>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</si>
  <si>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</si>
  <si>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</si>
  <si>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</si>
  <si>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</si>
  <si>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</si>
  <si>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</si>
  <si>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</si>
  <si>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</si>
  <si>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</si>
  <si>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</si>
  <si>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</si>
  <si>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</si>
  <si>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</si>
  <si>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</si>
  <si>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</si>
  <si>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</si>
  <si>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</si>
  <si>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</si>
  <si>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</si>
  <si>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</si>
  <si>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</si>
  <si>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</si>
  <si>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</si>
  <si>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</si>
  <si>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</si>
  <si>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</si>
  <si>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</si>
  <si>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</si>
  <si>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</si>
  <si>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</si>
  <si>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</si>
  <si>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</si>
  <si>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</si>
  <si>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</si>
  <si>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</si>
  <si>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</si>
  <si>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</si>
  <si>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</si>
  <si>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</si>
  <si>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</si>
  <si>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</si>
  <si>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</si>
  <si>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</si>
  <si>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</si>
  <si>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</si>
  <si>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</si>
  <si>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</si>
  <si>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</si>
  <si>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</si>
  <si>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</si>
  <si>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</si>
  <si>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</si>
  <si>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</si>
  <si>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</si>
  <si>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</si>
  <si>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</si>
  <si>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</si>
  <si>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</si>
  <si>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</si>
  <si>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</si>
  <si>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</si>
  <si>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</si>
  <si>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</si>
  <si>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</si>
  <si>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</si>
  <si>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</si>
  <si>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</si>
  <si>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</si>
  <si>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</si>
  <si>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</si>
  <si>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</si>
  <si>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</si>
  <si>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</si>
  <si>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</si>
  <si>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</si>
  <si>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</si>
  <si>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</si>
  <si>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</si>
  <si>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</si>
  <si>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</si>
  <si>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</si>
  <si>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</si>
  <si>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</si>
  <si>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</si>
  <si>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</si>
  <si>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</si>
  <si>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</si>
  <si>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</si>
  <si>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</si>
  <si>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</si>
  <si>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</si>
  <si>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</si>
  <si>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</si>
  <si>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</si>
  <si>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</si>
  <si>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</si>
  <si>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</si>
  <si>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</si>
  <si>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</si>
  <si>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</si>
  <si>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</si>
  <si>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</si>
  <si>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</si>
  <si>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</si>
  <si>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</si>
  <si>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</si>
  <si>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</si>
  <si>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</si>
  <si>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</si>
  <si>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</si>
  <si>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</si>
  <si>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</si>
  <si>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</si>
  <si>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</si>
  <si>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</si>
  <si>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</si>
  <si>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</si>
  <si>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</si>
  <si>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</si>
  <si>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</si>
  <si>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</si>
  <si>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</si>
  <si>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</si>
  <si>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</si>
  <si>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</si>
  <si>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</si>
  <si>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</si>
  <si>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</si>
  <si>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</si>
  <si>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</si>
  <si>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</si>
  <si>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</si>
  <si>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</si>
  <si>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</si>
  <si>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</si>
  <si>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</si>
  <si>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</si>
  <si>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</si>
  <si>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</si>
  <si>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</si>
  <si>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</si>
  <si>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</si>
  <si>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</si>
  <si>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</si>
  <si>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</si>
  <si>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</si>
  <si>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</si>
  <si>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</si>
  <si>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</si>
  <si>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</si>
  <si>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</si>
  <si>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</si>
  <si>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</si>
  <si>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</si>
  <si>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</si>
  <si>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</si>
  <si>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</si>
  <si>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</si>
  <si>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</si>
  <si>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</si>
  <si>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</si>
  <si>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</si>
  <si>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</si>
  <si>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</si>
  <si>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</si>
  <si>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</si>
  <si>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</si>
  <si>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</si>
  <si>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</si>
  <si>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</si>
  <si>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</si>
  <si>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</si>
  <si>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</si>
  <si>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</si>
  <si>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</si>
  <si>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</si>
  <si>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</si>
  <si>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</si>
  <si>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</si>
  <si>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</si>
  <si>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</si>
  <si>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</si>
  <si>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</si>
  <si>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</si>
  <si>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</si>
  <si>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</si>
  <si>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</si>
  <si>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</si>
  <si>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</si>
  <si>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</si>
  <si>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</si>
  <si>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</si>
  <si>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</si>
  <si>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</si>
  <si>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</si>
  <si>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</si>
  <si>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</si>
  <si>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</si>
  <si>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</si>
  <si>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</si>
  <si>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</si>
  <si>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</si>
  <si>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</si>
  <si>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</si>
  <si>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</si>
  <si>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</si>
  <si>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</si>
  <si>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</si>
  <si>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</si>
  <si>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</si>
  <si>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</si>
  <si>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</si>
  <si>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</si>
  <si>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</si>
  <si>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</si>
  <si>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</si>
  <si>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</si>
  <si>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</si>
  <si>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</si>
  <si>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</si>
  <si>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</si>
  <si>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</si>
  <si>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</si>
  <si>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</si>
  <si>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</si>
  <si>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</si>
  <si>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</si>
  <si>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</si>
  <si>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</si>
  <si>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</si>
  <si>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</si>
  <si>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</si>
  <si>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</si>
  <si>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</si>
  <si>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</si>
  <si>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</si>
  <si>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</si>
  <si>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</si>
  <si>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</si>
  <si>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</si>
  <si>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</si>
  <si>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</si>
  <si>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</si>
  <si>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</si>
  <si>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</si>
  <si>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</si>
  <si>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</si>
  <si>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</si>
  <si>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</si>
  <si>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</si>
  <si>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</si>
  <si>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</si>
  <si>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</si>
  <si>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</si>
  <si>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</si>
  <si>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</si>
  <si>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</si>
  <si>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</si>
  <si>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</si>
  <si>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</si>
  <si>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</si>
  <si>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</si>
  <si>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</si>
  <si>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</si>
  <si>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</si>
  <si>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</si>
  <si>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</si>
  <si>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</si>
  <si>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</si>
  <si>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</si>
  <si>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</si>
  <si>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</si>
  <si>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</si>
  <si>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</si>
  <si>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</si>
  <si>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</si>
  <si>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</si>
  <si>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</si>
  <si>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</si>
  <si>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</si>
  <si>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</si>
  <si>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</si>
  <si>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</si>
  <si>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</si>
  <si>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</si>
  <si>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</si>
  <si>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</si>
  <si>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</si>
  <si>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</si>
  <si>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</si>
  <si>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</si>
  <si>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</si>
  <si>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</si>
  <si>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</si>
  <si>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</si>
  <si>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</si>
  <si>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</si>
  <si>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</si>
  <si>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</si>
  <si>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</si>
  <si>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</si>
  <si>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</si>
  <si>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</si>
  <si>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</si>
  <si>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</si>
  <si>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</si>
  <si>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</si>
  <si>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</si>
  <si>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</si>
  <si>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</si>
  <si>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</si>
  <si>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</si>
  <si>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</si>
  <si>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</si>
  <si>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</si>
  <si>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</si>
  <si>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</si>
  <si>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</si>
  <si>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</si>
  <si>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</si>
  <si>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</si>
  <si>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</si>
  <si>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</si>
  <si>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</si>
  <si>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</si>
  <si>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</si>
  <si>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</si>
  <si>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</si>
  <si>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</si>
  <si>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</si>
  <si>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</si>
  <si>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</si>
  <si>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</si>
  <si>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</si>
  <si>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</si>
  <si>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</si>
  <si>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</si>
  <si>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</si>
  <si>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</si>
  <si>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</si>
  <si>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</si>
  <si>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</si>
  <si>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</si>
  <si>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</si>
  <si>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</si>
  <si>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</si>
  <si>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</si>
  <si>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</si>
  <si>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</si>
  <si>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</si>
  <si>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</si>
  <si>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</si>
  <si>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</si>
  <si>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</si>
  <si>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</si>
  <si>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</si>
  <si>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</si>
  <si>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</si>
  <si>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</si>
  <si>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</si>
  <si>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</si>
  <si>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</si>
  <si>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</si>
  <si>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</si>
  <si>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</si>
  <si>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</si>
  <si>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</si>
  <si>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</si>
  <si>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</si>
  <si>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</si>
  <si>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</si>
  <si>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</si>
  <si>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</si>
  <si>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</si>
  <si>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</si>
  <si>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</si>
  <si>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</si>
  <si>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</si>
  <si>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</si>
  <si>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</si>
  <si>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</si>
  <si>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</si>
  <si>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</si>
  <si>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</si>
  <si>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</si>
  <si>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</si>
  <si>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</si>
  <si>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</si>
  <si>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</si>
  <si>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</si>
  <si>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</si>
  <si>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</si>
  <si>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</si>
  <si>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</si>
  <si>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</si>
  <si>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</si>
  <si>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</si>
  <si>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</si>
  <si>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</si>
  <si>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</si>
  <si>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</si>
  <si>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</si>
  <si>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</si>
  <si>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</si>
  <si>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</si>
  <si>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</si>
  <si>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</si>
  <si>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</si>
  <si>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</si>
  <si>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</si>
  <si>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</si>
  <si>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</si>
  <si>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</si>
  <si>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</si>
  <si>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</si>
  <si>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</si>
  <si>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</si>
  <si>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</si>
  <si>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</si>
  <si>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</si>
  <si>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</si>
  <si>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</si>
  <si>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</si>
  <si>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</si>
  <si>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</si>
  <si>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</si>
  <si>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</si>
  <si>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</si>
  <si>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</si>
  <si>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</si>
  <si>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</si>
  <si>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A1121</t>
  </si>
  <si>
    <t>A1122</t>
  </si>
  <si>
    <t>A1123</t>
  </si>
  <si>
    <t>A1124</t>
  </si>
  <si>
    <t>A1125</t>
  </si>
  <si>
    <t>A1126</t>
  </si>
  <si>
    <t>A1127</t>
  </si>
  <si>
    <t>A1128</t>
  </si>
  <si>
    <t>A1129</t>
  </si>
  <si>
    <t>A1130</t>
  </si>
  <si>
    <t>A1131</t>
  </si>
  <si>
    <t>A1132</t>
  </si>
  <si>
    <t>A1133</t>
  </si>
  <si>
    <t>A1134</t>
  </si>
  <si>
    <t>A1135</t>
  </si>
  <si>
    <t>A1136</t>
  </si>
  <si>
    <t>A1137</t>
  </si>
  <si>
    <t>A1138</t>
  </si>
  <si>
    <t>A1139</t>
  </si>
  <si>
    <t>A1140</t>
  </si>
  <si>
    <t>A1141</t>
  </si>
  <si>
    <t>A1142</t>
  </si>
  <si>
    <t>A1143</t>
  </si>
  <si>
    <t>A1144</t>
  </si>
  <si>
    <t>A1145</t>
  </si>
  <si>
    <t>A1146</t>
  </si>
  <si>
    <t>A1147</t>
  </si>
  <si>
    <t>A1148</t>
  </si>
  <si>
    <t>A1149</t>
  </si>
  <si>
    <t>A1150</t>
  </si>
  <si>
    <t>A1151</t>
  </si>
  <si>
    <t>A1152</t>
  </si>
  <si>
    <t>A1153</t>
  </si>
  <si>
    <t>A1154</t>
  </si>
  <si>
    <t>A1155</t>
  </si>
  <si>
    <t>A1156</t>
  </si>
  <si>
    <t>A1157</t>
  </si>
  <si>
    <t>A1158</t>
  </si>
  <si>
    <t>A1159</t>
  </si>
  <si>
    <t>A1160</t>
  </si>
  <si>
    <t>A1161</t>
  </si>
  <si>
    <t>A1162</t>
  </si>
  <si>
    <t>A1163</t>
  </si>
  <si>
    <t>A1164</t>
  </si>
  <si>
    <t>A1165</t>
  </si>
  <si>
    <t>A1166</t>
  </si>
  <si>
    <t>A1167</t>
  </si>
  <si>
    <t>A1168</t>
  </si>
  <si>
    <t>A1169</t>
  </si>
  <si>
    <t>A1170</t>
  </si>
  <si>
    <t>A1171</t>
  </si>
  <si>
    <t>A1172</t>
  </si>
  <si>
    <t>A1173</t>
  </si>
  <si>
    <t>A1174</t>
  </si>
  <si>
    <t>A1175</t>
  </si>
  <si>
    <t>A1176</t>
  </si>
  <si>
    <t>A1177</t>
  </si>
  <si>
    <t>A1178</t>
  </si>
  <si>
    <t>A1179</t>
  </si>
  <si>
    <t>A1180</t>
  </si>
  <si>
    <t>A1181</t>
  </si>
  <si>
    <t>A1182</t>
  </si>
  <si>
    <t>A1183</t>
  </si>
  <si>
    <t>A1184</t>
  </si>
  <si>
    <t>A1185</t>
  </si>
  <si>
    <t>A1186</t>
  </si>
  <si>
    <t>A1187</t>
  </si>
  <si>
    <t>A1188</t>
  </si>
  <si>
    <t>A1189</t>
  </si>
  <si>
    <t>A1190</t>
  </si>
  <si>
    <t>A1191</t>
  </si>
  <si>
    <t>A1192</t>
  </si>
  <si>
    <t>A1193</t>
  </si>
  <si>
    <t>A1194</t>
  </si>
  <si>
    <t>A1195</t>
  </si>
  <si>
    <t>A1196</t>
  </si>
  <si>
    <t>A1197</t>
  </si>
  <si>
    <t>A1198</t>
  </si>
  <si>
    <t>A1199</t>
  </si>
  <si>
    <t>A1200</t>
  </si>
  <si>
    <t>A1201</t>
  </si>
  <si>
    <t>A1202</t>
  </si>
  <si>
    <t>A1203</t>
  </si>
  <si>
    <t>A1204</t>
  </si>
  <si>
    <t>A1205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</si>
  <si>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</si>
  <si>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</si>
  <si>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</si>
  <si>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</si>
  <si>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</si>
  <si>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</si>
  <si>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</si>
  <si>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</si>
  <si>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</si>
  <si>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</si>
  <si>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A1216</t>
  </si>
  <si>
    <t>A1217</t>
  </si>
  <si>
    <t>A1218</t>
  </si>
  <si>
    <t>A1219</t>
  </si>
  <si>
    <t>A1220</t>
  </si>
  <si>
    <t>A1221</t>
  </si>
  <si>
    <t>A1222</t>
  </si>
  <si>
    <t>A1223</t>
  </si>
  <si>
    <t>A1224</t>
  </si>
  <si>
    <t>A1225</t>
  </si>
  <si>
    <t>A1226</t>
  </si>
  <si>
    <t>A1227</t>
  </si>
  <si>
    <t>A1228</t>
  </si>
  <si>
    <t>A1229</t>
  </si>
  <si>
    <t>A1230</t>
  </si>
  <si>
    <t>A1231</t>
  </si>
  <si>
    <t>A1232</t>
  </si>
  <si>
    <t>A1233</t>
  </si>
  <si>
    <t>A1234</t>
  </si>
  <si>
    <t>A1235</t>
  </si>
  <si>
    <t>A1236</t>
  </si>
  <si>
    <t>A1237</t>
  </si>
  <si>
    <t>A1238</t>
  </si>
  <si>
    <t>A1239</t>
  </si>
  <si>
    <t>A1240</t>
  </si>
  <si>
    <t>A1241</t>
  </si>
  <si>
    <t>A1242</t>
  </si>
  <si>
    <t>A1243</t>
  </si>
  <si>
    <t>A1244</t>
  </si>
  <si>
    <t>A1245</t>
  </si>
  <si>
    <t>A1246</t>
  </si>
  <si>
    <t>A1247</t>
  </si>
  <si>
    <t>A1248</t>
  </si>
  <si>
    <t>A1249</t>
  </si>
  <si>
    <t>A1250</t>
  </si>
  <si>
    <t>A1251</t>
  </si>
  <si>
    <t>A1252</t>
  </si>
  <si>
    <t>A1253</t>
  </si>
  <si>
    <t>A1254</t>
  </si>
  <si>
    <t>A1255</t>
  </si>
  <si>
    <t>A1256</t>
  </si>
  <si>
    <t>A1257</t>
  </si>
  <si>
    <t>A1258</t>
  </si>
  <si>
    <t>A1259</t>
  </si>
  <si>
    <t>A1260</t>
  </si>
  <si>
    <t>A1261</t>
  </si>
  <si>
    <t>A1262</t>
  </si>
  <si>
    <t>A1263</t>
  </si>
  <si>
    <t>A1264</t>
  </si>
  <si>
    <t>A1265</t>
  </si>
  <si>
    <t>A1266</t>
  </si>
  <si>
    <t>A1267</t>
  </si>
  <si>
    <t>A1268</t>
  </si>
  <si>
    <t>A1269</t>
  </si>
  <si>
    <t>A1270</t>
  </si>
  <si>
    <t>A1271</t>
  </si>
  <si>
    <t>A1272</t>
  </si>
  <si>
    <t>A1273</t>
  </si>
  <si>
    <t>A1274</t>
  </si>
  <si>
    <t>A1275</t>
  </si>
  <si>
    <t>A1276</t>
  </si>
  <si>
    <t>A1277</t>
  </si>
  <si>
    <t>A1278</t>
  </si>
  <si>
    <t>A1279</t>
  </si>
  <si>
    <t>A1280</t>
  </si>
  <si>
    <t>A1281</t>
  </si>
  <si>
    <t>A1282</t>
  </si>
  <si>
    <t>A1283</t>
  </si>
  <si>
    <t>A1284</t>
  </si>
  <si>
    <t>A1285</t>
  </si>
  <si>
    <t>A1286</t>
  </si>
  <si>
    <t>A1287</t>
  </si>
  <si>
    <t>A1288</t>
  </si>
  <si>
    <t>A1289</t>
  </si>
  <si>
    <t>A1290</t>
  </si>
  <si>
    <t>A1291</t>
  </si>
  <si>
    <t>A1292</t>
  </si>
  <si>
    <t>A1293</t>
  </si>
  <si>
    <t>A1294</t>
  </si>
  <si>
    <t>A1295</t>
  </si>
  <si>
    <t>A1296</t>
  </si>
  <si>
    <t>A1297</t>
  </si>
  <si>
    <t>A1298</t>
  </si>
  <si>
    <t>A1299</t>
  </si>
  <si>
    <t>A1300</t>
  </si>
  <si>
    <t>A1301</t>
  </si>
  <si>
    <t>A1302</t>
  </si>
  <si>
    <t>A1303</t>
  </si>
  <si>
    <t>A1304</t>
  </si>
  <si>
    <t>A1305</t>
  </si>
  <si>
    <t>A1306</t>
  </si>
  <si>
    <t>A1307</t>
  </si>
  <si>
    <t>A1308</t>
  </si>
  <si>
    <t>A1309</t>
  </si>
  <si>
    <t>A1310</t>
  </si>
  <si>
    <t>A1311</t>
  </si>
  <si>
    <t>A1312</t>
  </si>
  <si>
    <t>A1313</t>
  </si>
  <si>
    <t>A1314</t>
  </si>
  <si>
    <t>A1315</t>
  </si>
  <si>
    <t>A1316</t>
  </si>
  <si>
    <t>A1317</t>
  </si>
  <si>
    <t>A1318</t>
  </si>
  <si>
    <t>A1319</t>
  </si>
  <si>
    <t>A1320</t>
  </si>
  <si>
    <t>A1321</t>
  </si>
  <si>
    <t>A1322</t>
  </si>
  <si>
    <t>A1323</t>
  </si>
  <si>
    <t>A1324</t>
  </si>
  <si>
    <t>A1325</t>
  </si>
  <si>
    <t>A1326</t>
  </si>
  <si>
    <t>A1327</t>
  </si>
  <si>
    <t>A1328</t>
  </si>
  <si>
    <t>A1329</t>
  </si>
  <si>
    <t>A1330</t>
  </si>
  <si>
    <t>A1331</t>
  </si>
  <si>
    <t>A1332</t>
  </si>
  <si>
    <t>A1333</t>
  </si>
  <si>
    <t>A1334</t>
  </si>
  <si>
    <t>A1335</t>
  </si>
  <si>
    <t>A1336</t>
  </si>
  <si>
    <t>A1337</t>
  </si>
  <si>
    <t>A1338</t>
  </si>
  <si>
    <t>A1339</t>
  </si>
  <si>
    <t>A1340</t>
  </si>
  <si>
    <t>A1341</t>
  </si>
  <si>
    <t>A1342</t>
  </si>
  <si>
    <t>A1343</t>
  </si>
  <si>
    <t>A1344</t>
  </si>
  <si>
    <t>A1345</t>
  </si>
  <si>
    <t>A1346</t>
  </si>
  <si>
    <t>A1347</t>
  </si>
  <si>
    <t>A1348</t>
  </si>
  <si>
    <t>A1349</t>
  </si>
  <si>
    <t>A1350</t>
  </si>
  <si>
    <t>A1351</t>
  </si>
  <si>
    <t>A1352</t>
  </si>
  <si>
    <t>A1353</t>
  </si>
  <si>
    <t>A1354</t>
  </si>
  <si>
    <t>A1355</t>
  </si>
  <si>
    <t>A1356</t>
  </si>
  <si>
    <t>A1357</t>
  </si>
  <si>
    <t>A1358</t>
  </si>
  <si>
    <t>A1359</t>
  </si>
  <si>
    <t>A1360</t>
  </si>
  <si>
    <t>A1361</t>
  </si>
  <si>
    <t>A1362</t>
  </si>
  <si>
    <t>A1363</t>
  </si>
  <si>
    <t>A1364</t>
  </si>
  <si>
    <t>A1365</t>
  </si>
  <si>
    <t>A1366</t>
  </si>
  <si>
    <t>A1367</t>
  </si>
  <si>
    <t>A1368</t>
  </si>
  <si>
    <t>A1369</t>
  </si>
  <si>
    <t>A1370</t>
  </si>
  <si>
    <t>A1371</t>
  </si>
  <si>
    <t>A1372</t>
  </si>
  <si>
    <t>A1373</t>
  </si>
  <si>
    <t>A1374</t>
  </si>
  <si>
    <t>A1375</t>
  </si>
  <si>
    <t>A1376</t>
  </si>
  <si>
    <t>A1377</t>
  </si>
  <si>
    <t>A1378</t>
  </si>
  <si>
    <t>A1379</t>
  </si>
  <si>
    <t>A1380</t>
  </si>
  <si>
    <t>A1381</t>
  </si>
  <si>
    <t>A1382</t>
  </si>
  <si>
    <t>A1383</t>
  </si>
  <si>
    <t>A1384</t>
  </si>
  <si>
    <t>A1385</t>
  </si>
  <si>
    <t>A1386</t>
  </si>
  <si>
    <t>A1387</t>
  </si>
  <si>
    <t>A1388</t>
  </si>
  <si>
    <t>A1389</t>
  </si>
  <si>
    <t>A1390</t>
  </si>
  <si>
    <t>A1391</t>
  </si>
  <si>
    <t>A1392</t>
  </si>
  <si>
    <t>A1393</t>
  </si>
  <si>
    <t>A1394</t>
  </si>
  <si>
    <t>A1395</t>
  </si>
  <si>
    <t>A1396</t>
  </si>
  <si>
    <t>A1397</t>
  </si>
  <si>
    <t>A1398</t>
  </si>
  <si>
    <t>A1399</t>
  </si>
  <si>
    <t>A1400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</si>
  <si>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</si>
  <si>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</si>
  <si>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</si>
  <si>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</si>
  <si>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</si>
  <si>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</si>
  <si>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</si>
  <si>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</si>
  <si>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</si>
  <si>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</si>
  <si>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</si>
  <si>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</si>
  <si>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A1413</t>
  </si>
  <si>
    <t>A1414</t>
  </si>
  <si>
    <t>A1415</t>
  </si>
  <si>
    <t>A1416</t>
  </si>
  <si>
    <t>A1417</t>
  </si>
  <si>
    <t>A1418</t>
  </si>
  <si>
    <t>A1419</t>
  </si>
  <si>
    <t>A1420</t>
  </si>
  <si>
    <t>A1421</t>
  </si>
  <si>
    <t>A1422</t>
  </si>
  <si>
    <t>A1423</t>
  </si>
  <si>
    <t>A1424</t>
  </si>
  <si>
    <t>A1425</t>
  </si>
  <si>
    <t>A1426</t>
  </si>
  <si>
    <t>A1427</t>
  </si>
  <si>
    <t>A1428</t>
  </si>
  <si>
    <t>A1429</t>
  </si>
  <si>
    <t>A1430</t>
  </si>
  <si>
    <t>A1431</t>
  </si>
  <si>
    <t>A1432</t>
  </si>
  <si>
    <t>A1433</t>
  </si>
  <si>
    <t>A1434</t>
  </si>
  <si>
    <t>A1435</t>
  </si>
  <si>
    <t>A1436</t>
  </si>
  <si>
    <t>A1437</t>
  </si>
  <si>
    <t>A1438</t>
  </si>
  <si>
    <t>A1439</t>
  </si>
  <si>
    <t>A1440</t>
  </si>
  <si>
    <t>A1441</t>
  </si>
  <si>
    <t>A1442</t>
  </si>
  <si>
    <t>A1443</t>
  </si>
  <si>
    <t>A1444</t>
  </si>
  <si>
    <t>A1445</t>
  </si>
  <si>
    <t>A1446</t>
  </si>
  <si>
    <t>A1447</t>
  </si>
  <si>
    <t>A1448</t>
  </si>
  <si>
    <t>A1449</t>
  </si>
  <si>
    <t>A1450</t>
  </si>
  <si>
    <t>A1451</t>
  </si>
  <si>
    <t>A1452</t>
  </si>
  <si>
    <t>A1453</t>
  </si>
  <si>
    <t>A1454</t>
  </si>
  <si>
    <t>A1455</t>
  </si>
  <si>
    <t>A1456</t>
  </si>
  <si>
    <t>A1457</t>
  </si>
  <si>
    <t>A1458</t>
  </si>
  <si>
    <t>A1459</t>
  </si>
  <si>
    <t>A1460</t>
  </si>
  <si>
    <t>A1461</t>
  </si>
  <si>
    <t>A1462</t>
  </si>
  <si>
    <t>A1463</t>
  </si>
  <si>
    <t>A1464</t>
  </si>
  <si>
    <t>A1465</t>
  </si>
  <si>
    <t>A1466</t>
  </si>
  <si>
    <t>A1467</t>
  </si>
  <si>
    <t>A1468</t>
  </si>
  <si>
    <t>A1469</t>
  </si>
  <si>
    <t>A1470</t>
  </si>
  <si>
    <t>A1471</t>
  </si>
  <si>
    <t>A1472</t>
  </si>
  <si>
    <t>A1473</t>
  </si>
  <si>
    <t>A1474</t>
  </si>
  <si>
    <t>A1475</t>
  </si>
  <si>
    <t>A1476</t>
  </si>
  <si>
    <t>A1477</t>
  </si>
  <si>
    <t>A1478</t>
  </si>
  <si>
    <t>A1479</t>
  </si>
  <si>
    <t>A1480</t>
  </si>
  <si>
    <t>A1481</t>
  </si>
  <si>
    <t>A1482</t>
  </si>
  <si>
    <t>A1483</t>
  </si>
  <si>
    <t>A1484</t>
  </si>
  <si>
    <t>A1485</t>
  </si>
  <si>
    <t>A1486</t>
  </si>
  <si>
    <t>A1487</t>
  </si>
  <si>
    <t>A1488</t>
  </si>
  <si>
    <t>A1489</t>
  </si>
  <si>
    <t>A1490</t>
  </si>
  <si>
    <t>A1491</t>
  </si>
  <si>
    <t>A1492</t>
  </si>
  <si>
    <t>A1493</t>
  </si>
  <si>
    <t>A1494</t>
  </si>
  <si>
    <t>A1495</t>
  </si>
  <si>
    <t>A1496</t>
  </si>
  <si>
    <t>A1497</t>
  </si>
  <si>
    <t>A1498</t>
  </si>
  <si>
    <t>A1499</t>
  </si>
  <si>
    <t>A1500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</si>
  <si>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</si>
  <si>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</si>
  <si>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</si>
  <si>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</si>
  <si>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</si>
  <si>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</si>
  <si>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</si>
  <si>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</si>
  <si>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</si>
  <si>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</si>
  <si>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</si>
  <si>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</si>
  <si>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A1513</t>
  </si>
  <si>
    <t>A1514</t>
  </si>
  <si>
    <t>A1515</t>
  </si>
  <si>
    <t>A1516</t>
  </si>
  <si>
    <t>A1517</t>
  </si>
  <si>
    <t>A1518</t>
  </si>
  <si>
    <t>A1519</t>
  </si>
  <si>
    <t>A1520</t>
  </si>
  <si>
    <t>A1521</t>
  </si>
  <si>
    <t>A1522</t>
  </si>
  <si>
    <t>A1523</t>
  </si>
  <si>
    <t>A1524</t>
  </si>
  <si>
    <t>A1525</t>
  </si>
  <si>
    <t>A1526</t>
  </si>
  <si>
    <t>A1527</t>
  </si>
  <si>
    <t>A1528</t>
  </si>
  <si>
    <t>A1529</t>
  </si>
  <si>
    <t>A1530</t>
  </si>
  <si>
    <t>A1531</t>
  </si>
  <si>
    <t>A1532</t>
  </si>
  <si>
    <t>A1533</t>
  </si>
  <si>
    <t>A1534</t>
  </si>
  <si>
    <t>A1535</t>
  </si>
  <si>
    <t>A1536</t>
  </si>
  <si>
    <t>A1537</t>
  </si>
  <si>
    <t>A1538</t>
  </si>
  <si>
    <t>A1539</t>
  </si>
  <si>
    <t>A1540</t>
  </si>
  <si>
    <t>A1541</t>
  </si>
  <si>
    <t>A1542</t>
  </si>
  <si>
    <t>A1543</t>
  </si>
  <si>
    <t>A1544</t>
  </si>
  <si>
    <t>A1545</t>
  </si>
  <si>
    <t>A1546</t>
  </si>
  <si>
    <t>A1547</t>
  </si>
  <si>
    <t>A1548</t>
  </si>
  <si>
    <t>A1549</t>
  </si>
  <si>
    <t>A1550</t>
  </si>
  <si>
    <t>A1551</t>
  </si>
  <si>
    <t>A1552</t>
  </si>
  <si>
    <t>A1553</t>
  </si>
  <si>
    <t>A1554</t>
  </si>
  <si>
    <t>A1555</t>
  </si>
  <si>
    <t>A1556</t>
  </si>
  <si>
    <t>A1557</t>
  </si>
  <si>
    <t>A1558</t>
  </si>
  <si>
    <t>A1559</t>
  </si>
  <si>
    <t>A1560</t>
  </si>
  <si>
    <t>A1561</t>
  </si>
  <si>
    <t>A1562</t>
  </si>
  <si>
    <t>A1563</t>
  </si>
  <si>
    <t>A1564</t>
  </si>
  <si>
    <t>A1565</t>
  </si>
  <si>
    <t>A1566</t>
  </si>
  <si>
    <t>A1567</t>
  </si>
  <si>
    <t>A1568</t>
  </si>
  <si>
    <t>A1569</t>
  </si>
  <si>
    <t>A1570</t>
  </si>
  <si>
    <t>A1571</t>
  </si>
  <si>
    <t>A1572</t>
  </si>
  <si>
    <t>A1573</t>
  </si>
  <si>
    <t>A1574</t>
  </si>
  <si>
    <t>A1575</t>
  </si>
  <si>
    <t>A1576</t>
  </si>
  <si>
    <t>A1577</t>
  </si>
  <si>
    <t>A1578</t>
  </si>
  <si>
    <t>A1579</t>
  </si>
  <si>
    <t>A1580</t>
  </si>
  <si>
    <t>A1581</t>
  </si>
  <si>
    <t>A1582</t>
  </si>
  <si>
    <t>A1583</t>
  </si>
  <si>
    <t>A1584</t>
  </si>
  <si>
    <t>A1585</t>
  </si>
  <si>
    <t>A1586</t>
  </si>
  <si>
    <t>A1587</t>
  </si>
  <si>
    <t>A1588</t>
  </si>
  <si>
    <t>A1589</t>
  </si>
  <si>
    <t>A1590</t>
  </si>
  <si>
    <t>A1591</t>
  </si>
  <si>
    <t>A1592</t>
  </si>
  <si>
    <t>A1593</t>
  </si>
  <si>
    <t>A1594</t>
  </si>
  <si>
    <t>A1595</t>
  </si>
  <si>
    <t>A1596</t>
  </si>
  <si>
    <t>A1597</t>
  </si>
  <si>
    <t>A1598</t>
  </si>
  <si>
    <t>A1599</t>
  </si>
  <si>
    <t>A1600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</si>
  <si>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</si>
  <si>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</si>
  <si>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</si>
  <si>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</si>
  <si>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</si>
  <si>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</si>
  <si>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</si>
  <si>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</si>
  <si>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</si>
  <si>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</si>
  <si>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</si>
  <si>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A1612</t>
  </si>
  <si>
    <t>A1613</t>
  </si>
  <si>
    <t>A1614</t>
  </si>
  <si>
    <t>A1615</t>
  </si>
  <si>
    <t>A1616</t>
  </si>
  <si>
    <t>A1617</t>
  </si>
  <si>
    <t>A1618</t>
  </si>
  <si>
    <t>A1619</t>
  </si>
  <si>
    <t>A1620</t>
  </si>
  <si>
    <t>A1621</t>
  </si>
  <si>
    <t>A1622</t>
  </si>
  <si>
    <t>A1623</t>
  </si>
  <si>
    <t>A1624</t>
  </si>
  <si>
    <t>A1625</t>
  </si>
  <si>
    <t>A1626</t>
  </si>
  <si>
    <t>A1627</t>
  </si>
  <si>
    <t>A1628</t>
  </si>
  <si>
    <t>A1629</t>
  </si>
  <si>
    <t>A1630</t>
  </si>
  <si>
    <t>A1631</t>
  </si>
  <si>
    <t>A1632</t>
  </si>
  <si>
    <t>A1633</t>
  </si>
  <si>
    <t>A1634</t>
  </si>
  <si>
    <t>A1635</t>
  </si>
  <si>
    <t>A1636</t>
  </si>
  <si>
    <t>A1637</t>
  </si>
  <si>
    <t>A1638</t>
  </si>
  <si>
    <t>A1639</t>
  </si>
  <si>
    <t>A1640</t>
  </si>
  <si>
    <t>A1641</t>
  </si>
  <si>
    <t>A1642</t>
  </si>
  <si>
    <t>A1643</t>
  </si>
  <si>
    <t>A1644</t>
  </si>
  <si>
    <t>A1645</t>
  </si>
  <si>
    <t>A1646</t>
  </si>
  <si>
    <t>A1647</t>
  </si>
  <si>
    <t>A1648</t>
  </si>
  <si>
    <t>A1649</t>
  </si>
  <si>
    <t>A1650</t>
  </si>
  <si>
    <t>A1651</t>
  </si>
  <si>
    <t>A1652</t>
  </si>
  <si>
    <t>A1653</t>
  </si>
  <si>
    <t>A1654</t>
  </si>
  <si>
    <t>A1655</t>
  </si>
  <si>
    <t>A1656</t>
  </si>
  <si>
    <t>A1657</t>
  </si>
  <si>
    <t>A1658</t>
  </si>
  <si>
    <t>A1659</t>
  </si>
  <si>
    <t>A1660</t>
  </si>
  <si>
    <t>A1661</t>
  </si>
  <si>
    <t>A1662</t>
  </si>
  <si>
    <t>A1663</t>
  </si>
  <si>
    <t>A1664</t>
  </si>
  <si>
    <t>A1665</t>
  </si>
  <si>
    <t>A1666</t>
  </si>
  <si>
    <t>A1667</t>
  </si>
  <si>
    <t>A1668</t>
  </si>
  <si>
    <t>A1669</t>
  </si>
  <si>
    <t>A1670</t>
  </si>
  <si>
    <t>A1671</t>
  </si>
  <si>
    <t>A1672</t>
  </si>
  <si>
    <t>A1673</t>
  </si>
  <si>
    <t>A1674</t>
  </si>
  <si>
    <t>A1675</t>
  </si>
  <si>
    <t>A1676</t>
  </si>
  <si>
    <t>A1677</t>
  </si>
  <si>
    <t>A1678</t>
  </si>
  <si>
    <t>A1679</t>
  </si>
  <si>
    <t>A1680</t>
  </si>
  <si>
    <t>A1681</t>
  </si>
  <si>
    <t>A1682</t>
  </si>
  <si>
    <t>A1683</t>
  </si>
  <si>
    <t>A1684</t>
  </si>
  <si>
    <t>A1685</t>
  </si>
  <si>
    <t>A1686</t>
  </si>
  <si>
    <t>A1687</t>
  </si>
  <si>
    <t>A1688</t>
  </si>
  <si>
    <t>A1689</t>
  </si>
  <si>
    <t>A1690</t>
  </si>
  <si>
    <t>A1691</t>
  </si>
  <si>
    <t>A1692</t>
  </si>
  <si>
    <t>A1693</t>
  </si>
  <si>
    <t>A1694</t>
  </si>
  <si>
    <t>A1695</t>
  </si>
  <si>
    <t>A1696</t>
  </si>
  <si>
    <t>A1697</t>
  </si>
  <si>
    <t>A1698</t>
  </si>
  <si>
    <t>A1699</t>
  </si>
  <si>
    <t>A1700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</si>
  <si>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</si>
  <si>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</si>
  <si>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</si>
  <si>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</si>
  <si>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</si>
  <si>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</si>
  <si>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</si>
  <si>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</si>
  <si>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</si>
  <si>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</si>
  <si>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</si>
  <si>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A1712</t>
  </si>
  <si>
    <t>A1713</t>
  </si>
  <si>
    <t>A1714</t>
  </si>
  <si>
    <t>A1715</t>
  </si>
  <si>
    <t>A1716</t>
  </si>
  <si>
    <t>A1717</t>
  </si>
  <si>
    <t>A1718</t>
  </si>
  <si>
    <t>A1719</t>
  </si>
  <si>
    <t>A1720</t>
  </si>
  <si>
    <t>A1721</t>
  </si>
  <si>
    <t>A1722</t>
  </si>
  <si>
    <t>A1723</t>
  </si>
  <si>
    <t>A1724</t>
  </si>
  <si>
    <t>A1725</t>
  </si>
  <si>
    <t>A1726</t>
  </si>
  <si>
    <t>A1727</t>
  </si>
  <si>
    <t>A1728</t>
  </si>
  <si>
    <t>A1729</t>
  </si>
  <si>
    <t>A1730</t>
  </si>
  <si>
    <t>A1731</t>
  </si>
  <si>
    <t>A1732</t>
  </si>
  <si>
    <t>A1733</t>
  </si>
  <si>
    <t>A1734</t>
  </si>
  <si>
    <t>A1735</t>
  </si>
  <si>
    <t>A1736</t>
  </si>
  <si>
    <t>A1737</t>
  </si>
  <si>
    <t>A1738</t>
  </si>
  <si>
    <t>A1739</t>
  </si>
  <si>
    <t>A1740</t>
  </si>
  <si>
    <t>A1741</t>
  </si>
  <si>
    <t>A1742</t>
  </si>
  <si>
    <t>A1743</t>
  </si>
  <si>
    <t>A1744</t>
  </si>
  <si>
    <t>A1745</t>
  </si>
  <si>
    <t>A1746</t>
  </si>
  <si>
    <t>A1747</t>
  </si>
  <si>
    <t>A1748</t>
  </si>
  <si>
    <t>A1749</t>
  </si>
  <si>
    <t>A1750</t>
  </si>
  <si>
    <t>A1751</t>
  </si>
  <si>
    <t>A1752</t>
  </si>
  <si>
    <t>A1753</t>
  </si>
  <si>
    <t>A1754</t>
  </si>
  <si>
    <t>A1755</t>
  </si>
  <si>
    <t>A1756</t>
  </si>
  <si>
    <t>A1757</t>
  </si>
  <si>
    <t>A1758</t>
  </si>
  <si>
    <t>A1759</t>
  </si>
  <si>
    <t>A1760</t>
  </si>
  <si>
    <t>A1761</t>
  </si>
  <si>
    <t>A1762</t>
  </si>
  <si>
    <t>A1763</t>
  </si>
  <si>
    <t>A1764</t>
  </si>
  <si>
    <t>A1765</t>
  </si>
  <si>
    <t>A1766</t>
  </si>
  <si>
    <t>A1767</t>
  </si>
  <si>
    <t>A1768</t>
  </si>
  <si>
    <t>A1769</t>
  </si>
  <si>
    <t>A1770</t>
  </si>
  <si>
    <t>A1771</t>
  </si>
  <si>
    <t>A1772</t>
  </si>
  <si>
    <t>A1773</t>
  </si>
  <si>
    <t>A1774</t>
  </si>
  <si>
    <t>A1775</t>
  </si>
  <si>
    <t>A1776</t>
  </si>
  <si>
    <t>A1777</t>
  </si>
  <si>
    <t>A1778</t>
  </si>
  <si>
    <t>A1779</t>
  </si>
  <si>
    <t>A1780</t>
  </si>
  <si>
    <t>A1781</t>
  </si>
  <si>
    <t>A1782</t>
  </si>
  <si>
    <t>A1783</t>
  </si>
  <si>
    <t>A1784</t>
  </si>
  <si>
    <t>A1785</t>
  </si>
  <si>
    <t>A1786</t>
  </si>
  <si>
    <t>A1787</t>
  </si>
  <si>
    <t>A1788</t>
  </si>
  <si>
    <t>A1789</t>
  </si>
  <si>
    <t>A1790</t>
  </si>
  <si>
    <t>A1791</t>
  </si>
  <si>
    <t>A1792</t>
  </si>
  <si>
    <t>A1793</t>
  </si>
  <si>
    <t>A1794</t>
  </si>
  <si>
    <t>A1795</t>
  </si>
  <si>
    <t>A1796</t>
  </si>
  <si>
    <t>A1797</t>
  </si>
  <si>
    <t>A1798</t>
  </si>
  <si>
    <t>A1799</t>
  </si>
  <si>
    <t>A1800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</si>
  <si>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</si>
  <si>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</si>
  <si>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</si>
  <si>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</si>
  <si>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</si>
  <si>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</si>
  <si>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</si>
  <si>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</si>
  <si>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</si>
  <si>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</si>
  <si>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</si>
  <si>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</si>
  <si>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A1813</t>
  </si>
  <si>
    <t>A1814</t>
  </si>
  <si>
    <t>A1815</t>
  </si>
  <si>
    <t>A1816</t>
  </si>
  <si>
    <t>A1817</t>
  </si>
  <si>
    <t>A1818</t>
  </si>
  <si>
    <t>A1819</t>
  </si>
  <si>
    <t>A1820</t>
  </si>
  <si>
    <t>A1821</t>
  </si>
  <si>
    <t>A1822</t>
  </si>
  <si>
    <t>A1823</t>
  </si>
  <si>
    <t>A1824</t>
  </si>
  <si>
    <t>A1825</t>
  </si>
  <si>
    <t>A1826</t>
  </si>
  <si>
    <t>A1827</t>
  </si>
  <si>
    <t>A1828</t>
  </si>
  <si>
    <t>A1829</t>
  </si>
  <si>
    <t>A1830</t>
  </si>
  <si>
    <t>A1831</t>
  </si>
  <si>
    <t>A1832</t>
  </si>
  <si>
    <t>A1833</t>
  </si>
  <si>
    <t>A1834</t>
  </si>
  <si>
    <t>A1835</t>
  </si>
  <si>
    <t>A1836</t>
  </si>
  <si>
    <t>A1837</t>
  </si>
  <si>
    <t>A1838</t>
  </si>
  <si>
    <t>A1839</t>
  </si>
  <si>
    <t>A1840</t>
  </si>
  <si>
    <t>A1841</t>
  </si>
  <si>
    <t>A1842</t>
  </si>
  <si>
    <t>A1843</t>
  </si>
  <si>
    <t>A1844</t>
  </si>
  <si>
    <t>A1845</t>
  </si>
  <si>
    <t>A1846</t>
  </si>
  <si>
    <t>A1847</t>
  </si>
  <si>
    <t>A1848</t>
  </si>
  <si>
    <t>A1849</t>
  </si>
  <si>
    <t>A1850</t>
  </si>
  <si>
    <t>A1851</t>
  </si>
  <si>
    <t>A1852</t>
  </si>
  <si>
    <t>A1853</t>
  </si>
  <si>
    <t>A1854</t>
  </si>
  <si>
    <t>A1855</t>
  </si>
  <si>
    <t>A1856</t>
  </si>
  <si>
    <t>A1857</t>
  </si>
  <si>
    <t>A1858</t>
  </si>
  <si>
    <t>A1859</t>
  </si>
  <si>
    <t>A1860</t>
  </si>
  <si>
    <t>A1861</t>
  </si>
  <si>
    <t>A1862</t>
  </si>
  <si>
    <t>A1863</t>
  </si>
  <si>
    <t>A1864</t>
  </si>
  <si>
    <t>A1865</t>
  </si>
  <si>
    <t>A1866</t>
  </si>
  <si>
    <t>A1867</t>
  </si>
  <si>
    <t>A1868</t>
  </si>
  <si>
    <t>A1869</t>
  </si>
  <si>
    <t>A1870</t>
  </si>
  <si>
    <t>A1871</t>
  </si>
  <si>
    <t>A1872</t>
  </si>
  <si>
    <t>A1873</t>
  </si>
  <si>
    <t>A1874</t>
  </si>
  <si>
    <t>A1875</t>
  </si>
  <si>
    <t>A1876</t>
  </si>
  <si>
    <t>A1877</t>
  </si>
  <si>
    <t>A1878</t>
  </si>
  <si>
    <t>A1879</t>
  </si>
  <si>
    <t>A1880</t>
  </si>
  <si>
    <t>A1881</t>
  </si>
  <si>
    <t>A1882</t>
  </si>
  <si>
    <t>A1883</t>
  </si>
  <si>
    <t>A1884</t>
  </si>
  <si>
    <t>A1885</t>
  </si>
  <si>
    <t>A1886</t>
  </si>
  <si>
    <t>A1887</t>
  </si>
  <si>
    <t>A1888</t>
  </si>
  <si>
    <t>A1889</t>
  </si>
  <si>
    <t>A1890</t>
  </si>
  <si>
    <t>A1891</t>
  </si>
  <si>
    <t>A1892</t>
  </si>
  <si>
    <t>A1893</t>
  </si>
  <si>
    <t>A1894</t>
  </si>
  <si>
    <t>A1895</t>
  </si>
  <si>
    <t>A1896</t>
  </si>
  <si>
    <t>A1897</t>
  </si>
  <si>
    <t>A1898</t>
  </si>
  <si>
    <t>A1899</t>
  </si>
  <si>
    <t>A1900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</si>
  <si>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</si>
  <si>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</si>
  <si>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</si>
  <si>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</si>
  <si>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</si>
  <si>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</si>
  <si>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</si>
  <si>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</si>
  <si>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</si>
  <si>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</si>
  <si>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</si>
  <si>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</si>
  <si>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A1913</t>
  </si>
  <si>
    <t>A1914</t>
  </si>
  <si>
    <t>A1915</t>
  </si>
  <si>
    <t>A1916</t>
  </si>
  <si>
    <t>A1917</t>
  </si>
  <si>
    <t>A1918</t>
  </si>
  <si>
    <t>A1919</t>
  </si>
  <si>
    <t>A1920</t>
  </si>
  <si>
    <t>A1921</t>
  </si>
  <si>
    <t>A1922</t>
  </si>
  <si>
    <t>A1923</t>
  </si>
  <si>
    <t>A1924</t>
  </si>
  <si>
    <t>A1925</t>
  </si>
  <si>
    <t>A1926</t>
  </si>
  <si>
    <t>A1927</t>
  </si>
  <si>
    <t>A1928</t>
  </si>
  <si>
    <t>A1929</t>
  </si>
  <si>
    <t>A1930</t>
  </si>
  <si>
    <t>A1931</t>
  </si>
  <si>
    <t>A1932</t>
  </si>
  <si>
    <t>A1933</t>
  </si>
  <si>
    <t>A1934</t>
  </si>
  <si>
    <t>A1935</t>
  </si>
  <si>
    <t>A1936</t>
  </si>
  <si>
    <t>A1937</t>
  </si>
  <si>
    <t>A1938</t>
  </si>
  <si>
    <t>A1939</t>
  </si>
  <si>
    <t>A1940</t>
  </si>
  <si>
    <t>A1941</t>
  </si>
  <si>
    <t>A1942</t>
  </si>
  <si>
    <t>A1943</t>
  </si>
  <si>
    <t>A1944</t>
  </si>
  <si>
    <t>A1945</t>
  </si>
  <si>
    <t>A1946</t>
  </si>
  <si>
    <t>A1947</t>
  </si>
  <si>
    <t>A1948</t>
  </si>
  <si>
    <t>A1949</t>
  </si>
  <si>
    <t>A1950</t>
  </si>
  <si>
    <t>A1951</t>
  </si>
  <si>
    <t>A1952</t>
  </si>
  <si>
    <t>A1953</t>
  </si>
  <si>
    <t>A1954</t>
  </si>
  <si>
    <t>A1955</t>
  </si>
  <si>
    <t>A1956</t>
  </si>
  <si>
    <t>A1957</t>
  </si>
  <si>
    <t>A1958</t>
  </si>
  <si>
    <t>A1959</t>
  </si>
  <si>
    <t>A1960</t>
  </si>
  <si>
    <t>A1961</t>
  </si>
  <si>
    <t>A1962</t>
  </si>
  <si>
    <t>A1963</t>
  </si>
  <si>
    <t>A1964</t>
  </si>
  <si>
    <t>A1965</t>
  </si>
  <si>
    <t>A1966</t>
  </si>
  <si>
    <t>A1967</t>
  </si>
  <si>
    <t>A1968</t>
  </si>
  <si>
    <t>A1969</t>
  </si>
  <si>
    <t>A1970</t>
  </si>
  <si>
    <t>A1971</t>
  </si>
  <si>
    <t>A1972</t>
  </si>
  <si>
    <t>A1973</t>
  </si>
  <si>
    <t>A1974</t>
  </si>
  <si>
    <t>A1975</t>
  </si>
  <si>
    <t>A1976</t>
  </si>
  <si>
    <t>A1977</t>
  </si>
  <si>
    <t>A1978</t>
  </si>
  <si>
    <t>A1979</t>
  </si>
  <si>
    <t>A1980</t>
  </si>
  <si>
    <t>A1981</t>
  </si>
  <si>
    <t>A1982</t>
  </si>
  <si>
    <t>A1983</t>
  </si>
  <si>
    <t>A1984</t>
  </si>
  <si>
    <t>A1985</t>
  </si>
  <si>
    <t>A1986</t>
  </si>
  <si>
    <t>A1987</t>
  </si>
  <si>
    <t>A1988</t>
  </si>
  <si>
    <t>A1989</t>
  </si>
  <si>
    <t>A1990</t>
  </si>
  <si>
    <t>A1991</t>
  </si>
  <si>
    <t>A1992</t>
  </si>
  <si>
    <t>A1993</t>
  </si>
  <si>
    <t>A1994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</si>
  <si>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</si>
  <si>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</si>
  <si>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</si>
  <si>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</si>
  <si>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</si>
  <si>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</si>
  <si>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</si>
  <si>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</si>
  <si>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</si>
  <si>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</si>
  <si>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</si>
  <si>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</si>
  <si>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</si>
  <si>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</si>
  <si>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</si>
  <si>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</si>
  <si>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</si>
  <si>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A2012</t>
  </si>
  <si>
    <t>A2013</t>
  </si>
  <si>
    <t>A2014</t>
  </si>
  <si>
    <t>A2015</t>
  </si>
  <si>
    <t>A2016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</si>
  <si>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</si>
  <si>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</si>
  <si>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</si>
  <si>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</si>
  <si>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</si>
  <si>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</si>
  <si>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</si>
  <si>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</si>
  <si>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</si>
  <si>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</si>
  <si>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</si>
  <si>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</si>
  <si>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</si>
  <si>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</si>
  <si>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</si>
  <si>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</si>
  <si>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</si>
  <si>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</si>
  <si>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</si>
  <si>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</si>
  <si>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</si>
  <si>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</si>
  <si>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</si>
  <si>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</si>
  <si>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</si>
  <si>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</si>
  <si>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</si>
  <si>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</si>
  <si>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A2045</t>
  </si>
  <si>
    <t>A2046</t>
  </si>
  <si>
    <t>A2047</t>
  </si>
  <si>
    <t>A2048</t>
  </si>
  <si>
    <t>A2049</t>
  </si>
  <si>
    <t>A2050</t>
  </si>
  <si>
    <t>A2051</t>
  </si>
  <si>
    <t>A2052</t>
  </si>
  <si>
    <t>A2053</t>
  </si>
  <si>
    <t>A2054</t>
  </si>
  <si>
    <t>A2055</t>
  </si>
  <si>
    <t>A2056</t>
  </si>
  <si>
    <t>A2057</t>
  </si>
  <si>
    <t>A2058</t>
  </si>
  <si>
    <t>A2059</t>
  </si>
  <si>
    <t>A2060</t>
  </si>
  <si>
    <t>A2061</t>
  </si>
  <si>
    <t>A2062</t>
  </si>
  <si>
    <t>A2063</t>
  </si>
  <si>
    <t>A2064</t>
  </si>
  <si>
    <t>A2065</t>
  </si>
  <si>
    <t>A2066</t>
  </si>
  <si>
    <t>A2067</t>
  </si>
  <si>
    <t>A2068</t>
  </si>
  <si>
    <t>A2069</t>
  </si>
  <si>
    <t>A2070</t>
  </si>
  <si>
    <t>A2071</t>
  </si>
  <si>
    <t>A2072</t>
  </si>
  <si>
    <t>A2073</t>
  </si>
  <si>
    <t>A2074</t>
  </si>
  <si>
    <t>A2075</t>
  </si>
  <si>
    <t>A2076</t>
  </si>
  <si>
    <t>A2077</t>
  </si>
  <si>
    <t>A2078</t>
  </si>
  <si>
    <t>A2079</t>
  </si>
  <si>
    <t>A2080</t>
  </si>
  <si>
    <t>A2081</t>
  </si>
  <si>
    <t>A2082</t>
  </si>
  <si>
    <t>A2083</t>
  </si>
  <si>
    <t>A2084</t>
  </si>
  <si>
    <t>A2085</t>
  </si>
  <si>
    <t>A2086</t>
  </si>
  <si>
    <t>A2087</t>
  </si>
  <si>
    <t>A2088</t>
  </si>
  <si>
    <t>A2089</t>
  </si>
  <si>
    <t>A2090</t>
  </si>
  <si>
    <t>A2091</t>
  </si>
  <si>
    <t>A2092</t>
  </si>
  <si>
    <t>A2093</t>
  </si>
  <si>
    <t>A2094</t>
  </si>
  <si>
    <t>A2095</t>
  </si>
  <si>
    <t>A2096</t>
  </si>
  <si>
    <t>A2097</t>
  </si>
  <si>
    <t>A2098</t>
  </si>
  <si>
    <t>A2099</t>
  </si>
  <si>
    <t>A2100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</si>
  <si>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</si>
  <si>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</si>
  <si>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</si>
  <si>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</si>
  <si>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</si>
  <si>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</si>
  <si>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</si>
  <si>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</si>
  <si>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</si>
  <si>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</si>
  <si>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</si>
  <si>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</si>
  <si>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A2113</t>
  </si>
  <si>
    <t>A2114</t>
  </si>
  <si>
    <t>A2115</t>
  </si>
  <si>
    <t>A2116</t>
  </si>
  <si>
    <t>A2117</t>
  </si>
  <si>
    <t>A2118</t>
  </si>
  <si>
    <t>A2119</t>
  </si>
  <si>
    <t>A2120</t>
  </si>
  <si>
    <t>A2121</t>
  </si>
  <si>
    <t>A2122</t>
  </si>
  <si>
    <t>A2123</t>
  </si>
  <si>
    <t>A2124</t>
  </si>
  <si>
    <t>A2125</t>
  </si>
  <si>
    <t>A2126</t>
  </si>
  <si>
    <t>A2127</t>
  </si>
  <si>
    <t>A2128</t>
  </si>
  <si>
    <t>A2129</t>
  </si>
  <si>
    <t>A2130</t>
  </si>
  <si>
    <t>A2131</t>
  </si>
  <si>
    <t>A2132</t>
  </si>
  <si>
    <t>A2133</t>
  </si>
  <si>
    <t>A2134</t>
  </si>
  <si>
    <t>A2135</t>
  </si>
  <si>
    <t>A2136</t>
  </si>
  <si>
    <t>A2137</t>
  </si>
  <si>
    <t>A2138</t>
  </si>
  <si>
    <t>A2139</t>
  </si>
  <si>
    <t>A2140</t>
  </si>
  <si>
    <t>A2141</t>
  </si>
  <si>
    <t>A2142</t>
  </si>
  <si>
    <t>A2143</t>
  </si>
  <si>
    <t>A2144</t>
  </si>
  <si>
    <t>A2145</t>
  </si>
  <si>
    <t>A2146</t>
  </si>
  <si>
    <t>A2147</t>
  </si>
  <si>
    <t>A2148</t>
  </si>
  <si>
    <t>A2149</t>
  </si>
  <si>
    <t>A2150</t>
  </si>
  <si>
    <t>A2151</t>
  </si>
  <si>
    <t>A2152</t>
  </si>
  <si>
    <t>A2153</t>
  </si>
  <si>
    <t>A2154</t>
  </si>
  <si>
    <t>A2155</t>
  </si>
  <si>
    <t>A2156</t>
  </si>
  <si>
    <t>A2157</t>
  </si>
  <si>
    <t>A2158</t>
  </si>
  <si>
    <t>A2159</t>
  </si>
  <si>
    <t>A2160</t>
  </si>
  <si>
    <t>A2161</t>
  </si>
  <si>
    <t>A2162</t>
  </si>
  <si>
    <t>A2163</t>
  </si>
  <si>
    <t>A2164</t>
  </si>
  <si>
    <t>A2165</t>
  </si>
  <si>
    <t>A2166</t>
  </si>
  <si>
    <t>A2167</t>
  </si>
  <si>
    <t>A2168</t>
  </si>
  <si>
    <t>A2169</t>
  </si>
  <si>
    <t>A2170</t>
  </si>
  <si>
    <t>A2171</t>
  </si>
  <si>
    <t>A2172</t>
  </si>
  <si>
    <t>A2173</t>
  </si>
  <si>
    <t>A2174</t>
  </si>
  <si>
    <t>A2175</t>
  </si>
  <si>
    <t>A2176</t>
  </si>
  <si>
    <t>A2177</t>
  </si>
  <si>
    <t>A2178</t>
  </si>
  <si>
    <t>A2179</t>
  </si>
  <si>
    <t>A2180</t>
  </si>
  <si>
    <t>A2181</t>
  </si>
  <si>
    <t>A2182</t>
  </si>
  <si>
    <t>A2183</t>
  </si>
  <si>
    <t>A2184</t>
  </si>
  <si>
    <t>A2185</t>
  </si>
  <si>
    <t>A2186</t>
  </si>
  <si>
    <t>A2187</t>
  </si>
  <si>
    <t>A2188</t>
  </si>
  <si>
    <t>A2189</t>
  </si>
  <si>
    <t>A2190</t>
  </si>
  <si>
    <t>A2191</t>
  </si>
  <si>
    <t>A2192</t>
  </si>
  <si>
    <t>A2193</t>
  </si>
  <si>
    <t>A2194</t>
  </si>
  <si>
    <t>A2195</t>
  </si>
  <si>
    <t>A2196</t>
  </si>
  <si>
    <t>A2197</t>
  </si>
  <si>
    <t>A2198</t>
  </si>
  <si>
    <t>A2199</t>
  </si>
  <si>
    <t>A2200</t>
  </si>
  <si>
    <t>A2201</t>
  </si>
  <si>
    <t>A2202</t>
  </si>
  <si>
    <t>A2203</t>
  </si>
  <si>
    <t>A2204</t>
  </si>
  <si>
    <t>A2205</t>
  </si>
  <si>
    <t>A2206</t>
  </si>
  <si>
    <t>A2207</t>
  </si>
  <si>
    <t>A2208</t>
  </si>
  <si>
    <t>A2209</t>
  </si>
  <si>
    <t>A2210</t>
  </si>
  <si>
    <t>A2211</t>
  </si>
  <si>
    <t>A2212</t>
  </si>
  <si>
    <t>A2213</t>
  </si>
  <si>
    <t>A2214</t>
  </si>
  <si>
    <t>A2215</t>
  </si>
  <si>
    <t>A2216</t>
  </si>
  <si>
    <t>A2217</t>
  </si>
  <si>
    <t>A2218</t>
  </si>
  <si>
    <t>A2219</t>
  </si>
  <si>
    <t>A2220</t>
  </si>
  <si>
    <t>A2221</t>
  </si>
  <si>
    <t>A2222</t>
  </si>
  <si>
    <t>A2223</t>
  </si>
  <si>
    <t>A2224</t>
  </si>
  <si>
    <t>A2225</t>
  </si>
  <si>
    <t>A2226</t>
  </si>
  <si>
    <t>A2227</t>
  </si>
  <si>
    <t>A2228</t>
  </si>
  <si>
    <t>A2229</t>
  </si>
  <si>
    <t>A2230</t>
  </si>
  <si>
    <t>A2231</t>
  </si>
  <si>
    <t>A2232</t>
  </si>
  <si>
    <t>A2233</t>
  </si>
  <si>
    <t>A2234</t>
  </si>
  <si>
    <t>A2235</t>
  </si>
  <si>
    <t>Flags</t>
  </si>
  <si>
    <t>St Name;St No;City</t>
  </si>
  <si>
    <t>Street 1 Word</t>
  </si>
  <si>
    <t>Street Name 1 Word</t>
  </si>
  <si>
    <t>New Folder Names</t>
  </si>
  <si>
    <t>Portfolio</t>
  </si>
  <si>
    <t>Column1</t>
  </si>
  <si>
    <t>MHP</t>
  </si>
  <si>
    <t>OC Updated</t>
  </si>
  <si>
    <t>Marsalis Ave N</t>
  </si>
  <si>
    <t>Double Folder</t>
  </si>
  <si>
    <t>Glenn Heights Duplex</t>
  </si>
  <si>
    <t>Hotel</t>
  </si>
  <si>
    <t>Greens Pointe Apts</t>
  </si>
  <si>
    <t>Eastridge Dr</t>
  </si>
  <si>
    <t>Parkway Apts</t>
  </si>
  <si>
    <t>Trails Pl</t>
  </si>
  <si>
    <t>Folder</t>
  </si>
  <si>
    <t>Sub Folders</t>
  </si>
  <si>
    <t>PicVid</t>
  </si>
  <si>
    <t>OInfo</t>
  </si>
  <si>
    <t>SoS</t>
  </si>
  <si>
    <t>Misc</t>
  </si>
  <si>
    <t>Creation Path</t>
  </si>
  <si>
    <t>Hyperlink</t>
  </si>
  <si>
    <t>I Rd N</t>
  </si>
  <si>
    <t>TX</t>
  </si>
  <si>
    <t>A Country Place</t>
  </si>
  <si>
    <t>Country Place Apts</t>
  </si>
  <si>
    <t>Greenville Ave S</t>
  </si>
  <si>
    <t>S St E</t>
  </si>
  <si>
    <t>Chasewood Apts</t>
  </si>
  <si>
    <t>Tanglewood Apts</t>
  </si>
  <si>
    <t>Wildflower Commons Apts</t>
  </si>
  <si>
    <t>Baylor Condos and The Castle (On Hold)</t>
  </si>
  <si>
    <t>Bull Creek TH</t>
  </si>
  <si>
    <t>Grant Villas Apts</t>
  </si>
  <si>
    <t>Bay Pointe Apts</t>
  </si>
  <si>
    <t>Blossom Duplexes</t>
  </si>
  <si>
    <t>Lipes Apts</t>
  </si>
  <si>
    <t>Creekmore Apts</t>
  </si>
  <si>
    <t>Holly AH</t>
  </si>
  <si>
    <t>Mountain View at Southgate</t>
  </si>
  <si>
    <t>Somerset Apts</t>
  </si>
  <si>
    <t>Casa Granda Apts</t>
  </si>
  <si>
    <t>North Village Green Condos</t>
  </si>
  <si>
    <t>The Reserve Old Farm I</t>
  </si>
  <si>
    <t>Longview Multi Family Group</t>
  </si>
  <si>
    <t>Park Tower Apts</t>
  </si>
  <si>
    <t>Gatewood Apts</t>
  </si>
  <si>
    <t>Nolana Apts</t>
  </si>
  <si>
    <t>El Camino Real Apts</t>
  </si>
  <si>
    <t>Treemont Apts</t>
  </si>
  <si>
    <t>Sussex Apts</t>
  </si>
  <si>
    <t>Johnson N</t>
  </si>
  <si>
    <t>Brittany Place Apts</t>
  </si>
  <si>
    <t>NW Crossroads</t>
  </si>
  <si>
    <t>Aquarena Springs</t>
  </si>
  <si>
    <t>Spring West-Post Road Place</t>
  </si>
  <si>
    <t>The Riviera Apts</t>
  </si>
  <si>
    <t>Watauga</t>
  </si>
  <si>
    <t>Trails Place TH</t>
  </si>
  <si>
    <t>Tharp St</t>
  </si>
  <si>
    <t>OC_Links</t>
  </si>
  <si>
    <t>Shenandoah Park Dr</t>
  </si>
  <si>
    <t>Removed</t>
  </si>
  <si>
    <t>Column2</t>
  </si>
  <si>
    <t>Broadmoor Dr</t>
  </si>
  <si>
    <t>Broad</t>
  </si>
  <si>
    <t>Left</t>
  </si>
  <si>
    <t>Westheimer_1212_Canyon Villas I_Austin</t>
  </si>
  <si>
    <t>Victory Dr_4009_Mission James Place_Austin</t>
  </si>
  <si>
    <t>Lake Creek Pkwy_10707_Parkside at Lake Creek_Austin</t>
  </si>
  <si>
    <t>Anderson Mill Rd_9219_Anderson Oaks_Austin</t>
  </si>
  <si>
    <t>Apple Creek Dr_302_Apple Creek_Georgetown</t>
  </si>
  <si>
    <t>Lawnmont Dr_1501_Apple Creek_Round Rock</t>
  </si>
  <si>
    <t>Royal Crest Dr_1500_The Arbor_Austin</t>
  </si>
  <si>
    <t>Wells Branch Pkwy_1831_Arbors of Wells Branch_Austin</t>
  </si>
  <si>
    <t>Justin Ln_1003_Argosy at Crestview_Austin</t>
  </si>
  <si>
    <t>Wood Hollow Dr_7117_Westdale Pointe_Austin</t>
  </si>
  <si>
    <t>Burton Dr_2124_Tollgate Creek Condominiums_Austin</t>
  </si>
  <si>
    <t>Ashdale Dr_2450_Ashdale Gardens_Austin</t>
  </si>
  <si>
    <t>Leon St_2408_Lone Star Lofts_Austin</t>
  </si>
  <si>
    <t>Capital of Texas Hwy N_8527_The Falls on Bull Creek_Austin</t>
  </si>
  <si>
    <t>Mellow Meadow Dr_12425_Audubon Square_Austin</t>
  </si>
  <si>
    <t>Lamar Blvd N_7401_Austin Gardens_Austin</t>
  </si>
  <si>
    <t>Morado Cir_10610_Great Hills_Austin</t>
  </si>
  <si>
    <t>Riverside Dr E_4821_Hillside Place_Austin</t>
  </si>
  <si>
    <t>Anderson Ln W_400_Austin Parke_Austin</t>
  </si>
  <si>
    <t>Royal Crest Dr_1600_Autumn Hills_Austin</t>
  </si>
  <si>
    <t>Balcones Club_9218_Balcones Club_Austin</t>
  </si>
  <si>
    <t>Research Blvd_11215_Balcones Woods_Austin</t>
  </si>
  <si>
    <t>Stassney Ln W_1005_Ironstone_Austin</t>
  </si>
  <si>
    <t>Bartons Bluff Ln_2800_Barton Creek Landing_Austin</t>
  </si>
  <si>
    <t>Dickson Dr_2121_Barton's Mill_Austin</t>
  </si>
  <si>
    <t>Bee Caves Rd_2611_Windsor at Barton Creek_Austin</t>
  </si>
  <si>
    <t>Bent Tree Rd_8405_Bent Tree_Austin</t>
  </si>
  <si>
    <t>Cardinal Loop_2419_Bergstrom Arms (Demolished)_Del Valle</t>
  </si>
  <si>
    <t>Town Lake Cir_2215_Vista Lago_Austin</t>
  </si>
  <si>
    <t>Bowman Dr W_101_Bowmans Walk_Round Rock</t>
  </si>
  <si>
    <t>Burton Dr_1845_LaFayette Landing_Austin</t>
  </si>
  <si>
    <t>Shepherd Mountain Cove_6001_Bridgehead_Austin</t>
  </si>
  <si>
    <t>Willow Creek Dr_1910_Point South_Austin</t>
  </si>
  <si>
    <t>Douglas St_2336_Bristol Square_Austin</t>
  </si>
  <si>
    <t>Golden Meadow Dr_10300_Brook Meadow Village_Austin</t>
  </si>
  <si>
    <t>35 IH S_1824_The Brook in Travis Heights_Austin</t>
  </si>
  <si>
    <t>Lamar Blvd N_5106_Brownstone Park_Austin</t>
  </si>
  <si>
    <t>Sam Bass Cir_1101_Brushy Creek Village_Round Rock</t>
  </si>
  <si>
    <t>Heinemann Dr_13005_Laurel Ridge_Austin</t>
  </si>
  <si>
    <t>Cameron Rd_5700_Cameron Greens_Austin</t>
  </si>
  <si>
    <t>Salado St_2810_Camino Real_Austin</t>
  </si>
  <si>
    <t>Royal Crest Dr_1601_Canyon Oaks_Austin</t>
  </si>
  <si>
    <t>Jollyville Rd_11316_Canyon Creek_Austin</t>
  </si>
  <si>
    <t>Grand Canyon Dr_7020_Westheimer Regency_Austin</t>
  </si>
  <si>
    <t>Algarita Ave_1221_Cascades_Austin</t>
  </si>
  <si>
    <t>Congress Ave S_7001_Centennial Place_Austin</t>
  </si>
  <si>
    <t>Red River St_3401_Century Square_Austin</t>
  </si>
  <si>
    <t>Taylor Draper Ln_11282_Channings Mark_Austin</t>
  </si>
  <si>
    <t>Wells Branch Pkwy_1801_Chardonnay_Austin</t>
  </si>
  <si>
    <t>Gessner Dr_8028_Chase Village_Austin</t>
  </si>
  <si>
    <t>Reagan Hill Dr_1521_Austin Pacifica_Austin</t>
  </si>
  <si>
    <t>Stassney Ln W_2048_Cherry Creek Crossing_Austin</t>
  </si>
  <si>
    <t>Hymeadow Dr_12300_Chesapeake_Austin</t>
  </si>
  <si>
    <t>William Cannon Dr W_2121_Cheshire Gardens_Austin</t>
  </si>
  <si>
    <t>Chevy Chase Dr_7581_Chevy Chase_Austin</t>
  </si>
  <si>
    <t>Huntwick_2504_Chevy Chase Downs_Austin</t>
  </si>
  <si>
    <t>Christopher Ave_1338_Chisholm Valley Duplexes_Round Rock</t>
  </si>
  <si>
    <t>Thermal Dr_14100_Churchill Crossing_Austin</t>
  </si>
  <si>
    <t>Jollyville Rd_9500_Cimarron Crossing_Austin</t>
  </si>
  <si>
    <t>Tamarron Blvd_3050_Cliffs at Barton Creek_Austin</t>
  </si>
  <si>
    <t>Longspur Blvd W_502_Club Creek_Austin</t>
  </si>
  <si>
    <t>Congress Ave S_500_Congress Square_Austin</t>
  </si>
  <si>
    <t>Convict Hill Rd_5001_Convict Hill Village_Austin</t>
  </si>
  <si>
    <t>William Cannon Dr W_739_The Place at Coopers Hill_Austin</t>
  </si>
  <si>
    <t>Lamar Blvd N_10000_Copper Mill_Austin</t>
  </si>
  <si>
    <t>Cromwell Cir_2425_Coppertree_Austin</t>
  </si>
  <si>
    <t>Lamar Blvd N_8926_Aubry Hills_Austin</t>
  </si>
  <si>
    <t>Grove Blvd_1009_Country Club TH_Austin</t>
  </si>
  <si>
    <t>Sunrise Rd_1300_Tramor at Autumn Park_Round Rock</t>
  </si>
  <si>
    <t>Broadmoor Dr_1200_The Heritage at Hillcrest_Austin</t>
  </si>
  <si>
    <t>Keats Dr_3737_Tramor at Creek Village_Austin</t>
  </si>
  <si>
    <t>Palm Valley Blvd_1525_The Creek_Round Rock</t>
  </si>
  <si>
    <t>Anderson Ln E_1901_Anderson Springs_Austin</t>
  </si>
  <si>
    <t>Anderson Ln E_1601_Creekwood Village_Austin</t>
  </si>
  <si>
    <t>Morado Cove_10307_Madison at the Arboretum_Austin</t>
  </si>
  <si>
    <t>35 IH N_11441_Cricket Hollow_Austin</t>
  </si>
  <si>
    <t>Rutland Dr_1124_Cross Creek_Austin</t>
  </si>
  <si>
    <t>Mc Cann Dr_8801_Crossroads_Austin</t>
  </si>
  <si>
    <t>Greenhill Dr_600_Crystal Creek_Round Rock</t>
  </si>
  <si>
    <t>1st St S_3501_Hillcrest Oaks_Austin</t>
  </si>
  <si>
    <t>Duval St_4305_Duval Villa_Austin</t>
  </si>
  <si>
    <t>Metric Blvd_12166_Edge Creek_Austin</t>
  </si>
  <si>
    <t>Rundberg Ln E_1400_Englebrook_Austin</t>
  </si>
  <si>
    <t>Burton Dr_1919_English Aire_Austin</t>
  </si>
  <si>
    <t>Saint Edwards Dr_1401_Forest Creek Village_Austin</t>
  </si>
  <si>
    <t>Manchaca Rd_3707_The Grove_Austin</t>
  </si>
  <si>
    <t>Victory Dr_4100_Tramor at Victory Place_Austin</t>
  </si>
  <si>
    <t>Banister Ln_1113_Four Park Place_Austin</t>
  </si>
  <si>
    <t>Willowbend Dr_2100_Foxfire_Round Rock</t>
  </si>
  <si>
    <t>Lawnmont Dr_1500_Gables of Round Rock_Round Rock</t>
  </si>
  <si>
    <t>Rio Grande St_2222_University Gardens_Austin</t>
  </si>
  <si>
    <t>Rundberg Ln W_1804_Gateways_Austin</t>
  </si>
  <si>
    <t>Metric Blvd_11701_Venterra at Bradford Pointe_Austin</t>
  </si>
  <si>
    <t>Luther Dr_209_Georgetown Park_Georgetown</t>
  </si>
  <si>
    <t>Georgian Dr_8005_Georgian Apts_Austin</t>
  </si>
  <si>
    <t>Rundberg Ln E_1007_Glen Oaks_Austin</t>
  </si>
  <si>
    <t>Grand Canyon Dr_7077_Canyon Villas II_Austin</t>
  </si>
  <si>
    <t>Greystone Dr_3500_Juniper Springs_Austin</t>
  </si>
  <si>
    <t>Great Hills Trl_9617_Arboretum Oaks_Austin</t>
  </si>
  <si>
    <t>Reinli St_1100-1106_The Legacy_Austin</t>
  </si>
  <si>
    <t>Wells Branch Pkwy_1773_The Hampton_Austin</t>
  </si>
  <si>
    <t>Jollyville Rd_10300_Hardrock Canyon I &amp; II_Austin</t>
  </si>
  <si>
    <t>Oltorf St E_1730_Harpers Creek_Austin</t>
  </si>
  <si>
    <t>Gessner Dr_8001_Haven East_Austin</t>
  </si>
  <si>
    <t>Manchaca Rd_3506_Heritage Oaks_Austin</t>
  </si>
  <si>
    <t>Plaza Dr N_9121_Heritage Plaza_Austin</t>
  </si>
  <si>
    <t>Pond Springs Rd_13359_Hidden Timber_Austin</t>
  </si>
  <si>
    <t>Jollyville Rd_11028_High Oaks I &amp; II_Austin</t>
  </si>
  <si>
    <t>Wickersham Ln_2400_High Point Village_Austin</t>
  </si>
  <si>
    <t>Reinli St_909_Highland Cove_Austin</t>
  </si>
  <si>
    <t>Great Hills Trl_9417_Tramor at the Arboretum_Austin</t>
  </si>
  <si>
    <t>Wickersham Ln_2310_Wickersham Green_Austin</t>
  </si>
  <si>
    <t>Great Hills Trl_9009_Tramor at the Hills_Austin</t>
  </si>
  <si>
    <t>Burton Dr_1900_Woodridge_Austin</t>
  </si>
  <si>
    <t>Shoreline Dr_3101_Hunt Club_Austin</t>
  </si>
  <si>
    <t>Hunters Chase Dr_12342_Hunter's Chase_Austin</t>
  </si>
  <si>
    <t>Berkeley Ave_2309_Tramor at Hunter's Glen_Austin</t>
  </si>
  <si>
    <t>35 IH S_1500_Hunters Ridge_Round Rock</t>
  </si>
  <si>
    <t>William Cannon Dr E_409_Hunterwood_Austin</t>
  </si>
  <si>
    <t>Speedway St_4413_Hyde Park I &amp; II_Austin</t>
  </si>
  <si>
    <t>Wood Hollow Dr_7630_Westdale Creek_Austin</t>
  </si>
  <si>
    <t>Copper Creek Dr_9811_International Residence_Austin</t>
  </si>
  <si>
    <t>Dickson Dr_2200_Barton Court_Austin</t>
  </si>
  <si>
    <t>Camino La Costa_1220_Irongate_Austin</t>
  </si>
  <si>
    <t>Bull Creek Rd_4320_Bull Creek TH_Austin</t>
  </si>
  <si>
    <t>Thunder Creek Rd_5230_Keystone_Austin</t>
  </si>
  <si>
    <t>Jollyville Rd_11500_Northland at the Arboretum_Austin</t>
  </si>
  <si>
    <t>Town Creek Dr_1201_Regatta_Austin</t>
  </si>
  <si>
    <t>Renaissance Ct_14000_Lakes at Renaissance Park_Austin</t>
  </si>
  <si>
    <t>Lakeshore Blvd S_1720_The Lakeshore_Austin</t>
  </si>
  <si>
    <t>Lakeshore Blvd S_2401_Lakeview_Austin</t>
  </si>
  <si>
    <t>W Ave_1802_Lantana_Austin</t>
  </si>
  <si>
    <t>40th St W_1200_Le Med_Austin</t>
  </si>
  <si>
    <t>Metric Blvd_11700_Lincoln Oaks_Austin</t>
  </si>
  <si>
    <t>Bluff Springs Rd_6503_Mission Reilly Ridge_Austin</t>
  </si>
  <si>
    <t>William Cannon Dr E_1912_Logan's Mill_Austin</t>
  </si>
  <si>
    <t>Town Lake Cir_2400_London Square_Austin</t>
  </si>
  <si>
    <t>Main St E_1201_Main Street Square_Round Rock</t>
  </si>
  <si>
    <t>Lamar Blvd N_8600_The Palms on Lamar_Austin</t>
  </si>
  <si>
    <t>Dessau Rd_9500_Marlborough Square_Austin</t>
  </si>
  <si>
    <t>Metric Blvd_12330_Venterra at Waters Edge_Austin</t>
  </si>
  <si>
    <t>San Felipe Blvd_7920_Marthas Vineyard_Austin</t>
  </si>
  <si>
    <t>Mellow Meadow Dr_10507_The Meadows_Austin</t>
  </si>
  <si>
    <t>Melrose Trl_6511-B_Melrose Place_Austin</t>
  </si>
  <si>
    <t>Manchaca Rd_5413_Tramor at the Oaks_Austin</t>
  </si>
  <si>
    <t>Duval Rd_3201_Mesa Verde_Austin</t>
  </si>
  <si>
    <t>Parker Ln_3111_Montecito_Austin</t>
  </si>
  <si>
    <t>Shepherd Mountain Cove_6000_Monte Vista Condos_Austin</t>
  </si>
  <si>
    <t>Rundberg Ln W_1930_Meridian_Austin</t>
  </si>
  <si>
    <t>Anderson Ln W_2101_North Village_Austin</t>
  </si>
  <si>
    <t>Middle Fiskville Rd_9601_Meadowood_Austin</t>
  </si>
  <si>
    <t>Mopac Expwy N_8100_The Place at Terracina_Austin</t>
  </si>
  <si>
    <t>Rundberg Ln W_306_Northchase_Austin</t>
  </si>
  <si>
    <t>Foster Ln_2819_The Park at Allandale_Austin</t>
  </si>
  <si>
    <t>Longspur Blvd W_701_Longspur Crossing_Austin</t>
  </si>
  <si>
    <t>Houston St_1507_Oak Creek_Austin</t>
  </si>
  <si>
    <t>1st St S_3625_Oak Grove_Austin</t>
  </si>
  <si>
    <t>Wood Hollow Dr_7201_Oak Hollow_Austin</t>
  </si>
  <si>
    <t>Pleasant Valley Rd S_2317_Arbor Pointe_Austin</t>
  </si>
  <si>
    <t>Duval St_4505_Oak Park_Austin</t>
  </si>
  <si>
    <t>Hills Dr N_3517_Oak Ridge_Austin</t>
  </si>
  <si>
    <t>Woodward St_1710-1724_Park Lane Villas_Austin</t>
  </si>
  <si>
    <t>Mesa Dr_5811_Post Park Mesa_Austin</t>
  </si>
  <si>
    <t>Duval Rd_3220_Barrington at Park Place_Austin</t>
  </si>
  <si>
    <t>Riverside Dr E_1500_Breakers on the Lake_Austin</t>
  </si>
  <si>
    <t>Park Plaza Dr_829_Park Plaza_Austin</t>
  </si>
  <si>
    <t>Mellow Meadow Dr_10616_Park West Condo Apts_Austin</t>
  </si>
  <si>
    <t>Wells Branch Pkwy_1915_Park at Wells Branch_Austin</t>
  </si>
  <si>
    <t>Pleasant Valley Rd S_1300_The Park_Austin</t>
  </si>
  <si>
    <t>5th St S_2207_Pastures_Austin</t>
  </si>
  <si>
    <t>Plaza Dr N_8805_Pebble Creek I &amp; II_Austin</t>
  </si>
  <si>
    <t>Lamar Blvd N_5200_Pecan Grove_Austin</t>
  </si>
  <si>
    <t>290 Hwy E_7227_Penbrook Club_Austin</t>
  </si>
  <si>
    <t>35 IH N_8800_Solano_Austin</t>
  </si>
  <si>
    <t>Penny Ln_2601_Abbey Road_Austin</t>
  </si>
  <si>
    <t>Wickersham Ln_2207_Pinto Creek_Austin</t>
  </si>
  <si>
    <t>Cromwell Cir_2430_Lexington Hills_Austin</t>
  </si>
  <si>
    <t>Pleasant Valley Rd S_2200_Metropolis_Austin</t>
  </si>
  <si>
    <t>Cahill Dr_8519_Polo Club_Austin</t>
  </si>
  <si>
    <t>290 Hwy E_6855_Capitol Village_Austin</t>
  </si>
  <si>
    <t>Northgate Blvd_9001_Avalon Palms II_Austin</t>
  </si>
  <si>
    <t>Airport Blvd_4411_The Princeton_Austin</t>
  </si>
  <si>
    <t>Ridgepoint Dr_2250_Promontory Point_Austin</t>
  </si>
  <si>
    <t>Tandem Blvd_14300_The Cottages at Wells Branch_Austin</t>
  </si>
  <si>
    <t>Mearns Meadow Blvd_1200_Quail Run_Austin</t>
  </si>
  <si>
    <t>Victory Dr_4017_Tramor at the Quest_Austin</t>
  </si>
  <si>
    <t>Metric Blvd_12001_Broadmoor_Austin</t>
  </si>
  <si>
    <t>Reagan Hill Dr_1500_Lantern Hill &amp; Reagan Hill_Austin</t>
  </si>
  <si>
    <t>Barwood Park_600_Remington House_Austin</t>
  </si>
  <si>
    <t>Research Blvd_8220_Research Pointe_Austin</t>
  </si>
  <si>
    <t>Taylor Draper Ln_11266_Museo_Austin</t>
  </si>
  <si>
    <t>Wood Hollow Dr_6805_The Ridge_Austin</t>
  </si>
  <si>
    <t>Royal Crest Dr_1616_University Crest_Austin</t>
  </si>
  <si>
    <t>River Crossing Cir_1845_River Crossing_Austin</t>
  </si>
  <si>
    <t>Medical Arts St_3001_River Oaks_Austin</t>
  </si>
  <si>
    <t>Town Lake Cir_2409_Las Palmas_Austin</t>
  </si>
  <si>
    <t>Willow Creek Dr_2005_Bluffs at Town Lake_Austin</t>
  </si>
  <si>
    <t>Cromwell Cir_2239_Landry Place_Austin</t>
  </si>
  <si>
    <t>Riverside Dr E_300_SoCo on the Lake_Austin</t>
  </si>
  <si>
    <t>Riverside Dr E_222_Riverside Square_Austin</t>
  </si>
  <si>
    <t>Greystone Dr_3600_Northwest Hills_Austin</t>
  </si>
  <si>
    <t>Rockwood Ln_8615_Rockwood_Austin</t>
  </si>
  <si>
    <t>Northgate Blvd_9300_Avalon Palms I_Austin</t>
  </si>
  <si>
    <t>Rundberg Ln W_1809_Rundberg West_Austin</t>
  </si>
  <si>
    <t>Rutland Dr_1101_Runnymede_Austin</t>
  </si>
  <si>
    <t>Rutland Dr_1711_Rutland Place I &amp; II_Austin</t>
  </si>
  <si>
    <t>Gracy Farms Ln_2600_The Village At Gracy Farms_Austin</t>
  </si>
  <si>
    <t>Manor Rd_2604_Sagebrush_Austin</t>
  </si>
  <si>
    <t>Stassney Ln W_1016_Salem Walk_Austin</t>
  </si>
  <si>
    <t>1st St S_5816_The Arts Apts at Turtle Creek_Austin</t>
  </si>
  <si>
    <t>Lamar Blvd N_8071_Santa Maria Village_Austin</t>
  </si>
  <si>
    <t>Hart Ln_7201_Acacia Cliffs_Austin</t>
  </si>
  <si>
    <t>Manor Rd_2401_Eastside Commons_Austin</t>
  </si>
  <si>
    <t>70 Hwy W_8001_Settlers Creek_Austin</t>
  </si>
  <si>
    <t>Jollyville Rd_12148_Shadow Oaks_Austin</t>
  </si>
  <si>
    <t>Camino La Costa_1114_Magnolia Court_Austin</t>
  </si>
  <si>
    <t>Congress Ave S_4320_Sierra Vista_Austin</t>
  </si>
  <si>
    <t>Lakeshore Blvd S_1801_Shoreline_Austin</t>
  </si>
  <si>
    <t>Saint Elmo Rd W_201_Sierra Ridge_Austin</t>
  </si>
  <si>
    <t>1st St S_2900_Silvercreek_Austin</t>
  </si>
  <si>
    <t>35 IH N_8900_Capella_Austin</t>
  </si>
  <si>
    <t>Nimbus Dr_1001_Skyview Village_Pflugerville</t>
  </si>
  <si>
    <t>35 IH S_2001_South Cliff_Austin</t>
  </si>
  <si>
    <t>35 IH S_3209_Mission Grace Woods_Austin</t>
  </si>
  <si>
    <t>35 IH S_6808_South Point Village_Austin</t>
  </si>
  <si>
    <t>Mays St S_1200_Vista Ridge_Round Rock</t>
  </si>
  <si>
    <t>Southridge Dr_3603_Bainbridge Villas_Austin</t>
  </si>
  <si>
    <t>Spicewood Springs Rd_8617_Spicewood Springs_Austin</t>
  </si>
  <si>
    <t>Loyola Ln_4803_Spring Hollow_Austin</t>
  </si>
  <si>
    <t>Springdale Rd_6407_Tierra Bella_Austin</t>
  </si>
  <si>
    <t>Duval Rd_4716_The Springs Garden Homes_Austin</t>
  </si>
  <si>
    <t>Spyglass Dr_1781_Mission Barton Creek_Austin</t>
  </si>
  <si>
    <t>Rutland Dr_1630_Austin Commons_Austin</t>
  </si>
  <si>
    <t>Stassney Ln E_1800_Stassney Woods_Austin</t>
  </si>
  <si>
    <t>William Cannon Dr W_2809_Sterling Springs_Austin</t>
  </si>
  <si>
    <t>Lamar Blvd N_10401_Sterling Village_Austin</t>
  </si>
  <si>
    <t>Lamar Blvd S_1500_Stoneridge (Demolished)_Austin</t>
  </si>
  <si>
    <t>Ave B #110_4310_Stonewood Village_Austin</t>
  </si>
  <si>
    <t>Manchaca Rd_4911_Stony Creek_Austin</t>
  </si>
  <si>
    <t>Plaza Dr N_9200_Shadow Creek_Austin</t>
  </si>
  <si>
    <t>1st St S_3200_Stoney Ridge_Austin</t>
  </si>
  <si>
    <t>Oltorf St E_1817_Sienna Ridge_Austin</t>
  </si>
  <si>
    <t>39th St W_103_Su Casa_Austin</t>
  </si>
  <si>
    <t>San Felipe Blvd_7905_Summer Grove_Austin</t>
  </si>
  <si>
    <t>William Cannon Dr W_744_Club at Summer Valley_Austin</t>
  </si>
  <si>
    <t>Georgetown St N_1101_Summerset_Round Rock</t>
  </si>
  <si>
    <t>San Felipe Blvd_7900_Summit Creek_Austin</t>
  </si>
  <si>
    <t>Sunrise Rd_1200_Sunchase_Round Rock</t>
  </si>
  <si>
    <t>Banister Ln_1006_Sundance_Austin</t>
  </si>
  <si>
    <t>Oltorf St E_501_Sunnymeade_Austin</t>
  </si>
  <si>
    <t>Cardinal Loop W_2426_Sunscape_Del Valle</t>
  </si>
  <si>
    <t>Wells Branch Pkwy_2323_Sweetwater at Wells Branch_Austin</t>
  </si>
  <si>
    <t>Tallwood Dr_8810_The Arbor at Tallwood_Austin</t>
  </si>
  <si>
    <t>Aftonshire Way_2915_Mission Tanglewood_Austin</t>
  </si>
  <si>
    <t>45th St E_1020_Tanglewood North_Austin</t>
  </si>
  <si>
    <t>Wonsley Dr E_615_Towne Oaks II_Austin</t>
  </si>
  <si>
    <t>1st St S_614_Timbercreek_Austin</t>
  </si>
  <si>
    <t>Anderson Ln E_500_Towne Oaks I_Austin</t>
  </si>
  <si>
    <t>Treadwell St_1200_Treadwell Condos_Austin</t>
  </si>
  <si>
    <t>Metric Blvd_11511_Trails of Walnut Creek_Austin</t>
  </si>
  <si>
    <t>Ed Bluestein Blvd_6600_Travis Station_Austin</t>
  </si>
  <si>
    <t>Clayton Ln_1071_Trestles of Austin_Austin</t>
  </si>
  <si>
    <t>Leon St_2518_Viewpoint_Austin</t>
  </si>
  <si>
    <t>Longview St_2505_Villa Vallarta_Austin</t>
  </si>
  <si>
    <t>Burton Dr_2101_Park View at Town Lake_Austin</t>
  </si>
  <si>
    <t>NE Dr_7224_Trails at Vintage Creek_Austin</t>
  </si>
  <si>
    <t>Jollyville Rd_10926_Village Oaks_Austin</t>
  </si>
  <si>
    <t>Gessner Dr_8033_Village Park_Austin</t>
  </si>
  <si>
    <t>Camino La Costa_1016_Villas of La Costa_Austin</t>
  </si>
  <si>
    <t>Southport Dr_1508_The Villas at Oak Run_Austin</t>
  </si>
  <si>
    <t>Lamar Blvd N_9036_Villas of Quail Creek_Austin</t>
  </si>
  <si>
    <t>Springdale Rd_6409_Walnut Creek_Austin</t>
  </si>
  <si>
    <t>Cedar Bend Dr_2000_Walnut Creek Crossing_Austin</t>
  </si>
  <si>
    <t>NE Dr_7211_Walnut Grove_Austin</t>
  </si>
  <si>
    <t>24th St W_1302_West 24th Street Apts_Austin</t>
  </si>
  <si>
    <t>Mellow Meadow Dr_12403_Westwood_Austin</t>
  </si>
  <si>
    <t>Parker Ln_3300_Whisper Hollow_Austin</t>
  </si>
  <si>
    <t>Saint Elmo Rd W_400_The Arts Apts at South Austin_Austin</t>
  </si>
  <si>
    <t>Faro Dr_1511_Wildcreek_Austin</t>
  </si>
  <si>
    <t>Lamar Blvd N_8912_Wildflower_Austin</t>
  </si>
  <si>
    <t>Cameron Rd_7610_Wildwood_Austin</t>
  </si>
  <si>
    <t>1st St S_5112_Williamson Creek_Austin</t>
  </si>
  <si>
    <t>William Cannon Dr E_412_Willow Brook_Austin</t>
  </si>
  <si>
    <t>Willow Creek Dr_1911_Austin View_Austin</t>
  </si>
  <si>
    <t>Spyglass Dr_1300_The Ridge at Barton Creek_Austin</t>
  </si>
  <si>
    <t>Research Blvd_11411_Wind River Crossing_Austin</t>
  </si>
  <si>
    <t>Northgate Blvd_9024_Ashbury Parke_Austin</t>
  </si>
  <si>
    <t>Steck Ave_3605_Le Montreaux_Austin</t>
  </si>
  <si>
    <t>Burnet Rd_8524_Woodchase_Austin</t>
  </si>
  <si>
    <t>Manchaca Rd_3622_Woodgate_Austin</t>
  </si>
  <si>
    <t>Greystone Dr_3524_Woodhollow_Austin</t>
  </si>
  <si>
    <t>Lakeshore Blvd S_2201_Chelsea on Town Lake_Austin</t>
  </si>
  <si>
    <t>35 IH N_8312_Woodland Heights_Austin</t>
  </si>
  <si>
    <t>Burleson Rd_2507_Burleson Place_Austin</t>
  </si>
  <si>
    <t>Rutland Dr_1735_Woodmark_Austin</t>
  </si>
  <si>
    <t>Wickersham Ln_2501_Woodmeade_Austin</t>
  </si>
  <si>
    <t>Lamar Blvd S_3505_Woodmoor_Austin</t>
  </si>
  <si>
    <t>Barton Skyway_2901_The Woods On Barton Skyway_Austin</t>
  </si>
  <si>
    <t>Steck Ave_4021_Woodstone_Austin</t>
  </si>
  <si>
    <t>Greystone Dr_3543_Westdale Parke_Austin</t>
  </si>
  <si>
    <t>William Cannon Dr W_117_Cannon South_Austin</t>
  </si>
  <si>
    <t>Woodward St_121_Lindys Landing_Austin</t>
  </si>
  <si>
    <t>1st St S_600_The Willows_Austin</t>
  </si>
  <si>
    <t>53rd St E_600_The Elms_Austin</t>
  </si>
  <si>
    <t>30th St W_610_Fountain Terrace_Austin</t>
  </si>
  <si>
    <t>51st St W_600_Villa Solano_Austin</t>
  </si>
  <si>
    <t>32nd St W_711_Buckingham Square_Austin</t>
  </si>
  <si>
    <t>Battle Bend Blvd_911_Oak Bend_Austin</t>
  </si>
  <si>
    <t>Camino La Costa_1044_MacKenzie Pointe_Austin</t>
  </si>
  <si>
    <t>Oltorf St E_1110_Travis Park_Austin</t>
  </si>
  <si>
    <t>Gunter St_1137_Mason Manor_Austin</t>
  </si>
  <si>
    <t>Kinney Ave_1507_Cloisters West_Austin</t>
  </si>
  <si>
    <t>Aquarena Springs Dr_1640_Shalamar_San Marcos</t>
  </si>
  <si>
    <t>Elmont Dr_2101_Barcelona_Austin</t>
  </si>
  <si>
    <t>Anderson Ln E_2104_Salado at Walnut Creek_Austin</t>
  </si>
  <si>
    <t>Loop W N_2200_Kensington Court_Austin</t>
  </si>
  <si>
    <t>Willow Creek Dr_2201_Renaissance Park_Austin</t>
  </si>
  <si>
    <t>Loop W N_2200_Kensington Terrace_Austin</t>
  </si>
  <si>
    <t>Loop W N_2211_French Quarter_Austin</t>
  </si>
  <si>
    <t>Wilson St_2324_Oak Creek Village_Austin</t>
  </si>
  <si>
    <t>Manor Rd_2506_Archways_Austin</t>
  </si>
  <si>
    <t>Wheless Ln_2606_Westheimer Oaks_Austin</t>
  </si>
  <si>
    <t>Congress Ave S_2703_Heights on Congress_Austin</t>
  </si>
  <si>
    <t>Willow Springs Rd_3601_Woodwillow TH_Austin</t>
  </si>
  <si>
    <t>Summer Oaks Dr_1304_Oak Run_Austin</t>
  </si>
  <si>
    <t>Springdale Rd_1054_Springdale Gardens_Austin</t>
  </si>
  <si>
    <t>Southway Dr_3819_South Hill_Austin</t>
  </si>
  <si>
    <t>Harmon Ave_4709_The Village at 47th_Austin</t>
  </si>
  <si>
    <t>Manor Rd_5020_Harvard Place_Austin</t>
  </si>
  <si>
    <t>Lamar Blvd N_5606_Hidden Gardens_Austin</t>
  </si>
  <si>
    <t>Lamar Blvd N_6008_Central Park I_Austin</t>
  </si>
  <si>
    <t>Manor Rd_6103_Manor Palms_Austin</t>
  </si>
  <si>
    <t>Duval St_7200_Mi Casa_Austin</t>
  </si>
  <si>
    <t>Fathom Cir_8312_Laurel Woods_Austin</t>
  </si>
  <si>
    <t>Shoal Creek Blvd_8515_Shoal Creek Arms_Austin</t>
  </si>
  <si>
    <t>Shoal Creek Blvd_8605_Shoal Creek North_Austin</t>
  </si>
  <si>
    <t>Galewood Dr_9010_Galewood Gardens_Austin</t>
  </si>
  <si>
    <t>Quail Blvd_9920_Quail Park Village_Austin</t>
  </si>
  <si>
    <t>Elmont Dr_2510_The Addington_Austin</t>
  </si>
  <si>
    <t>Town Lake Cir_2439_Warren House_Austin</t>
  </si>
  <si>
    <t>Dawson Rd_516_Park Terrace at Town Lake_Austin</t>
  </si>
  <si>
    <t>Cumberland Dr_130_The Oaks_Austin</t>
  </si>
  <si>
    <t>Rio Grande St_1801_Penthouse_Austin</t>
  </si>
  <si>
    <t>39th St W_415_Andrews Place_Austin</t>
  </si>
  <si>
    <t>40th St E_901_Granada_Austin</t>
  </si>
  <si>
    <t>Speedway St_3100_The Marks &amp; The Embers_Austin</t>
  </si>
  <si>
    <t>Winflo Dr_809_Park Place_Austin</t>
  </si>
  <si>
    <t>Bluff Springs Rd_7100_Bluff Springs TH_Austin</t>
  </si>
  <si>
    <t>26th St W_600_26 West_Austin</t>
  </si>
  <si>
    <t>Chisolm Valley Dr_1221_Westwind_Round Rock</t>
  </si>
  <si>
    <t>Manor Rd_5005_Windcrest_Austin</t>
  </si>
  <si>
    <t>15th St W_708_Victorian Villages_Georgetown</t>
  </si>
  <si>
    <t>W Ave_2907_Warwick_Austin</t>
  </si>
  <si>
    <t>Robbie Ln_200_Englebrook-San Marcos_San Marcos</t>
  </si>
  <si>
    <t>Craddock Ave_317_Executive TH_San Marcos</t>
  </si>
  <si>
    <t>Aquarena Springs Dr_1200_Hidden Village_San Marcos</t>
  </si>
  <si>
    <t>San Marcos Pkwy_1109_Florencia Villas_San Marcos</t>
  </si>
  <si>
    <t>Clarewood Dr_1400_Clarewood_San Marcos</t>
  </si>
  <si>
    <t>Thorpe Ln_1348_The Summit_San Marcos</t>
  </si>
  <si>
    <t>Peques St_900_The Timbers_San Marcos</t>
  </si>
  <si>
    <t>Aquarena Springs Dr_1631_Ye Olde Colony_San Marcos</t>
  </si>
  <si>
    <t>12 RR_1518_Highcrest Apts_San Marcos</t>
  </si>
  <si>
    <t>35 IH N_1703_Avalon_San Marcos</t>
  </si>
  <si>
    <t>35 IH N_1805_The Verandah_San Marcos</t>
  </si>
  <si>
    <t>Leah Ave_1101_Cedars of San Marcos_San Marcos</t>
  </si>
  <si>
    <t>River Rd W_705_Colony Square Condos_San Marcos</t>
  </si>
  <si>
    <t>LBJ Dr N_800_Treehouse_San Marcos</t>
  </si>
  <si>
    <t>1st St_201_Village Green_San Marcos</t>
  </si>
  <si>
    <t>Aquarena Springs Dr_1805_Riverside Ranch_San Marcos</t>
  </si>
  <si>
    <t>W Ave_112_Westfield_San Marcos</t>
  </si>
  <si>
    <t>Craddock Ave_205_Langtry_San Marcos</t>
  </si>
  <si>
    <t>Wood W_327_Texas State Apts_San Marcos</t>
  </si>
  <si>
    <t>LBJ Dr N_1230_Hill Country-San Marcos_San Marcos</t>
  </si>
  <si>
    <t>Ramsay_222_Iconic Village_San Marcos</t>
  </si>
  <si>
    <t>Linda Dr_520_Townwood_San Marcos</t>
  </si>
  <si>
    <t>LBJ Dr N_1000_Vintage Pads_San Marcos</t>
  </si>
  <si>
    <t>Spicewood Springs Rd_4411_The Marquis at Caprock Canyon_Austin</t>
  </si>
  <si>
    <t>Metric Blvd_12113_Madison at Walnut Creek_Austin</t>
  </si>
  <si>
    <t>Capital of TX Hwy N_6804_The McClintock_Austin</t>
  </si>
  <si>
    <t>Wilson St_1320_Lockhart_Lockhart</t>
  </si>
  <si>
    <t>Spinnaker St_400_The Landing_Lockhart</t>
  </si>
  <si>
    <t>Pine Point Dr_1_Pine Point_Bastrop</t>
  </si>
  <si>
    <t>Childers Dr_202_The Arbors of Bastrop_Bastrop</t>
  </si>
  <si>
    <t>Willow Creek Dr_2200_Bridge Hollow_Austin</t>
  </si>
  <si>
    <t>Wonder World Dr_1350_Asbury Place_San Marcos</t>
  </si>
  <si>
    <t>Stonelake Blvd_9801_Arboretum at Stone Lake_Austin</t>
  </si>
  <si>
    <t>Monterey Oaks Blvd_4201_Sedona Springs_Austin</t>
  </si>
  <si>
    <t>McNeil Dr_6280_McNeil Ranch_Austin</t>
  </si>
  <si>
    <t>Duval Rd_3625_San Marin_Austin</t>
  </si>
  <si>
    <t>Capital of Texas Hwy N_7700_Canyon Springs on Bull Creek_Austin</t>
  </si>
  <si>
    <t>Metric Blvd_12349_Camden Huntingdon_Austin</t>
  </si>
  <si>
    <t>Great Hills Trl_10050_Marquis at Great Hills_Austin</t>
  </si>
  <si>
    <t>McNeil Dr_6800_Madison at Stone Creek_Austin</t>
  </si>
  <si>
    <t>Luther Dr_600_Indian Creek Apts_Georgetown</t>
  </si>
  <si>
    <t>Mearns Meadow Blvd_1070_Arbors of Austin_Austin</t>
  </si>
  <si>
    <t>Bluffstone Cove_8701_Broadstone Great Hills_Austin</t>
  </si>
  <si>
    <t>Hobby Horse Ct_11900_Verano at the Domain_Austin</t>
  </si>
  <si>
    <t>Panther Trl_2200_The Hamilton_Austin</t>
  </si>
  <si>
    <t>Jollyville Rd_11624_Marquis at Ladera Vista_Austin</t>
  </si>
  <si>
    <t>Palm Valley Blvd E_515_Steeplechase_Round Rock</t>
  </si>
  <si>
    <t>Seton Center Pkwy_4600_Estate on Quarry Lake_Austin</t>
  </si>
  <si>
    <t>Austin Center Blvd_6800_Somerset TH_Austin</t>
  </si>
  <si>
    <t>Wells Branch Pkwy_3101_Camden Ridgecrest_Austin</t>
  </si>
  <si>
    <t>Bluff Springs Rd_6307_Colonial Village at Canyon Hills_Austin</t>
  </si>
  <si>
    <t>35 IH N_12151_Silver Springs_Austin</t>
  </si>
  <si>
    <t>Manchaca Rd_9323_The Crossing_Austin</t>
  </si>
  <si>
    <t>Stonehollow Dr_11915_Northland at Stonehollow_Austin</t>
  </si>
  <si>
    <t>Spicewood Springs Rd_5217_Marquis at Treetops_Austin</t>
  </si>
  <si>
    <t>Metric Blvd_12100_Chez Moi_Austin</t>
  </si>
  <si>
    <t>Staggerbrush Rd_4701_IMT Monterey Ranch_Austin</t>
  </si>
  <si>
    <t>Century Park Blvd_3201_Madison at Wells Branch_Austin</t>
  </si>
  <si>
    <t>Riverside Dr E_4700_The Edge and The Zone at East End_Austin</t>
  </si>
  <si>
    <t>Lake Austin Blvd_2600_Gables Town Lake_Austin</t>
  </si>
  <si>
    <t>William Cannon W_6636_Lantana Ridge_Austin</t>
  </si>
  <si>
    <t>La Frontera Blvd_2811_Limestone Ranch_Austin</t>
  </si>
  <si>
    <t>Nelms Dr_1704_Sunrise Bluff_Austin</t>
  </si>
  <si>
    <t>Gaines Ranch Loop_4424_Camden Gaines Ranch_Austin</t>
  </si>
  <si>
    <t>McNeil Dr_6263_Colonial Village at Quarry Oaks_Austin</t>
  </si>
  <si>
    <t>Brodie Ln_5800_The Grand Reserve at Sunset Valley_Austin</t>
  </si>
  <si>
    <t>Parmer Ln W_3401_Water's Park_Austin</t>
  </si>
  <si>
    <t>Congress Ave S_1221_State House on Congress_Austin</t>
  </si>
  <si>
    <t>Park Plaza Dr_1088_Forest Park_Austin</t>
  </si>
  <si>
    <t>Palm Valley Blvd E_1801_Rocking Horse Ranch_Round Rock</t>
  </si>
  <si>
    <t>Masterson Pass_607_Arrowhead Park_Austin</t>
  </si>
  <si>
    <t>Hills Dr N_3600_Bent Oaks_Austin</t>
  </si>
  <si>
    <t>Merrilltown Dr_14745_Lodge at Merrilltown I &amp; II_Austin</t>
  </si>
  <si>
    <t>Walnut Park Crossing_12118_Limestone Canyon_Austin</t>
  </si>
  <si>
    <t>Faro Dr_1612_Paradise Oaks_Austin</t>
  </si>
  <si>
    <t>Wells Branch Pkwy_1720_Wyndhaven at Wells Branch_Austin</t>
  </si>
  <si>
    <t>Metric Blvd_13401_Madison at Scofield Farms_Austin</t>
  </si>
  <si>
    <t>Riverside Dr E_4501_Country Club Creek_Austin</t>
  </si>
  <si>
    <t>Aquarena Springs Dr_1951_Country Oaks_San Marcos</t>
  </si>
  <si>
    <t>Aquarena Springs Dr_1950_River Oaks Villas_San Marcos</t>
  </si>
  <si>
    <t>LBJ Dr N_1350_Hillside Ranch I &amp; II_San Marcos</t>
  </si>
  <si>
    <t>Lamar Blvd S_3816_The Retreat at Barton Creek_Austin</t>
  </si>
  <si>
    <t>38th St W_800_Gables Central Park_Austin</t>
  </si>
  <si>
    <t>Spicewood Springs Rd_8585_Terrazzo Apts_Austin</t>
  </si>
  <si>
    <t>Brodie Ln_6607_River Oaks_Austin</t>
  </si>
  <si>
    <t>William Cannon Dr_3014_Highlands Hill Country_Austin</t>
  </si>
  <si>
    <t>SW Pkwy_5604_The Preserve at Travis Creek_Austin</t>
  </si>
  <si>
    <t>Mopac Expwy S_2301_Gables at the Terrace_Austin</t>
  </si>
  <si>
    <t>Mopac Expwy S_5417_Austin Trails_Austin</t>
  </si>
  <si>
    <t>Scofield Ridge Pkwy_2600_Scofield Park at Austin_Austin</t>
  </si>
  <si>
    <t>Crossing Place_1300_University Estates at Austin_Austin</t>
  </si>
  <si>
    <t>Mopac Expwy S_5701_River Stone Ranch_Austin</t>
  </si>
  <si>
    <t>Linda Dr_518_Kelsea Place_San Marcos</t>
  </si>
  <si>
    <t>Wells Branch Pkwy_2800_IMT Wells Branch_Austin</t>
  </si>
  <si>
    <t>620 RR N_8801_Sonterra I_Austin</t>
  </si>
  <si>
    <t>Mopac Expwy S_2001_Post Barton Creek_Austin</t>
  </si>
  <si>
    <t>Wonder World Dr_1011_The Palazzo I_San Marcos</t>
  </si>
  <si>
    <t>Parmer Ln W_9400_The Ranch_Austin</t>
  </si>
  <si>
    <t>Cypress Creek Rd_335_Cypress Gardens_Cedar Park</t>
  </si>
  <si>
    <t>Post Rd_1629_Post Road Place_San Marcos</t>
  </si>
  <si>
    <t>Stassney Ln E_500_Falcon Ridge_Austin</t>
  </si>
  <si>
    <t>Aquarena Springs Dr_1623_Spring West_San Marcos</t>
  </si>
  <si>
    <t>Decker Ln_7000_Huntington Meadows_Austin</t>
  </si>
  <si>
    <t>Clayton Ln_1034_The Timbers_Austin</t>
  </si>
  <si>
    <t>Parmer Ln W_9801_Sycamore Springs_Austin</t>
  </si>
  <si>
    <t>Alameda Trace Cir_12345_RIATA-Rock Creek_Austin</t>
  </si>
  <si>
    <t>Alameda Trace Cir_12320_RIATA-Enclave_Austin</t>
  </si>
  <si>
    <t>Alameda Trace Cir_12370_RIATA-Arrow Wood_Austin</t>
  </si>
  <si>
    <t>Riata Trace Pkwy_12610_RIATA-Myles Mark_Austin</t>
  </si>
  <si>
    <t>Bagdad Rd S_2702_Cedar Ridge I_Leander</t>
  </si>
  <si>
    <t>Post Rd_1617_Post Oak Villa_San Marcos</t>
  </si>
  <si>
    <t>W Ave_109_University Springs_San Marcos</t>
  </si>
  <si>
    <t>Brodie Ln_8710_Deerfield_Austin</t>
  </si>
  <si>
    <t>2222 RM_10301_Riverlodge_Austin</t>
  </si>
  <si>
    <t>22nd St W_550_The Oaks at Georgetown_Georgetown</t>
  </si>
  <si>
    <t>Riverbend_200_Westwood TH_Georgetown</t>
  </si>
  <si>
    <t>Barton Creek Blvd_2716_Sendera Barton Creek_Austin</t>
  </si>
  <si>
    <t>Christopher Ave_1338_Westwind Duplexes_Round Rock</t>
  </si>
  <si>
    <t>Exchange Dr_8054_Palms of Walnut Creek_Austin</t>
  </si>
  <si>
    <t>Sunridge Dr_2900_Mission Hills_Austin</t>
  </si>
  <si>
    <t>Wickersham Ln_1600_Ion at East End_Austin</t>
  </si>
  <si>
    <t>Monterey Oaks Blvd_4701_The Park at Monterey Oaks_Austin</t>
  </si>
  <si>
    <t>Louis Henna Blvd_2501_Montelena_Round Rock</t>
  </si>
  <si>
    <t>Louis Henna Blvd_700_Stonehaven_Round Rock</t>
  </si>
  <si>
    <t>Austin Ave N_2111_Parkview Place_Georgetown</t>
  </si>
  <si>
    <t>Alameda Trace Cir_12445_RIATA-Grey Moss_Austin</t>
  </si>
  <si>
    <t>Tapadera Trace Ln_5700_RIATA-Wood Trail_Austin</t>
  </si>
  <si>
    <t>Boulder Ln_10320_Sonterra II_Austin</t>
  </si>
  <si>
    <t>290 Hwy W_7631_Vineyard Hills_Austin</t>
  </si>
  <si>
    <t>La Cresada Dr_8801_Legacy at Western Oaks_Austin</t>
  </si>
  <si>
    <t>Lamplight Village Ave_12345_Renaissance at Northbend_Austin</t>
  </si>
  <si>
    <t>Colorado St S_1817_Southpark Village_Lockhart</t>
  </si>
  <si>
    <t>Louis Henna Blvd_2500_Henna TH_Round Rock</t>
  </si>
  <si>
    <t>Alameda Trace Cir_12340_RIATA-Dominion_Austin</t>
  </si>
  <si>
    <t>Alameda Trace Cir_12440_RIATA-Buena Vista_Austin</t>
  </si>
  <si>
    <t>Old Manchaca Rd_10801_Saddle Creek_Austin</t>
  </si>
  <si>
    <t>Aquarena Springs Dr_1975_The Zone At San Marcos_San Marcos</t>
  </si>
  <si>
    <t>12 RR_1740_The Edge_San Marcos</t>
  </si>
  <si>
    <t>Douglas St_2347_Douglas Landing_Austin</t>
  </si>
  <si>
    <t>Tech Ridge Blvd_12501_San Paloma_Austin</t>
  </si>
  <si>
    <t>Riverside Dr E_2425_Mountain Ranch_Austin</t>
  </si>
  <si>
    <t>Anderson Mill Rd (FM 2769)_11908_Marquis at Volente_Austin</t>
  </si>
  <si>
    <t>Waters Edge Cir_25_Waters Edge_Georgetown</t>
  </si>
  <si>
    <t>Parmer Ln W_7011_IMT Rattan Creek_Austin</t>
  </si>
  <si>
    <t>Congress Ave S_1007_Camden South Congress_Austin</t>
  </si>
  <si>
    <t>Slaughter Ln W_815_Trails at the Park_Austin</t>
  </si>
  <si>
    <t>Parmer Ln W_9500_Ventana Oaks_Austin</t>
  </si>
  <si>
    <t>Exchange Dr_8038_The Reserve at Walnut Creek_Austin</t>
  </si>
  <si>
    <t>Shoreline Dr_3400_Parkside Crossing_Austin</t>
  </si>
  <si>
    <t>Creek Dr S_1111_Colonial Village at Sierra Vista_Round Rock</t>
  </si>
  <si>
    <t>Louis Henna Blvd_670_The Mansions at Round Rock_Round Rock</t>
  </si>
  <si>
    <t>Tech Ridge Blvd_12443_Mandalay_Austin</t>
  </si>
  <si>
    <t>Oltorf St E_4404_University Canyon aka The Heights in Austin_Austin</t>
  </si>
  <si>
    <t>Lake Creek Pkwy_10015_Presidio_Austin</t>
  </si>
  <si>
    <t>Blessing Ave_7607_St. Johns Village_Austin</t>
  </si>
  <si>
    <t>Parmer Ln W_5400_Lodge at Stone Oak Ranch_Austin</t>
  </si>
  <si>
    <t>Craddock_121_The Metropolitan_San Marcos</t>
  </si>
  <si>
    <t>Wonder World Dr_1011_The Palazzo II_San Marcos</t>
  </si>
  <si>
    <t>620 FM N_13425_Talavera_Austin</t>
  </si>
  <si>
    <t>183 Hwy N_13355_Toscana_Austin</t>
  </si>
  <si>
    <t>620 FM N_8025_ALARA Canyon Creek_Austin</t>
  </si>
  <si>
    <t>620 RR N_8021_Alara Cantebrea Crossing_Austin</t>
  </si>
  <si>
    <t>Parmer Ln_8701_The Artisan_Austin</t>
  </si>
  <si>
    <t>W Ave_300_Gables West Avenue_Austin</t>
  </si>
  <si>
    <t>Shoreline Dr_3501_The Estates at Shoreline_Austin</t>
  </si>
  <si>
    <t>William Cannon Dr W_1500_Tramor at Cannon Place_Austin</t>
  </si>
  <si>
    <t>35 IH N_1606_Autumn Chase_San Marcos</t>
  </si>
  <si>
    <t>Lakeline Blvd S_1600_Red Stone Ranch_Cedar Park</t>
  </si>
  <si>
    <t>Warner Ranch Dr_1801_The Lodge at Warner Ranch_Round Rock</t>
  </si>
  <si>
    <t>La Frontera Blvd_2800_The Enclave at La Frontera_Round Rock</t>
  </si>
  <si>
    <t>Foothill Farms Loop_15835_1825 Place AH_Pflugerville</t>
  </si>
  <si>
    <t>Oltorf St E_4900_Austin Cityview_Austin</t>
  </si>
  <si>
    <t>Davis Ln_4825_Camden Stoneleigh_Austin</t>
  </si>
  <si>
    <t>Harrisglenn Dr_12800_Settlers Ridge_Austin</t>
  </si>
  <si>
    <t>1325 FM_15450_The Preserve at Rolling Oaks_Austin</t>
  </si>
  <si>
    <t>Leah Ave_1001_Park Hill_San Marcos</t>
  </si>
  <si>
    <t>Techni Center_5800_Fort Branch at Trumans Landing_Austin</t>
  </si>
  <si>
    <t>Elmont Dr_4600_The Ball Park At Austin_Austin</t>
  </si>
  <si>
    <t>Crossing Place_1301_University Village at Austin_Austin</t>
  </si>
  <si>
    <t>Quail Valley Dr_805_Georgetown Place_Georgetown</t>
  </si>
  <si>
    <t>Old Settlers Blvd E_1201_Parkwood Terrace_Round Rock</t>
  </si>
  <si>
    <t>620 RR N_8600_Verandah at Grandview Hills_Austin</t>
  </si>
  <si>
    <t>620 FM N_7655_Tintara at Canyon Creek I_Austin</t>
  </si>
  <si>
    <t>620 FM N_9009_Monterone Canyon Creek_Austin</t>
  </si>
  <si>
    <t>Old Bee Cave Rd_8405_Southwest Trails-AH_Austin</t>
  </si>
  <si>
    <t>O'Connor Dr_7710_Monterone Round Rock_Round Rock</t>
  </si>
  <si>
    <t>Champion Blvd_345_Champions Crossing_San Marcos</t>
  </si>
  <si>
    <t>35 IH S_1506_Villas at Willow Springs_San Marcos</t>
  </si>
  <si>
    <t>Steiner Ranch Blvd_4500_Monterone at Steiner Ranch_Austin</t>
  </si>
  <si>
    <t>Jackson Keller_1550_The Enclave at 1550_San Antonio</t>
  </si>
  <si>
    <t>Stone Oak Pkwy_19275_Toscana at Sonterra_San Antonio</t>
  </si>
  <si>
    <t>Sahara Dr_10363_Alamo_San Antonio</t>
  </si>
  <si>
    <t>Hutchins Place W_2800_Alta Vista_San Antonio</t>
  </si>
  <si>
    <t>Starcrest Dr_12474_Altamonte_San Antonio</t>
  </si>
  <si>
    <t>Amber Place W_131_Amber_San Antonio</t>
  </si>
  <si>
    <t>Randoph Blvd_6000_Amberton_San Antonio</t>
  </si>
  <si>
    <t>Fredericksburg Rd_3939_Antonian_San Antonio</t>
  </si>
  <si>
    <t>USAA Blvd_5100_Huebner Oaks_San Antonio</t>
  </si>
  <si>
    <t>Heimer Rd_250_Arbor Hill_San Antonio</t>
  </si>
  <si>
    <t>W Ave_3815_Arbor Place_San Antonio</t>
  </si>
  <si>
    <t>Villa Dr_135_Villa Mesa_Universal City</t>
  </si>
  <si>
    <t>Blanco Rd_5200_Arriba En Blanco_San Antonio</t>
  </si>
  <si>
    <t>Henderson Pass_16400_Ashley Oaks_San Antonio</t>
  </si>
  <si>
    <t>Harry Wurzbach_2447_Aspen Chase_San Antonio</t>
  </si>
  <si>
    <t>Perrin Beitel_9338_Aspen Trail_San Antonio</t>
  </si>
  <si>
    <t>Gardendale_4411_Auburn Creek_San Antonio</t>
  </si>
  <si>
    <t>Nacogdoches_10631_Audubon Place_San Antonio</t>
  </si>
  <si>
    <t>Braesview_11711_Austin Pointe_San Antonio</t>
  </si>
  <si>
    <t>Thousand Oaks Dr_3200_Regal Park_San Antonio</t>
  </si>
  <si>
    <t>Eisenhauer_3600_Avalon_San Antonio</t>
  </si>
  <si>
    <t>Camino Villa_9821_Bandera Crossing_San Antonio</t>
  </si>
  <si>
    <t>Cross Creek_8170_Banyan Tree_San Antonio</t>
  </si>
  <si>
    <t>Montrose_427_Montrose Place_San Antonio</t>
  </si>
  <si>
    <t>Silver Sands W_935_Bear Creek_San Antonio</t>
  </si>
  <si>
    <t>Marbach Rd_11803_Bear Springs_San Antonio</t>
  </si>
  <si>
    <t>Flores St S_8237_Bellaire_San Antonio</t>
  </si>
  <si>
    <t>Gus Eckert_4801_Bent Tree_San Antonio</t>
  </si>
  <si>
    <t>Austin Hwy_1111_Bentwood Place_San Antonio</t>
  </si>
  <si>
    <t>Roszell_11300_Terrace Apts_San Antonio</t>
  </si>
  <si>
    <t>Vista Valet_1111_Biltmore Park_San Antonio</t>
  </si>
  <si>
    <t>Bitters Rd W_400_Bitterwood_San Antonio</t>
  </si>
  <si>
    <t>Old Blanco Rd_13999_Blanco Crossing_San Antonio</t>
  </si>
  <si>
    <t>Parliament Dr_11710_Blue Swan_San Antonio</t>
  </si>
  <si>
    <t>Jackson Keller_2503_City View AH_San Antonio</t>
  </si>
  <si>
    <t>W.W. White Rd_2103_Boxwood_San Antonio</t>
  </si>
  <si>
    <t>Vista Valet_800_Brandon Oaks_San Antonio</t>
  </si>
  <si>
    <t>Howard St_730_Braunfels Haus_New Braunfels</t>
  </si>
  <si>
    <t>Gevers S_3550_Brigadoon_San Antonio</t>
  </si>
  <si>
    <t>Jones Maltsberger_8607_The Villas of San Francisco_San Antonio</t>
  </si>
  <si>
    <t>Broadview Dr W_215_Broad Viewe_San Antonio</t>
  </si>
  <si>
    <t>Broadway_9110_Broadway Place_San Antonio</t>
  </si>
  <si>
    <t>Broken Oak_1935_Broken Oak TH_San Antonio</t>
  </si>
  <si>
    <t>Bronco Dr_8228_Bronco_San Antonio</t>
  </si>
  <si>
    <t>Old Corpus Christi Hwy_7577_Brooksfield_San Antonio</t>
  </si>
  <si>
    <t>Jones Maltsberger_14438_Burning Tree_San Antonio</t>
  </si>
  <si>
    <t>Callaghan Rd_3631_Callaghan Crossing_San Antonio</t>
  </si>
  <si>
    <t>Wurzbach Rd_5900_The Calypso_San Antonio</t>
  </si>
  <si>
    <t>Blanco Rd_12222_Camino Real_San Antonio</t>
  </si>
  <si>
    <t>Roadrunner Way_14500_Campus Side_San Antonio</t>
  </si>
  <si>
    <t>Rigsby Ave_4747_Candlestick_San Antonio</t>
  </si>
  <si>
    <t>W Ave_3536_Canlen West_San Antonio</t>
  </si>
  <si>
    <t>Callaghan Rd_1100_Vista Meadows_San Antonio</t>
  </si>
  <si>
    <t>Henderson Pass_16500_Canyon Oaks_San Antonio</t>
  </si>
  <si>
    <t>Henderson Pass_16550_Canyon Point_San Antonio</t>
  </si>
  <si>
    <t>Blanco Rd_13030_Cape Cod_San Antonio</t>
  </si>
  <si>
    <t>Sea Ln S_7543_Willow Run_San Antonio</t>
  </si>
  <si>
    <t>Babcock Rd_1751_Carlyle Place_San Antonio</t>
  </si>
  <si>
    <t>Bitters Rd W_1440_Carmel at Deerfield_San Antonio</t>
  </si>
  <si>
    <t>Blanco Rd_6014_Castle Hills_San Antonio</t>
  </si>
  <si>
    <t>Blanco Rd_5320_Castle Point_San Antonio</t>
  </si>
  <si>
    <t>Jackson Keller_1403_Castle Terrace_San Antonio</t>
  </si>
  <si>
    <t>Military Dr W_8021_Castleridge_San Antonio</t>
  </si>
  <si>
    <t>Patricia Dr_1200_Churchill Park_San Antonio</t>
  </si>
  <si>
    <t>Snowden_7207_The Landmark at Medical Center_San Antonio</t>
  </si>
  <si>
    <t>Chase Hill Blvd_15801_Chase Hill_San Antonio</t>
  </si>
  <si>
    <t>Fredericksburg Rd_3737_Chateau Orleans_San Antonio</t>
  </si>
  <si>
    <t>Treasure Way_151_Chelsea_San Antonio</t>
  </si>
  <si>
    <t>Silver Sands W_901_Chestnut Park_San Antonio</t>
  </si>
  <si>
    <t>410 Loop NE_1422_Chevy Chase_San Antonio</t>
  </si>
  <si>
    <t>Universal City Blvd_1950_Cimarron City_Universal City</t>
  </si>
  <si>
    <t>Dartbrook_9109_Cinnamon Creek_San Antonio</t>
  </si>
  <si>
    <t>Frio St N_1100_City Gate_San Antonio</t>
  </si>
  <si>
    <t>Ray Bon_7914_Cobblestone Village_San Antonio</t>
  </si>
  <si>
    <t>Thousand Oaks Dr_2650_Connemara Estates_San Antonio</t>
  </si>
  <si>
    <t>Hillcrest Dr_3102_Continental_San Antonio</t>
  </si>
  <si>
    <t>Contour Dr W_1441_Contour Place_San Antonio</t>
  </si>
  <si>
    <t>410 Loop NW_5827_Copper Mill_San Antonio</t>
  </si>
  <si>
    <t>Sir Winston Dr_11245_Copperfield_San Antonio</t>
  </si>
  <si>
    <t>Wakefield Dr_8506_Coral Ridge_San Antonio</t>
  </si>
  <si>
    <t>Grosvenor Blvd_1002_Cornerstone_San Antonio</t>
  </si>
  <si>
    <t>Ahern Dr_8502_Cosmopolitan_San Antonio</t>
  </si>
  <si>
    <t>Henderson Pass_16100_Costa Del Sol_San Antonio</t>
  </si>
  <si>
    <t>Country Club Dr_1048_Fairway Manor_Seguin</t>
  </si>
  <si>
    <t>Ackerman Rd_2644_Country Oaks_San Antonio</t>
  </si>
  <si>
    <t>Doeskin Dr_1_Country View_Boerne</t>
  </si>
  <si>
    <t>Fredericksburg Rd_8727_Country View_San Antonio</t>
  </si>
  <si>
    <t>Bitters Rd E_950_Countryside_San Antonio</t>
  </si>
  <si>
    <t>Danny Kaye_5940_Courtland Heights_San Antonio</t>
  </si>
  <si>
    <t>McCarty Rd_539_Cove_San Antonio</t>
  </si>
  <si>
    <t>Sherri Ann_5243_Covina Plaza_San Antonio</t>
  </si>
  <si>
    <t>Nacogdoches_14900_Creek Crossing_San Antonio</t>
  </si>
  <si>
    <t>Perrin Central_3902_Rock Canyon_San Antonio</t>
  </si>
  <si>
    <t>Thousand Oaks Dr_4620_Vista Landing_San Antonio</t>
  </si>
  <si>
    <t>Oakdale_3431_Sage Crossing_San Antonio</t>
  </si>
  <si>
    <t>Dewhurst Rd_901_Alegria Del Sol_San Antonio</t>
  </si>
  <si>
    <t>Gentleman Rd_700_Cumberland_San Antonio</t>
  </si>
  <si>
    <t>410 Loop NW_6100_Cypress Cove_San Antonio</t>
  </si>
  <si>
    <t>Darby Blvd_811_Darby Square_San Antonio</t>
  </si>
  <si>
    <t>DeZavala Rd_6033_DeZavala Oaks_San Antonio</t>
  </si>
  <si>
    <t>De Zavala Rd_6061_DeZavala Park_San Antonio</t>
  </si>
  <si>
    <t>Wurzbach Rd_7230_Deer Oaks_San Antonio</t>
  </si>
  <si>
    <t>Larkspur_1955_Amesbury at Deerfield_San Antonio</t>
  </si>
  <si>
    <t>Deerwood_227_The Montecito_San Antonio</t>
  </si>
  <si>
    <t>Heimer Rd_550_Desert Shadows_San Antonio</t>
  </si>
  <si>
    <t>Braesview_11843_Devonshire Condo Apts_San Antonio</t>
  </si>
  <si>
    <t>Thompson Place W_1869_Diplomat_San Antonio</t>
  </si>
  <si>
    <t>Donaldson Ave_1315_Donaldson Villas_San Antonio</t>
  </si>
  <si>
    <t>Culebra Rd_7750_Doral Club_San Antonio</t>
  </si>
  <si>
    <t>Gardendale_4515_Dove Tree_San Antonio</t>
  </si>
  <si>
    <t>Thousand Oaks Rd_3935_Dublin_San Antonio</t>
  </si>
  <si>
    <t>New Braunfels Ave S_6218_The Dunes_San Antonio</t>
  </si>
  <si>
    <t>Potranco Rd_7999_Dymaxion_San Antonio</t>
  </si>
  <si>
    <t>Gus Eckert_4822_Silver Creek_San Antonio</t>
  </si>
  <si>
    <t>Fredericksburg Rd_5211_Eagles Nest_San Antonio</t>
  </si>
  <si>
    <t>Harry Wurzbach_3819_El Chaparral_San Antonio</t>
  </si>
  <si>
    <t>Desert Sands_10202_Sunny Glen II_San Antonio</t>
  </si>
  <si>
    <t>410 Loop NE_2555_The Enclave_San Antonio</t>
  </si>
  <si>
    <t>Whitewood Dr_326_Establishment_San Antonio</t>
  </si>
  <si>
    <t>De Chantle Rd_158_Executive_San Antonio</t>
  </si>
  <si>
    <t>Fairdale_6600_Fairdale_San Antonio</t>
  </si>
  <si>
    <t>Parkdale_4100_Ashler Oaks_San Antonio</t>
  </si>
  <si>
    <t>Data Point_8710_Fairways V_San Antonio</t>
  </si>
  <si>
    <t>Vance Jackson Rd_11530_Fifth Avenue_San Antonio</t>
  </si>
  <si>
    <t>Evers Rd_6313_Forest Oaks_San Antonio</t>
  </si>
  <si>
    <t>Vance Jackson Rd_11707_Woods of Elm Creek_San Antonio</t>
  </si>
  <si>
    <t>Horizon Hill_4400_Fountainhead_San Antonio</t>
  </si>
  <si>
    <t>Fairhaven_8630_Fountains of San Antonio_San Antonio</t>
  </si>
  <si>
    <t>Blanco Rd_12221_Fox Fire_San Antonio</t>
  </si>
  <si>
    <t>Broadway_10014_Fox Run_San Antonio</t>
  </si>
  <si>
    <t>Fredericksburg Rd_3435_Fredericksburg Place_San Antonio</t>
  </si>
  <si>
    <t>French Place W_109_French Place_San Antonio</t>
  </si>
  <si>
    <t>Colonnade Blvd_9898_Colonnade_San Antonio</t>
  </si>
  <si>
    <t>Wall St_11700_Providence at Wall Street_San Antonio</t>
  </si>
  <si>
    <t>Huebner Rd_11660_The Gables_San Antonio</t>
  </si>
  <si>
    <t>Pinn Rd_2431_Hacienda Apts_San Antonio</t>
  </si>
  <si>
    <t>Village Green_149_Gold Talon_Universal City</t>
  </si>
  <si>
    <t>Military Dr SE_2819_Cielo Hills_San Antonio</t>
  </si>
  <si>
    <t>35 IH Business_453_Grand Cypress_New Braunfels</t>
  </si>
  <si>
    <t>Huebner Rd_11600_Forest Glen_San Antonio</t>
  </si>
  <si>
    <t>Greenbriar_8535_Greenbriar_San Antonio</t>
  </si>
  <si>
    <t>Jackson Keller_215_Greenwich Village_San Antonio</t>
  </si>
  <si>
    <t>Castlewood Dr_301_Gruenewood Villas_New Braunfels</t>
  </si>
  <si>
    <t>Ingram Rd_7585_Silver Oaks_San Antonio</t>
  </si>
  <si>
    <t>Shadow Creek Ln_9180_Shadow Creek_Converse</t>
  </si>
  <si>
    <t>Goliad Rd_2566_Grove Park_San Antonio</t>
  </si>
  <si>
    <t>Ahern Dr_8425_Hallmark_San Antonio</t>
  </si>
  <si>
    <t>410 Loop NE_2600_Hampton Green_San Antonio</t>
  </si>
  <si>
    <t>Starcrest Dr_12324_Hampton North_San Antonio</t>
  </si>
  <si>
    <t>Patricia Dr_1300_Rockport Landing_San Antonio</t>
  </si>
  <si>
    <t>Vance Jackson Rd_12222_Windsor House_San Antonio</t>
  </si>
  <si>
    <t>Cinnamon Creek Dr_8801_Hearthstone_San Antonio</t>
  </si>
  <si>
    <t>Babcock Rd_1543_Heritage Park_San Antonio</t>
  </si>
  <si>
    <t>Wurzbach Rd_5959_Hidden Meadow_San Antonio</t>
  </si>
  <si>
    <t>Military Hwy NW_13129_Hidden Oaks_San Antonio</t>
  </si>
  <si>
    <t>Flame Cir_807_Hidden Village_San Antonio</t>
  </si>
  <si>
    <t>Oak Terrace Dr_13012_High Key_San Antonio</t>
  </si>
  <si>
    <t>Callaghan Rd_7810_Cordoba_San Antonio</t>
  </si>
  <si>
    <t>Southcross Blvd E_3003_Highland Hills Duplexes_San Antonio</t>
  </si>
  <si>
    <t>Laureate Dr_10951_Hill at Woodway_San Antonio</t>
  </si>
  <si>
    <t>Koehler Ct_501_Hillside Manor_San Antonio</t>
  </si>
  <si>
    <t>Potranco Rd_7520_The Hollows_San Antonio</t>
  </si>
  <si>
    <t>Huebner Rd_8727_Huebner Country_San Antonio</t>
  </si>
  <si>
    <t>Data Point_8715_Hunters Glen_San Antonio</t>
  </si>
  <si>
    <t>Military Hwy NW_2358_Hunters Ridge_San Antonio</t>
  </si>
  <si>
    <t>Pipers Ln_7770_Huntington_San Antonio</t>
  </si>
  <si>
    <t>Floyd Curl Dr_8525_Hyperion_San Antonio</t>
  </si>
  <si>
    <t>W Ave_12701_Indian Hollow_San Antonio</t>
  </si>
  <si>
    <t>Cinnamon Creek Dr_8722_Villages Of Cinnamon Creek_San Antonio</t>
  </si>
  <si>
    <t>Kitty Hawk Rd_330_Sable Ridge_Universal City</t>
  </si>
  <si>
    <t>Willmon Way_8835_Villas of Windcrest_San Antonio</t>
  </si>
  <si>
    <t>Jackson Keller_2500_Jackson Square_San Antonio</t>
  </si>
  <si>
    <t>General McMullen S_2506_Winston Square_San Antonio</t>
  </si>
  <si>
    <t>Jamar_1919_Kennedy Arms_San Antonio</t>
  </si>
  <si>
    <t>Lavender Ln_4550_Acadia Place_San Antonio</t>
  </si>
  <si>
    <t>Chambers Rd_7811_Forest Ridge I_San Antonio</t>
  </si>
  <si>
    <t>Callaghan Rd_4411_Kingswood Manor_San Antonio</t>
  </si>
  <si>
    <t>Bandera Rd_1171_The Oaks on Bandera_San Antonio</t>
  </si>
  <si>
    <t>Heimer Rd_403_La Calera_San Antonio</t>
  </si>
  <si>
    <t>La Casa_301_La Casa_Kerrville</t>
  </si>
  <si>
    <t>Vandiver N_6900_La Fiesta_San Antonio</t>
  </si>
  <si>
    <t>10 IH W_10707_La Jolla de San Antonio_San Antonio</t>
  </si>
  <si>
    <t>Callaghan Rd_7600_La Maison_San Antonio</t>
  </si>
  <si>
    <t>Rampart W_102_La Paloma_San Antonio</t>
  </si>
  <si>
    <t>Babcock Rd_800_La Risa_San Antonio</t>
  </si>
  <si>
    <t>Jackson Keller Rd_103_Flats at Olmos_San Antonio</t>
  </si>
  <si>
    <t>Plaza Dr_115_Lakeside_Kerrville</t>
  </si>
  <si>
    <t>Lauren Ln_8555_Lakeside Villas_San Antonio</t>
  </si>
  <si>
    <t>Primrose Cir_200_Landa_New Braunfels</t>
  </si>
  <si>
    <t>Blanco Rd_13400_Landera_San Antonio</t>
  </si>
  <si>
    <t>NE Pkwy_3400_Landing_San Antonio</t>
  </si>
  <si>
    <t>35 IH Business N_1565_Langtry Village_New Braunfels</t>
  </si>
  <si>
    <t>Vance Jackson Rd_4603_Lantana_San Antonio</t>
  </si>
  <si>
    <t>Blanco Rd_12626_Las Brisas_San Antonio</t>
  </si>
  <si>
    <t>Fredericksburg Rd_8331_Las Cimas_San Antonio</t>
  </si>
  <si>
    <t>Chase Hill Blvd_15800_Las Colinas_San Antonio</t>
  </si>
  <si>
    <t>San Eduardo Ave S_1014_Las Palmas Gardens_San Antonio</t>
  </si>
  <si>
    <t>Laurel St W_321_Laurel_San Antonio</t>
  </si>
  <si>
    <t>Babcock Rd_1415_Laurel Crossing_San Antonio</t>
  </si>
  <si>
    <t>Laurel Ln_483_Laurel Heights_New Braunfels</t>
  </si>
  <si>
    <t>Woodlawn Ave N_3301_Lawnwood_San Antonio</t>
  </si>
  <si>
    <t>Rene Levy_431_Levy Townhome Condominiums_San Antonio</t>
  </si>
  <si>
    <t>Vista View St_12550_The Lexington_San Antonio</t>
  </si>
  <si>
    <t>410 Loop NW_5940_Liberty Ridge_San Antonio</t>
  </si>
  <si>
    <t>Junction Hwy_1800_Lime Creek_Kerrville</t>
  </si>
  <si>
    <t>Braesview_11800_The Place at Castle Hills_San Antonio</t>
  </si>
  <si>
    <t>Jackson Keller_1700_Lincoln Village_San Antonio</t>
  </si>
  <si>
    <t>Howard St_235_Linda_San Antonio</t>
  </si>
  <si>
    <t>Medical Dr_4900_Broadstone on Medical_San Antonio</t>
  </si>
  <si>
    <t>Marbach Rd_7203_Marbach Manor_San Antonio</t>
  </si>
  <si>
    <t>Horal Dr_1880_Marbach Park_San Antonio</t>
  </si>
  <si>
    <t>Goliad Rd_2303_Marigold_San Antonio</t>
  </si>
  <si>
    <t>Utopia Ln_444_The Encinal_San Antonio</t>
  </si>
  <si>
    <t>Jones Maltsberger_7918_Mariposa_San Antonio</t>
  </si>
  <si>
    <t>Parliament Dr_11721_Mark at Parliament_San Antonio</t>
  </si>
  <si>
    <t>Lorene Ln_9525_The Coronado_San Antonio</t>
  </si>
  <si>
    <t>Oak Meadows_14001_Meadows_Universal City</t>
  </si>
  <si>
    <t>Jackson Keller_1502_Mediterranean Villa_San Antonio</t>
  </si>
  <si>
    <t>Rustleaf Dr_150_Merry Oaks_San Antonio</t>
  </si>
  <si>
    <t>USAA Blvd_4900_Mesa Ridge_San Antonio</t>
  </si>
  <si>
    <t>123 Hwy Bypass N_1111_Middletowne Apts_Seguin</t>
  </si>
  <si>
    <t>W Ave_13515_Mirada_San Antonio</t>
  </si>
  <si>
    <t>Bluemel Rd_4400_TH at Limestone Oaks_San Antonio</t>
  </si>
  <si>
    <t>Gillmore_244_Mitchell Village_San Antonio</t>
  </si>
  <si>
    <t>Fredericksburg Rd E_5534_Montebello_San Antonio</t>
  </si>
  <si>
    <t>Commerce St W_6060_Monterrey Park_San Antonio</t>
  </si>
  <si>
    <t>Mulberry Ave E_1130_Brackenridge Hill_San Antonio</t>
  </si>
  <si>
    <t>Callaghan Rd_7626_Nob Hill_San Antonio</t>
  </si>
  <si>
    <t>Fredericksburg Rd_5550_Forest Ridge II_San Antonio</t>
  </si>
  <si>
    <t>Joe Newton St_7771_The Granite at Tuscany Hills_San Antonio</t>
  </si>
  <si>
    <t>Glen Mont_8142_North Pointe Terrace Fourplexes_San Antonio</t>
  </si>
  <si>
    <t>Knoll N_5700_Northgate Village_San Antonio</t>
  </si>
  <si>
    <t>Timber Path_8841_Villas de Sendero_San Antonio</t>
  </si>
  <si>
    <t>Vandiver N_8315_Northwood_San Antonio</t>
  </si>
  <si>
    <t>Vance Jackson Rd_6111_Oak Creek_San Antonio</t>
  </si>
  <si>
    <t>Oak Manor Dr_7314_The Villas of Oak Hills_San Antonio</t>
  </si>
  <si>
    <t>Babcock Rd_1847_Oak Hills Village_San Antonio</t>
  </si>
  <si>
    <t>Barrington Dr_3903_Park at Ventana_San Antonio</t>
  </si>
  <si>
    <t>Perrin Beitel_11200_Oak Ridge_San Antonio</t>
  </si>
  <si>
    <t>Nacogdoches_3270_Aguila Oaks_San Antonio</t>
  </si>
  <si>
    <t>Perrin Central_3919_Oak Springs_San Antonio</t>
  </si>
  <si>
    <t>Danny Kaye_6020_Oakdell Way_San Antonio</t>
  </si>
  <si>
    <t>Oakwell Farms Pkwy_1983_Oakhampton Place_San Antonio</t>
  </si>
  <si>
    <t>Oakhill Rd_2003_The Bell Tower_San Antonio</t>
  </si>
  <si>
    <t>Starcrest Dr_8800_Oaks of Marymount_San Antonio</t>
  </si>
  <si>
    <t>Oakdell Way_8000_Oaks of Northgate_San Antonio</t>
  </si>
  <si>
    <t>Hunt Ln_534_Oaks of Westlakes_San Antonio</t>
  </si>
  <si>
    <t>Isom_777_Oasis_San Antonio</t>
  </si>
  <si>
    <t>Sunset Rd W_327_Olive Tree_San Antonio</t>
  </si>
  <si>
    <t>Basse Rd_800_Olmos Club_San Antonio</t>
  </si>
  <si>
    <t>Dot Dr_111_111 Dot Drive Apts_San Antonio</t>
  </si>
  <si>
    <t>Woodstone Dr_4934_The Place at Overlook_San Antonio</t>
  </si>
  <si>
    <t>Palisades Dr_165_Palisades Park_Universal City</t>
  </si>
  <si>
    <t>Blanco Rd_16585_Panther Springs_San Antonio</t>
  </si>
  <si>
    <t>Parkdale_3815_Park at Colonnade_San Antonio</t>
  </si>
  <si>
    <t>Military Dr SE_2233_The Park at Presa_San Antonio</t>
  </si>
  <si>
    <t>Park Crossing_13031_Park Greene TH_San Antonio</t>
  </si>
  <si>
    <t>Fredericksburg Rd_9939_Park Hill_San Antonio</t>
  </si>
  <si>
    <t>Bandera Rd_2011_The Park on Bandera_San Antonio</t>
  </si>
  <si>
    <t>Nacogdoches_14310_Park Place_San Antonio</t>
  </si>
  <si>
    <t>Randolph Blvd_5314_Park Ridge_San Antonio</t>
  </si>
  <si>
    <t>W Ave_11845_Park West_San Antonio</t>
  </si>
  <si>
    <t>Vance Jackson Rd_4019_Parkdale_San Antonio</t>
  </si>
  <si>
    <t>Frio St N_1010_Parkside_San Antonio</t>
  </si>
  <si>
    <t>Singing Wind Dr_2105_Singing Wind_Kerrville</t>
  </si>
  <si>
    <t>Parliament Dr_11838_Parliament Bend_San Antonio</t>
  </si>
  <si>
    <t>W Ave_11726_Autumn Brook_San Antonio</t>
  </si>
  <si>
    <t>Pecan Valley Dr_6840_Villas of Pecan Manor_San Antonio</t>
  </si>
  <si>
    <t>Southcross Blvd E_3450_Pecan Valley_San Antonio</t>
  </si>
  <si>
    <t>Vance Jackson Rd_1011_Pepperidge_San Antonio</t>
  </si>
  <si>
    <t>Universal City Blvd_2125_Peppermill_Universal City</t>
  </si>
  <si>
    <t>Uhr Ln_12660_Perrin Crest_San Antonio</t>
  </si>
  <si>
    <t>Perrin Beitel_9511_Perrin Square_San Antonio</t>
  </si>
  <si>
    <t>410 Loop NE_1946_Oakwell Springs_San Antonio</t>
  </si>
  <si>
    <t>90 Hwy W_7678_Vaquero Place_San Antonio</t>
  </si>
  <si>
    <t>Pipers Creek_7940_Hillstone Creek_San Antonio</t>
  </si>
  <si>
    <t>Pipers Ln_7750_Pipers Square_San Antonio</t>
  </si>
  <si>
    <t>Eckhert Blvd_5903_Plaza de Ville_San Antonio</t>
  </si>
  <si>
    <t>Huebner Rd_20211_Villas at Sonterra_San Antonio</t>
  </si>
  <si>
    <t>Pleasanton Rd_3735_Mandalay Villa_San Antonio</t>
  </si>
  <si>
    <t>Dickson W_247_Pollyanna_San Antonio</t>
  </si>
  <si>
    <t>Vance Jackson Rd_2222_Ponderosa_San Antonio</t>
  </si>
  <si>
    <t>Powhatan_9603_Oak Terrace_San Antonio</t>
  </si>
  <si>
    <t>Medical Dr_4114_Promontory Pointe_San Antonio</t>
  </si>
  <si>
    <t>Quail Creek Dr_8438_Silver Ridge_San Antonio</t>
  </si>
  <si>
    <t>Tarasco_609_Rainbow Hills Duplexes_San Antonio</t>
  </si>
  <si>
    <t>Oakhill Rd_2400_Ingram Ranch_San Antonio</t>
  </si>
  <si>
    <t>Rampart E_123_Rampart House_San Antonio</t>
  </si>
  <si>
    <t>Danny Kaye_5903_Seven Oaks_San Antonio</t>
  </si>
  <si>
    <t>Pat Booker Rd_1009_Randolph Plaza_Universal City</t>
  </si>
  <si>
    <t>Scarsdale Dr_12635_Regatta_San Antonio</t>
  </si>
  <si>
    <t>Sahara Dr_10362_Woodhollow_San Antonio</t>
  </si>
  <si>
    <t>Thousand Oaks Dr_1570_The Remington_San Antonio</t>
  </si>
  <si>
    <t>Oaklawn Dr_7135_Oaklawn_San Antonio</t>
  </si>
  <si>
    <t>Woodchase Dr_7791_Richland Trace_San Antonio</t>
  </si>
  <si>
    <t>Rigsby Ave_2929_Oak Meadow Villas_San Antonio</t>
  </si>
  <si>
    <t>Bandera Hwy_1350_River Hills_Kerrville</t>
  </si>
  <si>
    <t>Vance Jackson Rd_11130_Terrace at River Oaks II_San Antonio</t>
  </si>
  <si>
    <t>Seville Dr_241_River Park Apts_New Braunfels</t>
  </si>
  <si>
    <t>Cinnamon Creek Dr_8711_Riverstone_San Antonio</t>
  </si>
  <si>
    <t>Dollarhide_2011_Riviera_San Antonio</t>
  </si>
  <si>
    <t>Roselawn_3346_Roselawn_San Antonio</t>
  </si>
  <si>
    <t>Holland Ave_402_Rosemont Olmos Park_San Antonio</t>
  </si>
  <si>
    <t>Data Point_8916_Rosemont Crossing_San Antonio</t>
  </si>
  <si>
    <t>Royalgate Dr_5909_Crestwood_San Antonio</t>
  </si>
  <si>
    <t>Southcross Blvd E_4032_The Reserve at Pecan Valley_San Antonio</t>
  </si>
  <si>
    <t>Ingram Rd_6130_Hilltop Oaks_San Antonio</t>
  </si>
  <si>
    <t>Blanco Rd_13230_Salado Crossing_San Antonio</t>
  </si>
  <si>
    <t>Flame Cir_803_Salem Creek_San Antonio</t>
  </si>
  <si>
    <t>Louis Pasteur_7458_San Antonio Station_San Antonio</t>
  </si>
  <si>
    <t>Oasis_10333_Sandpiper_San Antonio</t>
  </si>
  <si>
    <t>Jones Maltsberger_12315_Santa Fe_San Antonio</t>
  </si>
  <si>
    <t>Eisenhauer_3900_Savannah Ridge_San Antonio</t>
  </si>
  <si>
    <t>Fredericksburg Rd_9400_Portofino Apts_San Antonio</t>
  </si>
  <si>
    <t>Mulberry Ave E_1235_Sentinel Pointe_San Antonio</t>
  </si>
  <si>
    <t>Zarzamora St S_8027_Seven Pines_San Antonio</t>
  </si>
  <si>
    <t>Blanco Rd_13330_Seville_San Antonio</t>
  </si>
  <si>
    <t>Grissom Rd_5650_The Place at Shadow Valley_San Antonio</t>
  </si>
  <si>
    <t>Magic Dr_3601_The Montage at North Point_San Antonio</t>
  </si>
  <si>
    <t>Sherril Brook Dr_4011_Sherril Oaks_San Antonio</t>
  </si>
  <si>
    <t>Patricia Dr_1401_Sierra Ridge_San Antonio</t>
  </si>
  <si>
    <t>Whitby Rd_6101_Sierra Vista_San Antonio</t>
  </si>
  <si>
    <t>Camino Villa_9830_Silver Rock_San Antonio</t>
  </si>
  <si>
    <t>Santa Rosa N_500_Soap Works_San Antonio</t>
  </si>
  <si>
    <t>Callaghan Rd_7667_Songbird_San Antonio</t>
  </si>
  <si>
    <t>Lasses Blvd_2715_South Hill_San Antonio</t>
  </si>
  <si>
    <t>New Braunfels Ave S_5500_South Point_San Antonio</t>
  </si>
  <si>
    <t>Southcross Blvd E_3907_Southcross Square_San Antonio</t>
  </si>
  <si>
    <t>Babcock Rd_1150_Spanish Keys_San Antonio</t>
  </si>
  <si>
    <t>Rittiman Rd_4443_Spanish Main_San Antonio</t>
  </si>
  <si>
    <t>Cripple Creek_3206_Spanish Oaks_San Antonio</t>
  </si>
  <si>
    <t>Pecan Valley Dr_6835_Spanish Spur_San Antonio</t>
  </si>
  <si>
    <t>Blanco Rd_7226_Rayo del Sol_San Antonio</t>
  </si>
  <si>
    <t>Cinnamon Creek Dr_8802_Spice Creek_San Antonio</t>
  </si>
  <si>
    <t>Ray Bon_4830_Spring Hill_San Antonio</t>
  </si>
  <si>
    <t>Springvale_1310_Springvale Manor_San Antonio</t>
  </si>
  <si>
    <t>Gardina St_1400_Springwood_San Antonio</t>
  </si>
  <si>
    <t>Von Scheele_5055_Medical Center Apts_San Antonio</t>
  </si>
  <si>
    <t>Skolout Dr_7737_Stepping Stone_San Antonio</t>
  </si>
  <si>
    <t>Treeline Park_384_Keystone at Alamo Heights_San Antonio</t>
  </si>
  <si>
    <t>10 IH W_12200_Stone Oak Place_San Antonio</t>
  </si>
  <si>
    <t>Huebner Rd_11500_Oak Haven_San Antonio</t>
  </si>
  <si>
    <t>Thousand Oaks Dr_2626_Stoneleigh_San Antonio</t>
  </si>
  <si>
    <t>Border Brook_6933_Stoneybrook_San Antonio</t>
  </si>
  <si>
    <t>Medical Dr_4041_The Stratford_San Antonio</t>
  </si>
  <si>
    <t>Greatview Dr_8303_Sugar Hill_San Antonio</t>
  </si>
  <si>
    <t>Patricia Dr_1400_Summer Oaks_San Antonio</t>
  </si>
  <si>
    <t>Hillcrest Dr_1474_Summer Place_San Antonio</t>
  </si>
  <si>
    <t>Walnut St E_1230_Summers Bend Apts_Seguin</t>
  </si>
  <si>
    <t>Stringfellow Dr_4700_Summerview_San Antonio</t>
  </si>
  <si>
    <t>Fredericksburg Rd_4210_Santa Fe Place_San Antonio</t>
  </si>
  <si>
    <t>Vance Jackson Rd_11444_Trails of Elm Creek_San Antonio</t>
  </si>
  <si>
    <t>410 Loop NW_5300_Summit Oaks_San Antonio</t>
  </si>
  <si>
    <t>Thousand Oaks Dr_1550_The Summit of Thousand Oaks_San Antonio</t>
  </si>
  <si>
    <t>Military Dr W_5470_Avion Place_San Antonio</t>
  </si>
  <si>
    <t>Gardendale_4615_Sundance_San Antonio</t>
  </si>
  <si>
    <t>410 Loop NE_2554_Saddlewood_San Antonio</t>
  </si>
  <si>
    <t>Perrin Beitel_4227_Sungate Village_San Antonio</t>
  </si>
  <si>
    <t>Sahara Dr_10343_Sunny Glen_San Antonio</t>
  </si>
  <si>
    <t>Bandera Rd_1830_Sun Park_San Antonio</t>
  </si>
  <si>
    <t>Blanco Rd_7600_Sunray_San Antonio</t>
  </si>
  <si>
    <t>Cloverleaf_425_Sunset Ridge_San Antonio</t>
  </si>
  <si>
    <t>Parliament Dr_11955_Sutters Mill_San Antonio</t>
  </si>
  <si>
    <t>Wall St_11711_Sutton House_San Antonio</t>
  </si>
  <si>
    <t>Elbel Rd_1000_Sycamore Creek_Schertz</t>
  </si>
  <si>
    <t>Brees Blvd_67_Tanglewood AH_San Antonio</t>
  </si>
  <si>
    <t>Broadway_8051_Tara_San Antonio</t>
  </si>
  <si>
    <t>Gentleman Rd_801_Terrace House_San Antonio</t>
  </si>
  <si>
    <t>Ivy Ln_216_Boerne Arbors_Boerne</t>
  </si>
  <si>
    <t>Hillcrest Dr_3110_The Dakota_San Antonio</t>
  </si>
  <si>
    <t>Huebner Rd_16650_The Marquis at Deerfield_San Antonio</t>
  </si>
  <si>
    <t>Basse Rd E_680_The Meridian_San Antonio</t>
  </si>
  <si>
    <t>Louis Pasteur_7733_The Vintage_San Antonio</t>
  </si>
  <si>
    <t>Thompson Place W_1727_Thompson Place_San Antonio</t>
  </si>
  <si>
    <t>French Place W_211_Thunderbird_San Antonio</t>
  </si>
  <si>
    <t>Timber View_3200_Timber Ridge_San Antonio</t>
  </si>
  <si>
    <t>Timberhill_5544_Lodge at Timberhill_San Antonio</t>
  </si>
  <si>
    <t>Blanco Rd_12301_Timbermill_San Antonio</t>
  </si>
  <si>
    <t>Marbach Rd_7220_Timberock_San Antonio</t>
  </si>
  <si>
    <t>Border Brook_6903_Timbers Edge_San Antonio</t>
  </si>
  <si>
    <t>Torrey St E_575_Torrey Place_New Braunfels</t>
  </si>
  <si>
    <t>Chambers_7738_Tower Point Condo Apts_San Antonio</t>
  </si>
  <si>
    <t>Oakdell Way_7710_Towering Oaks_San Antonio</t>
  </si>
  <si>
    <t>Santa Rosa N_601_Towne Center_San Antonio</t>
  </si>
  <si>
    <t>78 FM_9060_Towne East Village_Converse</t>
  </si>
  <si>
    <t>Callaghan Rd_4015_Townview Place_San Antonio</t>
  </si>
  <si>
    <t>Tradewind Dr_8802_Tradewinds_San Antonio</t>
  </si>
  <si>
    <t>410 Loop NE_2439_Iron Horse Valley_San Antonio</t>
  </si>
  <si>
    <t>Cable Ranch Rd_1431_Trails of Westlakes_San Antonio</t>
  </si>
  <si>
    <t>Fairhaven_8631_Sonoma Canyon_San Antonio</t>
  </si>
  <si>
    <t>Medical Dr_3629_Turtle Creek Vista_San Antonio</t>
  </si>
  <si>
    <t>Oakwell Ct_3333_The Villas of Oakwell Farms_San Antonio</t>
  </si>
  <si>
    <t>University Row_7302_Blue Bonnet Hills_San Antonio</t>
  </si>
  <si>
    <t>Clara Ln_2531_Vance Jackson_San Antonio</t>
  </si>
  <si>
    <t>Vance Jackson Rd_423_Tradewind Villas_San Antonio</t>
  </si>
  <si>
    <t>Huebner Oaks_11020_Ventana_San Antonio</t>
  </si>
  <si>
    <t>Gawain Dr_5315_Victorian Village_San Antonio</t>
  </si>
  <si>
    <t>Oasis_10334_View Point_San Antonio</t>
  </si>
  <si>
    <t>Camino De Oro_130_Villa de Oro_San Antonio</t>
  </si>
  <si>
    <t>Brackenridge_123_Villa Fontana_San Antonio</t>
  </si>
  <si>
    <t>Gentleman Rd_800_Villa Madrid_San Antonio</t>
  </si>
  <si>
    <t>Starcrest Dr_9310_Villa Navarone_San Antonio</t>
  </si>
  <si>
    <t>New Braunfels Ave N_8011_Village Oaks_San Antonio</t>
  </si>
  <si>
    <t>Expo Blvd_11300_Village of Hampton Cove_San Antonio</t>
  </si>
  <si>
    <t>Blanco Rd_14555_Park at Walkers Ranch_San Antonio</t>
  </si>
  <si>
    <t>Thousand Oaks Dr_2170_Sunset Canyon_San Antonio</t>
  </si>
  <si>
    <t>Jackson Keller Rd_1000_Villas of Castle Hills_San Antonio</t>
  </si>
  <si>
    <t>Henderson Pass_16465_Villas of Henderson Pass_San Antonio</t>
  </si>
  <si>
    <t>Fredericksburg Rd_5315_Villas of Oak Creste_San Antonio</t>
  </si>
  <si>
    <t>Lamb Rd_7221_Villas of St. Moritz_San Antonio</t>
  </si>
  <si>
    <t>Horizon Hill_4000_St. Tropez_San Antonio</t>
  </si>
  <si>
    <t>Callaghan Rd_7473_Vineyard Gardens_San Antonio</t>
  </si>
  <si>
    <t>Vista Valet_1110_Vista Crossing_San Antonio</t>
  </si>
  <si>
    <t>Evers Rd_5622_Vista del Rey_San Antonio</t>
  </si>
  <si>
    <t>Rowley Rd_5450_The Abbey at Medical Center_San Antonio</t>
  </si>
  <si>
    <t>Mainland Dr_8120_Bandera Commons_San Antonio</t>
  </si>
  <si>
    <t>Babcock Rd_2626_Walnut Hill_San Antonio</t>
  </si>
  <si>
    <t>Medical Dr_5380_Crescent Oaks at Medical_San Antonio</t>
  </si>
  <si>
    <t>Vandiver N_6700_Waterford_San Antonio</t>
  </si>
  <si>
    <t>Thousand Oaks Dr_4031_Waters at Northern Hills Marina_San Antonio</t>
  </si>
  <si>
    <t>Blanco Rd_6701_Wedgwood Highrise_San Antonio</t>
  </si>
  <si>
    <t>Callaghan Rd_6623_Wellington Estates_San Antonio</t>
  </si>
  <si>
    <t>Woodchase Dr_7820_Westchase_San Antonio</t>
  </si>
  <si>
    <t>Cable Ranch Rd_1455_Westlakes Villas_San Antonio</t>
  </si>
  <si>
    <t>Colt Dr_2903_Westwinds_San Antonio</t>
  </si>
  <si>
    <t>Hamilton Wolfe_5303_Whispering Creek Villas_San Antonio</t>
  </si>
  <si>
    <t>O'Connor Rd_13658_Whispering Hills_San Antonio</t>
  </si>
  <si>
    <t>Military Hwy NW_2370_Whispering Oaks_San Antonio</t>
  </si>
  <si>
    <t>Whitewood Dr_200_Whitewood Oaks_San Antonio</t>
  </si>
  <si>
    <t>NW Crossroads_1530_Willow Creek_San Antonio</t>
  </si>
  <si>
    <t>Wurzbach Rd_6400_The Willows_San Antonio</t>
  </si>
  <si>
    <t>Midcrown Dr_8000_The Heights at MidCrown_San Antonio</t>
  </si>
  <si>
    <t>Military Hwy NW_13121_Winding Creek_San Antonio</t>
  </si>
  <si>
    <t>Babcock Rd_2502_Windridge_San Antonio</t>
  </si>
  <si>
    <t>Lockhill Selma_2447_Windrush_San Antonio</t>
  </si>
  <si>
    <t>Gawain Dr_5341_Windsor Village_San Antonio</t>
  </si>
  <si>
    <t>Hill Country Dr_717_Winnwood Club_Kerrville</t>
  </si>
  <si>
    <t>Sir Winston Dr_11246_The Winston_San Antonio</t>
  </si>
  <si>
    <t>Cinnamon Creek Dr_8602_Wolfe Run_San Antonio</t>
  </si>
  <si>
    <t>Oakgate_3500_Woodbridge_San Antonio</t>
  </si>
  <si>
    <t>Woodbury Dr_2834_Woodbury Place_San Antonio</t>
  </si>
  <si>
    <t>Woodstone_4909_Woodhill_San Antonio</t>
  </si>
  <si>
    <t>Woodlake Pkwy_6000_Woodlake Village_San Antonio</t>
  </si>
  <si>
    <t>Vance Jackson Rd_11146_Terrace at River Oaks I_San Antonio</t>
  </si>
  <si>
    <t>Broadway_10010_The Woodlands_San Antonio</t>
  </si>
  <si>
    <t>Hillcrest Dr_3253_Woods of Brookhollow_San Antonio</t>
  </si>
  <si>
    <t>Wurzbach Rd_9001_Limestone Oaks_San Antonio</t>
  </si>
  <si>
    <t>Pinebrook_8100_Woodway Court_San Antonio</t>
  </si>
  <si>
    <t>Huisache E_205_Miller Manor_San Antonio</t>
  </si>
  <si>
    <t>Mulberry Ave E_1201_Broadway Heights_San Antonio</t>
  </si>
  <si>
    <t>Basilwood_6822_Brookview Duplexes_San Antonio</t>
  </si>
  <si>
    <t>Pinn Rd_2307_Casablanca_San Antonio</t>
  </si>
  <si>
    <t>Flores St S_8511_Deely Place_San Antonio</t>
  </si>
  <si>
    <t>Presa S_7200_Brooks Village TH_San Antonio</t>
  </si>
  <si>
    <t>Encanta_5300_Encanta Villas_San Antonio</t>
  </si>
  <si>
    <t>Gardina St_1352_Gardenwood_San Antonio</t>
  </si>
  <si>
    <t>Glen Ridge_5111_Honey Hill_San Antonio</t>
  </si>
  <si>
    <t>Nacogdoches Rd_14650_Kenton Place_San Antonio</t>
  </si>
  <si>
    <t>410 Loop NE_2167_Villas de Ventana_San Antonio</t>
  </si>
  <si>
    <t>Poss Rd_6812_Leon Trace_San Antonio</t>
  </si>
  <si>
    <t>Mulberry Ave #101 E_1202_Mulberry Village_San Antonio</t>
  </si>
  <si>
    <t>Melrose Dr E_130_New England Village_San Antonio</t>
  </si>
  <si>
    <t>Rainbow Dr_223_Whispering Heights_San Antonio</t>
  </si>
  <si>
    <t>Country Village St_8446_The Reserve in Alamo Heights_San Antonio</t>
  </si>
  <si>
    <t>Hot Wells_538_Robins Nest_San Antonio</t>
  </si>
  <si>
    <t>Orsinger Ln_11910_Waters at Elm Creek_San Antonio</t>
  </si>
  <si>
    <t>Oakdell Way_8050_La Mirage_San Antonio</t>
  </si>
  <si>
    <t>Houston St E_222_Towers at the Majestic_San Antonio</t>
  </si>
  <si>
    <t>Arcadia Place_101_Treehouse_San Antonio</t>
  </si>
  <si>
    <t>35 IH W_795_Vista del Sol_New Braunfels</t>
  </si>
  <si>
    <t>Wurzbach Rd_7110_Hunters Bend_San Antonio</t>
  </si>
  <si>
    <t>Gardina St_1400_Springwood Villas_San Antonio</t>
  </si>
  <si>
    <t>1604 Loop N E_12900_Retama Ranch_Universal City</t>
  </si>
  <si>
    <t>Huebner Rd_19950_Stone Manor at Sonterra_San Antonio</t>
  </si>
  <si>
    <t>Vance Jackson Rd_12235_Palermo_San Antonio</t>
  </si>
  <si>
    <t>De Zavala Rd_4601_Village at Shavano_San Antonio</t>
  </si>
  <si>
    <t>Fredericksburg Rd_4300_El Marco_San Antonio</t>
  </si>
  <si>
    <t>410 Loop NW_5335_Rolling Ridge Square I, II, III_San Antonio</t>
  </si>
  <si>
    <t>Babcock Rd_1243_Hillcrest I, II, III_San Antonio</t>
  </si>
  <si>
    <t>410 Loop NW_3222_Warren House_San Antonio</t>
  </si>
  <si>
    <t>Fredericksburg Rd_5050_Warren Inn Village_San Antonio</t>
  </si>
  <si>
    <t>151 Hwy_10800_TaraVista_San Antonio</t>
  </si>
  <si>
    <t>Common St_2293_The Augusta at Gruene_New Braunfels</t>
  </si>
  <si>
    <t>Henderson Pass_17635_Estates of Northwoods_San Antonio</t>
  </si>
  <si>
    <t>Talavera Pkwy_107_Talavera_San Antonio</t>
  </si>
  <si>
    <t>Vista del Norte_12727_Salado Springs_San Antonio</t>
  </si>
  <si>
    <t>Perrin Central_3800_The Newport_San Antonio</t>
  </si>
  <si>
    <t>Dugas Rd_9032_Hill Country Villas_San Antonio</t>
  </si>
  <si>
    <t>Westward Dr_2601_Westwood Plaza_San Antonio</t>
  </si>
  <si>
    <t>Piper's Creek_7935_Three Fountains_San Antonio</t>
  </si>
  <si>
    <t>Lexington Ave_317_Cadillac Lofts_San Antonio</t>
  </si>
  <si>
    <t>La Cantera Pkwy_16505_Mira Vista at La Cantera_San Antonio</t>
  </si>
  <si>
    <t>Broadway_214_Calcasieu_San Antonio</t>
  </si>
  <si>
    <t>Presa N_606_Maverick Apts_San Antonio</t>
  </si>
  <si>
    <t>35 IH N_770_WestShore Colony_New Braunfels</t>
  </si>
  <si>
    <t>Fredericksburg Rd_9835_Dominion Park_San Antonio</t>
  </si>
  <si>
    <t>Schertz Pkwy_1401_Val Verde_Schertz</t>
  </si>
  <si>
    <t>UTSA Blvd_5655_The Highlands_San Antonio</t>
  </si>
  <si>
    <t>Knoll N_5711_Saddle Ridge_San Antonio</t>
  </si>
  <si>
    <t>Treble Creek_2727_Marquis at Rogers Ranch_San Antonio</t>
  </si>
  <si>
    <t>Lockhill Selma_3838_The Lodge at Shavano Park_San Antonio</t>
  </si>
  <si>
    <t>Lockhill Selma_1835_The Manor at Castle Hills_San Antonio</t>
  </si>
  <si>
    <t>Crosspoint Dr_125_The Vistas_Boerne</t>
  </si>
  <si>
    <t>10 IH E_4141_Casa Pointe Villa_San Antonio</t>
  </si>
  <si>
    <t>Huebner Rd_8100_Arboretum_San Antonio</t>
  </si>
  <si>
    <t>Gold Canyon Rd_2424_Sendero Ridge_San Antonio</t>
  </si>
  <si>
    <t>Treeline Park_250_Quarry TH_San Antonio</t>
  </si>
  <si>
    <t>281 US N_19500_The Ravinia_San Antonio</t>
  </si>
  <si>
    <t>Prue Rd_6650_Enclave at Buckhorn Crossing_San Antonio</t>
  </si>
  <si>
    <t>Potranco_7333_Villas of Costa Brava_San Antonio</t>
  </si>
  <si>
    <t>Encino Commons_21303_The View at Encino Commons_San Antonio</t>
  </si>
  <si>
    <t>Stone Oak Pkwy_18777_Claremore_San Antonio</t>
  </si>
  <si>
    <t>Blanco Springs Rd_18200_Vineyard Springs_San Antonio</t>
  </si>
  <si>
    <t>Medical Dr_3711_Signature Ridge_San Antonio</t>
  </si>
  <si>
    <t>Eisenhauer Rd_5239_Rosillo Creek_San Antonio</t>
  </si>
  <si>
    <t>Aviation Blvd E_402_Pebble Beach Village_Universal City</t>
  </si>
  <si>
    <t>Babcock Rd_5600_Mission Ranch_San Antonio</t>
  </si>
  <si>
    <t>Lois St_1010_Colonial Oaks_Kerrville</t>
  </si>
  <si>
    <t>Ranchero Rd_815_Park Hill_Kerrville</t>
  </si>
  <si>
    <t>Lynn Batts Ln_33_Cenizo Flats Apts_San Antonio</t>
  </si>
  <si>
    <t>W Ave_4702-2_Bently Place Duplexes_San Antonio</t>
  </si>
  <si>
    <t>306 Old FM_1951_Northwood Luxury Apts_New Braunfels</t>
  </si>
  <si>
    <t>Chase Hill Blvd_15651_Maverick Creek Villas_San Antonio</t>
  </si>
  <si>
    <t>Henderson Pass_17655_Sedona Ranch_San Antonio</t>
  </si>
  <si>
    <t>Wilderness Oak_24245_Retreat at Canyon Springs_San Antonio</t>
  </si>
  <si>
    <t>Larkspur_1947_Legacy TH at Castle Hills_San Antonio</t>
  </si>
  <si>
    <t>USAA Blvd_4980_Dove Valley Ranch_San Antonio</t>
  </si>
  <si>
    <t>Sonterra Blvd E_210_The Lodge at Sonterra_San Antonio</t>
  </si>
  <si>
    <t>Bandera Rd E_12770_Elm Hollow_Helotes</t>
  </si>
  <si>
    <t>410 Loop NW_5100_Rolling Ridge South_San Antonio</t>
  </si>
  <si>
    <t>Glen Ridge_5235_Rolling Ridge Square IV_San Antonio</t>
  </si>
  <si>
    <t>Junction Hwy_2350_Heritage Oaks_Kerrville</t>
  </si>
  <si>
    <t>Austin Hwy_2355_The Lodge on Perrin Creek_San Antonio</t>
  </si>
  <si>
    <t>Chase Hill Blvd_15726_Alpin Park_San Antonio</t>
  </si>
  <si>
    <t>Baker St_915_Oak Bend Place_Tomball</t>
  </si>
  <si>
    <t>Tomball Pkwy_29807_The Park at Spring Creek_Tomball</t>
  </si>
  <si>
    <t>Rudel Rd_1515_Marymont_Tomball</t>
  </si>
  <si>
    <t>Hicks St_1000_Hickory Hill_Tomball</t>
  </si>
  <si>
    <t>Village Sq Dr_1011_Fountains of Tomball_Tomball</t>
  </si>
  <si>
    <t>Kuykendahl_16700_Emerald Cove_Houston</t>
  </si>
  <si>
    <t>Butte Creek_17033_Ashton Woods_Houston</t>
  </si>
  <si>
    <t>Havenbrook Dr_3415_Oaks of Kingwood I_Kingwood</t>
  </si>
  <si>
    <t>Havenbrook Dr_3415_Oaks of Kingwood II_Kingwood</t>
  </si>
  <si>
    <t>Gatesden_11000_Lakewood_Tomball</t>
  </si>
  <si>
    <t>Cornerstone Village Dr_14131_North Bend_Houston</t>
  </si>
  <si>
    <t>Cornerstone Village Dr_14355_Cypress Creek_Houston</t>
  </si>
  <si>
    <t>Oakwood Glen Blvd_7133_Spring Oaks I_Spring</t>
  </si>
  <si>
    <t>Oakwood Glen_7203_The Cottages of Cypresswood_Spring</t>
  </si>
  <si>
    <t>Stuebner Airline_16414_Oaks of Wimbledon_Spring</t>
  </si>
  <si>
    <t>Stuebner Airline Rd_16222_Wimbledon_Spring</t>
  </si>
  <si>
    <t>Stuebner Airline_16339_Mill Creek_Spring</t>
  </si>
  <si>
    <t>Cutten Rd_14500_Raveneaux_Houston</t>
  </si>
  <si>
    <t>Sycamore Springs Dr_2911_Elm Creek_Kingwood</t>
  </si>
  <si>
    <t>Sycamore Springs Dr_2921_Elm Grove_Kingwood</t>
  </si>
  <si>
    <t>Hufsmith W_327_Terrace Hills_Tomball</t>
  </si>
  <si>
    <t>Graham Dr_1100_Bridgewater_Tomball</t>
  </si>
  <si>
    <t>Lawrence_920_Cobble Creek_Tomball</t>
  </si>
  <si>
    <t>Belmont St_300_Hampton Place TH_Tomball</t>
  </si>
  <si>
    <t>Hickory Twig Way_19700_Cypresswood Crossing_Spring</t>
  </si>
  <si>
    <t>Spring Park Center Blvd_555_Spring Park_Spring</t>
  </si>
  <si>
    <t>Lake Hills Dr_2139_Woodland Hills Village I_Kingwood</t>
  </si>
  <si>
    <t>Lake Hills Dr_2135_Woodland Hills Village II_Kingwood</t>
  </si>
  <si>
    <t>Cypresswood Dr_4500_Applewood Village_Spring</t>
  </si>
  <si>
    <t>Cypresswood Dr_4607_Cypresswood_Spring</t>
  </si>
  <si>
    <t>Wunderlich_14230_Brookfield_Houston</t>
  </si>
  <si>
    <t>Louetta Rd_4545_Oak Falls_Spring</t>
  </si>
  <si>
    <t>Cypresswood Dr_8100_The Lodge at Cypresswood_Houston</t>
  </si>
  <si>
    <t>Louetta Rd_11100_Legacy Pines_Houston</t>
  </si>
  <si>
    <t>Lyons School Rd_16303_Lyons Court Condominiums_Spring</t>
  </si>
  <si>
    <t>Wunderlich_14150_Champion Oaks_Houston</t>
  </si>
  <si>
    <t>Wunderlich Dr_14222_The Cottages of Champions Forest_Houston</t>
  </si>
  <si>
    <t>Cypresswood_4603_Falcon Ridge_Spring</t>
  </si>
  <si>
    <t>Place Rebecca Ln_2218_Nantucket Square II_Houston</t>
  </si>
  <si>
    <t>Imperial Valley_22720_North Park TH_Houston</t>
  </si>
  <si>
    <t>Imperial Valley Dr_22820_The Forest_Houston</t>
  </si>
  <si>
    <t>Hollow Tree_200_Autumn Chase_Houston</t>
  </si>
  <si>
    <t>Highland Cross_311_Sedona Pointe_Houston</t>
  </si>
  <si>
    <t>Bammel Houston N_14545_London Park_Houston</t>
  </si>
  <si>
    <t>1960 FM_4200_Timberstone_Houston</t>
  </si>
  <si>
    <t>Parramatta_311_The Chancellor_Houston</t>
  </si>
  <si>
    <t>Imperial Valley Dr_22921_Arbor Ridge_Houston</t>
  </si>
  <si>
    <t>Cypress Station Dr_1000_Oaks of Cypress Station_Houston</t>
  </si>
  <si>
    <t>Cypress Station Dr_505_Parkwood on Cypress Station_Houston</t>
  </si>
  <si>
    <t>Bammelwood Dr_2402_Bammelwood_Houston</t>
  </si>
  <si>
    <t>Kuykendahl_15414_Vineyard Trace_Houston</t>
  </si>
  <si>
    <t>Cali Dr_17601_Champion Court_Houston</t>
  </si>
  <si>
    <t>Cali Dr_17610_The Country Club_Houston</t>
  </si>
  <si>
    <t>Kuykendahl_15915_The Bridges_Houston</t>
  </si>
  <si>
    <t>Cypress Station Dr_905_Wyndham Park I_Houston</t>
  </si>
  <si>
    <t>Cypress Trace Rd_18001_Northwoods_Houston</t>
  </si>
  <si>
    <t>Highland Cross_411_Citation North_Houston</t>
  </si>
  <si>
    <t>Imperial Valley_22715_The Retreat_Houston</t>
  </si>
  <si>
    <t>Cornerstone Village_14365_The Summit at Champions East_Houston</t>
  </si>
  <si>
    <t>Walters Rd_14101_Aston Brook_Houston</t>
  </si>
  <si>
    <t>Cypress Station_905_Wyndham Park II_Houston</t>
  </si>
  <si>
    <t>Cypress Station_910_Portofino Landing_Houston</t>
  </si>
  <si>
    <t>Cypress Station_990_The Palms at Cypress Station_Houston</t>
  </si>
  <si>
    <t>Cypress Station Dr_1007_The Blenheim_Houston</t>
  </si>
  <si>
    <t>Hollow Tree_100_Autumn Lakes_Houston</t>
  </si>
  <si>
    <t>Red Oak Dr_17710_The Village of Red Oak_Houston</t>
  </si>
  <si>
    <t>Red Oak Rd_17714_Rain Forest_Houston</t>
  </si>
  <si>
    <t>Imperial Valley_22910_Cinnamon Square_Houston</t>
  </si>
  <si>
    <t>Parramatta Ln_310_North Park_Houston</t>
  </si>
  <si>
    <t>1960 FM E_1230_Deerbrook Garden_Humble</t>
  </si>
  <si>
    <t>Bender Ave_401_Township_Humble</t>
  </si>
  <si>
    <t>Bender S_412_Pines at Humble Park_Humble</t>
  </si>
  <si>
    <t>Briarcreek Blvd_1819_Memorial Hills TH_Houston</t>
  </si>
  <si>
    <t>Ella Blvd_15530_La Jolla Champions on Ella_Houston</t>
  </si>
  <si>
    <t>Imperial Valley_20430_Century Park_Houston</t>
  </si>
  <si>
    <t>Ella Blvd_16755_Lakeview II_Houston</t>
  </si>
  <si>
    <t>Romano Park Ln_1699_Lakeview Estates_Houston</t>
  </si>
  <si>
    <t>Hirschfield_2800_One Westfield Lake_Spring</t>
  </si>
  <si>
    <t>Hirschfield_2929_Windsong Village_Spring</t>
  </si>
  <si>
    <t>Inverness Forest Blvd_21717_Woods of Inverness_Houston</t>
  </si>
  <si>
    <t>Ella Blvd_16755_Lakeview I_Houston</t>
  </si>
  <si>
    <t>Cypresswood_22221_Cypresswood Court_Spring</t>
  </si>
  <si>
    <t>Foxwood Forest_19920_Foxwood_Humble</t>
  </si>
  <si>
    <t>Woodcreek Ln_3023_Woodcreek Village_Houston</t>
  </si>
  <si>
    <t>Aldine Westfield_20515_Westfield Ridge_Humble</t>
  </si>
  <si>
    <t>Millstone_2257-B_Kelkind Manor_Houston</t>
  </si>
  <si>
    <t>Vista Dr N_300_Apache Springs_Houston</t>
  </si>
  <si>
    <t>Sun Prairie_911_Sun Prairie_Houston</t>
  </si>
  <si>
    <t>Dunson Glen_805_Glen Oaks I &amp; II_Houston</t>
  </si>
  <si>
    <t>Wells Fargo_210_Preakness of Cypress Station_Houston</t>
  </si>
  <si>
    <t>Wells Fargo_505_Carriage Place_Houston</t>
  </si>
  <si>
    <t>Dunson Glen_700_Green Tree Place_Houston</t>
  </si>
  <si>
    <t>Cypress Station Dr_601_Roundhill TH_Houston</t>
  </si>
  <si>
    <t>Butterfield Rd_555_Cypress Lake_Houston</t>
  </si>
  <si>
    <t>Ella Blvd_15330_Commerce Park_Houston</t>
  </si>
  <si>
    <t>Ella Blvd_15455_Applewood Village TH_Houston</t>
  </si>
  <si>
    <t>1960 FM_9814_Timbers of Deerbrook_Humble</t>
  </si>
  <si>
    <t>Whitaker_19700_Park at Deerbrook_Humble</t>
  </si>
  <si>
    <t>Blue Ash_15215_Park Trails_Houston</t>
  </si>
  <si>
    <t>Blue Ash Dr_15615_Fairfield Cove_Houston</t>
  </si>
  <si>
    <t>Blue Ash Dr_15101_Blue Ash_Houston</t>
  </si>
  <si>
    <t>Cypresswood_10325_The Mandolin_Houston</t>
  </si>
  <si>
    <t>Grant Rd_11111_Stonegate Villas_Cypress</t>
  </si>
  <si>
    <t>Regency Green Dr_11300_Central Park Regency_Cypress</t>
  </si>
  <si>
    <t>Kingwood Dr_3700_Kingwood Lakes_Kingwood</t>
  </si>
  <si>
    <t>Kingwood Dr_4545_Kings Crossing_Kingwood</t>
  </si>
  <si>
    <t>Bens Branch Dr_2727_Town Center I_Kingwood</t>
  </si>
  <si>
    <t>Greenwood Forest Dr_12811_Champions Village_Houston</t>
  </si>
  <si>
    <t>1960 FM E_7850_Sunrise at Atascocita_Humble</t>
  </si>
  <si>
    <t>1960 FM E_11243_Lakewood Heights TH_Huffman</t>
  </si>
  <si>
    <t>1960 FM E_8300_The Verandah at Lake Pointe_Atascocita</t>
  </si>
  <si>
    <t>Cypress N Houston_14175_Andover Place_Cypress</t>
  </si>
  <si>
    <t>Magnolia Cove Dr_4630_Harbor Cove_Kingwood</t>
  </si>
  <si>
    <t>1960 FM E_8311_Woods on the Fairway_Humble</t>
  </si>
  <si>
    <t>Grant Rd_11909_Lakewood West_Houston</t>
  </si>
  <si>
    <t>Barwood Bend_11900_Ashley Crest_Houston</t>
  </si>
  <si>
    <t>Memorial S_18839_Northeast Pines_Humble</t>
  </si>
  <si>
    <t>Carolyn Ct_1200_Kay Lynn Apts_Humble</t>
  </si>
  <si>
    <t>Cypresswood_9721_Cypress Commons_Houston</t>
  </si>
  <si>
    <t>Jones Rd_12703_Stirling Court_Houston</t>
  </si>
  <si>
    <t>Mist Ln_10901_Stone Mist_Houston</t>
  </si>
  <si>
    <t>Isaacks Rd_98_Deer Springs_Humble</t>
  </si>
  <si>
    <t>Lake Village Dr_2200_Trailwood Village_Kingwood</t>
  </si>
  <si>
    <t>Huffmeister_11200_Park Colony_Houston</t>
  </si>
  <si>
    <t>Wortham Blvd_10225_Wynnewood_Houston</t>
  </si>
  <si>
    <t>Bender_424_Bender Hollow_Humble</t>
  </si>
  <si>
    <t>Bender S_515_Meadowbrook_Humble</t>
  </si>
  <si>
    <t>Grant Rd_11800_Village in the Woods_Cypress</t>
  </si>
  <si>
    <t>Prestonwood Forest Dr_13210_Prestonwood_Houston</t>
  </si>
  <si>
    <t>Greencreek Dr_10803_Pebble Creek_Houston</t>
  </si>
  <si>
    <t>Glenora Dr_10730_Hastings Place I_Houston</t>
  </si>
  <si>
    <t>Willow Place S_8330_One Willow Chase_Houston</t>
  </si>
  <si>
    <t>Green Creek Dr_10802_Woodedge_Houston</t>
  </si>
  <si>
    <t>Saathoff_11111_Brandon Oaks_Cypress</t>
  </si>
  <si>
    <t>Willow Place N_8450_One Willow Park_Houston</t>
  </si>
  <si>
    <t>1960 FM W_5100_Providence at Champions_Houston</t>
  </si>
  <si>
    <t>Greenwood Forest Dr_12820_Greenwood Forest_Houston</t>
  </si>
  <si>
    <t>Antoine_12355_Camden Station_Houston</t>
  </si>
  <si>
    <t>Antoine_12411_One Camden Court_Houston</t>
  </si>
  <si>
    <t>Bammel Houston N_10200_Meridian_Houston</t>
  </si>
  <si>
    <t>Champions Dr_14141_Champions Green_Houston</t>
  </si>
  <si>
    <t>1960 FM W_5959_The Promenade Champions Forest_Houston</t>
  </si>
  <si>
    <t>Glenora_10730_Hastings Place II_Houston</t>
  </si>
  <si>
    <t>Windfern_12919_Windfern Meadows_Houston</t>
  </si>
  <si>
    <t>Windfern_13035_Trails of Windfern_Houston</t>
  </si>
  <si>
    <t>Perry Rd_11240_Willow Run TH_Houston</t>
  </si>
  <si>
    <t>Hammond_11810_Morningside Green_Houston</t>
  </si>
  <si>
    <t>Azalea Trace_5110_Smoketree Apts_Houston</t>
  </si>
  <si>
    <t>Antoine_12335_Champions Pointe_Houston</t>
  </si>
  <si>
    <t>Breton Ridge_13555_Breton Mill_Houston</t>
  </si>
  <si>
    <t>Willowchase Blvd_7700_The Verandah at Centerfield_Houston</t>
  </si>
  <si>
    <t>Crescent Moon_11000_Chelsea Park_Houston</t>
  </si>
  <si>
    <t>Legacy Park Dr_10801_Legacy Park_Houston</t>
  </si>
  <si>
    <t>Ella_14335_Cranbrook Downs_Houston</t>
  </si>
  <si>
    <t>Champions Centre Dr_13222_Champions Centre_Houston</t>
  </si>
  <si>
    <t>Champion Forest Dr_12801_Champions Forest_Houston</t>
  </si>
  <si>
    <t>Willowchase Blvd_7575_The Terrace at Willowbrook_Houston</t>
  </si>
  <si>
    <t>Ella Blvd_13800_Bayou Oaks_Houston</t>
  </si>
  <si>
    <t>Ella_13875_Cranbrook Forest_Houston</t>
  </si>
  <si>
    <t>Ella Blvd_13913_Monticello on Cranbrook_Houston</t>
  </si>
  <si>
    <t>Ella Blvd_14531_Polo Club on Cranbrook_Houston</t>
  </si>
  <si>
    <t>Stonefield_13100_Huntington at Stonefield_Houston</t>
  </si>
  <si>
    <t>Champions Park_13050_Champions Park_Houston</t>
  </si>
  <si>
    <t>Champions Plaza_6830_Champions Woods_Houston</t>
  </si>
  <si>
    <t>Seton Lake Dr_7703_Seton Chase_Houston</t>
  </si>
  <si>
    <t>Bammel Houston N_13949_Willow Bend_Houston</t>
  </si>
  <si>
    <t>Greens Rd W_7250_The Enclave at Willowbrook_Houston</t>
  </si>
  <si>
    <t>Fallbrook Dr_7610_Cedar Pointe_Houston</t>
  </si>
  <si>
    <t>Ella Blvd_14000_Timbers of Cranbrook_Houston</t>
  </si>
  <si>
    <t>Ella_14400_Excelsior on the Park_Houston</t>
  </si>
  <si>
    <t>Old Bammel Houston N_10401_Briar Park_Houston</t>
  </si>
  <si>
    <t>Tomball Prkwy_14150_Willowbrook Point_Houston</t>
  </si>
  <si>
    <t>Greens Pkwy_1325_Pine Lake Village_Houston</t>
  </si>
  <si>
    <t>Greens Pkwy_1415_Fall Lake_Houston</t>
  </si>
  <si>
    <t>Greens Pkwy_1351_Live Oak Bend_Houston</t>
  </si>
  <si>
    <t>Greens Rd_501_The Durham at CityView_Houston</t>
  </si>
  <si>
    <t>Chase N_16900_The Royal Phoenician_Houston</t>
  </si>
  <si>
    <t>Kuykendahl Rd_12655_The Augusta_Houston</t>
  </si>
  <si>
    <t>Brundage_2110_Vanderbilt_Houston</t>
  </si>
  <si>
    <t>Cambury_13725_Cambury Place_Houston</t>
  </si>
  <si>
    <t>Ella Blvd_14403_Morgan Bay_Houston</t>
  </si>
  <si>
    <t>Ella Blvd_15100_Chartwell Court_Houston</t>
  </si>
  <si>
    <t>Dominion Park Dr_150_The Square_Houston</t>
  </si>
  <si>
    <t>Gears_1303_Driscoll Place I_Houston</t>
  </si>
  <si>
    <t>Gears_1303_Driscoll Place II_Houston</t>
  </si>
  <si>
    <t>Northborough Dr_13355_Canfield Lakes_Houston</t>
  </si>
  <si>
    <t>Northborough Dr_13502_Sago Palms_Houston</t>
  </si>
  <si>
    <t>Greens Rd_770_The Bennett at CityView_Houston</t>
  </si>
  <si>
    <t>Greens Rd_855_Anniston at CityView_Houston</t>
  </si>
  <si>
    <t>Greens Pkwy_1350_Worthington at the Beltway_Houston</t>
  </si>
  <si>
    <t>Greens Rd_407_Park De Ville_Houston</t>
  </si>
  <si>
    <t>Imperial Valley Dr_16802_CityView Place III_Houston</t>
  </si>
  <si>
    <t>Greens Rd_400_CityView West_Houston</t>
  </si>
  <si>
    <t>Northborough_13011_The Thicket_Houston</t>
  </si>
  <si>
    <t>Northborough_13030_Forest Pointe_Houston</t>
  </si>
  <si>
    <t>Northborough_13503_Siena Courtyard_Houston</t>
  </si>
  <si>
    <t>Rushcreek Dr_633_Oakridge_Houston</t>
  </si>
  <si>
    <t>Northborough_12603_Northpointe Village_Houston</t>
  </si>
  <si>
    <t>Northborough_12803_Mira Vista_Houston</t>
  </si>
  <si>
    <t>Plaza Verde Dr_201_Fallbrook_Houston</t>
  </si>
  <si>
    <t>Northpoint_90_North Park_Houston</t>
  </si>
  <si>
    <t>Northpoint_220_Northpoint Square_Houston</t>
  </si>
  <si>
    <t>Airline_11960_Northgate_Houston</t>
  </si>
  <si>
    <t>Dyna Dr_100_Oak Leaf Village_Houston</t>
  </si>
  <si>
    <t>Wagon Rd_15715_Chelsea Walk North_Houston</t>
  </si>
  <si>
    <t>Imperial Valley Dr_17133_Springfield at CityView II_Houston</t>
  </si>
  <si>
    <t>Green Plaza_11411_Walnut Creek_Houston</t>
  </si>
  <si>
    <t>Greens Plaza_11500_Canyon Club_Houston</t>
  </si>
  <si>
    <t>Dyna_125_Los Prados_Houston</t>
  </si>
  <si>
    <t>Goodson Dr_2_Casa Verde_Houston</t>
  </si>
  <si>
    <t>Goodson_197_Regency Crossing_Houston</t>
  </si>
  <si>
    <t>Goodson_198_Valley Oaks_Houston</t>
  </si>
  <si>
    <t>Goodson_103_Magnolia Regency I_Houston</t>
  </si>
  <si>
    <t>Goodson_185_Magnolia Regency II_Houston</t>
  </si>
  <si>
    <t>Imperial Valley Dr_16303_Deer Creek_Houston</t>
  </si>
  <si>
    <t>Imperial Valley_17050_Biscayne at CityView I_Houston</t>
  </si>
  <si>
    <t>Richcrest_717_Royale De Ville_Houston</t>
  </si>
  <si>
    <t>Richcrest_818_Greenbriar Park North_Houston</t>
  </si>
  <si>
    <t>Seminar Dr_535_Breckenridge at CityView II_Houston</t>
  </si>
  <si>
    <t>Wayforest Dr_17630_Augusta at CityView_Houston</t>
  </si>
  <si>
    <t>Wayforest Dr_17715_Savannah at CityView_Houston</t>
  </si>
  <si>
    <t>59 Hwy_14400_Bender Creek_Humble</t>
  </si>
  <si>
    <t>Imperial Valley_17030_Biscayne at CityView II_Houston</t>
  </si>
  <si>
    <t>Imperial Valley_17103_Amherst at CityView_Houston</t>
  </si>
  <si>
    <t>Harvest Time Ln_850_The Charleston at CityView_Houston</t>
  </si>
  <si>
    <t>Greens Rd_707_Maison de Ville_Houston</t>
  </si>
  <si>
    <t>Greens Rd_906_Woods of Greenbriar_Houston</t>
  </si>
  <si>
    <t>Carl Ave_16803_CityView Place II_Houston</t>
  </si>
  <si>
    <t>Imperial Valley_17230_Greenspoint Landing II_Houston</t>
  </si>
  <si>
    <t>Aldine Bender_225_North Oaks_Houston</t>
  </si>
  <si>
    <t>Imperial Valley Dr_17206_Cambridge at CityView_Houston</t>
  </si>
  <si>
    <t>Imperial Valley Dr_17435_Springfield at CityView I_Houston</t>
  </si>
  <si>
    <t>Aldine Westfield_15521_Greenbriar Colony TH_Houston</t>
  </si>
  <si>
    <t>Langwick_1100_Crescent at CityView_Houston</t>
  </si>
  <si>
    <t>Seminar_535_Breckenridge at CityView III_Houston</t>
  </si>
  <si>
    <t>Greens Rd_1000_Salado at CityView_Houston</t>
  </si>
  <si>
    <t>Seminar Dr_802_Arbor Court_Houston</t>
  </si>
  <si>
    <t>Carl Ave_16811_CityView Place IV_Houston</t>
  </si>
  <si>
    <t>Seminar Dr_625_Imperial Oaks_Houston</t>
  </si>
  <si>
    <t>Wayforest_17601_Courtyard Manor_Houston</t>
  </si>
  <si>
    <t>Carl Ave_16826_CityView Place V_Houston</t>
  </si>
  <si>
    <t>Imperial Valley_16250_Sausalito_Houston</t>
  </si>
  <si>
    <t>Will Clayton Pkwy_8455_Parkside_Humble</t>
  </si>
  <si>
    <t>59 Hwy_17750_Deerbrook Forest_Humble</t>
  </si>
  <si>
    <t>CrossRds Park Dr_12665_Limestone Ranch_Houston</t>
  </si>
  <si>
    <t>Steepleway Blvd_12101_Sprucewood_Houston</t>
  </si>
  <si>
    <t>Easton Commons_8440_Peppermill Place_Houston</t>
  </si>
  <si>
    <t>Rankin Rd_8137_Rankin Country_Humble</t>
  </si>
  <si>
    <t>Old Belt Dr N_6910_Northlake Manor_Humble</t>
  </si>
  <si>
    <t>Golden Eagle_15100_Waterchase_Humble</t>
  </si>
  <si>
    <t>Wilson Rd_831_Colony of Humble_Humble</t>
  </si>
  <si>
    <t>Golf Club Dr_16700_Spring Hill Village_Crosby</t>
  </si>
  <si>
    <t>Cotillion_16001_Imperial Landing_Houston</t>
  </si>
  <si>
    <t>Crosswinds Dr_14810_Crosswinds_Houston</t>
  </si>
  <si>
    <t>Sam Houston Pkwy E N_5301_Villas at Pine Lake_Houston</t>
  </si>
  <si>
    <t>Aldine Bender_5619_Haverstock Hill_Houston</t>
  </si>
  <si>
    <t>Will Clayton Pkwy_5801_Shadowridge North_Humble</t>
  </si>
  <si>
    <t>Easton Commons_8550_Easton Village_Houston</t>
  </si>
  <si>
    <t>Easton Commons_8630_Coventry Square_Houston</t>
  </si>
  <si>
    <t>Timber Creek Place Dr_5535_Bear Creek Crossing_Houston</t>
  </si>
  <si>
    <t>Timber Creek Place_5635_Timberwalk_Houston</t>
  </si>
  <si>
    <t>Atascocita Rd_5303_Eagle Crest_Humble</t>
  </si>
  <si>
    <t>Point Park_8727_Villages at Copperfield II_Houston</t>
  </si>
  <si>
    <t>Point Park_8750_Villages at Copperfield I_Houston</t>
  </si>
  <si>
    <t>Sunbury_8255_Copperfield_Houston</t>
  </si>
  <si>
    <t>529 FM_15910_Copper Mill_Houston</t>
  </si>
  <si>
    <t>Timber Creek Place_5450_Saint Gregory's Beach_Houston</t>
  </si>
  <si>
    <t>Timber Creek Place Dr_5455_Timberledge_Houston</t>
  </si>
  <si>
    <t>York Meadows_6416_Meadow Creek_Houston</t>
  </si>
  <si>
    <t>Timber Creek Place_5315_Trails of Timber Creek_Houston</t>
  </si>
  <si>
    <t>A Rumford Ln_6230_Langham Creek_Houston</t>
  </si>
  <si>
    <t>Point NW_15455_Villages at Copperfield III_Houston</t>
  </si>
  <si>
    <t>Sunbury_8200_Sunbury Downs_Houston</t>
  </si>
  <si>
    <t>Little York W_15303-15357_TH of Bear Creek_Houston</t>
  </si>
  <si>
    <t>Kingfield_15550_Colonies Landing_Houston</t>
  </si>
  <si>
    <t>Seattle Slew_12613_Trails at Rock Creek II_Houston</t>
  </si>
  <si>
    <t>Jones Rd_8901_Pointe at Steeplechase I_Houston</t>
  </si>
  <si>
    <t>Wagonwheel Ln_6706_Inwood Place_Houston</t>
  </si>
  <si>
    <t>TC Jester Blvd W_7200_Inwood Village_Houston</t>
  </si>
  <si>
    <t>W Rd_11220_Steeplecrest I_Houston</t>
  </si>
  <si>
    <t>W Rd_11220_Steeplecrest II_Houston</t>
  </si>
  <si>
    <t>Timber Creek Place Dr_5735_The Madison at Bear Creek_Houston</t>
  </si>
  <si>
    <t>W Rd_11245_Retreat at Steeplechase_Houston</t>
  </si>
  <si>
    <t>Thoroughbred Dr_11910_Steepleway Downs_Houston</t>
  </si>
  <si>
    <t>W Rd_10910_Ascot Court_Houston</t>
  </si>
  <si>
    <t>W Rd_10990_West Brook_Houston</t>
  </si>
  <si>
    <t>Ranchstone_10901_Ranchstone_Houston</t>
  </si>
  <si>
    <t>W Rd_10919_Stone Canyon_Houston</t>
  </si>
  <si>
    <t>Hollister_6565_Hollister Place_Houston</t>
  </si>
  <si>
    <t>Hollister_6000_Wilshire Place_Houston</t>
  </si>
  <si>
    <t>Jones Rd_8655_The Trails at Corinthian Creek_Houston</t>
  </si>
  <si>
    <t>Seattle Slew_12502_Trails at Rock Creek I_Houston</t>
  </si>
  <si>
    <t>Timber Creek Place_5650_The Lake_Houston</t>
  </si>
  <si>
    <t>Timber Creek Place Dr_5730_Towne Lake_Houston</t>
  </si>
  <si>
    <t>Antoine_8430_Chesapeake Village_Houston</t>
  </si>
  <si>
    <t>Antoine_9021_Inwood Meadows_Houston</t>
  </si>
  <si>
    <t>Gulf Bank W_5300_Avery Park I_Houston</t>
  </si>
  <si>
    <t>Smiling Wood_7100_The Park at Willowbrook_Houston</t>
  </si>
  <si>
    <t>Smiling Wood Ln_7150_Willow Brook_Houston</t>
  </si>
  <si>
    <t>Gulf Bank W_9515_Windfern Pointe_Houston</t>
  </si>
  <si>
    <t>Gulf Bank W_7058_Crossing at Woodland Trails_Houston</t>
  </si>
  <si>
    <t>Gold Point_10910_Winchester Place_Houston</t>
  </si>
  <si>
    <t>Steepleway Blvd_12920_The Promenade Jersey Village III_Houston</t>
  </si>
  <si>
    <t>Hollister_6969_The Seasons_Houston</t>
  </si>
  <si>
    <t>Silent Wood_7330_Champions Forest_Houston</t>
  </si>
  <si>
    <t>Jones Rd_9001_Camden Steeplechase_Houston</t>
  </si>
  <si>
    <t>Steeple Park_11555_Pointe at Steeplechase II_Houston</t>
  </si>
  <si>
    <t>Pleasant Colony_11011_The Promenade Jersey Village II_Houston</t>
  </si>
  <si>
    <t>Philipine_14555_The Reserve at Woodwind Lakes_Houston</t>
  </si>
  <si>
    <t>Hollister_7055_Thornbury_Houston</t>
  </si>
  <si>
    <t>Flintlock Rd_5915_Savoy Manor_Houston</t>
  </si>
  <si>
    <t>Gulf Bank Rd W_5714_Park Lane II_Houston</t>
  </si>
  <si>
    <t>Gulf Bank W_5880_Timbers of Inwood Forest II_Houston</t>
  </si>
  <si>
    <t>Gulf Bank Rd W_5555_Park Lane I_Houston</t>
  </si>
  <si>
    <t>Gulf Bank W_5335_Streamside Place_Houston</t>
  </si>
  <si>
    <t>Gulf Bank W_5350_Avery Park II_Houston</t>
  </si>
  <si>
    <t>Blue Bell_1655_Blue Bell Crossing_Houston</t>
  </si>
  <si>
    <t>Veterans Memorial_9660_Blue Bell Village_Houston</t>
  </si>
  <si>
    <t>Mount Houston W_5710-5732_Villages of Inwood_Houston</t>
  </si>
  <si>
    <t>Woodsman Trl_7015_Rosslyn Heights_Houston</t>
  </si>
  <si>
    <t>Little York W_3500_Oak Villa II_Houston</t>
  </si>
  <si>
    <t>Alabonson Rd_7302_Inwood Grove_Houston</t>
  </si>
  <si>
    <t>Gulf Bank W_5850_Timbers of Inwood Forest I_Houston</t>
  </si>
  <si>
    <t>Holly View Dr_5550_The Park at Live Oak_Houston</t>
  </si>
  <si>
    <t>Holly View Dr_5555_Hollyview_Houston</t>
  </si>
  <si>
    <t>Greens Crossing Blvd_10445_Mission Falls_Houston</t>
  </si>
  <si>
    <t>Blue Bell_1400_The Meadows on Blue Bell_Houston</t>
  </si>
  <si>
    <t>Holly View Dr_5600_Gables of Inwood_Houston</t>
  </si>
  <si>
    <t>Little York W_3434_Oak Villa I_Houston</t>
  </si>
  <si>
    <t>Antoine_6407_Diamond Ridge I_Houston</t>
  </si>
  <si>
    <t>Antoine_6417_Diamond Ridge II_Houston</t>
  </si>
  <si>
    <t>Little York W_790_Lincoln Park_Houston</t>
  </si>
  <si>
    <t>Little York W_215_Casa Real_Houston</t>
  </si>
  <si>
    <t>Antoine_6101_The Falls on Antoine_Houston</t>
  </si>
  <si>
    <t>Antoine Dr_6240_Reserve at White Oak_Houston</t>
  </si>
  <si>
    <t>Northwood Forest_12215_Las Brisas_Houston</t>
  </si>
  <si>
    <t>Hamill_5601_Pinewood North_Houston</t>
  </si>
  <si>
    <t>Wild Pine_12322_Pine Village North_Houston</t>
  </si>
  <si>
    <t>Gulf Bank W_1415_Coppertree Village_Houston</t>
  </si>
  <si>
    <t>Montgomery W_9601_Garden City_Houston</t>
  </si>
  <si>
    <t>Sunny Side_303_La Casita II_Houston</t>
  </si>
  <si>
    <t>Sunnyside_313_La Casita I_Houston</t>
  </si>
  <si>
    <t>Parker Rd W_480_Pecan Shadows_Houston</t>
  </si>
  <si>
    <t>Hollyvale Dr_427_Hollyvale_Houston</t>
  </si>
  <si>
    <t>Aldine Mail Rd_2203_Oakdale Manor_Houston</t>
  </si>
  <si>
    <t>Carby W_256_Country Living_Houston</t>
  </si>
  <si>
    <t>Northline_7313_Northline Point_Houston</t>
  </si>
  <si>
    <t>John F Kennedy Blvd_12550_Rockwood Landing_Houston</t>
  </si>
  <si>
    <t>Aldine Mail Route_5005_Northwood Villas_Houston</t>
  </si>
  <si>
    <t>Aldine Mail Route_4826_Aldine_Houston</t>
  </si>
  <si>
    <t>5th St E_5360_Katy Manor_Katy</t>
  </si>
  <si>
    <t>Ave E_1518_Katy Mayfair_Katy</t>
  </si>
  <si>
    <t>Aldine Mail Route_4335_Capewood_Houston</t>
  </si>
  <si>
    <t>Aldine Mail Route_4505_La Quinta Garden_Houston</t>
  </si>
  <si>
    <t>Northline_7001_Concord Green_Houston</t>
  </si>
  <si>
    <t>Parker Rd W_130_Parkway Plaza_Houston</t>
  </si>
  <si>
    <t>Keith Harrow_16150_Breckenridge Court_Houston</t>
  </si>
  <si>
    <t>Keith Harrow_16160_Harpers Mill_Houston</t>
  </si>
  <si>
    <t>90 Hwy_4015_Whisper Oaks_Crosby</t>
  </si>
  <si>
    <t>2100 FM_15016_Crosby Square_Crosby</t>
  </si>
  <si>
    <t>Barker Cypress_1822_The Enclave at Cypress Park_Houston</t>
  </si>
  <si>
    <t>Park View S_18142_Arbor Pointe_Houston</t>
  </si>
  <si>
    <t>Clay Hill Dr_4211_Green Tree Place_Houston</t>
  </si>
  <si>
    <t>Clay_16222_Clay Creek_Houston</t>
  </si>
  <si>
    <t>Park Row_14220_Arcadian West_Houston</t>
  </si>
  <si>
    <t>Park Row_19321_Park Falls_Houston</t>
  </si>
  <si>
    <t>Keith-Harrow_17310_Green Meadows_Houston</t>
  </si>
  <si>
    <t>Shady Ln_10300_Parker Square_Houston</t>
  </si>
  <si>
    <t>Parker_7170_Las Palmas_Houston</t>
  </si>
  <si>
    <t>Krenek_304_Crosby Meadows_Crosby</t>
  </si>
  <si>
    <t>Park Row_21500_Bent Tree_Katy</t>
  </si>
  <si>
    <t>Saums_20000_Stonecreek I_Katy</t>
  </si>
  <si>
    <t>Saums_20000_Stonecreek II_Katy</t>
  </si>
  <si>
    <t>Westborough Dr_2031_Westborough Crossing_Katy</t>
  </si>
  <si>
    <t>Park Row_19606_Ryan's Pointe_Houston</t>
  </si>
  <si>
    <t>Park Row_15200_Park Place_Houston</t>
  </si>
  <si>
    <t>Park Row_15211_Heritage at Park Row_Houston</t>
  </si>
  <si>
    <t>Clay_17103_Pine Forest_Houston</t>
  </si>
  <si>
    <t>Barker Cypress_1800_Promenade Cullen Park I_Houston</t>
  </si>
  <si>
    <t>Barker Cypress_1810_Promenade Cullen Park II_Houston</t>
  </si>
  <si>
    <t>Wickchester_11900_Eagle Hollow_Houston</t>
  </si>
  <si>
    <t>Sherwood Forest_1503_Timberline Forest_Houston</t>
  </si>
  <si>
    <t>Loch Katrine_16545_Village at Loch Katrine I &amp; II_Houston</t>
  </si>
  <si>
    <t>Grow Ln_7835_Quail Creek_Houston</t>
  </si>
  <si>
    <t>Hollister_5800_Woodcreek of North West Crossing_Houston</t>
  </si>
  <si>
    <t>Park Row_15000_The Legend at Park Ten_Houston</t>
  </si>
  <si>
    <t>Sam Houston Pkwy W_2401_The Reserve at City Center North_Houston</t>
  </si>
  <si>
    <t>Kempwood Dr_10105_Spring Shadows_Houston</t>
  </si>
  <si>
    <t>Kempwood_9540_Miami Gardens_Houston</t>
  </si>
  <si>
    <t>Guhn Rd_5757_Villa Anita_Houston</t>
  </si>
  <si>
    <t>Tidwell_8327_Lafayette Green_Houston</t>
  </si>
  <si>
    <t>Westview_10330_Sandy Glen_Houston</t>
  </si>
  <si>
    <t>Grow Ln_8047_Park West_Houston</t>
  </si>
  <si>
    <t>Grow_8103_Fawndale_Houston</t>
  </si>
  <si>
    <t>Blalock_3402_Spring Brook Village_Houston</t>
  </si>
  <si>
    <t>Campbell_3400_Green Oak Village_Houston</t>
  </si>
  <si>
    <t>Sherwood Forest_1521_Windcrest on Sherwood_Houston</t>
  </si>
  <si>
    <t>Sherwood Forest St_1610_Knights Landing II_Houston</t>
  </si>
  <si>
    <t>Upland Dr_1701_Knights Landing I_Houston</t>
  </si>
  <si>
    <t>Hammerly_10545_Springwoods Village_Houston</t>
  </si>
  <si>
    <t>Hammerly_10580_Westway_Houston</t>
  </si>
  <si>
    <t>Shadowdale_2135_Shadowdale Oaks_Houston</t>
  </si>
  <si>
    <t>Crestdale Dr_3125_Waterford Place_Houston</t>
  </si>
  <si>
    <t>Kempwood_9999_Kempwood Hollow_Houston</t>
  </si>
  <si>
    <t>Kempwood_10100_Spring Shadows Place_Houston</t>
  </si>
  <si>
    <t>Hollister_5801_Cherry Creek_Houston</t>
  </si>
  <si>
    <t>Tidwell Rd W_8000_Somerset II_Houston</t>
  </si>
  <si>
    <t>Pitner Rd_8650_Pine Gardens_Houston</t>
  </si>
  <si>
    <t>Hammerly_10000_Hunters Chase_Houston</t>
  </si>
  <si>
    <t>Pinemont_7500_Shadow Creek_Houston</t>
  </si>
  <si>
    <t>Kempwood_10010_Kempwood Place_Houston</t>
  </si>
  <si>
    <t>Witte Rd_1500_Bermuda Woods_Houston</t>
  </si>
  <si>
    <t>Blalock_1640_Pine Shadows_Houston</t>
  </si>
  <si>
    <t>Campbell_1760_Leaf Hollow_Houston</t>
  </si>
  <si>
    <t>Tidwell Rd W_8001_Somerset I_Houston</t>
  </si>
  <si>
    <t>Clay_9301_Jade Forest_Houston</t>
  </si>
  <si>
    <t>Hammerly_10011_Hammerly Villa_Houston</t>
  </si>
  <si>
    <t>Kempwood Dr_9001_Gentry House_Houston</t>
  </si>
  <si>
    <t>Gessner Dr_1711_Royal Gate_Houston</t>
  </si>
  <si>
    <t>Gessner Dr N_1776_Gessner Park_Houston</t>
  </si>
  <si>
    <t>Sunforest_6000_Rancho Verde_Houston</t>
  </si>
  <si>
    <t>Long Point_9005_Red Apple_Houston</t>
  </si>
  <si>
    <t>Hollister_3950_Summercrest Apts_Houston</t>
  </si>
  <si>
    <t>Witte Rd_1651-1655_Witte Oaks_Houston</t>
  </si>
  <si>
    <t>Witte_1651_Witte Oaks_Houston</t>
  </si>
  <si>
    <t>Laverne St_2001_Hickory Ridge_Houston</t>
  </si>
  <si>
    <t>Hammerly_8787_Hammerly Walk_Houston</t>
  </si>
  <si>
    <t>Hammerly_8791_Hammerly Oaks_Houston</t>
  </si>
  <si>
    <t>Pitner Rd_8520_Northwest Corners_Houston</t>
  </si>
  <si>
    <t>Hammerly_8800_Spring Lake_Houston</t>
  </si>
  <si>
    <t>Hollister_2217_Spring Lake Lakehomes_Houston</t>
  </si>
  <si>
    <t>Gessner Dr_1702_Timberwood_Houston</t>
  </si>
  <si>
    <t>Blalock_1207_Blalock_Houston</t>
  </si>
  <si>
    <t>Long Point_9616_MacArthur Park_Houston</t>
  </si>
  <si>
    <t>Long Point_9745_Rolling Wood_Houston</t>
  </si>
  <si>
    <t>Westview Dr_9595_Windcrest on Westview_Houston</t>
  </si>
  <si>
    <t>Hammerly_8701_Village Park_Houston</t>
  </si>
  <si>
    <t>Gessner Dr_1320_English Oaks_Houston</t>
  </si>
  <si>
    <t>Witte Rd_1323_Brompton Square_Houston</t>
  </si>
  <si>
    <t>Long Point_9550_Valencia at Spring Branch_Houston</t>
  </si>
  <si>
    <t>Westview_10110_Westview Forest_Houston</t>
  </si>
  <si>
    <t>Westview Dr_10157_Park on Westview_Houston</t>
  </si>
  <si>
    <t>Blalock_1217_Cedar Branch_Houston</t>
  </si>
  <si>
    <t>Gessner Dr_1554_Spring Pines_Houston</t>
  </si>
  <si>
    <t>Hanka_10011_Sir Charles_Houston</t>
  </si>
  <si>
    <t>Westview_10107_Front Royale_Houston</t>
  </si>
  <si>
    <t>Blalock_1550_Walnut Hill_Houston</t>
  </si>
  <si>
    <t>Campbell Rd_1515_Cedar Forest_Houston</t>
  </si>
  <si>
    <t>Cedar Post Ln_1221_Timber Trace_Houston</t>
  </si>
  <si>
    <t>Cedar Post_1250_La Petite_Houston</t>
  </si>
  <si>
    <t>Cedar Post_1325_Cedar Gate_Houston</t>
  </si>
  <si>
    <t>Long Point_9225_Mount Vernon Manor_Houston</t>
  </si>
  <si>
    <t>Antoine_5500_Oak Glen_Houston</t>
  </si>
  <si>
    <t>Antoine_5555_Oaks on Antoine_Houston</t>
  </si>
  <si>
    <t>Lockfield_4200_Crossings at Willow Bend_Houston</t>
  </si>
  <si>
    <t>Lockfield_4222_Oaks of Northwest Corners_Houston</t>
  </si>
  <si>
    <t>Watonga_3700_Indian Springs_Houston</t>
  </si>
  <si>
    <t>Watonga_3737_Lamonte Park TH_Houston</t>
  </si>
  <si>
    <t>Long Point_9310_Southern Gardens_Houston</t>
  </si>
  <si>
    <t>Mangum_4102_Delta 1 Apts_Houston</t>
  </si>
  <si>
    <t>Mangum_4225_Hidden Park_Houston</t>
  </si>
  <si>
    <t>Ojeman Rd_1501_Montrose_Houston</t>
  </si>
  <si>
    <t>Sunforest_5801_Luxor Park_Houston</t>
  </si>
  <si>
    <t>Watonga_4000_Sierra Ranch_Houston</t>
  </si>
  <si>
    <t>DeSoto_5353_Oak Brook_Houston</t>
  </si>
  <si>
    <t>DeSoto_5399_Candlewood Glen_Houston</t>
  </si>
  <si>
    <t>DeSoto_5500_Linda Vista_Houston</t>
  </si>
  <si>
    <t>Pinemont_5959_Pine Forest Park_Houston</t>
  </si>
  <si>
    <t>Mangum_4702_Mangum Oaks_Houston</t>
  </si>
  <si>
    <t>NW Fwy_11911_Creekwood_Houston</t>
  </si>
  <si>
    <t>Lamonte_4800_The Woods on Lamonte_Houston</t>
  </si>
  <si>
    <t>Antoine Dr_5625_Oakwood Gardens_Houston</t>
  </si>
  <si>
    <t>DeSoto_5300_Hunters Cove_Houston</t>
  </si>
  <si>
    <t>Tidwell W_6150_Aspen_Houston</t>
  </si>
  <si>
    <t>Tidwell W_6200_Asbury Park_Houston</t>
  </si>
  <si>
    <t>43rd St W_6500_Vintage_Houston</t>
  </si>
  <si>
    <t>Deep Forest_5353_Pine Forest Place_Houston</t>
  </si>
  <si>
    <t>Lost Forest_5310_Pine Arbor_Houston</t>
  </si>
  <si>
    <t>Houston Rosslyn N_5801_Northwest Pines_Houston</t>
  </si>
  <si>
    <t>Pinemont_7200_The Pines of Northwest Crossing_Houston</t>
  </si>
  <si>
    <t>Jalna_7611_Hidden Pines Apts_Houston</t>
  </si>
  <si>
    <t>Pech_1502_The Glens_Houston</t>
  </si>
  <si>
    <t>Shady Villa_7200_Park Shadows_Houston</t>
  </si>
  <si>
    <t>Johanna_1830_Amberwood_Houston</t>
  </si>
  <si>
    <t>Johanna_2010_Johanna Apts_Houston</t>
  </si>
  <si>
    <t>Sherwood Ln_4401_Seven Oaks_Houston</t>
  </si>
  <si>
    <t>Sherwood Ln_4506_Sherwood Lane_Houston</t>
  </si>
  <si>
    <t>Sherwood Ln_4211_Nueva Villa_Houston</t>
  </si>
  <si>
    <t>Sherwood Ln_4300_One Pine_Houston</t>
  </si>
  <si>
    <t>Hammerly_8515_Plaza on Hammerly_Houston</t>
  </si>
  <si>
    <t>Pech_2121_Aspenwood_Houston</t>
  </si>
  <si>
    <t>Wirt Rd_2200_Concord_Houston</t>
  </si>
  <si>
    <t>Sherwood_4600-4603_Innsbruck-Le Moyne_Houston</t>
  </si>
  <si>
    <t>Moritz_1720_Garden Walk_Houston</t>
  </si>
  <si>
    <t>Moritz_1751_Point Moritz North_Houston</t>
  </si>
  <si>
    <t>Pine Chase Dr_1717_Pine Chase_Houston</t>
  </si>
  <si>
    <t>34th St W_4250_Casa Nube en 34th_Houston</t>
  </si>
  <si>
    <t>34th St W_4619_Silver Creek Apts II_Houston</t>
  </si>
  <si>
    <t>Mangum_3130_Burnham Woods_Houston</t>
  </si>
  <si>
    <t>Ravenwood Cir_7964_Ravenwood_Houston</t>
  </si>
  <si>
    <t>Amelia_7901_Spring Branch Estates_Houston</t>
  </si>
  <si>
    <t>Long Point_7429_Palma Royal_Houston</t>
  </si>
  <si>
    <t>Long Point_7745_King Edward VI_Houston</t>
  </si>
  <si>
    <t>Sherwood Ln_3910_Canterbury Court_Houston</t>
  </si>
  <si>
    <t>Sherwood Ln_4008_Seven Gables_Houston</t>
  </si>
  <si>
    <t>Mangum_3200_Silvercreek_Houston</t>
  </si>
  <si>
    <t>Mangum_3233_Kingswood Village_Houston</t>
  </si>
  <si>
    <t>Sherwood Ln_3821_Sherwood Gardens_Houston</t>
  </si>
  <si>
    <t>34th St W_4000_Clearbrook_Houston</t>
  </si>
  <si>
    <t>34th St W_4200_Spring Hill_Houston</t>
  </si>
  <si>
    <t>Long Point Rd_7550_Woodvine_Houston</t>
  </si>
  <si>
    <t>Wirt Rd_1855_Cancun_Houston</t>
  </si>
  <si>
    <t>Woodvine_1742_Long Point Plaza_Houston</t>
  </si>
  <si>
    <t>Moritz_1541_Oaks of Moritz_Houston</t>
  </si>
  <si>
    <t>TC Jester Blvd W_1710_The Grove at White Oak II_Houston</t>
  </si>
  <si>
    <t>25th St W_1110_Twin Pines_Houston</t>
  </si>
  <si>
    <t>Shady Villa_7726_Palms of Shady Villa_Houston</t>
  </si>
  <si>
    <t>Shady Villa_7727_Wood Hollow_Houston</t>
  </si>
  <si>
    <t>Pinemont_712_Pine Manor_Houston</t>
  </si>
  <si>
    <t>Yale_4742_Graceland Terrace_Houston</t>
  </si>
  <si>
    <t>Wirt Rd_1702_Malibu Courts_Houston</t>
  </si>
  <si>
    <t>Wirt Rd_1714_Spring Gardens_Houston</t>
  </si>
  <si>
    <t>Rosslyn_4300_Oak Forest Place_Houston</t>
  </si>
  <si>
    <t>Alba_5116_Candlelight Garden_Houston</t>
  </si>
  <si>
    <t>Pinemont_818_Candlelight Estates_Houston</t>
  </si>
  <si>
    <t>Pinemont_1001_Dominion Square_Houston</t>
  </si>
  <si>
    <t>Donovan W_601_Donovan Village_Houston</t>
  </si>
  <si>
    <t>Coldstream_1118_La Veranda Apts_Houston</t>
  </si>
  <si>
    <t>Westview_6804_Westview Gardens_Houston</t>
  </si>
  <si>
    <t>Westview_7000_Castlewood_Houston</t>
  </si>
  <si>
    <t>Crosstimbers W_500_West Crosstimbers_Houston</t>
  </si>
  <si>
    <t>Shepherd N_4411_Garden Oaks Village_Houston</t>
  </si>
  <si>
    <t>Sherwood Ln_3805_Sherwood Glen_Houston</t>
  </si>
  <si>
    <t>Sherwood Ln_3820_Plaza Real_Houston</t>
  </si>
  <si>
    <t>TC Jester Blvd W_2802_The Dunhill_Houston</t>
  </si>
  <si>
    <t>Tidwell W_1200_Tidwell Estates_Houston</t>
  </si>
  <si>
    <t>Patrick_5601_Boca del Rio Apts_Houston</t>
  </si>
  <si>
    <t>Yale St_5050_Yale Court_Houston</t>
  </si>
  <si>
    <t>43rd St W_2006_Oak Tree_Houston</t>
  </si>
  <si>
    <t>Westview_7025_Oak Forest_Houston</t>
  </si>
  <si>
    <t>Lehman St_910_Shepherd Forest_Houston</t>
  </si>
  <si>
    <t>Oak St_827_Villa Nueva_Houston</t>
  </si>
  <si>
    <t>Oak St_838_Tiffany Oaks_Houston</t>
  </si>
  <si>
    <t>Thornton_505_Las Palmas Apts_Houston</t>
  </si>
  <si>
    <t>34th St W_2223_Brookhollow_Houston</t>
  </si>
  <si>
    <t>Sherwood Ln_3800_Tara Oaks_Houston</t>
  </si>
  <si>
    <t>TC Jester W_2800_Turtle Creek_Houston</t>
  </si>
  <si>
    <t>Ella Blvd_2121_Ella Creek_Houston</t>
  </si>
  <si>
    <t>N Fwy_5600_Nordling Chateau_Houston</t>
  </si>
  <si>
    <t>TC Jester W_3600_Forest Oaks_Houston</t>
  </si>
  <si>
    <t>34th St W_1705_Oak Manor_Houston</t>
  </si>
  <si>
    <t>Ella Blvd_3011_Ella Square_Houston</t>
  </si>
  <si>
    <t>Hackett_2400_Woodside Village_Houston</t>
  </si>
  <si>
    <t>Seaspray Ct_1700_The Oaks of Timbergrove_Houston</t>
  </si>
  <si>
    <t>TC Jester Blvd W_2790_Pointe Plaza_Houston</t>
  </si>
  <si>
    <t>TC Jester E_2424_Crossing at White Oak_Houston</t>
  </si>
  <si>
    <t>18th St W_2338_Brittany Place_Houston</t>
  </si>
  <si>
    <t>Judiway_1353_Colony Oaks Apts_Houston</t>
  </si>
  <si>
    <t>TC Jester Blvd W_1600_Timbergrove_Houston</t>
  </si>
  <si>
    <t>TC Jester Blvd W_1660_The Gardens_Houston</t>
  </si>
  <si>
    <t>TC Jester Blvd W_1700_The Grove at White Oak I_Houston</t>
  </si>
  <si>
    <t>Werner_4503_Monterrey Vista_Houston</t>
  </si>
  <si>
    <t>Werner_4635_Redwood Village II_Houston</t>
  </si>
  <si>
    <t>Alfano_6301_Rustic Glen_Houston</t>
  </si>
  <si>
    <t>16th St W_427_NF_Houston</t>
  </si>
  <si>
    <t>27th St W_304_Ben Hur Apts_Houston</t>
  </si>
  <si>
    <t>Tannehill_2100_Whispertree_Houston</t>
  </si>
  <si>
    <t>TC Jester Blvd E_1640_Retreat at City Park_Houston</t>
  </si>
  <si>
    <t>Marable_4920_La Vista Villa_Houston</t>
  </si>
  <si>
    <t>N Fwy_4911_Villa Provincial Apts_Houston</t>
  </si>
  <si>
    <t>Lyerly_74_Northpoint_Houston</t>
  </si>
  <si>
    <t>Lyerly_80_Northline Colonial_Houston</t>
  </si>
  <si>
    <t>Bauman_8210_Village Park North_Houston</t>
  </si>
  <si>
    <t>Irvington_9121_Monterrey Villa_Houston</t>
  </si>
  <si>
    <t>Oxford_4410_Oxford Square_Houston</t>
  </si>
  <si>
    <t>Burress_6_Independence Hall_Houston</t>
  </si>
  <si>
    <t>Tidwell E_101_Vista Villa_Houston</t>
  </si>
  <si>
    <t>Bauman_9400_Tidwell Park_Houston</t>
  </si>
  <si>
    <t>Fulton_8001_Versailles_Houston</t>
  </si>
  <si>
    <t>Fulton St_8217_Meadow Lea_Houston</t>
  </si>
  <si>
    <t>N Fwy_5135_Ventana Gardens_Houston</t>
  </si>
  <si>
    <t>Victoria_300_Redwood Village I_Houston</t>
  </si>
  <si>
    <t>Victoria_830_Victoria Manor_Houston</t>
  </si>
  <si>
    <t>Hollister_4000_Villa Del Sol_Houston</t>
  </si>
  <si>
    <t>Tidwell_915_House of Kent_Houston</t>
  </si>
  <si>
    <t>Crosstimbers E_122_Northline Terrace_Houston</t>
  </si>
  <si>
    <t>Cavalcade W_611_Oakwood Manor_Houston</t>
  </si>
  <si>
    <t>Fulton_5100_Pillars_Houston</t>
  </si>
  <si>
    <t>Heights Blvd_1950_Heights House_Houston</t>
  </si>
  <si>
    <t>Homestead_9603_Swiss Village on the Park_Houston</t>
  </si>
  <si>
    <t>Crosstimbers E_3605_Colonial Apts_Houston</t>
  </si>
  <si>
    <t>Crofton_9555_Crofton Place_Houston</t>
  </si>
  <si>
    <t>Crosstimbers E_2612_Crosstimber Oaks Apts_Houston</t>
  </si>
  <si>
    <t>Heights Blvd_1603_Shadow Pines North_Houston</t>
  </si>
  <si>
    <t>Main N_4500_Las Brisas_Houston</t>
  </si>
  <si>
    <t>Curry_7601_Branch Village_Houston</t>
  </si>
  <si>
    <t>Jensen_7301_Vance Plaza_Houston</t>
  </si>
  <si>
    <t>Harrell_8826_W Leo Daniel Tower_Houston</t>
  </si>
  <si>
    <t>Main N_4725_Pecan Villas_Houston</t>
  </si>
  <si>
    <t>Fulton_4411_Central Apts_Houston</t>
  </si>
  <si>
    <t>Tim St_2635_La Casita Homes_Houston</t>
  </si>
  <si>
    <t>Laura Koppe_3201_Colonial Arms_Houston</t>
  </si>
  <si>
    <t>Schuller_7430_Palms View-Villa Bonita_Houston</t>
  </si>
  <si>
    <t>Sterlingshire_8600_Miracle Point_Houston</t>
  </si>
  <si>
    <t>Sterlingshire_8660_Miracle Point II Apts_Houston</t>
  </si>
  <si>
    <t>Rand St_5420_Lockwood Landing II_Houston</t>
  </si>
  <si>
    <t>Sterlingshire_9002_Sterlingshire_Houston</t>
  </si>
  <si>
    <t>Hirsch_6603_Gulf Coast Arms_Houston</t>
  </si>
  <si>
    <t>Cavalcade_5006_Kashmere Royal_Houston</t>
  </si>
  <si>
    <t>Memorial Dr_14900_Argyle at Memorial_Houston</t>
  </si>
  <si>
    <t>Memorial Dr_14800_Princeton Club_Houston</t>
  </si>
  <si>
    <t>Lavender_5117_Alta Arms_Houston</t>
  </si>
  <si>
    <t>Wallisville Rd_14445_Dover Pointe_Houston</t>
  </si>
  <si>
    <t>Uvalde Rd_230-280_Village at Uvalde_Houston</t>
  </si>
  <si>
    <t>Purple Sage_5675_Hunters Creek_Houston</t>
  </si>
  <si>
    <t>Thorntree N_13502_Thorntree_Houston</t>
  </si>
  <si>
    <t>Mesa_9700_Dyersdale Village_Houston</t>
  </si>
  <si>
    <t>Wayside N_7373_Settegast Heights Village_Houston</t>
  </si>
  <si>
    <t>Lockwood_3905_Legacy Apts_Houston</t>
  </si>
  <si>
    <t>Lockwood Dr_4712_Lockwood Landing I_Houston</t>
  </si>
  <si>
    <t>Uvalde_90_Pines of Woodforest_Houston</t>
  </si>
  <si>
    <t>Normandy_450_Riverwalk_Houston</t>
  </si>
  <si>
    <t>Woodforest Blvd_12603_Forrester II_Houston</t>
  </si>
  <si>
    <t>Cimarron Pkwy_22022_Cimarron Parkway_Katy</t>
  </si>
  <si>
    <t>Tidwell_12355_South Lake Villas_Houston</t>
  </si>
  <si>
    <t>Tidwell E_12635_Forest Park_Houston</t>
  </si>
  <si>
    <t>Lake Houston Pkwy S_5830_Lake Houston Pines_Houston</t>
  </si>
  <si>
    <t>Lake Houston Pkwy S_6415_The Woods_Houston</t>
  </si>
  <si>
    <t>Woodforest Blvd_12800_Forrester I_Houston</t>
  </si>
  <si>
    <t>Uvalde Rd_5915_Forest Creek_Houston</t>
  </si>
  <si>
    <t>Wallisville E_2500_Country Terrace I_Highlands</t>
  </si>
  <si>
    <t>Oleander Dr_8410_Country Terrace II_Baytown</t>
  </si>
  <si>
    <t>Royal Ave_3301_Bay City Village_Baytown</t>
  </si>
  <si>
    <t>Hunt Rd_800_Hunt Garden_Baytown</t>
  </si>
  <si>
    <t>Memorial Dr_14855_The Park on Memorial_Houston</t>
  </si>
  <si>
    <t>Memorial_15135_The Memorial_Houston</t>
  </si>
  <si>
    <t>Mason S_1007_The Fountains at Katy_Katy</t>
  </si>
  <si>
    <t>Dominion_333_Nottingham Place_Katy</t>
  </si>
  <si>
    <t>Mason Rd S_2002_Cornerstone Ranch_Katy</t>
  </si>
  <si>
    <t>Provincial Blvd_21540_Kingston Villas_Katy</t>
  </si>
  <si>
    <t>Fry Rd_2013_Farmington_Katy</t>
  </si>
  <si>
    <t>Houghton_1111_The Place at Green Trails_Katy</t>
  </si>
  <si>
    <t>Kimberley Ln_14250_The Nottingham Village I_Houston</t>
  </si>
  <si>
    <t>Threadneedle_851_Live Oak_Houston</t>
  </si>
  <si>
    <t>Memorial Dr_15885_Marquis on Memorial_Houston</t>
  </si>
  <si>
    <t>Dairy Ashford S_1414_Briar Meadows_Houston</t>
  </si>
  <si>
    <t>Eldridge Pkwy_2255_The Biarritz_Houston</t>
  </si>
  <si>
    <t>Briar Forest Dr_14504_The Villages of Briar Forest_Houston</t>
  </si>
  <si>
    <t>Eldridge Pkwy_1415_AMLI on Eldridge Parkway I_Houston</t>
  </si>
  <si>
    <t>Eldridge Pkwy_1950_Chandler Park_Houston</t>
  </si>
  <si>
    <t>Eldridge Pkwy_1415_AMLI on Eldridge Parkway II_Houston</t>
  </si>
  <si>
    <t>Baker Rd_2100_Camden Baytown_Baytown</t>
  </si>
  <si>
    <t>W Rd_15125_The Lodge at Copperfield_Houston</t>
  </si>
  <si>
    <t>Memorial Mews_700_Meadows on Memorial_Houston</t>
  </si>
  <si>
    <t>Enclave Pkwy_1815_Tarrytowne Estates_Houston</t>
  </si>
  <si>
    <t>Perthshire_14814_Sheffield Square_Houston</t>
  </si>
  <si>
    <t>Eldridge_1600_San Montego_Houston</t>
  </si>
  <si>
    <t>Eldridge Pkwy_1333_Village on the Parkway_Houston</t>
  </si>
  <si>
    <t>Nottingham Oaks_600_Memorial_Houston</t>
  </si>
  <si>
    <t>Dairy Ashford N_611_Wisteria Gardens_Houston</t>
  </si>
  <si>
    <t>Whittington_12730_The Gables_Houston</t>
  </si>
  <si>
    <t>Whittington_12735_Whittfield_Houston</t>
  </si>
  <si>
    <t>Dairy Ashford S_1200_Ashford Lakes_Houston</t>
  </si>
  <si>
    <t>Silverado Dr_1335_Silverado_Houston</t>
  </si>
  <si>
    <t>Westmead Dr_1910_Ashton Park_Houston</t>
  </si>
  <si>
    <t>Whittington_12850_Walden Pond_Houston</t>
  </si>
  <si>
    <t>Enclave Pkwy_1715_Chalfonte_Houston</t>
  </si>
  <si>
    <t>Briar Forest Dr_12951_ARIUM Briar Forest I_Houston</t>
  </si>
  <si>
    <t>Briar Forest_13101_The Abbey at Eldridge I_Houston</t>
  </si>
  <si>
    <t>Enclave Pkwy_1520_Myriad_Houston</t>
  </si>
  <si>
    <t>Wilcrest_201_Lakeside Place I_Houston</t>
  </si>
  <si>
    <t>Wilcrest_301_Lakeside Place II_Houston</t>
  </si>
  <si>
    <t>Wilcrest_1201_Oaks of Brittany_Houston</t>
  </si>
  <si>
    <t>Richmond_13702_Westhollow Place_Houston</t>
  </si>
  <si>
    <t>Richmond Ave_12360_The Lodge at Shadowlake I_Houston</t>
  </si>
  <si>
    <t>Oaks Plaza Dr W_14723_Limestone Apts_Houston</t>
  </si>
  <si>
    <t>Panagard Dr_2503_Arcadia at Westheimer_Houston</t>
  </si>
  <si>
    <t>Avenida La Quinta_2215_Briarwood Village I &amp; II_Houston</t>
  </si>
  <si>
    <t>Bateswood Dr_791_Country Wood_Houston</t>
  </si>
  <si>
    <t>Country Place_801_Palm Court_Houston</t>
  </si>
  <si>
    <t>Hammerly_8332_Hammerly Gardens_Houston</t>
  </si>
  <si>
    <t>Shadowdale_1112_Southern Pines_Houston</t>
  </si>
  <si>
    <t>Bateswood_738_Regents Walk_Houston</t>
  </si>
  <si>
    <t>Bateswood_777_Brighton Oaks_Houston</t>
  </si>
  <si>
    <t>Bateswood_788_Bateswood Manor_Houston</t>
  </si>
  <si>
    <t>Briarwest Blvd_2400_West Oaks_Houston</t>
  </si>
  <si>
    <t>Gentryside_2023_Reflections on the Lake_Houston</t>
  </si>
  <si>
    <t>Eldridge Pkwy_2323_The Retreat at Eldridge_Houston</t>
  </si>
  <si>
    <t>Richmond Ave_14913_The Lodge at West Oaks_Houston</t>
  </si>
  <si>
    <t>Windchase_3233_Windchase Hamlet_Houston</t>
  </si>
  <si>
    <t>Dairy Ashford S_2800_Charleston_Houston</t>
  </si>
  <si>
    <t>Windchase_3003_Savannah Place I &amp; II_Houston</t>
  </si>
  <si>
    <t>Dairy Ashford S_2700_The Ashford Park_Houston</t>
  </si>
  <si>
    <t>Overbrook_12200_Mansions of Shadowbriar_Houston</t>
  </si>
  <si>
    <t>Piping Rock Ln_12580_Hunters Point_Houston</t>
  </si>
  <si>
    <t>Shadowbriar Dr_2920_Renaissance Village at Shadowlake I_Houston</t>
  </si>
  <si>
    <t>Shadowbriar Dr_3030_Renaissance Village at Shadowlake II_Houston</t>
  </si>
  <si>
    <t>Katy Fwy_11601_Lafayette West_Houston</t>
  </si>
  <si>
    <t>Yorkchester_874_Memorial Fountains_Houston</t>
  </si>
  <si>
    <t>Country Place Dr_1000_The Park at Country Place_Houston</t>
  </si>
  <si>
    <t>Country Place_1015_Country Place_Houston</t>
  </si>
  <si>
    <t>Woodland Park Dr_2700_Camden Park_Houston</t>
  </si>
  <si>
    <t>Woodland Park Dr_2601_Archstone Plaza at Westchase_Houston</t>
  </si>
  <si>
    <t>Sam Houston Pkwy S W_680_Camden Holly Springs_Houston</t>
  </si>
  <si>
    <t>Seagler_1202_Abbey at Briargrove Park_Houston</t>
  </si>
  <si>
    <t>Wilcrest_1251_Lakeside Forest_Houston</t>
  </si>
  <si>
    <t>Wilcrest_1300_Briar Creek_Houston</t>
  </si>
  <si>
    <t>Richmond Ave_11355_Westchase Forest_Houston</t>
  </si>
  <si>
    <t>Meadowglen Ln_10615_The Meadows_Houston</t>
  </si>
  <si>
    <t>Crescent Park Dr_2310_Avalon at Royal Oaks II_Houston</t>
  </si>
  <si>
    <t>Hayes Rd_2101_Westchase Ranch I_Houston</t>
  </si>
  <si>
    <t>Bentworth_2020_Abbey at Briarforest II_Houston</t>
  </si>
  <si>
    <t>Briar Forest_11250_Briar Court_Houston</t>
  </si>
  <si>
    <t>Hayes_2301_The Waverly_Houston</t>
  </si>
  <si>
    <t>Hayes_2305_Hayes Place_Houston</t>
  </si>
  <si>
    <t>Kirkwood S_1919_Abbey at Briarforest III_Houston</t>
  </si>
  <si>
    <t>Briar Forest_12750_The Lexington_Houston</t>
  </si>
  <si>
    <t>Kirkwood S_2151_The Steeples_Houston</t>
  </si>
  <si>
    <t>Briar Forest_11655_Abbey at Briarforest I_Houston</t>
  </si>
  <si>
    <t>Briar Forest Dr_11710_Palms at Kirkwood_Houston</t>
  </si>
  <si>
    <t>Deerwood_10440_Creekstone_Houston</t>
  </si>
  <si>
    <t>Hayes_2828_City West_Houston</t>
  </si>
  <si>
    <t>Hayes_2909_Windemere_Houston</t>
  </si>
  <si>
    <t>Wilcrest_1307_Evergreen Pointe_Houston</t>
  </si>
  <si>
    <t>Lakeside Estates_1445_Park at Lakeside I_Houston</t>
  </si>
  <si>
    <t>Holly Springs_10501_Belmont Place-La Fontaine_Houston</t>
  </si>
  <si>
    <t>Gray Falls_2475_West Chase Crossing_Houston</t>
  </si>
  <si>
    <t>Woodland Park Dr_2500_The Milano_Houston</t>
  </si>
  <si>
    <t>Kirkwood S_2410_Wyndham Oaks_Houston</t>
  </si>
  <si>
    <t>Woodland Park Dr_2777_Marquis at Westchase_Houston</t>
  </si>
  <si>
    <t>Southlake Dr_11755_Avalon at Royal Oaks I_Houston</t>
  </si>
  <si>
    <t>Briar Forest Dr_10925_La Mirage Resort_Houston</t>
  </si>
  <si>
    <t>Briar Forest_10950_Park at Lakeside II_Houston</t>
  </si>
  <si>
    <t>Valley Forge_10440_Amherst_Houston</t>
  </si>
  <si>
    <t>Wallingford Dr_2750_Wallingford_Houston</t>
  </si>
  <si>
    <t>Wilcrest_2300_Crest_Houston</t>
  </si>
  <si>
    <t>Westpark Dr_10010_Park Plaza_Houston</t>
  </si>
  <si>
    <t>Westpark_10100_Willow Falls_Houston</t>
  </si>
  <si>
    <t>Meadowglen Ln_10936_Celebration at Westchase I_Houston</t>
  </si>
  <si>
    <t>Meadowglen_10940_Celebration at Westchase II_Houston</t>
  </si>
  <si>
    <t>Meadowglen Ln_10751_Meadowchase_Houston</t>
  </si>
  <si>
    <t>Meadowglen_10901_Cambridge Place_Houston</t>
  </si>
  <si>
    <t>Witte_1275_Westview Court_Houston</t>
  </si>
  <si>
    <t>Barryknoll_11900_Terrace at Memorial City_Houston</t>
  </si>
  <si>
    <t>Briar Forest_9449_Woodlake on the Bayou_Houston</t>
  </si>
  <si>
    <t>Voss S_2424_The Park at Voss_Houston</t>
  </si>
  <si>
    <t>Voss S_2505_Tuscany Park_Houston</t>
  </si>
  <si>
    <t>Westheimer_11770_Water Song_Houston</t>
  </si>
  <si>
    <t>Woodland Park Dr_3000_Westchase Creek_Houston</t>
  </si>
  <si>
    <t>Hayes Rd_3131_Mediterra at Westchase_Houston</t>
  </si>
  <si>
    <t>Woodland Park_3225_Gramercy Park_Houston</t>
  </si>
  <si>
    <t>Westpark_10161_Parkwest Place_Houston</t>
  </si>
  <si>
    <t>Bettina Ct_872_Memorial City_Houston</t>
  </si>
  <si>
    <t>Old Katy Rd_10060_Ivy Club_Houston</t>
  </si>
  <si>
    <t>Wallingford Dr_2851_The Oaks of Westchase_Houston</t>
  </si>
  <si>
    <t>Walnut Bend_2801_Walnut Terrace_Houston</t>
  </si>
  <si>
    <t>Rogerdale_2828_Walden of Westchase_Houston</t>
  </si>
  <si>
    <t>Rogerdale Rd_3354_Western Ridge_Houston</t>
  </si>
  <si>
    <t>Gessner S_2200_Sunblossom at Woodlake_Houston</t>
  </si>
  <si>
    <t>Elmside_2727_Parc Royale_Houston</t>
  </si>
  <si>
    <t>Richmond_10777_Richmond Towne Homes_Houston</t>
  </si>
  <si>
    <t>Richmond_10881_Walnut Bend_Houston</t>
  </si>
  <si>
    <t>Bunker Hill_970_Le Renaissance_Houston</t>
  </si>
  <si>
    <t>Blalock Rd_1111_Blalock Woods_Houston</t>
  </si>
  <si>
    <t>Gaylord_9075_Village Place_Houston</t>
  </si>
  <si>
    <t>Ella Lee Ln_9550_Woodlake Oaks_Houston</t>
  </si>
  <si>
    <t>Voss S_1413_The Glenchester_Houston</t>
  </si>
  <si>
    <t>Gessner S_2021_The Quadrangle of Woodlake_Houston</t>
  </si>
  <si>
    <t>Westerland_2222_Trails of Woodlake_Houston</t>
  </si>
  <si>
    <t>Westerland_2600_Woodlake TH_Houston</t>
  </si>
  <si>
    <t>Westheimer Rd_9407_Westheimer Terrace_Houston</t>
  </si>
  <si>
    <t>Woodway_8787_Broadstone Piney Point_Houston</t>
  </si>
  <si>
    <t>Westhiemer_8501_The Arbors On Westheimer_Houston</t>
  </si>
  <si>
    <t>Dunvale_2929_Rolido Parque_Houston</t>
  </si>
  <si>
    <t>Westheimer_8740_Victoria Place_Houston</t>
  </si>
  <si>
    <t>Jeanetta_2742_The Marquis On Westheimer_Houston</t>
  </si>
  <si>
    <t>Burgoyne_7510_La Scala at Voss_Houston</t>
  </si>
  <si>
    <t>Ella Lee Ln_6434_Barcelona_Houston</t>
  </si>
  <si>
    <t>Ella Lee Ln_9545_The Park at Woodlake_Houston</t>
  </si>
  <si>
    <t>Old Farm Rd_2500_Old Farm II, The Crossing_Houston</t>
  </si>
  <si>
    <t>Westheimer Rd_8600_Westpoint-Creekside II_Houston</t>
  </si>
  <si>
    <t>Woodway Dr_8600_Westpoint-Creekside III_Houston</t>
  </si>
  <si>
    <t>Woodway_8585_Verandas at Old Farm_Houston</t>
  </si>
  <si>
    <t>Highmeadow_7600_Place Vendome_Houston</t>
  </si>
  <si>
    <t>Locke Ln_7900_The Villagio_Houston</t>
  </si>
  <si>
    <t>Marilee Ln_2666_The Heritage_Houston</t>
  </si>
  <si>
    <t>Pagewood Ln_9767_Pagewood Place_Houston</t>
  </si>
  <si>
    <t>Richmond Ave_9850_Camden Stonebridge_Houston</t>
  </si>
  <si>
    <t>Woodway_5010_The Bordeaux_Houston</t>
  </si>
  <si>
    <t>Post Oak Ln N_99_Post Oak at Woodway_Houston</t>
  </si>
  <si>
    <t>Del Monte_6403_Waters of Winrock_Houston</t>
  </si>
  <si>
    <t>Richmond_8990_The Granite Club_Houston</t>
  </si>
  <si>
    <t>Crossview_2929_Crossview Court_Houston</t>
  </si>
  <si>
    <t>Dunvale_3401_Turtle Pointe South_Houston</t>
  </si>
  <si>
    <t>Richmond Ave_8155_Richmond Chase_Houston</t>
  </si>
  <si>
    <t>Richmond Ave_8162_Turtle Pointe_Houston</t>
  </si>
  <si>
    <t>Richmond Ave_9900_Woodtrail_Houston</t>
  </si>
  <si>
    <t>Richmond Ave_9940_Richmond Green_Houston</t>
  </si>
  <si>
    <t>Westheimer_7900_Carrington Court_Houston</t>
  </si>
  <si>
    <t>Westheimer_7979_7979 Westheimer AH_Houston</t>
  </si>
  <si>
    <t>Voss S_2525_Times Square (Demolished)_Houston</t>
  </si>
  <si>
    <t>Westheimer Rd_6505_The Water Mill_Houston</t>
  </si>
  <si>
    <t>Ocee_3401_Spring Meadows_Houston</t>
  </si>
  <si>
    <t>Pagewood_9221_Summervale_Houston</t>
  </si>
  <si>
    <t>Hillcroft St_3001_Mirabella Galleria_Houston</t>
  </si>
  <si>
    <t>Hillcroft_3737_3737 Hillcroft_Houston</t>
  </si>
  <si>
    <t>Woodway_8003_Woodway Garden TH_Houston</t>
  </si>
  <si>
    <t>Elmside Dr_2901_The Pathway_Houston</t>
  </si>
  <si>
    <t>Elmside_3030_Stonecrossing of Westchase_Houston</t>
  </si>
  <si>
    <t>Gessner S_2900_Woodchase_Houston</t>
  </si>
  <si>
    <t>Gessner S_3230_Central Park_Houston</t>
  </si>
  <si>
    <t>Gessner S_3777_Boca Springs_Houston</t>
  </si>
  <si>
    <t>Woodchase Dr_3400_Aberdeen_Houston</t>
  </si>
  <si>
    <t>Woodchase_3600_The Fountains of Westchase_Houston</t>
  </si>
  <si>
    <t>Ocee St_3400_The Gables at Richmond_Houston</t>
  </si>
  <si>
    <t>Skyline_6419_Stonehaven_Houston</t>
  </si>
  <si>
    <t>Queen Annes_855_Kingsbrook Village_Houston</t>
  </si>
  <si>
    <t>Meadowglen_9850_Sunset Shadows_Houston</t>
  </si>
  <si>
    <t>Meadowglen_9801_Madison Park of Westchase I_Houston</t>
  </si>
  <si>
    <t>Meadowglen_9797_Landing at Westchase_Houston</t>
  </si>
  <si>
    <t>Post Oak Park Rd_1919_Post Oak Park_Houston</t>
  </si>
  <si>
    <t>Briar Ridge_2530_Westbriar_Houston</t>
  </si>
  <si>
    <t>Silber_915_Legends of Memorial I_Houston</t>
  </si>
  <si>
    <t>Memorial Dr_10220_Memorial Creole_Houston</t>
  </si>
  <si>
    <t>Bering Dr_1100_Tuscany_Houston</t>
  </si>
  <si>
    <t>International Blvd_722_9900 Memorial_Houston</t>
  </si>
  <si>
    <t>Kingsbrook_8222_Fox Hall_Houston</t>
  </si>
  <si>
    <t>Woodway_5800_The Deerwood_Houston</t>
  </si>
  <si>
    <t>Post Oak Ln S_502_502 South Post Oak Lane_Houston</t>
  </si>
  <si>
    <t>Shavelson_6815_Memorial Springs_Houston</t>
  </si>
  <si>
    <t>Silber_910_Legends of Memorial II_Houston</t>
  </si>
  <si>
    <t>Westheimer Rd_6425_The Palms on Westheimer_Houston</t>
  </si>
  <si>
    <t>Winrock_1915_Briarwest_Houston</t>
  </si>
  <si>
    <t>Winrock_2100_The Winrock_Houston</t>
  </si>
  <si>
    <t>Winrock Blvd_1200_Woodway Square_Houston</t>
  </si>
  <si>
    <t>Augusta_1819_Augusta Court Mid-Rise_Houston</t>
  </si>
  <si>
    <t>San Felipe_6363_Regency Arms_Houston</t>
  </si>
  <si>
    <t>Wood Hollow_1416_Woodway on San Felipe_Houston</t>
  </si>
  <si>
    <t>Fountainview_1617_Three Fountains III_Houston</t>
  </si>
  <si>
    <t>San Felipe_5885_Tanglewood Court_Houston</t>
  </si>
  <si>
    <t>Fountain View Dr_2313_Three Fountains_Houston</t>
  </si>
  <si>
    <t>Briar Hollow_4510_The Tree Tops at Post Oak_Houston</t>
  </si>
  <si>
    <t>Bering Dr_1801_Tuscany Gate_Houston</t>
  </si>
  <si>
    <t>Bering Dr_1615_Tuscany Lane_Houston</t>
  </si>
  <si>
    <t>Fountainview_1430_Tanglebrook_Houston</t>
  </si>
  <si>
    <t>Winrock_2395_Westgate_Houston</t>
  </si>
  <si>
    <t>Winrock_2520_Briarwood_Houston</t>
  </si>
  <si>
    <t>Westheimer Rd_6263_The Plaza on Westheimer_Houston</t>
  </si>
  <si>
    <t>Yorktown_2400_Creole On Yorktown_Houston</t>
  </si>
  <si>
    <t>Yorktown_2530_Yorktown_Houston</t>
  </si>
  <si>
    <t>Alabama W_4727_Afton Gardens_Houston</t>
  </si>
  <si>
    <t>Greenridge_2815_Oxford on Greenridge I_Houston</t>
  </si>
  <si>
    <t>Winsome_6041_Montebello Gardens_Houston</t>
  </si>
  <si>
    <t>Augusta_2525_Tuscany Oaks_Houston</t>
  </si>
  <si>
    <t>McCue_2400_2400 McCue_Houston</t>
  </si>
  <si>
    <t>McCue_2525_Marquee_Houston</t>
  </si>
  <si>
    <t>Fairdale Ln_6220_The Gallery_Houston</t>
  </si>
  <si>
    <t>Greenridge_3000_Greenridge Place_Houston</t>
  </si>
  <si>
    <t>Winsome_6015_Fountainview Lodge I_Houston</t>
  </si>
  <si>
    <t>McCue St_2300_Montecito_Houston</t>
  </si>
  <si>
    <t>McCue_2306_Marquee West_Houston</t>
  </si>
  <si>
    <t>McCue_2320_Carriage Square_Houston</t>
  </si>
  <si>
    <t>Sage_2309_Sagewood Apts_Houston</t>
  </si>
  <si>
    <t>Sage_2425_Plantation_Houston</t>
  </si>
  <si>
    <t>Bering_2100_Mirage_Houston</t>
  </si>
  <si>
    <t>Bering_2345_Phoenician_Houston</t>
  </si>
  <si>
    <t>Fountainview_2400_La Tour Fontaine_Houston</t>
  </si>
  <si>
    <t>Winsome Ln_6014_The Lenox_Houston</t>
  </si>
  <si>
    <t>Greenridge_3015_Constitution Square_Houston</t>
  </si>
  <si>
    <t>Greenridge_3030_Tiffany Square_Houston</t>
  </si>
  <si>
    <t>Beverly Hill_6311_Adorable Pointe_Houston</t>
  </si>
  <si>
    <t>Beverly Hill_6363_Coral Hills_Houston</t>
  </si>
  <si>
    <t>Briarhurst Dr_2777_Trafalgar West II_Houston</t>
  </si>
  <si>
    <t>Skyline Dr_6360_Villas of Hillcroft-Hidden Pines_Houston</t>
  </si>
  <si>
    <t>Skyline Dr_6363_Villas of Hillcroft-Inglewood Village_Houston</t>
  </si>
  <si>
    <t>SW Fwy_6130_Falls of Westpark_Houston</t>
  </si>
  <si>
    <t>Mid Ln_2007_San Felipe Court at River Oaks_Houston</t>
  </si>
  <si>
    <t>Westcreek Ln_2350_Park at Westcreek_Houston</t>
  </si>
  <si>
    <t>Westcreek Ln_2049_Westcreek at River Oaks_Houston</t>
  </si>
  <si>
    <t>Westheimer_4444_4444 Westheimer Apts_Houston</t>
  </si>
  <si>
    <t>Fairdale_6100_Fountainview Lodge II_Houston</t>
  </si>
  <si>
    <t>Fairdale_6110_Inwood Gardens_Houston</t>
  </si>
  <si>
    <t>Beverly Hill_6061_Beverly Palms_Houston</t>
  </si>
  <si>
    <t>Beverly Hills Walk_5920_Tanglewood Place_Houston</t>
  </si>
  <si>
    <t>Chimney Rock_3424_Chimney Rock Court_Houston</t>
  </si>
  <si>
    <t>Fountainview_3304_Wilshire_Houston</t>
  </si>
  <si>
    <t>Sage_3101_Bali Hai_Houston</t>
  </si>
  <si>
    <t>Schumacher_5701_Schumacher Square_Houston</t>
  </si>
  <si>
    <t>Beverly Hill_5301_Oaks of Beverly Hills_Houston</t>
  </si>
  <si>
    <t>Richmond_5151_Galleria Oaks_Houston</t>
  </si>
  <si>
    <t>Windswept_6370_Unity Pointe_Houston</t>
  </si>
  <si>
    <t>Winsome_6111_The Registry_Houston</t>
  </si>
  <si>
    <t>McCue_3323_Providence Uptown_Houston</t>
  </si>
  <si>
    <t>Beverly Hill_5331_Verde Chateaux Dijon_Houston</t>
  </si>
  <si>
    <t>Windswept Ln_6320_Windswept Gardens_Houston</t>
  </si>
  <si>
    <t>Windswept_6330_Ashley Square_Houston</t>
  </si>
  <si>
    <t>Windswept_6333_Colonial Woods_Houston</t>
  </si>
  <si>
    <t>Skyline Dr_6353_Villas of Hillcroft-Southern Oaks_Houston</t>
  </si>
  <si>
    <t>Sage_3525_3525 Sage Hi Rise_Houston</t>
  </si>
  <si>
    <t>Mimosa Dr_2415_Mimosa and Argonne Forest_Houston</t>
  </si>
  <si>
    <t>Westcott_904_Memorial Club_Houston</t>
  </si>
  <si>
    <t>Sage_3300_Gables Metropolitan Uptown_Houston</t>
  </si>
  <si>
    <t>Wild Indigo_4641_Newcastle at Towne Plaza Condos_Houston</t>
  </si>
  <si>
    <t>Wild Indigo_4655_Towne Plaza_Houston</t>
  </si>
  <si>
    <t>Durham N_900_Colonial_Houston</t>
  </si>
  <si>
    <t>Birdsall_160_57 Off Memorial_Houston</t>
  </si>
  <si>
    <t>Buffalo Spdwy_3133_Inverness_Houston</t>
  </si>
  <si>
    <t>Buffalo Spdwy_3121_The Park at River Oaks_Houston</t>
  </si>
  <si>
    <t>Scotland_4200_Memorial Hills (Demolished)_Houston</t>
  </si>
  <si>
    <t>Dunlavy_777_The Villas at River Oaks_Houston</t>
  </si>
  <si>
    <t>Dallas W_3433_Allen House_Houston</t>
  </si>
  <si>
    <t>Memorial_5400_Memorial Towers_Houston</t>
  </si>
  <si>
    <t>Memorial Dr_4400_Bayou Park Village_Houston</t>
  </si>
  <si>
    <t>Memorial Dr_5353_The Left Bank River Oaks_Houston</t>
  </si>
  <si>
    <t>Essex Ln_3919_The Essex House_Houston</t>
  </si>
  <si>
    <t>Gray W_1920_The Plaza at River Oaks_Houston</t>
  </si>
  <si>
    <t>Alabama W_3805_The Carlton_Houston</t>
  </si>
  <si>
    <t>Alabama W_3720_Gables Cityscape_Houston</t>
  </si>
  <si>
    <t>Westheimer_3435_The River Oaks_Houston</t>
  </si>
  <si>
    <t>Bammel Ln_2828_Cabochon at River Oaks_Houston</t>
  </si>
  <si>
    <t>Timmons_3131_Greenway Gardens_Houston</t>
  </si>
  <si>
    <t>Essex Ln_4000_The Gael_Houston</t>
  </si>
  <si>
    <t>Las Palmas_3237_Willowick Court TH (TBD)_Houston</t>
  </si>
  <si>
    <t>Willowick_2511_Georgian_Houston</t>
  </si>
  <si>
    <t>McDuffie_2810_McDuffie_Houston</t>
  </si>
  <si>
    <t>Westheimer_2001_Westheimer Square_Houston</t>
  </si>
  <si>
    <t>Westheimer_2400_Avalon Square_Houston</t>
  </si>
  <si>
    <t>Cummins St_3333_The Place at Greenway_Houston</t>
  </si>
  <si>
    <t>Cummins_3411_Greenway Court_Houston</t>
  </si>
  <si>
    <t>Greenbriar_2611_Court of St Anne_Houston</t>
  </si>
  <si>
    <t>Alabama W_2300_Gables Waterford Square_Houston</t>
  </si>
  <si>
    <t>Branard_2322_Branard Plaza_Houston</t>
  </si>
  <si>
    <t>Greenbriar_2828_Gables CityWalk_Houston</t>
  </si>
  <si>
    <t>Main W_1919_Takara So_Houston</t>
  </si>
  <si>
    <t>Alabama St W_1648_West Alabama Place_Houston</t>
  </si>
  <si>
    <t>Alabama W_1715_Wilshire Village_Houston</t>
  </si>
  <si>
    <t>Alabama W_1920_1920 West Alabama_Houston</t>
  </si>
  <si>
    <t>N Blvd_2440_The Boulevard_Houston</t>
  </si>
  <si>
    <t>Wakeforest_3700_Wakeforest_Houston</t>
  </si>
  <si>
    <t>Bissonnet_3000_The Belmont_Houston</t>
  </si>
  <si>
    <t>Edloe_5151_Village at West University_Houston</t>
  </si>
  <si>
    <t>N Blvd_2701_North Boulevard_Houston</t>
  </si>
  <si>
    <t>Edloe_3400_Sendera at Greenway_Houston</t>
  </si>
  <si>
    <t>Audley_3800_Camden Greenway_Houston</t>
  </si>
  <si>
    <t>Bissonnet_2630_Bissonnet Village (TBD)_Houston</t>
  </si>
  <si>
    <t>N Blvd_2701_North Boulevard Apts_Houston</t>
  </si>
  <si>
    <t>Portsmouth_1903_Whitehall_Houston</t>
  </si>
  <si>
    <t>Portsmouth_1919_La Villa Carrie_Houston</t>
  </si>
  <si>
    <t>Bissonnet_1717_Maryland Manor_Houston</t>
  </si>
  <si>
    <t>Colquitt_2300_Sleepy Hollow_Houston</t>
  </si>
  <si>
    <t>Greenbriar St_4100_Greenbriar Chateau_Houston</t>
  </si>
  <si>
    <t>Heights_800_800 Heights_Houston</t>
  </si>
  <si>
    <t>Heights Blvd_600_600 Heights Blvd. Apts_Houston</t>
  </si>
  <si>
    <t>Dallas W_2210_AMLI Towne Square_Houston</t>
  </si>
  <si>
    <t>Elder St_1101_Elder Street Artist Lofts_Houston</t>
  </si>
  <si>
    <t>Richmond_1840_Richmond Terrace_Houston</t>
  </si>
  <si>
    <t>Richmond_1901_Houston Medical Apts_Houston</t>
  </si>
  <si>
    <t>.5 St#5 E_636_Studemont Arms_Houston</t>
  </si>
  <si>
    <t>Harvard_815_Harvard Square Apts_Houston</t>
  </si>
  <si>
    <t>N St_306_Skylane Downtown_Houston</t>
  </si>
  <si>
    <t>Heights Blvd S_201_Archstone Memorial Heights II_Houston</t>
  </si>
  <si>
    <t>Memorial Dr_2100_2100 Memorial_Houston</t>
  </si>
  <si>
    <t>Byrne_935_Byrne Heights_Houston</t>
  </si>
  <si>
    <t>Heights_205_Heights Plaza (TBD)_Houston</t>
  </si>
  <si>
    <t>Heights Blvd S_201_Archstone Memorial Heights I_Houston</t>
  </si>
  <si>
    <t>Allen Pkwy_1600_Historic Oaks of Allen Parkway_Houston</t>
  </si>
  <si>
    <t>Louisiana_401_Hogg Palace Lofts_Houston</t>
  </si>
  <si>
    <t>Texas Ave_909_Post Rice Lofts_Houston</t>
  </si>
  <si>
    <t>Clay W_417_West Clay_Houston</t>
  </si>
  <si>
    <t>Bagby_2350_Metro Midtown_Houston</t>
  </si>
  <si>
    <t>Hamilton St_320_Hamilton Street Residence_Houston</t>
  </si>
  <si>
    <t>Alabama W_502_Skylane Montrose_Houston</t>
  </si>
  <si>
    <t>Commonwealth_1903_Commonwealth_Houston</t>
  </si>
  <si>
    <t>Hyde Park_1410_Hyde Park_Houston</t>
  </si>
  <si>
    <t>Runnels St_1919_Clayton Homes_Houston</t>
  </si>
  <si>
    <t>Caroline_1111_Four Seasons Place_Houston</t>
  </si>
  <si>
    <t>Main St_2016_2016 Main_Houston</t>
  </si>
  <si>
    <t>Gray St_302_Post Midtown Square (I &amp; II)_Houston</t>
  </si>
  <si>
    <t>Louisiana_2303_Camden Midtown_Houston</t>
  </si>
  <si>
    <t>Hyde Park_1419_Michael Hyde Park Apts_Houston</t>
  </si>
  <si>
    <t>Hyde Park_1501_Killarney Oaks_Houston</t>
  </si>
  <si>
    <t>Oak Ct_10_Midtown Arbor Place_Houston</t>
  </si>
  <si>
    <t>Fannin St_1617_Houston House_Houston</t>
  </si>
  <si>
    <t>Avondale_301_Calvert Apts_Houston</t>
  </si>
  <si>
    <t>Hawthorne_1419_Hawthorne_Houston</t>
  </si>
  <si>
    <t>Berry_605_Oxford Place Apts_Houston</t>
  </si>
  <si>
    <t>Main W_604_Gaslight Square_Houston</t>
  </si>
  <si>
    <t>Alabama W_230_230 West Alabama_Houston</t>
  </si>
  <si>
    <t>Marshall_414_Marshall Gardens_Houston</t>
  </si>
  <si>
    <t>San Jacinto_3810_San Jacinto Apts_Houston</t>
  </si>
  <si>
    <t>Caroline_5212_Caroline Apts, 5212_Houston</t>
  </si>
  <si>
    <t>Castlecourt_1341_The Place_Houston</t>
  </si>
  <si>
    <t>Fannin_3817_San Jacinto Apts_Houston</t>
  </si>
  <si>
    <t>Westmoreland St_228_The Court of Charleston_Houston</t>
  </si>
  <si>
    <t>Berthea_1136_Berthea Apts_Houston</t>
  </si>
  <si>
    <t>Portland_216-242_Gramercy Place_Houston</t>
  </si>
  <si>
    <t>Richmond Ave_1301_1301 Richmond (TBD)_Houston</t>
  </si>
  <si>
    <t>Truxillo_3260_Cuney Homes_Houston</t>
  </si>
  <si>
    <t>Richmond_1400_Richmont Square_Houston</t>
  </si>
  <si>
    <t>Woodrow_714_Shibui_Houston</t>
  </si>
  <si>
    <t>Sumpter_3031_Rose Plaza Apts_Houston</t>
  </si>
  <si>
    <t>Hahlo_1230_Wheatley Manor_Houston</t>
  </si>
  <si>
    <t>Market_5600_Wheatley Plaza_Houston</t>
  </si>
  <si>
    <t>Bayou_505_Kennedy Place_Houston</t>
  </si>
  <si>
    <t>Autumnwood_815_Holiday Forest_Houston</t>
  </si>
  <si>
    <t>Coolwood_777_Coolwood Oaks_Houston</t>
  </si>
  <si>
    <t>Fair Oaks Rd_810_Amber Creek_Houston</t>
  </si>
  <si>
    <t>Fair Oaks_910_Fair Oaks_Houston</t>
  </si>
  <si>
    <t>Pleasantville Dr_1922_Pleasant Village_Houston</t>
  </si>
  <si>
    <t>Sherman_7310_Plaza De Magnolia_Houston</t>
  </si>
  <si>
    <t>Coke_5300_Cleme Manor_Houston</t>
  </si>
  <si>
    <t>66th St S_222_East End_Houston</t>
  </si>
  <si>
    <t>Wayside Dr N_2022_Casa Suya_Houston</t>
  </si>
  <si>
    <t>Villa De Matel_950_Courtyard_Houston</t>
  </si>
  <si>
    <t>Wayside Dr S_1010_Royal Wayside_Houston</t>
  </si>
  <si>
    <t>Challenger 7 Dr_10202_Jacinto Palms_Jacinto City</t>
  </si>
  <si>
    <t>Caylor_221_Oakland Plaza Apts_Houston</t>
  </si>
  <si>
    <t>Falcon_1222_Mimosa_Houston</t>
  </si>
  <si>
    <t>Normandy_695_Normandy Woods_Houston</t>
  </si>
  <si>
    <t>Woodforest_13000_Timber Run_Houston</t>
  </si>
  <si>
    <t>Fleming_12221_Yorkshire Village_Houston</t>
  </si>
  <si>
    <t>Fleming_12300_Falls of Birchbrook_Houston</t>
  </si>
  <si>
    <t>Normandy St_550_Villa Sierra_Houston</t>
  </si>
  <si>
    <t>Normandy_555_Riviera Pines_Houston</t>
  </si>
  <si>
    <t>Maxey_666_Maxey Village_Houston</t>
  </si>
  <si>
    <t>Maxey Rd_670_Rollingwood_Houston</t>
  </si>
  <si>
    <t>Northwood N_1000_Leewood_Baytown</t>
  </si>
  <si>
    <t>Northwood_1200_Laguna Azul_Baytown</t>
  </si>
  <si>
    <t>Madrid_6600_Sir John Apts_Houston</t>
  </si>
  <si>
    <t>Canal_7530_Casa Blanca_Houston</t>
  </si>
  <si>
    <t>Maxey Rd_470_Pine Creek_Houston</t>
  </si>
  <si>
    <t>Wood Bayou Dr_12380_Wood Bayou_Houston</t>
  </si>
  <si>
    <t>Maxey Rd_650_650 Maxey Village_Houston</t>
  </si>
  <si>
    <t>Fleming Dr_12200_Timber Ridge I_Houston</t>
  </si>
  <si>
    <t>Normandy_794_Colorado Club_Houston</t>
  </si>
  <si>
    <t>Ln_10823_Shadow Lake Apts_Houston</t>
  </si>
  <si>
    <t>Uvalde Dr_333_Northshore Meadows_Houston</t>
  </si>
  <si>
    <t>Ln_10921_Pin Oak Apts_Houston</t>
  </si>
  <si>
    <t>Wiggins_10903_Jacinto Arms Apts_Houston</t>
  </si>
  <si>
    <t>Market_12845_La Fiesta Apts_Houston</t>
  </si>
  <si>
    <t>Freeport_615_Oakglen_Houston</t>
  </si>
  <si>
    <t>Texarkana_13919_Bayou Terrace_Houston</t>
  </si>
  <si>
    <t>Victoria_13933_Cloverleaf_Houston</t>
  </si>
  <si>
    <t>Woodforest_13155_Tall Timbers_Houston</t>
  </si>
  <si>
    <t>Woodforest_13455_Parc Towne Plaza_Houston</t>
  </si>
  <si>
    <t>Alderson_14415_Spanish Villa_Houston</t>
  </si>
  <si>
    <t>Freeport_912_Pioneer Apts_Houston</t>
  </si>
  <si>
    <t>Freeport_1114_Estada Villa_Houston</t>
  </si>
  <si>
    <t>Alderson_13925_The Gentry_Houston</t>
  </si>
  <si>
    <t>Ashland_907_Casa De Grande_Channelview</t>
  </si>
  <si>
    <t>Sheldon_719_Reserve at Channelview Gardens_Channelview</t>
  </si>
  <si>
    <t>Woodland Dr_903_Woodland Villa_Channelview</t>
  </si>
  <si>
    <t>E Fwy_15430_South Grand_Channelview</t>
  </si>
  <si>
    <t>Baker Rd W_305_The Lakes at Madera_Baytown</t>
  </si>
  <si>
    <t>Baker Rd_3800_Villas at the Palms_Baytown</t>
  </si>
  <si>
    <t>Shady Hill Dr_3400_Cypress Bend_Baytown</t>
  </si>
  <si>
    <t>Quail Hollow Dr_4601_Sterling Bay_Baytown</t>
  </si>
  <si>
    <t>Normandy_799_Magnolia Creek_Houston</t>
  </si>
  <si>
    <t>Hemlock_4520_Sunshine_Baytown</t>
  </si>
  <si>
    <t>Decker Dr_3120_Creekside_Baytown</t>
  </si>
  <si>
    <t>Massey Tompkins_605_Tompkins Greens_Baytown</t>
  </si>
  <si>
    <t>Baker_4219_West Lodge_Baytown</t>
  </si>
  <si>
    <t>Baker Rd W_2900_Cedar Ridge_Baytown</t>
  </si>
  <si>
    <t>Garth_3403_Trestles of Baytown_Baytown</t>
  </si>
  <si>
    <t>Garth_3700_Logans Pointe_Baytown</t>
  </si>
  <si>
    <t>Garth_3135_Casa Linda Apts_Baytown</t>
  </si>
  <si>
    <t>Garth Rd_3201_Tanglewood Square_Baytown</t>
  </si>
  <si>
    <t>Massey Tompkins_501_Autumn Ridge_Baytown</t>
  </si>
  <si>
    <t>Garth_1601_Woodcreek Village_Baytown</t>
  </si>
  <si>
    <t>Crosby Cedar Bayou_3529_Crosby Green_Baytown</t>
  </si>
  <si>
    <t>Gray Ridge_15250_The Vinings at West Oaks I_Houston</t>
  </si>
  <si>
    <t>Westpark Dr_15035_Cape Colony_Houston</t>
  </si>
  <si>
    <t>Empanada_14500_Woodbridge Crossing_Houston</t>
  </si>
  <si>
    <t>Pavilion Point_14402_Fox Pointe_Houston</t>
  </si>
  <si>
    <t>Bissonnet_13150_Beckford Place_Houston</t>
  </si>
  <si>
    <t>Nolan_1502_Bay Terrace_Baytown</t>
  </si>
  <si>
    <t>Pruett Rd N_907_Inverness_Baytown</t>
  </si>
  <si>
    <t>Ward_2011_Oaks of Baytown_Baytown</t>
  </si>
  <si>
    <t>Ward_2700_The Boardwalk of Baytown_Baytown</t>
  </si>
  <si>
    <t>Bob Smith_1700_Bay Oaks_Baytown</t>
  </si>
  <si>
    <t>Cedar Bayou_2105_Greenfield_Baytown</t>
  </si>
  <si>
    <t>Synott_4040_Oaks of Ashford Point I_Houston</t>
  </si>
  <si>
    <t>Ashburnham Dr_3950_Ashford Pointe_Houston</t>
  </si>
  <si>
    <t>Ashford Point Dr_12910_Georgian Westside_Houston</t>
  </si>
  <si>
    <t>Ashford Point_13103_Oaks of Ashford Point II_Houston</t>
  </si>
  <si>
    <t>Bellaire Blvd_15770_Hawthorne_Houston</t>
  </si>
  <si>
    <t>Eldridge Pkwy_3995_Park on Eldridge_Houston</t>
  </si>
  <si>
    <t>Synott_3803_Ashford Creek_Houston</t>
  </si>
  <si>
    <t>Synott_3939_Hartford Park_Houston</t>
  </si>
  <si>
    <t>Memorial_1305_Graywood Arms_Baytown</t>
  </si>
  <si>
    <t>Brant Rock_12903_Copper Cove_Houston</t>
  </si>
  <si>
    <t>Brant Rock_12906_Brant Rock Condominium Apts_Houston</t>
  </si>
  <si>
    <t>James Bowie Dr_1711_Briarwood_Baytown</t>
  </si>
  <si>
    <t>James Bowie Dr_1800_Willow Tree_Baytown</t>
  </si>
  <si>
    <t>Rollingbrook_3300_Raintree_Baytown</t>
  </si>
  <si>
    <t>Westpark_10070_Legacy at Westchase_Houston</t>
  </si>
  <si>
    <t>Cook_4545_Sunblossom Woods_Houston</t>
  </si>
  <si>
    <t>Cook Rd_6819_Pelican Landing_Houston</t>
  </si>
  <si>
    <t>6 Hwy S_4034_Falls of West Oaks_Houston</t>
  </si>
  <si>
    <t>Rio Bonito_14405_El Sol Del Rio_Houston</t>
  </si>
  <si>
    <t>Dairy View_9301_Summerstone_Houston</t>
  </si>
  <si>
    <t>Sierra Blanca Dr_6403_El Sol Brillante_Houston</t>
  </si>
  <si>
    <t>Dairy Ashford S_6700_The Mint at Dairy Ashford_Houston</t>
  </si>
  <si>
    <t>Bowser Rd N_101_Eastgate Apts Of Richardson_Richardson</t>
  </si>
  <si>
    <t>Rio Bonito_14100_Park Village_Houston</t>
  </si>
  <si>
    <t>Bellaire_12707_The Arbor at Dairy Ashford_Houston</t>
  </si>
  <si>
    <t>Ashford Point_12630_Vanderbilt Court_Houston</t>
  </si>
  <si>
    <t>Ashford Point_12777_Ashford Court_Houston</t>
  </si>
  <si>
    <t>Brant Rock_12710_Trails of Ashford_Houston</t>
  </si>
  <si>
    <t>Medfield_12660_Vanderbilt_Houston</t>
  </si>
  <si>
    <t>Dairy Ashford S_9903_Cambridge Crossing_Houston</t>
  </si>
  <si>
    <t>Brookglade Cir_12600_Bluestone_Houston</t>
  </si>
  <si>
    <t>Old Richmond_13210_Ambiance TH_Houston</t>
  </si>
  <si>
    <t>Synott_9330_South Chase_Houston</t>
  </si>
  <si>
    <t>Synott_9402_Synott Square_Houston</t>
  </si>
  <si>
    <t>Dairy Ashford S_9506_Huntington Village_Houston</t>
  </si>
  <si>
    <t>Corporate_7302_Rubicon_Houston</t>
  </si>
  <si>
    <t>Corporate_7502_Waterfall Park_Houston</t>
  </si>
  <si>
    <t>Boone Rd_4400_Brays Village_Houston</t>
  </si>
  <si>
    <t>United Dr_9888_The Sovereign TH_Houston</t>
  </si>
  <si>
    <t>Corporate_7255_The Fountains at Bellaire_Houston</t>
  </si>
  <si>
    <t>Harwin_11490_Remington Court_Houston</t>
  </si>
  <si>
    <t>Harwin Dr_10300_Sun Blossom Cottages_Houston</t>
  </si>
  <si>
    <t>Boone Rd_8039_Chelsea Lane_Houston</t>
  </si>
  <si>
    <t>Cook_7500_Alief Square_Houston</t>
  </si>
  <si>
    <t>Cook Rd_7520_JadeStone_Houston</t>
  </si>
  <si>
    <t>Cook Rd_8000_Tierra Del Sol_Houston</t>
  </si>
  <si>
    <t>Village Bend Ln_10901_Suncrest Village TH_Houston</t>
  </si>
  <si>
    <t>Beechnut St_10630_Sunset Crossing_Houston</t>
  </si>
  <si>
    <t>Boone Rd_8811_Aspen Park_Houston</t>
  </si>
  <si>
    <t>Kirkwood S_9850_Kirkwood Landing_Houston</t>
  </si>
  <si>
    <t>Bissonnet_11700_Crossing at Ashton Place_Houston</t>
  </si>
  <si>
    <t>Cook Rd_7000_Parque on Bellaire_Houston</t>
  </si>
  <si>
    <t>Dashwood_11855_Crossing at Windsor TH_Houston</t>
  </si>
  <si>
    <t>Kirkwood Dr S_4315_Kirkwood Vista_Houston</t>
  </si>
  <si>
    <t>Beechnut_9301_Riveraine_Houston</t>
  </si>
  <si>
    <t>Beechnut_9501_The Sebring_Houston</t>
  </si>
  <si>
    <t>Beechnut_11402_Leawood Plaza_Houston</t>
  </si>
  <si>
    <t>Beechnut_10615_Stoneridge_Houston</t>
  </si>
  <si>
    <t>Kirkwood Rd S_4503_Sterling Crossing_Houston</t>
  </si>
  <si>
    <t>Kirkwood Dr S_4700_Coral Islands_Houston</t>
  </si>
  <si>
    <t>Neff_12102_ABC TH_Houston</t>
  </si>
  <si>
    <t>Club Creek_10001_Deerfield_Houston</t>
  </si>
  <si>
    <t>Club Creek_10110_Happy Homes_Houston</t>
  </si>
  <si>
    <t>Corporate Dr_7700_El Paraiso_Houston</t>
  </si>
  <si>
    <t>Corporate Dr_7825_The Lodge I_Houston</t>
  </si>
  <si>
    <t>Corporate_7930_Woodcreek On The Bayou_Houston</t>
  </si>
  <si>
    <t>Course Dr S_8600_Victoria Park_Houston</t>
  </si>
  <si>
    <t>Spice Ln_10555_Aspen Ridge_Houston</t>
  </si>
  <si>
    <t>Course Dr S_8304_Arrowood_Houston</t>
  </si>
  <si>
    <t>Course Dr S_8404_Bristol Court_Houston</t>
  </si>
  <si>
    <t>Beechnut_10534_Villa Adora_Houston</t>
  </si>
  <si>
    <t>Cinnamon Ln_8323_Westwood Ridge_Houston</t>
  </si>
  <si>
    <t>Club Creek_9901_Emerald Isle_Houston</t>
  </si>
  <si>
    <t>Club Creek_9955_Santa Barbara_Houston</t>
  </si>
  <si>
    <t>Beechnut St_10215_The Broadmoor_Houston</t>
  </si>
  <si>
    <t>Beechnut St_10522_Coral Gables_Houston</t>
  </si>
  <si>
    <t>Wilcrest_10300_Winding Trails_Houston</t>
  </si>
  <si>
    <t>Bissonnet St_10111_Greyfield_Houston</t>
  </si>
  <si>
    <t>Sam Houston Pkwy S_9501_Park Westwood_Houston</t>
  </si>
  <si>
    <t>Bissonnet St_10225_The Mills_Houston</t>
  </si>
  <si>
    <t>Deering Dr_9560_Westwood II_Houston</t>
  </si>
  <si>
    <t>Greenfork Dr_10010_Whispering Oaks_Houston</t>
  </si>
  <si>
    <t>Sam Houston Pkwy S W_9255_Glenwood AH_Houston</t>
  </si>
  <si>
    <t>Club Creek_10202_Villa Madrid_Houston</t>
  </si>
  <si>
    <t>Concourse_9430_Westwood Fountains_Houston</t>
  </si>
  <si>
    <t>Spice Ln_10027_The Claridge_Houston</t>
  </si>
  <si>
    <t>Woodfair_9290_Rama Apts_Houston</t>
  </si>
  <si>
    <t>Woodfair Dr_9450_Villa De Cancun_Houston</t>
  </si>
  <si>
    <t>Bissonnet_12023_Huntington Glen_Houston</t>
  </si>
  <si>
    <t>Woodfair Dr_9502_Premier on Woodfair I_Houston</t>
  </si>
  <si>
    <t>Sam Houston Pkwy S W_9475_Shadowtree_Houston</t>
  </si>
  <si>
    <t>Coventry Sq Dr_9401_Coventry Park_Houston</t>
  </si>
  <si>
    <t>Coventry Sq Dr_9400_Victorian_Houston</t>
  </si>
  <si>
    <t>Sam Houston Pkwy W_10101_Villa Ana_Houston</t>
  </si>
  <si>
    <t>Woodfair_9303_Riverstone AH_Houston</t>
  </si>
  <si>
    <t>Bellfort W_11675_Idlewood Park_Houston</t>
  </si>
  <si>
    <t>Bellfort W_11726_Southwest Village_Stafford</t>
  </si>
  <si>
    <t>Lands End Dr_10250_Woodstone Manor_Houston</t>
  </si>
  <si>
    <t>Forum Park_9898_The Carlisle_Houston</t>
  </si>
  <si>
    <t>Concourse Dr_9445_Villa Monterrey_Houston</t>
  </si>
  <si>
    <t>Forum Park_9701_Madison_Houston</t>
  </si>
  <si>
    <t>Ct Glen_9700_Casa Nube en Bissonnet_Houston</t>
  </si>
  <si>
    <t>Ct Glen_9755_The Crossing at Sedona Square II_Houston</t>
  </si>
  <si>
    <t>Glen S_11715_The Crossing at Sedona Square I_Houston</t>
  </si>
  <si>
    <t>Forum W Dr_10222_The Forum Apts_Houston</t>
  </si>
  <si>
    <t>Woodfair Dr_9502_Premier on Woodfair II_Houston</t>
  </si>
  <si>
    <t>Glen S_11735_Chesterfield_Houston</t>
  </si>
  <si>
    <t>S Dr_10440_Meadows Southwest_Houston</t>
  </si>
  <si>
    <t>Forum Park_10101_Forum Plaza_Houston</t>
  </si>
  <si>
    <t>Forum W Dr_10003_Las Varandas del Sur_Houston</t>
  </si>
  <si>
    <t>Bellerive_7500_Chestnut Hill_Houston</t>
  </si>
  <si>
    <t>Fondren_5810_Shadow Ridge_Houston</t>
  </si>
  <si>
    <t>Fondren_5909_Coral Club_Houston</t>
  </si>
  <si>
    <t>Harwin_7637_Willows On Harwin_Houston</t>
  </si>
  <si>
    <t>Bellaire Blvd_9303_Royal Shield Apts_Houston</t>
  </si>
  <si>
    <t>Ranchester_6200_Hamilton Court Condo Apts_Houston</t>
  </si>
  <si>
    <t>Clarewood_9201_Louisville Court_Houston</t>
  </si>
  <si>
    <t>Wilcrest S_11303_Tradewinds_Houston</t>
  </si>
  <si>
    <t>Keegans Ridge_11505_Point of the Southwest_Houston</t>
  </si>
  <si>
    <t>Gessner S_6425_Carlingford II_Houston</t>
  </si>
  <si>
    <t>Harwin_10201_Town Park_Houston</t>
  </si>
  <si>
    <t>Meadow Ln_11522_Meadow Lane Fourplex Homes_Stafford</t>
  </si>
  <si>
    <t>Bellfort W_11650_Timbers of Keegans Bayou_Houston</t>
  </si>
  <si>
    <t>Bellerive_7630_Charleston Court_Houston</t>
  </si>
  <si>
    <t>Bonhomme_5959_The Barrington_Houston</t>
  </si>
  <si>
    <t>Sands Point Dr_8300_Sands Point_Houston</t>
  </si>
  <si>
    <t>Bellerive_7203_Stonegate_Houston</t>
  </si>
  <si>
    <t>Bellerive_7222_Regency Square_Houston</t>
  </si>
  <si>
    <t>Lands End Dr_10350_Stancliff Park_Houston</t>
  </si>
  <si>
    <t>S Dr_10411_Foxboro_Houston</t>
  </si>
  <si>
    <t>Ranchester_5909_Sun Blossom Mountain_Houston</t>
  </si>
  <si>
    <t>Sands Point Dr_8600_Sands Point Cove_Houston</t>
  </si>
  <si>
    <t>Gessner_6200_6200 Gessner_Houston</t>
  </si>
  <si>
    <t>Clarewood_9220_Summer Creek_Houston</t>
  </si>
  <si>
    <t>Gessner S_6400_Silver Leaf_Houston</t>
  </si>
  <si>
    <t>Parkfront_5850_Falls of Point West_Houston</t>
  </si>
  <si>
    <t>Ranchester Dr_5900_Sun Blossom Gardens_Houston</t>
  </si>
  <si>
    <t>Town Park_9000_Rock Springs_Houston</t>
  </si>
  <si>
    <t>Town Park_9001_Village Key_Houston</t>
  </si>
  <si>
    <t>Town Park_9303_Rustic Village_Houston</t>
  </si>
  <si>
    <t>All Day_5995_Highland Green_Houston</t>
  </si>
  <si>
    <t>Bellaire_7575_The Conquistador_Houston</t>
  </si>
  <si>
    <t>Moonmist_7650_Paradise Apts_Houston</t>
  </si>
  <si>
    <t>Ranchester_6301_Happy Village_Houston</t>
  </si>
  <si>
    <t>Bellaire_7900_Plantation Place_Houston</t>
  </si>
  <si>
    <t>Gessner Dr S_8917_Braeburn Colony_Houston</t>
  </si>
  <si>
    <t>Gessner S_7100_Country Club Village_Houston</t>
  </si>
  <si>
    <t>Beechnut_8929_Southwest Gardens II_Houston</t>
  </si>
  <si>
    <t>Beechnut_8910_Beechnut Palms_Houston</t>
  </si>
  <si>
    <t>Gessner Dr S_6500_Cambridge Court (TBD)_Houston</t>
  </si>
  <si>
    <t>Beechnut_7511_Beechnut Grove_Houston</t>
  </si>
  <si>
    <t>Beechnut St_6833_Plaza del Sol_Houston</t>
  </si>
  <si>
    <t>Bellaire_6600_Turf Club_Houston</t>
  </si>
  <si>
    <t>Clarewood_7500_Sharpstown Manor_Houston</t>
  </si>
  <si>
    <t>Clarewood_7650_St. Clarewood_Houston</t>
  </si>
  <si>
    <t>Bellaire Blvd_8100_Parkgreen_Houston</t>
  </si>
  <si>
    <t>Harbor Town Dr_6601_Parkway_Houston</t>
  </si>
  <si>
    <t>Marinette_6200_Royal Oaks Apts_Houston</t>
  </si>
  <si>
    <t>Marinette_6203_Marinette Gardens_Houston</t>
  </si>
  <si>
    <t>Bellaire_6960_Sharpstown Park_Houston</t>
  </si>
  <si>
    <t>De Moss_6718_Crescent Oaks_Houston</t>
  </si>
  <si>
    <t>Beechnut_8703-8715_Brentwood Village_Houston</t>
  </si>
  <si>
    <t>Beechnut_8847_Southwest Gardens I_Houston</t>
  </si>
  <si>
    <t>Beechnut_9023_Beechnut Chateau_Houston</t>
  </si>
  <si>
    <t>Beechnut_9034_Royal Beechnut_Houston</t>
  </si>
  <si>
    <t>Gessner Dr S_7222_Linda Square_Houston</t>
  </si>
  <si>
    <t>Ranchester Dr_6001_Villa Bella_Houston</t>
  </si>
  <si>
    <t>Ranchester_6300_Hamilton Park_Houston</t>
  </si>
  <si>
    <t>Fondren_8710_Ridgestone_Houston</t>
  </si>
  <si>
    <t>Fondren Rd_8800_Brickhaven I_Houston</t>
  </si>
  <si>
    <t>Gessner Rd S_7514_Summerfield_Houston</t>
  </si>
  <si>
    <t>Carvel Ln_8330_Ashley_Houston</t>
  </si>
  <si>
    <t>Bissonnet_7500_Bissonnet Gardens_Houston</t>
  </si>
  <si>
    <t>Bissonnet_7575_Sharpstown Gardens_Houston</t>
  </si>
  <si>
    <t>Fondren Rd_8900_Brickhaven II_Houston</t>
  </si>
  <si>
    <t>Fondren_9100_Boardwalk_Houston</t>
  </si>
  <si>
    <t>Fonvilla_7000_Forest Green_Houston</t>
  </si>
  <si>
    <t>Bissonnet_9200_Williamstown_Houston</t>
  </si>
  <si>
    <t>Gessner S_9707_Woodscape_Houston</t>
  </si>
  <si>
    <t>Jason_8484_Evergreen Commons_Houston</t>
  </si>
  <si>
    <t>Nairn_8500_Rockport Apt Homes_Houston</t>
  </si>
  <si>
    <t>Club Creek_9950_Pier Club_Houston</t>
  </si>
  <si>
    <t>Imogene_9292_The Westwood Complex_Houston</t>
  </si>
  <si>
    <t>Braeswood Blvd S_9001_Heatherwood_Houston</t>
  </si>
  <si>
    <t>Bissonnet_8901_Stoneriver_Houston</t>
  </si>
  <si>
    <t>Gessner S_10222_Crescent Place_Houston</t>
  </si>
  <si>
    <t>Gustine Ln_8700_Wesley Gardens_Houston</t>
  </si>
  <si>
    <t>Bissonnet_7900_Braeburn Oaks Condos_Houston</t>
  </si>
  <si>
    <t>Carew_7250_Sierra_Houston</t>
  </si>
  <si>
    <t>Harbor Town Dr_6666_Sharpstown Green Condos_Houston</t>
  </si>
  <si>
    <t>Kingsgate Cir_7298_Westlake Village_Houston</t>
  </si>
  <si>
    <t>Bissonnet St_7003_The Oaks on Bissonnet_Houston</t>
  </si>
  <si>
    <t>Braeburn Glen_9707_Villa Acapulco_Houston</t>
  </si>
  <si>
    <t>Braeswood Blvd S_8701_Braes Hollow_Houston</t>
  </si>
  <si>
    <t>Braeswood S_8800_Braeswood Atrium_Houston</t>
  </si>
  <si>
    <t>Braeswood S_8801_Braes Court_Houston</t>
  </si>
  <si>
    <t>Bankside_6425_Bankside Village_Houston</t>
  </si>
  <si>
    <t>Fondren_10555_Braeswood Oaks_Houston</t>
  </si>
  <si>
    <t>Westbrae Pkwy_10950_Crystal Falls_Houston</t>
  </si>
  <si>
    <t>Braesridge_11100_Braesridge I_Houston</t>
  </si>
  <si>
    <t>Sandpiper_10402_Sandpiper_Houston</t>
  </si>
  <si>
    <t>Wanda_6503_St James Place II_Houston</t>
  </si>
  <si>
    <t>Fondren_9109_St James_Houston</t>
  </si>
  <si>
    <t>Westbrae Pkwy_10680_Westbrae Court_Houston</t>
  </si>
  <si>
    <t>Westbrae Pkwy_10750_Fairfield Trails_Houston</t>
  </si>
  <si>
    <t>Fondren_10001_West Hollow_Houston</t>
  </si>
  <si>
    <t>Sandpiper_10301_Arbor Square_Houston</t>
  </si>
  <si>
    <t>Dumfries_6310_Bayou Village Place_Houston</t>
  </si>
  <si>
    <t>Fondren_9801_Stone Forest_Houston</t>
  </si>
  <si>
    <t>Gustine Ln_8801_Royal Pines_Houston</t>
  </si>
  <si>
    <t>Braes Bayou Dr_9600_Braeburn Villa_Houston</t>
  </si>
  <si>
    <t>Creekbend Dr_8110_Beacon Hill_Houston</t>
  </si>
  <si>
    <t>Braesridge_11100_Braesridge II_Houston</t>
  </si>
  <si>
    <t>Creekbend Dr_7600_The Reserve at Creekbend_Houston</t>
  </si>
  <si>
    <t>Creekbend Dr_8000_The Reserve at Braes Forest_Houston</t>
  </si>
  <si>
    <t>Gulfton_5815_Lantern Village_Houston</t>
  </si>
  <si>
    <t>Glenmont_6050_Mapletree Gardens_Houston</t>
  </si>
  <si>
    <t>Bissonnet_4301_Pont Alba_Bellaire</t>
  </si>
  <si>
    <t>Fondren Rd_10800_The Reserve at Bankside_Houston</t>
  </si>
  <si>
    <t>Fondren Rd_10919_The Willows_Houston</t>
  </si>
  <si>
    <t>Larkwood Dr_11025_Carlyle Place_Houston</t>
  </si>
  <si>
    <t>Dunlap St_6601_Sterling Point_Houston</t>
  </si>
  <si>
    <t>Willowbend_6111_Regal Pointe_Houston</t>
  </si>
  <si>
    <t>Glenmont_5655_Atrium Regency_Houston</t>
  </si>
  <si>
    <t>Glenmont_6100_La Hacienda_Houston</t>
  </si>
  <si>
    <t>Gulfton_6001_Napoleon Square_Houston</t>
  </si>
  <si>
    <t>Gulfton_6200_Jefferson House_Houston</t>
  </si>
  <si>
    <t>Gulfton_6233_Westward Square_Houston</t>
  </si>
  <si>
    <t>Chimney Rock_6111_Le Chateau_Houston</t>
  </si>
  <si>
    <t>El Camino Del Ray_5500_Sierra Vista_Houston</t>
  </si>
  <si>
    <t>Pin Oak Park_4807_Estates at Bellaire_Houston</t>
  </si>
  <si>
    <t>Pin Oak Park_4848_Marquis on Pin Oak_Houston</t>
  </si>
  <si>
    <t>Bellaire Blvd_6009_Pelican Pointe_Houston</t>
  </si>
  <si>
    <t>Rampart_5720_Peachtree_Houston</t>
  </si>
  <si>
    <t>Rampart_6002_South Oaks_Houston</t>
  </si>
  <si>
    <t>Rampart_6300_Rampart Gardens_Houston</t>
  </si>
  <si>
    <t>Chimney Rock_5401_5401 Chimney Rock_Houston</t>
  </si>
  <si>
    <t>Chimney Rock_5601_Fountain Oaks_Houston</t>
  </si>
  <si>
    <t>Chimney Rock_5600_Sharon Park Village_Houston</t>
  </si>
  <si>
    <t>Elm_5414_Bellaire Woods_Houston</t>
  </si>
  <si>
    <t>Glenmont_5710_Chapparal Villas I_Houston</t>
  </si>
  <si>
    <t>Rice S_5510_Remington Park_Houston</t>
  </si>
  <si>
    <t>Glenmont_5720_Chapparal Villas II_Houston</t>
  </si>
  <si>
    <t>Glenmont_5840_Cedar Glen_Houston</t>
  </si>
  <si>
    <t>Glenmont_5909_Las Americas_Houston</t>
  </si>
  <si>
    <t>Westward_5621_Chateaux Carmel_Houston</t>
  </si>
  <si>
    <t>Gulfton_6060_Alexander House_Houston</t>
  </si>
  <si>
    <t>Gulfton_6303_Atrium Cellini_Houston</t>
  </si>
  <si>
    <t>Renwick_5402_Pavilion Place_Houston</t>
  </si>
  <si>
    <t>Hillcroft_7111_Candlewick_Houston</t>
  </si>
  <si>
    <t>Mullins_6711_Fiesta Plaza II Apts_Houston</t>
  </si>
  <si>
    <t>Bissonnet_5606_Mark VI_Houston</t>
  </si>
  <si>
    <t>Bissonnet_5625_Grayridge_Houston</t>
  </si>
  <si>
    <t>Alder_6414_Greentree at the Garden_Houston</t>
  </si>
  <si>
    <t>Hillcroft_7001_Crown Garden_Houston</t>
  </si>
  <si>
    <t>Bellaire_6120_Bellaire Gardens_Houston</t>
  </si>
  <si>
    <t>Mullins_6711_Fiesta Plaza_Houston</t>
  </si>
  <si>
    <t>Dashwood_6011_Carriage Way_Houston</t>
  </si>
  <si>
    <t>Atwell_6655_Mark 5 North_Houston</t>
  </si>
  <si>
    <t>Atwell_6711_Mark V South Apts_Houston</t>
  </si>
  <si>
    <t>Chimney Rock_6700_The Palms at Chimney Rock_Houston</t>
  </si>
  <si>
    <t>Clarewood_5312_Monticello Square_Houston</t>
  </si>
  <si>
    <t>Atwell_7211_Atwell Village Apts_Houston</t>
  </si>
  <si>
    <t>Edgemoor_5704_Scottwood_Houston</t>
  </si>
  <si>
    <t>Bellaire_5800_Bellaire Square North (Demolished)_Houston</t>
  </si>
  <si>
    <t>Hillcroft St_6525_St Cloud_Houston</t>
  </si>
  <si>
    <t>Clarewood_5801_Clarewood Gardens_Houston</t>
  </si>
  <si>
    <t>Bissonnet_6000_Spring Forest_Houston</t>
  </si>
  <si>
    <t>Hillcroft_7245_Fairmount_Houston</t>
  </si>
  <si>
    <t>Hillcroft_7303_Fairmont Apts_Houston</t>
  </si>
  <si>
    <t>Chimney Rock_6666_Colony Oaks_Houston</t>
  </si>
  <si>
    <t>Dashwood_5800_Villa Royal_Houston</t>
  </si>
  <si>
    <t>Dashwood_5940_Le Sajon_Houston</t>
  </si>
  <si>
    <t>Bissonnet_5929_Jonathan Square II_Houston</t>
  </si>
  <si>
    <t>Birdwood_5430_Braeswood Plaza_Houston</t>
  </si>
  <si>
    <t>Renwick_6768_Grey Field_Houston</t>
  </si>
  <si>
    <t>Renwick_6909_Enchanted Fountains_Houston</t>
  </si>
  <si>
    <t>Chimney Rock_8900_The Villages at Meyerland II_Houston</t>
  </si>
  <si>
    <t>Braeswood Blvd N_5410-5415_Nob Hill Southeast_Houston</t>
  </si>
  <si>
    <t>Braesvalley Dr_5465_Nob Hill West_Houston</t>
  </si>
  <si>
    <t>Renwick_7100_Renwick Square_Houston</t>
  </si>
  <si>
    <t>Bissonnet_5911_Cherry Gardens_Houston</t>
  </si>
  <si>
    <t>Pine_5531_Pines Street Apts_Houston</t>
  </si>
  <si>
    <t>Valerie_6226_6226 Valerie Apts_Houston</t>
  </si>
  <si>
    <t>Braeswood Blvd N_5500_Nob Hill Southwest_Houston</t>
  </si>
  <si>
    <t>Hillcroft_7525_The White House_Houston</t>
  </si>
  <si>
    <t>Mullins_7302_Pueblo Mio_Houston</t>
  </si>
  <si>
    <t>Pine_5505_The Crossing at Saint Charles_Houston</t>
  </si>
  <si>
    <t>Bissonnet_5900_Azalea Place_Houston</t>
  </si>
  <si>
    <t>Bissonnet_5959_Cherry Cove_Houston</t>
  </si>
  <si>
    <t>Academy_6815_Morgan Manor_Houston</t>
  </si>
  <si>
    <t>Bellaire_4139_Blair House_Houston</t>
  </si>
  <si>
    <t>Beechnut_4600_Meyer Oaks_Houston</t>
  </si>
  <si>
    <t>Braeswood N_4605_Meyergrove_Houston</t>
  </si>
  <si>
    <t>Braeswood N_5900_Crossing at Berkley Square_Houston</t>
  </si>
  <si>
    <t>Glenfield_9600_Falls of Maplewood_Houston</t>
  </si>
  <si>
    <t>Glenfield Ct_9700_Meyerland Court_Houston</t>
  </si>
  <si>
    <t>Stella Link_6924_Villa Fontana_Houston</t>
  </si>
  <si>
    <t>Greenbriar_7000_Greenbriar Bend_Houston</t>
  </si>
  <si>
    <t>Bellefontaine_4025-4031_Fredoric_Houston</t>
  </si>
  <si>
    <t>Kirby_7500_Kirby Place_Houston</t>
  </si>
  <si>
    <t>Kirby_7550_Arcadian Kirby_Houston</t>
  </si>
  <si>
    <t>Meyer Forest Dr_9701_Meyer Park (I)_Houston</t>
  </si>
  <si>
    <t>Law St_3810_Courts at West University_Houston</t>
  </si>
  <si>
    <t>Tangley_2415_Village_Houston</t>
  </si>
  <si>
    <t>Post Oak S_10600_Glen Willow_Houston</t>
  </si>
  <si>
    <t>Greenwillow St_10841_Willow Gardens_Houston</t>
  </si>
  <si>
    <t>Buffalo Spdwy_7171_Camden Vanderbilt I_Houston</t>
  </si>
  <si>
    <t>Brompton_7315_Berkshires on Brompton_Houston</t>
  </si>
  <si>
    <t>Brompton Rd #514_7510_Brompton Court_Houston</t>
  </si>
  <si>
    <t>Maroneal_2222_The Maroneal_Houston</t>
  </si>
  <si>
    <t>Dorrington_2210_Montclair_Houston</t>
  </si>
  <si>
    <t>Linkwood_4045_Stratford House II_Houston</t>
  </si>
  <si>
    <t>Bartell Dr W_8410_Ashley Park_Houston</t>
  </si>
  <si>
    <t>Timberside Dr_8715_Braes Manor_Houston</t>
  </si>
  <si>
    <t>Westridge_2700_Ridgepoint_Houston</t>
  </si>
  <si>
    <t>Murworth_2686_Wilshire Park_Houston</t>
  </si>
  <si>
    <t>Braeswood N_3822_Gardens of Braeswood_Houston</t>
  </si>
  <si>
    <t>Braeswood S_4155_Carlton House_Houston</t>
  </si>
  <si>
    <t>Linkwood_4010_Stratford House I_Houston</t>
  </si>
  <si>
    <t>Braeswood N_4141_Rutledge_Houston</t>
  </si>
  <si>
    <t>Kirby_7600_The Crossing on Kirby_Houston</t>
  </si>
  <si>
    <t>Greenbriar_7777_The Greenbriar_Houston</t>
  </si>
  <si>
    <t>Broadmead_2801_Broadmead_Houston</t>
  </si>
  <si>
    <t>Ilona_8814-8826_Linkwood Park_Houston</t>
  </si>
  <si>
    <t>Braeswood S_1819_The Lanesborough_Houston</t>
  </si>
  <si>
    <t>Murworth_3000_Mainstream_Houston</t>
  </si>
  <si>
    <t>Braeswood S_4055_Villa D'Orleans_Houston</t>
  </si>
  <si>
    <t>Holly Hall_2111_Twenty One Eleven Holly Hall_Houston</t>
  </si>
  <si>
    <t>Holly Hall_2250_Scotland Yard I_Houston</t>
  </si>
  <si>
    <t>Stella Link_9701_Royale Apts_Houston</t>
  </si>
  <si>
    <t>Westridge_2401_Villages of Westridge_Houston</t>
  </si>
  <si>
    <t>Westridge_2501_Westridge Gardens_Houston</t>
  </si>
  <si>
    <t>Westridge_2600_Mainridge_Houston</t>
  </si>
  <si>
    <t>O'Meara_3901_Pine Terrace_Houston</t>
  </si>
  <si>
    <t>MacGregor N_3200_Bayou View Gardens_Houston</t>
  </si>
  <si>
    <t>MacGregor Way N_3501_Dynasty_Houston</t>
  </si>
  <si>
    <t>Bellfort W_4010_Louvre_Houston</t>
  </si>
  <si>
    <t>Bellfort #15 W_4135_Bellfort Park_Houston</t>
  </si>
  <si>
    <t>Prospect St_1913-1941_Prospect Street_Houston</t>
  </si>
  <si>
    <t>Riverside_2601_The Park at Riverside_Houston</t>
  </si>
  <si>
    <t>El Paseo_1800_Parque View_Houston</t>
  </si>
  <si>
    <t>Fannin_8181_Fannin Street Station I_Houston</t>
  </si>
  <si>
    <t>Fannin_8181_Fannin Street Station II_Houston</t>
  </si>
  <si>
    <t>Almeda Rd_6301_Villas at Hermann Park_Houston</t>
  </si>
  <si>
    <t>Bellfort W_2701_Lakes of 610_Houston</t>
  </si>
  <si>
    <t>Loop W S_2400_Meadow Ridge_Houston</t>
  </si>
  <si>
    <t>Ewing_1815_Ewing Apts, 1815_Houston</t>
  </si>
  <si>
    <t>Hermann Dr_1701_Parklane_Houston</t>
  </si>
  <si>
    <t>Hermann Dr_1615_The Plaza Museum District_Houston</t>
  </si>
  <si>
    <t>Calumet_2608_Calumet Court_Houston</t>
  </si>
  <si>
    <t>Charleston Park_16_Oaks of Charleston_Houston</t>
  </si>
  <si>
    <t>Timberside Dr_9707_Loop Crossing_Houston</t>
  </si>
  <si>
    <t>Riverside_5501_Riverside Terrace_Houston</t>
  </si>
  <si>
    <t>Ardmore_5986_Ardmore_Houston</t>
  </si>
  <si>
    <t>Bayou Bend_5800_Bayou Bend_Houston</t>
  </si>
  <si>
    <t>Scott_5415_5415 Scott Apts_Houston</t>
  </si>
  <si>
    <t>Southmore_3710_Southmore Place_Houston</t>
  </si>
  <si>
    <t>Almeda_7200_Versailles Park_Houston</t>
  </si>
  <si>
    <t>Staffordshire_7331_Parkwood_Houston</t>
  </si>
  <si>
    <t>Almeda Rd_7009_AMLI at the Medical Center_Houston</t>
  </si>
  <si>
    <t>MacGregor Way N_3101_Bayou Landing_Houston</t>
  </si>
  <si>
    <t>MacGregor Way N_3533_North MacGregor Arms_Houston</t>
  </si>
  <si>
    <t>La Salette_6115_San Jacinto Garden_Houston</t>
  </si>
  <si>
    <t>Griggs Rd_4000_Spanish Village_Houston</t>
  </si>
  <si>
    <t>Cambridge_7901_Park On Cambridge_Houston</t>
  </si>
  <si>
    <t>Cambridge_8282_Harvest Hill_Houston</t>
  </si>
  <si>
    <t>MacGregor Way N_4463_Beall Village_Houston</t>
  </si>
  <si>
    <t>El Mundo_8300_El Mundo Park_Houston</t>
  </si>
  <si>
    <t>El Mundo_8380_Parque Del Oro_Houston</t>
  </si>
  <si>
    <t>Southmore_3711_Nubia Square_Houston</t>
  </si>
  <si>
    <t>Almeda_7100_7100 Almeda_Houston</t>
  </si>
  <si>
    <t>Holly Hall_2700_Plaza Del Oro_Houston</t>
  </si>
  <si>
    <t>Corder_4002_Missionary Village_Houston</t>
  </si>
  <si>
    <t>Southlawn St_3829_Southlawn Palms_Houston</t>
  </si>
  <si>
    <t>Beatty_2510_St Johns_Houston</t>
  </si>
  <si>
    <t>Calhoun_7402_Wesley Square_Houston</t>
  </si>
  <si>
    <t>Edfield_4617_Mount Hebron Village_Houston</t>
  </si>
  <si>
    <t>El Mundo_8181_San Marin_Houston</t>
  </si>
  <si>
    <t>Yellowstone Blvd_3322_Park Yellowstone TH_Houston</t>
  </si>
  <si>
    <t>Alice_3603_Alice Apts_Houston</t>
  </si>
  <si>
    <t>Corder_4001_Zollie Scales Manor_Houston</t>
  </si>
  <si>
    <t>Dismuke_1907_Dismuke Apts_Houston</t>
  </si>
  <si>
    <t>Gulf Fwy_6113_Brookdale Village_Houston</t>
  </si>
  <si>
    <t>Bellfort W_4362_4362 Bellfort_Houston</t>
  </si>
  <si>
    <t>Sunflower_5050_Sunflower Terrace_Houston</t>
  </si>
  <si>
    <t>Beatty_2520_Colony Manor_Houston</t>
  </si>
  <si>
    <t>Beatty_2606_Victory_Houston</t>
  </si>
  <si>
    <t>Beatty_2704_Gatehouse_Houston</t>
  </si>
  <si>
    <t>Loop E S_6315_Sands_Houston</t>
  </si>
  <si>
    <t>Lawndale Plaza_1500_Lawndale Village_Houston</t>
  </si>
  <si>
    <t>Broad_2811_Oak Acres_Houston</t>
  </si>
  <si>
    <t>Loop E S_6922_Gala Vista_Houston</t>
  </si>
  <si>
    <t>Winkler_123_Winkler Villa_Houston</t>
  </si>
  <si>
    <t>Weslow_3803_Weslow Manor_Houston</t>
  </si>
  <si>
    <t>Schroeder_6030_Les Jardins Apts_Houston</t>
  </si>
  <si>
    <t>Royal Palms_5601_Royal Palms East_Houston</t>
  </si>
  <si>
    <t>Loop E S_6156_The Villas_Houston</t>
  </si>
  <si>
    <t>Redwood_910_Redwood Gardens_Houston</t>
  </si>
  <si>
    <t>Broadway_2911_Parkford_Houston</t>
  </si>
  <si>
    <t>Broadway_3003_Concord Arms_Houston</t>
  </si>
  <si>
    <t>Golfcrest Blvd_3037_Orleans East_Houston</t>
  </si>
  <si>
    <t>Bellfort St_7035_Bellfort Plaza_Houston</t>
  </si>
  <si>
    <t>Lawndale_7132_Encanto_Houston</t>
  </si>
  <si>
    <t>Winkler Dr_166_Winkler Drive_Houston</t>
  </si>
  <si>
    <t>Golfcrest_3003_Tel Wink_Houston</t>
  </si>
  <si>
    <t>Golfcrest Blvd_3043_Golfcrest Gardens_Houston</t>
  </si>
  <si>
    <t>Golfcrest_3045_Golfcrest_Houston</t>
  </si>
  <si>
    <t>Hasbrook_3034_Nine Oaks_Houston</t>
  </si>
  <si>
    <t>Plum Creek_2926_Patrician_Houston</t>
  </si>
  <si>
    <t>Winkler_8425_Cobblestone_Houston</t>
  </si>
  <si>
    <t>Broadway_2724_Las Villas_Houston</t>
  </si>
  <si>
    <t>Broadway_2505_Broadway Park_Houston</t>
  </si>
  <si>
    <t>Evergreen_3499_Evergreen_Houston</t>
  </si>
  <si>
    <t>Southway_7315_Southway Manor_Houston</t>
  </si>
  <si>
    <t>Hogue_6524_The Hogue Apts_Houston</t>
  </si>
  <si>
    <t>Office City Dr_7575_Willow Creek_Houston</t>
  </si>
  <si>
    <t>Patricia Manor_2522_Patricia Manor_Houston</t>
  </si>
  <si>
    <t>Park Place_7525_Villa Paree_Houston</t>
  </si>
  <si>
    <t>Leonora_8101_Dylans Crossing Condos_Houston</t>
  </si>
  <si>
    <t>Telephone_6000_Telephone Road_Houston</t>
  </si>
  <si>
    <t>Broadway_3109_Boulevard_Houston</t>
  </si>
  <si>
    <t>Broadway_3215_Findlay House_Houston</t>
  </si>
  <si>
    <t>Dover_3402_White Cliff_Houston</t>
  </si>
  <si>
    <t>Park Place_8447_Acre Villa_Houston</t>
  </si>
  <si>
    <t>Easton_8001_Easton_Houston</t>
  </si>
  <si>
    <t>Gulf Fwy_8308_Las Palmas_Houston</t>
  </si>
  <si>
    <t>Stone_8100_Bellfort II Apts_Houston</t>
  </si>
  <si>
    <t>Old Galveston Rd_4011_Houston Park Place Gardens_Houston</t>
  </si>
  <si>
    <t>Bellfort_7606_Bellfort East_Houston</t>
  </si>
  <si>
    <t>Leonora_7901_Glenbrook East_Houston</t>
  </si>
  <si>
    <t>Park Place_8407_Park Place Arms_Houston</t>
  </si>
  <si>
    <t>Park Place_8345_Colonial Apts_Houston</t>
  </si>
  <si>
    <t>Park Place_8360_Park De Ville_Houston</t>
  </si>
  <si>
    <t>Glenview_7611_Leonora Square_Houston</t>
  </si>
  <si>
    <t>Broadway_8400_Woodlen Place_Houston</t>
  </si>
  <si>
    <t>Broadway_8405_Woodlen Glen_Houston</t>
  </si>
  <si>
    <t>Broadway_8500_Pebble Walk_Houston</t>
  </si>
  <si>
    <t>Allendale_4910_Willow Tree_Houston</t>
  </si>
  <si>
    <t>Silver Creek_5160_Silver Club_Houston</t>
  </si>
  <si>
    <t>Bellfort_7711_Lennox Apts_Houston</t>
  </si>
  <si>
    <t>Bellfort_7950_Bellfort I &amp; II_Houston</t>
  </si>
  <si>
    <t>Stone_8271_Bellestone Villas_Houston</t>
  </si>
  <si>
    <t>Stone_8404_Stone Manor_Houston</t>
  </si>
  <si>
    <t>Weir Dr_8010_Glenbrook Villa_Houston</t>
  </si>
  <si>
    <t>Dover_4137_Dover Place_Houston</t>
  </si>
  <si>
    <t>Broadway_4114_Broadway_Houston</t>
  </si>
  <si>
    <t>Broadway_4015_Le Montreal_Houston</t>
  </si>
  <si>
    <t>Broadway St_8700_Broadway Square-Section 4-I_Houston</t>
  </si>
  <si>
    <t>Broadway St_8955_Broadway Square-Section 1-IV_Houston</t>
  </si>
  <si>
    <t>Grahamcrest Dr_7615_Grahamcrest Apts_Houston</t>
  </si>
  <si>
    <t>Allendale_6005_Allendale Village_Houston</t>
  </si>
  <si>
    <t>Scarborough Ln_1710_Scarborough Lane_Pasadena</t>
  </si>
  <si>
    <t>Winkler_8311_Glenview_Houston</t>
  </si>
  <si>
    <t>Winkler Dr_8535_Winkler-Belvedere_Houston</t>
  </si>
  <si>
    <t>Winkler Dr_8541_The East Hampton_Houston</t>
  </si>
  <si>
    <t>Halkies S_301_Gemini Gardens_Houston</t>
  </si>
  <si>
    <t>Telephone Rd_6727_Sage Meadows_Houston</t>
  </si>
  <si>
    <t>Winkler Dr_8601_Meadowbrook Manor_Houston</t>
  </si>
  <si>
    <t>Allendale_4801_Oakshadows Retirement Community_Houston</t>
  </si>
  <si>
    <t>Main St S_910_Ken Mar_Pasadena</t>
  </si>
  <si>
    <t>Main St S_1004_Main Village_Pasadena</t>
  </si>
  <si>
    <t>Richey S_519_Bryton Hill Manor_Pasadena</t>
  </si>
  <si>
    <t>Garner_402_Courtyard Apts_Pasadena</t>
  </si>
  <si>
    <t>Garner_403_Garner Villa_Pasadena</t>
  </si>
  <si>
    <t>Broadway_8501_Crescent City_Houston</t>
  </si>
  <si>
    <t>Broadway St_8750_Broadway Square-Section 4-II_Houston</t>
  </si>
  <si>
    <t>Richey S_621_The Columns_Pasadena</t>
  </si>
  <si>
    <t>Richey St S_1009_Raintree_Pasadena</t>
  </si>
  <si>
    <t>Shaver S_812_Old South_Pasadena</t>
  </si>
  <si>
    <t>Richey S_315_Compton Court_Pasadena</t>
  </si>
  <si>
    <t>Jackson E_1010_Cedar Bayou_Pasadena</t>
  </si>
  <si>
    <t>Red Bluff_1120_First Line_Pasadena</t>
  </si>
  <si>
    <t>Morley St_7900_Broadway Square-Section 2-I_Houston</t>
  </si>
  <si>
    <t>Gulf Fwy_8800_Skylane South_Houston</t>
  </si>
  <si>
    <t>Charles S_612_Cedar Creek_Pasadena</t>
  </si>
  <si>
    <t>Shaver S_2135_Rozewood Apts_Pasadena</t>
  </si>
  <si>
    <t>Dumont_1103-1109_Dumont Palace Apts_South Houston</t>
  </si>
  <si>
    <t>Perez_2701_Garden Villa_Pasadena</t>
  </si>
  <si>
    <t>Houston Ave E_920_Emerald Pointe_Pasadena</t>
  </si>
  <si>
    <t>Pasadena Blvd_1706_Villas of Pasadena_Pasadena</t>
  </si>
  <si>
    <t>Ave H_1408_Ashton Place II_South Houston</t>
  </si>
  <si>
    <t>Ave A_1301_Granada Terrace_South Houston</t>
  </si>
  <si>
    <t>Federal_3200_Spencer Square_Pasadena</t>
  </si>
  <si>
    <t>Lafferty_2730_Gardenview_Pasadena</t>
  </si>
  <si>
    <t>Lafferty_3030_Bayou Oaks_Pasadena</t>
  </si>
  <si>
    <t>Allen Genoa S_2525_Queens Lane_Pasadena</t>
  </si>
  <si>
    <t>Queens Rd_1111_The Crossing at Allen Square_Pasadena</t>
  </si>
  <si>
    <t>Austin E_910_Lotus Square_Pasadena</t>
  </si>
  <si>
    <t>Curtis E_1000_Arbors at Town Square_Pasadena</t>
  </si>
  <si>
    <t>Preston Rd_701_Vista Del Sol_Pasadena</t>
  </si>
  <si>
    <t>Birnham Woods Blvd_909_Birnham Woods_Pasadena</t>
  </si>
  <si>
    <t>Strawberry_1500_Strawberry Hill_Pasadena</t>
  </si>
  <si>
    <t>Burke_1111_Oak Pointe_Pasadena</t>
  </si>
  <si>
    <t>Cherrybrook_2320_Cherrybrook Place_Pasadena</t>
  </si>
  <si>
    <t>Spencer Hwy_3101_Parkside Place_Pasadena</t>
  </si>
  <si>
    <t>Westside_2802_Tammerlane_Pasadena</t>
  </si>
  <si>
    <t>Burke_1100_Empire Village_Pasadena</t>
  </si>
  <si>
    <t>Beltway 8 E_502_Greentree_Pasadena</t>
  </si>
  <si>
    <t>Sam Houston Pkwy S E_1111_La Paloma Village_Pasadena</t>
  </si>
  <si>
    <t>Red Bluff_2300_Quarters on Red Bluff_Pasadena</t>
  </si>
  <si>
    <t>Preston Ave_622_Trinity Courtyards_Pasadena</t>
  </si>
  <si>
    <t>Burke_1141_Burke Square_Pasadena</t>
  </si>
  <si>
    <t>Burke_2001_Maple Trail Apts &amp; TH_Pasadena</t>
  </si>
  <si>
    <t>Southmore Ave_1911_Eden Rock_Pasadena</t>
  </si>
  <si>
    <t>Pasadena Blvd_2701_Jasmine Park_Houston</t>
  </si>
  <si>
    <t>Sam Houston Pkwy S E_1516_San Augustine_Pasadena</t>
  </si>
  <si>
    <t>Pasadena Blvd_3120_Oakwood Village_Pasadena</t>
  </si>
  <si>
    <t>Pasadena Blvd_3222_Twin Oaks_Pasadena</t>
  </si>
  <si>
    <t>Burke_2323_Parkview Village_Pasadena</t>
  </si>
  <si>
    <t>Burke_2402_Alpine Village_Pasadena</t>
  </si>
  <si>
    <t>Strawberry_2120_Embers_Pasadena</t>
  </si>
  <si>
    <t>Southmore E_2401_Southmore Park_Pasadena</t>
  </si>
  <si>
    <t>Southmore E_2650_Southmore TH_Pasadena</t>
  </si>
  <si>
    <t>Red Bluff_3201_Fieldstone_Pasadena</t>
  </si>
  <si>
    <t>Red Bluff Rd_3500_Casa Palmas_Pasadena</t>
  </si>
  <si>
    <t>Lyric Ln_1202_San Augustine TH Apts_Pasadena</t>
  </si>
  <si>
    <t>Red Bluff Rd_3823_Red Pines AH_Pasadena</t>
  </si>
  <si>
    <t>Jenkins_2001_Pecan Place_Pasadena</t>
  </si>
  <si>
    <t>Jenkins_2008_Britany Village_Pasadena</t>
  </si>
  <si>
    <t>Harris E_2216_Copper Ridge_Pasadena</t>
  </si>
  <si>
    <t>Jenkins_1705_Victoria Village_Pasadena</t>
  </si>
  <si>
    <t>Jenkins_1744_The Crossings at Sun Meadow_Pasadena</t>
  </si>
  <si>
    <t>Airport Blvd W_8300_The Crossings at Bradford Place II_Houston</t>
  </si>
  <si>
    <t>Sunset Meadow Ln_12247_Sunswept TH Apts_Houston</t>
  </si>
  <si>
    <t>Pasadena Blvd W_401_Alexan Deer Park_Deer Park</t>
  </si>
  <si>
    <t>Pasadena Blvd W_500_Parktown Townhouses II_Deer Park</t>
  </si>
  <si>
    <t>Spencer Hwy_6411_Brandywood II_Pasadena</t>
  </si>
  <si>
    <t>Airport Blvd W_6255_Village of Fondren_Houston</t>
  </si>
  <si>
    <t>Bellfort W_6200_Bel Lindo_Houston</t>
  </si>
  <si>
    <t>Bellfort W_6101-6201_Oakwood Villa_Houston</t>
  </si>
  <si>
    <t>2nd N_315_Sylvan Beach_La Porte</t>
  </si>
  <si>
    <t>Stacey Ln_18_Roseland Manor_Baytown</t>
  </si>
  <si>
    <t>Fondren Rd_12265_Brookbend_Houston</t>
  </si>
  <si>
    <t>Ludington_6655_The Ludington_Houston</t>
  </si>
  <si>
    <t>Burke_3224_Bayshore Park_Pasadena</t>
  </si>
  <si>
    <t>Strawberry_3002_Belle Chase_Pasadena</t>
  </si>
  <si>
    <t>Sycamore Ave_4802-4812_Sycamore Gardens_Pasadena</t>
  </si>
  <si>
    <t>Burke_3219_Bayshore Towers_Pasadena</t>
  </si>
  <si>
    <t>Spencer Hwy_6411_Brandywood I_Pasadena</t>
  </si>
  <si>
    <t>Carrie Ln W_7329_Deer Park Gardens_Deer Park</t>
  </si>
  <si>
    <t>Dutch #5_1238_Village of Deer Park_Deer Park</t>
  </si>
  <si>
    <t>X St E_223_New Castle Town Plaza_Deer Park</t>
  </si>
  <si>
    <t>Pasadena Blvd W_500_Parktown Townhouses I_Deer Park</t>
  </si>
  <si>
    <t>McDermott_401_Deerglen_Deer Park</t>
  </si>
  <si>
    <t>San Augustine Ave E_335_Deerwood at the Park_Deer Park</t>
  </si>
  <si>
    <t>Spencer Hwy_7878_London Belle_Pasadena</t>
  </si>
  <si>
    <t>Spencer Hwy_8015_Savannah Oaks_Deer Park</t>
  </si>
  <si>
    <t>Spencer Hwy_9999_Harbour Bay_La Porte</t>
  </si>
  <si>
    <t>Missouri_1200_Marina Club at Baytown_Baytown</t>
  </si>
  <si>
    <t>Spencer Hwy_6565_Cinnamon Ridge_Pasadena</t>
  </si>
  <si>
    <t>Spencer Hwy_7201_Deer Park Village_Pasadena</t>
  </si>
  <si>
    <t>Airport W_7700_Airport Gardens_Houston</t>
  </si>
  <si>
    <t>Airport Blvd W_7800_Amritta_Houston</t>
  </si>
  <si>
    <t>Bellfort St W_6300_Bennington Square_Houston</t>
  </si>
  <si>
    <t>Bellfort W_6301_San Marcos_Houston</t>
  </si>
  <si>
    <t>Tri City Beach Rd_301_Forest View Apts_Baytown</t>
  </si>
  <si>
    <t>James E_1300_Baywood_Baytown</t>
  </si>
  <si>
    <t>James St E_2500_The Place at 2500 James_Baytown</t>
  </si>
  <si>
    <t>Bellfort W_10200_Southwest Terrace_Houston</t>
  </si>
  <si>
    <t>Keegans Ridge Rd_11500_Keegan's Mill_Houston</t>
  </si>
  <si>
    <t>Bellfort St W_8201_Brays Oaks Village_Houston</t>
  </si>
  <si>
    <t>Westplace Dr_8800_Chelsea Town Condos_Houston</t>
  </si>
  <si>
    <t>Bellfort W_6400_Brays Oaks Park Apts_Houston</t>
  </si>
  <si>
    <t>Bellfort W_6405_Bellfort Village_Houston</t>
  </si>
  <si>
    <t>Chimney Rock Rd_11810_Spring Village_Houston</t>
  </si>
  <si>
    <t>Ludington #3_6298_Arbor Village TH_Houston</t>
  </si>
  <si>
    <t>Fondren Rd_11315_Los Arcos_Houston</t>
  </si>
  <si>
    <t>Fonmeadow_14550_Camden Court_Pasadena</t>
  </si>
  <si>
    <t>Fonmeadow Dr_14600_Remington Place Condo Apts_Houston</t>
  </si>
  <si>
    <t>Wilmington_4000_Wilmington House Apts_Houston</t>
  </si>
  <si>
    <t>Scott St_10200_Simmons Gardens_Houston</t>
  </si>
  <si>
    <t>Cullen Blvd_10012_Anna Dupree Terrace_Houston</t>
  </si>
  <si>
    <t>Post Oak S_11211_Post Oak Manor_Houston</t>
  </si>
  <si>
    <t>Burdine St_12111_Westbury Park_Houston</t>
  </si>
  <si>
    <t>Airport Blvd W_6363_The Reserve at 63 Sixty Three_Houston</t>
  </si>
  <si>
    <t>Bob White Dr_12345_Rainy Meadows_Houston</t>
  </si>
  <si>
    <t>Selinsky Rd_5602_Crestmont West_Houston</t>
  </si>
  <si>
    <t>Selinsky Rd_5638_Crestmont Village_Houston</t>
  </si>
  <si>
    <t>Dunlap St_12500_Pines of Westbury_Houston</t>
  </si>
  <si>
    <t>Fondren Rd_12261_Casa Miranda_Houston</t>
  </si>
  <si>
    <t>Bellfort W_5438_5438 Bellfort West_Houston</t>
  </si>
  <si>
    <t>Fondren Rd_12101_Ludren Park_Houston</t>
  </si>
  <si>
    <t>Fondren Rd_12211_Airport Landing_Houston</t>
  </si>
  <si>
    <t>Gasmer Dr_5525_La Peak_Houston</t>
  </si>
  <si>
    <t>Gasmer Dr_5555_Las Villas del Parque_Houston</t>
  </si>
  <si>
    <t>Gasmer_5565_Westbury Manor_Houston</t>
  </si>
  <si>
    <t>Gasmer Dr_5570_Piccadilly Place_Houston</t>
  </si>
  <si>
    <t>Bellfort W_5448_Westbury Square_Houston</t>
  </si>
  <si>
    <t>Willow Dr S_5022_Silver Springs_Houston</t>
  </si>
  <si>
    <t>Willow S_5151_Villa Rosa_Houston</t>
  </si>
  <si>
    <t>Phlox St_4203_4203 Phlox_Houston</t>
  </si>
  <si>
    <t>Scott St_9425_Riverbrook_Houston</t>
  </si>
  <si>
    <t>Scott St_9703_Scott Plaza_Houston</t>
  </si>
  <si>
    <t>Post Oak Rd S_12945_Cambridge Village_Houston</t>
  </si>
  <si>
    <t>Airport W_4400_Palomino Place_Houston</t>
  </si>
  <si>
    <t>Fuqua St W_3815_St. James Village_Houston</t>
  </si>
  <si>
    <t>College_1717_Tara Hall_Houston</t>
  </si>
  <si>
    <t>Easthaven_7800_South Houston Vista_Houston</t>
  </si>
  <si>
    <t>Tallyho Rd_9313_Villa del Prado_Houston</t>
  </si>
  <si>
    <t>Glencrest St_8950_Broadway Square-Section 1-II_Houston</t>
  </si>
  <si>
    <t>Selinsky Rd_5901_Villa Americana_Houston</t>
  </si>
  <si>
    <t>Glencrest St_8801_Broadway Square-Section 2-II_Houston</t>
  </si>
  <si>
    <t>Broadway St_8800_Savannah_Houston</t>
  </si>
  <si>
    <t>Nathaniel_9220_Indigo Falls Apts I_Houston</t>
  </si>
  <si>
    <t>Nathaniel_9220_Indigo Falls Apts II_Houston</t>
  </si>
  <si>
    <t>Gulf Fwy_10809-10909_Del Mar_Houston</t>
  </si>
  <si>
    <t>Nathaniel_9220_Indigo Falls Apts III_Houston</t>
  </si>
  <si>
    <t>Martin Luther King_11911_Park Texas_Houston</t>
  </si>
  <si>
    <t>Martin Luther King_12000_Park Houston_Houston</t>
  </si>
  <si>
    <t>Selinsky_5900_Crystal Springs_Houston</t>
  </si>
  <si>
    <t>Broadway St_8751_Broadway Square-Section 3-II_Houston</t>
  </si>
  <si>
    <t>Glencrest St_8900_Broadway Square-Section 1-I_Houston</t>
  </si>
  <si>
    <t>Telephone Rd_10201_Quail Meadows_Houston</t>
  </si>
  <si>
    <t>Shaver S_3402_Sierra Wald_South Houston</t>
  </si>
  <si>
    <t>Shaver S_3600_The Crossing_South Houston</t>
  </si>
  <si>
    <t>Telephone Rd_10901_Parkview Village_Houston</t>
  </si>
  <si>
    <t>Allen Genoa S_801_Alegra Palms_South Houston</t>
  </si>
  <si>
    <t>Allen Genoa_1000_Allen Arms I_South Houston</t>
  </si>
  <si>
    <t>Ave M_1600_Allen Arms II_South Houston</t>
  </si>
  <si>
    <t>Ave N_1606_Savannah_South Houston</t>
  </si>
  <si>
    <t>Redford Rd_1221_The Bristol_Houston</t>
  </si>
  <si>
    <t>Redford St_9406_Redford Square_Houston</t>
  </si>
  <si>
    <t>Broadway St_8915_Broadway Square-Section 1-III_Houston</t>
  </si>
  <si>
    <t>Shaver S_3635_West Point Village_Pasadena</t>
  </si>
  <si>
    <t>Shaver St S_4300_La Villita_Houston</t>
  </si>
  <si>
    <t>Shaver S_4343_Park Hollow_Pasadena</t>
  </si>
  <si>
    <t>Vista_201_Park On Vista_Pasadena</t>
  </si>
  <si>
    <t>Edgebrook Dr E_77_Flagstone Gardens_Houston</t>
  </si>
  <si>
    <t>Edgebrook E_116_Arlington Place_Houston</t>
  </si>
  <si>
    <t>Shaver S_4101_The Pointe_Pasadena</t>
  </si>
  <si>
    <t>Edgebrook Dr E_101_Edgebrook I_Houston</t>
  </si>
  <si>
    <t>Arlington Sq_3927_The Commons on Edgebrook_Houston</t>
  </si>
  <si>
    <t>Arlington Sq_3925_Quay Point_Houston</t>
  </si>
  <si>
    <t>Burke Rd_3520_Ashwood Park_Pasadena</t>
  </si>
  <si>
    <t>Burke_3602_The Crossing at Burke Regency_Pasadena</t>
  </si>
  <si>
    <t>Vista_4100_Oak Run Manor_Pasadena</t>
  </si>
  <si>
    <t>Vista Rd_4205_Vista Hollow_Pasadena</t>
  </si>
  <si>
    <t>Kingspoint Rd_10802_Almeda Chateau_Houston</t>
  </si>
  <si>
    <t>Fuqua_11700_Eagles Landing_Houston</t>
  </si>
  <si>
    <t>Green Dr S_12510_Fairfield Creek_Houston</t>
  </si>
  <si>
    <t>Windmill Lakes Blvd_10280_Point at Windmill Lakes_Houston</t>
  </si>
  <si>
    <t>Windwater Dr_9750_The Breakers at Windmill Lakes_Houston</t>
  </si>
  <si>
    <t>Windwater Dr_9757_Windwater at Windmill Lakes_Houston</t>
  </si>
  <si>
    <t>Hollock_9800_The Lakes_Houston</t>
  </si>
  <si>
    <t>Theta_8600_The Berkshire_Houston</t>
  </si>
  <si>
    <t>Fuqua_10700_Sage Hollow_Houston</t>
  </si>
  <si>
    <t>Sabo Rd_10601_Green Arbor_Houston</t>
  </si>
  <si>
    <t>Burke Rd_3650_Parc Bay_Pasadena</t>
  </si>
  <si>
    <t>Federal Rd_3420_Alta Vista TH_Pasadena</t>
  </si>
  <si>
    <t>Sabo Rd_10701_Sabo Village_Houston</t>
  </si>
  <si>
    <t>Roydon Dr_12801_Southpoint_Houston</t>
  </si>
  <si>
    <t>Windmill Lakes_9988_La Jolla on the Lake_Houston</t>
  </si>
  <si>
    <t>Windmill Lakes_10121_Windmill Landing_Houston</t>
  </si>
  <si>
    <t>Fairmont Pkwy_4201_Sandstone_Pasadena</t>
  </si>
  <si>
    <t>Preston St_3402_Willow Springs_Pasadena</t>
  </si>
  <si>
    <t>Young_4102_Bayou Willows_Pasadena</t>
  </si>
  <si>
    <t>Burke_4747_Park on Burke_Pasadena</t>
  </si>
  <si>
    <t>Fairmont Pkwy_6060_The Park at Fairmont_Pasadena</t>
  </si>
  <si>
    <t>Broadway S_3101_Rush Oaks_La Porte</t>
  </si>
  <si>
    <t>Falk_3001_Township Apts_La Porte</t>
  </si>
  <si>
    <t>Broadway S_3003_Bayside Oaks_La Porte</t>
  </si>
  <si>
    <t>Luella_3331_The Plaza at San Jacinto Park_La Porte</t>
  </si>
  <si>
    <t>6th St S_1026_Village by the Bay_La Porte</t>
  </si>
  <si>
    <t>Pineloch_695_Green Oaks I_Webster</t>
  </si>
  <si>
    <t>El Dorado_240_El Dorado View_Webster</t>
  </si>
  <si>
    <t>Burke Rd_4025-4029_Sandridge_Pasadena</t>
  </si>
  <si>
    <t>Beamer_10925_Altmonte_Houston</t>
  </si>
  <si>
    <t>Beamer_11150_Beamer Place_Houston</t>
  </si>
  <si>
    <t>Beamer Rd_11717_Clear Creek Landing_Houston</t>
  </si>
  <si>
    <t>Algonquin_11710_Scarsdale Park II_Houston</t>
  </si>
  <si>
    <t>Algonquin_11810_Scarsdale Park I_Houston</t>
  </si>
  <si>
    <t>Resource Pkwy_11207-11211_Oak Haven Retirement Community_Houston</t>
  </si>
  <si>
    <t>Young St_4210_Fairmont Oaks_Pasadena</t>
  </si>
  <si>
    <t>Broadway S_3141_Windsail Bay II_La Porte</t>
  </si>
  <si>
    <t>Fairmont Pkwy E_222_Tammie Jay_La Porte</t>
  </si>
  <si>
    <t>146 Hwy_3030_Bayou Villa_La Porte</t>
  </si>
  <si>
    <t>Galveston Rd (Hwy 3)_15240_Clear Lake Falls Townhome Condos_Webster</t>
  </si>
  <si>
    <t>Red Bluff Rd_5930_Cedar Bluff_Pasadena</t>
  </si>
  <si>
    <t>Luella Blvd_3333_College View_La Porte</t>
  </si>
  <si>
    <t>Gemini Ave_1300_The Palms at Clear Lake_Houston</t>
  </si>
  <si>
    <t>Bay Area Blvd_2000_The Cove_Houston</t>
  </si>
  <si>
    <t>R St S_777_Vista Baywood_La Porte</t>
  </si>
  <si>
    <t>1959 FM_725_Summer Cove_Houston</t>
  </si>
  <si>
    <t>Gulf Fwy_15603_Coopers Mill_Webster</t>
  </si>
  <si>
    <t>Highland Meadows Village_10903_Cimarron Landing_Houston</t>
  </si>
  <si>
    <t>Beamer_12353_Park Center_Houston</t>
  </si>
  <si>
    <t>1959 FM_950_Windjammer_Houston</t>
  </si>
  <si>
    <t>Cyberonics Blvd_300_Armand Place_Houston</t>
  </si>
  <si>
    <t>El Dorado Blvd_503_Lakeshire Place_Webster</t>
  </si>
  <si>
    <t>El Dorado Blvd_450_The Huntley_Webster</t>
  </si>
  <si>
    <t>2351 FM_4949_Bridgestone_Friendswood</t>
  </si>
  <si>
    <t>Bay Area Blvd_4300_The Park at Armand Bayou II_Houston</t>
  </si>
  <si>
    <t>Buccaneer_16301_Quail Walk_Houston</t>
  </si>
  <si>
    <t>Bay Area Blvd_1500_Taylorcrest Condos_Houston</t>
  </si>
  <si>
    <t>Buccaneer_16203_The Presidio at Clear Lake_Houston</t>
  </si>
  <si>
    <t>El Camino Real_16202_The Hamptons_Houston</t>
  </si>
  <si>
    <t>Watkins Way_5000_The Enclave at Quail Crossing II_Friendswood</t>
  </si>
  <si>
    <t>Glenwest Dr_19100_The Lodge at Baybrook_Friendswood</t>
  </si>
  <si>
    <t>Bay Area Blvd W_2323_Crystal Bay_Webster</t>
  </si>
  <si>
    <t>3 Hwy_15902_The Bradford I_Webster</t>
  </si>
  <si>
    <t>El Dorado_270_Piper's Cove_Webster</t>
  </si>
  <si>
    <t>2351 FM_5025_Baywood_Friendswood</t>
  </si>
  <si>
    <t>Watkins Way_5000_The Enclave at Quail Crossing I_Friendswood</t>
  </si>
  <si>
    <t>Nasa Rd 1 W_800_Baystone_Webster</t>
  </si>
  <si>
    <t>Nasa Rd 1 E_801_The Falls at Clearlake_Webster</t>
  </si>
  <si>
    <t>Bay Area Blvd_2305_Retreat Of Clear Lake_Houston</t>
  </si>
  <si>
    <t>Space Center_15900_Newport at Clearlake_Houston</t>
  </si>
  <si>
    <t>Medical Center Blvd_444_The Preserve_Webster</t>
  </si>
  <si>
    <t>Nasa Rd 1_535_Solano_Webster</t>
  </si>
  <si>
    <t>El Camino_16457_Bay Place_Houston</t>
  </si>
  <si>
    <t>Nassau Bay_18100_Colony Oaks By the Bay_Houston</t>
  </si>
  <si>
    <t>Space Center Blvd_16100_Wolf Creek_Houston</t>
  </si>
  <si>
    <t>Space Center Blvd_19200_Village on the Lake_Houston</t>
  </si>
  <si>
    <t>Tiffany Ct_16505_Tiffany Bay_Houston</t>
  </si>
  <si>
    <t>Bay Area Blvd_1620_University Green_Houston</t>
  </si>
  <si>
    <t>3 Hwy_16460_Chatham Village_Webster</t>
  </si>
  <si>
    <t>El Dorado Blvd_707_Las Brisas_Houston</t>
  </si>
  <si>
    <t>3 Hwy_15902_The Bradford II_Webster</t>
  </si>
  <si>
    <t>Nasa Rd 1_3410_Casa Bonita_Seabrook</t>
  </si>
  <si>
    <t>Nasa Rd 1_3520_Bay Park_Seabrook</t>
  </si>
  <si>
    <t>El Camino Real_17700_Harbortree_Houston</t>
  </si>
  <si>
    <t>El Camino Village Dr_1110_Skylar Pointe I_Houston</t>
  </si>
  <si>
    <t>Nasa Pkwy_1315_The Regatta I, II &amp; III_Houston</t>
  </si>
  <si>
    <t>Egret Bay Blvd_18707_Towers at Clear Lake North_Houston</t>
  </si>
  <si>
    <t>Bay Area Blvd_1239_Clear Lake Village_Houston</t>
  </si>
  <si>
    <t>Bay Area Blvd_1243_Clear Lake Village South_Houston</t>
  </si>
  <si>
    <t>Austin S_506_Capital Estates_Webster</t>
  </si>
  <si>
    <t>Cole St W_202_Space Colony_Webster</t>
  </si>
  <si>
    <t>Nasa Rd 1_4101_Harbor Pointe_Seabrook</t>
  </si>
  <si>
    <t>El Camino Village Dr_1210_Skylar Pointe II_Houston</t>
  </si>
  <si>
    <t>El Camino Village_1400_Las Palmas_Houston</t>
  </si>
  <si>
    <t>Upper Bay Rd_18290_Nassau Bay Village_Houston</t>
  </si>
  <si>
    <t>San Sebastian_2041_Bay House_Houston</t>
  </si>
  <si>
    <t>Repsdorph N_2401_Vista Shores_Seabrook</t>
  </si>
  <si>
    <t>Egret Bay Blvd_18711_Towers at Clear Lake South Condos_Houston</t>
  </si>
  <si>
    <t>Henderson_900_Hidden Lake_Houston</t>
  </si>
  <si>
    <t>Ave J N_850_Villa Brazos_Freeport</t>
  </si>
  <si>
    <t>Ave J N_902_Azalea Court_Freeport</t>
  </si>
  <si>
    <t>Barry Rose Rd_2525_The Remington_Pearland</t>
  </si>
  <si>
    <t>Bay Area Blvd_4300_The Park at Armand Bayou I_Houston</t>
  </si>
  <si>
    <t>Nasa Rd 1_4601_Encore on the Bay_Seabrook</t>
  </si>
  <si>
    <t>Nasa Rd 1_3802_Emerald Shores_Seabrook</t>
  </si>
  <si>
    <t>Repsdorph N_2601_Bar Harbor_Seabrook</t>
  </si>
  <si>
    <t>El Mar_1876_Jo Anne's Cottages_Seabrook</t>
  </si>
  <si>
    <t>Nasa Rd 1_2727_Pirates Landing_Seabrook</t>
  </si>
  <si>
    <t>Nasa Rd 1_2800_Seatree_Seabrook</t>
  </si>
  <si>
    <t>Nasa Rd 1_3010_Edgelake_Seabrook</t>
  </si>
  <si>
    <t>San Sebastian_2002_Balboa_Houston</t>
  </si>
  <si>
    <t>Surf Ct_130_Nassau Bay Villa_Houston</t>
  </si>
  <si>
    <t>El Mar Ln_1707_Miramar II Apts_Seabrook</t>
  </si>
  <si>
    <t>Meyer N_2311_Miramar_Seabrook</t>
  </si>
  <si>
    <t>Lakeside Dr_1901_La Maison at Lake Cove_Seabrook</t>
  </si>
  <si>
    <t>Alexander Ln_2502_Strawbridge_Pearland</t>
  </si>
  <si>
    <t>Ashley Wilson Rd W_1000_Oak Bend Estates_Sweeny</t>
  </si>
  <si>
    <t>Bay Area Blvd W_2702_Baybrook Village III_Webster</t>
  </si>
  <si>
    <t>Bay Area Blvd W_2702_Baybrook Village II_Webster</t>
  </si>
  <si>
    <t>Blackhawk Blvd_17231_Skyhawk_Friendswood</t>
  </si>
  <si>
    <t>Dixie Dr_201_Royal Wildewood Manor_Clute</t>
  </si>
  <si>
    <t>Fairway_2301_Fairway Square_Alvin</t>
  </si>
  <si>
    <t>Fairway S_2500_Hillcrest Village_Alvin</t>
  </si>
  <si>
    <t>Gordon S_916_Alvin Memorial Gardens_Alvin</t>
  </si>
  <si>
    <t>Hackberry Dr_101_Vanderbilt_Clute</t>
  </si>
  <si>
    <t>Broadway E_3512_Silver Maples_Pearland</t>
  </si>
  <si>
    <t>Buchta Rd_1100_Angleton Manor_Angleton</t>
  </si>
  <si>
    <t>Buchta Rd_1300_The Albion_Angleton</t>
  </si>
  <si>
    <t>2nd St S_410_Meadow Crossing_Alvin</t>
  </si>
  <si>
    <t>Blackhawk_17201_Bay Meadows_Friendswood</t>
  </si>
  <si>
    <t>Mustang Rd_2800_Meadow Park_Alvin</t>
  </si>
  <si>
    <t>Mustang S_3833_Willow Creek Manor_Alvin</t>
  </si>
  <si>
    <t>Brazosport Blvd S_401_Kings Road Apts_Freeport</t>
  </si>
  <si>
    <t>Brazoswood_200_Fisherman's Wharf_Clute</t>
  </si>
  <si>
    <t>Yupon_310_Garden Villa_Freeport</t>
  </si>
  <si>
    <t>Airport_2901_Bayou Bend_Rosenberg</t>
  </si>
  <si>
    <t>Alabama_708_Falcon Point_Katy</t>
  </si>
  <si>
    <t>Broadway_9900_St. Andrews I_Pearland</t>
  </si>
  <si>
    <t>Pearland Pkwy_2900_The Enclave at Mary's Creek_Pearland</t>
  </si>
  <si>
    <t>Hafer Rd_17111_Northbrooke_Houston</t>
  </si>
  <si>
    <t>Hospital E_1324_Lexington Square_Angleton</t>
  </si>
  <si>
    <t>House St E_821_Kimberly House_Alvin</t>
  </si>
  <si>
    <t>Huisache_302_Lakewood Suites (TBD)_Lake Jackson</t>
  </si>
  <si>
    <t>Garland Dr_415_Arbors_Lake Jackson</t>
  </si>
  <si>
    <t>Garland Dr_420_Sun Forest_Lake Jackson</t>
  </si>
  <si>
    <t>Broadway E_1302_Royal Oaks_Pearland</t>
  </si>
  <si>
    <t>Broadway E_3510_Salem Village_Pearland</t>
  </si>
  <si>
    <t>Cannan Dr_301_Cambridge_Angleton</t>
  </si>
  <si>
    <t>Clements_121_Westport_Angleton</t>
  </si>
  <si>
    <t>Timbercreek Dr_200_Creekside Estates_Richwood</t>
  </si>
  <si>
    <t>Quail Ridge Rd_15027_Danbury Manor_Danbury</t>
  </si>
  <si>
    <t>Rosharon Rd_1908_Westwood Park_Alvin</t>
  </si>
  <si>
    <t>35 Loop_2400_Steeplechase_Alvin</t>
  </si>
  <si>
    <t>35 Loop Bypass_2551_Huntington Oaks_Alvin</t>
  </si>
  <si>
    <t>Magnolia_1010_The Remington_Freeport</t>
  </si>
  <si>
    <t>Mulberry E_1904_Arbor Pines Apts_Angleton</t>
  </si>
  <si>
    <t>Mustang_2101_Garden Gate_Alvin</t>
  </si>
  <si>
    <t>Johnson S_1201_Cedar Wood_Alvin</t>
  </si>
  <si>
    <t>Johnson S_2401_Highland Square_Alvin</t>
  </si>
  <si>
    <t>Old Alvin Rd_2701_Pearland Village_Pearland</t>
  </si>
  <si>
    <t>332 Hwy W_460_Woodhollow_Lake Jackson</t>
  </si>
  <si>
    <t>332 Hwy W_905_Oakwood_Lake Jackson</t>
  </si>
  <si>
    <t>Hill S_1004_Foley Hill_Alvin</t>
  </si>
  <si>
    <t>Hackberry Dr_201-202-301_Ashton Oaks_Clute</t>
  </si>
  <si>
    <t>Henderson Rd_1400_Golden Gate_Angleton</t>
  </si>
  <si>
    <t>Lake Rd_110_Raintree_Lake Jackson</t>
  </si>
  <si>
    <t>Lakeview_100_Sherwood Forest_Clute</t>
  </si>
  <si>
    <t>Lakeview_401_Brighton Manor_Clute</t>
  </si>
  <si>
    <t>New Territory Blvd_5555_Broadstone New Territory I_Sugar Land</t>
  </si>
  <si>
    <t>Kirkwood S_12840_Villages at Kirkwood_Stafford</t>
  </si>
  <si>
    <t>Lamar_2000_Mustang Crossing I_Richmond</t>
  </si>
  <si>
    <t>Ln Dr_819_Murray Hill_Rosenberg</t>
  </si>
  <si>
    <t>Broadway_6520_Westlake Residential_Pearland</t>
  </si>
  <si>
    <t>Whispering Winds Dr_2902_Whispering Winds_Pearland</t>
  </si>
  <si>
    <t>Yerby_301_Brazoria Manor_Brazoria</t>
  </si>
  <si>
    <t>Austin Pkwy_1800_Foundations at Austin Colony_Sugar Land</t>
  </si>
  <si>
    <t>1640 FM_1800_Lamar Park_Richmond</t>
  </si>
  <si>
    <t>Brooks Ave_810_Brookmore Hollow_Rosenberg</t>
  </si>
  <si>
    <t>S St E_800_Newport Oaks_Alvin</t>
  </si>
  <si>
    <t>S W_1601_Morgan Park_Alvin</t>
  </si>
  <si>
    <t>That Way St_510_The Brentwood Apts_Lake Jackson</t>
  </si>
  <si>
    <t>Timbercreek Dr_400_Creekwood Landing_Clute</t>
  </si>
  <si>
    <t>Walnut E_3340_Park Place_Pearland</t>
  </si>
  <si>
    <t>Radio Ln_1136_Ashton Oaks_Rosenberg</t>
  </si>
  <si>
    <t>Reading Rd_4720_Brittany Square_Rosenberg</t>
  </si>
  <si>
    <t>Rivercrest Dr_1700_Foundations at River Crest_Sugar Land</t>
  </si>
  <si>
    <t>Old Dr S_2400_South Grand at Pecan Grove_Richmond</t>
  </si>
  <si>
    <t>Mustang_1800_Mustang Crossing II &amp; III_Richmond</t>
  </si>
  <si>
    <t>Pultar_1001_Grand Villa_Richmond</t>
  </si>
  <si>
    <t>Westheimer Pkwy_22400_Merrywood_Katy</t>
  </si>
  <si>
    <t>Kirkwood S_12250_Camden Sugar Grove_Stafford</t>
  </si>
  <si>
    <t>Kirkwood S_12525_Fountain Park_Stafford</t>
  </si>
  <si>
    <t>Mahlmann_1317_Kings Arms_Rosenberg</t>
  </si>
  <si>
    <t>City Hall Dr_1811_Carriage Glen_Rosenberg</t>
  </si>
  <si>
    <t>Country Place_3719_Stafford Oaks_Stafford</t>
  </si>
  <si>
    <t>Dulles Ave_735_The Vinings_Stafford</t>
  </si>
  <si>
    <t>1092 FM_1800_Quail Valley_Missouri City</t>
  </si>
  <si>
    <t>6 Hwy S_12100_Parkside Apts_Sugar Land</t>
  </si>
  <si>
    <t>Ln Dr_911_Victoria Garden_Rosenberg</t>
  </si>
  <si>
    <t>Lexington Blvd_15700_Foundations at Lions Head_Sugar Land</t>
  </si>
  <si>
    <t>Long Reach Dr_2323_The Fairmont First Colony_Sugar Land</t>
  </si>
  <si>
    <t>Fifth St_1511_Springfield_Missouri City</t>
  </si>
  <si>
    <t>Fluor Daniel Dr_225_Regency at First Colony_Sugar Land</t>
  </si>
  <si>
    <t>Golfview Dr_1111_Country Club Place_Richmond</t>
  </si>
  <si>
    <t>Settlers Way Blvd_2222_Foundations at Edgewater_Sugar Land</t>
  </si>
  <si>
    <t>Fountain Lake Dr_10502_The Reserve at the Fountains_Stafford</t>
  </si>
  <si>
    <t>Grants Lake Blvd_2710_Grants Lake_Sugar Land</t>
  </si>
  <si>
    <t>Katy Flewellen_1550_The Hunt Club At Pin Oak_Katy</t>
  </si>
  <si>
    <t>Dulles Ave_1201_The Trestles_Stafford</t>
  </si>
  <si>
    <t>Stafford Run_550_Stafford Run_Stafford</t>
  </si>
  <si>
    <t>Sugar Grove Blvd_4930_The Resort TH_Stafford</t>
  </si>
  <si>
    <t>Deats Rd_600_Dickinson Pines_Dickinson</t>
  </si>
  <si>
    <t>Deats Rd_110_Bayou Village_Dickinson</t>
  </si>
  <si>
    <t>Constellation Blvd_451_Constellation Pointe_League City</t>
  </si>
  <si>
    <t>1st St_515_Casa Caribe_Galveston</t>
  </si>
  <si>
    <t>Cove View Blvd_3428_Newport at Campeche Cove_Galveston</t>
  </si>
  <si>
    <t>24th St N_2410_Lakewood_Texas City</t>
  </si>
  <si>
    <t>25th Ave N_2111_Chateau Jonon_Texas City</t>
  </si>
  <si>
    <t>13th Ave N_1919_Trade Winds_Texas City</t>
  </si>
  <si>
    <t>13th Ave N_2701_Baypointe Manor_Texas City</t>
  </si>
  <si>
    <t>21st St N_2602_Ashton Park I &amp; II_Texas City</t>
  </si>
  <si>
    <t>69th St_3102_Stewart's Landing_Galveston</t>
  </si>
  <si>
    <t>Ave N_4400_The Park at Cedar Lawn_Galveston</t>
  </si>
  <si>
    <t>Sugar Grove W Blvd_5010_Windfield TH_Stafford</t>
  </si>
  <si>
    <t>Sugar Ridge Blvd_12903_Sugar Ridge II_Stafford</t>
  </si>
  <si>
    <t>Sugar Ridge Blvd_12903_Sugar Ridge I_Stafford</t>
  </si>
  <si>
    <t>Central City Blvd_6424_Village by the Sea_Galveston</t>
  </si>
  <si>
    <t>Central City Blvd_6315_The Broadwater_Galveston</t>
  </si>
  <si>
    <t>Clearview_107_Salem Square_Friendswood</t>
  </si>
  <si>
    <t>Fountain Lake Dr_10500_The Reserve at Fountain Lake_Stafford</t>
  </si>
  <si>
    <t>Fountain Lake Dr_10498_Alexan Fountain Lake_Stafford</t>
  </si>
  <si>
    <t>Rocky Falls_2020_Brazos Bend Villa_Richmond</t>
  </si>
  <si>
    <t>Thompson Rd_2111_Town &amp; Country_Richmond</t>
  </si>
  <si>
    <t>Westwood Dr_1217_Pecan Park_Rosenberg</t>
  </si>
  <si>
    <t>36th St N_2020_Los Cabos_Texas City</t>
  </si>
  <si>
    <t>69th St_3222_Newport at West Beach_Galveston</t>
  </si>
  <si>
    <t>25th Ave N_3501_Green Meadows_Texas City</t>
  </si>
  <si>
    <t>25th St N_1403_Parkwood_Texas City</t>
  </si>
  <si>
    <t>31st St N_1320_Gulf Royale_Texas City</t>
  </si>
  <si>
    <t>Ave .5 R_4818_William B Travis_Galveston</t>
  </si>
  <si>
    <t>Davis Rd_501_The Crow's Nest_League City</t>
  </si>
  <si>
    <t>Marina Bay Dr_3045_Fairways at South Shore Condo Apts_League City</t>
  </si>
  <si>
    <t>96 Hwy_3001_Bayridge_League City</t>
  </si>
  <si>
    <t>5th Ave N_729_Mae's Apts_Texas City</t>
  </si>
  <si>
    <t>9th Ave N N_3404_Sundance_Texas City</t>
  </si>
  <si>
    <t>1st St S_1000_Rosewood_Conroe</t>
  </si>
  <si>
    <t>7th St S_1101_Tall Timbers_Conroe</t>
  </si>
  <si>
    <t>Ave G W_230_Pecan Grove Apts_Conroe</t>
  </si>
  <si>
    <t>518 FM_2751_Harbor Walk_League City</t>
  </si>
  <si>
    <t>Signature Point_1_Signature Point_League City</t>
  </si>
  <si>
    <t>518 FM E_3850_South Shore Lakes_League City</t>
  </si>
  <si>
    <t>Deats Rd_406_Pine Forest_Dickinson</t>
  </si>
  <si>
    <t>Deats Rd_810_Dickinson Oaks Apts_Dickinson</t>
  </si>
  <si>
    <t>Delany Rd_5809_Mesquite Woods_Hitchcock</t>
  </si>
  <si>
    <t>3 Hwy S_628_Snug Harbor_League City</t>
  </si>
  <si>
    <t>Texas Ave W_100_Seven Palms_Webster</t>
  </si>
  <si>
    <t>146 Hwy_1115_Stoneridge_Texas City</t>
  </si>
  <si>
    <t>Jackson Rd_6205_Jackson Cove_Hitchcock</t>
  </si>
  <si>
    <t>Jones Dr_7400_Island Bay Resorts I_Galveston</t>
  </si>
  <si>
    <t>Lasker_6904_Ashton Place_Galveston</t>
  </si>
  <si>
    <t>Palmer Hwy_8601_Oaks of Texas City_Texas City</t>
  </si>
  <si>
    <t>Enterprise_1201_Palms at South Shore Harbor_League City</t>
  </si>
  <si>
    <t>Enterprise Ave Blvd_601_The Moorings_League City</t>
  </si>
  <si>
    <t>Marina Bay Dr_1300_Legend Point Condominiums_Clear Lake</t>
  </si>
  <si>
    <t>Fort Crockett_4925_The Seaside Village_Galveston</t>
  </si>
  <si>
    <t>Friendswood Dr S_701_Huntington Woods_Friendswood</t>
  </si>
  <si>
    <t>518 FM W_1111_Calder Square_League City</t>
  </si>
  <si>
    <t>Marina Bay Dr_1420_The Park at Waterford Harbor_Kemah</t>
  </si>
  <si>
    <t>Marina Way_2220_Marina Del Sol_Kemah</t>
  </si>
  <si>
    <t>Heards Ln_7200_Champion Homes at Bay Walk_Galveston</t>
  </si>
  <si>
    <t>Heards Ln_7302_Champion Homes at Marina Landing_Galveston</t>
  </si>
  <si>
    <t>Lasker Dr_7019_Driftwood_Galveston</t>
  </si>
  <si>
    <t>Lobit Dr_3206_Northern Pines_Dickinson</t>
  </si>
  <si>
    <t>Main St E_1215_Briar Palms_League City</t>
  </si>
  <si>
    <t>Holiday Dr_615_Carriage House_Galveston</t>
  </si>
  <si>
    <t>Holiday Dr_711_Chateau LaFitte_Galveston</t>
  </si>
  <si>
    <t>Hughes Ln_3301_Dickinson Arms_Dickinson</t>
  </si>
  <si>
    <t>Glacier Ave_9001_Glacier Court_Texas City</t>
  </si>
  <si>
    <t>Gulf Fwy_1720_Crossing at La Marque II_La Marque</t>
  </si>
  <si>
    <t>Gulf Fwy_1725_Crossing at La Marque I_La Marque</t>
  </si>
  <si>
    <t>Market_215_Carelton Courtyard_Galveston</t>
  </si>
  <si>
    <t>Memorial_6601_Memorial Oaks_Texas City</t>
  </si>
  <si>
    <t>517 Hwy E_5601_Torrey Pines_Dickinson</t>
  </si>
  <si>
    <t>Hobbs Rd_305_The Oaks of League City_League City</t>
  </si>
  <si>
    <t>Wesley Dr N_301_Riverbend_League City</t>
  </si>
  <si>
    <t>Market St_100_Ebbtide_Galveston</t>
  </si>
  <si>
    <t>Borough Park Dr_25469_Mission Woods_The Woodlands</t>
  </si>
  <si>
    <t>1314 FM_24270_Porterwood_Porter</t>
  </si>
  <si>
    <t>Frazier N_2205_Sun Park_Conroe</t>
  </si>
  <si>
    <t>Seawall Blvd_8008_Antigua_Galveston</t>
  </si>
  <si>
    <t>Skyview_111_Village Square_Friendswood</t>
  </si>
  <si>
    <t>Saint Christopher_2525_Huntcliff_League City</t>
  </si>
  <si>
    <t>45 IH N_231_Stone Ridge II_Conroe</t>
  </si>
  <si>
    <t>45 IH N_25650_Briarcrest_Spring</t>
  </si>
  <si>
    <t>Pecan Forest_150-200_Pecan Forest TH_League City</t>
  </si>
  <si>
    <t>Ave .5 Q_4314_Village Manor_Santa Fe</t>
  </si>
  <si>
    <t>Stewart Rd_7301_The Pointe_Galveston</t>
  </si>
  <si>
    <t>Stewart Rd_8020_Gulf Wind_Galveston</t>
  </si>
  <si>
    <t>Texas Ave_2902_Velami_Texas City</t>
  </si>
  <si>
    <t>Waco_310_3rd Street Village_League City</t>
  </si>
  <si>
    <t>Winnie_3916_Sandpiper Cove_Galveston</t>
  </si>
  <si>
    <t>Monticello Dr_8801_The Breakers_Texas City</t>
  </si>
  <si>
    <t>Palmer Hwy_2405_Palmer House_Texas City</t>
  </si>
  <si>
    <t>Palmer Hwy_8801_Lakeview_Texas City</t>
  </si>
  <si>
    <t>Stones Throw_105_Stones Throw Senior Living_Friendswood</t>
  </si>
  <si>
    <t>Strand Blvd_210_Villa Marina_Galveston</t>
  </si>
  <si>
    <t>Texas Ave_115_Shady Oaks_League City</t>
  </si>
  <si>
    <t>Rayford Rd_810_The Farrington_Spring</t>
  </si>
  <si>
    <t>Sawmill Rd_12000_Grogan's Landing_The Woodlands</t>
  </si>
  <si>
    <t>Sawmill Rd_12420_Fawn Ridge_The Woodlands</t>
  </si>
  <si>
    <t>Frazier S_1400_Park Village_Conroe</t>
  </si>
  <si>
    <t>Bellshire Dr_800_Bellshire_Conroe</t>
  </si>
  <si>
    <t>Brookhaven_25510-25200_Imperial Chase I &amp; II_Spring</t>
  </si>
  <si>
    <t>Budde Rd_26001_Woodwind Village_Spring</t>
  </si>
  <si>
    <t>Gladstell_808_Redford Park_Conroe</t>
  </si>
  <si>
    <t>Gladstell Rd_1000_Gladstell Forest_Conroe</t>
  </si>
  <si>
    <t>Hickerson_600_Havenwood Place_Conroe</t>
  </si>
  <si>
    <t>Frazier N_3030_Creekside_Conroe</t>
  </si>
  <si>
    <t>Gladstell St_311_Woodcluster_Conroe</t>
  </si>
  <si>
    <t>Gladstell_407_Pine Ridge_Conroe</t>
  </si>
  <si>
    <t>Hickerson St_500_Hollow Creek_Conroe</t>
  </si>
  <si>
    <t>Snug Harbor_6107_Snug Harbor Condos_Conroe</t>
  </si>
  <si>
    <t>Research Park Dr_8900_The Park at Research Forest_The Woodlands</t>
  </si>
  <si>
    <t>Riva Row_2204_Boardwalk at Town Center Apts II_The Woodlands</t>
  </si>
  <si>
    <t>Holly Creek_333_Holly Creek_The Woodlands</t>
  </si>
  <si>
    <t>Panther Creek Dr S_4545_Forest View_The Woodlands</t>
  </si>
  <si>
    <t>Plantation_2020_Timbers of Pine Hollow_Conroe</t>
  </si>
  <si>
    <t>Little Bend Rd_7005_Independent Missionary Village_Hitchcock</t>
  </si>
  <si>
    <t>Deats Rd_2902_Church Village_Dickinson</t>
  </si>
  <si>
    <t>Cavalcade St_5520_Cavalcade Plaza_Houston</t>
  </si>
  <si>
    <t>45 IH N_811_Pine Wood Apts_Conroe</t>
  </si>
  <si>
    <t>Longmire_403_The Cedars_Conroe</t>
  </si>
  <si>
    <t>336 Loop W N_1200_Whispering Oaks_Conroe</t>
  </si>
  <si>
    <t>Plantation Dr_2021_Autumn Woods_Conroe</t>
  </si>
  <si>
    <t>Sawdust Rd_1481_Timbermill_The Woodlands</t>
  </si>
  <si>
    <t>Budde Rd_25335_Woodland Meadows_Spring</t>
  </si>
  <si>
    <t>Scarborough Dr_291_Riverwalk_Conroe</t>
  </si>
  <si>
    <t>Oddfellow_1510_Tanglewood_Conroe</t>
  </si>
  <si>
    <t>Panther Creek Dr S_4407_Copperwood I &amp; II_The Woodlands</t>
  </si>
  <si>
    <t>Panther Creek Dr S_4550_Harvestwood Apts_The Woodlands</t>
  </si>
  <si>
    <t>Valleywood Rd_315_Green Tree Place_The Woodlands</t>
  </si>
  <si>
    <t>Westview Blvd_2210_Central Park Condominiums_Conroe</t>
  </si>
  <si>
    <t>River Pointe Dr_1600_River Pointe_Conroe</t>
  </si>
  <si>
    <t>Millbend Dr S_2301_IMT Village Square_The Woodlands</t>
  </si>
  <si>
    <t>Montgomery Park_2200_Forest Creek_Conroe</t>
  </si>
  <si>
    <t>Montgomery Park_2201_Cimarron Park_Conroe</t>
  </si>
  <si>
    <t>Little York W_301_Concord at Little York_Houston</t>
  </si>
  <si>
    <t>Ave J N_905_Casa Quintana_Freeport</t>
  </si>
  <si>
    <t>Seawall Blvd_4800_Fort Crockett_Galveston</t>
  </si>
  <si>
    <t>Reed Rd_2725_Reed Parque TH_Houston</t>
  </si>
  <si>
    <t>Willow Place N_8301_Willow Green_Houston</t>
  </si>
  <si>
    <t>Gosling_7575_Alden Landing_The Woodlands</t>
  </si>
  <si>
    <t>Shenandoah Park Dr_8787_The Park at Woodmoor_Shenandoah</t>
  </si>
  <si>
    <t>Wilson Rd_1515_Carriage Woods_Conroe</t>
  </si>
  <si>
    <t>Kingwood Dr_938_The Lodge at Kingwood_Kingwood</t>
  </si>
  <si>
    <t>Montgomery Park Blvd_2330_White Oak_Conroe</t>
  </si>
  <si>
    <t>Lyons Ave_3814_Pleasant Hill Village_Houston</t>
  </si>
  <si>
    <t>59 Hwy_23423_Mallard Creek_Kingwood</t>
  </si>
  <si>
    <t>Kellington Dr_200_The Paramount at Kingwood_Kingwood</t>
  </si>
  <si>
    <t>Kings Manor Dr N_27600_The Preserve at Kingwood_Kingwood</t>
  </si>
  <si>
    <t>Wildwood Forest Dr_455_Wildwood Forest_Spring</t>
  </si>
  <si>
    <t>Wilson Rd_1101_Treehouse_Conroe</t>
  </si>
  <si>
    <t>Six Pines Dr_10600_The Parkside_The Woodlands</t>
  </si>
  <si>
    <t>Tanglebrush Dr_3451_Woodglen_The Woodlands</t>
  </si>
  <si>
    <t>Westborough Dr_2000_Kenwood Club at the Park_Katy</t>
  </si>
  <si>
    <t>Briarpark Dr_2921_The Retreat at Westchase_Houston</t>
  </si>
  <si>
    <t>Saint Emanuel St_610_Lofts at the Ballpark_Houston</t>
  </si>
  <si>
    <t>Shavelson_6800_North Stream Manor_Houston</t>
  </si>
  <si>
    <t>Spring Rain_2400_The Ravinia_Spring</t>
  </si>
  <si>
    <t>Airtex_500_Quail Chase_Houston</t>
  </si>
  <si>
    <t>Loop E S_6969_Plum Creek TH_Houston</t>
  </si>
  <si>
    <t>Memorial Ct_3003_AMLI at Memorial Heights_Houston</t>
  </si>
  <si>
    <t>Memorial Heights Dr_616_The Estates at Memorial Heights_Houston</t>
  </si>
  <si>
    <t>Buffalo Spdwy_9955_Park Lakes_Houston</t>
  </si>
  <si>
    <t>Baker Dr_3500_Courtyard Apts_Dickinson</t>
  </si>
  <si>
    <t>Sabine St_150_Sabine Street Lofts_Houston</t>
  </si>
  <si>
    <t>529 FM_15503_The Enclave at Copperfield_Houston</t>
  </si>
  <si>
    <t>Creekbend_7900_Windsor Park_Houston</t>
  </si>
  <si>
    <t>69th St_3102_Captain's Landing_Galveston</t>
  </si>
  <si>
    <t>Little York E_600_Meadowbrook Plaza_Houston</t>
  </si>
  <si>
    <t>Fairmont Pkwy W_9801_Fairmont Oaks_La Porte</t>
  </si>
  <si>
    <t>Bammel Houston N_15330_The Enclave at Cornerstone_Houston</t>
  </si>
  <si>
    <t>Aldine Westfield_2450_The Shoreham_Houston</t>
  </si>
  <si>
    <t>Cypresswood Dr_10300_The Villages of Cypress Creek_Houston</t>
  </si>
  <si>
    <t>Loganberry_111_The Gateway at Lake Jackson_Lake Jackson</t>
  </si>
  <si>
    <t>Brazoswood E_255_Brazoswood_Clute</t>
  </si>
  <si>
    <t>Maxey Rd_451_The Villas on Woodforest_Houston</t>
  </si>
  <si>
    <t>Highland Meadow Village Dr_10990_Highland Meadow Village_Houston</t>
  </si>
  <si>
    <t>Dove Country Dr_3001_The Park at Fort Bend_Stafford</t>
  </si>
  <si>
    <t>Sawdust Rd_2109_IMT Lake Wyndemere_The Woodlands</t>
  </si>
  <si>
    <t>Six Pines Rd_10510_Tamarac Pines I &amp; II_The Woodlands</t>
  </si>
  <si>
    <t>Blodgett_3216_Richfield Manor_Houston</t>
  </si>
  <si>
    <t>Crosswinds Dr_15001_Villas in the Pines_Houston</t>
  </si>
  <si>
    <t>Sampson St_5500_Savoy_Houston</t>
  </si>
  <si>
    <t>Maxey Rd_414_Deerwood Pines_Houston</t>
  </si>
  <si>
    <t>Jackson Hill_320_The Jackson Hill_Houston</t>
  </si>
  <si>
    <t>Bay Area Blvd W_3102_The Reserve at Autumn Creek_Friendswood</t>
  </si>
  <si>
    <t>Washington Ave_2505_Washington Courtyards Apts_Houston</t>
  </si>
  <si>
    <t>332 Hwy W_504_The Villages of Lake Jackson_Lake Jackson</t>
  </si>
  <si>
    <t>Timber Forest Dr_18551_Timberlakes at Atascocita_Humble</t>
  </si>
  <si>
    <t>Homestead_9603_Swiss Village on the Park II_Houston</t>
  </si>
  <si>
    <t>Atascocita Shores_19800_Lakeshore Villas_Humble</t>
  </si>
  <si>
    <t>Forest Dr N_23200_Bala Woods at Kingwood_Kingwood</t>
  </si>
  <si>
    <t>Sawdust Rd_1475_Woodridge Park_Spring</t>
  </si>
  <si>
    <t>Tidwell Rd_9393_Lakecrest Village_Houston</t>
  </si>
  <si>
    <t>Griggs Rd_5514_Skyview at Palm Center_Houston</t>
  </si>
  <si>
    <t>TC Jester Blvd_701_Stonewood_Houston</t>
  </si>
  <si>
    <t>Montrose_4899_The Museum Tower_Houston</t>
  </si>
  <si>
    <t>Wood Forest Dr_12411_Wood Forest Chase_Houston</t>
  </si>
  <si>
    <t>Greens Rd W_832_Columbia Greens_Houston</t>
  </si>
  <si>
    <t>Montgomery Rd W_11111_Woodglen Village_Houston</t>
  </si>
  <si>
    <t>Airport Blvd W_15015_The Enclave at Woodbridge_Sugar Land</t>
  </si>
  <si>
    <t>Walnut Bend_3411_The Residence at Westchase_Houston</t>
  </si>
  <si>
    <t>Katy Flewellen_2425_Willow Lake I_Katy</t>
  </si>
  <si>
    <t>Fannin_4001_Ventana at Midtown_Houston</t>
  </si>
  <si>
    <t>Cypresswood Dr_9717_Chasewood_Houston</t>
  </si>
  <si>
    <t>Schroeder Rd_13504_The Club at Stablechase_Houston</t>
  </si>
  <si>
    <t>Oakwood Glen Blvd_7103_Spring Oaks II_Spring</t>
  </si>
  <si>
    <t>1960 FM W_2431_The Gallery at Champions_Houston</t>
  </si>
  <si>
    <t>Bammelwood Dr_2331_Cypress Ridge_Houston</t>
  </si>
  <si>
    <t>Woerner Rd_300_Lakebridge II_Houston</t>
  </si>
  <si>
    <t>Rolling Creek_17100_The Palms on Rolling Creek_Houston</t>
  </si>
  <si>
    <t>Cole Ave_915_Falcon Pointe_Rosenberg</t>
  </si>
  <si>
    <t>Lyons Ave_3730_Britons Place_Houston</t>
  </si>
  <si>
    <t>Gulf Fwy_8306_Gulfway_Houston</t>
  </si>
  <si>
    <t>William_711_Dakota Lofts_Houston</t>
  </si>
  <si>
    <t>Northwood_925_Avalon Bay_Baytown</t>
  </si>
  <si>
    <t>Greenway Plaza_14-15_Greenway II_Houston</t>
  </si>
  <si>
    <t>Fondren_10909_Goldberg Towers I &amp; II_Houston</t>
  </si>
  <si>
    <t>Kirkwood S_2211_Lakeside Green Condo Apts_Houston</t>
  </si>
  <si>
    <t>Gulf Bank W_5454_Avery Park III_Houston</t>
  </si>
  <si>
    <t>Bohnhof Strasse St_16303-16330_Aspen Forest_Houston</t>
  </si>
  <si>
    <t>Beechnut_7101_University_Houston</t>
  </si>
  <si>
    <t>Bay Area Blvd_2600_University Forest_Houston</t>
  </si>
  <si>
    <t>Cambridge_7900_University Housing_Houston</t>
  </si>
  <si>
    <t>Emmett F Lowery Expwy_7500_The Retreat at Texas City_Texas City</t>
  </si>
  <si>
    <t>Caroline_2305_Green River TH_Dickinson</t>
  </si>
  <si>
    <t>Cloyd Dr_811_The Park at Walkers Landing_Magnolia</t>
  </si>
  <si>
    <t>Grand Oaks Blvd_18823_Grand Oaks Rental Homes_Magnolia</t>
  </si>
  <si>
    <t>El Dorado Blvd_265_The Lodge on El Dorado_Webster</t>
  </si>
  <si>
    <t>Long Point_9239_The Pines at Long Point_Houston</t>
  </si>
  <si>
    <t>Bering_2380_Miramar TH_Houston</t>
  </si>
  <si>
    <t>Normandy_333_Chateaux Normandie_Houston</t>
  </si>
  <si>
    <t>Charterwood Dr_10111_Tivoli Apts_Houston</t>
  </si>
  <si>
    <t>Post Oak Blvd_1111_NF_Houston</t>
  </si>
  <si>
    <t>Village Way_529_Brookshire Village_Brookshire</t>
  </si>
  <si>
    <t>Vista_4542_Buena Vista TH_Pasadena</t>
  </si>
  <si>
    <t>Reading Rd_4719_Briarstone_Rosenberg</t>
  </si>
  <si>
    <t>C Trailing Vine Dr_2812_Trailing Vine Place_Spring</t>
  </si>
  <si>
    <t>6 Hwy_7440_Oaks of Hitchcock_Hitchcock</t>
  </si>
  <si>
    <t>Plantation W_127_Oaks of Flagridge_Lake Jackson</t>
  </si>
  <si>
    <t>Any Way St_105_Oyster Creek_Lake Jackson</t>
  </si>
  <si>
    <t>1266 FM_1051_Lake Haven_Kemah</t>
  </si>
  <si>
    <t>332 Hwy_440_The Palms Of Lake Jackson_Lake Jackson</t>
  </si>
  <si>
    <t>Cove View Blvd_3102_Lakeside at Campeche_Galveston</t>
  </si>
  <si>
    <t>Eldridge_7100_Georgian TH_Houston</t>
  </si>
  <si>
    <t>Dunbar Estates_110_Bedford_Friendswood</t>
  </si>
  <si>
    <t>Northwood_811_Bay Pointe_Baytown</t>
  </si>
  <si>
    <t>11th St S_402_Richmond House_Richmond</t>
  </si>
  <si>
    <t>Gessner S_12600_Victoria Condos_Houston</t>
  </si>
  <si>
    <t>Alabonson_7402_Inwood Pines_Houston</t>
  </si>
  <si>
    <t>6 Hwy_7410_Bent Oaks_Hitchcock</t>
  </si>
  <si>
    <t>Cherry S_1100_Dartford Square_Tomball</t>
  </si>
  <si>
    <t>2004 FM_2801_Windsor Estates I_Texas City</t>
  </si>
  <si>
    <t>Rollingbrook Dr_619_Stonebrook I_Baytown</t>
  </si>
  <si>
    <t>Adoue W_702_Royal Oaks_Alvin</t>
  </si>
  <si>
    <t>Memorial Glen_1002_Barrington Court_Humble</t>
  </si>
  <si>
    <t>X St E_225_Town Plaza_Deer Park</t>
  </si>
  <si>
    <t>Pleasant Colony_11111_The Promenade Jersey Village I_Houston</t>
  </si>
  <si>
    <t>Kempwood_8800_Kempwood TH_Houston</t>
  </si>
  <si>
    <t>61st St_2828_Somerset Retirement Village_Galveston</t>
  </si>
  <si>
    <t>Cullen_4444_Cambridge Oaks_Houston</t>
  </si>
  <si>
    <t>Arto_6869_Timber Crossing_Houston</t>
  </si>
  <si>
    <t>Greens Rd_5900_Timber Point_Humble</t>
  </si>
  <si>
    <t>Westerland_2501_Treemont_Houston</t>
  </si>
  <si>
    <t>Barringer Ln_623_Clear Lake Condominiums_Webster</t>
  </si>
  <si>
    <t>Clarewood_7400_Clarewood House Retirement Community_Houston</t>
  </si>
  <si>
    <t>Tranquility Lake Blvd_2800_The Club at Tranquility Lake_Pearland</t>
  </si>
  <si>
    <t>Kippway_10800_Collingham Park_Houston</t>
  </si>
  <si>
    <t>.5 Fallbrook_7609_Willowood Gardens_Houston</t>
  </si>
  <si>
    <t>Radio Ln_1316_Williamsburg_Rosenberg</t>
  </si>
  <si>
    <t>Village Ln_4601_The Village_Baytown</t>
  </si>
  <si>
    <t>Witte_1350_La Plaza_Houston</t>
  </si>
  <si>
    <t>Antoine_1311_Woodvine Park Condos_Houston</t>
  </si>
  <si>
    <t>Seawall Blvd_7820_The OceanFront_Galveston</t>
  </si>
  <si>
    <t>Seawall Blvd_8100_The Seasons_Galveston</t>
  </si>
  <si>
    <t>Katy Fwy_10759_Skylane West_Houston</t>
  </si>
  <si>
    <t>Misty Ln_4901_Meadow Chase_Bay City</t>
  </si>
  <si>
    <t>Carrell St E_750 &amp; 820_Mid-Towne I &amp; II_Tomball</t>
  </si>
  <si>
    <t>Belair Dr_11851_Summercreek_San Antonio</t>
  </si>
  <si>
    <t>Culebra Rd_5518_Monticello Manor_San Antonio</t>
  </si>
  <si>
    <t>Elm St_1900_1900 Elm_Dallas</t>
  </si>
  <si>
    <t>Cedar Springs_4242_4242 Cedar Springs (Demolished)_Dallas</t>
  </si>
  <si>
    <t>Worthington_2525_Post Abbey_Dallas</t>
  </si>
  <si>
    <t>Canton_2700_Adam Hats Downtown Lofts_Dallas</t>
  </si>
  <si>
    <t>Addison Cir_5009_Post Addison Circle_Addison</t>
  </si>
  <si>
    <t>Brookhaven Club Dr_4010_Addison of Brookhaven (Demolished)_Addison</t>
  </si>
  <si>
    <t>18th St E_700_Alta Vista_Plano</t>
  </si>
  <si>
    <t>Ambassador Way_4400_Ambassador_Balch Springs</t>
  </si>
  <si>
    <t>Tierney_511_Ambassador_Fort Worth</t>
  </si>
  <si>
    <t>Spring Valley_8542_Amber Dawn_Dallas</t>
  </si>
  <si>
    <t>Garland Ave N_2735_Amberly Village TH_Garland</t>
  </si>
  <si>
    <t>Ervay St S_2400_American Beauty Mill Lofts_Dallas</t>
  </si>
  <si>
    <t>Dilido_3711_La Ventana_Dallas</t>
  </si>
  <si>
    <t>Amesbury Dr_4662_Amesbury Parc_Dallas</t>
  </si>
  <si>
    <t>Amesbury Dr_5020_Amesbury TH_Dallas</t>
  </si>
  <si>
    <t>Accent Dr_3901_Bellagio at Bent Tree I &amp; II_Dallas</t>
  </si>
  <si>
    <t>Preston Park Blvd_4701_Archstone Preston Park_Plano</t>
  </si>
  <si>
    <t>Renner Rd E_4250_Breckinridge Point_Richardson</t>
  </si>
  <si>
    <t>Legacy_600_Villas at Chase Oaks_Plano</t>
  </si>
  <si>
    <t>Hedgecoxe_4640_AMLI at Deerfield_Plano</t>
  </si>
  <si>
    <t>Marsh Ln_18949_Nantucket Landing_Dallas</t>
  </si>
  <si>
    <t>Lexington Ave_1111_Archstone Lexington_Flower Mound</t>
  </si>
  <si>
    <t>Virginia Pkwy_6530_The Venue at Stonebridge Ranch_McKinney</t>
  </si>
  <si>
    <t>Red River Trl_430_Gardens of Valley Ranch_Irving</t>
  </si>
  <si>
    <t>Timberglen_3847_Triden Village Apts_Dallas</t>
  </si>
  <si>
    <t>Briargrove Ln_3653_Andalusian Gate_Dallas</t>
  </si>
  <si>
    <t>Walnut Hill_3005_The Apple_Irving</t>
  </si>
  <si>
    <t>Dale Crest Dr_9874_Gage Place_Dallas</t>
  </si>
  <si>
    <t>SW Pkwy_396_Arbor Creek_Lewisville</t>
  </si>
  <si>
    <t>Buckingham Rd E_411_Arboretum Estates_Richardson</t>
  </si>
  <si>
    <t>Trinity Mills E_2240_The Arbors of Carrollton_Carrollton</t>
  </si>
  <si>
    <t>San Jacinto_1000_Arbors of Las Colinas_Irving</t>
  </si>
  <si>
    <t>Cockrell Hill S_6500_Arborstone_Dallas</t>
  </si>
  <si>
    <t>Custer Rd_6909_Archstone Legacy_Plano</t>
  </si>
  <si>
    <t>Spring Creek_2401_The Park on Spring Creek_Plano</t>
  </si>
  <si>
    <t>Hall St N_3721_The Argyle_Dallas</t>
  </si>
  <si>
    <t>Shadow Way_9855_The Madeline_Dallas</t>
  </si>
  <si>
    <t>Overly Dr W_155_Ashleye Village_Lake Dallas</t>
  </si>
  <si>
    <t>303 Hwy W_2403_Ashton Park_Grand Prairie</t>
  </si>
  <si>
    <t>Skillman_7070_Bella Palms I_Dallas</t>
  </si>
  <si>
    <t>Skillman_7120_Bella Palms II_Dallas</t>
  </si>
  <si>
    <t>Ferguson Rd_11760_Aspen Chase_Dallas</t>
  </si>
  <si>
    <t>Amelia Ct_1600_Aspen Court_Plano</t>
  </si>
  <si>
    <t>Dennis_11661_Aventerra_Dallas</t>
  </si>
  <si>
    <t>Spring Valley_5636_The Astoria_Dallas</t>
  </si>
  <si>
    <t>NW Dr_5800_Audubon Park_Mesquite</t>
  </si>
  <si>
    <t>Saint Augustine N_2808_Casa Linda_Dallas</t>
  </si>
  <si>
    <t>Camp Wisdom W_7070_Austin Bluff_Dallas</t>
  </si>
  <si>
    <t>123 Hwy S_1679_Autumn Breeze_Lewisville</t>
  </si>
  <si>
    <t>Josey Ln_4600_Autumn Chase_Carrollton</t>
  </si>
  <si>
    <t>Joyce Ln_3401_Autumn Ridge_Denton</t>
  </si>
  <si>
    <t>Moser Ave_1925_Avalon_Dallas</t>
  </si>
  <si>
    <t>Legacy_801_Avalon at Chase Oaks_Plano</t>
  </si>
  <si>
    <t>Preston Rd_6820_Bell Preston_Plano</t>
  </si>
  <si>
    <t>Webb Chapel Extension_2501_Bachman Oaks_Dallas</t>
  </si>
  <si>
    <t>Baker Dr_1809_Baker Square_Mesquite</t>
  </si>
  <si>
    <t>Marsh Ln_2116_Ballantrae Springs_Carrollton</t>
  </si>
  <si>
    <t>Denton Tap Rd_2801_Ballantyne_Lewisville</t>
  </si>
  <si>
    <t>Barclay St_8117_Villas Del Rey_Dallas</t>
  </si>
  <si>
    <t>80 US Hwy E_2101_The Barons_Mesquite</t>
  </si>
  <si>
    <t>Bardin_2770_Sheffield Square_Grand Prairie</t>
  </si>
  <si>
    <t>Bay Island_6109_Bay Island_Garland</t>
  </si>
  <si>
    <t>Lakeview Cir_2101_Bayshore Village_Lewisville</t>
  </si>
  <si>
    <t>Lombardy Ln_3353_Bayou Bend_Dallas</t>
  </si>
  <si>
    <t>Adleta Blvd_9959_Beacon Hill_Dallas</t>
  </si>
  <si>
    <t>Custer Rd_800_Belle Grove at Custer_Richardson</t>
  </si>
  <si>
    <t>Duck Creek Dr_6202_The Belmont at Duck Creek_Garland</t>
  </si>
  <si>
    <t>Country Club W_3424_Benchmark_Irving</t>
  </si>
  <si>
    <t>Amesbury_5454_The Bend-Bend East_Dallas</t>
  </si>
  <si>
    <t>Bennett_2223_Bennett Place_Dallas</t>
  </si>
  <si>
    <t>Edmonds Ln_760_Bent Creek_Lewisville</t>
  </si>
  <si>
    <t>Wilson Creek Blvd_123_Bent Creek_McKinney</t>
  </si>
  <si>
    <t>Forest Ln_9750_Lake Highlands Landing_Dallas</t>
  </si>
  <si>
    <t>Westgrove_4820_Bent Tree Brooks_Addison</t>
  </si>
  <si>
    <t>Ledgemont_16400_Bent Tree Fountains_Addison</t>
  </si>
  <si>
    <t>Westgrove_4815_Bent Tree Oaks_Addison</t>
  </si>
  <si>
    <t>Ledgemont_16300_Bent Tree Trails_Addison</t>
  </si>
  <si>
    <t>Parker Rd W_5945_Bentley Place at Willow Bend_Plano</t>
  </si>
  <si>
    <t>Benton Dr_205_Benton Pointe_Allen</t>
  </si>
  <si>
    <t>Spring Valley Rd_5704_Arbor Springs_Dallas</t>
  </si>
  <si>
    <t>Cliffbrook_7950_Berkshire Square_Dallas</t>
  </si>
  <si>
    <t>Marsh Ln_14600_Addison Park_Addison</t>
  </si>
  <si>
    <t>Verde Valley_5225_Biltmore_Dallas</t>
  </si>
  <si>
    <t>Melody Ln_6251_Biltmore_Dallas</t>
  </si>
  <si>
    <t>Grand Ave E_7510_The Bluffs of Lakewood_Dallas</t>
  </si>
  <si>
    <t>Bolivar_3602_Boliver Square_Dallas</t>
  </si>
  <si>
    <t>Duck Creek_6337_The Boulders_Garland</t>
  </si>
  <si>
    <t>Castle Dr_1233_Bradfield Place_Garland</t>
  </si>
  <si>
    <t>Rogers N_506_Briarcrest_Irving</t>
  </si>
  <si>
    <t>Apollo Rd_1802_Mission Spring Creek_Garland</t>
  </si>
  <si>
    <t>Branch Hollow_1110_Branch Hollow TH_Carrollton</t>
  </si>
  <si>
    <t>Brand Rd_901_Brandon Walk_Garland</t>
  </si>
  <si>
    <t>Horizon Pkwy N_4341_The Brazos_Dallas</t>
  </si>
  <si>
    <t>Rio Grande_1515_The Brentdale_Plano</t>
  </si>
  <si>
    <t>Peterson_5454_The Arts Apts at Midtown_Dallas</t>
  </si>
  <si>
    <t>Macarthur_1330_Briarcrest_Carrollton</t>
  </si>
  <si>
    <t>Briargrove_3939_Briargrove At Vail_Dallas</t>
  </si>
  <si>
    <t>Jim Miller_5440_Bridgeport_Dallas</t>
  </si>
  <si>
    <t>Polaris_4111_Bridgeport_Irving</t>
  </si>
  <si>
    <t>Corporate_357_Brighton Place_Lewisville</t>
  </si>
  <si>
    <t>Preston_2600_Cottages of Tulane_Plano</t>
  </si>
  <si>
    <t>Memorial Dr_4777_Bristol Oaks_The Colony</t>
  </si>
  <si>
    <t>John Rd W_1720_Bristol Square_Dallas</t>
  </si>
  <si>
    <t>Dallas Pkwy_14222_Brittany Park_Dallas</t>
  </si>
  <si>
    <t>Investor Dr_3900_Broadmoor_Dallas</t>
  </si>
  <si>
    <t>Country Club W_3200_Broadmoor Place_Irving</t>
  </si>
  <si>
    <t>Courtside_5015_Broadmoor Villas_Irving</t>
  </si>
  <si>
    <t>Broadway Blvd_5118_Broadway_Garland</t>
  </si>
  <si>
    <t>Broadway Commons_802_The Arts Apts at Broadway Commons II_Garland</t>
  </si>
  <si>
    <t>Brockbank Dr_9827_Brockbank_Dallas</t>
  </si>
  <si>
    <t>David Ave_1431_Brook Hollow_Desoto</t>
  </si>
  <si>
    <t>Skillman_8303_Castle Rock_Dallas</t>
  </si>
  <si>
    <t>Preferred Rd_4060_Brookfield_Dallas</t>
  </si>
  <si>
    <t>Marsh Ln_14833_Brookhaven_Farmers Branch</t>
  </si>
  <si>
    <t>Brookhaven Club Dr_3767_Brooks (Demolished)_Addison</t>
  </si>
  <si>
    <t>Preston_7200_The Brooks on Preston_Plano</t>
  </si>
  <si>
    <t>Audelia Rd_9857_The Brookshire_Dallas</t>
  </si>
  <si>
    <t>Block Dr_3600_Brookstone_Irving</t>
  </si>
  <si>
    <t>Plymouth Rd N_1306_The Greens of Kessler Park_Dallas</t>
  </si>
  <si>
    <t>Bruton Rd_9901_Mira Flores_Dallas</t>
  </si>
  <si>
    <t>John Rd W_1810_Buckner Village_Dallas</t>
  </si>
  <si>
    <t>Marsh Ln_11911_Burgundy_Dallas</t>
  </si>
  <si>
    <t>Las Colinas Blvd E_385_Cabochon at Las Colinas I_Irving</t>
  </si>
  <si>
    <t>Las Colinas Blvd E_385_Cabochon at Las Colinas II_Irving</t>
  </si>
  <si>
    <t>Eastridge_6706_Calais-Slopes Condos_Dallas</t>
  </si>
  <si>
    <t>NW Hwy E_5959_Cambridge_Dallas</t>
  </si>
  <si>
    <t>Valley Pkwy N_1402_Cambridge Village_Lewisville</t>
  </si>
  <si>
    <t>Canton_2210_Camden Farmers Market I_Dallas</t>
  </si>
  <si>
    <t>Trinity Mills_4280_Camden Garden_Dallas</t>
  </si>
  <si>
    <t>Hampshire_1212_Camelot_Richardson</t>
  </si>
  <si>
    <t>80 Hwy E_4200_Camelot Village_Mesquite</t>
  </si>
  <si>
    <t>Acton Ave &amp; Candlelight Ave_1402 &amp; 1407_Candlelight Park_Duncanville</t>
  </si>
  <si>
    <t>Renner Rd E_2600_Canterbury Courts_Richardson</t>
  </si>
  <si>
    <t>Stone Canyon_10951_Canyon Creek_Dallas</t>
  </si>
  <si>
    <t>Treehouse_7910_Canyon Falls_Dallas</t>
  </si>
  <si>
    <t>Graycliff_2222_The Villas Of White Rock_Dallas</t>
  </si>
  <si>
    <t>Meadow Rd_8209_Canyon Point_Dallas</t>
  </si>
  <si>
    <t>Yellow Jacket Ln_1000_Canyon Ridge_Rockwall</t>
  </si>
  <si>
    <t>Hall St N_3140_Carlisle on the Katy Trail_Dallas</t>
  </si>
  <si>
    <t>Maham_13323_Carlton Court I &amp; II_Dallas</t>
  </si>
  <si>
    <t>Carpenter Ave_4312_Carpenter Cove_Dallas</t>
  </si>
  <si>
    <t>80 Hwy 1-A E_3421_Carrera Run_Mesquite</t>
  </si>
  <si>
    <t>Preston_14827_Carriage Homes of Signature Place_Dallas</t>
  </si>
  <si>
    <t>Communications Pkwy_3001_Carrington Park_Plano</t>
  </si>
  <si>
    <t>Kelly Blvd_18211_Carrollton Park_Dallas</t>
  </si>
  <si>
    <t>Hillcrest St_1125_Casa Claire_Mesquite</t>
  </si>
  <si>
    <t>Randolph Dr N_100_Casa de Loma_Dallas</t>
  </si>
  <si>
    <t>Santa Fe Trl_500_Casa Valley_Irving</t>
  </si>
  <si>
    <t>Oates_2125_Casa View_Dallas</t>
  </si>
  <si>
    <t>Cedar Springs_5115_Castillian_Dallas</t>
  </si>
  <si>
    <t>Castle Dr_2057_Castle Cove_Garland</t>
  </si>
  <si>
    <t>80 Hwy #146 E_2457_Castle Loma_Mesquite</t>
  </si>
  <si>
    <t>Bellaire Blvd_998_Catalina at Bellaire_Lewisville</t>
  </si>
  <si>
    <t>Graves St S_600_Cedar Creek Village_McKinney</t>
  </si>
  <si>
    <t>Camp Wisdom Rd W_6363_Cedar Glen_Dallas</t>
  </si>
  <si>
    <t>175 US Hwy N_2106_Cedar Point_Seagoville</t>
  </si>
  <si>
    <t>Cedar Springs_4411_Cedar Point_Dallas</t>
  </si>
  <si>
    <t>Rosemeade Pkwy_3750_Cedarbrook_Dallas</t>
  </si>
  <si>
    <t>Buckingham W_3754_Cedars_Garland</t>
  </si>
  <si>
    <t>Center W_700_Center Ridge_Duncanville</t>
  </si>
  <si>
    <t>Forest Ln_9637_Chimney Hill_Dallas</t>
  </si>
  <si>
    <t>Spring Creek Pkwy E_1800_The Giovanna_Plano</t>
  </si>
  <si>
    <t>Frankford_2626_Centerpoint_Dallas</t>
  </si>
  <si>
    <t>Centerville Rd W_834_Centerville Crossing_Garland</t>
  </si>
  <si>
    <t>Duck Creek_4266_Centerville Pointe_Garland</t>
  </si>
  <si>
    <t>Lawrence Dr_4386_Centron I &amp; II_Garland</t>
  </si>
  <si>
    <t>Haverwood_4912_Champions of North Dallas_Dallas</t>
  </si>
  <si>
    <t>MacArthur Blvd N_10201_The Champions of Valley Ranch_Irving</t>
  </si>
  <si>
    <t>3040 FM_300_Chapel Hill II_Lewisville</t>
  </si>
  <si>
    <t>Roundgrove Rd E_300_Chapel Hill I_Lewisville</t>
  </si>
  <si>
    <t>Vista Ridge Mall Dr_275_Chapel Hill III_Lewisville</t>
  </si>
  <si>
    <t>O'Connor Rd_3701_Chaparral Creek_Irving</t>
  </si>
  <si>
    <t>Stone Canyon_10931_Chase Crossing_Dallas</t>
  </si>
  <si>
    <t>Amesbury_5657_The Chase_Dallas</t>
  </si>
  <si>
    <t>Dilido Rd_2900_Bella Vista Pointe_Dallas</t>
  </si>
  <si>
    <t>Walnut St W_3100_Cherrybrook_Garland</t>
  </si>
  <si>
    <t>Audelia_11620_Chesapeake_Dallas</t>
  </si>
  <si>
    <t>Amanda_11363_Villa Vista_Dallas</t>
  </si>
  <si>
    <t>Park Blvd_1001_Chisholm Place Condos_Plano</t>
  </si>
  <si>
    <t>Carl Rd_1900_Village at the Crossroads_Irving</t>
  </si>
  <si>
    <t>Brittain N_1701_Chivas West_Irving</t>
  </si>
  <si>
    <t>Churchill Way_7601_Churchill On The Park_Dallas</t>
  </si>
  <si>
    <t>Broadway Commons_637_The Arts Apts at Broadway Commons I_Garland</t>
  </si>
  <si>
    <t>Prestonview Blvd_5800_Regal Court_Dallas</t>
  </si>
  <si>
    <t>Lina St_18809_City Limits_Dallas</t>
  </si>
  <si>
    <t>360 Hwy N_2355_The Clairborne_Grand Prairie</t>
  </si>
  <si>
    <t>Highland Rd_2472_Claremont_Dallas</t>
  </si>
  <si>
    <t>Beltline Rd N_3800_Clarendon_Irving</t>
  </si>
  <si>
    <t>Park Ln_8350_Claridge Pointe_Dallas</t>
  </si>
  <si>
    <t>Alouette Dr_2955_Clayton Pointe_Grand Prairie</t>
  </si>
  <si>
    <t>Renner Rd_4000_Clearwater Creek_Richardson</t>
  </si>
  <si>
    <t>Overton E_220_Cliff Park Village_Dallas</t>
  </si>
  <si>
    <t>Cliffbrook Dr #108_7965_Cliffbrook Condos_Dallas</t>
  </si>
  <si>
    <t>Southwestern_8820_The Cliffs_Dallas</t>
  </si>
  <si>
    <t>Eldorado Pkwy_1300_Cliffs of Eldorado_McKinney</t>
  </si>
  <si>
    <t>Brookhaven Club Dr_4015_Brookhaven Village South-Clipper Pointe_Addison</t>
  </si>
  <si>
    <t>Stone Canyon Rd_10830_Avondale Parc_Dallas</t>
  </si>
  <si>
    <t>Devonshire_3130_Cobblestone Condo Apts_Plano</t>
  </si>
  <si>
    <t>Cole Ave_3304_Post Cole's Corner_Dallas</t>
  </si>
  <si>
    <t>Rainier_4300_Colinas Pointe_Irving</t>
  </si>
  <si>
    <t>G Ave_1809_Collin Park_Plano</t>
  </si>
  <si>
    <t>Bolton Boone Dr_2525_Colonies_Desoto</t>
  </si>
  <si>
    <t>Osler Dr_2815_Colonnade_Grand Prairie</t>
  </si>
  <si>
    <t>Meredith_1100_Colonnade at Willow Bend_Plano</t>
  </si>
  <si>
    <t>Coker_3321_Colony_Irving</t>
  </si>
  <si>
    <t>Fort Worth Ave_2242_Colorado Place (demolished)_Dallas</t>
  </si>
  <si>
    <t>Cliff Creek Crossings_7550_Mandalay Palms II_Dallas</t>
  </si>
  <si>
    <t>Carlisle St_2821_Gables on Katy Trail_Dallas</t>
  </si>
  <si>
    <t>Whitehurst_9941_The Park On Whitehurst_Dallas</t>
  </si>
  <si>
    <t>Carlisle_3210_Constantine_Dallas</t>
  </si>
  <si>
    <t>Maham Rd_13450_Linda Vista_Dallas</t>
  </si>
  <si>
    <t>Shady Brook_6310_The Corners_Dallas</t>
  </si>
  <si>
    <t>Wintergreen E_210_The Corners_Desoto</t>
  </si>
  <si>
    <t>Shady Brook_6310_The Corners East_Dallas</t>
  </si>
  <si>
    <t>Spring Valley Dr_3950_Lakeview at Parkside_Farmers Branch</t>
  </si>
  <si>
    <t>Greenville Ave N_301_Cottonwood Creek_Allen</t>
  </si>
  <si>
    <t>Metrocrest_1705_Country Club_Carrollton</t>
  </si>
  <si>
    <t>Centerville E_1701_Country Club Condo Apts_Garland</t>
  </si>
  <si>
    <t>Jupiter N_1702_Creekside on the Green_Garland</t>
  </si>
  <si>
    <t>Country Sq_3015_Country Square_Carrollton</t>
  </si>
  <si>
    <t>Country Sq_3430_Country Trails_Carrollton</t>
  </si>
  <si>
    <t>First St_301_Country View_Wilmer</t>
  </si>
  <si>
    <t>Preston Oaks_5400_Courts at Preston Oaks_Dallas</t>
  </si>
  <si>
    <t>Knoll Trl_17250_Courts of Bent Tree_Dallas</t>
  </si>
  <si>
    <t>Pear Ridge_5050_Crestmont Reserve_Dallas</t>
  </si>
  <si>
    <t>Shiloh Dr N_2046_Courtyard_Garland</t>
  </si>
  <si>
    <t>Ridgecrest_6003_Courtyard On Ridgecrest_Dallas</t>
  </si>
  <si>
    <t>McKinney Ave_4654_Courtyards at Knox Park_Dallas</t>
  </si>
  <si>
    <t>Carrier Pkwy_1109_Covington_Grand Prairie</t>
  </si>
  <si>
    <t>Pioneer W_4188_Covington Creek_Irving</t>
  </si>
  <si>
    <t>Woodmeadow Pkwy_11110_Creek Stone_Dallas</t>
  </si>
  <si>
    <t>Chesterfield Dr_7501_Mandalay Palms I_Dallas</t>
  </si>
  <si>
    <t>Walnut W_3110_Creekside_Garland</t>
  </si>
  <si>
    <t>Preston_14255_Creekview_Dallas</t>
  </si>
  <si>
    <t>Little Creek Rd_151_Little Creek Apts_Cedar Hill</t>
  </si>
  <si>
    <t>Pioneer Dr W_4208_Creekwood_Irving</t>
  </si>
  <si>
    <t>Rolling Hills Place_485_Creekwood Place_Lancaster</t>
  </si>
  <si>
    <t>Audelia_10928_The Azul_Dallas</t>
  </si>
  <si>
    <t>Hebron Pkwy_801_Crescent Cove at Lakepoint_Lewisville</t>
  </si>
  <si>
    <t>Lucas Dr_2924_Crescent View_Dallas</t>
  </si>
  <si>
    <t>Ridgecrest_6417_Crestridge_Dallas</t>
  </si>
  <si>
    <t>NW Hwy E_6033_Cross Creek_Dallas</t>
  </si>
  <si>
    <t>Alma_7401_Cross Creek_Plano</t>
  </si>
  <si>
    <t>Fair Oaks Crossing_8850_Sonora Palms_Dallas</t>
  </si>
  <si>
    <t>Walnut Hill_2615_Crossings on Walnut Hill_Irving</t>
  </si>
  <si>
    <t>Gus Thomasson_3718_Churchill Crossing_Mesquite</t>
  </si>
  <si>
    <t>Custer_3400_Custer Park_Plano</t>
  </si>
  <si>
    <t>Abrams Rd_1111_Cutter's Point_Richardson</t>
  </si>
  <si>
    <t>Macarthur Blvd_7902_Legacy at Valley Ranch_Irving</t>
  </si>
  <si>
    <t>Peavy Rd_2880_Vista Del Sol_Dallas</t>
  </si>
  <si>
    <t>Lina St_18800_Dana Point_Dallas</t>
  </si>
  <si>
    <t>Dallas Pkwy_14500_Davenport I &amp; II_Dallas</t>
  </si>
  <si>
    <t>Peters Colony E_1834_Dawntree_Carrollton</t>
  </si>
  <si>
    <t>Commerce_3401_Deep Ellum Lofts_Dallas</t>
  </si>
  <si>
    <t>Trinity Mills_3637_Deer Run_Dallas</t>
  </si>
  <si>
    <t>Forest Ln_9670_Deerfield_Dallas</t>
  </si>
  <si>
    <t>Melody Ln_6467_CityScape_Dallas</t>
  </si>
  <si>
    <t>Safari W_606_Derby Park_Grand Prairie</t>
  </si>
  <si>
    <t>Buckner S_3402_Bella Vista Creek_Dallas</t>
  </si>
  <si>
    <t>Chariot Dr_8039_Solana Ridge_Dallas</t>
  </si>
  <si>
    <t>Windcrest Dr_6400_The Domaine_Plano</t>
  </si>
  <si>
    <t>Montfort_13740_Doral_Dallas</t>
  </si>
  <si>
    <t>Spring Valley_5300_Dorchester_Dallas</t>
  </si>
  <si>
    <t>Bethany Dr #102 E_540_Dove Hollow_Allen</t>
  </si>
  <si>
    <t>Lina_18959_Eagle Creek_Dallas</t>
  </si>
  <si>
    <t>Northgate Dr W_4013_Eagle Crest_Irving</t>
  </si>
  <si>
    <t>Oates Rd E_238_Eagle's Landing_Garland</t>
  </si>
  <si>
    <t>Childress_4047_Eastpoint_Mesquite</t>
  </si>
  <si>
    <t>Willis_5140_Eastbridge_Dallas</t>
  </si>
  <si>
    <t>John Rd W_2626_Eastfield Plaza_Mesquite</t>
  </si>
  <si>
    <t>La Prada Dr E_8405_Eastfield Village_Dallas</t>
  </si>
  <si>
    <t>Vontress Dr_1404_Eastside Village I &amp; II_Plano</t>
  </si>
  <si>
    <t>Baywater_5900_Heritage at Lakeside_Plano</t>
  </si>
  <si>
    <t>Frankford_1721_Edentree_Carrollton</t>
  </si>
  <si>
    <t>Lake Side Cir_800_Edgewater_Lewisville</t>
  </si>
  <si>
    <t>Nursery Rd N_800_Edgewood_Irving</t>
  </si>
  <si>
    <t>Uecker_2190_Edgewood Village_Lewisville</t>
  </si>
  <si>
    <t>Craig Dr_3400_El Lago_McKinney</t>
  </si>
  <si>
    <t>Pioneer W_2871_Emerald Point_Irving</t>
  </si>
  <si>
    <t>Valley Ranch Pkwy W_9835_Camden Valley Park_Irving</t>
  </si>
  <si>
    <t>Marsh Ln_18250_Camden Springs_Dallas</t>
  </si>
  <si>
    <t>Lakeside Cir_901_Emery Bay at Lakepointe_Lewisville</t>
  </si>
  <si>
    <t>Uecker S_2197_Enclave_Lewisville</t>
  </si>
  <si>
    <t>Beltline N_2200_Mission Courtyard Villas_Mesquite</t>
  </si>
  <si>
    <t>Stonebrook Pkwy_8083_Enclave at Stonebrook_Frisco</t>
  </si>
  <si>
    <t>MacArthur N_9805_The Enclave at Valley Ranch_Irving</t>
  </si>
  <si>
    <t>Larmanda_6731_Stratford Hill_Dallas</t>
  </si>
  <si>
    <t>Royal Ln W_2527_Vista at Hackbury Creek_Irving</t>
  </si>
  <si>
    <t>Shiloh N_6200_Equinox on the Park_Garland</t>
  </si>
  <si>
    <t>Dickason_4411_Establishment_Dallas</t>
  </si>
  <si>
    <t>Block Dr_4023_Estelle Creek North_Irving</t>
  </si>
  <si>
    <t>Estrada Pkwy_2115_Colonial Village at Estrada_Irving</t>
  </si>
  <si>
    <t>Estrada Pkwy_1900_Crossings at Irving_Irving</t>
  </si>
  <si>
    <t>Fair Oaks Crossing_8849_Fair Oaks Creek_Dallas</t>
  </si>
  <si>
    <t>Bordeaux_6201_Fairfax_Dallas</t>
  </si>
  <si>
    <t>Coit Rd_1705_Fairway_Plano</t>
  </si>
  <si>
    <t>Woodmeadow Pkwy_11011_Fairway Greens_Dallas</t>
  </si>
  <si>
    <t>360 Hwy N_1450_Fairways_Grand Prairie</t>
  </si>
  <si>
    <t>67 US Hwy_801_Mission Fairways at Mesquite_Mesquite</t>
  </si>
  <si>
    <t>Forest Springs Dr_9450_Villas on Forest Springs I_Dallas</t>
  </si>
  <si>
    <t>Bruton Rd_9797_The Falls_Dallas</t>
  </si>
  <si>
    <t>Clearwood_613_Falls on Clearwood_Richardson</t>
  </si>
  <si>
    <t>LBJ Fwy_19200_Falltree_Mesquite</t>
  </si>
  <si>
    <t>Josey_4747_Fieldcrest Condominiums_Carrollton</t>
  </si>
  <si>
    <t>Finley Rd_2434_Finley Square_Irving</t>
  </si>
  <si>
    <t>Duck Creek_4328_Forest at Duck Creek_Garland</t>
  </si>
  <si>
    <t>Forestbrook_165_Forest Brook_Lewisville</t>
  </si>
  <si>
    <t>Forest Ln_9690_Trinity Palms_Dallas</t>
  </si>
  <si>
    <t>Forest Ln_9600_Forest Cove_Dallas</t>
  </si>
  <si>
    <t>Chimney Hill Ln_9655_Bosque Estates_Dallas</t>
  </si>
  <si>
    <t>Forest Ln_9659_Forest Hill_Dallas</t>
  </si>
  <si>
    <t>Forest Ln_3423_Forest Park Village_Dallas</t>
  </si>
  <si>
    <t>Forest Springs Dr_9475_Villas on Forest Springs II_Dallas</t>
  </si>
  <si>
    <t>Forest Ln_9601_Forestwood on the Creek_Dallas</t>
  </si>
  <si>
    <t>Forest Ln Place_5133_Forestwood TH_Dallas</t>
  </si>
  <si>
    <t>Regal Park_10004_Fountains_Dallas</t>
  </si>
  <si>
    <t>Jupiter_12993_Fountains at Jupiter_Dallas</t>
  </si>
  <si>
    <t>Rosemeade Pkwy_3440_Fountains of Rosemeade_Carrollton</t>
  </si>
  <si>
    <t>Woodmeadow Pkwy_10950_Fountains of Woodmeadow_Dallas</t>
  </si>
  <si>
    <t>Cranford_2156_Fox Bend_Garland</t>
  </si>
  <si>
    <t>Tarrant Rd W_1920_The Belmont_Grand Prairie</t>
  </si>
  <si>
    <t>Josey_1910_Fox Creek North_Carrollton</t>
  </si>
  <si>
    <t>Ferndale_8783_Fox Hills_Dallas</t>
  </si>
  <si>
    <t>Fox Ave_696_Fox Hollow_Lewisville</t>
  </si>
  <si>
    <t>Roundrock_6300_Fox Trails_Plano</t>
  </si>
  <si>
    <t>Pineland Dr_5759_Foxfire_Dallas</t>
  </si>
  <si>
    <t>Royal Ln_9450_Fox Hollow_Dallas</t>
  </si>
  <si>
    <t>Hillcrest_1217_Foxwood_Mesquite</t>
  </si>
  <si>
    <t>Frances Way_900_Frances Way Villas_Richardson</t>
  </si>
  <si>
    <t>Winifred_1201_Franciscan_Garland</t>
  </si>
  <si>
    <t>Frankford_1811_Frankford Place_Carrollton</t>
  </si>
  <si>
    <t>Woodmeadow Pkwy_11111_Gable Point_Dallas</t>
  </si>
  <si>
    <t>Lookout Dr_2701_Retreat at Spring Park_Garland</t>
  </si>
  <si>
    <t>360 Hwy N_2175_The Seasons at Green Oaks_Grand Prairie</t>
  </si>
  <si>
    <t>Eldorado Pkwy_1500_Gables of McKinney_McKinney</t>
  </si>
  <si>
    <t>Noel Rd_14181_San Raphael_Dallas</t>
  </si>
  <si>
    <t>State St_3010_Manchester State Thomas I TH_Dallas</t>
  </si>
  <si>
    <t>Cole_3711_Gables at Turtle Creek Cityplace_Dallas</t>
  </si>
  <si>
    <t>Travis St_3530_Riviera at West Village_Dallas</t>
  </si>
  <si>
    <t>Valley Ranch Pkwy W_8600_Veranda At Valley Ranch_Irving</t>
  </si>
  <si>
    <t>Frankford_1737_Galleria TH_Carrollton</t>
  </si>
  <si>
    <t>Legacy_1201_Garden Gate-Plano_Plano</t>
  </si>
  <si>
    <t>Meadows Blvd E_2500_Garden House in the Park_Mesquite</t>
  </si>
  <si>
    <t>Brookhaven Club Dr_4005_Brookhaven Village South-Garden Oaks_Addison</t>
  </si>
  <si>
    <t>Josey Ln_1937_Gardens of Josey Lane_Carrollton</t>
  </si>
  <si>
    <t>Garrett_2015_Garrett Gardens_Dallas</t>
  </si>
  <si>
    <t>Gaston_2752_Marquis on Gaston_Dallas</t>
  </si>
  <si>
    <t>Frankford Rd_3613_Gates de Provence_Dallas</t>
  </si>
  <si>
    <t>NW Hwy W_3932_The Gates of Bluffview_Dallas</t>
  </si>
  <si>
    <t>Joe Wilson Rd S_201_Gates of Cedar Hill_Cedar Hill</t>
  </si>
  <si>
    <t>Frankford Rd_3702_The Sequoia at Frankford Springs_Dallas</t>
  </si>
  <si>
    <t>Churchill Way_7900_The Marquis at Park Central_Dallas</t>
  </si>
  <si>
    <t>Kit Ln_13455_Gateway_Dallas</t>
  </si>
  <si>
    <t>Gatewood_782_Gateway Place_Garland</t>
  </si>
  <si>
    <t>Ridgecrest_6036_Gatewood Senior Community_Dallas</t>
  </si>
  <si>
    <t>Marsh Ln_18880_The Georgian_Dallas</t>
  </si>
  <si>
    <t>Skillman St_8300_Glen Oaks_Dallas</t>
  </si>
  <si>
    <t>Glenbrook Dr S_2121_Glenbrook Place_Garland</t>
  </si>
  <si>
    <t>Spring Valley_3800_Brookhaven Village North-Glenwood_Addison</t>
  </si>
  <si>
    <t>Hillridge_3500_Golden Leaf Village_Plano</t>
  </si>
  <si>
    <t>Commerce_4140_Goodrich Lofts_Dallas</t>
  </si>
  <si>
    <t>Westchester Pkwy W_525_The Grand Courtyards_Grand Prairie</t>
  </si>
  <si>
    <t>Love Dr_6225_Grand Venetian at Las Colinas_Irving</t>
  </si>
  <si>
    <t>Amesbury_5350_The Green in the Village I_Dallas</t>
  </si>
  <si>
    <t>Spring Valley Rd E_111_Green Valley (Demolished)_Richardson</t>
  </si>
  <si>
    <t>Spring Creek Pkwy W_1901_Greenbriar_Plano</t>
  </si>
  <si>
    <t>Fairway Dr_777_Oaks Riverchase_Coppell</t>
  </si>
  <si>
    <t>Brookhaven Club Dr_3789_Greenbrook (Demolished)_Addison</t>
  </si>
  <si>
    <t>Brookhaven Club Dr_3900_Greenhaven Village (Demolished)_Addison</t>
  </si>
  <si>
    <t>Woodmeadow Pkwy_10700_Greens Crossing_Dallas</t>
  </si>
  <si>
    <t>Old Hickory Trl_8613_Greens of Hickory Trails_Dallas</t>
  </si>
  <si>
    <t>MacArthur_1120_Greentree_Carrollton</t>
  </si>
  <si>
    <t>Jupiter Rd N_4622_Meridian Pointe_Garland</t>
  </si>
  <si>
    <t>Frankford Rd_3621_Greysons Gate_Dallas</t>
  </si>
  <si>
    <t>Jupiter_1705_Grove Park_Plano</t>
  </si>
  <si>
    <t>SW Pkwy E_248_Hampton Bay_Lewisville</t>
  </si>
  <si>
    <t>Swiss Ave_4402_Hamptons_Dallas</t>
  </si>
  <si>
    <t>Woodmeadow Pkwy_10911_Hampton Greens_Dallas</t>
  </si>
  <si>
    <t>Ridgecrest_6050_Harvard Square_Dallas</t>
  </si>
  <si>
    <t>Harvest Hill_4121_Spanish Point_Dallas</t>
  </si>
  <si>
    <t>Independence Pkwy_5401_The Place at Harvestree_Plano</t>
  </si>
  <si>
    <t>Hudnall_3301_Harvey's Racquet Club_Dallas</t>
  </si>
  <si>
    <t>Haverwood Ln_4701_Haverly Park I_Dallas</t>
  </si>
  <si>
    <t>Haverwood_4804_Haverly Park II_Dallas</t>
  </si>
  <si>
    <t>Heather Ln_100_Heather Lane TH_Terrell</t>
  </si>
  <si>
    <t>Esters_4030_Heather Ridge_Irving</t>
  </si>
  <si>
    <t>Marsh Ln_18950_Heatherstone_Dallas</t>
  </si>
  <si>
    <t>Sceyene_9755_Heatherwood_Dallas</t>
  </si>
  <si>
    <t>Hebron Pkwy_1930_Hebron Oaks_Carrollton</t>
  </si>
  <si>
    <t>Hebron Pkwy E_1109_Hebron Trail_Carrollton</t>
  </si>
  <si>
    <t>State St #111_3015_Post Heights_Dallas</t>
  </si>
  <si>
    <t>Heritage Dr_1600_Heritage Place_McKinney</t>
  </si>
  <si>
    <t>Spring Valley_5636_Hidden Bend_Dallas</t>
  </si>
  <si>
    <t>College Pkwy_1200_Hidden Creek_Lewisville</t>
  </si>
  <si>
    <t>Ferris Branch Blvd W_9702_Hidden Ridge_Dallas</t>
  </si>
  <si>
    <t>Hidden Ridge_1290_Hidden Ridge_Irving</t>
  </si>
  <si>
    <t>5th St W_1901_Hidden Village_Irving</t>
  </si>
  <si>
    <t>Manderville Ln_8111_High Ridge_Dallas</t>
  </si>
  <si>
    <t>Audelia_9842_Advenir at North Park_Dallas</t>
  </si>
  <si>
    <t>Wheeler_3706_Highland Manor_Dallas</t>
  </si>
  <si>
    <t>Highland Rd_2600_Highland Meadows_Dallas</t>
  </si>
  <si>
    <t>Main St S_1019_Highland Oaks_Duncanville</t>
  </si>
  <si>
    <t>Lake Highlands Dr_11201_The Arbors_Dallas</t>
  </si>
  <si>
    <t>Hustead St_715_Highlands of Duncanville_Duncanville</t>
  </si>
  <si>
    <t>8th St SE_3517_Highlands of Grand Prairie_Grand Prairie</t>
  </si>
  <si>
    <t>Ohio_2523_Highlands of Preston I_Plano</t>
  </si>
  <si>
    <t>Valley Ranch Pkwy E_9500_Highlands of Valley Ranch_Irving</t>
  </si>
  <si>
    <t>Markville Dr_9050_The Falls at Highpoint_Dallas</t>
  </si>
  <si>
    <t>Ohio_2401_Highwood_Plano</t>
  </si>
  <si>
    <t>Caruth Haven_5787_The Hill in The Village_Dallas</t>
  </si>
  <si>
    <t>Walnut Hill Ln W_3149_Hillcrest_Irving</t>
  </si>
  <si>
    <t>Hillcrest St_2019_Hillcrest_Mesquite</t>
  </si>
  <si>
    <t>Tarrant W_1960_Hillcrest_Grand Prairie</t>
  </si>
  <si>
    <t>30 IH W_930_Hills of Palos Verdes_Garland</t>
  </si>
  <si>
    <t>Spring Valley W_800_Hillsdale Garden_Richardson</t>
  </si>
  <si>
    <t>Raleigh Dr_1020_Hillside_Carrollton</t>
  </si>
  <si>
    <t>McCree_11440_Hilton Head_Dallas</t>
  </si>
  <si>
    <t>Plymouth Rd N_811_Holiday Hills I_Dallas</t>
  </si>
  <si>
    <t>Plymouth N_811_Holiday Hills II_Dallas</t>
  </si>
  <si>
    <t>Belt Line_1810_Holiday Park_Garland</t>
  </si>
  <si>
    <t>Renner Rd W_280_Homes of Prairie Springs_Richardson</t>
  </si>
  <si>
    <t>Hondo_2544_Hondo Park_Dallas</t>
  </si>
  <si>
    <t>Ferguson Rd_11611_Honey Creek_Dallas</t>
  </si>
  <si>
    <t>Hudnall_3136_Hub in Oaklawn_Dallas</t>
  </si>
  <si>
    <t>Point Blvd_4351_Hubbards Ridge_Garland</t>
  </si>
  <si>
    <t>Spring Valley_8550_Hunters Court_Dallas</t>
  </si>
  <si>
    <t>Commodore_3056_Hunters Cove_Grand Prairie</t>
  </si>
  <si>
    <t>Independence_6400_Hunters Glen_Plano</t>
  </si>
  <si>
    <t>Midway_18081_Hunter's Hill_Dallas</t>
  </si>
  <si>
    <t>Saint Francis Ave_4748_Hunter's Run_Dallas</t>
  </si>
  <si>
    <t>Summerwood Cir_9821_Hunting Ridge_Dallas</t>
  </si>
  <si>
    <t>Audelia_12516_Huntington Brook_Dallas</t>
  </si>
  <si>
    <t>Round Grove Rd_409_Huntington Circle_Lewisville</t>
  </si>
  <si>
    <t>Enterprise_14802_Huntington Cove TH_Farmers Branch</t>
  </si>
  <si>
    <t>Skillman_7324_Huntington Lakes I &amp; II_Dallas</t>
  </si>
  <si>
    <t>Esters_4220_Huntington Ridge_Irving</t>
  </si>
  <si>
    <t>Spring Valley Plaza_910_Huntington TH_Richardson</t>
  </si>
  <si>
    <t>Country Sq_3525_Hutton Creek_Carrollton</t>
  </si>
  <si>
    <t>Haverwood_4849_Idlewyld Village_Dallas</t>
  </si>
  <si>
    <t>Independence_6501_Independence Crossing_Plano</t>
  </si>
  <si>
    <t>Old Denton Rd_3910_Indian Creek_Carrollton</t>
  </si>
  <si>
    <t>8th St W_3706_Indian Ridge_Dallas</t>
  </si>
  <si>
    <t>Forest Ln_9669_Indigo on Forest_Dallas</t>
  </si>
  <si>
    <t>Marsh_2210_Irishman's Creek_Carrollton</t>
  </si>
  <si>
    <t>Rock Island Rd_1928_Irving Oaks_Irving</t>
  </si>
  <si>
    <t>Park Ln_8900_Ivanhoe_Dallas</t>
  </si>
  <si>
    <t>Audelia_11601_Sienna Palms_Dallas</t>
  </si>
  <si>
    <t>Texas_910_AMLI at Bryan Place_Dallas</t>
  </si>
  <si>
    <t>Beckley Ave N_1520_Grand Estates at Kessler Park_Dallas</t>
  </si>
  <si>
    <t>Technology Blvd_10106_Aslan La Valencia_Dallas</t>
  </si>
  <si>
    <t>Ohio_8025_Mission Gate_Plano</t>
  </si>
  <si>
    <t>Montfort_14332_Villas at Montfort_Dallas</t>
  </si>
  <si>
    <t>Field St N_2323_Jefferson at the North End_Dallas</t>
  </si>
  <si>
    <t>Timberglen Rd_4607_The Verandas at Timberglen_Dallas</t>
  </si>
  <si>
    <t>University W_4400_Archstone Park Cities_Dallas</t>
  </si>
  <si>
    <t>Royal Ln W_800_Jefferson Creek_Irving</t>
  </si>
  <si>
    <t>Marsh Ln_18788_Crossings On Marsh_Dallas</t>
  </si>
  <si>
    <t>Hidden Ridge_1127_Jefferson Park_Irving</t>
  </si>
  <si>
    <t>Macarthur N_6306_Jefferson Place_Irving</t>
  </si>
  <si>
    <t>Macarthur_5301_Jefferson Ridge_Irving</t>
  </si>
  <si>
    <t>Josey_1845_Josey Place_Carrollton</t>
  </si>
  <si>
    <t>Beltline Rd E_1721_Karrington_Coppell</t>
  </si>
  <si>
    <t>Marsh_2121_Keller Oaks_Carrollton</t>
  </si>
  <si>
    <t>Frankford_2601_Kelly Crossing_Dallas</t>
  </si>
  <si>
    <t>Country Club W_3413_Kensington Park_Irving</t>
  </si>
  <si>
    <t>Timberglen Rd_3653_Keystone Ranch_Dallas</t>
  </si>
  <si>
    <t>Bond St_5342_Knightsbridge of Las Colinas_Irving</t>
  </si>
  <si>
    <t>Kings Rd_2929_Kingsgate_Dallas</t>
  </si>
  <si>
    <t>Kingsley W_1900_Kingsley Crossings_Garland</t>
  </si>
  <si>
    <t>Main_1509_Kirby Residences On Main_Dallas</t>
  </si>
  <si>
    <t>Story Rd S_700_Kirkwood Park_Irving</t>
  </si>
  <si>
    <t>Guerrero Dr_2500_Carrollton Oaks_Carrollton</t>
  </si>
  <si>
    <t>Walnut Hill_2727_Knollwood_Irving</t>
  </si>
  <si>
    <t>Cole_4649_Gables Knoxbridge_Dallas</t>
  </si>
  <si>
    <t>Merit Dr_12500_La Costa Villas_Dallas</t>
  </si>
  <si>
    <t>La Prada Dr_8383_La Prada Place_Dallas</t>
  </si>
  <si>
    <t>Ventura_2600_La Ventura_Plano</t>
  </si>
  <si>
    <t>Sotogrande Blvd_1401_Westdale Hills LaCosta_Euless</t>
  </si>
  <si>
    <t>30 IH E_1365_Lake Bluff_Garland</t>
  </si>
  <si>
    <t>Chaha Rd_4605_Lake Colony TH_Garland</t>
  </si>
  <si>
    <t>Zion_5409_Lake Meadows_Garland</t>
  </si>
  <si>
    <t>Lake Cir N_9340-A_Lake North_Dallas</t>
  </si>
  <si>
    <t>Valley View Ln_1720_Lake Ridge_Irving</t>
  </si>
  <si>
    <t>Kendale_2921_Lakedale_Dallas</t>
  </si>
  <si>
    <t>Spring Valley Rd W_900_Lakefront Villas_Richardson</t>
  </si>
  <si>
    <t>Lakehill_2610_Lakehill TH_Carrollton</t>
  </si>
  <si>
    <t>Lake Park Rd_322_Lakeland_Lewisville</t>
  </si>
  <si>
    <t>Lakepoint Dr_2025_Lakepointe Residences_Lewisville</t>
  </si>
  <si>
    <t>Southwestern_8610_The Lakes_Dallas</t>
  </si>
  <si>
    <t>Eldorado Pkwy_1400_Lakes of Eldorado_McKinney</t>
  </si>
  <si>
    <t>Preston_3700_Lakeshore at Preston_Plano</t>
  </si>
  <si>
    <t>Marsh Ln_2250_TwentyTwo50 Marsh at Carrollton_Carrollton</t>
  </si>
  <si>
    <t>Bobtown_4501_Lakeview Village_Garland</t>
  </si>
  <si>
    <t>30 IH E_1044_Landmark at Lake Village West_Garland</t>
  </si>
  <si>
    <t>Forest Creek Dr #111_1227_Lakeway Forest-Lake Shore (Demolished)_Garland</t>
  </si>
  <si>
    <t>Point Blvd_4350-4366_Landmark at Lake Village East II_Garland</t>
  </si>
  <si>
    <t>Galloway Ave N_4819_Landmark at Laurel Heights I_Mesquite</t>
  </si>
  <si>
    <t>30 IH E_235-269_Landmark at Lake Village North I_Garland</t>
  </si>
  <si>
    <t>30 IH E_613_Landmark at Lake Village North II_Garland</t>
  </si>
  <si>
    <t>Marvin Loving Dr_6133_Landmark at Lake Village East I_Garland</t>
  </si>
  <si>
    <t>Easton Meadows Dr_3501-3805_Landmark at Lake Village North III_Garland</t>
  </si>
  <si>
    <t>Henderson N_200_Lakewood Club_Dallas</t>
  </si>
  <si>
    <t>Connecticut_2455_The Edge at White Rock_Dallas</t>
  </si>
  <si>
    <t>Grand E_7150_Lakewood Green_Dallas</t>
  </si>
  <si>
    <t>Brookside N_101_Lakewood on the Trail_Dallas</t>
  </si>
  <si>
    <t>Royal Ln_9750_Toscana Palms_Dallas</t>
  </si>
  <si>
    <t>Desco Ln_915_Landings of Carrier Parkway_Grand Prairie</t>
  </si>
  <si>
    <t>Town Crossing_4035_Lane at Town Crossing_Mesquite</t>
  </si>
  <si>
    <t>Long Prairie Rd_5210_Marquis at Lantana_Flower Mound</t>
  </si>
  <si>
    <t>Northhaven_2749_Sedona Ranch_Dallas</t>
  </si>
  <si>
    <t>Hampton N_1369_Las Casitas_DeSoto</t>
  </si>
  <si>
    <t>Dallas Pkwy N_18725_LaSalle_Dallas</t>
  </si>
  <si>
    <t>Joe Wilson Rd N_720_Legacy of Cedar Hill I_Cedar Hill</t>
  </si>
  <si>
    <t>Legacy_701_Legends at Chase Oaks_Plano</t>
  </si>
  <si>
    <t>Kathryn Ln_2300_Legends at Ridgeview Ranch_Plano</t>
  </si>
  <si>
    <t>Yellow Jacket_923_Mission Rockwall_Rockwall</t>
  </si>
  <si>
    <t>Community_3208_Lexington_Dallas</t>
  </si>
  <si>
    <t>Santa Fe Trl_202_Lexington at Valley Ranch_Irving</t>
  </si>
  <si>
    <t>6th St W_910_Lido_Irving</t>
  </si>
  <si>
    <t>Rawlins_3838_Lincoln Court_Dallas</t>
  </si>
  <si>
    <t>Preston Rd_14041_Preston Pointe_Dallas</t>
  </si>
  <si>
    <t>Carroll Ave_2802_The Linden in Town_Dallas</t>
  </si>
  <si>
    <t>Brothers Blvd_200_Living Oaks_Red Oak</t>
  </si>
  <si>
    <t>Windhaven Pkwy_6301_The Livingston_Plano</t>
  </si>
  <si>
    <t>Lochwood Blvd_11117_Lochwood_Dallas</t>
  </si>
  <si>
    <t>Warren Pkwy_8568_The Lodge at Frisco Bridges_Frisco</t>
  </si>
  <si>
    <t>Timberglen_3440_The Lodge at Timberglen_Dallas</t>
  </si>
  <si>
    <t>Park Blvd W_3400_Mission Park Green_Plano</t>
  </si>
  <si>
    <t>Valley View Ln_4030_London Square_Farmers Branch</t>
  </si>
  <si>
    <t>Trl Glen Dr_6161_Las Lomas I &amp; II_Dallas</t>
  </si>
  <si>
    <t>14th St E_4701_Los Rios Park_Plano</t>
  </si>
  <si>
    <t>Rochelle Ln W_1201_Macarthur_Irving</t>
  </si>
  <si>
    <t>Kinwest Pkwy_812_MacArthur Park_Irving</t>
  </si>
  <si>
    <t>MacArthur Rd N_10701_MacArthur Ridge_Irving</t>
  </si>
  <si>
    <t>Cedar Springs Rd_4606_Atera_Dallas</t>
  </si>
  <si>
    <t>Richardson Dr_1520_Madison at Melrose_Richardson</t>
  </si>
  <si>
    <t>Round Grove Rd E_201_The Madison at Round Grove_Lewisville</t>
  </si>
  <si>
    <t>Dallas Pkwy_19002_Madison on the Parkway_Dallas</t>
  </si>
  <si>
    <t>Main St S_1303_Main Park_Duncanville</t>
  </si>
  <si>
    <t>Commerce_1222_Manor House_Dallas</t>
  </si>
  <si>
    <t>Hunt Dr_4253_Bella Vida at Coyote Ridge I &amp; II_Carrollton</t>
  </si>
  <si>
    <t>Coppell Rd N_620_The Mansions by the Lake_Coppell</t>
  </si>
  <si>
    <t>Maple Ave_3200_The Villas at Katy Trail_Dallas</t>
  </si>
  <si>
    <t>Belt Line N_4057_Marbletree_Irving</t>
  </si>
  <si>
    <t>Renner Rd W_800_The Marquis at Waterview_Richardson</t>
  </si>
  <si>
    <t>Marsh Ln_18749_Marsh Creek_Dallas</t>
  </si>
  <si>
    <t>Marsh Ln_2535_Marsh Highland_Carrollton</t>
  </si>
  <si>
    <t>Grauwyler E_1619_Mayarka Square_Irving</t>
  </si>
  <si>
    <t>Independence_8900_McDermott Place_Plano</t>
  </si>
  <si>
    <t>Lake Park Rd_290_McKamy Lake_Lewisville</t>
  </si>
  <si>
    <t>Brook Dr N_2700_Mckinney Orchid_McKinney</t>
  </si>
  <si>
    <t>Jupiter Rd_12610_McMillan Place_Dallas</t>
  </si>
  <si>
    <t>Southwestern_8200_The Meadow_Dallas</t>
  </si>
  <si>
    <t>Meadow Rd_8175_Meadows Crossing_Dallas</t>
  </si>
  <si>
    <t>Ave K_3001_Meadow Green_Grand Prairie</t>
  </si>
  <si>
    <t>Duncanville Rd_4811_Meadow Parc_Dallas</t>
  </si>
  <si>
    <t>Bruton Rd W-Cartwright W_933_Stone Ridge_Mesquite</t>
  </si>
  <si>
    <t>Easton Meadows_3826_Meadows_Garland</t>
  </si>
  <si>
    <t>Park Blvd E_1201_La Jolla on Park_Plano</t>
  </si>
  <si>
    <t>Esters Rd_1826_La Jolla on Esters_Irving</t>
  </si>
  <si>
    <t>Lucas Dr_2816_Melrose Place_Dallas</t>
  </si>
  <si>
    <t>Allen St_2427_Post Meridian_Dallas</t>
  </si>
  <si>
    <t>Huffines Blvd_3620_Meridian_Carrollton</t>
  </si>
  <si>
    <t>Westchester_355_Merrill Gardens_Grand Prairie</t>
  </si>
  <si>
    <t>Merrill Rd N_400_Merrill Square_Duncanville</t>
  </si>
  <si>
    <t>Franklin_2605_Mesquite Village_Mesquite</t>
  </si>
  <si>
    <t>Metrocrest_1515_Metrocrest Village_Carrollton</t>
  </si>
  <si>
    <t>Tarrant Rd W_201_The Lexington_Grand Prairie</t>
  </si>
  <si>
    <t>Cole_2600_Gables Mirabella_Dallas</t>
  </si>
  <si>
    <t>Saint Paul Dr_929_Miramonte_Richardson</t>
  </si>
  <si>
    <t>Commerce St_3800_Mitchell Lofts_Dallas</t>
  </si>
  <si>
    <t>Courtside_4905_Montego Bay_Irving</t>
  </si>
  <si>
    <t>Fitzhugh #17 N_2703_Monterey_Dallas</t>
  </si>
  <si>
    <t>Harvest Hill_5580_Montfort Crossing_Dallas</t>
  </si>
  <si>
    <t>Montfort_14100_Montfort Oaks_Dallas</t>
  </si>
  <si>
    <t>Preston Oaks_5445_Montfort Place_Dallas</t>
  </si>
  <si>
    <t>Montfort_13660_Montfort Valley_Dallas</t>
  </si>
  <si>
    <t>Moser_2315_Moser Gardens_Dallas</t>
  </si>
  <si>
    <t>Scotland_1020_Mount Vernon_Desoto</t>
  </si>
  <si>
    <t>Duncanville Rd_2626_Mountain Ridge_Dallas</t>
  </si>
  <si>
    <t>CF Hawn Fwy_7651_Mira Vista_Dallas</t>
  </si>
  <si>
    <t>Scyene Rd_9760_Avenida Crossing_Dallas</t>
  </si>
  <si>
    <t>Belt Line_3466_Newport_Irving</t>
  </si>
  <si>
    <t>Frontier_5925_Newport_Mesquite</t>
  </si>
  <si>
    <t>Adleta_9900_Sage Pointe_Dallas</t>
  </si>
  <si>
    <t>Park Ln_8662_North Park Terrace_Dallas</t>
  </si>
  <si>
    <t>Pinyon Tree Ln_9387_North Creek Condominiums_Dallas</t>
  </si>
  <si>
    <t>Nursery Rd N_1417_North Oak_Irving</t>
  </si>
  <si>
    <t>Southwestern Blvd_8705_Northbridge in the Village Apts &amp; TH_Dallas</t>
  </si>
  <si>
    <t>Northgate_3146_Northgate_Irving</t>
  </si>
  <si>
    <t>Harvest Hill_4152_Northridge TH_Dallas</t>
  </si>
  <si>
    <t>Timberline Dr_9680_Northwest Crossing_Dallas</t>
  </si>
  <si>
    <t>Peyton Dr_13980_Northwood Hills_Dallas</t>
  </si>
  <si>
    <t>122 Hwy S_1531_Oak Forest_Lewisville</t>
  </si>
  <si>
    <t>Saturn Rd_4420_Oak Glen_Garland</t>
  </si>
  <si>
    <t>High School Dr_103_Prairie Park_Grand Prairie</t>
  </si>
  <si>
    <t>Estrada Pkwy_1913_Oak Hills_Irving</t>
  </si>
  <si>
    <t>Emily Rd_13330_Oak Hollow_Dallas</t>
  </si>
  <si>
    <t>Preston Oaks_5801_Oak Run_Dallas</t>
  </si>
  <si>
    <t>Walnut Hill_2877_Terra Bella_Irving</t>
  </si>
  <si>
    <t>Oak Tree Dr_2730_Oak Tree Condos_Carrollton</t>
  </si>
  <si>
    <t>Old Orchard S_1595_Oak Tree Village_Lewisville</t>
  </si>
  <si>
    <t>Samuell Blvd_4611_Oakdale TH_Dallas</t>
  </si>
  <si>
    <t>Country Sq_3330_Oakhaven_Carrollton</t>
  </si>
  <si>
    <t>Pioneer Rd_4614_The Oaks_Balch Springs</t>
  </si>
  <si>
    <t>Spring Valley W_740_Oaks at Spring Valley_Richardson</t>
  </si>
  <si>
    <t>Plano Pkwy W_700_Oaks of Collin Creek_Plano</t>
  </si>
  <si>
    <t>Oak Knoll Cir E_200_Oaks of Lewisville_Lewisville</t>
  </si>
  <si>
    <t>Macarthur N_9800_The Oaks of Valley Ranch_Irving</t>
  </si>
  <si>
    <t>Haverwood Ln_4750_Stoneridge North Dallas_Dallas</t>
  </si>
  <si>
    <t>Fair Oaks Crossing_8201_Adagio Palms_Dallas</t>
  </si>
  <si>
    <t>O'Connor N_4809_The Marabella At Los Colinas_Irving</t>
  </si>
  <si>
    <t>Preston_1520_Old Shepard Place_Plano</t>
  </si>
  <si>
    <t>Chaha Rd_4605_On The Lake Apts_Garland</t>
  </si>
  <si>
    <t>Americana_1217_One Townecrest_Mesquite</t>
  </si>
  <si>
    <t>Kingsley_1320_Orchard Hills_Garland</t>
  </si>
  <si>
    <t>Bolivar Dr_3527_Over the Rainbow_Dallas</t>
  </si>
  <si>
    <t>Corporate E_247_Colonial Village At Vista Ridge_Lewisville</t>
  </si>
  <si>
    <t>Edgefield_1702_River Glen_Garland</t>
  </si>
  <si>
    <t>Lakeview Cir_1901_Parc Lake I &amp; II_Lewisville</t>
  </si>
  <si>
    <t>Sale St_3001_The Marquis at Turtle Creek_Dallas</t>
  </si>
  <si>
    <t>Cedar Springs_5414_The Montage_Dallas</t>
  </si>
  <si>
    <t>Westgrove Dr_17200_Camden Addison_Addison</t>
  </si>
  <si>
    <t>Buckingham Rd E_430_Camden Buckingham_Richardson</t>
  </si>
  <si>
    <t>Marvin D. Love Fwy_7310_Park at Cliff Creek_Dallas</t>
  </si>
  <si>
    <t>Blackburn St_3377_Thirty377 Apts_Dallas</t>
  </si>
  <si>
    <t>Dale Crest_9701_Park Dale Garden_Dallas</t>
  </si>
  <si>
    <t>Greenville Ave_11907_West Park (Demolished)_Dallas</t>
  </si>
  <si>
    <t>Villaverde Ave_3626_Park Forest_Dallas</t>
  </si>
  <si>
    <t>Cabell Dr_4211_Park Gates of City Place_Dallas</t>
  </si>
  <si>
    <t>Amesbury Dr_5349_The Park_Dallas</t>
  </si>
  <si>
    <t>Lovers Ln_4117_Park Lane_Dallas</t>
  </si>
  <si>
    <t>Park Ln_3040_Park Lane Village_Dallas</t>
  </si>
  <si>
    <t>Pioneer Dr W_2934_Park Manor_Irving</t>
  </si>
  <si>
    <t>Cole Ave_4423_Park Mulberry_Dallas</t>
  </si>
  <si>
    <t>Amberton Pkwy_9221_The Park On Greenville_Dallas</t>
  </si>
  <si>
    <t>Rosemeade Pkwy_4141_The Park On Rosemeade_Dallas</t>
  </si>
  <si>
    <t>Park Ln_3155_Park Place_Dallas</t>
  </si>
  <si>
    <t>Park Ln_8780_Serendipity_Dallas</t>
  </si>
  <si>
    <t>Irving W_2002_Park Springs_Irving</t>
  </si>
  <si>
    <t>121 Hwy S_1902_The Place at Park Timbers_Lewisville</t>
  </si>
  <si>
    <t>Prestonwood Dr_333_Mission Prestonwood_Richardson</t>
  </si>
  <si>
    <t>Pentagon Pkwy_3035_Tierra Linda_Dallas</t>
  </si>
  <si>
    <t>Mahanna St_3443_Parkford Oaks_Dallas</t>
  </si>
  <si>
    <t>Parkridge Blvd_7300_Parkridge Place at Las Colinas_Irving</t>
  </si>
  <si>
    <t>Glenwick Ln_4554_Parks Edge_Dallas</t>
  </si>
  <si>
    <t>O'Connor N_1115_Parkside_Irving</t>
  </si>
  <si>
    <t>Parkside Center Blvd_4000_Villas at Parkside_Farmers Branch</t>
  </si>
  <si>
    <t>Belt Line_2804_Advenir at Towne Centre_Garland</t>
  </si>
  <si>
    <t>Saturn_4610_Peachtree Square_Garland</t>
  </si>
  <si>
    <t>Old Bent Tree Ln_4753_Pear Ridge_Dallas</t>
  </si>
  <si>
    <t>Pear Ridge_4750_Pear Ridge Creek_Dallas</t>
  </si>
  <si>
    <t>Goliad S_1410_Pebblebrook_Rockwall</t>
  </si>
  <si>
    <t>Pleasant Run E_1225_Pecan Crossing_Desoto</t>
  </si>
  <si>
    <t>Centerville Rd E_1051_Pecan Knoll_Garland</t>
  </si>
  <si>
    <t>Galloway N_3236_Pecan Ridge_Mesquite</t>
  </si>
  <si>
    <t>Renner Rd W_601_Pepper Place_Richardson</t>
  </si>
  <si>
    <t>Walnut W_4625_Pepperwood_Garland</t>
  </si>
  <si>
    <t>Peter's Colony_1810_Peter's Colony_Carrollton</t>
  </si>
  <si>
    <t>Mockingbird E_5555_The Phoenix Midtown_Dallas</t>
  </si>
  <si>
    <t>Arroyo Ave_2601_Villa Torino_Dallas</t>
  </si>
  <si>
    <t>Galloway N_1716_Pine Oaks_Mesquite</t>
  </si>
  <si>
    <t>Via Ventura_4900_Pines of Palos Verdes_Mesquite</t>
  </si>
  <si>
    <t>Valley View Dr_146_The Pinnacle_Lewisville</t>
  </si>
  <si>
    <t>Spring Valley W_1330_Pinyon Point_Richardson</t>
  </si>
  <si>
    <t>Estrada Pkwy_2053_Pioneer Crossing_Irving</t>
  </si>
  <si>
    <t>Pioneer Rd_3601_Pioneer Park Place_Balch Springs</t>
  </si>
  <si>
    <t>Town Crossing_3701_The Place_Mesquite</t>
  </si>
  <si>
    <t>Hudnall St_2625_Plantation House_Dallas</t>
  </si>
  <si>
    <t>Union Bower Rd N_1100_Plantation View_Irving</t>
  </si>
  <si>
    <t>Lebanon_11700_Marquis At Stonebriar_Frisco</t>
  </si>
  <si>
    <t>Harvest Hill_5535_Plaza on Harvest Hill_Dallas</t>
  </si>
  <si>
    <t>Pleasant Run Rd W_1255_Pleasant Creek Corners_Lancaster</t>
  </si>
  <si>
    <t>Pleasant Run W_2525_Pleasant Run_Lancaster</t>
  </si>
  <si>
    <t>Church Rd_9236_Pleasant Woods_Dallas</t>
  </si>
  <si>
    <t>Timberglen_3737_The Pointe at Timberglen_Dallas</t>
  </si>
  <si>
    <t>Block Dr_4004_Polaris_Irving</t>
  </si>
  <si>
    <t>Spring Valley Rd_5616_Aspen Creek_Dallas</t>
  </si>
  <si>
    <t>Bluegrove N_1400_Portafino_Lancaster</t>
  </si>
  <si>
    <t>Woodside_3006_Post Gallery_Dallas</t>
  </si>
  <si>
    <t>Valley View Dr_6901_Oaks Hackberry Creek I &amp; II_Irving</t>
  </si>
  <si>
    <t>La Clede_2828_Post Square_Dallas</t>
  </si>
  <si>
    <t>Moore Rd N_215_Townlake of Coppell_Coppell</t>
  </si>
  <si>
    <t>Routh St_2121_Post Uptown Village_Dallas</t>
  </si>
  <si>
    <t>Poppy Dr_9000_Oaks White Rock_Dallas</t>
  </si>
  <si>
    <t>Main_1623_Mercantile Place-The Wilson_Dallas</t>
  </si>
  <si>
    <t>Alma Rd_3560_Prairie Creek Villas I &amp; II_Richardson</t>
  </si>
  <si>
    <t>Franklin_2861_Prescott Place I &amp; II_Mesquite</t>
  </si>
  <si>
    <t>Story Rd N_3950_The Shadows of Cottonwood_Irving</t>
  </si>
  <si>
    <t>Preston Rd_14455_Preston Bridge_Dallas</t>
  </si>
  <si>
    <t>Preston Oaks_5902_Preston Creek_Dallas</t>
  </si>
  <si>
    <t>Preston Oaks Rd_5800_Preston Oaks_Dallas</t>
  </si>
  <si>
    <t>Preston View Blvd_5757_Preston Park_Dallas</t>
  </si>
  <si>
    <t>Spring Valley Rd_5840_Preston Racquet Club Condos_Dallas</t>
  </si>
  <si>
    <t>Spring Valley_5631_Preston Valley_Dallas</t>
  </si>
  <si>
    <t>Melody Ln_6121_Princeton Court_Dallas</t>
  </si>
  <si>
    <t>Audelia_11700_Providence_Dallas</t>
  </si>
  <si>
    <t>Glenshire_3301_Glenshire Villas I_Balch Springs</t>
  </si>
  <si>
    <t>Quail Dr_12222_Glenshire Villas II_Balch Springs</t>
  </si>
  <si>
    <t>Warrior Trl E_720_Quail Crossing_Grand Prairie</t>
  </si>
  <si>
    <t>Scyene Rd_9666_Quail Hollow_Dallas</t>
  </si>
  <si>
    <t>Quail Dr_12725_Quail Oaks_Mesquite</t>
  </si>
  <si>
    <t>Tarrant Rd W_1919_Quail Ridge_Grand Prairie</t>
  </si>
  <si>
    <t>Quail Dr_12227_Quail Village I &amp; II_Balch Springs</t>
  </si>
  <si>
    <t>Washington Ave N_2403_AMLI at City Place_Dallas</t>
  </si>
  <si>
    <t>Saint Lawrence Cir_13214_Courtyards of Valley View_Farmers Branch</t>
  </si>
  <si>
    <t>Meadow Rd_8325_Park Central_Dallas</t>
  </si>
  <si>
    <t>Hidden Ridge_1200_Rancho Mirage_Irving</t>
  </si>
  <si>
    <t>Frankford_4849_Rancho Palisades_Dallas</t>
  </si>
  <si>
    <t>Rawlins Suite A_3929_Rawlins Chateau (Demolished)_Dallas</t>
  </si>
  <si>
    <t>Rochelle_2200_Rayo de Sol_Irving</t>
  </si>
  <si>
    <t>360 Hwy N_2625_Red River Ranch_Grand Prairie</t>
  </si>
  <si>
    <t>Red Bird Ln W_3636_Redbird Trails_Dallas</t>
  </si>
  <si>
    <t>Redbud Blvd N_1300_Redbud Trail_McKinney</t>
  </si>
  <si>
    <t>Markville Dr_9010_Reflections of Highpoint_Dallas</t>
  </si>
  <si>
    <t>Rodeo Dr_8801_Reflections at Valley Ranch_Irving</t>
  </si>
  <si>
    <t>Macarthur_2414_Regal Parc_Irving</t>
  </si>
  <si>
    <t>Audelia_13030_Regal Springs_Dallas</t>
  </si>
  <si>
    <t>Cavalier_1319_Worthing Pointe_Richardson</t>
  </si>
  <si>
    <t>Skillman_7474_Regency Condominiums_Dallas</t>
  </si>
  <si>
    <t>Walnut_1801_Regents Point TH_Garland</t>
  </si>
  <si>
    <t>Valley Ranch Pkwy_8707_Remington at Valley Ranch_Irving</t>
  </si>
  <si>
    <t>Meadow Creek Dr N_1201_Remington Hills at Las Colinas_Irving</t>
  </si>
  <si>
    <t>Dallas Pkwy N_18959_The Renaissance_Dallas</t>
  </si>
  <si>
    <t>Gannon_3839_Cielo Ranch II_Dallas</t>
  </si>
  <si>
    <t>Verde Valley Ln_5151_Renaissance Parc_Dallas</t>
  </si>
  <si>
    <t>Edmonds Ln S_1716_Renaissance Village_Lewisville</t>
  </si>
  <si>
    <t>Montfort Dr_13907_The Reserve at Galleria_Dallas</t>
  </si>
  <si>
    <t>Coit Rd_12009_Ansley at Park Central_Dallas</t>
  </si>
  <si>
    <t>Garland Rd_9215_The Reserve at White Rock_Dallas</t>
  </si>
  <si>
    <t>Duncanville Rd_2740_Residence at the Oaks_Dallas</t>
  </si>
  <si>
    <t>McKinney_3227_Gables Uptown Tower_Dallas</t>
  </si>
  <si>
    <t>Mixon_9401_Richelieu_Dallas</t>
  </si>
  <si>
    <t>Audelia Rd_13015_The Dunes at Richland Oaks_Dallas</t>
  </si>
  <si>
    <t>Walnut St_9999_Richland Village_Dallas</t>
  </si>
  <si>
    <t>Forest Ln_9737_Ridgegate_Dallas</t>
  </si>
  <si>
    <t>Skillman St_9350_Las Cascadas_Dallas</t>
  </si>
  <si>
    <t>Fairmount St_3500_Rienzi at Turtle Creek_Dallas</t>
  </si>
  <si>
    <t>Spring Valley Rd_4040_Chateau DeVille_Farmers Branch</t>
  </si>
  <si>
    <t>River Bend_1000_River Bend_Lancaster</t>
  </si>
  <si>
    <t>MacArthur Blvd S_600_Riverchase_Coppell</t>
  </si>
  <si>
    <t>Riverfall Dr_7879_Riverfall Square_Dallas</t>
  </si>
  <si>
    <t>Stone Canyon Rd_10570_Riverfalls Park_Dallas</t>
  </si>
  <si>
    <t>360 Hwy N_2775_Riverhill_Grand Prairie</t>
  </si>
  <si>
    <t>Audelia_12920_Riverwalk_Dallas</t>
  </si>
  <si>
    <t>Rochelle W_240_Rochelle Place_Irving</t>
  </si>
  <si>
    <t>Rochelle Rd W_306_Rochelle Plaza_Irving</t>
  </si>
  <si>
    <t>Belt Line Rd_5850_Rock Creek_Dallas</t>
  </si>
  <si>
    <t>Rock Island_2002_Rock Island_Irving</t>
  </si>
  <si>
    <t>Uecker Dr_2200_Rockbrook Creek_Lewisville</t>
  </si>
  <si>
    <t>Estrada Pkwy_2010_Rolling Hills_Irving</t>
  </si>
  <si>
    <t>Rolling Hills Place_500_Rolling Hills Place_Lancaster</t>
  </si>
  <si>
    <t>Rosehill Rd_4221_Rosegate Place_Garland</t>
  </si>
  <si>
    <t>Rosemeade Pkwy_3939_Sage Creek Ranch_Dallas</t>
  </si>
  <si>
    <t>Old Denton Rd_3830_Rosemeade TH_Carrollton</t>
  </si>
  <si>
    <t>Hidden Ridge Dr_1100_Archstone at MacArthur_Irving</t>
  </si>
  <si>
    <t>Rochelle Rd W_601_Rosewood Village_Irving</t>
  </si>
  <si>
    <t>Custer Pkwy_2811_Royal Arms_Richardson</t>
  </si>
  <si>
    <t>Newton_4140_Royal Oaks_Dallas</t>
  </si>
  <si>
    <t>Chenault St_1540_Royal Orleans_Dallas</t>
  </si>
  <si>
    <t>Community_2625_Rush Creek_Dallas</t>
  </si>
  <si>
    <t>Fleming St_401_Rustic Oaks_Wylie</t>
  </si>
  <si>
    <t>Northstar_4031_Sable Point_Irving</t>
  </si>
  <si>
    <t>Country Sq_3420_The Place at Saddle Creek_Carrollton</t>
  </si>
  <si>
    <t>Duck Creek_5710_Saddletree_Garland</t>
  </si>
  <si>
    <t>Cole_4719_Saltillo_Dallas</t>
  </si>
  <si>
    <t>New Orleans #138_2516_San Carlos_Dallas</t>
  </si>
  <si>
    <t>San Mateo_7110_San Mateo Forest_Dallas</t>
  </si>
  <si>
    <t>Rochelle W_900_Sandpebble_Irving</t>
  </si>
  <si>
    <t>Maham Rd_13350_Vista Buena_Dallas</t>
  </si>
  <si>
    <t>Ranchview_8203_Santa Fe Ranch_Irving</t>
  </si>
  <si>
    <t>Royal Ln W_2940_Santa Rosa_Irving</t>
  </si>
  <si>
    <t>Arroyo Ave_2600_Oaklawn Heights_Dallas</t>
  </si>
  <si>
    <t>Eldorado Pkwy_4490_Saxon Woods_McKinney</t>
  </si>
  <si>
    <t>Montfort Dr_14601_Saxony_Dallas</t>
  </si>
  <si>
    <t>Whitehurst_9911_The Family Place Apts_Dallas</t>
  </si>
  <si>
    <t>McDermott W_1420_Settler's Gate_Allen</t>
  </si>
  <si>
    <t>Campbell W_2001_Seven Oaks_Garland</t>
  </si>
  <si>
    <t>Perry Rd_1455_Sevilla Condos_Carrollton</t>
  </si>
  <si>
    <t>Steppington_10651_The Seville_Dallas</t>
  </si>
  <si>
    <t>Grand Ave E_7414_Coronado_Dallas</t>
  </si>
  <si>
    <t>Marsh Ln_14500_Shadowood_Addison</t>
  </si>
  <si>
    <t>Ferris Branch Blvd W_9701_Shadowridge Village_Dallas</t>
  </si>
  <si>
    <t>Allegheny Ct_939-A_Shenandoah_Richardson</t>
  </si>
  <si>
    <t>Shiloh N_1302_Villa Del Rio_Garland</t>
  </si>
  <si>
    <t>Skillman_9455_Sienna Springs_Dallas</t>
  </si>
  <si>
    <t>Portland_3800_Sierra Point_Irving</t>
  </si>
  <si>
    <t>Stonebrook Pkwy_8400_Silverado_Frisco</t>
  </si>
  <si>
    <t>Nursery Rd N_1319_Silverado_Irving</t>
  </si>
  <si>
    <t>Alouette_2934_Silverbrook_Grand Prairie</t>
  </si>
  <si>
    <t>Wimbleton Way_4700_Skyline Place_Dallas</t>
  </si>
  <si>
    <t>Skyline Dr_2003_Ashton Oaks_McKinney</t>
  </si>
  <si>
    <t>Pinehurst_2101_Pinehurst Place_Mesquite</t>
  </si>
  <si>
    <t>Skillman_7610_Soho_Dallas</t>
  </si>
  <si>
    <t>LBJ Fwy_9275_Solarium_Dallas</t>
  </si>
  <si>
    <t>Corporate Dr E_256_Somerset_Lewisville</t>
  </si>
  <si>
    <t>Travis_4418_Somerset_Dallas</t>
  </si>
  <si>
    <t>Rolater Rd_9425_Sonsrena_Frisco</t>
  </si>
  <si>
    <t>Buckingham_530_Sonterra at Buckingham_Richardson</t>
  </si>
  <si>
    <t>Sierra Grande_110_South Meadows_Red Oak</t>
  </si>
  <si>
    <t>Southern Oaks Blvd #13_3424_Southern Oaks_Dallas</t>
  </si>
  <si>
    <t>Southern Blvd_5383_Southern Villas_Dallas</t>
  </si>
  <si>
    <t>Pecan Crossing_1021_Southpoint_Desoto</t>
  </si>
  <si>
    <t>Lamar S_1409_South Side on Lamar_Dallas</t>
  </si>
  <si>
    <t>Brockbank_9877_Southwinds Apts_Dallas</t>
  </si>
  <si>
    <t>Grauwyler E_1927_Spanish Trace_Irving</t>
  </si>
  <si>
    <t>Spring Valley W_1000_Lakeside On Spring Valley_Richardson</t>
  </si>
  <si>
    <t>Spring Creek_14833_Spring Creek_Dallas</t>
  </si>
  <si>
    <t>Jupiter N_3501_Spring Pointe_Richardson</t>
  </si>
  <si>
    <t>Kelly Blvd_18050_Springfield_Dallas</t>
  </si>
  <si>
    <t>Driftwood Dr_2305_Springfield_Mesquite</t>
  </si>
  <si>
    <t>Spring Valley_3820_Brookhaven Village North-Springhaven_Addison</t>
  </si>
  <si>
    <t>Hebron Pkwy_2057_Springs of Indian Creek_Carrollton</t>
  </si>
  <si>
    <t>Saint Augustine S_442_Spruce Square_Dallas</t>
  </si>
  <si>
    <t>Town &amp; Country Blvd_5200_Stonebriar of Frisco_Frisco</t>
  </si>
  <si>
    <t>Markville_9001_St. Andrews I &amp; II_Dallas</t>
  </si>
  <si>
    <t>Altoona_3969_Buena Vista TH_Dallas</t>
  </si>
  <si>
    <t>Abrams Rd_12250_St. Croix_Dallas</t>
  </si>
  <si>
    <t>Senate_8943_St. Francis_Dallas</t>
  </si>
  <si>
    <t>Beltline Rd E_1717_St. Marin_Coppell</t>
  </si>
  <si>
    <t>Midway Rd_18175_Stanford Court_Dallas</t>
  </si>
  <si>
    <t>Stonebrook Pkwy_7549_Stewart Creek_Frisco</t>
  </si>
  <si>
    <t>SW Pkwy_328_Stone Creek_Lewisville</t>
  </si>
  <si>
    <t>Lebanon Rd_6595_Residences at Starwood_Frisco</t>
  </si>
  <si>
    <t>Rolling Brook Dr_7500_Stonebrook Village_Frisco</t>
  </si>
  <si>
    <t>Wolford_2521_Stone Gate_McKinney</t>
  </si>
  <si>
    <t>Northgate W_3101_Stonehill Terrace_Irving</t>
  </si>
  <si>
    <t>Riverchase Dr_1315_The Marquis at Riverchase_Coppell</t>
  </si>
  <si>
    <t>Macarthur Blvd N_8605_Stoneleigh at Valley Ranch_Irving</t>
  </si>
  <si>
    <t>Poteet_3700_Stoneleigh at Mesquite_Mesquite</t>
  </si>
  <si>
    <t>Naaman Forest Blvd_5501_Stoneleigh on Spring Creek_Garland</t>
  </si>
  <si>
    <t>Buckingham_2261_Stoneleigh Place_Garland</t>
  </si>
  <si>
    <t>Walnut St W_4209_Stonewood_Garland</t>
  </si>
  <si>
    <t>Cartwright Rd_800_Strawberry Hill_Mesquite</t>
  </si>
  <si>
    <t>Duncan Perry_950_Sugar Creek_Grand Prairie</t>
  </si>
  <si>
    <t>Meadow Creek Dr_1301_Summer Bend_Irving</t>
  </si>
  <si>
    <t>Central Expwy N_9837_Lakeside at Walnut Hill_Dallas</t>
  </si>
  <si>
    <t>Emily Rd_13250_Landmark at Rosewood_Dallas</t>
  </si>
  <si>
    <t>Belt Line_3801_Summergate_Irving</t>
  </si>
  <si>
    <t>Whitehurst_10010_Summerhill_Dallas</t>
  </si>
  <si>
    <t>Belt Line_4132_Summerwood_Irving</t>
  </si>
  <si>
    <t>Americana Ln_1057_Summit_Mesquite</t>
  </si>
  <si>
    <t>Cole Ave_4650_AMLI at Knox-Henderson_Dallas</t>
  </si>
  <si>
    <t>Cowboys Pkwy_621_Summit by Norstar_Irving</t>
  </si>
  <si>
    <t>Horizon Pkwy N_4200_Camino Real_Dallas</t>
  </si>
  <si>
    <t>Park Ave_1050_Summit Park_Carrollton</t>
  </si>
  <si>
    <t>Royal Ln_10075_Sun Colony_Dallas</t>
  </si>
  <si>
    <t>Skillman_8401_Montecito Palms_Dallas</t>
  </si>
  <si>
    <t>303 Hwy E_145_Sunridge_Grand Prairie</t>
  </si>
  <si>
    <t>Timberglen_3550_Sunset Oaks_Dallas</t>
  </si>
  <si>
    <t>Forest Ln_9180_Advenir at Forest Lane_Dallas</t>
  </si>
  <si>
    <t>Estrada Pkwy_1814_Surrey Oaks East_Irving</t>
  </si>
  <si>
    <t>Marvin D. Love Fwy_7272_Surrey Row_Dallas</t>
  </si>
  <si>
    <t>Dallas N Pkwy_18600_Sutton Place_Dallas</t>
  </si>
  <si>
    <t>Buckingham_540_Sweetwater Ranch_Richardson</t>
  </si>
  <si>
    <t>Lahoma St_5051_Advenir at Highland Park_Dallas</t>
  </si>
  <si>
    <t>Brookhaven Club Dr_3925_Brookhaven Village South-The Talisker of Addison_Addison</t>
  </si>
  <si>
    <t>Frankford_1602_Tallows of Carrollton_Carrollton</t>
  </si>
  <si>
    <t>Cedar Springs_4533_Tecali_Dallas</t>
  </si>
  <si>
    <t>Block Dr_3726_Terrace_Irving</t>
  </si>
  <si>
    <t>Maple_3131_Terrace House_Dallas</t>
  </si>
  <si>
    <t>Wintergreen W_300_Thorn Manor_Desoto</t>
  </si>
  <si>
    <t>Skillman Rd_6001_Timbercreek_Dallas</t>
  </si>
  <si>
    <t>Timberglen_3773_Timberglen_Dallas</t>
  </si>
  <si>
    <t>Audelia Rd_11600_Timberlodge_Dallas</t>
  </si>
  <si>
    <t>Whitehurst Dr_9850_Arbor Vista_Dallas</t>
  </si>
  <si>
    <t>Kelly_17910_Toscana_Dallas</t>
  </si>
  <si>
    <t>Skillman St_6854_Toscana on Skillman_Dallas</t>
  </si>
  <si>
    <t>Northgate Dr E_1700_Tower Village_Irving</t>
  </si>
  <si>
    <t>Moore N_190_Town Creek_Coppell</t>
  </si>
  <si>
    <t>Mary Lee_847_Towne Oaks TH_Irving</t>
  </si>
  <si>
    <t>Buckner S_4999_Town View_Dallas</t>
  </si>
  <si>
    <t>Park Ln_8620_Towne Center_Dallas</t>
  </si>
  <si>
    <t>Americana Ln_1208_Towne Centre Village_Mesquite</t>
  </si>
  <si>
    <t>Ferris Branch Blvd_9633_Wyndham On The Creek_Dallas</t>
  </si>
  <si>
    <t>Pioneer W_4525_Towne Lake Village_Irving</t>
  </si>
  <si>
    <t>Riverside Pkwy_2803_Towns of Riverside_Grand Prairie</t>
  </si>
  <si>
    <t>Trade Wind Dr_2136_Trade Winds_Mesquite</t>
  </si>
  <si>
    <t>Chapel Creek_3109_Spanish Creek_Dallas</t>
  </si>
  <si>
    <t>Valley Ranch Pkwy E_9478_The Trails of Valley Ranch_Irving</t>
  </si>
  <si>
    <t>W Fwy_1933_Tree Top_Grand Prairie</t>
  </si>
  <si>
    <t>Walnut Hill_3203_Treehouse_Irving</t>
  </si>
  <si>
    <t>Bowser_4207_Treetop_Dallas</t>
  </si>
  <si>
    <t>Fair Oaks_7222_Casa Verde_Dallas</t>
  </si>
  <si>
    <t>Office Pkwy_4144_Treymore North_Dallas</t>
  </si>
  <si>
    <t>Haskell_2101_Treymore at City Place_Dallas</t>
  </si>
  <si>
    <t>Wilson Creek_901_Treymore in McKinney_McKinney</t>
  </si>
  <si>
    <t>John Rd W_2631_Treymore at Eastfield_Dallas</t>
  </si>
  <si>
    <t>Esters_1147_Trinity_Irving</t>
  </si>
  <si>
    <t>Walnut St_9696_Trinity Meadows_Dallas</t>
  </si>
  <si>
    <t>Trinity Mills Rd_2750_Trinity Mills_Carrollton</t>
  </si>
  <si>
    <t>Midway Rd_17617_Trinity Oaks_Dallas</t>
  </si>
  <si>
    <t>Samuel Blvd_4709_Trinity Place_Mesquite</t>
  </si>
  <si>
    <t>Trinity Mills_4350_Trinity Square_Dallas</t>
  </si>
  <si>
    <t>Darr St_1635_Tu Casa TH_Irving</t>
  </si>
  <si>
    <t>Ivan St_2217_Windsor at Turtle Creek_Dallas</t>
  </si>
  <si>
    <t>Matilda_3516_Turtle Dove_Dallas</t>
  </si>
  <si>
    <t>Newton_4111_Turtle Oaks_Fort Worth</t>
  </si>
  <si>
    <t>Goldmark Dr_13731_Tuscany at Goldmark_Dallas</t>
  </si>
  <si>
    <t>Lakeside Cir_805_Tuscany at Lakepointe_Lewisville</t>
  </si>
  <si>
    <t>Wilson Creek Blvd_451_Tuscany at Wilson Creek_McKinney</t>
  </si>
  <si>
    <t>Frankford_3840_Vail Village_Dallas</t>
  </si>
  <si>
    <t>Briargrove Ln_3839_Vail Village Club_Dallas</t>
  </si>
  <si>
    <t>Guthrie_2822_Valley Creek_Garland</t>
  </si>
  <si>
    <t>Northgate Dr W_4608_Promenade at Valley Creek_Irving</t>
  </si>
  <si>
    <t>Valley View Ln_7373_Valley Oaks_Dallas</t>
  </si>
  <si>
    <t>Valley View Ln_3700_Promenade at Valley Ridge_Irving</t>
  </si>
  <si>
    <t>Valley Ridge Blvd W_1000_Valley Ridge_Lewisville</t>
  </si>
  <si>
    <t>Valley Ranch Pkwy E_8903_Valley Trails_Irving</t>
  </si>
  <si>
    <t>Spring Valley Rd_5555_Ventana_Dallas</t>
  </si>
  <si>
    <t>Gaston Ave #102_7130_Verandahs_Dallas</t>
  </si>
  <si>
    <t>Noel Rd_13330_Verona Tower_Dallas</t>
  </si>
  <si>
    <t>Noel Rd_13330_Verona Midrise_Dallas</t>
  </si>
  <si>
    <t>Pear Ridge Dr_4900_The Versailles_Dallas</t>
  </si>
  <si>
    <t>Kings Rd_2930_Versailles on Cedar Springs_Dallas</t>
  </si>
  <si>
    <t>Grauwyler Rd E_2700_View Point_Irving</t>
  </si>
  <si>
    <t>Del Norte Ln_6800_Villa del Norte_Dallas</t>
  </si>
  <si>
    <t>Pioneer W_1831_Villa France_Irving</t>
  </si>
  <si>
    <t>Fyke Rd_2730_Villa Marquis_Farmers Branch</t>
  </si>
  <si>
    <t>MacArthur S_418_Villa Martinique_Irving</t>
  </si>
  <si>
    <t>Glen Dr N_7904_Villa Miranda_Irving</t>
  </si>
  <si>
    <t>Finley_2415_Village Square_Irving</t>
  </si>
  <si>
    <t>Watership Ln_5959_Village Square_Dallas</t>
  </si>
  <si>
    <t>Fisher_6172_Village View_Dallas</t>
  </si>
  <si>
    <t>Clear Springs Dr_2600_The Villages at Clear Springs_Richardson</t>
  </si>
  <si>
    <t>Meadow Creek_1000_Villas at Beaver Creek_Irving</t>
  </si>
  <si>
    <t>Old Orchard N_165_Villas at Waterchase_Lewisville</t>
  </si>
  <si>
    <t>Keller Springs_2050_The Villas of Josey Ranch_Carrollton</t>
  </si>
  <si>
    <t>Remond_3050_Villas of Remond_Dallas</t>
  </si>
  <si>
    <t>Ferguson_8850_The Vineyards_Dallas</t>
  </si>
  <si>
    <t>Wade Blvd_9400_The Vineyards_Frisco</t>
  </si>
  <si>
    <t>Cole Ave_3310_Post Vineyard_Dallas</t>
  </si>
  <si>
    <t>Central Expwy N_13447_Vinings at Central_Dallas</t>
  </si>
  <si>
    <t>Legacy Dr_3700_The Vintage at Legacy_Frisco</t>
  </si>
  <si>
    <t>Tarrant Place_1902_Virginia Manor_Dallas</t>
  </si>
  <si>
    <t>Garland Rd_9191_White Rock Lake Villas_Dallas</t>
  </si>
  <si>
    <t>Cowboys Pkwy_701_Vista Pointe at the Valley_Irving</t>
  </si>
  <si>
    <t>Corporate Dr E_265_Vista Springs_Lewisville</t>
  </si>
  <si>
    <t>Wade Blvd_9399_Wade Crossing_Frisco</t>
  </si>
  <si>
    <t>Walton Walker S_3880_Walker Place_Dallas</t>
  </si>
  <si>
    <t>Frankford Rd_4055_Walker's Mark_Dallas</t>
  </si>
  <si>
    <t>Walnut St_9944_Walnut Bend_Dallas</t>
  </si>
  <si>
    <t>Beltway Dr_4051_Walnut Square_Addison</t>
  </si>
  <si>
    <t>Webb Chapel Extension_3330_Plaza Del Lago_Dallas</t>
  </si>
  <si>
    <t>Plano Rd_12365_Waterchase_Dallas</t>
  </si>
  <si>
    <t>Gannon_3829_Cielo Ranch I_Dallas</t>
  </si>
  <si>
    <t>Goldmark_13695_Waterford at Goldmark_Dallas</t>
  </si>
  <si>
    <t>Old Denton Rd_3640_Waterford at the Park_Carrollton</t>
  </si>
  <si>
    <t>Cowboys Pkwy_151_Waterford at Valley Ranch_Irving</t>
  </si>
  <si>
    <t>Marsh Ln_14700_Waterford Court_Addison</t>
  </si>
  <si>
    <t>Druid Ln_4501_Waterford Place_Dallas</t>
  </si>
  <si>
    <t>Royal Ln_9505_Sontera Palms_Dallas</t>
  </si>
  <si>
    <t>Audelia_9763_Watermarke at Lake Highlands_Dallas</t>
  </si>
  <si>
    <t>Las Flores_14645_Watersong Villas_Dallas</t>
  </si>
  <si>
    <t>Deer Run_2479_Wellington Park_Lewisville</t>
  </si>
  <si>
    <t>MacArthur Blvd S_230_Wellington Place_Coppell</t>
  </si>
  <si>
    <t>Lemmon Ave #10_4712_Westchester_Highland Park</t>
  </si>
  <si>
    <t>Westchester Pkwy W_620_Westchester by Norstar_Grand Prairie</t>
  </si>
  <si>
    <t>William Dehanes_3829_Westgate_Irving</t>
  </si>
  <si>
    <t>Cascade St_1057_Westlake Village_Mesquite</t>
  </si>
  <si>
    <t>SW Pkwy W_201_Camden Westview_Lewisville</t>
  </si>
  <si>
    <t>Center St W_603_Westwood TH_Duncanville</t>
  </si>
  <si>
    <t>Skillman_7218_Whisper Creek I &amp; II (Demolished)_Dallas</t>
  </si>
  <si>
    <t>Cockrell Hill Rd S_6910_Whispering Hollow_Dallas</t>
  </si>
  <si>
    <t>Pineland_6031_Wildflower_Dallas</t>
  </si>
  <si>
    <t>Jupiter Rd S_1500_Wildwood Village_Allen</t>
  </si>
  <si>
    <t>La Vista_7440_The Tenison at White Rock_Dallas</t>
  </si>
  <si>
    <t>Skillman_6910_Everwood_Dallas</t>
  </si>
  <si>
    <t>Abrams_6003_Willow Pond_Dallas</t>
  </si>
  <si>
    <t>Old Orchard S_797_Willow Ridge_Lewisville</t>
  </si>
  <si>
    <t>Centerville E_909_Willowgate_Garland</t>
  </si>
  <si>
    <t>Kingsley_402_Willows_Garland</t>
  </si>
  <si>
    <t>Willow Creek Dr_3304_The Willows_Irving</t>
  </si>
  <si>
    <t>Hunnicut_7526_Mayan Palms_Dallas</t>
  </si>
  <si>
    <t>Rosemeade Pkwy_4300_Willows on Rosemeade_Dallas</t>
  </si>
  <si>
    <t>Mockingbird E_6151_Wilshire on Mockingbird_Dallas</t>
  </si>
  <si>
    <t>Joe Wilson Rd N_301_Wilson Crossing_Cedar Hill</t>
  </si>
  <si>
    <t>Horizon Pkwy N_4141_The Wimberly_Dallas</t>
  </si>
  <si>
    <t>Link Dr_800_Wimberly Park_Duncanville</t>
  </si>
  <si>
    <t>Main W_1420_Wimbledon_Lewisville</t>
  </si>
  <si>
    <t>303 Hwy E_501_Windchase_Grand Prairie</t>
  </si>
  <si>
    <t>Spring Valley W_1330_Windham Chase_Richardson</t>
  </si>
  <si>
    <t>Emily Rd_13266_Winding Way_Dallas</t>
  </si>
  <si>
    <t>Dallas N Pkwy_14350_Windridge_Dallas</t>
  </si>
  <si>
    <t>Galloway Ave N_4845_Landmark at Laurel Heights II_Mesquite</t>
  </si>
  <si>
    <t>Ave H E_2301_Windridge I &amp; II_Grand Prairie</t>
  </si>
  <si>
    <t>Parham Dr_3099_Windscape II_Grand Prairie</t>
  </si>
  <si>
    <t>Vail Dr_17717_Windsong_Dallas</t>
  </si>
  <si>
    <t>Wintergreen E_1110_Windsong Place_Desoto</t>
  </si>
  <si>
    <t>SW Pkwy_247_Windsor Court_Lewisville</t>
  </si>
  <si>
    <t>Macarthur N_8001_Colonial Grand at Valley Ranch_Irving</t>
  </si>
  <si>
    <t>Buckner N_3501_Windsor Station_Dallas</t>
  </si>
  <si>
    <t>30 IH E_1021_Windward II_Garland</t>
  </si>
  <si>
    <t>Winsted Dr_2210_The Winsted at White Rock_Dallas</t>
  </si>
  <si>
    <t>Macarthur N_10501_Winsted_Irving</t>
  </si>
  <si>
    <t>Wintergreen E_320_The Park at Wintergreen_Desoto</t>
  </si>
  <si>
    <t>Meadow Rd_8215_Parks of Woodhollow_Dallas</t>
  </si>
  <si>
    <t>Pleasant Run E_825_Wooded Creek_Desoto</t>
  </si>
  <si>
    <t>Pineland_6161_Woodglen_Dallas</t>
  </si>
  <si>
    <t>Cockrell Hill Rd S_6800_Woodglen Park_Dallas</t>
  </si>
  <si>
    <t>Josey N_3022_Villa Siena_Carrollton</t>
  </si>
  <si>
    <t>Shady Grove E_1313_Woods_Irving</t>
  </si>
  <si>
    <t>Country Sq_3560_Woods at Lakeshore_Carrollton</t>
  </si>
  <si>
    <t>CF Hawn Fwy_13660_Woodside_Dallas</t>
  </si>
  <si>
    <t>Skillman_7160_Sutters Wood_Dallas</t>
  </si>
  <si>
    <t>Pioneer Dr W_3701_Montoro_Irving</t>
  </si>
  <si>
    <t>Walnut St_10000_The Parks at Walnut_Dallas</t>
  </si>
  <si>
    <t>Spring Valley Rd_3721_Wyndward Addison_Addison</t>
  </si>
  <si>
    <t>Westcreek Dr_6751_Creekside_Fort Worth</t>
  </si>
  <si>
    <t>Boat Club Rd_8301_Eagle's Point_Fort Worth</t>
  </si>
  <si>
    <t>Preston Rd_15411_Tiburon_Dallas</t>
  </si>
  <si>
    <t>Overton Ridge_5401_The Enclave at Cityview_Fort Worth</t>
  </si>
  <si>
    <t>Weyland Dr_1601_Remington Oaks_North Richland Hills</t>
  </si>
  <si>
    <t>Charles Place_4701_Reserve at Charles Place_Plano</t>
  </si>
  <si>
    <t>Bridgeview Dr_4200_The Marquis at Stonegate_Fort Worth</t>
  </si>
  <si>
    <t>Pebble Creek Cts_3800_Reserve at Pebble Creek_Plano</t>
  </si>
  <si>
    <t>Hulen S_4101_Marquis at Willow Lake_Fort Worth</t>
  </si>
  <si>
    <t>Plaza Dr_1765_Village of Eastgate_Garland</t>
  </si>
  <si>
    <t>Collinwood W Dr_1001_Village at Collinwood_Austin</t>
  </si>
  <si>
    <t>Worth St_2104_Mayfield Park_Arlington</t>
  </si>
  <si>
    <t>Vista Ridge Mall Dr E_350_The Abby at Vista Ridge_Lewisville</t>
  </si>
  <si>
    <t>35 IH E S_1721_Bent Tree_Waxahachie</t>
  </si>
  <si>
    <t>Spring Creek Pkwy_5301_Century Legacy Village_Plano</t>
  </si>
  <si>
    <t>Pebblevale_2301_Mission Collin Creek_Plano</t>
  </si>
  <si>
    <t>Stafford Springs Ave_516_Waterstone Place_Stafford</t>
  </si>
  <si>
    <t>Clayton Ln_1026_Primrose of Shadow Creek_Austin</t>
  </si>
  <si>
    <t>Leah Ave_1441_University Club Apts of San Marcos_San Marcos</t>
  </si>
  <si>
    <t>85 FM Hwy E_3700_Silverton Village_Ennis</t>
  </si>
  <si>
    <t>Chapel Hill_6201_Towns of Chapel Hill_Plano</t>
  </si>
  <si>
    <t>Fairway_6705_Sunset Valley_Houston</t>
  </si>
  <si>
    <t>Hesters Crossing_941_Lakeside at La Frontera_Round Rock</t>
  </si>
  <si>
    <t>35 IH S_7707_Waters at Bluff Springs_Austin</t>
  </si>
  <si>
    <t>Timberline Dr_2400_The Ridge at Timberline_Grapevine</t>
  </si>
  <si>
    <t>Fossil Vista Dr_4699_Amesbury Court_Haltom City</t>
  </si>
  <si>
    <t>Beach St N_6111_The Retreat at Fossil Creek_Fort Worth</t>
  </si>
  <si>
    <t>Green Oaks Blvd NE_1705_Verandahs at Cliffside_Arlington</t>
  </si>
  <si>
    <t>Western Center Blvd_3400_The Club at Fossil Creek_Fort Worth</t>
  </si>
  <si>
    <t>McKinney Ave E_1610_The Parks of Denton_Denton</t>
  </si>
  <si>
    <t>Pioneer #1 W_1012_Olive Branch Apts_Arlington</t>
  </si>
  <si>
    <t>Parkview Ln_2701_The Arbors of Central Park_Bedford</t>
  </si>
  <si>
    <t>Forest Ridge Dr_2200_Arbors on Forest Ridge_Bedford</t>
  </si>
  <si>
    <t>Nandina Dr_1401_Arbrook Park_Arlington</t>
  </si>
  <si>
    <t>Park Row Dr E_3121_Arlington Park_Arlington</t>
  </si>
  <si>
    <t>Ash Ln E_601_Ash Lane_Euless</t>
  </si>
  <si>
    <t>Crawford Ct_1220_The Reserve On Lake Granbury_Granbury</t>
  </si>
  <si>
    <t>Bryant Irvin Rd_5230_Avery Pointe at Cityview_Fort Worth</t>
  </si>
  <si>
    <t>Bardin Rd E_300_Bardin Greene_Arlington</t>
  </si>
  <si>
    <t>Northern Cross Blvd_4200_The Bellagio at Beach Street_Haltom City</t>
  </si>
  <si>
    <t>Park Place_1301_Barrington Crossing_Hurst</t>
  </si>
  <si>
    <t>Browning Dr_6100_The Bluffs at Iron Horse_North Richland Hills</t>
  </si>
  <si>
    <t>Cannon Pkwy_1515_Boulder Ridge_Roanoke</t>
  </si>
  <si>
    <t>Burton Hill_1000_The Park at Westover_Fort Worth</t>
  </si>
  <si>
    <t>Polk Dr_765_The Valencia_Arlington</t>
  </si>
  <si>
    <t>Burney Oaks Ln_2502_Colonial Village at North Arlington_Arlington</t>
  </si>
  <si>
    <t>Bryant Irvin Rd_5209_Cameron Creek_Fort Worth</t>
  </si>
  <si>
    <t>Hulen S_7425_Candletree_Fort Worth</t>
  </si>
  <si>
    <t>Oak Creek Ln_1950_Cantebria Crossing_Bedford</t>
  </si>
  <si>
    <t>Ederville Rd_7412_Carol Oaks_Fort Worth</t>
  </si>
  <si>
    <t>Lamar Blvd E_1500_Carriage House_Arlington</t>
  </si>
  <si>
    <t>Rufe Snow Dr_4205_Castlewinds_North Richland Hills</t>
  </si>
  <si>
    <t>Chatham Green Ln_3532_Chatham Green Village_Arlington</t>
  </si>
  <si>
    <t>Median Way_5700_Chesterfield Apts_Arlington</t>
  </si>
  <si>
    <t>Randol Mill Rd_8951_Chestnut Ridge I &amp; II_Fort Worth</t>
  </si>
  <si>
    <t>Cinnamon Park Cir_2612_Cinnamon Park_Arlington</t>
  </si>
  <si>
    <t>Jefferson Cliffs Way_1635_The Cliffs_Arlington</t>
  </si>
  <si>
    <t>Turner Rd_951_Cobblestone Village_Grapevine</t>
  </si>
  <si>
    <t>360 SH_2001_Collins Park At Bear Creek_Euless</t>
  </si>
  <si>
    <t>Furrs St_2601_The Lodge at Legacy Park_Arlington</t>
  </si>
  <si>
    <t>Park Springs Cir_2115_Commons on Park Springs_Arlington</t>
  </si>
  <si>
    <t>Park Row W_420_Spanish Park_Arlington</t>
  </si>
  <si>
    <t>Oakland Hills Dr_6011_Copper Creek_Fort Worth</t>
  </si>
  <si>
    <t>Hulen St S_6051_Copperfield_Fort Worth</t>
  </si>
  <si>
    <t>Cottonwood Club Dr_2105_Monterra Point_Arlington</t>
  </si>
  <si>
    <t>Lamar Blvd E_525_Countrywood_Arlington</t>
  </si>
  <si>
    <t>Tennis Dr_1501_Courts of Bedford_Bedford</t>
  </si>
  <si>
    <t>Watson Rd N_1301_The Creek at Brookhollow_Arlington</t>
  </si>
  <si>
    <t>Small Block Rd_8299_Creekside at Northlake_Northlake</t>
  </si>
  <si>
    <t>Normandale St W_3001_Crescent Oaks_Fort Worth</t>
  </si>
  <si>
    <t>Grapevine Mills Blvd N_2701_Cross Creek at Grapevine Ranch_Grapevine</t>
  </si>
  <si>
    <t>Sherry St_2004_Cypress Club_Arlington</t>
  </si>
  <si>
    <t>Belknap St E_5709_Desert Sands_Haltom City</t>
  </si>
  <si>
    <t>Keller Pkwy_1300_Dominion Town Center_Keller</t>
  </si>
  <si>
    <t>Meadowbrook Dr_9001_Horizon at Sunridge_Fort Worth</t>
  </si>
  <si>
    <t>Normandale N_8950_Emerald Hills_Fort Worth</t>
  </si>
  <si>
    <t>Enclave Cir_1249_The Enclave at Arlington_Arlington</t>
  </si>
  <si>
    <t>Ash Ln E_855_Enclave at Bear Creek_Euless</t>
  </si>
  <si>
    <t>Harwood Rd_8500_8500 Harwood_North Richland Hills</t>
  </si>
  <si>
    <t>Raider Dr_1304_Euless Square_Euless</t>
  </si>
  <si>
    <t>Coventry Park Dr_5613_Fairway on the Park_Fort Worth</t>
  </si>
  <si>
    <t>7th St W_1001_Firestone Upper West Side_Fort Worth</t>
  </si>
  <si>
    <t>Forest Point Dr_2508_Forest Ridge_Arlington</t>
  </si>
  <si>
    <t>Beach N_5700_Fossil Hill_Fort Worth</t>
  </si>
  <si>
    <t>Beach N_5600_Fossil Ridge_Haltom City</t>
  </si>
  <si>
    <t>Mid Cities Blvd E_750_Fountain Wood at Bear Creek_Euless</t>
  </si>
  <si>
    <t>McKinney E_2401_Fountains of Denton_Denton</t>
  </si>
  <si>
    <t>Village Dr_1600_The Franciscan at Bear Creek_Euless</t>
  </si>
  <si>
    <t>Franciscan_3006_Franciscan of Arlington_Arlington</t>
  </si>
  <si>
    <t>Beach N_6901_Garden Gate-Fort Worth_Fort Worth</t>
  </si>
  <si>
    <t>7th St W_2601_AMLI 7th Street Station_Fort Worth</t>
  </si>
  <si>
    <t>Glenview Dr_7030_Glenview Square_North Richland Hills</t>
  </si>
  <si>
    <t>820 Loop NE_6901_Grayson Ridge_North Richland Hills</t>
  </si>
  <si>
    <t>Grayson Dr_2300_Colonial Village at Grapevine_Grapevine</t>
  </si>
  <si>
    <t>Boca Raton Rd_6501_Havenwood_Fort Worth</t>
  </si>
  <si>
    <t>Heather Hill Ct_2706_Heather Ridge_Arlington</t>
  </si>
  <si>
    <t>Bryant Irvin Rd_5720_Heights of Cityview_Fort Worth</t>
  </si>
  <si>
    <t>Highland Park Dr_5836_Highland Park_Fort Worth</t>
  </si>
  <si>
    <t>Post Oak_3750_Hillcrest_Euless</t>
  </si>
  <si>
    <t>Crump St_300_Hillside_Fort Worth</t>
  </si>
  <si>
    <t>7th St W_410_Historic Electric Building_Fort Worth</t>
  </si>
  <si>
    <t>Holly Park Dr_112_Holly Park_Arlington</t>
  </si>
  <si>
    <t>Ivy Brook Ct_2504_Holly Ridge_Arlington</t>
  </si>
  <si>
    <t>Jennings Ave S_1015_Homes of Parker Commons_Fort Worth</t>
  </si>
  <si>
    <t>Sandshell Dr_5800_The Horizons at Fossil Creek_Fort Worth</t>
  </si>
  <si>
    <t>Hulen S_5700_Hulen Oaks_Fort Worth</t>
  </si>
  <si>
    <t>Fuller Wiser Rd_1001_Hunt Club_Euless</t>
  </si>
  <si>
    <t>Green Oaks Blvd NE_1805_Hunter's Point_Arlington</t>
  </si>
  <si>
    <t>Lamar E_425_Huntington Chase_Arlington</t>
  </si>
  <si>
    <t>Harwood Rd_2900_Huntington Glen_Bedford</t>
  </si>
  <si>
    <t>Bourland Rd_300_Lakes of Stone Glen_Keller</t>
  </si>
  <si>
    <t>Shady Oaks Manor Dr_6501_Lakeview_Fort Worth</t>
  </si>
  <si>
    <t>Springlake Pkwy_5101_Lakeview Terrace_Haltom City</t>
  </si>
  <si>
    <t>Bear Creek Pkwy_1130_The Landing at Bear Creek_Euless</t>
  </si>
  <si>
    <t>Green Oaks Blvd NE_1901_Legacy Point TH_Arlington</t>
  </si>
  <si>
    <t>Boat Club Rd_9385_Legends at Eagle Mountain Lake_Fort Worth</t>
  </si>
  <si>
    <t>Hall Johnson Rd_2551_Lincoln Vineyards_Grapevine</t>
  </si>
  <si>
    <t>River Park Dr_3101_The Lodge at River Park_Fort Worth</t>
  </si>
  <si>
    <t>Alta Vista Rd_13450_Lost Spurs Ranch_Fort Worth</t>
  </si>
  <si>
    <t>360 Hwy_2525_The Mandolin_Euless</t>
  </si>
  <si>
    <t>121 SH_2400_Regency by the Vineyard_Colleyville</t>
  </si>
  <si>
    <t>Marine Creek Pkwy_4500_Marine Creek_Fort Worth</t>
  </si>
  <si>
    <t>820 Loop E_2100_Brentwood_Fort Worth</t>
  </si>
  <si>
    <t>Sierra Springs Dr_1400_Meadows of Bedford I_Bedford</t>
  </si>
  <si>
    <t>Airport Fwy_2801_Colonial Village at Willow Creek_Bedford</t>
  </si>
  <si>
    <t>Fuller Wiser Rd_1200_Colonial Grand at Bear Creek_Euless</t>
  </si>
  <si>
    <t>Misty Ridge Cir_2300_The Biltmore_Arlington</t>
  </si>
  <si>
    <t>Turner_501_Montelena_Grapevine</t>
  </si>
  <si>
    <t>Bryant Irvin Rd_5350_Montevista_Fort Worth</t>
  </si>
  <si>
    <t>Boland St_150_Monticello Oaks TH_Fort Worth</t>
  </si>
  <si>
    <t>Matlock Rd_2900_Mustang Creek_Arlington</t>
  </si>
  <si>
    <t>Ash Ln E_700_Norstar at Bear Creek_Euless</t>
  </si>
  <si>
    <t>Wynncrest Ln_1108_Oak Forest_Arlington</t>
  </si>
  <si>
    <t>Park Blvd_601_Oaks at Park Boulevard_Grapevine</t>
  </si>
  <si>
    <t>Ascension Blvd_2100_The Oaks of Arlington_Arlington</t>
  </si>
  <si>
    <t>Park Place Blvd_2001_The Creek on Park Place_Bedford</t>
  </si>
  <si>
    <t>Ash Ln E_800_Overlook at Bear Creek_Euless</t>
  </si>
  <si>
    <t>John T. White Rd_8700_Papillon Park TH_Fort Worth</t>
  </si>
  <si>
    <t>Post Oak Blvd_3700_Paradise Hills_Euless</t>
  </si>
  <si>
    <t>Denton Dr E_333_Parc Plaza_Euless</t>
  </si>
  <si>
    <t>Beach N_6960_Park Creek_Fort Worth</t>
  </si>
  <si>
    <t>Homedale_1505_Park Place_Fort Worth</t>
  </si>
  <si>
    <t>L. Don Dodson_2401_Kensington Station_Bedford</t>
  </si>
  <si>
    <t>Pinion Dr_907_Parkland Pointe_Arlington</t>
  </si>
  <si>
    <t>Hill Trl Dr_700_Parkside on the Creek_Euless</t>
  </si>
  <si>
    <t>Willowood Cir_3500_The Pavilion_Arlington</t>
  </si>
  <si>
    <t>Little Rd_3740_Pineridge_Arlington</t>
  </si>
  <si>
    <t>Shady Ln Blvd_1300_Point Loma Woods_Bedford</t>
  </si>
  <si>
    <t>Greenway Glen_901_Polo Run_Arlington</t>
  </si>
  <si>
    <t>Lamar Blvd E_1224_The Ponde_Arlington</t>
  </si>
  <si>
    <t>Ascension Blvd_2500_Ascension Point_Arlington</t>
  </si>
  <si>
    <t>Arbrook Blvd W_1601_Providence In The Park_Arlington</t>
  </si>
  <si>
    <t>Booth Calloway_3830_Raintree_Richland Hills</t>
  </si>
  <si>
    <t>Meadowbrook Blvd_8901_La Jolla on Meadowbrook_Fort Worth</t>
  </si>
  <si>
    <t>Oak Hill Cir_2450_Orion at Oak Hill_Fort Worth</t>
  </si>
  <si>
    <t>Henderson St_1000_AMLI at Upper West Side_Fort Worth</t>
  </si>
  <si>
    <t>Trinity Bend Cir_2711_Riverbend Village_Arlington</t>
  </si>
  <si>
    <t>River Park Dr_3451_River Park Place_Fort Worth</t>
  </si>
  <si>
    <t>River Valley Blvd_5100_River Ranch_Fort Worth</t>
  </si>
  <si>
    <t>River Park Dr_3450_Riverstone_Fort Worth</t>
  </si>
  <si>
    <t>Grayson Dr_2050_The Royal St. Moritz_Grapevine</t>
  </si>
  <si>
    <t>Granbury Cut-Off_6250_The Villas at LeBlanc_Fort Worth</t>
  </si>
  <si>
    <t>Arbor Town Cir_1516_Sedona Springs_Arlington</t>
  </si>
  <si>
    <t>121 SH_2500_Seramont_Euless</t>
  </si>
  <si>
    <t>Buenos Aires Dr_6715_Shadow Creek_North Richland Hills</t>
  </si>
  <si>
    <t>Hamilton Cir_4001_Shadow Ridge_Arlington</t>
  </si>
  <si>
    <t>Central Park Blvd_2500_Colonial Village at Shoal Creek_Bedford</t>
  </si>
  <si>
    <t>Lamar Blvd E_1100_The Shores_Arlington</t>
  </si>
  <si>
    <t>Harwood Rd_8359_Silver Creek by Norstar_North Richland Hills</t>
  </si>
  <si>
    <t>Grapevine Mills Pkwy_3701_The Marquis at Silver Oaks_Grapevine</t>
  </si>
  <si>
    <t>Southern Hills Blvd_2624_Southern Hills_Arlington</t>
  </si>
  <si>
    <t>Springlake Pkwy_5301_Spring Lake_Haltom City</t>
  </si>
  <si>
    <t>Main S_807_Spring Valley_Euless</t>
  </si>
  <si>
    <t>Turnberry Dr_2801_St. Andrews at River Park_Arlington</t>
  </si>
  <si>
    <t>Oak Hill Cir_2501_Stonegate Villas_Fort Worth</t>
  </si>
  <si>
    <t>Beach N_7000_Summer Brook at North Beach_Fort Worth</t>
  </si>
  <si>
    <t>L. Don Dodson_2301_Summerstone_Bedford</t>
  </si>
  <si>
    <t>Ridge Haven Dr_1604_Summit Ridge_Arlington</t>
  </si>
  <si>
    <t>Crystal Springs_3001_Surrey Oaks_Bedford</t>
  </si>
  <si>
    <t>Sycamore School Rd_4633_Sycamore Hill_Fort Worth</t>
  </si>
  <si>
    <t>Sycamore School Rd_2201_Sycamore Pointe_Fort Worth</t>
  </si>
  <si>
    <t>Sycamore Ln_501_Tall Timbers_Euless</t>
  </si>
  <si>
    <t>College Cir N_7784_Tan Tara Club_North Richland Hills</t>
  </si>
  <si>
    <t>Woodway Dr_6301_The Carlton_Fort Worth</t>
  </si>
  <si>
    <t>Post Oak Blvd_3720_The Vaucluse_Euless</t>
  </si>
  <si>
    <t>Walnut St E_844_Ticknor Terrace_Grapevine</t>
  </si>
  <si>
    <t>Timberlake Dr_834_Las Lomas_Arlington</t>
  </si>
  <si>
    <t>Glenview Ct_4401-A_Towne Oaks_North Richland Hills</t>
  </si>
  <si>
    <t>Green Oaks NE_811_Trinity Oaks_Arlington</t>
  </si>
  <si>
    <t>Trinity Height_1707_Trinity Trace_Arlington</t>
  </si>
  <si>
    <t>Pipeline Rd E_101_Valley Oaks_Hurst</t>
  </si>
  <si>
    <t>Central Park Dr_2300_The Village at Central Park_Bedford</t>
  </si>
  <si>
    <t>Grapevine Hwy_8515_The Villas on the Green_North Richland Hills</t>
  </si>
  <si>
    <t>Shady Oaks Manor_6303_Vistas at Lake Worth_Fort Worth</t>
  </si>
  <si>
    <t>Valleycreek Ln_5901_Walnut Creek_Arlington</t>
  </si>
  <si>
    <t>Lamar E_611_Waterchase_Arlington</t>
  </si>
  <si>
    <t>John T. White Rd_7000_Waters Landing_Fort Worth</t>
  </si>
  <si>
    <t>Las Vegas Trl_1823_Westlake Gardens_Fort Worth</t>
  </si>
  <si>
    <t>Dove Loop Rd E_820_Wildwood Creek_Grapevine</t>
  </si>
  <si>
    <t>Sycamore School Rd_1301_Willow Glen_Fort Worth</t>
  </si>
  <si>
    <t>Calmont_8725_Wind River_Fort Worth</t>
  </si>
  <si>
    <t>Windstone Dr_4624_Bardin Oaks_Arlington</t>
  </si>
  <si>
    <t>Murphy Rd_2200_Windmill Terrace Apts_Bedford</t>
  </si>
  <si>
    <t>Windsprint Way_2305_Windsprint_Arlington</t>
  </si>
  <si>
    <t>Landers Ln_3657_Landers Lane TH_Arlington</t>
  </si>
  <si>
    <t>Post Oak Blvd_3875_Wood Hollow_Euless</t>
  </si>
  <si>
    <t>Meadow Crest Dr_6897_Wood Meadow_North Richland Hills</t>
  </si>
  <si>
    <t>Martin Dr_2700_Woodbridge_Bedford</t>
  </si>
  <si>
    <t>Ash Ln E_1000_Woodchase_Euless</t>
  </si>
  <si>
    <t>Stoneybrook Dr_6001_La Plaza_Fort Worth</t>
  </si>
  <si>
    <t>Park Blvd_655_Woodlake_Grapevine</t>
  </si>
  <si>
    <t>Plum Ln_2216_Sutter Creek_Arlington</t>
  </si>
  <si>
    <t>Boca Raton_6101_Wyndham Pointe_Fort Worth</t>
  </si>
  <si>
    <t>Grand Ave Pkwy_1525_Riverhorse Ranch_Pflugerville</t>
  </si>
  <si>
    <t>Jupiter Rd_12825_Villas at La Risa_Dallas</t>
  </si>
  <si>
    <t>Preston Rd_6600_Camden Legacy Park_Plano</t>
  </si>
  <si>
    <t>Liveoak_5400_5400 Liveoak_Dallas</t>
  </si>
  <si>
    <t>Walnut St_10110_Briarwyck_Dallas</t>
  </si>
  <si>
    <t>Prestonwood Blvd_15190_Turnberry Isle_Dallas</t>
  </si>
  <si>
    <t>Preston Rd_19019_19019 Preston TH_Dallas</t>
  </si>
  <si>
    <t>Gaston Ave_6011_6011 Gaston_Dallas</t>
  </si>
  <si>
    <t>Aden Rd_2200_Aden Crest_Fort Worth</t>
  </si>
  <si>
    <t>NW Hillery_355_Arbors of Burleson_Burleson</t>
  </si>
  <si>
    <t>Bernard St_1103_Arbors of Denton_Denton</t>
  </si>
  <si>
    <t>Oakmont Trl_6000_Arbors on Oakmont_Fort Worth</t>
  </si>
  <si>
    <t>15th St E_1901_Amber Vista_Plano</t>
  </si>
  <si>
    <t>Bellaire Dr S_4600_Marquis at Bellaire Ranch_Fort Worth</t>
  </si>
  <si>
    <t>Cross Creek Ln_5513_Cross Creek Ranch_Benbrook</t>
  </si>
  <si>
    <t>Williams Rd_4635_Benbrook Manor_Benbrook</t>
  </si>
  <si>
    <t>Alma Dr_7301_Steeplechase_Plano</t>
  </si>
  <si>
    <t>Steppington_10640_The Steppington_Dallas</t>
  </si>
  <si>
    <t>Fair Oaks Ave_7407_City Central_Dallas</t>
  </si>
  <si>
    <t>Rolling Rock_9624_Summer Glen_Dallas</t>
  </si>
  <si>
    <t>Ohio Dr_6000_Summer Meadows_Plano</t>
  </si>
  <si>
    <t>Thackery_8600_Renaissance Preston Hollow_Dallas</t>
  </si>
  <si>
    <t>Preston Rd_17717_Summer Villas_Dallas</t>
  </si>
  <si>
    <t>Preston Rd_1500_Summers Crossing_Plano</t>
  </si>
  <si>
    <t>Frankford_7575_Estates on Frankford_Dallas</t>
  </si>
  <si>
    <t>Holly Hill_7317_Sunchase Square_Dallas</t>
  </si>
  <si>
    <t>Finley_3201_Adrianna's El Morocco_Irving</t>
  </si>
  <si>
    <t>Peterson Ln_5444_Suncrest_Dallas</t>
  </si>
  <si>
    <t>Chase Oaks Blvd_7101_Thornbury at Chase Oaks_Plano</t>
  </si>
  <si>
    <t>Military Pkwy_1025_Allenhurst_Mesquite</t>
  </si>
  <si>
    <t>Melody Ln_6011_Three Fountains Retirement Center_Dallas</t>
  </si>
  <si>
    <t>Glen America_7777_Tonti Lakeside_Dallas</t>
  </si>
  <si>
    <t>Village Way_7120_Concord at Gulfgate_Houston</t>
  </si>
  <si>
    <t>Knoll Trl_15678_The Merce_Dallas</t>
  </si>
  <si>
    <t>Fisher Rd_6418_Treehaven_Dallas</t>
  </si>
  <si>
    <t>Live Oak_4906_Indian Creek_Dallas</t>
  </si>
  <si>
    <t>Trellis Pl_206_Trellis Place Duplexes_Richardson</t>
  </si>
  <si>
    <t>Trinity Mills_2522_Trinity Crossing_Carrollton</t>
  </si>
  <si>
    <t>Country Club Dr_2000_River Oaks_Wylie</t>
  </si>
  <si>
    <t>Ohio Dr_2525_Highlands of Preston II_Plano</t>
  </si>
  <si>
    <t>Keller Springs_5353_Saddle Brook_Dallas</t>
  </si>
  <si>
    <t>David Memorial_19445_Oak Haven_The Woodlands</t>
  </si>
  <si>
    <t>Ferguson_11511_Shadow Brook North_Dallas</t>
  </si>
  <si>
    <t>Larmanda_6809_Sheffield Manor_Dallas</t>
  </si>
  <si>
    <t>Preston_13717_Carillon House_Dallas</t>
  </si>
  <si>
    <t>Spring Creek E_2001_Sheridan Park at Spring Creek_Plano</t>
  </si>
  <si>
    <t>University Blvd E_5750_The Carlyle_Dallas</t>
  </si>
  <si>
    <t>Peterson_5351_Carolina Chase_Dallas</t>
  </si>
  <si>
    <t>Apollo_2379_Shiloh Oaks_Garland</t>
  </si>
  <si>
    <t>Park E_3500_Shiloh Park TH_Plano</t>
  </si>
  <si>
    <t>Belt Line Rd E_1600_Carrollton Arms_Carrollton</t>
  </si>
  <si>
    <t>Lovers Ln E_5936_Signature Pointe_Dallas</t>
  </si>
  <si>
    <t>Caruth Haven_5445_The Caruth At Lincoln Park_Dallas</t>
  </si>
  <si>
    <t>Bay Area Blvd W_780_Terrace at Clear Lake_Webster</t>
  </si>
  <si>
    <t>Independence Pkwy_1717_Cornerstone Ranch_Plano</t>
  </si>
  <si>
    <t>Walnut Hill Ln_11100_Silverado Springs_Dallas</t>
  </si>
  <si>
    <t>Parker Rd W_7001_The Preserve at Arbor Hills_Plano</t>
  </si>
  <si>
    <t>Irving Heights S_863_Casa Bella_Irving</t>
  </si>
  <si>
    <t>Sotogrande Blvd_1700_Westdale Hills Augusta_Euless</t>
  </si>
  <si>
    <t>Forest Ln_9590_Snug Harbor_Dallas</t>
  </si>
  <si>
    <t>Fallwood_2409_Autumnwood_Arlington</t>
  </si>
  <si>
    <t>Spring Creek Pkwy W_3801_Somerset at Spring Creek_Plano</t>
  </si>
  <si>
    <t>Castleglen Dr_1004_Castleglen TH_Garland</t>
  </si>
  <si>
    <t>Barnes Dr S_238_Legacy Pointe_Garland</t>
  </si>
  <si>
    <t>Arapaho Rd_7050_Sonoma at Hillcrest_Dallas</t>
  </si>
  <si>
    <t>Sandhurst_5925_Spanish Steppes_Dallas</t>
  </si>
  <si>
    <t>Schroeder_12708_Lyndon Manor_Dallas</t>
  </si>
  <si>
    <t>Jupiter Rd N_110_Spanish Villa_Garland</t>
  </si>
  <si>
    <t>Cranford_1910_Little Brooks_Garland</t>
  </si>
  <si>
    <t>El Estado_15534_Villas At Monterey_Dallas</t>
  </si>
  <si>
    <t>Lloyd Dr_18790_Preston Bend_Dallas</t>
  </si>
  <si>
    <t>Preston Rd_15889_London Park_Dallas</t>
  </si>
  <si>
    <t>Roe Hampton_18331_The Manhattan_Dallas</t>
  </si>
  <si>
    <t>Shenandoah_2700_Calmont Villas_Fort Worth</t>
  </si>
  <si>
    <t>Eastchase Pkwy_1601_Bentley Square_Fort Worth</t>
  </si>
  <si>
    <t>Walnut St W_4362_Country Village TH_Garland</t>
  </si>
  <si>
    <t>McCallum Blvd_7777_Courts of McCallum_Dallas</t>
  </si>
  <si>
    <t>Holly Hill_7117_Park Towne Villas_Dallas</t>
  </si>
  <si>
    <t>Crosby Rd E_1400_La Sombra_Carrollton</t>
  </si>
  <si>
    <t>Bent Tree Forest Dr_5330_Covington Pointe_Dallas</t>
  </si>
  <si>
    <t>16th St W_651_Creek Walk_Plano</t>
  </si>
  <si>
    <t>Abrams_5680_Lafayette House_Dallas</t>
  </si>
  <si>
    <t>Meadowcreek_5426_Celery Stalk_Dallas</t>
  </si>
  <si>
    <t>Jupiter Rd_12660_Spring House_Dallas</t>
  </si>
  <si>
    <t>Beltline_5769_Laguna Terrace_Dallas</t>
  </si>
  <si>
    <t>Arapaho_5665_St. Moritz_Dallas</t>
  </si>
  <si>
    <t>Towne Maine Dr_8205_The Lincoln at Towne Square_Plano</t>
  </si>
  <si>
    <t>Preston Rd_2525_Madison Willow Bend_Plano</t>
  </si>
  <si>
    <t>Windcrest Dr_6300_Creekside Homes in Legacy_Plano</t>
  </si>
  <si>
    <t>Preston Rd_19251_Lincoln Crossing_Dallas</t>
  </si>
  <si>
    <t>Arapaho Rd_5990_Preston Greens_Dallas</t>
  </si>
  <si>
    <t>Walnut W_3200_Crest Ridge_Garland</t>
  </si>
  <si>
    <t>Villa Creek_2835_London Villa_Farmers Branch</t>
  </si>
  <si>
    <t>Crosby Rd E_1300_Crosby Creek_Carrollton</t>
  </si>
  <si>
    <t>Jupiter Rd_12800_Madison_Dallas</t>
  </si>
  <si>
    <t>Meadow Rd_8111_Central Meadow East_Dallas</t>
  </si>
  <si>
    <t>Beltline Rd_5811_Preston Del Norte Condo Apts_Dallas</t>
  </si>
  <si>
    <t>Legacy Dr_300_Saxony at Chase Oaks_Plano</t>
  </si>
  <si>
    <t>Alpha Rd_5557_Dallas North_Dallas</t>
  </si>
  <si>
    <t>Preston Rd_17601_Preston Villas_Dallas</t>
  </si>
  <si>
    <t>Beltline Rd E_1600-1610_Carrollton Arms-Del Mar_Carrollton</t>
  </si>
  <si>
    <t>Belt Line Rd_6069_Grand Seasons_Dallas</t>
  </si>
  <si>
    <t>McCallum_7825_Chatham Court_Dallas</t>
  </si>
  <si>
    <t>Fuller_1130_Casawood_Dallas</t>
  </si>
  <si>
    <t>Roehampton_18333_Cimarron Court_Dallas</t>
  </si>
  <si>
    <t>McCallum_7815_Chatham Court Reflections_Dallas</t>
  </si>
  <si>
    <t>Lone Tree Apartment A_10429_Easton Terrace_Dallas</t>
  </si>
  <si>
    <t>Lloyd Cir_18909_Preston Village_Dallas</t>
  </si>
  <si>
    <t>Steppington_10501_Madison Park Apts_Dallas</t>
  </si>
  <si>
    <t>Bandera #1_6407_Drexel Village_Dallas</t>
  </si>
  <si>
    <t>Thackery St_8629_Drexel Village_Dallas</t>
  </si>
  <si>
    <t>Coit_17817_Mandalay_Dallas</t>
  </si>
  <si>
    <t>Patricia Ln_2828_English Village_Garland</t>
  </si>
  <si>
    <t>Hillcrest_15505_Prestonwood Hillcrest_Dallas</t>
  </si>
  <si>
    <t>LBJ Fwy_6104_Citadel at Preston_Dallas</t>
  </si>
  <si>
    <t>Walnut Plaza_1919_Estrada_Carrollton</t>
  </si>
  <si>
    <t>Custer_9601_Bella Vida at Ridgeview Country Club_Plano</t>
  </si>
  <si>
    <t>Melody Ln_5951_Rosemont at Melody Village_Dallas</t>
  </si>
  <si>
    <t>Bent Tree Forest Cir_15905_Fairways of Bent Tree_Dallas</t>
  </si>
  <si>
    <t>Arapaho_5930_Monaco Parc_Dallas</t>
  </si>
  <si>
    <t>Mapleshade Ln_6606_Mapleshade Park_Dallas</t>
  </si>
  <si>
    <t>Keller Springs_6350_Prestonwood Trails_Dallas</t>
  </si>
  <si>
    <t>Miller Rd W_1214_Miller Garden_Garland</t>
  </si>
  <si>
    <t>Mccallum_7795_Mccallum Corners_Dallas</t>
  </si>
  <si>
    <t>Melody Ln_6415_Quarters_Dallas</t>
  </si>
  <si>
    <t>Bonnie Dr_3241_Bonnie Royal_Fort Worth</t>
  </si>
  <si>
    <t>McCallum_7720_McCallum Crossings_Dallas</t>
  </si>
  <si>
    <t>Campus Dr_4500_Ladera Palms_Fort Worth</t>
  </si>
  <si>
    <t>Waterview S_925_New Orleans_Richardson</t>
  </si>
  <si>
    <t>McCallum Blvd_6565_McCallum Highlands_Dallas</t>
  </si>
  <si>
    <t>Ridgeview_2901_Ranch at Ridgeview_Plano</t>
  </si>
  <si>
    <t>Jupiter S_402_Forest Glen_Garland</t>
  </si>
  <si>
    <t>Randol Mill Rd_8925_La Jolla Ridge_Fort Worth</t>
  </si>
  <si>
    <t>McCallum Blvd_7760_McCallum Meadows_Dallas</t>
  </si>
  <si>
    <t>Woodmeadow Pkwy_11434_New World_Dallas</t>
  </si>
  <si>
    <t>Randol Mill Rd_8900_La Jolla Terrace_Fort Worth</t>
  </si>
  <si>
    <t>Dickerson_17708_Mccallum Oaks_Dallas</t>
  </si>
  <si>
    <t>Kingsley_10850_Newport Landing_Dallas</t>
  </si>
  <si>
    <t>Hulen S_6822_Candle Chase_Fort Worth</t>
  </si>
  <si>
    <t>McCallum Blvd_7650_Ashwood Park Apts_Dallas</t>
  </si>
  <si>
    <t>River Park Dr_2751_The Canyons_Fort Worth</t>
  </si>
  <si>
    <t>Tacoma_518_Meadow Creek_Garland</t>
  </si>
  <si>
    <t>Gaston Ave_7204_7204 Gaston_Dallas</t>
  </si>
  <si>
    <t>Northgate Dr W_4200_Burn Brae_Irving</t>
  </si>
  <si>
    <t>Maham_14000_Teruko Springs_Dallas</t>
  </si>
  <si>
    <t>Cedar Hill_901_Cedar Oak_Dallas</t>
  </si>
  <si>
    <t>Golf Lake Trl_9600_Camden Glen Lakes_Dallas</t>
  </si>
  <si>
    <t>Vega Dr_6300_Carlyle Crossing_Fort Worth</t>
  </si>
  <si>
    <t>Ridgecrest Rd_6041_Northridge Court_Dallas</t>
  </si>
  <si>
    <t>Meadow Creek_5200_Meadow Crest_Dallas</t>
  </si>
  <si>
    <t>Jupiter S_320_Hickory_Garland</t>
  </si>
  <si>
    <t>Ridgecrest Rd_6431_Northridge Villas_Dallas</t>
  </si>
  <si>
    <t>Medalist E_6533_Highpoint TH_Plano</t>
  </si>
  <si>
    <t>16th St E_623_Oak Gate_Plano</t>
  </si>
  <si>
    <t>Boca Raton_5700_The Huntington_Fort Worth</t>
  </si>
  <si>
    <t>Elizabeth Ln_6709_Carriage Square_Fort Worth</t>
  </si>
  <si>
    <t>Woodmeadow Pkwy_11050_Oak Meadow_Dallas</t>
  </si>
  <si>
    <t>Gordon St SW_400_Crestbrook_Burleson</t>
  </si>
  <si>
    <t>Andrews Ave_400_Cedar Square_Dallas</t>
  </si>
  <si>
    <t>Cimarron Trl_101_Camden Cimarron_Irving</t>
  </si>
  <si>
    <t>Oakland Hill_6100_Casa Villa_Fort Worth</t>
  </si>
  <si>
    <t>School Rd_1506_Old Town Place_Carrollton</t>
  </si>
  <si>
    <t>Holly Hill Dr_7112_Holly Bend_Dallas</t>
  </si>
  <si>
    <t>Las Vegas Trl S_238_Central Park TH_White Settlement</t>
  </si>
  <si>
    <t>White Settlement Rd_3900_Crestwood Place_Fort Worth</t>
  </si>
  <si>
    <t>Polk S_3288_Chalmette_Dallas</t>
  </si>
  <si>
    <t>Brentwood Stair Rd_8300_The Brentwood_Fort Worth</t>
  </si>
  <si>
    <t>Melody Ln_6262_Hyde Park Condos_Dallas</t>
  </si>
  <si>
    <t>Kingsley Dr W_1520_Orchard Square_Garland</t>
  </si>
  <si>
    <t>Red Sierra_6520_Chaparral_Fort Worth</t>
  </si>
  <si>
    <t>Stuart_3815_Crystal Wood_Denton</t>
  </si>
  <si>
    <t>Lombardy_3130_Juliana Place_Dallas</t>
  </si>
  <si>
    <t>Fair Oaks Dr_7225_The Ivy_Dallas</t>
  </si>
  <si>
    <t>Webbs Chapel_9765_Chapel Brook_Dallas</t>
  </si>
  <si>
    <t>Eastchase Pkwy_1901_Chase_Fort Worth</t>
  </si>
  <si>
    <t>Pandora Dr_13100_Pace's Cove_Dallas</t>
  </si>
  <si>
    <t>Callaston Ln_5925_Cherry Hill_Fort Worth</t>
  </si>
  <si>
    <t>Hulen Bend Blvd_6500_The Lofts on Hulen_Fort Worth</t>
  </si>
  <si>
    <t>Hidalgo Dr_3410_Chapel Creek_Dallas</t>
  </si>
  <si>
    <t>Meadowbrook Dr_5720_Spanish Village_Fort Worth</t>
  </si>
  <si>
    <t>Knoll Trl_15820_Kensington Square I &amp; II_Dallas</t>
  </si>
  <si>
    <t>Central Expwy N_10843_Advenir at Foxmoor_Dallas</t>
  </si>
  <si>
    <t>Tyler S_3800_Carousel Court_Dallas</t>
  </si>
  <si>
    <t>Hulen S_6047_Chesapeake_Fort Worth</t>
  </si>
  <si>
    <t>Fall Meadow_3210_Denton North_Denton</t>
  </si>
  <si>
    <t>Preston Rd_17878_Park On Preston_Dallas</t>
  </si>
  <si>
    <t>Walnut W_3820_Kent_Garland</t>
  </si>
  <si>
    <t>Lake Ave_4503_Casa Blanca I_Dallas</t>
  </si>
  <si>
    <t>Lake Ave_4619_Casa Blanca II_Dallas</t>
  </si>
  <si>
    <t>La Palma Dr_8900_Chisholm Trail TH_Fort Worth</t>
  </si>
  <si>
    <t>River Park Dr_3301_Vieux Coulee_Fort Worth</t>
  </si>
  <si>
    <t>Brentwood Stair_5108_Devonwood_Fort Worth</t>
  </si>
  <si>
    <t>Glenbrook Dr S_1839_Park Ridge Community_Garland</t>
  </si>
  <si>
    <t>WestCreek_6100_Cinnamon Tree_Fort Worth</t>
  </si>
  <si>
    <t>Miller Ave_4600_Nueva Vista Apts_Fort Worth</t>
  </si>
  <si>
    <t>Medalist Cir S_900_Park Springs TH_Plano</t>
  </si>
  <si>
    <t>Bachman Dr_2807_Bachman Place_Dallas</t>
  </si>
  <si>
    <t>Bahama Dr_2540_Bahama Glen_Dallas</t>
  </si>
  <si>
    <t>Blackwell St_5827_Park Vali Hai_Dallas</t>
  </si>
  <si>
    <t>Hulen Bend Blvd_6351_Coffee Creek_Fort Worth</t>
  </si>
  <si>
    <t>Colorado Blvd_2700_The Ridge at North Texas_Denton</t>
  </si>
  <si>
    <t>Garrison Rd_3150_Kensington Park_Corinth</t>
  </si>
  <si>
    <t>Fox Ave W_1020_Basswood Manor_Lewisville</t>
  </si>
  <si>
    <t>Round Grove Rd E_195_Colonial Village at Oak Bend_Lewisville</t>
  </si>
  <si>
    <t>Texas Blvd N_218_Eagle's Landing Condo Apts_Denton</t>
  </si>
  <si>
    <t>Karen Cir_6051_Colony On The Green_Fort Worth</t>
  </si>
  <si>
    <t>Buckner Blvd N_2777_Buckner Park_Dallas</t>
  </si>
  <si>
    <t>McCallum Blvd_7780_The Gables on McCallum_Dallas</t>
  </si>
  <si>
    <t>Joyce Ln_3400_Kingswood_Denton</t>
  </si>
  <si>
    <t>Colorado Blvd_1939_Colorado Court_Denton</t>
  </si>
  <si>
    <t>Dallas_1200_La Colina_Denton</t>
  </si>
  <si>
    <t>Westridge Ln_6109_Commons at Ridglea_Fort Worth</t>
  </si>
  <si>
    <t>Kingsley W_1901_Parkside_Garland</t>
  </si>
  <si>
    <t>Linda Dr_3302_Andora_Dallas</t>
  </si>
  <si>
    <t>Edgewood Terrace S_501_Edgewood Oaks_Fort Worth</t>
  </si>
  <si>
    <t>Larga Dr_9494_Chapel Oaks_Dallas</t>
  </si>
  <si>
    <t>Parkwood Blvd_3200_The Wellington at Willow Bend_Plano</t>
  </si>
  <si>
    <t>La Plaza_8597_La Plaza_White Settlement</t>
  </si>
  <si>
    <t>Ralph St_400_The Legacy_White Settlement</t>
  </si>
  <si>
    <t>Gallery Dr_18383_The Gallery_Dallas</t>
  </si>
  <si>
    <t>Hallmark Dr S_7125_Emerald Trails_Fort Worth</t>
  </si>
  <si>
    <t>Pineland_5811_Pinebranch_Dallas</t>
  </si>
  <si>
    <t>Teasley Ln_2007_La Prairie_Denton</t>
  </si>
  <si>
    <t>Normandale W_2925_Point West_Fort Worth</t>
  </si>
  <si>
    <t>Throckmorton_2607_Chevelle_Dallas</t>
  </si>
  <si>
    <t>Polo Club Dr S_3386_The Polo Club_Fort Worth</t>
  </si>
  <si>
    <t>Vista Way_125_Lakeview_Benbrook</t>
  </si>
  <si>
    <t>Melody Ln_6517_Garden Ridge_Dallas</t>
  </si>
  <si>
    <t>Heights_807_Hidden Valley Estates_Fort Worth</t>
  </si>
  <si>
    <t>Lancaster Ave E_5200_Lancaster_Fort Worth</t>
  </si>
  <si>
    <t>Walnut W_3910_Pineview_Garland</t>
  </si>
  <si>
    <t>Nursery Rd N_730_Casa del Sol_Irving</t>
  </si>
  <si>
    <t>Ruddell N_1920_Fairways at University_Denton</t>
  </si>
  <si>
    <t>Players Club_2525_Players Club_Dallas</t>
  </si>
  <si>
    <t>Vail_17811_Gardens at Vail_Dallas</t>
  </si>
  <si>
    <t>Bridge_5801_Lincoln Meadow_Fort Worth</t>
  </si>
  <si>
    <t>Highland Hills_6271_Highland Park Apts_Dallas</t>
  </si>
  <si>
    <t>Boca Raton_5401_Falcon Ridge_Fort Worth</t>
  </si>
  <si>
    <t>Lovers Ln_6044_Plaza On Lovers Lane_Dallas</t>
  </si>
  <si>
    <t>Normandale S_9001_The Falls_Fort Worth</t>
  </si>
  <si>
    <t>Teasly Ln_1721_Londonderry Oaks_Denton</t>
  </si>
  <si>
    <t>Barnes Dr S_245_Garland Gardens_Garland</t>
  </si>
  <si>
    <t>Brentwood Stair Rd_8200_Fireside at Eastchase_Fort Worth</t>
  </si>
  <si>
    <t>Southwestern Blvd_8203_The Gate_Dallas</t>
  </si>
  <si>
    <t>Audra Ln_400_Mack Park_Denton</t>
  </si>
  <si>
    <t>Stone Canyon_10588_Pointe at Stone Canyon_Dallas</t>
  </si>
  <si>
    <t>Calmont_8225_Manitoba_Fort Worth</t>
  </si>
  <si>
    <t>Cloverleaf Ln_1900_Cloverleaf_Irving</t>
  </si>
  <si>
    <t>Oakland Hills Dr_6050_The Lodge_Fort Worth</t>
  </si>
  <si>
    <t>Overton Ridge Blvd_5301_Marina Club_Fort Worth</t>
  </si>
  <si>
    <t>Webb Chapel_3130_Cluster_Dallas</t>
  </si>
  <si>
    <t>Park Place Ave_2306_Forest Park Tower_Fort Worth</t>
  </si>
  <si>
    <t>Martin Rd_5741_Post Legacy_Plano</t>
  </si>
  <si>
    <t>Westminister_1810_Forest Ridge_Denton</t>
  </si>
  <si>
    <t>Meadowbrook Gardens Dr_2324_Escalante Park_Fort Worth</t>
  </si>
  <si>
    <t>Hildring Dr E_5054_Fountains_Fort Worth</t>
  </si>
  <si>
    <t>Windhaven_6201_Windhaven Park_Plano</t>
  </si>
  <si>
    <t>Hidden Creek Pkwy_328_Fountains of Burleson_Burleson</t>
  </si>
  <si>
    <t>Coles Manor Place_4829_Birchwood_Dallas</t>
  </si>
  <si>
    <t>Walden Ave_5074_Fountains Square_Fort Worth</t>
  </si>
  <si>
    <t>Randol Mill_9001_Mill Valley_Fort Worth</t>
  </si>
  <si>
    <t>Congress Ave_4321_Braes Brook_Dallas</t>
  </si>
  <si>
    <t>CF Hawn Fwy_13700_Bridle Path_Dallas</t>
  </si>
  <si>
    <t>Lancaster E_4761_La Hacienda_Fort Worth</t>
  </si>
  <si>
    <t>Shoaf Dr_1954_Britain Way_Irving</t>
  </si>
  <si>
    <t>Carroll Blvd S_524_Gazebo_Denton</t>
  </si>
  <si>
    <t>Marvin D. Love Fwy_8081_Brandon Mill_Dallas</t>
  </si>
  <si>
    <t>Bailey Ave N_154_Monticello_Fort Worth</t>
  </si>
  <si>
    <t>Lake Ave_4710_Brandywine_Dallas</t>
  </si>
  <si>
    <t>Saint Donovan_180_Monticello Crossroads_Fort Worth</t>
  </si>
  <si>
    <t>Nursery Rd S_831_Brentwood_Irving</t>
  </si>
  <si>
    <t>Bellaire S_5608_Greenwood Creek_Benbrook</t>
  </si>
  <si>
    <t>Emerald Crest Dr_7924_Saddle Creek_White Settlement</t>
  </si>
  <si>
    <t>Boca Raton Blvd_5901_Oak Hollow_Fort Worth</t>
  </si>
  <si>
    <t>Teasly Ln_1810_Oak Meadows_Denton</t>
  </si>
  <si>
    <t>Merrick St_2658_Taj Mahal_Fort Worth</t>
  </si>
  <si>
    <t>8th Ave_550_Harris Gardens_Fort Worth</t>
  </si>
  <si>
    <t>Perry St_1126_Congress_Irving</t>
  </si>
  <si>
    <t>Hulen Bend_6401_Township on Hulen Bend_Fort Worth</t>
  </si>
  <si>
    <t>S Fwy_2900_Morning Side_Fort Worth</t>
  </si>
  <si>
    <t>Altoona Dr_4170_Windsor TH_Dallas</t>
  </si>
  <si>
    <t>820 Loop SW_4151_Fountain's Corner_Fort Worth</t>
  </si>
  <si>
    <t>Alcott_4828_Continental House_Dallas</t>
  </si>
  <si>
    <t>Bonnie Brae St S_200_University Courtyard_Denton</t>
  </si>
  <si>
    <t>Ederville_7301_Valencia Palms_Fort Worth</t>
  </si>
  <si>
    <t>Hulen S_6625_Valhalla_Fort Worth</t>
  </si>
  <si>
    <t>Vega Dr_6351_Oakwood_Fort Worth</t>
  </si>
  <si>
    <t>Esters_3303_Windtree_Irving</t>
  </si>
  <si>
    <t>Meadow Brook_8651_The Place at Vanderbilt_Fort Worth</t>
  </si>
  <si>
    <t>Barbara Rd_4600_Hidden Oaks_River Oaks</t>
  </si>
  <si>
    <t>Elm St_3311_Continental Lofts_Dallas</t>
  </si>
  <si>
    <t>Chickering Rd_6869_Oakwood Estates I &amp; II_Fort Worth</t>
  </si>
  <si>
    <t>Vickery W_7100_The Monterrey_Fort Worth</t>
  </si>
  <si>
    <t>Boca Raton_5817_Villa Del Rio_Fort Worth</t>
  </si>
  <si>
    <t>Ebo St_151_Windtree_Kaufman</t>
  </si>
  <si>
    <t>Village St E_1700_Village East_Denton</t>
  </si>
  <si>
    <t>Normandale W_3101_The Hills_Fort Worth</t>
  </si>
  <si>
    <t>Collett Little Rd_5201_Villas by the Lake_Fort Worth</t>
  </si>
  <si>
    <t>Marvin D. Love Fwy_7878_The Corners_Dallas</t>
  </si>
  <si>
    <t>Coury_917_Oakwood Terrace_Everman</t>
  </si>
  <si>
    <t>Las Vegas Trl_2821_Warren House_Fort Worth</t>
  </si>
  <si>
    <t>Valley Meadow_3120_Cornerstone Chase_Dallas</t>
  </si>
  <si>
    <t>Calmont Ave_8701_Warren Terrace_Fort Worth</t>
  </si>
  <si>
    <t>35 IH S E_2411_Pace's Crossing_Denton</t>
  </si>
  <si>
    <t>Londonderry_900_Holly Hills_Denton</t>
  </si>
  <si>
    <t>Rock Island_1330_Country Brook_Irving</t>
  </si>
  <si>
    <t>Las Vegas Trl_2819_Warwick_Fort Worth</t>
  </si>
  <si>
    <t>Spencer Rd_2100_Waterford at Spencer Oaks_Denton</t>
  </si>
  <si>
    <t>Walton Ave #101_2819_Wedgewood_Fort Worth</t>
  </si>
  <si>
    <t>Renzel Blvd_3501_Palm House_Fort Worth</t>
  </si>
  <si>
    <t>Wellesley_4727_Wells Point_Fort Worth</t>
  </si>
  <si>
    <t>Chaucer_7251_Bella Vista_Dallas</t>
  </si>
  <si>
    <t>Locust St N_3232_Cooper Glen_Denton</t>
  </si>
  <si>
    <t>Las Vegas Trl_3000_West Point Pines_Fort Worth</t>
  </si>
  <si>
    <t>Tallow Wind Trl_7415_Hulen Gardens_Fort Worth</t>
  </si>
  <si>
    <t>Pleasant Run Rd_3947_Wood Wind Condominiums_Irving</t>
  </si>
  <si>
    <t>Gunnison Trl_2900_Westchase_Fort Worth</t>
  </si>
  <si>
    <t>River Walk Dr_5644_Copper Crossing I &amp; II_Benbrook</t>
  </si>
  <si>
    <t>Belt Line Rd N_4060_Woodchase Condos_Irving</t>
  </si>
  <si>
    <t>Dixon Cir_3872_Southdale Apts II_Dallas</t>
  </si>
  <si>
    <t>Hills Ave S_3481_Westcliff Manor_Fort Worth</t>
  </si>
  <si>
    <t>Wellesley_4720_Hulen Hills I_Fort Worth</t>
  </si>
  <si>
    <t>Dale Ln_801_Parkdale_Fort Worth</t>
  </si>
  <si>
    <t>Woodhollow Dr_4424_Woodhollow_Dallas</t>
  </si>
  <si>
    <t>Westcreek Ct N_5961_Westcreek Court TH_Fort Worth</t>
  </si>
  <si>
    <t>Wellesley Ave_4720_Hulen Hills II_Fort Worth</t>
  </si>
  <si>
    <t>Hercules_708_Cornerstone_Denton</t>
  </si>
  <si>
    <t>Jim Miller Rd S_202_Asante_Dallas</t>
  </si>
  <si>
    <t>Cliffridge Ln_2933_Western Hills_Fort Worth</t>
  </si>
  <si>
    <t>Coronado Dr_301_Coronado North_Denton</t>
  </si>
  <si>
    <t>Rogers Rd_1701_Park Lane (demolished)_Fort Worth</t>
  </si>
  <si>
    <t>John Rd W_1615_Villas At Montierra I_Dallas</t>
  </si>
  <si>
    <t>Coronado Dr_113_Coronado Villas_Denton</t>
  </si>
  <si>
    <t>Avril Ct N_8841_Westridge_Fort Worth</t>
  </si>
  <si>
    <t>Northgate W_3541_Woodland Hills_Irving</t>
  </si>
  <si>
    <t>Wonder Dr_5250_Granbury Hills_Fort Worth</t>
  </si>
  <si>
    <t>Royal Ln_5608_Country Bend_Benbrook</t>
  </si>
  <si>
    <t>Brentwood Stair Rd_4500_Quail Ridge_Fort Worth</t>
  </si>
  <si>
    <t>Calmont Ave_8021_Westview Terrace_Fort Worth</t>
  </si>
  <si>
    <t>Eldridge St_3602_Hulen Park Place TH_Fort Worth</t>
  </si>
  <si>
    <t>West Northgate_3725_Woodland Ridge I_Irving</t>
  </si>
  <si>
    <t>McKinney E_1606_Country Park_Denton</t>
  </si>
  <si>
    <t>Hulen Place_4212_Hulen Place_Fort Worth</t>
  </si>
  <si>
    <t>Morriss Rd_4100_Timber Ridge I &amp; II_Flower Mound</t>
  </si>
  <si>
    <t>Old Benbrook_4200_Westwind_Fort Worth</t>
  </si>
  <si>
    <t>Altamesa_2515_Railridge_Fort Worth</t>
  </si>
  <si>
    <t>Block Dr_4023_Estelle Creek-Woodmeade_Irving</t>
  </si>
  <si>
    <t>Normandale N_9200_Country Place_Fort Worth</t>
  </si>
  <si>
    <t>Hunter Park Cir_3236_Hunter Park_Fort Worth</t>
  </si>
  <si>
    <t>Sam Bass Blvd_1710_Westwind_Denton</t>
  </si>
  <si>
    <t>Riverpark Dr_3201_Courtyard at River Park_Fort Worth</t>
  </si>
  <si>
    <t>Calmont_6760_Courtyard on Calmont_Fort Worth</t>
  </si>
  <si>
    <t>Rochelle Rd W_3429_Woodside Villas_Irving</t>
  </si>
  <si>
    <t>River Ranch Blvd_4850_Hunter's Ridge_Fort Worth</t>
  </si>
  <si>
    <t>Las Vegas Trl_3254_Sierra Hermosa_Fort Worth</t>
  </si>
  <si>
    <t>Parkridge Ct_2501_Park Ridge_Fort Worth</t>
  </si>
  <si>
    <t>Bernard St_1407_Ramsgate_Denton</t>
  </si>
  <si>
    <t>Cedarplaza_3304_Woodtrail_Dallas</t>
  </si>
  <si>
    <t>35 IH E S_500_Coventry_Denton</t>
  </si>
  <si>
    <t>Overton Ridge Blvd_5101_Hunters Green_Fort Worth</t>
  </si>
  <si>
    <t>McKinney Ave_2808_Post Worthington_Dallas</t>
  </si>
  <si>
    <t>Boca Raton_6000_Park Terrace_Fort Worth</t>
  </si>
  <si>
    <t>Bryant Irvin_5200_Coventry at Cityview_Fort Worth</t>
  </si>
  <si>
    <t>Handley Dr_2121_Regency Oaks_Fort Worth</t>
  </si>
  <si>
    <t>Finbro_6218_Creek Hollow_Fort Worth</t>
  </si>
  <si>
    <t>Creek W_6776_Dakota Ridge_Fort Worth</t>
  </si>
  <si>
    <t>Bennett Ave_2014_Wyndham Gardens_Dallas</t>
  </si>
  <si>
    <t>Overton Ridge_5701_Remington Hill_Fort Worth</t>
  </si>
  <si>
    <t>Willow Creek_3327_Tanner Place_Irving</t>
  </si>
  <si>
    <t>John T. White_7050_Whisperwoods_Fort Worth</t>
  </si>
  <si>
    <t>Peavy Rd_2970_Casa Bella_Dallas</t>
  </si>
  <si>
    <t>Camp Bowie_3320_Residences of Museum Place_Fort Worth</t>
  </si>
  <si>
    <t>Westmount_1441_Westmount Place Condos_Dallas</t>
  </si>
  <si>
    <t>Willow Ridge_1001_White Lake Hills_Fort Worth</t>
  </si>
  <si>
    <t>Ridgemar Blvd_2300_Park Villas I_Fort Worth</t>
  </si>
  <si>
    <t>Druid Hills_4115_Westridge_Dallas</t>
  </si>
  <si>
    <t>Dale Ln Ct_9211_The Ridge_White Settlement</t>
  </si>
  <si>
    <t>Crowley_7251_Park West_Fort Worth</t>
  </si>
  <si>
    <t>Cole Ave_3700_Marquis at West Village_Dallas</t>
  </si>
  <si>
    <t>Dallas Dr_1300_Ridgecrest_Denton</t>
  </si>
  <si>
    <t>Nursery Rd N_1306_Westwind_Irving</t>
  </si>
  <si>
    <t>Ridgecrest Trl_6055_Ridgecrest at Hulen Bend_Fort Worth</t>
  </si>
  <si>
    <t>Spruce Valley Ln_3064_Westwood_Dallas</t>
  </si>
  <si>
    <t>Highland Village_400_Courtyards_Mesquite</t>
  </si>
  <si>
    <t>Ridgemar Plaza_2409_Ridgemont_Fort Worth</t>
  </si>
  <si>
    <t>Webb Chapel_2631_Westwood_Dallas</t>
  </si>
  <si>
    <t>Northgate Dr W_4310_Westwood Village_Irving</t>
  </si>
  <si>
    <t>Woodhollow_4302_Pebble Cove_Dallas</t>
  </si>
  <si>
    <t>Wheatland Rd W_443_Wheatland Terrace_Dallas</t>
  </si>
  <si>
    <t>Ridgmar Blvd_2323_Willowick_Fort Worth</t>
  </si>
  <si>
    <t>Boca Raton Blvd_5816_Willows at Woodhaven_Fort Worth</t>
  </si>
  <si>
    <t>Sappington Place_3101_Parkside_Fort Worth</t>
  </si>
  <si>
    <t>Taxco Rd_2200_Ridgmar Manor_Fort Worth</t>
  </si>
  <si>
    <t>Sumter Dr_3232_Big Block I_Dallas</t>
  </si>
  <si>
    <t>Aden Rd_2001_Park Plaza_Fort Worth</t>
  </si>
  <si>
    <t>Las Vegas_3064_Wilshire West_Fort Worth</t>
  </si>
  <si>
    <t>Shady Grove W_1407_Willowbend_Irving</t>
  </si>
  <si>
    <t>Ridgmar Plaza_2324_Renaissance Two_Fort Worth</t>
  </si>
  <si>
    <t>Oakhurst Scenic Dr_952_Parkview Village_Fort Worth</t>
  </si>
  <si>
    <t>Ridgmar Blvd_2508_Ridgmar Square_Fort Worth</t>
  </si>
  <si>
    <t>Duchess_191_McKinney Park_Denton</t>
  </si>
  <si>
    <t>Ridgmar Blvd_2201_Renaissance Gardens_Fort Worth</t>
  </si>
  <si>
    <t>Westmount Ave_510_Telstar_Dallas</t>
  </si>
  <si>
    <t>Renzel Blvd_3500_Wind Rush_Fort Worth</t>
  </si>
  <si>
    <t>Pennsylvania Ave_250_Pennsylvania Place_Fort Worth</t>
  </si>
  <si>
    <t>Bellaire S_5707_River Glen_Benbrook</t>
  </si>
  <si>
    <t>Windsor Dr E_521_Windsor Village_Denton</t>
  </si>
  <si>
    <t>Pleasant Run_4299_Vineyard_Irving</t>
  </si>
  <si>
    <t>Cotswold Hills Dr_5600_Windtree_Fort Worth</t>
  </si>
  <si>
    <t>Las Vegas Trl_2840_El Rancho Escondido_Fort Worth</t>
  </si>
  <si>
    <t>RiveRd Ct_3309_River Park_Fort Worth</t>
  </si>
  <si>
    <t>Boca Raton_5400_Hillside View Apts_Fort Worth</t>
  </si>
  <si>
    <t>Gaston_5923_Verandahs at White Rock_Dallas</t>
  </si>
  <si>
    <t>Rockbrook Dr_2201_Rockbrook Village_Lewisville</t>
  </si>
  <si>
    <t>Cole Ave_2803_Post Vintage_Dallas</t>
  </si>
  <si>
    <t>Teasley Ln_1408_Woodhill_Denton</t>
  </si>
  <si>
    <t>Sandy Ln_1525_Sandy Oaks_Fort Worth</t>
  </si>
  <si>
    <t>Pershing Ave_6200_The Place at Westover Hills_Fort Worth</t>
  </si>
  <si>
    <t>Ledbetter Dr E_1130_Terrace Hills_Dallas</t>
  </si>
  <si>
    <t>Ederville Rd_8551_The Woods Of Eastchase_Fort Worth</t>
  </si>
  <si>
    <t>Belmont_5619_Vickory Tower at Belmont_Dallas</t>
  </si>
  <si>
    <t>Normandale N_9201_Woodhill_Fort Worth</t>
  </si>
  <si>
    <t>Kingswood Dr_7501_The Savoy_Fort Worth</t>
  </si>
  <si>
    <t>Weiler Blvd_1404_Woodlake_Fort Worth</t>
  </si>
  <si>
    <t>Webb Chapel Extension_3435_Victorian_Dallas</t>
  </si>
  <si>
    <t>Morrison_1401_Sahara Palms_Fort Worth</t>
  </si>
  <si>
    <t>Calmont_8300_Serrano_Fort Worth</t>
  </si>
  <si>
    <t>Las Vegas Trl_2800_Miramonte_Fort Worth</t>
  </si>
  <si>
    <t>John T. White_7040_The Woodlands_Fort Worth</t>
  </si>
  <si>
    <t>John T. White_8515_Silver Leaf Villas_Fort Worth</t>
  </si>
  <si>
    <t>Rochelle W_1000_Waterford Court_Irving</t>
  </si>
  <si>
    <t>Glen Garden Dr_1212_La Acienda Gardens_Fort Worth</t>
  </si>
  <si>
    <t>Royal Ln_2838_Spanish Gardens_Dallas</t>
  </si>
  <si>
    <t>Marvin D. Love Fwy_5301_Way_Dallas</t>
  </si>
  <si>
    <t>Seminary E_1200_South Gate Manor_Fort Worth</t>
  </si>
  <si>
    <t>Wheatland W_1301_Southwinds_Dallas</t>
  </si>
  <si>
    <t>820 Loop E_500_Woodridge_Fort Worth</t>
  </si>
  <si>
    <t>Pioneer W_2851_Pioneer House_Irving</t>
  </si>
  <si>
    <t>Wedglea Dr_2511_The Indigo_Dallas</t>
  </si>
  <si>
    <t>Thornhill E_100_South Plaza_Fort Worth</t>
  </si>
  <si>
    <t>Airport Fwy W_1551_Spanish Haven_Irving</t>
  </si>
  <si>
    <t>Hulen S_5500_Southern Oaks_Fort Worth</t>
  </si>
  <si>
    <t>Boca Raton_5950_Woodstock_Fort Worth</t>
  </si>
  <si>
    <t>Country Club Rd N_3604_Spanish Oaks_Irving</t>
  </si>
  <si>
    <t>Overton Rd E_3550_Village Oaks_Dallas</t>
  </si>
  <si>
    <t>Jim Miller Rd N_1441_Pleasant Grove_Dallas</t>
  </si>
  <si>
    <t>Ferguson Rd_7803_Spring Gardens_Dallas</t>
  </si>
  <si>
    <t>Bridge_6051_Woodstone_Fort Worth</t>
  </si>
  <si>
    <t>Martin_1712_Southgate Glen_Weatherford</t>
  </si>
  <si>
    <t>Buckner N_2703_Spring Hollow_Dallas</t>
  </si>
  <si>
    <t>Throckmorton_2612_Village Square_Dallas</t>
  </si>
  <si>
    <t>Woodway Dr_6201_Woodway on the Greene_Fort Worth</t>
  </si>
  <si>
    <t>Berry E_2201_A la Primavera_Fort Worth</t>
  </si>
  <si>
    <t>Edmonds Ln_1002_Village West I &amp; II_Lewisville</t>
  </si>
  <si>
    <t>Saint Juliet St_3200_Spring Glen_Fort Worth</t>
  </si>
  <si>
    <t>Legendary Ln_3604_Springridge_Dallas</t>
  </si>
  <si>
    <t>Hamilton Ave_3100_Spring Hill_Fort Worth</t>
  </si>
  <si>
    <t>Cedar Springs Rd_3604_Marquis on Cedar Springs_Dallas</t>
  </si>
  <si>
    <t>Cedar Springs_4810_Springs_Dallas</t>
  </si>
  <si>
    <t>Ederville_7501_Steeplechase_Fort Worth</t>
  </si>
  <si>
    <t>University Village Dr_400_University Village_Richardson</t>
  </si>
  <si>
    <t>La Vista Dr_7425_Park Glen_Dallas</t>
  </si>
  <si>
    <t>Ridgmar Plaza_2200_Steppes_Fort Worth</t>
  </si>
  <si>
    <t>Park Sq Dr_2957_Park Grove Square_Irving</t>
  </si>
  <si>
    <t>Ohio Dr_2501_Valencia_Plano</t>
  </si>
  <si>
    <t>Oakland Hills_6001_Sterling Pointe_Fort Worth</t>
  </si>
  <si>
    <t>Saint Augustine N_1198_St. Augustine_Dallas</t>
  </si>
  <si>
    <t>Country Day Ln_4250_Country Day Apts_Fort Worth</t>
  </si>
  <si>
    <t>Lancaster E_5009_Stratton Royale_Fort Worth</t>
  </si>
  <si>
    <t>Stag Rd_3130_Villas of Sorrento_Dallas</t>
  </si>
  <si>
    <t>Chapel Creek Dr_3211_Casa Place II_Dallas</t>
  </si>
  <si>
    <t>Summit Dr_9500_Summit On The Ridge_Benbrook</t>
  </si>
  <si>
    <t>Dallas Dr_1030_Camino Del Sol_Denton</t>
  </si>
  <si>
    <t>S Fwy_6608_Sun Ridge_Fort Worth</t>
  </si>
  <si>
    <t>Lancaster Ave E_4925_Sunrise_Fort Worth</t>
  </si>
  <si>
    <t>Irving Blvd E_1516_Brittany Place_Irving</t>
  </si>
  <si>
    <t>Community_2610_Primavera_Dallas</t>
  </si>
  <si>
    <t>Dennis Rd_11457_Northaven Park_Dallas</t>
  </si>
  <si>
    <t>Chapel Creek Dr_3303_Casa Place I_Dallas</t>
  </si>
  <si>
    <t>Gus Thomasson Rd_4300_Princeton_Mesquite</t>
  </si>
  <si>
    <t>Sycamore School Rd_2920_Sycamore Trace_Fort Worth</t>
  </si>
  <si>
    <t>Fair Oaks Ave_7319_Vickery Creek_Dallas</t>
  </si>
  <si>
    <t>Starlight Rd_9709_Starlight_Dallas</t>
  </si>
  <si>
    <t>Stone Canyon Rd_10702_Viewpoint &amp; Woodbridge_Dallas</t>
  </si>
  <si>
    <t>Douglas Ave_2800_Stepping Stone_Dallas</t>
  </si>
  <si>
    <t>Clydedale Dr_2911_Villas Del Lago_Dallas</t>
  </si>
  <si>
    <t>Westmoreland S_7575_Park Village_Dallas</t>
  </si>
  <si>
    <t>Pioneer W_4600_Lakeview Apts_Irving</t>
  </si>
  <si>
    <t>Link Dr_803_Red Bird Village_Duncanville</t>
  </si>
  <si>
    <t>Community Dr_2833_Parkside Place_Dallas</t>
  </si>
  <si>
    <t>Military Pkwy_8008_Parkway Garden-Norvell Garden_Dallas</t>
  </si>
  <si>
    <t>Walnut Hill Ln_3503_San Simeon_Irving</t>
  </si>
  <si>
    <t>Lyte St_1607_Magnolia Station_Dallas</t>
  </si>
  <si>
    <t>Irby Ln N_400_Parkwood_Irving</t>
  </si>
  <si>
    <t>Shore N_4323_Reserve at Las Brisas I_Irving</t>
  </si>
  <si>
    <t>Norwalk_3132_Big Block II_Dallas</t>
  </si>
  <si>
    <t>Bowser Ave_4406_Manhattan_Dallas</t>
  </si>
  <si>
    <t>Brockbank_9505_Santa Fe_Dallas</t>
  </si>
  <si>
    <t>Oradell_3102_El Sol Del Lago_Dallas</t>
  </si>
  <si>
    <t>Greenway Blvd_7700_Pavilion Townplace_Dallas</t>
  </si>
  <si>
    <t>Highland Dr_501_The Marquis at Vista Ridge_Lewisville</t>
  </si>
  <si>
    <t>William Brewster_2200_Pebblebrook_Irving</t>
  </si>
  <si>
    <t>Irving Heights Dr_1609_Meadowbrook Heights_North Irving</t>
  </si>
  <si>
    <t>Irving Heights Dr N_230-409_Heights_Irving</t>
  </si>
  <si>
    <t>Kendale_3001_Pecan Tree_Dallas</t>
  </si>
  <si>
    <t>Kiest Blvd W_4542_Kimball Square_Dallas</t>
  </si>
  <si>
    <t>Grauwyler E_811_Kings Manor_Irving</t>
  </si>
  <si>
    <t>Illinois E_2625_Kings Square_Dallas</t>
  </si>
  <si>
    <t>Balch Springs Rd_3212_Autumn Run_Balch Springs</t>
  </si>
  <si>
    <t>Polk S_3299_Landmark_Dallas</t>
  </si>
  <si>
    <t>Hilltop_932_Pecan Village_Irving</t>
  </si>
  <si>
    <t>Fordham_3410_Hemingway House_Dallas</t>
  </si>
  <si>
    <t>Duncanville Rd_4753_Heritage Square_Dallas</t>
  </si>
  <si>
    <t>Leigh Ann Dr_7938_Leigh Ann_Dallas</t>
  </si>
  <si>
    <t>Hickory Tree Rd_1602_Hickory Tree_Mesquite</t>
  </si>
  <si>
    <t>Empire Central_2203_Ko Ko_Dallas</t>
  </si>
  <si>
    <t>Vista Ridge Mall Dr E_650_Limestone Ranch_Lewisville</t>
  </si>
  <si>
    <t>RL Thornton Fwy E_7777_La Arboleda_Dallas</t>
  </si>
  <si>
    <t>John Rd W_1721_Villas At Montierra II (Azalea Court)_Dallas</t>
  </si>
  <si>
    <t>Mariposa_4303_La Costa_Irving</t>
  </si>
  <si>
    <t>Northaven_2775_Sierra Vista_Dallas</t>
  </si>
  <si>
    <t>Rainier St_4447_Avalon Villas_Irving</t>
  </si>
  <si>
    <t>Pinehurst Ln_1901_Country Club Mesquite_Mesquite</t>
  </si>
  <si>
    <t>Bahama_2538_Oakwood_Dallas</t>
  </si>
  <si>
    <t>Cockrell Hill Rd S_2704_Highland Road Village_Dallas</t>
  </si>
  <si>
    <t>Irving Blvd W_2119_Highland Oaks Village_Irving</t>
  </si>
  <si>
    <t>Highland Park Ct_91_Highland Park_Irving</t>
  </si>
  <si>
    <t>Webb Chapel_9825_Chase Place_Dallas</t>
  </si>
  <si>
    <t>Ledbetter W_4791_Smith Creek_Dallas</t>
  </si>
  <si>
    <t>Peavy Rd_1254_Lake Chateau_Dallas</t>
  </si>
  <si>
    <t>Wadsworth_4950_Oakwood Place_Dallas</t>
  </si>
  <si>
    <t>Highland Rd_2359_The Highlands_Dallas</t>
  </si>
  <si>
    <t>80 Hwy E_2735_Oakwood Village_Mesquite</t>
  </si>
  <si>
    <t>Finley Rd_2504_Finley Terrace_Irving</t>
  </si>
  <si>
    <t>Wheatland Rd W_1005_Crystal Creek_Dallas</t>
  </si>
  <si>
    <t>Ledbetter Dr E_3035_Oasis Park_Dallas</t>
  </si>
  <si>
    <t>Oates Dr_1805_Oates Creek_Mesquite</t>
  </si>
  <si>
    <t>Sumter_3219_Big Block III_Dallas</t>
  </si>
  <si>
    <t>Redman Ave_1144_Somerset Park_Mesquite</t>
  </si>
  <si>
    <t>Dixon Ave_3727_Southdale_Dallas</t>
  </si>
  <si>
    <t>Prichard Ln_2910_Hillside_Dallas</t>
  </si>
  <si>
    <t>Park Ln_8317_Acacia Village_Dallas</t>
  </si>
  <si>
    <t>Colorado W_2732_Mill Run_Dallas</t>
  </si>
  <si>
    <t>6th St W_430_Imperial Courtyard_Irving</t>
  </si>
  <si>
    <t>Military Pkwy_9710_Holly Park_Dallas</t>
  </si>
  <si>
    <t>Metker_707_Metker Place_Irving</t>
  </si>
  <si>
    <t>Forest Park_5720_Inwood on the Park_Dallas</t>
  </si>
  <si>
    <t>Argentia_1910_Parks at Wynnewood_Dallas</t>
  </si>
  <si>
    <t>Coombs Creek Dr_2520_Park Creek Manor_Dallas</t>
  </si>
  <si>
    <t>Mockingbird Ln E_5331_The Lofts at Mockingbird Station_Dallas</t>
  </si>
  <si>
    <t>Brockbank_9501_Regal Villas_Dallas</t>
  </si>
  <si>
    <t>Moulin Rouge_1251_Moulin Rouge_Dallas</t>
  </si>
  <si>
    <t>Mountain Valley Ln_5875_Mountain Valley_Dallas</t>
  </si>
  <si>
    <t>Preakness Ln_5324_Mountain View_Dallas</t>
  </si>
  <si>
    <t>Metker_1005_Irving Place_Irving</t>
  </si>
  <si>
    <t>Esters Rd_1400_Foxborough_Irving</t>
  </si>
  <si>
    <t>Rock Island Rd_2700_Island West_Irving</t>
  </si>
  <si>
    <t>Atlantic_1930_Courtyards at Emery Park_Dallas</t>
  </si>
  <si>
    <t>Villa Cliff_7802_Enchanted Hills_Dallas</t>
  </si>
  <si>
    <t>Hartsdale_1239_French Colony_Dallas</t>
  </si>
  <si>
    <t>Amherst Dr_1121_Amherst_Bedford</t>
  </si>
  <si>
    <t>Industrial Blvd S_311_Shadow Creek_Euless</t>
  </si>
  <si>
    <t>Belt Line Rd N_4003_Glen Arbor_Irving</t>
  </si>
  <si>
    <t>Mayfield Rd_2901_Mission Mayfield Downs_Grand Prairie</t>
  </si>
  <si>
    <t>Arkansas Ln E_701_Blue Bonnet TH_Arlington</t>
  </si>
  <si>
    <t>Union Bower W_200_Garden Gate_Irving</t>
  </si>
  <si>
    <t>Waverly_3638_Brookridge-Parks Villas_Arlington</t>
  </si>
  <si>
    <t>Park Blvd_1400_Dove Park_Grapevine</t>
  </si>
  <si>
    <t>White Ave_1904_Brookwood Fourplexes_Mckinney</t>
  </si>
  <si>
    <t>Regency Ct_1601_Eagle Crest_Arlington</t>
  </si>
  <si>
    <t>Peach St_930_Collins Creek_Arlington</t>
  </si>
  <si>
    <t>Evergreen_3791_Evergreen Condos_Irving</t>
  </si>
  <si>
    <t>Grauwyler W_2700_Executive_Irving</t>
  </si>
  <si>
    <t>Calais Way_2108_Springfield at Ballpark Way_Arlington</t>
  </si>
  <si>
    <t>Turner Ave_255_Elizabeth Gardens_Roanoke</t>
  </si>
  <si>
    <t>Sam Calloway_5750_Calloway Place_River Oaks</t>
  </si>
  <si>
    <t>Emerald Hills Way_8341_Emerald Park_North Richland Hills</t>
  </si>
  <si>
    <t>Plymouth N_704-718_Sonoma_Dallas</t>
  </si>
  <si>
    <t>Villa Dr_1001_Concord House_Euless</t>
  </si>
  <si>
    <t>12 Loop S_7203_Grove Village_Dallas</t>
  </si>
  <si>
    <t>Maplewood Ave_7500_Emerald Run_North Richland Hills</t>
  </si>
  <si>
    <t>Highland Rd_2149_Crestwood_Dallas</t>
  </si>
  <si>
    <t>Park Dr_306_Concord Terrace_Euless</t>
  </si>
  <si>
    <t>Bissonnet_11555_Catalina_Houston</t>
  </si>
  <si>
    <t>Cooper Sq Cir_812_Cooper Park_Arlington</t>
  </si>
  <si>
    <t>Centreport Dr_3999_Camden Centreport_Fort Worth</t>
  </si>
  <si>
    <t>Rd Six Flags W_521_Cooper Ridge_Arlington</t>
  </si>
  <si>
    <t>Harwood_2400_Copper Canyon_Bedford</t>
  </si>
  <si>
    <t>Westmoreland Rd S_7550_Harbors-Plum Tree_Dallas</t>
  </si>
  <si>
    <t>Golden Creek Ln_2710_Copper Chase_Arlington</t>
  </si>
  <si>
    <t>Ridgecrest Cir_500_Camelot Square_Saginaw</t>
  </si>
  <si>
    <t>Bedford Rd_3000_Copper Hill_Bedford</t>
  </si>
  <si>
    <t>Fair Oaks Blvd_301_The Lodge at Main_Euless</t>
  </si>
  <si>
    <t>Peavy Rd_2815_Dalton Place_Dallas</t>
  </si>
  <si>
    <t>Merrill N_800_Fairmeadows_Duncanville</t>
  </si>
  <si>
    <t>Benge Dr_806_Campus Walk_Arlington</t>
  </si>
  <si>
    <t>Denton Hwy_4040_Cornerstone_Haltom City</t>
  </si>
  <si>
    <t>Summit_515_Campus West_Arlington</t>
  </si>
  <si>
    <t>Arkansas Ln W_1801_Springfield Crossing_Arlington</t>
  </si>
  <si>
    <t>3rd St E_110_Coronado_Arlington</t>
  </si>
  <si>
    <t>Westview Terrace_1727_Fielder Crossing Condos_Arlington</t>
  </si>
  <si>
    <t>Pioneer W_1409_Danvilla_Irving</t>
  </si>
  <si>
    <t>Fielder S_3601_Fielders Glen_Arlington</t>
  </si>
  <si>
    <t>Dickey Rd_513_Cottonwood Square_Grand Prairie</t>
  </si>
  <si>
    <t>Jones Dr_1600_Carriage Hill-Carriage Park_Arlington</t>
  </si>
  <si>
    <t>Saint Francis_3550_Deer Creek_Dallas</t>
  </si>
  <si>
    <t>Sotogrande Blvd_1401_Westdale Hills Firestone_Euless</t>
  </si>
  <si>
    <t>Forest Oaks_2408_Forest Oaks_Arlington</t>
  </si>
  <si>
    <t>Oak St S_415_Aquarius_Arlington</t>
  </si>
  <si>
    <t>Mustang Dr_2913_The Courtyards at Mustang_Grapevine</t>
  </si>
  <si>
    <t>Forest Park Cir_1552_Forest Park Apts_Bedford</t>
  </si>
  <si>
    <t>Nursery Rd N_1204_Demasiado_Irving</t>
  </si>
  <si>
    <t>Willowcrest Dr_3325_Appian Way_North Richland Hills</t>
  </si>
  <si>
    <t>Baker Blvd_6324_Country View_Haltom City</t>
  </si>
  <si>
    <t>Denton Dr_4735_Rio Vista (Demolished)_Dallas</t>
  </si>
  <si>
    <t>Oak Creek Ln_1611_Oak Creek Apts_Bedford</t>
  </si>
  <si>
    <t>Beltline S_531_Carrier Arms_Grand Prairie</t>
  </si>
  <si>
    <t>Ferguson Rd_7229_White Rock Hills TH_Dallas</t>
  </si>
  <si>
    <t>Bolton Boone Dr_2600_Courtyards at Kirnwood_Desoto</t>
  </si>
  <si>
    <t>McDonald N_3300_Creek Point_McKinney</t>
  </si>
  <si>
    <t>Fuller Wiser_1002_Arbors of Euless_Euless</t>
  </si>
  <si>
    <t>San Francisco Ct_1500_Cascades_Arlington</t>
  </si>
  <si>
    <t>Douglas_3109_Cheville Apts_Dallas</t>
  </si>
  <si>
    <t>Hickory_7275_Foxhaven_Frisco</t>
  </si>
  <si>
    <t>Central Dr_805_Hampton's At Central_Bedford</t>
  </si>
  <si>
    <t>Wintergreen W_212_Creekwood_Desoto</t>
  </si>
  <si>
    <t>Woodside_2885_Drexel Grand_Dallas</t>
  </si>
  <si>
    <t>Honeysuckle Way_1111_Arlington Oaks_Arlington</t>
  </si>
  <si>
    <t>121 Hwy_2452_Harwood Hills_Bedford</t>
  </si>
  <si>
    <t>Abram W_815_Catalina_Arlington</t>
  </si>
  <si>
    <t>Randol Mill Rd W_2601_Arlington Villa_Arlington</t>
  </si>
  <si>
    <t>Nasa Pkwy_1315_Regatta I_Houston</t>
  </si>
  <si>
    <t>Commerce_525_Crestwood AH_Azle</t>
  </si>
  <si>
    <t>Hightower Dr_6889_The Abbey at Hightower_North Richland Hills</t>
  </si>
  <si>
    <t>Fountains Dr_3419_Fountains of Rosenberg_Rosenberg</t>
  </si>
  <si>
    <t>Holly Brook_2606_Cedar Bend_Arlington</t>
  </si>
  <si>
    <t>Ridge Run Rd_2300_Heather Glen TH_Arlington</t>
  </si>
  <si>
    <t>Harriett_2215_Arlington Village_Arlington</t>
  </si>
  <si>
    <t>Gannon_3913_Eagle Pointe_Dallas</t>
  </si>
  <si>
    <t>Polk Dr_724_Cypress Chase_Arlington</t>
  </si>
  <si>
    <t>Washington Dr_707_Oak Creek_Arlington</t>
  </si>
  <si>
    <t>Sherry_1609_Garden Park_Arlington</t>
  </si>
  <si>
    <t>Green Oaks Ct_501_Cedar Creek_Arlington</t>
  </si>
  <si>
    <t>Abram W_1020_Heather Way_Arlington</t>
  </si>
  <si>
    <t>Haverwood_4909_Mission Gleneagles-Creekside_Dallas</t>
  </si>
  <si>
    <t>Shadybrook Dr_1948_Gardens of Bedford_Bedford</t>
  </si>
  <si>
    <t>Warren Pkwy_8404_Cypress Lake at Stonebriar_Frisco</t>
  </si>
  <si>
    <t>Adams Dr_5501_The Heritage Apts_Haltom City</t>
  </si>
  <si>
    <t>Ash Park #29_3210_Ash Park_Richland Hills</t>
  </si>
  <si>
    <t>Irish Dr #A_7808_Davis Plaza_North Richland Hills</t>
  </si>
  <si>
    <t>Fielder Rd S_3550_Ashford Park TH_Arlington</t>
  </si>
  <si>
    <t>Statler Blvd_14300_Gateways at Centerport_Fort Worth</t>
  </si>
  <si>
    <t>Linda Vista Ave_901_CJ Heritage_Arlington</t>
  </si>
  <si>
    <t>Dayton_2029_Dayton Square_Haltom City</t>
  </si>
  <si>
    <t>Ashcroft Ln_2305_Aspen Court_Arlington</t>
  </si>
  <si>
    <t>Cedar Point_2020_Cedar Point_Arlington</t>
  </si>
  <si>
    <t>Del Prado Dr_928_Del Prado at Texas Star_Euless</t>
  </si>
  <si>
    <t>Bedford Rd_328_Gentry's Walk_Bedford</t>
  </si>
  <si>
    <t>Coopers Corner Dr_2019_Hidden Hollow_Arlington</t>
  </si>
  <si>
    <t>Timberline Dr_611_Cedar Ridge at Hurst_Hurst</t>
  </si>
  <si>
    <t>Knoll Crest_2082_Cedar Ridge TH_Arlington</t>
  </si>
  <si>
    <t>5th St W_316_O'Connor Place (Demolished)_Arlington</t>
  </si>
  <si>
    <t>Center S_3005_Center Place_Arlington</t>
  </si>
  <si>
    <t>Glenview_6100_Diamond Loch_North Richland Hills</t>
  </si>
  <si>
    <t>Pecan St E_745_Glen Rose Park_Hurst</t>
  </si>
  <si>
    <t>Glenview_6525_Diamond Ridge_North Richland Hills</t>
  </si>
  <si>
    <t>Pioneer Pkwy W_600_Arroyo Park TH_Arlington</t>
  </si>
  <si>
    <t>Washington Dr_743_Maddison Creek_Arlington</t>
  </si>
  <si>
    <t>Tarrant Rd W_1750_Grand Manor_Grand Prairie</t>
  </si>
  <si>
    <t>Chimney Meadow_14609_Centre Oaks_Fort Worth</t>
  </si>
  <si>
    <t>Statler Ct_14301_Centreport Landing_Fort Worth</t>
  </si>
  <si>
    <t>Harwood E_105_Charter Oaks_Euless</t>
  </si>
  <si>
    <t>Medical Center Dr_3191_Fairways at Wilson Creek_McKinney</t>
  </si>
  <si>
    <t>Thomason Cir_2505_Madera Brookside_Arlington</t>
  </si>
  <si>
    <t>Fair Oaks Dr_2308_Landmark at Heritage Fields_Arlington</t>
  </si>
  <si>
    <t>Marsh Ln_2300_Westbridge_Carrollton</t>
  </si>
  <si>
    <t>Cherry Dr_1508_Cherry Circle I_Arlington</t>
  </si>
  <si>
    <t>Broadway Ave_5151_Haltom Oaks_Haltom City</t>
  </si>
  <si>
    <t>Washington Dr_715_Hampton Hills_Arlington</t>
  </si>
  <si>
    <t>Remington Dr_2014_Cimmarron Crossing_Arlington</t>
  </si>
  <si>
    <t>Ash Ln W_905_Aspen Oaks_Euless</t>
  </si>
  <si>
    <t>Plano Pkwy W_6601_Prestonwood Hills_Plano</t>
  </si>
  <si>
    <t>Collins S_2910_Aspen Woods_Arlington</t>
  </si>
  <si>
    <t>Portland St_3565_Garden Park_Irving</t>
  </si>
  <si>
    <t>Rd to Six Flags W_903_Clover Hill_Arlington</t>
  </si>
  <si>
    <t>Grauwyler W_2656_Garden Plaza_Irving</t>
  </si>
  <si>
    <t>Springlake Pkwy_5201_Club at Springlake_Haltom City</t>
  </si>
  <si>
    <t>Timberoaks Dr_1021_Azlewood_Azle</t>
  </si>
  <si>
    <t>80 Hwy E_901_Mission Ranch_Mesquite</t>
  </si>
  <si>
    <t>Stoneleigh Ct_1615_Cobblestone_Arlington</t>
  </si>
  <si>
    <t>Samuell Blvd_4049_Tripoint Square_Mesquite</t>
  </si>
  <si>
    <t>Peach St_1000_Creekside I &amp; II_Arlington</t>
  </si>
  <si>
    <t>Johnson_904_Collins Court_Arlington</t>
  </si>
  <si>
    <t>Airport Fwy W_1415_Embassy_Irving</t>
  </si>
  <si>
    <t>Garden Shadow Ln_723_Rogers Landing_Arlington</t>
  </si>
  <si>
    <t>Knoll Trl_15550_Villas of Bent Trails_Dallas</t>
  </si>
  <si>
    <t>Weber St_4301_Northwood_Fort Worth</t>
  </si>
  <si>
    <t>Tish Cir_500_Northwood Place_Arlington</t>
  </si>
  <si>
    <t>Johnson Ave_904_Rosewood_Arlington</t>
  </si>
  <si>
    <t>Great SW Pkwy_717_Parkway Villas_Grand Prairie</t>
  </si>
  <si>
    <t>Martha St_306_Royal Terrace_Euless</t>
  </si>
  <si>
    <t>Sandpiper_507_Norwood Village_Arlington</t>
  </si>
  <si>
    <t>Medical Ave_1201_Villas of Mission Bend_Plano</t>
  </si>
  <si>
    <t>Running Brook_1519_Running Brook_Arlington</t>
  </si>
  <si>
    <t>Preston Rd_6900_The Villas of Preston Creek_Plano</t>
  </si>
  <si>
    <t>Frankford_7421_AMLI at Frankford_Dallas</t>
  </si>
  <si>
    <t>Stonewood Dr_6301_Villas of Spring Creek I_Plano</t>
  </si>
  <si>
    <t>Timberglen_3637_Tuscany Square_Dallas</t>
  </si>
  <si>
    <t>Rosemeade Pkwy_4343_4343 at the Parkway_Dallas</t>
  </si>
  <si>
    <t>Oak Creek Ln_1800_Oak Creek_Bedford</t>
  </si>
  <si>
    <t>Harwood E_500_Bear Creek Villas_Euless</t>
  </si>
  <si>
    <t>Terminal Rd_1215_Sabine Place_Fort Worth</t>
  </si>
  <si>
    <t>Cooper N_1315_St. Charles Place_Arlington</t>
  </si>
  <si>
    <t>Shadybrook_3526-A_Bedford Hills_Bedford</t>
  </si>
  <si>
    <t>Timberglen_3565_Village on Timberglen_Dallas</t>
  </si>
  <si>
    <t>Main St N_1350_Oak Park I &amp; II_Euless</t>
  </si>
  <si>
    <t>Bear Creek Pkwy_1500_Sandstone at Bear Creek_Euless</t>
  </si>
  <si>
    <t>Pecan Bend_400_The Brownstones_Bedford</t>
  </si>
  <si>
    <t>Sandshell Dr_5701_The Grove at Sandshell Drive_Fort Worth</t>
  </si>
  <si>
    <t>Oak St N_901_Oak Square_Arlington</t>
  </si>
  <si>
    <t>Leisure Dr_11515_The Solaris_Dallas</t>
  </si>
  <si>
    <t>Savannah Club_5030_The Laurels of Sendera_Arlington</t>
  </si>
  <si>
    <t>Fuller St_501_Sawyers Mill_Arlington</t>
  </si>
  <si>
    <t>Woodard Way_708_The Crestmont_Arlington</t>
  </si>
  <si>
    <t>Tharp St_818_Bel Aire_Arlington</t>
  </si>
  <si>
    <t>Sigmond Dr_4924_Oak Chase_Arlington</t>
  </si>
  <si>
    <t>Walnut W_2710_Sierra Springs_Garland</t>
  </si>
  <si>
    <t>Bethany_544_Bethany_Allen</t>
  </si>
  <si>
    <t>Sam Calloway_5901_Second Dimension_Fort Worth</t>
  </si>
  <si>
    <t>Bear Creek Pkwy_2121_Oakmont of Bear Creek_Euless</t>
  </si>
  <si>
    <t>Brown Trl_601_Sequoia Bend_Hurst</t>
  </si>
  <si>
    <t>Bowen Rd N_505_Bowen I &amp; II_Arlington</t>
  </si>
  <si>
    <t>Wiscasset Dr_1415_Brandon Oaks_Arlington</t>
  </si>
  <si>
    <t>Terlingua_2008_Brazos Park_Arlington</t>
  </si>
  <si>
    <t>Booth Calloway Rd_200_Hamilton Villas_Hurst</t>
  </si>
  <si>
    <t>Harwood_3800_Oakwood Condominiums_Bedford</t>
  </si>
  <si>
    <t>Big Sur_1705_Breckenridge_Arlington</t>
  </si>
  <si>
    <t>Cooper S_2020_Shadow Brook_Arlington</t>
  </si>
  <si>
    <t>Abram E_2420_Regal Commons_Arlington</t>
  </si>
  <si>
    <t>Shiloh_1414_Waterford on the Meadow_Plano</t>
  </si>
  <si>
    <t>Camino Verdes Blvd_5223_Palos Verde TH_Arlington</t>
  </si>
  <si>
    <t>Madison Dr_2225-2227_Shadow Tree Condominium_Arlington</t>
  </si>
  <si>
    <t>SE Pkwy_820_Shady Creek_Azle</t>
  </si>
  <si>
    <t>Shady Ln_1400_Shenandoah Village_Bedford</t>
  </si>
  <si>
    <t>Whitestone_5000_Waters Edge_Plano</t>
  </si>
  <si>
    <t>Lakeview Pkwy_5501_Waters Edge Villas_Rowlett</t>
  </si>
  <si>
    <t>Waterview Pkwy_2800_Waterview Park_Richardson</t>
  </si>
  <si>
    <t>Jupiter S_301_Wyndsor Court_Allen</t>
  </si>
  <si>
    <t>Shady Ln_1401_Waters Park AH_Bedford</t>
  </si>
  <si>
    <t>Park Row E_3100_Park Lane_Arlington</t>
  </si>
  <si>
    <t>White Ave_2301_Park On The Creek_McKinney</t>
  </si>
  <si>
    <t>Wesley_2003_Windemere_Arlington</t>
  </si>
  <si>
    <t>Arcadia St_621_Park Place_Hurst</t>
  </si>
  <si>
    <t>Park Row E_3025_Winding Oaks_Arlington</t>
  </si>
  <si>
    <t>Park Row E_3201_Park Row East_Arlington</t>
  </si>
  <si>
    <t>Precinct Line Rd_555_Parkside_Hurst</t>
  </si>
  <si>
    <t>Park Sq Dr_4019_Park Square_Arlington</t>
  </si>
  <si>
    <t>Park Vista Rd_6728_Park Vista TH_Watauga</t>
  </si>
  <si>
    <t>Treepoint_6601_Parks at Tree Point_Arlington</t>
  </si>
  <si>
    <t>Millview_1122_Parkside TH_Arlington</t>
  </si>
  <si>
    <t>Pkwy Ln_1541_Parkway East TH_Arlington</t>
  </si>
  <si>
    <t>Pioneer Pkwy W_300_English Village TH_Arlington</t>
  </si>
  <si>
    <t>Center W_713_Parkwood Plaza TH_Duncanville</t>
  </si>
  <si>
    <t>Central Dr_2500_Pecan Creek_Bedford</t>
  </si>
  <si>
    <t>Benge Dr_907_Peppermill_Arlington</t>
  </si>
  <si>
    <t>Fossil Creek Blvd_5333_Hidden Lakes_Haltom City</t>
  </si>
  <si>
    <t>Washington Dr_744_Hidden Valley_Arlington</t>
  </si>
  <si>
    <t>Bedford Euless W_825_Hurst Gardens_Hurst</t>
  </si>
  <si>
    <t>Brent Dr_605_Winding Oaks_Arlington</t>
  </si>
  <si>
    <t>Booth Calloway N_300_Hurst Manor_Hurst</t>
  </si>
  <si>
    <t>Clark Rd S_139_High Pointe Village I_Cedar Hill</t>
  </si>
  <si>
    <t>Indian Creek_2712_Indian Creek_Arlington</t>
  </si>
  <si>
    <t>Indian Creek Dr_302_Indian Creek Duplexes_Trophy Club</t>
  </si>
  <si>
    <t>American Blvd_4701_Crest Oasis_Euless</t>
  </si>
  <si>
    <t>Jane Ln_3001_Jane Lane_Haltom City</t>
  </si>
  <si>
    <t>Precinct Line Rd_445_Hurst Estates_Hurst</t>
  </si>
  <si>
    <t>Cora St_407_Key Largo_Arlington</t>
  </si>
  <si>
    <t>Vine_306_Hillside Village_Euless</t>
  </si>
  <si>
    <t>Carter Dr_1676_L'Atrium on the Creek_Arlington</t>
  </si>
  <si>
    <t>Hilltop Dr_1030_Hilltop_Grapevine</t>
  </si>
  <si>
    <t>New York_1707_La Joya_Arlington</t>
  </si>
  <si>
    <t>Center S_3200_The Carlyle_Arlington</t>
  </si>
  <si>
    <t>Brown Blvd_2500_Lake O' The Woods_Arlington</t>
  </si>
  <si>
    <t>Blodgett_3525_University Courtyard_Houston</t>
  </si>
  <si>
    <t>Mustang_2950_Lakes of Williamsberg_Grapevine</t>
  </si>
  <si>
    <t>Mitchell St W_1000_Pinewoods_Arlington</t>
  </si>
  <si>
    <t>Dudley Cir_504_Olympic Club_Arlington</t>
  </si>
  <si>
    <t>Pioneer Pkwy W_200_Matlock Place_Arlington</t>
  </si>
  <si>
    <t>Pioneer Pkwy E_2021_Place on the Park_Arlington</t>
  </si>
  <si>
    <t>Plantation Oaks_1500_The Vineyards at Trophy Club_Trophy Club</t>
  </si>
  <si>
    <t>Randol Mill Rd E_700_Plantation Place &amp; Court_Arlington</t>
  </si>
  <si>
    <t>Booth Calloway_612_Plantation West_Hurst</t>
  </si>
  <si>
    <t>Dewberry Blvd_1508_Bel-Air Place_Lancaster</t>
  </si>
  <si>
    <t>Troy Ln_5928_Pleasant Ridge Villas_Arlington</t>
  </si>
  <si>
    <t>Gibbons_1020_Brentwood_Arlington</t>
  </si>
  <si>
    <t>Fielder Rd N_408_The Village_Arlington</t>
  </si>
  <si>
    <t>Lamar Ave E_505_The Pointe of North Arlington_Arlington</t>
  </si>
  <si>
    <t>Benton Dr_505_Lansbrook at Twin Creeks_Allen</t>
  </si>
  <si>
    <t>Trinity Blvd_13950_Post Oak Place_Euless</t>
  </si>
  <si>
    <t>Bedford Rd_531_Linbrook_Bedford</t>
  </si>
  <si>
    <t>Daja Ln_1325_Prairie Estates_Grand Prairie</t>
  </si>
  <si>
    <t>Linda Vista Ave_711_Linda Vista_Arlington</t>
  </si>
  <si>
    <t>Freetown Rd_313_Prairie Ridge_Grand Prairie</t>
  </si>
  <si>
    <t>Industrial Park Blvd_6424_Hilltop_North Richland Hills</t>
  </si>
  <si>
    <t>Presidents Corner_2201_Presidents Corner_Arlington</t>
  </si>
  <si>
    <t>Quorum Dr_350_Quorum TH_Trophy Club</t>
  </si>
  <si>
    <t>Sylvan Dr_1500_Hunter Chase_Hurst</t>
  </si>
  <si>
    <t>Hialeah Park_101_Saginaw Crossings_Saginaw</t>
  </si>
  <si>
    <t>Airport Cir_2507_Regency_Arlington</t>
  </si>
  <si>
    <t>Stratton_2311_Huntington Meadows_Arlington</t>
  </si>
  <si>
    <t>Brown Trl_503_Regency Place_Hurst</t>
  </si>
  <si>
    <t>Mustang Dr_3037_Regional Place_Grapevine</t>
  </si>
  <si>
    <t>Ashford Ln_903_Remington Meadows_Arlington</t>
  </si>
  <si>
    <t>Forest Ln_9940_Wellington Place_Dallas</t>
  </si>
  <si>
    <t>Skillman_6820_White Rock Trail_Dallas</t>
  </si>
  <si>
    <t>Mustang Dr_2805_Ridge Crest_Grapevine</t>
  </si>
  <si>
    <t>Brentford Place_711_River Oaks_Arlington</t>
  </si>
  <si>
    <t>Furrs Ave_2604_The Rochester_Arlington</t>
  </si>
  <si>
    <t>Trinity Cir_711_Bella Vista_Arlington</t>
  </si>
  <si>
    <t>Brown Blvd_812_Summer Oaks_Arlington</t>
  </si>
  <si>
    <t>Centreport_3900_Summer's Landing_Fort Worth</t>
  </si>
  <si>
    <t>Summit Ave_416_Summit Plaza_Arlington</t>
  </si>
  <si>
    <t>Randy Snow_2015_Sunset Point_Arlington</t>
  </si>
  <si>
    <t>14th St E_3535_Windsor Place TH_Plano</t>
  </si>
  <si>
    <t>Shorewood Dr_1924_Shorewood Park TH_Grapevine</t>
  </si>
  <si>
    <t>Paces Trl_4912_The Trails_Arlington</t>
  </si>
  <si>
    <t>Waldemar_4812_Waldemar_Haltom City</t>
  </si>
  <si>
    <t>Bellaire Dr_601_Sutton Square_Hurst</t>
  </si>
  <si>
    <t>Abram E_2015_Tanglewood_Arlington</t>
  </si>
  <si>
    <t>Ashley Park_2253_Ashley Park TH_Plano</t>
  </si>
  <si>
    <t>Burney_2500_Walnut Ridge_Arlington</t>
  </si>
  <si>
    <t>Spring Valley W_732_Ashley Place_Richardson</t>
  </si>
  <si>
    <t>Tealcove Dr W_6400_Tealwood_Kennedale</t>
  </si>
  <si>
    <t>Waterbury Place_2201_Waterbury Place TH_Arlington</t>
  </si>
  <si>
    <t>Tarrant Rd W_417_Terrace View_Grand Prairie</t>
  </si>
  <si>
    <t>Silverwood_1135_Silverwood_Arlington</t>
  </si>
  <si>
    <t>Rigsbee S_1370_Woodlands of Plano_Plano</t>
  </si>
  <si>
    <t>Airport Fwy W_1881_Bandera Ranch_Euless</t>
  </si>
  <si>
    <t>Skyline Cir_201_Spanish Villas_Grand Prairie</t>
  </si>
  <si>
    <t>Woodmeadow Pkwy_11321_Villa Jolla_Dallas</t>
  </si>
  <si>
    <t>Elite Cir_1405_Timber Ridge_Arlington</t>
  </si>
  <si>
    <t>Timberline_3501_Timberline Condos_Grapevine</t>
  </si>
  <si>
    <t>Bumpas_703_Woodside Village_Mckinney</t>
  </si>
  <si>
    <t>NW Hwy E_10765_Autumn Creek_Dallas</t>
  </si>
  <si>
    <t>Tennis Dr_1325_Toscana Villas_Bedford</t>
  </si>
  <si>
    <t>Wickersham_9607_Del Rey Village_Dallas</t>
  </si>
  <si>
    <t>Brookgreen_14018_Las Terrazas_Dallas</t>
  </si>
  <si>
    <t>Pecan St E_365_Wellesly Park_Hurst</t>
  </si>
  <si>
    <t>Lovers Ln E_6603_La Vita on Lovers Lane_Dallas</t>
  </si>
  <si>
    <t>Greenville Ave N_315_Maple Trail_Allen</t>
  </si>
  <si>
    <t>Ichabod Cir_3903_Sleepy Hollow_Arlington</t>
  </si>
  <si>
    <t>Virginia W_1620_Westwood_McKinney</t>
  </si>
  <si>
    <t>Bent Tree Forest Cir_15935_Bear Creek_Dallas</t>
  </si>
  <si>
    <t>9th St N_1600_Turtle Cove_Midlothian</t>
  </si>
  <si>
    <t>Dove Loop Rd_1713_Marina Del Rey_Grapevine</t>
  </si>
  <si>
    <t>Sanford St E_808_Collins Park_Arlington</t>
  </si>
  <si>
    <t>Cooper S_2005_Casa Serena_Arlington</t>
  </si>
  <si>
    <t>Wynn Joyce Rd_1601_Wyngate TH_Garland</t>
  </si>
  <si>
    <t>NW 33rd St_3144_Marine Park_Fort Worth</t>
  </si>
  <si>
    <t>Airport Fwy_700_Sonterra_Hurst</t>
  </si>
  <si>
    <t>Bent Tree Forest Cir_16000_Bent Oaks_Dallas</t>
  </si>
  <si>
    <t>Wembley Cir_600_Wexford TH_Duncanville</t>
  </si>
  <si>
    <t>Causley Ave_603_South Campus_Arlington</t>
  </si>
  <si>
    <t>Brown Blvd_2403_Woodbridge TH_Arlington</t>
  </si>
  <si>
    <t>Bellaire_600_Whispering Run_Hurst</t>
  </si>
  <si>
    <t>Lawrence Rd_2717_Woodcreek_Arlington</t>
  </si>
  <si>
    <t>Deuce Dr_1224_Wimbledon Court_Arlington</t>
  </si>
  <si>
    <t>Bear Creek_200_The Palisades at Bear Creek_Euless</t>
  </si>
  <si>
    <t>College St_1527_Woodcrest_Arlington</t>
  </si>
  <si>
    <t>Sojourn_4500_Bent Tree Park_Addison</t>
  </si>
  <si>
    <t>Wimbledon Oaks_1802_Wimbledon Oaks_Arlington</t>
  </si>
  <si>
    <t>Woodland Park Blvd_4046_Woodland Park_Arlington</t>
  </si>
  <si>
    <t>Berry Trl_15215_Berry Trail_Dallas</t>
  </si>
  <si>
    <t>Lynnwood Dr_2601_Woodland West_Arlington</t>
  </si>
  <si>
    <t>Springcrest Dr_2007_Springcrest_Arlington</t>
  </si>
  <si>
    <t>5th St NE_325_Willow Wood_Grand Prairie</t>
  </si>
  <si>
    <t>Lynnwood_2800_Woodlands of Arlington_Arlington</t>
  </si>
  <si>
    <t>Southwestern Blvd_8749_The Bluffs_Dallas</t>
  </si>
  <si>
    <t>Higgins Ln_1909_Springdale_Haltom City</t>
  </si>
  <si>
    <t>Center N_812_Willow Wood North_Arlington</t>
  </si>
  <si>
    <t>Central Dr_2700_Woods of Bedford_Bedford</t>
  </si>
  <si>
    <t>Park Springs_2024_Willows II_Arlington</t>
  </si>
  <si>
    <t>Washington Cir_712_Woodstock_Arlington</t>
  </si>
  <si>
    <t>Cooper S_1605_Woodwind_Arlington</t>
  </si>
  <si>
    <t>Carrier Pkwy S_3001_Wymberly Crossing_Grand Prairie</t>
  </si>
  <si>
    <t>Grand Ct_711_Maverick_Arlington</t>
  </si>
  <si>
    <t>Warrior Trl W_702_Wymberly Pointe_Grand Prairie</t>
  </si>
  <si>
    <t>Townbluff_2821_Laurel Ridge_Plano</t>
  </si>
  <si>
    <t>Cooper S_5620_Twenty Oaks_Arlington</t>
  </si>
  <si>
    <t>Mill Crossing Place_1000_Landmark at Ridgewood Preserve_Arlington</t>
  </si>
  <si>
    <t>360 Hwy N_2825_St. Laurent_Grand Prairie</t>
  </si>
  <si>
    <t>Del Paso St_917_Mission Pointe Club_Euless</t>
  </si>
  <si>
    <t>Forty Cir N_2506_Misty Hollow_Arlington</t>
  </si>
  <si>
    <t>Del Paso_605_Bear Creek_Euless</t>
  </si>
  <si>
    <t>Center S_805_Meadow Creek_Arlington</t>
  </si>
  <si>
    <t>Weyland Dr_1598_Two Thousand Oaks_North Richland Hills</t>
  </si>
  <si>
    <t>Silber_7001_Sterling Crest_Arlington</t>
  </si>
  <si>
    <t>Monterrey Blvd_1400_Westdale Hills Muirfield Village_Euless</t>
  </si>
  <si>
    <t>Wanda Way_125_Valley Creek_Hurst</t>
  </si>
  <si>
    <t>Carrier Pkwy S_2421_Williamsburg_Grand Prairie</t>
  </si>
  <si>
    <t>Summer Tree Ln_2513_Valleytree_Arlington</t>
  </si>
  <si>
    <t>Hills Dr N_3501_North Hills Crest_Haltom City</t>
  </si>
  <si>
    <t>Saginaw Blvd N_681_Williamsburg Village_Saginaw</t>
  </si>
  <si>
    <t>Pipeline_3015_Vickery Square_Euless</t>
  </si>
  <si>
    <t>Booth Calloway Rd_3817_North Hills Place_Richland Hills</t>
  </si>
  <si>
    <t>Lincoln Dr_2011_Manchester Park_Arlington</t>
  </si>
  <si>
    <t>Ash Ln W_1050_Willow Ridge TH_Euless</t>
  </si>
  <si>
    <t>Villa Del Mar Ave_5203_Villa Del Mar_Arlington</t>
  </si>
  <si>
    <t>Lincoln Dr_2109_Forest Hills_Arlington</t>
  </si>
  <si>
    <t>Harwood_7913_The Arts Apts_North Richland Hills</t>
  </si>
  <si>
    <t>Fuller Wiser_1800_Village Green at Bear Creek_Euless</t>
  </si>
  <si>
    <t>Cavender Dr_1233_M &amp; M Gardens_Hurst</t>
  </si>
  <si>
    <t>Manchester_100_Manchester_Euless</t>
  </si>
  <si>
    <t>Post Oak Blvd_3808_The Village on Post Oak_Euless</t>
  </si>
  <si>
    <t>Sandshell Blvd_6700_The Abbey at Fossil Creek_Fort Worth</t>
  </si>
  <si>
    <t>Bluegrove N_1500_Meadows_Lancaster</t>
  </si>
  <si>
    <t>Virginia Pkwy_7101_Villas at Stonebridge Ranch_McKinney</t>
  </si>
  <si>
    <t>Citrus Ln_2300_Villas of Lime Tree_Arlington</t>
  </si>
  <si>
    <t>Creekside Dr_3000_Villas of Marine Creek_Fort Worth</t>
  </si>
  <si>
    <t>Center N_900_Dillon Apts_Arlington</t>
  </si>
  <si>
    <t>Alexander N_631_Vista Ridge_Duncanville</t>
  </si>
  <si>
    <t>Pioneer Pkwy E_400_Waterdance I &amp; II_Arlington</t>
  </si>
  <si>
    <t>Park Place Blvd_2000_Cottages at Bedford_Bedford</t>
  </si>
  <si>
    <t>Glenview Dr_6228_Waterford on the Green_North Richland Hills</t>
  </si>
  <si>
    <t>Fuller Wiser Rd_2250_Stone Bridge at Bear Creek_Euless</t>
  </si>
  <si>
    <t>Madison Dr_2121_Stone Canyon_Arlington</t>
  </si>
  <si>
    <t>Randol Mill E_900_Waterford I &amp; II_Arlington</t>
  </si>
  <si>
    <t>Arkansas Ln E_600_Stone Ridge_Arlington</t>
  </si>
  <si>
    <t>Randy Snow_1908_Summer Brook_Arlington</t>
  </si>
  <si>
    <t>Elizabeth Ln W_8037_Broadmoor_Fort Worth</t>
  </si>
  <si>
    <t>Canyon St_8300_Bellfort Pines_Houston</t>
  </si>
  <si>
    <t>Commerce St W_6611_Las Villas de Leon_San Antonio</t>
  </si>
  <si>
    <t>Junction Hwy_2300_The Meadows_Kerrville</t>
  </si>
  <si>
    <t>Springs Ln_289_The Springs_Dripping Springs</t>
  </si>
  <si>
    <t>Rialto Dr_7601_AMLI Lantana Hills_Austin</t>
  </si>
  <si>
    <t>Parmer Ln W_10101_Riverton at Davis Springs_Austin</t>
  </si>
  <si>
    <t>Sotogrande Blvd_1401_Westdale Hills Doral_Euless</t>
  </si>
  <si>
    <t>Sotogrande Blvd_1401_Westdale Hills Sawgrass_Euless</t>
  </si>
  <si>
    <t>Sotogrande Blvd_1401_Westdale Hills Pinehurst_Euless</t>
  </si>
  <si>
    <t>Sotogrande Blvd_1401_Westdale Hills Oakmont_Euless</t>
  </si>
  <si>
    <t>Sotogrande Blvd_1401_Westdale Hills Crooked Stick_Euless</t>
  </si>
  <si>
    <t>Sotogrande Blvd_1401_Westdale Hills Bonaventure_Euless</t>
  </si>
  <si>
    <t>Hausman Rd W_8302_Montecito_San Antonio</t>
  </si>
  <si>
    <t>Smokey Mountain Dr_708_Summit Apts_Kerrville</t>
  </si>
  <si>
    <t>Brian Dr_516_North Ridge Village Duplex Apts_Kerrville</t>
  </si>
  <si>
    <t>Park Ln Dr_100_Park Lane Apts_Kerrville</t>
  </si>
  <si>
    <t>Westheimer_9235_The Westheimer Park_Houston</t>
  </si>
  <si>
    <t>Mason Rd S_3903_Ashley House_Katy</t>
  </si>
  <si>
    <t>Lakeline Blvd S_2000_Lodge At Lakeline Village_Austin</t>
  </si>
  <si>
    <t>620 FM N_9715_Escalon at Canyon Creek_Austin</t>
  </si>
  <si>
    <t>Little Texas Ln_401_Regency Park_Austin</t>
  </si>
  <si>
    <t>Military Dr SE_3007_Villas Of Costa Dorada_San Antonio</t>
  </si>
  <si>
    <t>Lamar St W_500_Lamar Plaza_McKinney</t>
  </si>
  <si>
    <t>Meyer Forest Dr_9550_Meyer Park Lakeside (II)_Houston</t>
  </si>
  <si>
    <t>Greens Rd_6060_Green Pines_Humble</t>
  </si>
  <si>
    <t>Vista Dr_3101_The Club of the Brazos_Rosenberg</t>
  </si>
  <si>
    <t>Broadway S_2901_Churchill Place_La Porte</t>
  </si>
  <si>
    <t>Oates Dr_3720_Summit Point_Mesquite</t>
  </si>
  <si>
    <t>Runnels St_2115_Marquis Downtown Lofts_Houston</t>
  </si>
  <si>
    <t>Cranford #1_1938_Pecan Pointe TH_Garland</t>
  </si>
  <si>
    <t>Dove Rd_500_Dove Creek Villas_Grapevine</t>
  </si>
  <si>
    <t>El Mundo Dr_8383_San Melia_Houston</t>
  </si>
  <si>
    <t>Sabo Rd_12055_Mirabella_Houston</t>
  </si>
  <si>
    <t>Philippine St_14333_Park at Woodwind Lakes_Houston</t>
  </si>
  <si>
    <t>Bammel Houston Rd N_10155_Park at Fallbrook_Houston</t>
  </si>
  <si>
    <t>Aeropark_5350_Timber Ridge I_Houston</t>
  </si>
  <si>
    <t>Decker_6304_TH of Bay Forest_Baytown</t>
  </si>
  <si>
    <t>Tanner Park Ct_10950_Almeda Park_Houston</t>
  </si>
  <si>
    <t>518 FM E_2901_Coronado_League City</t>
  </si>
  <si>
    <t>Tiffany Cir_101_Tiffany Square_Terrell</t>
  </si>
  <si>
    <t>Amesbury_5350_The Green in the Village II_Dallas</t>
  </si>
  <si>
    <t>Lauder Ln_16500_Courtyards at Campbell_Dallas</t>
  </si>
  <si>
    <t>Hillburn_2603_Hillburn Hills_Dallas</t>
  </si>
  <si>
    <t>Senior Creek Dr_815_The Primrose at Johnson Creek_Arlington</t>
  </si>
  <si>
    <t>Hampton Rd S_2999_Primrose Oaks_Dallas</t>
  </si>
  <si>
    <t>Chattanooga Place_1716_Rosemont at Arlington Park_Dallas</t>
  </si>
  <si>
    <t>Commerce_3221_Futura Lofts_Dallas</t>
  </si>
  <si>
    <t>Chaha Rd_4605_Lake Colony Apts_Garland</t>
  </si>
  <si>
    <t>Sierra Springs Dr_1400_Meadows Of Bedford II_Bedford</t>
  </si>
  <si>
    <t>Plaza Pkwy_6600_Ridgmar Crossroads_Fort Worth</t>
  </si>
  <si>
    <t>Ridgmar Blvd_2300_Park Villas II_Fort Worth</t>
  </si>
  <si>
    <t>Irving Heights S_731_Oakway Manor_Irving</t>
  </si>
  <si>
    <t>Noel Rd_13330_Verona TH_Dallas</t>
  </si>
  <si>
    <t>Richmond Ave_15155_Villas at West Oaks_Houston</t>
  </si>
  <si>
    <t>Augusta Dr_2912_Greenway Patio Homes_Denton</t>
  </si>
  <si>
    <t>Gilbert Ave_4203_Las Brisas_Dallas</t>
  </si>
  <si>
    <t>Gilbert Ave_4020_LCA Condominiums_Dallas</t>
  </si>
  <si>
    <t>Richmond Ave_12025_Camden Oak Crest_Houston</t>
  </si>
  <si>
    <t>Lina St_18950_Tivoli_Dallas</t>
  </si>
  <si>
    <t>Lakeline Blvd N_3000_Lakeline_Leander</t>
  </si>
  <si>
    <t>Lakeline Blvd S_2201_Lakeline Villas_Cedar Park</t>
  </si>
  <si>
    <t>Brodie Ln_8600_Ridgeview_Austin</t>
  </si>
  <si>
    <t>Beechnut St_14551_Matthew Ridge_Houston</t>
  </si>
  <si>
    <t>Old Orchard Ln N_401_The Remington_Lewisville</t>
  </si>
  <si>
    <t>35 IH S_10505_Stonegate_Austin</t>
  </si>
  <si>
    <t>Cypress Creek Rd E_400_Cedar Park TH_Cedar Park</t>
  </si>
  <si>
    <t>Buttercup Creek Blvd_403_Buttercup Creek_Cedar Park</t>
  </si>
  <si>
    <t>AW Grimes Blvd_1401_Red Hills Villas_Round Rock</t>
  </si>
  <si>
    <t>Argonne Forest Trl_11600-A_Ranchstone Garden Homes_Austin</t>
  </si>
  <si>
    <t>Yellow Sage_16500_Heatherwilde Park_Pflugerville</t>
  </si>
  <si>
    <t>Forest Creek Dr_3300_Forest Creek TH_Round Rock</t>
  </si>
  <si>
    <t>Addicks Clodine_3443_City Parc at West Oaks_Houston</t>
  </si>
  <si>
    <t>Post Oak Blvd_1200_1200 Post Oak_Houston</t>
  </si>
  <si>
    <t>Tidwell W_2303_Fountains at Tidwell_Houston</t>
  </si>
  <si>
    <t>Heatherwilde Blvd_19600_Westchester Woods_Pflugerville</t>
  </si>
  <si>
    <t>Ohio Dr_6400_Camden Legacy Creek_Plano</t>
  </si>
  <si>
    <t>Augusta_1901_Tuscany Court_Houston</t>
  </si>
  <si>
    <t>Travis W_111_Robert E. Lee_San Antonio</t>
  </si>
  <si>
    <t>Perrin Central_3787_San Mateo_San Antonio</t>
  </si>
  <si>
    <t>Beckleymeade_801_Rosemont at Timber Creek_Dallas</t>
  </si>
  <si>
    <t>Ledbetter E_3015_Rosemont of Oak Hollow_Dallas</t>
  </si>
  <si>
    <t>Allen St_2610_Gables State Thomas Ravello_Dallas</t>
  </si>
  <si>
    <t>Fernherst Rd W_23405_Millstone_Katy</t>
  </si>
  <si>
    <t>W Rd_11501_Sugar Creek_Houston</t>
  </si>
  <si>
    <t>Imperial Valley Dr_16101_Brittmore_Houston</t>
  </si>
  <si>
    <t>State St_3010_Manchester State Thomas II Brownstones_Dallas</t>
  </si>
  <si>
    <t>State St_3010_Manchester State Thomas III Flats_Dallas</t>
  </si>
  <si>
    <t>Bernard St_425_Oaks Of Denton_Denton</t>
  </si>
  <si>
    <t>Legendary Dr_13021_Villas at Stone Oak Ranch_Austin</t>
  </si>
  <si>
    <t>Slaughter Ln W_1215_Iron Rock Ranch_Austin</t>
  </si>
  <si>
    <t>Country View Ln_2401_Country Lane Seniors Community_McKinney</t>
  </si>
  <si>
    <t>Grapevine Mills Pkwy_3601_Mustang Ridge at Grapevine Ranch_Grapevine</t>
  </si>
  <si>
    <t>Live Oak_2801_Marquis at Texas Street_Dallas</t>
  </si>
  <si>
    <t>Gaston Ave_5005_Upper E-Paree_Dallas</t>
  </si>
  <si>
    <t>Gaston Ave_5405_Upper E-Silver Sands_Dallas</t>
  </si>
  <si>
    <t>Red River_3301_Red River_Austin</t>
  </si>
  <si>
    <t>Throckmorton St_2808_Gardens Cambridge Apts_Dallas</t>
  </si>
  <si>
    <t>Beacon N_711_Upper E-Beacon Hill_Dallas</t>
  </si>
  <si>
    <t>Gaston Ave_5435_Upper E-Kaluha_Dallas</t>
  </si>
  <si>
    <t>Gaston Ave_5307_Upper E-The Strand_Dallas</t>
  </si>
  <si>
    <t>Live Oak_5119_Upper E-Coral Gates_Dallas</t>
  </si>
  <si>
    <t>Gaston Ave_6127_Upper E-Buckingham_Dallas</t>
  </si>
  <si>
    <t>Gaston Ave_5619_Upper E-Casa Villa_Dallas</t>
  </si>
  <si>
    <t>Gaston Ave_5707_Upper E-Driftwood_Dallas</t>
  </si>
  <si>
    <t>Gaston Ave_5625_Upper E-Pink Adobe_Dallas</t>
  </si>
  <si>
    <t>Eldridge Pkwy_2250_Marquis on Eldridge Parkway_Houston</t>
  </si>
  <si>
    <t>Briery Dr_2800_Village Creek TH_Fort Worth</t>
  </si>
  <si>
    <t>Town E Blvd N_645_Alexis Town East_Mesquite</t>
  </si>
  <si>
    <t>Lillian Miller Pkwy_2525_Sterling House on the Parkway_Denton</t>
  </si>
  <si>
    <t>Emerald Hills Way_8500_Horizon Bay North Richland Hills_North Richland Hills</t>
  </si>
  <si>
    <t>6th St W_503_Vista Del Lago_Irving</t>
  </si>
  <si>
    <t>Fossil Creek Blvd_5350_The Ranch at Fossil Creek_Haltom City</t>
  </si>
  <si>
    <t>Love Dr_6445_Tuscan Villas_Irving</t>
  </si>
  <si>
    <t>Parish Ln_150_Watermark_Roanoke</t>
  </si>
  <si>
    <t>Hudson Crossing_3250_The Villas of El Dorado_McKinney</t>
  </si>
  <si>
    <t>Polk S_801_DeSoto Ranch_Desoto</t>
  </si>
  <si>
    <t>Lamar Blvd N_12007_On the Green_Austin</t>
  </si>
  <si>
    <t>Custer Rd_2305_Regency at Stonebridge Ranch_McKinney</t>
  </si>
  <si>
    <t>Gracy Farms Ln_2320_Stoneleigh at Gracy Farms_Austin</t>
  </si>
  <si>
    <t>620 FM S_3400_Falconhead_Austin</t>
  </si>
  <si>
    <t>Clarkridge_6968_Ridge Parc I_Dallas</t>
  </si>
  <si>
    <t>Parmer Ln W_11300_Silverado at Brushy Creek_Cedar Park</t>
  </si>
  <si>
    <t>Slaughter Ln E_333_Stonecreek Ranch_Austin</t>
  </si>
  <si>
    <t>Dessau Rd_12041_The Villas of Bristol Heights_Austin</t>
  </si>
  <si>
    <t>Manor Rd_2408_Sandstone I &amp; II_Austin</t>
  </si>
  <si>
    <t>Research Forest Dr_8101_Whispering Pines Ranch_The Woodlands</t>
  </si>
  <si>
    <t>Berry St S E_2450_Cobb Park_Fort Worth</t>
  </si>
  <si>
    <t>Bosque Ln_200_Bosque River_Stephenville</t>
  </si>
  <si>
    <t>Lillian S_301_Lillian II_Stephenville</t>
  </si>
  <si>
    <t>McNeill W_1490_Lillian I_Stephenville</t>
  </si>
  <si>
    <t>Washington W_1133_College View_Stephenville</t>
  </si>
  <si>
    <t>Tarleton St W_2251_Stephenville West_Stephenville</t>
  </si>
  <si>
    <t>Lillian St S_949_Auburn Place_Stephenville</t>
  </si>
  <si>
    <t>Lillian St N_880_College Point II_Stephenville</t>
  </si>
  <si>
    <t>Lingleville W_2251_Oak Tree_Stephenville</t>
  </si>
  <si>
    <t>Lingleville W_1650_Oak Tree East_Stephenville</t>
  </si>
  <si>
    <t>NW Loop_2249_Tarleton Arms_Stephenville</t>
  </si>
  <si>
    <t>Coleman Blvd_8850_The Plaza at Frisco Square I_Frisco</t>
  </si>
  <si>
    <t>Throckmorton St_333_Sundance West_Fort Worth</t>
  </si>
  <si>
    <t>Philippine_15000_The Bellagio_Houston</t>
  </si>
  <si>
    <t>Westhollow Dr_2600_Wynhaven at West Oaks_Houston</t>
  </si>
  <si>
    <t>4th St W_222_Sanger Lofts_Fort Worth</t>
  </si>
  <si>
    <t>Town E N_700_The Waterford at Mesquite_Mesquite</t>
  </si>
  <si>
    <t>Barton Hills Dr_1200_Barton Hills-Park Place_Austin</t>
  </si>
  <si>
    <t>Northgate Crossing Blvd_26325_The Park at Northgate_Spring</t>
  </si>
  <si>
    <t>Berkman Dr_5820_Berkman Court_Austin</t>
  </si>
  <si>
    <t>Cameron Rd_7247_Westheimer Hills_Austin</t>
  </si>
  <si>
    <t>Sweeney Cir_5800_Westheimer Place_Austin</t>
  </si>
  <si>
    <t>52nd St E_1200_Westheimer Trace_Austin</t>
  </si>
  <si>
    <t>City Place Blvd W_2901_The Bryson at City Place_Dallas</t>
  </si>
  <si>
    <t>Daffodil Dr_6009_Daffodil_Austin</t>
  </si>
  <si>
    <t>Ohio Dr_6100_La Costa_Plano</t>
  </si>
  <si>
    <t>Cedar Bend Dr_2015_Champions Crossing_Austin</t>
  </si>
  <si>
    <t>Hyatt Resort Dr_9931_The Lodge at Westover Hills_San Antonio</t>
  </si>
  <si>
    <t>Lake Vista_8301_Stablewood Farms_San Antonio</t>
  </si>
  <si>
    <t>Repsdorph Rd N_2555_Regatta Bay_Seabrook</t>
  </si>
  <si>
    <t>Dulles Ave_1025_Shadowbrooke_Stafford</t>
  </si>
  <si>
    <t>Eldridge Pkwy N_10000_The Trails at Eldridge Parkway_Houston</t>
  </si>
  <si>
    <t>Buckingham E_535_The Bristol at Buckingham_Richardson</t>
  </si>
  <si>
    <t>Congress Ave S_7201_Circle S AH_Austin</t>
  </si>
  <si>
    <t>Westpark Dr_11212_Alta Royal Oaks_Houston</t>
  </si>
  <si>
    <t>Dallas St_914_Humble Tower_Houston</t>
  </si>
  <si>
    <t>Roosevelt Ave_3135_La Posada Del Rey_San Antonio</t>
  </si>
  <si>
    <t>Ingram Rd_5803_Legacy at Science Park_San Antonio</t>
  </si>
  <si>
    <t>O'Connor Rd_13842_Legacy on O'Connor Road_San Antonio</t>
  </si>
  <si>
    <t>Fairway Dr_4230_Cambria at Coyote Ridge_Carrollton</t>
  </si>
  <si>
    <t>Duncanville Rd_1531_Mariposa Villas_Dallas</t>
  </si>
  <si>
    <t>Centrepark Dr_10221_The Lodge at Spring Shadows I_Houston</t>
  </si>
  <si>
    <t>Allendale_4800_Concord at Allendale_Houston</t>
  </si>
  <si>
    <t>Woodward St_701_Blunn Creek_Austin</t>
  </si>
  <si>
    <t>Montopolis Dr_1601_Riverside Meadows_Austin</t>
  </si>
  <si>
    <t>1460 FM_2700_Chandler Creek_Round Rock</t>
  </si>
  <si>
    <t>Rio Grande_404_404 Rio Grande at West 5th_Austin</t>
  </si>
  <si>
    <t>McKinney Ave_3324_The Marquis on McKinney_Dallas</t>
  </si>
  <si>
    <t>Jupiter Rd S_325_Mission Eagle Pointe_Allen</t>
  </si>
  <si>
    <t>Bennett_1910_Bennett Lofts_Dallas</t>
  </si>
  <si>
    <t>121 SH Bypass_351_Villas of Vista Ridge_Lewisville</t>
  </si>
  <si>
    <t>McKinney E_3500_Rosemont at Pecan Creek_Denton</t>
  </si>
  <si>
    <t>Biering Ln_10950_The Ridge at Bandera_San Antonio</t>
  </si>
  <si>
    <t>Craddock Ave_101-109_Bishop's Square_San Marcos</t>
  </si>
  <si>
    <t>W Rd_13333_Copper Springs_Houston</t>
  </si>
  <si>
    <t>Jefferson Blvd W_2727_Cantera Crossing_Dallas</t>
  </si>
  <si>
    <t>Lexington Blvd_16900_The Terrace at First Colony_Sugar Land</t>
  </si>
  <si>
    <t>Ledbetter Dr E_2755_Oasis_Dallas</t>
  </si>
  <si>
    <t>Ledbetter Dr E_2805_Oasis Gardens_Dallas</t>
  </si>
  <si>
    <t>Rue Marielyne St_6300_Sierra Royale_San Antonio</t>
  </si>
  <si>
    <t>Tumbleweed Trl_8401_Oak Timbers I_White Settlement</t>
  </si>
  <si>
    <t>Buffalo Speedway_5151_The Terrace at West University_Houston</t>
  </si>
  <si>
    <t>Gessner S_10965_Concord at Williamcrest_Houston</t>
  </si>
  <si>
    <t>Arapaho E_2000_The Block_Richardson</t>
  </si>
  <si>
    <t>Shady Brook Ln_6852_Urbano at Midtown_Dallas</t>
  </si>
  <si>
    <t>Pecan Ridge Dr_1301-1364_Pecan Ridge_Midlothian</t>
  </si>
  <si>
    <t>Walter Stephenson Rd_900_The Lofts at Pecan Ridge_Midlothian</t>
  </si>
  <si>
    <t>Amanda Ln-Pandora_11333-13200_Montecito Creek_Dallas</t>
  </si>
  <si>
    <t>Ridgeway Dr E_100_Ridgeway Village_Midlothian</t>
  </si>
  <si>
    <t>Maple Ave_5225_5225 Maple Avenue_Dallas</t>
  </si>
  <si>
    <t>Lakeside Dr_155_Blue Lake Villas I_Waxahachie</t>
  </si>
  <si>
    <t>Valley Ridge Rd W_1400_Toscana at Valley Ridge_Lewisville</t>
  </si>
  <si>
    <t>Coit Rd_12271_Town Village North_Dallas</t>
  </si>
  <si>
    <t>Horne St_4714_Lincoln Terrace_Fort Worth</t>
  </si>
  <si>
    <t>Garden Brook_8734_Garden Brook_San Antonio</t>
  </si>
  <si>
    <t>Thousand Oaks Dr_3110_White Rock_San Antonio</t>
  </si>
  <si>
    <t>Pleasanton Rd_814_Villa de Amistad_San Antonio</t>
  </si>
  <si>
    <t>Davis Blvd_8009_The Villas On Bear Creek_North Richland Hills</t>
  </si>
  <si>
    <t>Sanford St E_971_The Claremont_Arlington</t>
  </si>
  <si>
    <t>Granbury Cutoff Rd_6300_Evergreen at Hulen Bend_Fort Worth</t>
  </si>
  <si>
    <t>Berry St E_4700_Villas of Eastwood Terrace_Fort Worth</t>
  </si>
  <si>
    <t>Ave A_4000_Villa Del Rey_Austin</t>
  </si>
  <si>
    <t>Ave A_4200_Fiesta Place_Austin</t>
  </si>
  <si>
    <t>Oakmont Blvd_7301_The Verandas at Cityview_Fort Worth</t>
  </si>
  <si>
    <t>Wurzbach Rd_3703_Eagle Ridge_San Antonio</t>
  </si>
  <si>
    <t>Houston St E_4611_Outspan TH_San Antonio</t>
  </si>
  <si>
    <t>Greenglen Dr_11710_Greensbrook Manor_Houston</t>
  </si>
  <si>
    <t>Heatherwilde Blvd N_16701_Rosemont at Heather Bend_Pflugerville</t>
  </si>
  <si>
    <t>Borough Park Dr_25455_The Falls at Borough Park_Spring</t>
  </si>
  <si>
    <t>Commercial Center Blvd_2855_The Lakes at Cinco Ranch_Katy</t>
  </si>
  <si>
    <t>Stagecoach Trl S_300_Stone Brook Senior Community_San Marcos</t>
  </si>
  <si>
    <t>Stoneport Dr_220_Rosemont at Pemberton Hill_Dallas</t>
  </si>
  <si>
    <t>Dessau Rd_12001_The Park at Walnut Creek_Austin</t>
  </si>
  <si>
    <t>Normandale N_9001_Bent Tree_Fort Worth</t>
  </si>
  <si>
    <t>Marvin D. Love Fwy_7905_Cedar Ridge_Dallas</t>
  </si>
  <si>
    <t>Normandale St S_9051_Oak Village_Fort Worth</t>
  </si>
  <si>
    <t>Kirkstall Dr_300_The Park at Kirkstall_Houston</t>
  </si>
  <si>
    <t>45 IH N_15596_The Dominion at the Woodlands_Conroe</t>
  </si>
  <si>
    <t>Riverside Dr S_3500_Autumn Chase_Fort Worth</t>
  </si>
  <si>
    <t>Nuckols Crossing Rd_4600_Woodway Village_Austin</t>
  </si>
  <si>
    <t>Southern Oaks_3303_Rosemont at Cedar Crest_Dallas</t>
  </si>
  <si>
    <t>Clark Rd_8125_Rosemont at Bluff Ridge_Dallas</t>
  </si>
  <si>
    <t>Westmoreland Rd S_8410_Rosemont at Hickory Trace_Dallas</t>
  </si>
  <si>
    <t>Stassney Ln E_5901_Villas of Cordoba_Austin</t>
  </si>
  <si>
    <t>Ridgecrest Rd_6318_Santa Fe Trails_Dallas</t>
  </si>
  <si>
    <t>Lynn St W_807_The Castile_Austin</t>
  </si>
  <si>
    <t>Main St_1309_The Davis Building_Dallas</t>
  </si>
  <si>
    <t>Lynn St W_1301_Austin Tuscany_Austin</t>
  </si>
  <si>
    <t>Lamar Place_709_Villages at Lamar V_Austin</t>
  </si>
  <si>
    <t>Lamar Place_702_Villages at Lamar IV_Austin</t>
  </si>
  <si>
    <t>Burns St_6309_Villages at Lamar I_Austin</t>
  </si>
  <si>
    <t>Burns St_6408_Villages at Lamar III_Austin</t>
  </si>
  <si>
    <t>Romeria_902_Chelsea Palms_Austin</t>
  </si>
  <si>
    <t>Shirley Ave_6505_Villages at Lamar II_Austin</t>
  </si>
  <si>
    <t>Pleasant Run Rd W_2531_Villas of Lancaster_Lancaster</t>
  </si>
  <si>
    <t>Dietrich_4619_Madison on Dietrich_San Antonio</t>
  </si>
  <si>
    <t>Sage Rd_2345_Montierra_Houston</t>
  </si>
  <si>
    <t>Barker Cypress_12500_Broadstone Coles Crossing_Cypress</t>
  </si>
  <si>
    <t>Galloway Ave N_1540_Heather Creek_Mesquite</t>
  </si>
  <si>
    <t>Marine Creek Pkwy_4450_Meridian_Fort Worth</t>
  </si>
  <si>
    <t>Normandale S_8713_Normandale Place_Fort Worth</t>
  </si>
  <si>
    <t>Louisiana_3210_Calais at Courtlandt Square_Houston</t>
  </si>
  <si>
    <t>Studemont_600_Windsor at Siena_Houston</t>
  </si>
  <si>
    <t>Eldridge Pkwy_2020_San Brisas_Houston</t>
  </si>
  <si>
    <t>Ranch Dr_305_Mission Rock Ridge_Arlington</t>
  </si>
  <si>
    <t>MacArthur Blvd_2701_Estancia at Vista Ridge_Lewisville</t>
  </si>
  <si>
    <t>Indian Run Dr_1152_Marbella Villas at Indian Creek_Carrollton</t>
  </si>
  <si>
    <t>Provincial_21550_Vineyards_Katy</t>
  </si>
  <si>
    <t>Augusta_2660_The Augusta_Houston</t>
  </si>
  <si>
    <t>Champion Grandview Way_6500_Gables Grandview_Austin</t>
  </si>
  <si>
    <t>360 SH_1401_The Stoneleigh at Bear Creek_Euless</t>
  </si>
  <si>
    <t>Rosewood Dr_6250_Regency at North Richland Hills_North Richland Hills</t>
  </si>
  <si>
    <t>Oak Rd_2850_The Reserve at Tranquility Lake_Pearland</t>
  </si>
  <si>
    <t>MacGregor Way_2380_Century Hermann Park_Houston</t>
  </si>
  <si>
    <t>Mesa Dr_15116_Park at Stone Creek_Humble</t>
  </si>
  <si>
    <t>William Cannon Dr E_2302_Spring Valley_Austin</t>
  </si>
  <si>
    <t>Pioneer Pkwy W_602_Royal Oaks Manor_Grand Prairie</t>
  </si>
  <si>
    <t>Park Grove Dr_600_The Villas of Park Grove_Katy</t>
  </si>
  <si>
    <t>Spencer Hwy_1620_Windsor Gardens_South Houston</t>
  </si>
  <si>
    <t>Walton Walker Blvd W_526_Ridgecrest Terrace_Dallas</t>
  </si>
  <si>
    <t>Teri Rd_1700_Woodway Square_Austin</t>
  </si>
  <si>
    <t>Hamilton S_1700_Las Villas de Merida_San Antonio</t>
  </si>
  <si>
    <t>1960 FM W_5007_The Lexington at Champions_Houston</t>
  </si>
  <si>
    <t>6 Hwy N_9125_Villa Toscana_Houston</t>
  </si>
  <si>
    <t>Westpark_10575_The Retreat at Westpark_Houston</t>
  </si>
  <si>
    <t>McCue_3363_Broadstone Uptown Lofts_Houston</t>
  </si>
  <si>
    <t>Central Park Ln_2400_Eastmark at Wolf Pen_College Station</t>
  </si>
  <si>
    <t>SW Pkwy_503_Madison Pointe_College Station</t>
  </si>
  <si>
    <t>Holleman Dr_1800_The Enclave_College Station</t>
  </si>
  <si>
    <t>SW Pkwy_1600_Cedar Ridge at College Station_College Station</t>
  </si>
  <si>
    <t>Dartmouth St_1907_Huntington_College Station</t>
  </si>
  <si>
    <t>Harvey Rd_1501_Plantation Oaks_College Station</t>
  </si>
  <si>
    <t>University Oaks Blvd_401_The Gables_College Station</t>
  </si>
  <si>
    <t>Anderson Dr_401_Scandia Apts_College Station</t>
  </si>
  <si>
    <t>Holleman Dr_1601_Tower Park_College Station</t>
  </si>
  <si>
    <t>Dartmouth Dr_2250_The Ridge_College Station</t>
  </si>
  <si>
    <t>Harvey Rd_811_Sundance_College Station</t>
  </si>
  <si>
    <t>Parkwood Blvd_7001_Legacy Village I &amp; II_Plano</t>
  </si>
  <si>
    <t>Industrial Dr_5700_Ranchview TH_Greenville</t>
  </si>
  <si>
    <t>Cooks Ln_1600_Windsong Apts_Fort Worth</t>
  </si>
  <si>
    <t>Texas St_600_Lone Star_Denton</t>
  </si>
  <si>
    <t>Country View Ln_2491_Grand Texan_McKinney</t>
  </si>
  <si>
    <t>Zang Blvd N_1409_Grand Estates at Founders Park_Dallas</t>
  </si>
  <si>
    <t>Westpark_9510_Clover on the Ridge_Benbrook</t>
  </si>
  <si>
    <t>Westridge Ave_3601_Ridglea Village_Fort Worth</t>
  </si>
  <si>
    <t>Deen Rd_3601_Residences of Diamond Hill_Fort Worth</t>
  </si>
  <si>
    <t>Westmoreland Dr S_6010_Woods of Five Mile Creek_Dallas</t>
  </si>
  <si>
    <t>Westpark_16170_Laurel Point Apts_Houston</t>
  </si>
  <si>
    <t>Broadway St_9720_Southwind_Pearland</t>
  </si>
  <si>
    <t>Lakeview Haven_6833_Copperwood Ranch_Houston</t>
  </si>
  <si>
    <t>Mason Rd_2495_Camden Downs at Cinco Ranch_Katy</t>
  </si>
  <si>
    <t>Fuqua_11144_Settlers Ranch_Houston</t>
  </si>
  <si>
    <t>Westheimer_9100_Camden Piney Point_Houston</t>
  </si>
  <si>
    <t>Fairmont Pkwy_3663_Parkway Seniors_Pasadena</t>
  </si>
  <si>
    <t>Huffmeister Rd_12035_Windsor Cypress Apts_Cypress</t>
  </si>
  <si>
    <t>Smith St_2222_2222 Smith Street_Houston</t>
  </si>
  <si>
    <t>Hemphill Park_2810_Villas on Guadalupe_Austin</t>
  </si>
  <si>
    <t>Pleasant Valley Rd S_1109_Town Lake at Austin_Austin</t>
  </si>
  <si>
    <t>Montopolis Dr_2201_Towne Vista_Austin</t>
  </si>
  <si>
    <t>Collins Creek Dr_2800_Rosemont at Oak Valley_Austin</t>
  </si>
  <si>
    <t>Waters Edge Dr_8611_Gates of Capernum_San Antonio</t>
  </si>
  <si>
    <t>23rd St W_900_NF_Austin</t>
  </si>
  <si>
    <t>35 IH N_1610_University Heights San Marcos_San Marcos</t>
  </si>
  <si>
    <t>Ledbetter E_423_Flats of Five Mile Creek_Dallas</t>
  </si>
  <si>
    <t>Overton Ridge Rd_5501_Overton Park TH_Fort Worth</t>
  </si>
  <si>
    <t>16 Hwy S_10127_Rosemont at Palo Alto_San Antonio</t>
  </si>
  <si>
    <t>Country Club Dr_7920_Woodbridge Villas_Sachse</t>
  </si>
  <si>
    <t>Hermann Museum Cir_1_The Esplanade at Hermann Museum Circle_Houston</t>
  </si>
  <si>
    <t>W Rd_14811_Club at Copperleaf_Houston</t>
  </si>
  <si>
    <t>Estancia Cir_5515_Estancia TH_Dallas</t>
  </si>
  <si>
    <t>Winsome Ln_6030_Bella Capri_Houston</t>
  </si>
  <si>
    <t>Vera Cruz_1003_Olivares Senior Community_San Antonio</t>
  </si>
  <si>
    <t>Inwood Park Dr_7050_Inwood Terrace_Houston</t>
  </si>
  <si>
    <t>Washington St E_1001_Riverwalk TH_Stephenville</t>
  </si>
  <si>
    <t>Belt Line Rd E_1204_Primrose at Cedar Hill_Cedar Hill</t>
  </si>
  <si>
    <t>Yale St_5673_Yale Village_Houston</t>
  </si>
  <si>
    <t>Barberry Dr_4141_King's Row_Houston</t>
  </si>
  <si>
    <t>Bammel Houston Rd N_9955_Saddlewood_Houston</t>
  </si>
  <si>
    <t>Sagebrush Trl_1400_Wilshire Manor_Euless</t>
  </si>
  <si>
    <t>Marion Pugh_400_Stadium View_College Station</t>
  </si>
  <si>
    <t>University Dr E_1400_Primrose at Sequoia Park_Denton</t>
  </si>
  <si>
    <t>Dunvale Rd_3030_Alanza Brook_Houston</t>
  </si>
  <si>
    <t>Stagecoach Trl S_250_Savannah Club_San Marcos</t>
  </si>
  <si>
    <t>Watson Rd S_2500_Gateway Park_Arlington</t>
  </si>
  <si>
    <t>Calmont Ave_8000_Hill Villa Retirement Community_Fort Worth</t>
  </si>
  <si>
    <t>Greens Rd_838_Collingwood Gardens_Houston</t>
  </si>
  <si>
    <t>Military Pkwy_9850_Prairie Commons_Dallas</t>
  </si>
  <si>
    <t>Grandys Ln_1070_Summit Ridge Apts_Lewisville</t>
  </si>
  <si>
    <t>Henderson Ave_2525_Easton_Dallas</t>
  </si>
  <si>
    <t>Oxford St_404_Camden Heights_Houston</t>
  </si>
  <si>
    <t>Pruitt Rd_301_Camden Spring Creek_Spring</t>
  </si>
  <si>
    <t>Lakes at 610 Dr_9111_Villas at Coronado_Houston</t>
  </si>
  <si>
    <t>Cheryl Dr W_330_Chaminade (TBD)_San Antonio</t>
  </si>
  <si>
    <t>Commerce E_3144_Center Park_San Antonio</t>
  </si>
  <si>
    <t>Sunshine E_342_Cabana_San Antonio</t>
  </si>
  <si>
    <t>Fredericksburg Rd_2909_Apts Northwest_San Antonio</t>
  </si>
  <si>
    <t>Howard St_509_Aurora_San Antonio</t>
  </si>
  <si>
    <t>Spring Branch_6542_Babcock North Fourplex Homes_San Antonio</t>
  </si>
  <si>
    <t>Gardina St_1318_Gardina Court_San Antonio</t>
  </si>
  <si>
    <t>Hein Rd N_4438_Brighton Terrace_San Antonio</t>
  </si>
  <si>
    <t>Woodbury Dr_2803_Amber Square_San Antonio</t>
  </si>
  <si>
    <t>Upland_1514_Antioch Village_San Antonio</t>
  </si>
  <si>
    <t>Hutchins Place W_555_Aristocrat_San Antonio</t>
  </si>
  <si>
    <t>Deerwood_207_Austin Woods_San Antonio</t>
  </si>
  <si>
    <t>Nacogdoches Rd_2618_Bella Claire_San Antonio</t>
  </si>
  <si>
    <t>Bentwood Dr_116_Boerne TH_Boerne</t>
  </si>
  <si>
    <t>Exeter Rd_515_Berrendo Square_San Antonio</t>
  </si>
  <si>
    <t>Briarbend Dr_349_Briarbend_New Braunfels</t>
  </si>
  <si>
    <t>Churchill Estates_14121_Churchill Estates_San Antonio</t>
  </si>
  <si>
    <t>Springdale_1050_Springdale Estates_Austin</t>
  </si>
  <si>
    <t>Bickers St_3260_Mabel Meshack White Manor_Dallas</t>
  </si>
  <si>
    <t>Westwood Loop_10809_Laurel Canyon I_San Antonio</t>
  </si>
  <si>
    <t>Morning Star Blvd_6399_Estancia at Morning Star_The Colony</t>
  </si>
  <si>
    <t>Davis St W_4599_Vistas at Pinnacle Park_Dallas</t>
  </si>
  <si>
    <t>Vista Dr N_311_Park at North Vista_Houston</t>
  </si>
  <si>
    <t>Airtex Blvd_333_Kimberly Pointe_Houston</t>
  </si>
  <si>
    <t>Amherst Cir W_5419_West Amherst Apts_Dallas</t>
  </si>
  <si>
    <t>Quail Creek_3500_Providence Place I_Denton</t>
  </si>
  <si>
    <t>Lavaca St_201_AMLI Downtown_Austin</t>
  </si>
  <si>
    <t>Horal Dr_1980_Westpond_San Antonio</t>
  </si>
  <si>
    <t>31st E_311_Voyageurs_Austin</t>
  </si>
  <si>
    <t>Farrah Ln_1000_The Preserve at Colony Lakes_Stafford</t>
  </si>
  <si>
    <t>Legacy Park Dr_10802_The Bellmeade_Houston</t>
  </si>
  <si>
    <t>Gulf Pointe Dr_11881_Montelago_Houston</t>
  </si>
  <si>
    <t>Enterprise Dr_150_The Grand Reserve_McKinney</t>
  </si>
  <si>
    <t>Matlock Rd_3251_Spyglass_Mansfield</t>
  </si>
  <si>
    <t>Beachview_1121_The Trails at White Rock_Dallas</t>
  </si>
  <si>
    <t>Reading Rd_5525_Reading Park Apts_Rosenberg</t>
  </si>
  <si>
    <t>Park Row Dr_15335_Carrington Park_Houston</t>
  </si>
  <si>
    <t>Old Walters Rd_12203_Shadow Ridge_Houston</t>
  </si>
  <si>
    <t>Lincoln St_313_University Square_College Station</t>
  </si>
  <si>
    <t>Plainsman Ln_3535_Quail Hollow_Bryan</t>
  </si>
  <si>
    <t>Sage Rd_3000_3000 Sage_Houston</t>
  </si>
  <si>
    <t>Providence_3301_The Oaks_Bryan</t>
  </si>
  <si>
    <t>Longmire Dr_2701_Pepper Tree_College Station</t>
  </si>
  <si>
    <t>Harvey Mitchell Pkwy S_2101_Doux Chene_College Station</t>
  </si>
  <si>
    <t>Holleman Dr E_301_Arbors at Wolf Pen Creek_College Station</t>
  </si>
  <si>
    <t>Peak St N_1333_Vue Live Oak_Dallas</t>
  </si>
  <si>
    <t>SW Pkwy_1700_Arbor Square_College Station</t>
  </si>
  <si>
    <t>SW Pkwy_401_Parkway Circle_College Station</t>
  </si>
  <si>
    <t>Barthelow Dr_1301_Redstone_College Station</t>
  </si>
  <si>
    <t>Welsh St_2401_Brazos Point_College Station</t>
  </si>
  <si>
    <t>Anderson St_1601_Anderson Place_College Station</t>
  </si>
  <si>
    <t>Lincoln Dr_401_East Gate_College Station</t>
  </si>
  <si>
    <t>Marion Pugh_800_Meadows Point_College Station</t>
  </si>
  <si>
    <t>Texas Ave_3002_Navarro_College Station</t>
  </si>
  <si>
    <t>Harvey Rd_1001_Sausalito_College Station</t>
  </si>
  <si>
    <t>Yellowhouse Cir # B_1806_Hunters Point_College Station</t>
  </si>
  <si>
    <t>Green Crest Dr_3530_City Parc II at West Oaks_Houston</t>
  </si>
  <si>
    <t>Wenda_4700_Cullen Park_Houston</t>
  </si>
  <si>
    <t>SW Pkwy_1101_The Colony_College Station</t>
  </si>
  <si>
    <t>Luther St W_1101_The Heights at Luther Street_College Station</t>
  </si>
  <si>
    <t>George Bush Dr_1700_University Terrace_College Station</t>
  </si>
  <si>
    <t>Broadmoor Dr_2301_Riverstone_Bryan</t>
  </si>
  <si>
    <t>29th St E_3902_Willow Oaks_Bryan</t>
  </si>
  <si>
    <t>Luther St W_601_The District on Luther_College Station</t>
  </si>
  <si>
    <t>Cherry St_503_The Villas of Cherry Hollow_College Station</t>
  </si>
  <si>
    <t>Carter Creek Pkwy_4475_Royal Oaks Gardens_Bryan</t>
  </si>
  <si>
    <t>College Main St_4302_College Main_Bryan</t>
  </si>
  <si>
    <t>29th St E_3130_The Grove_Bryan</t>
  </si>
  <si>
    <t>Kingsland Blvd_21101_Kingsland Ranch_Katy</t>
  </si>
  <si>
    <t>Wellborn Rd_3645_Reveille Ranch_Bryan</t>
  </si>
  <si>
    <t>620 FM N_9807_Avendaro at Canyon Creek_Austin</t>
  </si>
  <si>
    <t>Lakeline Blvd S_2101_Cypress Creek at Lakeline_Cedar Park</t>
  </si>
  <si>
    <t>Villa Maria Rd E_3130_Wood Trail_Bryan</t>
  </si>
  <si>
    <t>Wellborn Rd_3625_Saddlewood Club_Bryan</t>
  </si>
  <si>
    <t>Harvey Rd_1201_Briarwood_College Station</t>
  </si>
  <si>
    <t>S Pkwy_400_Crossing Place_College Station</t>
  </si>
  <si>
    <t>Central Park Ln_2500_Windsor Pointe_College Station</t>
  </si>
  <si>
    <t>Stasney_401_Casa Del Sol_College Station</t>
  </si>
  <si>
    <t>University Oaks #23_904_Cripple Creek Condos_College Station</t>
  </si>
  <si>
    <t>Holleman #33_1501_The Lexington_College Station</t>
  </si>
  <si>
    <t>Cartwright Rd W_500_Stoneleigh on Cartwright_Balch Springs</t>
  </si>
  <si>
    <t>Verde Dr #A_1005_Forest Creek_Bryan</t>
  </si>
  <si>
    <t>College Main_3902_Country Place_Bryan</t>
  </si>
  <si>
    <t>Hollowhill Dr_1512_College Edge_Bryan</t>
  </si>
  <si>
    <t>SW Pkwy_603_Renaissance Park_College Station</t>
  </si>
  <si>
    <t>9th Ave N_3700_The Veranda_Texas City</t>
  </si>
  <si>
    <t>Redmond Dr_309_Meridian_College Station</t>
  </si>
  <si>
    <t>Westridge Ct_1210_Oak Forest_Bryan</t>
  </si>
  <si>
    <t>SW Pkwy_502_Willowick_College Station</t>
  </si>
  <si>
    <t>Saint Elmo E_4601_King Fisher Creek_Austin</t>
  </si>
  <si>
    <t>Spring Loop_801_Laurel Ridge_College Station</t>
  </si>
  <si>
    <t>Holleman Dr_117_The Gateway at College Station_College Station</t>
  </si>
  <si>
    <t>Villa Maria Rd W_999_West University Gardens_Bryan</t>
  </si>
  <si>
    <t>Holleman Dr W_2001_TheZone at College Station_College Station</t>
  </si>
  <si>
    <t>31st St #110 E_500_Bryan Manor_Bryan</t>
  </si>
  <si>
    <t>Wellborn Rd_4151_Aggie Station_Bryan</t>
  </si>
  <si>
    <t>W Rd_411_Fallbrook Ranch_Houston</t>
  </si>
  <si>
    <t>Houston School Rd N_1605_Rosemont of Lancaster_Lancaster</t>
  </si>
  <si>
    <t>Oxbow_1101_Cooper's Crossing_Irving</t>
  </si>
  <si>
    <t>Whitestone W (1431 FM)_1301_Ranch at Cedar Park_Cedar Park</t>
  </si>
  <si>
    <t>Holland Lake Dr_1650_Residences at Holland Lake_Weatherford</t>
  </si>
  <si>
    <t>Holly Oaks Ln_2129_Residences at Holly Oaks I_Weatherford</t>
  </si>
  <si>
    <t>Continental Dr_350_Mira Vista Ranch_Lewisville</t>
  </si>
  <si>
    <t>Willoughby Blvd_8328_Willoughby Park_Dallas</t>
  </si>
  <si>
    <t>410 Loop NW_4235_South Point Oaks_San Antonio</t>
  </si>
  <si>
    <t>Clay Rd_10800_Broadstone Westway Park_Houston</t>
  </si>
  <si>
    <t>Bareley Ln_10770_Oak Grove_Houston</t>
  </si>
  <si>
    <t>Park View Dr S_18600_Reserve by the Lake_Houston</t>
  </si>
  <si>
    <t>Memorial Dr_15200_The Village on Memorial_Houston</t>
  </si>
  <si>
    <t>Mayfield Rd E_2002_Rosemont at Mayfield Villas_Arlington</t>
  </si>
  <si>
    <t>360 Hwy W N_1991_Lost Creek_Grand Prairie</t>
  </si>
  <si>
    <t>Mortier Dr_100_Villas of Rock Prairie_College Station</t>
  </si>
  <si>
    <t>Airline Dr_1410B_Airline Apts_College Station</t>
  </si>
  <si>
    <t>Harvey Mitchell Pkwy S_1331_Walden Pond Apts_Bryan</t>
  </si>
  <si>
    <t>Colgate Dr_950_University Commons I &amp; II_College Station</t>
  </si>
  <si>
    <t>Murdeaux Ln S_125_Sphinx at Murdeaux Villas_Dallas</t>
  </si>
  <si>
    <t>Briar Forest_14515_Marquis on Briarforest_Houston</t>
  </si>
  <si>
    <t>Harvey Rd_401_Campus View I_College Station</t>
  </si>
  <si>
    <t>Harvey Rd_401_Campus View II_College Station</t>
  </si>
  <si>
    <t>Congress S_6300_SoCo Apts_Austin</t>
  </si>
  <si>
    <t>820 Loop NE_575_The Boulders_Hurst</t>
  </si>
  <si>
    <t>Parkview Dr S_18108_Vizcaya at Park Harbor_Houston</t>
  </si>
  <si>
    <t>Texana Dr_5202_The San Miguel_San Antonio</t>
  </si>
  <si>
    <t>Ingram Rd_7700_Legacy at Crown Meadows_San Antonio</t>
  </si>
  <si>
    <t>Overton Rd W_220_Madison Point_Dallas</t>
  </si>
  <si>
    <t>Atwood Ct_200_Cypress View Villas_Weatherford</t>
  </si>
  <si>
    <t>Gessner_6620_The Franklin_Houston</t>
  </si>
  <si>
    <t>Tidwell_2000_Heatherbrook_Houston</t>
  </si>
  <si>
    <t>Antoine Dr_2056_Lovett Manor_Houston</t>
  </si>
  <si>
    <t>Oak W_2601_Uptown Apts_Denton</t>
  </si>
  <si>
    <t>Chandra Ln_7901_Sycamore Center Villas_Fort Worth</t>
  </si>
  <si>
    <t>Clearwood Dr_9465_Clearwood Villas_Houston</t>
  </si>
  <si>
    <t>Braeswood N_4620_The Halstead Midrise_Houston</t>
  </si>
  <si>
    <t>Marion Rd_11505_The Trails of Sanger_Sanger</t>
  </si>
  <si>
    <t>Annex Ave_1002_1002 Annex_Dallas</t>
  </si>
  <si>
    <t>Barker Cypress Rd_1760_Abbey at Barker Cypress_Houston</t>
  </si>
  <si>
    <t>John Rd W_2605_Rosemont at Ash Creek_Dallas</t>
  </si>
  <si>
    <t>Old Hickory Trl_8501_Providence on the Park_Dallas</t>
  </si>
  <si>
    <t>New Territory Blvd_5555_Broadstone New Territory II_Sugar Land</t>
  </si>
  <si>
    <t>Dunlap_6601_Sterling Point_Houston</t>
  </si>
  <si>
    <t>Bryant Irvin Rd N_4900_Summit View-Valley View_Fort Worth</t>
  </si>
  <si>
    <t>Hutchins Place W_535_Hutchins Palms_San Antonio</t>
  </si>
  <si>
    <t>Bellows Falls Ln_14951_Sierra at Fall Creek_Humble</t>
  </si>
  <si>
    <t>Martin Luther King Jr Blvd_7526_Normas Plaza_Houston</t>
  </si>
  <si>
    <t>Fuqua St W_4855_Peninsula Park_Houston</t>
  </si>
  <si>
    <t>Melanie Trl_1302-1406_Sierra Breeze_Midlothian</t>
  </si>
  <si>
    <t>Quail Blvd_9971_A Country Place_Austin</t>
  </si>
  <si>
    <t>Mission Grande_1327_Rancho Sierra_San Antonio</t>
  </si>
  <si>
    <t>Wayside Dr N_9550_North Forest Trails_Houston</t>
  </si>
  <si>
    <t>Old Pearsall Rd_6300_Rosemont at Millers Pond_San Antonio</t>
  </si>
  <si>
    <t>Airport Blvd W_15000_Reserve At Woodbridge_Houston</t>
  </si>
  <si>
    <t>Voss Rd_15270_Pebble Creek Ranch_Sugar Land</t>
  </si>
  <si>
    <t>Fitzhugh Ave N_2819_Vue Fitzhugh_Dallas</t>
  </si>
  <si>
    <t>Western Center Blvd_2600_Ironwood Crossing_Fort Worth</t>
  </si>
  <si>
    <t>Cedar Springs Rd_2215_The Ashton_Dallas</t>
  </si>
  <si>
    <t>River Bend Dr_121_Mariposa at River Bend Apts_Georgetown</t>
  </si>
  <si>
    <t>Midcrown Dr_5414_Midcrown Senior Pavilion_San Antonio</t>
  </si>
  <si>
    <t>Quail Creek_3700_Providence Place II_Denton</t>
  </si>
  <si>
    <t>Old Decatur Rd_4307_Providence Village at Marine Creek_Fort Worth</t>
  </si>
  <si>
    <t>Fredericksberg Rd_2803_Primrose at Monticello Park_San Antonio</t>
  </si>
  <si>
    <t>Vance Jackson Rd_12436_Vistas of Vance Jackson_San Antonio</t>
  </si>
  <si>
    <t>Frio St N_400_Palacio del Sol I &amp; II_San Antonio</t>
  </si>
  <si>
    <t>1604 Loop W N_8603_Springs at Bandera_San Antonio</t>
  </si>
  <si>
    <t>Landa St_176_Landmark Gardens_New Braunfels</t>
  </si>
  <si>
    <t>Hollow Dr N_8103_Villa de San Antonio_San Antonio</t>
  </si>
  <si>
    <t>Judson Rd_15302_The Villages at Lost Creek_San Antonio</t>
  </si>
  <si>
    <t>Micron Dr_8200_Meadowood Apts_San Antonio</t>
  </si>
  <si>
    <t>Labor St_300_Refugio Place_San Antonio</t>
  </si>
  <si>
    <t>Alpha Rd_5301_Village on the Green_Dallas</t>
  </si>
  <si>
    <t>Spectrum One_4330_Broadstone Colonnade_San Antonio</t>
  </si>
  <si>
    <t>1604 Loop E N_215_The Montecristo_San Antonio</t>
  </si>
  <si>
    <t>Encino Commons Blvd_21302_Encino Canyon_San Antonio</t>
  </si>
  <si>
    <t>Grand Ave Pkwy_1525_Riverhorse Ranch II_Pflugerville</t>
  </si>
  <si>
    <t>Guadalupe St W_4600_Triangle I-Residences_Austin</t>
  </si>
  <si>
    <t>Travis Hills Dr_8818_Hudson Miramont_Austin</t>
  </si>
  <si>
    <t>Barton Creek Blvd_2500_Querencia Barton Creek_Austin</t>
  </si>
  <si>
    <t>Grove Blvd_1881_Grove Place_Austin</t>
  </si>
  <si>
    <t>Oak Springs Dr_3001_Oak Spring Villas Elderly Apts_Austin</t>
  </si>
  <si>
    <t>Pat Booker Rd_7828_The Heritage Apts_San Antonio</t>
  </si>
  <si>
    <t>Bagdad Rd S_2702_Cedar Ridge II_Leander</t>
  </si>
  <si>
    <t>Post Rd_1647_The Outpost San Marcos_San Marcos</t>
  </si>
  <si>
    <t>Capital of Texas Hwy N_4700_Nalle Woods_Austin</t>
  </si>
  <si>
    <t>Saint Elmo Rd E_4503-4509_Rosemont at Williamson Creek_Austin</t>
  </si>
  <si>
    <t>Century Park Blvd_2900_The Park at Summers Grove_Austin</t>
  </si>
  <si>
    <t>Brodie Ln_8515_The Villages of Bella Vista_Austin</t>
  </si>
  <si>
    <t>Bray Central Dr_705_Auberry at Twin Creeks_Allen</t>
  </si>
  <si>
    <t>Independence Pkwy_600_Evergreen at Plano_Plano</t>
  </si>
  <si>
    <t>Ross Ave_1001_Jefferson At 1001 Ross_Dallas</t>
  </si>
  <si>
    <t>Vista Ridge Mall Dr E_625_Sequoia Bluffs at Vista Ridge_Lewisville</t>
  </si>
  <si>
    <t>NW Dr_5651_Evergreen at Mesquite_Mesquite</t>
  </si>
  <si>
    <t>Ridge Rd_1389_Rockwall Commons_Rockwall</t>
  </si>
  <si>
    <t>Bacara Ln_6000_Artisan at Rush Creek_Arlington</t>
  </si>
  <si>
    <t>Preakness Ln_5480_Artisan Ridge_Dallas</t>
  </si>
  <si>
    <t>Masters Dr N_1180_The Masters Apts_Dallas</t>
  </si>
  <si>
    <t>Meadow St_4722_Rosemont at Meadow Lane_Dallas</t>
  </si>
  <si>
    <t>Delafield Ln_4101_Sphinx at Delafield Villas_Dallas</t>
  </si>
  <si>
    <t>Stemmons Fwy N_7200_Pegasus Villas_Dallas</t>
  </si>
  <si>
    <t>Kinsey Dr_4411_Bridges on Kinsey_Tyler</t>
  </si>
  <si>
    <t>Walton Rd_3220_Southwest Pines_Tyler</t>
  </si>
  <si>
    <t>Blackburn St_3003_The Mondrian City Place_Dallas</t>
  </si>
  <si>
    <t>McKinnon St_2820_Trianon by Windsor_Dallas</t>
  </si>
  <si>
    <t>Lakeside Dr_155_Blue Lake Villas II_Waxahachie</t>
  </si>
  <si>
    <t>Canton St_2320_Camden Farmers Market II_Dallas</t>
  </si>
  <si>
    <t>Bardin Rd W_3033_Indigo Pointe_Grand Prairie</t>
  </si>
  <si>
    <t>Huffines Blvd_4700_Terraces of Marine Creek_Fort Worth</t>
  </si>
  <si>
    <t>Corn Valley Rd_2305_Mountain Creek Retirement Living_Grand Prairie</t>
  </si>
  <si>
    <t>Robinson Rd_1920_Oak Timbers Grand Prairie_Grand Prairie</t>
  </si>
  <si>
    <t>Carrier Pkwy S_1104_Wright Senior Apts_Grand Prairie</t>
  </si>
  <si>
    <t>Royal Ln E_635_Mission at La Villita_Irving</t>
  </si>
  <si>
    <t>Deseo_6604_Landings at La Villita_Irving</t>
  </si>
  <si>
    <t>Coleman Blvd_8843_The Plaza at Frisco Square II_Frisco</t>
  </si>
  <si>
    <t>Cockrell Hill N_1411_Churchill at Pinnacle Park_Dallas</t>
  </si>
  <si>
    <t>Winter Park Dr_6350_Franklin Park at Hometown_North Richland Hills</t>
  </si>
  <si>
    <t>Ross Ave_800_Jefferson at West End Station_Dallas</t>
  </si>
  <si>
    <t>Main St_1415_Third Rail Lofts-Gulf States Bldg_Dallas</t>
  </si>
  <si>
    <t>McKinney Ave_3839_Gables West Village_Dallas</t>
  </si>
  <si>
    <t>Hardy Oak Blvd_21739_Club at Stone Oak_San Antonio</t>
  </si>
  <si>
    <t>Akard St N_300_Mosaic_Dallas</t>
  </si>
  <si>
    <t>Wind River Ln_2820_Dogwood Estates_Denton</t>
  </si>
  <si>
    <t>Woodstone_4950_Stonehouse Valley Apts_San Antonio</t>
  </si>
  <si>
    <t>Crestway St_8355_Converse Ranch_San Antonio</t>
  </si>
  <si>
    <t>Military Dr SW_5350_Champion Homes at Port Royal_San Antonio</t>
  </si>
  <si>
    <t>Zarzamora_2022_Charles A. Gonzales Senior Community_San Antonio</t>
  </si>
  <si>
    <t>W.W. White Rd S_2819_Costa Cadiz_San Antonio</t>
  </si>
  <si>
    <t>Landa St_144_The Landmark Lofts_New Braunfels</t>
  </si>
  <si>
    <t>Pleasant Run Rd E_1000_Legacy of Cedar Hill II_Cedar Hill</t>
  </si>
  <si>
    <t>Sycamore School Rd_3801_The Park at Sycamore School Apts_Fort Worth</t>
  </si>
  <si>
    <t>Bentley Dr_8004_The Meadows at Bentley Drive_San Antonio</t>
  </si>
  <si>
    <t>Tomar Dr_500_Western Hills Apts_San Antonio</t>
  </si>
  <si>
    <t>Browder St_222_Dallas Power &amp; Light Buildings_Dallas</t>
  </si>
  <si>
    <t>UTSA Blvd_6802_The Outpost San Antonio_San Antonio</t>
  </si>
  <si>
    <t>Westpark View Dr_1501_Stone Villas_Fort Worth</t>
  </si>
  <si>
    <t>Pacific Dr_4901_Addison Park Apts_Arlington</t>
  </si>
  <si>
    <t>Forest Hill Dr_7415_Villas of Forest Hill_Fort Worth</t>
  </si>
  <si>
    <t>Colorado St_101_The Ashton_Austin</t>
  </si>
  <si>
    <t>General McMullen N_411_Bexar Creek_San Antonio</t>
  </si>
  <si>
    <t>6th St E_2011-2121_Villas on Sixth_Austin</t>
  </si>
  <si>
    <t>Woodward St_2000_Cityview at the Park_Austin</t>
  </si>
  <si>
    <t>Sandra Muraida Way_115_Gables Park Plaza_Austin</t>
  </si>
  <si>
    <t>Lamar Blvd N_300_300 N. Lamar_Austin</t>
  </si>
  <si>
    <t>San Marcos St_1000_Robertson Hill_Austin</t>
  </si>
  <si>
    <t>Mueller Blvd_4600_Mosaic at Mueller_Austin</t>
  </si>
  <si>
    <t>290 US Hwy E_9345_Rosemont at Hidden Creek_Austin</t>
  </si>
  <si>
    <t>Acme Rd S_535_Rosemont at Bethel Place_San Antonio</t>
  </si>
  <si>
    <t>Emerald Ash_102_Rosemont at University Park_San Antonio</t>
  </si>
  <si>
    <t>Eisenhauer Rd_5100_Costa Biscaya_San Antonio</t>
  </si>
  <si>
    <t>Riverside Dr_647_Champion Homes at Mission del Rio_San Antonio</t>
  </si>
  <si>
    <t>Potranco Rd_8330_Willow Bend_San Antonio</t>
  </si>
  <si>
    <t>Westwood Loop_10809_Laurel Canyon II_San Antonio</t>
  </si>
  <si>
    <t>Westwood Loop_10809_Laurel Canyon III_San Antonio</t>
  </si>
  <si>
    <t>360 Hwy S_4940_Prairie Ranch_Grand Prairie</t>
  </si>
  <si>
    <t>Las Colinas Blvd E_350_Canal Side Lofts_Irving</t>
  </si>
  <si>
    <t>Tarrant Pkwy N_5551_Aventine Apts_Fort Worth</t>
  </si>
  <si>
    <t>123 Hwy S_NF_Oak Meadows_Seguin</t>
  </si>
  <si>
    <t>Timber Oaks Ln_700_Timber Oaks Apts_Grand Prairie</t>
  </si>
  <si>
    <t>Sunshine Dr W_1527_Tigoni Villas Apts_San Antonio</t>
  </si>
  <si>
    <t>Lake Carolyn Pkwy_1050_Windsor at Las Colinas_Irving</t>
  </si>
  <si>
    <t>Lake Carolyn Pkwy_692_The Mandalay on the Lake_Irving</t>
  </si>
  <si>
    <t>Culebra_NF_Mira Vista_San Antonio</t>
  </si>
  <si>
    <t>Garden Park Dr_935_The Lofts at Watters Creek I_Allen</t>
  </si>
  <si>
    <t>Huebner Rd_7101_Villas of Leon Valley_San Antonio</t>
  </si>
  <si>
    <t>Blanco Rd W_14500_Walker Ranch_San Antonio</t>
  </si>
  <si>
    <t>Houston St N_2500_The Cirque_Dallas</t>
  </si>
  <si>
    <t>McKinney Ave_3636_Gables 3636 McKinney_Dallas</t>
  </si>
  <si>
    <t>Shady Shores Dr_6303_Preserve at Pecan Creek_Denton</t>
  </si>
  <si>
    <t>Stone Oak Pkwy_20614_Estates at Canyon Ridge_San Antonio</t>
  </si>
  <si>
    <t>Capital of Texas Hwy N_3500_Gables Westlake_Austin</t>
  </si>
  <si>
    <t>Finfeather Rd_3150_The Presidio_Bryan</t>
  </si>
  <si>
    <t>Roaring Springs Rd N_101_Villages of Hawks Creek_Fort Worth</t>
  </si>
  <si>
    <t>Greenville Ave_1811_Vue Greenville_Dallas</t>
  </si>
  <si>
    <t>Saint Joseph's Pkwy_301_Camden City Centre I_Houston</t>
  </si>
  <si>
    <t>Villa Maria_2505_Crestview Unity_Bryan</t>
  </si>
  <si>
    <t>Greenville Ave_1701_Post Eastside_Richardson</t>
  </si>
  <si>
    <t>Kings Crossing Dr_2807_Westminster House at Kingwood Village Estates_Kingwood</t>
  </si>
  <si>
    <t>Hirschfield_3030_Timber Run Apts_Spring</t>
  </si>
  <si>
    <t>1960 FM_12700_Carrington Place_Houston</t>
  </si>
  <si>
    <t>Old Bammel Houston Rd N_10335_Primrose at Heritage Park_Houston</t>
  </si>
  <si>
    <t>2nd St_NF_The Fountains_Sweeny</t>
  </si>
  <si>
    <t>Northpines Dr_435_Kingwood Senior Village_Kingwood</t>
  </si>
  <si>
    <t>Riva Row_2203_Boardwalk at Town Center Apts I_The Woodlands</t>
  </si>
  <si>
    <t>Lake Woodlands Dr_6900_Sterling Ridge Estates_The Woodlands</t>
  </si>
  <si>
    <t>Tangle Brush Dr_3300_Tangle Brush Villa_The Woodlands</t>
  </si>
  <si>
    <t>45 IH N_229_Stone Ridge I_Conroe</t>
  </si>
  <si>
    <t>105 Hwy W_19788_Montgomery Trace_Montgomery</t>
  </si>
  <si>
    <t>Eastex Fwy (Hwy 59)_23461_Montgomery Pines Apts_Porter</t>
  </si>
  <si>
    <t>Katy Gaston Rd_2101_Willow Lake II_Katy</t>
  </si>
  <si>
    <t>Kirkwood Dr S_12221_Meadows Place Senior Village_Stafford</t>
  </si>
  <si>
    <t>Fondren Rd_14001_Willow Park_Missouri City</t>
  </si>
  <si>
    <t>45 IH_2700_Windsor Estates II_Texas City</t>
  </si>
  <si>
    <t>Longmire Rd_1840_Landmark of Conroe_Conroe</t>
  </si>
  <si>
    <t>Texas Ave_902_Sweeny Manor Apts_Sweeny</t>
  </si>
  <si>
    <t>Texaco Ave W_180_Magnolia Manor TH_West Columbia</t>
  </si>
  <si>
    <t>Skinner St_1102_Freeport Oaks Apts_Freeport</t>
  </si>
  <si>
    <t>Ave J N_1001_Freeport Meadows_Freeport</t>
  </si>
  <si>
    <t>Henderson Rd W_300_Country Lane Apts_Angleton</t>
  </si>
  <si>
    <t>Henderson Rd W_1749_Northside Senior Citizen Apts_Angleton</t>
  </si>
  <si>
    <t>Henderson Rd W_1753_Northside Plaza Apts_Angleton</t>
  </si>
  <si>
    <t>Old Alvin Rd_1710_Oakbridge Apts_Pearland</t>
  </si>
  <si>
    <t>Oyster Creek_130_American Apts_Lake Jackson</t>
  </si>
  <si>
    <t>Wildwood Park Rd_22155_The Reserve at River Park West_Richmond</t>
  </si>
  <si>
    <t>Brand Ln_1020_Silverbrooke_Stafford</t>
  </si>
  <si>
    <t>22nd St N_2602_Ashton Park III_Texas City</t>
  </si>
  <si>
    <t>Jones Dr_7400_Island Bay Resorts II_Galveston</t>
  </si>
  <si>
    <t>Magnolia Ave_3401_Village at Morningstar I_Texas City</t>
  </si>
  <si>
    <t>Hobbs Rd_600_Maplewood Crossing_League City</t>
  </si>
  <si>
    <t>61st St_2810_Holland House Apts_Galveston</t>
  </si>
  <si>
    <t>Wilson Rd_901_Heritage at Hooper Hill_Conroe</t>
  </si>
  <si>
    <t>Windmill Lakes Blvd_10181_Longboat Key_Houston</t>
  </si>
  <si>
    <t>Sam Houston Pkwy E S_7909_Sweetwater Point_Houston</t>
  </si>
  <si>
    <t>Bayside_330_Windsail Bay I_La Porte</t>
  </si>
  <si>
    <t>Silverleaf Rd_300_Windmill Run_Sweeny</t>
  </si>
  <si>
    <t>Broadway_9900_St. Andrews II_Pearland</t>
  </si>
  <si>
    <t>County Rd 90_2414_Summer Wind Apts_Pearland</t>
  </si>
  <si>
    <t>Oak Rd_2920_Tranquility Bay I &amp; II_Pearland</t>
  </si>
  <si>
    <t>That Way St_514_Edgewater_Lake Jackson</t>
  </si>
  <si>
    <t>County Rd 94_3800_Cobblestone Park I_Manvel</t>
  </si>
  <si>
    <t>Cullen Blvd_10010_Lansborough Apts_Houston</t>
  </si>
  <si>
    <t>Cove View Blvd_3433_Club of the Isle_Galveston</t>
  </si>
  <si>
    <t>Buccaneer_16415_Bay Crest Village (Bay Place II)_Houston</t>
  </si>
  <si>
    <t>Cypress Point Dr_2815_Plantation at Quail Valley_Missouri City</t>
  </si>
  <si>
    <t>Bay Area Blvd W_2801_Baybrook Village I_Webster</t>
  </si>
  <si>
    <t>Adoue St E_1100_Morgan Oaks_Alvin</t>
  </si>
  <si>
    <t>Lakeview_140_Olde Oaks_Clute</t>
  </si>
  <si>
    <t>El Camino Real_16302_The Hamptons II_Houston</t>
  </si>
  <si>
    <t>Bay Area Blvd_1243_Village South Apts_Houston</t>
  </si>
  <si>
    <t>6 Hwy_8010_Lively Oaks Apts_Hitchcock</t>
  </si>
  <si>
    <t>Broadway St_8601_Broadway Square-Section 3-I_Houston</t>
  </si>
  <si>
    <t>Shaver S_3633_West Point Village_Pasadena</t>
  </si>
  <si>
    <t>Edgebrook Dr E_103_Edgebrook II_Houston</t>
  </si>
  <si>
    <t>Garland Dr_100_Lake Jackson Manor_Lake Jackson</t>
  </si>
  <si>
    <t>Garth Rd_6033_Rosemont at Baytown_Baytown</t>
  </si>
  <si>
    <t>City Park Central Ln_11800_Stonebridge at City Park_Houston</t>
  </si>
  <si>
    <t>City Park Central Ln_11900_Ranch at City Park_Houston</t>
  </si>
  <si>
    <t>Pineloch_696_Green Oaks II_Webster</t>
  </si>
  <si>
    <t>Dickinson Rd_1277_Stonegate at Alvin_Alvin</t>
  </si>
  <si>
    <t>Crenshaw Rd_5045_The Broadwater_Pasadena</t>
  </si>
  <si>
    <t>Charleston Park_16_Oaks of Charleston Apts (B)_Houston</t>
  </si>
  <si>
    <t>MacGregor Way N_3629_MacGregor Gardens_Houston</t>
  </si>
  <si>
    <t>Scott St_5250_WALIPP Seniors Residence_Houston</t>
  </si>
  <si>
    <t>Cullen Blvd_4600_Cullen Oaks I_Houston</t>
  </si>
  <si>
    <t>Cullen Blvd_4600_Cullen Oaks II_Houston</t>
  </si>
  <si>
    <t>Boynton_3230_Willow Glen Homes_Houston</t>
  </si>
  <si>
    <t>Cherrybrook Ln_2627_Evangeline Booth Garden_Pasadena</t>
  </si>
  <si>
    <t>Sam Houston Pkwy S E_2122_Primrose at Pasadena_Pasadena</t>
  </si>
  <si>
    <t>Airport Blvd W_8100_The Crossings at Bradford Place I_Houston</t>
  </si>
  <si>
    <t>Braeswood N_4620_The Halstead Tower_Houston</t>
  </si>
  <si>
    <t>Braesvalley Dr_5454_Nob Hill North_Houston</t>
  </si>
  <si>
    <t>Fondren Rd_9000_Brickhaven III_Houston</t>
  </si>
  <si>
    <t>Brompton_7300_Camden Vanderbilt II_Houston</t>
  </si>
  <si>
    <t>El Paseo_1885_UT Houston_Houston</t>
  </si>
  <si>
    <t>Airport Blvd W_8030-8040_The Crossings at Jackson Square_Houston</t>
  </si>
  <si>
    <t>Stafford Rd_12660_Madison on the Meadows_Stafford</t>
  </si>
  <si>
    <t>Allen Genoa S_101_Ashton Place I Apts_South Houston</t>
  </si>
  <si>
    <t>Park Place_8351_Villa del Mar_Houston</t>
  </si>
  <si>
    <t>Del Rio_6401_Catalina Village I_Houston</t>
  </si>
  <si>
    <t>Dixie Rd_3560_Catalina Village II_Houston</t>
  </si>
  <si>
    <t>Corporate Dr_7825_The Lodge II_Houston</t>
  </si>
  <si>
    <t>Sam Houston Pkwy S W_9501_Casa Del Sol_Houston</t>
  </si>
  <si>
    <t>Westward_5612-5621_Chateau Carmel_Houston</t>
  </si>
  <si>
    <t>Rollingbrook Dr_619_Stonebrook II_Baytown</t>
  </si>
  <si>
    <t>Knowlton Rd_1220_Shady Creek_Baytown</t>
  </si>
  <si>
    <t>Sam Houston Pkwy S W_8565_Little Nell_Houston</t>
  </si>
  <si>
    <t>Cambridge_8450_Scotland Yard II_Houston</t>
  </si>
  <si>
    <t>Live Oak_5519_Riverside Terrace Apts_Houston</t>
  </si>
  <si>
    <t>Hermann Park Ct_1_The Lofts at Hermann Park_Houston</t>
  </si>
  <si>
    <t>Hermann Museum Cir_3_The Amalfi at Hermann Park_Houston</t>
  </si>
  <si>
    <t>Scott St_7210_South Union Place_Houston</t>
  </si>
  <si>
    <t>Scott St_7245_Scott Street TH_Houston</t>
  </si>
  <si>
    <t>Alice St_3360_Parkside Point_Houston</t>
  </si>
  <si>
    <t>Almeda Rd_5925_Montage at Mosaic_Houston</t>
  </si>
  <si>
    <t>Market St_9701_Sun East 55+_Jacinto City</t>
  </si>
  <si>
    <t>Ferness Ln_15255_Sterling Green Village_Channelview</t>
  </si>
  <si>
    <t>Gessner S_6005_Carlingford III_Houston</t>
  </si>
  <si>
    <t>Dunlap St_6500_Milagro Plaza_Houston</t>
  </si>
  <si>
    <t>Fondren_10800_Fondren Court South_Houston</t>
  </si>
  <si>
    <t>Gray Ridge_15255_The Vinings at West Oaks II_Houston</t>
  </si>
  <si>
    <t>Witter_1022_Gayle Villa Apts_Pasadena</t>
  </si>
  <si>
    <t>Memorial Dr_5201_Bayou on the Bend Apts_Houston</t>
  </si>
  <si>
    <t>Cummins St_3833_Camden Plaza_Houston</t>
  </si>
  <si>
    <t>Town Park Dr_9950_Town Park TH_Houston</t>
  </si>
  <si>
    <t>Colony Dr_8181_The Riveraine Apts_Houston</t>
  </si>
  <si>
    <t>Dallas W_2221_AMLI City Vista_Houston</t>
  </si>
  <si>
    <t>Bailey_1520_Victory Apts_Houston</t>
  </si>
  <si>
    <t>Meadowglen_9851_Madison Park of Westchase II_Houston</t>
  </si>
  <si>
    <t>San Felipe_6363_The Fairmont on San Felipe_Houston</t>
  </si>
  <si>
    <t>Allen Pkwy_2121_AMLI 2121_Houston</t>
  </si>
  <si>
    <t>Main_812_Main, 812 Lofts (On Hold)_Houston</t>
  </si>
  <si>
    <t>Main_917_Kirby Lofts Condo Apts_Houston</t>
  </si>
  <si>
    <t>Revere_3206_Gables Upper Kirby_Houston</t>
  </si>
  <si>
    <t>Kirby_2800_Gables West Ave_Houston</t>
  </si>
  <si>
    <t>Travis St_2700_Camden Travis Street_Houston</t>
  </si>
  <si>
    <t>Synott Rd_2727_Villas at Westheimer_Houston</t>
  </si>
  <si>
    <t>Oxford Park Dr_12430_Mandalay at Shadowlake_Houston</t>
  </si>
  <si>
    <t>Riverway Dr_7_7 Riverway_Houston</t>
  </si>
  <si>
    <t>Augusta_1600_Village Park of Tanglewood_Houston</t>
  </si>
  <si>
    <t>Old Katy Rd_7105_The Cheval_Houston</t>
  </si>
  <si>
    <t>Alabama W_1715_West Alabama, 1715 (on hold)_Houston</t>
  </si>
  <si>
    <t>Richmond Ave_3616_Metropole Tower_Houston</t>
  </si>
  <si>
    <t>Richmond Ave_3616_Metropole Mid-Rise_Houston</t>
  </si>
  <si>
    <t>Airline Dr_5105_Primrose Casabella_Houston</t>
  </si>
  <si>
    <t>Berry Rd_310_Oak Arbor TH_Houston</t>
  </si>
  <si>
    <t>Beauchamp_2807_Beauchamp Apts_Houston</t>
  </si>
  <si>
    <t>Shadowbriar Dr_2840_Estancia at Shadowlake_Houston</t>
  </si>
  <si>
    <t>Richmond Ave_12360_Lodge at Shadowlake II_Houston</t>
  </si>
  <si>
    <t>Valley Forge_10550_La Fontaine Apts_Houston</t>
  </si>
  <si>
    <t>McCue_2323_Dominion Post Oak_Houston</t>
  </si>
  <si>
    <t>Olympia Dr_11201_Westchase Ranch II_Houston</t>
  </si>
  <si>
    <t>Lazy Hollow Dr_2501_Westpoint-Creekside I_Houston</t>
  </si>
  <si>
    <t>Old Farm Rd_2525_The Reserve Old Farm I_Houston</t>
  </si>
  <si>
    <t>18th St W_2727_Broadstone West 18th_Houston</t>
  </si>
  <si>
    <t>Normandy_101_Magnolia Estates_Houston</t>
  </si>
  <si>
    <t>Old Katy Rd_6950_Old Katy Rd, 6950 (on hold)_Houston</t>
  </si>
  <si>
    <t>Briarhurst Dr_2900_Trafalgar West I_Houston</t>
  </si>
  <si>
    <t>Bering Dr_824_Tuscany Villas_Houston</t>
  </si>
  <si>
    <t>Winsome Ln_6102_Oxford on Greenridge II_Houston</t>
  </si>
  <si>
    <t>Winsome Ln_6121_Oxford on Greenridge III_Houston</t>
  </si>
  <si>
    <t>Bennington_6767_Emerald Bay_Houston</t>
  </si>
  <si>
    <t>Sam Houston Pkwy N E_6160_Stone Park I_Houston</t>
  </si>
  <si>
    <t>Little York W_7740_Wynhaven at Hollister_Houston</t>
  </si>
  <si>
    <t>Wilshire Place_7550_Beverly Wilshire_Houston</t>
  </si>
  <si>
    <t>Little York Rd W_3111_Little York Villas_Houston</t>
  </si>
  <si>
    <t>Seminar Dr_535_Breckenridge at CityView I_Houston</t>
  </si>
  <si>
    <t>Benmar Dr_301-355_CityView Place I_Houston</t>
  </si>
  <si>
    <t>Greens Pkwy_1303_Bristol Apts_Houston</t>
  </si>
  <si>
    <t>Sherwood Ln_4600_Ensbrook Le Moyne Apts_Houston</t>
  </si>
  <si>
    <t>Castlebridge Dr_12400_The Manor at Jersey Village_Houston</t>
  </si>
  <si>
    <t>Little York W_790_Lincoln Park Apts_Houston</t>
  </si>
  <si>
    <t>Shepherd Dr N_7450_Mayfair Park_Houston</t>
  </si>
  <si>
    <t>Main St N_6900_Bayview_Baytown</t>
  </si>
  <si>
    <t>Atascocita Shores Dr_19780_Lake Forest_Humble</t>
  </si>
  <si>
    <t>2100 FM Rd_25000_Huffman Hollow_Huffman</t>
  </si>
  <si>
    <t>Saums Rd_20300_Providence Place I_Katy</t>
  </si>
  <si>
    <t>Irvington_10120_Villa del Sol Apts_Houston</t>
  </si>
  <si>
    <t>Aldine Bender_131_Primrose del Sol_Houston</t>
  </si>
  <si>
    <t>Chisholm Trl_18204_Chisholm Trail_Houston</t>
  </si>
  <si>
    <t>Vickery Dr_15165_Northland Woods_Houston</t>
  </si>
  <si>
    <t>Foxbrick Ln_7150_Villas at Foxbrick_Humble</t>
  </si>
  <si>
    <t>J.M. Hester_9850_Humble Memorial Gardens_Humble</t>
  </si>
  <si>
    <t>1960 FM W_9390_Park at Humble_Humble</t>
  </si>
  <si>
    <t>Spring Cypress_7215_Stoneleigh on Spring Cypress_Spring</t>
  </si>
  <si>
    <t>Spring Cypress_10810_Stoneleigh Cypress Pointe_Tomball</t>
  </si>
  <si>
    <t>Huffmeister_10451_Pinnacle Apts_Houston</t>
  </si>
  <si>
    <t>Aldine Bender Rd_5335_Timber Ridge II_Houston</t>
  </si>
  <si>
    <t>Mills_9100_Wellington Park_Houston</t>
  </si>
  <si>
    <t>Gessner N_12330_The Lighthouse at Willowbrook_Houston</t>
  </si>
  <si>
    <t>School St_517_The Village_Tomball</t>
  </si>
  <si>
    <t>Veterans Memorial_11201_Champion TH on the Green_Houston</t>
  </si>
  <si>
    <t>Cornerstone Park Dr_3133_Cornerstone Village Apts_Houston</t>
  </si>
  <si>
    <t>Louetta Rd_1601_Louetta Village_Spring</t>
  </si>
  <si>
    <t>Louetta Rd_5015_The Villages at Louetta_Spring</t>
  </si>
  <si>
    <t>W Rd_9404_Watermarke Apts_Houston</t>
  </si>
  <si>
    <t>Woerner Rd_300_Lakebridge I_Houston</t>
  </si>
  <si>
    <t>Westfield Place_18200_Retreat at Cypress Station_Houston</t>
  </si>
  <si>
    <t>Meadowglen Ln_11805_Camden Royal Oaks I_Houston</t>
  </si>
  <si>
    <t>Park Ridge Ct_2501_The Berkeley_Fort Worth</t>
  </si>
  <si>
    <t>Vista Ridge Mall Dr E_160_Broadstone Vista Ridge_Lewisville</t>
  </si>
  <si>
    <t>Reagan St_2626_IMT Seville Uptown_Dallas</t>
  </si>
  <si>
    <t>W Rd_13330_Estancia San Miguel_Houston</t>
  </si>
  <si>
    <t>Fossil Creek_3701_Fairmont at Fossil Creek_Fort Worth</t>
  </si>
  <si>
    <t>22nd St_709_The Quarters at Sterling House_Austin</t>
  </si>
  <si>
    <t>Rio Grande St_2707_The Quarters at Cameron House_Austin</t>
  </si>
  <si>
    <t>Nueces St_2700_The Quarters at Montgomery House_Austin</t>
  </si>
  <si>
    <t>Rio Grande St_2215_The Quarters at Bandera House_Austin</t>
  </si>
  <si>
    <t>Nueces_2300_The Quarters at Nueces House_Austin</t>
  </si>
  <si>
    <t>22nd St W_714_The Quarters at Grayson House_Austin</t>
  </si>
  <si>
    <t>Guadalupe St_2815_The Venue on Guadalupe_Austin</t>
  </si>
  <si>
    <t>League City Pkwy_1750_Ravello at Tuscan Lakes_League City</t>
  </si>
  <si>
    <t>Johns Rd_825_The Carrington Place I_Boerne</t>
  </si>
  <si>
    <t>Johns Rd_825_The Carrington Place II_Boerne</t>
  </si>
  <si>
    <t>Canal St_2821_Canal Street Apts_Houston</t>
  </si>
  <si>
    <t>El Campo Ave_4928_Whisperwind Apts_Fort Worth</t>
  </si>
  <si>
    <t>Richmond Ave_3660_36Sixty_Houston</t>
  </si>
  <si>
    <t>Redland Rd_18979_The Oaks of Redland_San Antonio</t>
  </si>
  <si>
    <t>Sumner St_6900_Austin Ranch I-Trails_The Colony</t>
  </si>
  <si>
    <t>Sumner St_6900_Austin Ranch II-Plaza_The Colony</t>
  </si>
  <si>
    <t>Sumner St_6900_Austin Ranch III-Gardens_The Colony</t>
  </si>
  <si>
    <t>Sumner St_6900_Austin Ranch IV-Parks_The Colony</t>
  </si>
  <si>
    <t>Gembler Rd_535_Artisan at Willow Springs_San Antonio</t>
  </si>
  <si>
    <t>Babcock Rd_6623_Artisan on the Bluff_San Antonio</t>
  </si>
  <si>
    <t>Marshall Cross_1803_Champion Homes at Marshall Meadows_San Antonio</t>
  </si>
  <si>
    <t>Clark Ave_4622_Whitefield Place Apts_San Antonio</t>
  </si>
  <si>
    <t>Camp Wisdom Rd E_330_Rosemont at Mission Trails_Dallas</t>
  </si>
  <si>
    <t>Scyene Rd_9901_Rosemont at Sierra Vista_Dallas</t>
  </si>
  <si>
    <t>1464 FM_14231_The Landmark of Sugarland I_Sugar Land</t>
  </si>
  <si>
    <t>Rayford Rd_425_The Landmark at Woodlands I_Spring</t>
  </si>
  <si>
    <t>Shiloh Rd_8702_Shiloh Village_Dallas</t>
  </si>
  <si>
    <t>McGowen St_306_CityPlace Midtown_Houston</t>
  </si>
  <si>
    <t>Ardmore_7373_Avanti Cityside_Houston</t>
  </si>
  <si>
    <t>820 Loop S W_500_Constellation Ranch_Fort Worth</t>
  </si>
  <si>
    <t>Johanna Rd_1715_Johanna Square Apts_Houston</t>
  </si>
  <si>
    <t>1605 Loop W N_8910_Hidden Lake I_San Antonio</t>
  </si>
  <si>
    <t>Eldridge Pkwy_1255_San Paloma_Houston</t>
  </si>
  <si>
    <t>Canal St_2104_Canal Place Apts_Houston</t>
  </si>
  <si>
    <t>Hickory Tree Rd_3211_Villas of Hickory Estates_Balch Springs</t>
  </si>
  <si>
    <t>Main St_1800_Mercantile Place-The Merc_Dallas</t>
  </si>
  <si>
    <t>Ervay N_300_Gables Republic Tower_Dallas</t>
  </si>
  <si>
    <t>Cole Ave_2707_Gables Villa Rosa I_Dallas</t>
  </si>
  <si>
    <t>Cedar Springs_2650_Gables Villa Rosa II_Dallas</t>
  </si>
  <si>
    <t>Sam Houston Pkwy E S_3525_Alta Gardens_Houston</t>
  </si>
  <si>
    <t>Sylvester_4525_Town Club One Apts_Dallas</t>
  </si>
  <si>
    <t>Old Spanish Trl_2950_Equinox_Houston</t>
  </si>
  <si>
    <t>Frazier St S_1200_Park at Piney Woods_Conroe</t>
  </si>
  <si>
    <t>3rd St W_421_AMLI Second Street Tower_Austin</t>
  </si>
  <si>
    <t>Pine Lake Dr_9757_Villas at Bunker Hill_Houston</t>
  </si>
  <si>
    <t>Performance Dr_2301_The Venue_Richardson</t>
  </si>
  <si>
    <t>Sadler Dr_1250_Cabana Beach_San Marcos</t>
  </si>
  <si>
    <t>Copperfield Dr_3780_Signature Park_Bryan</t>
  </si>
  <si>
    <t>Converse Center St_301_Town Square_Converse</t>
  </si>
  <si>
    <t>River Fern Ave_305_Parkside at Firewheel_Garland</t>
  </si>
  <si>
    <t>Sigma Rd_4000_Prairie Crossing_Farmers Branch</t>
  </si>
  <si>
    <t>Bishop Rd_7560_Northside at Legacy_Plano</t>
  </si>
  <si>
    <t>Virginia Dr W_8004_West Virginia Park_Dallas</t>
  </si>
  <si>
    <t>Old Hickory Trl_1626_Hickory Manor_Desoto</t>
  </si>
  <si>
    <t>Belt Line Rd_202_Primrose at Park Place_Garland</t>
  </si>
  <si>
    <t>Garden Ridge Blvd S_415_Evergreen at Lewisville_Lewisville</t>
  </si>
  <si>
    <t>Hickory St E_1224_Renaissance Courts TH_Denton</t>
  </si>
  <si>
    <t>Adelaide St S_1300_Oak Ridge_Terrell</t>
  </si>
  <si>
    <t>Lake Houston Pkwy S_5300_Uvalde Ranch_Houston</t>
  </si>
  <si>
    <t>Almazan Dr_3627_Castle Place_Dallas</t>
  </si>
  <si>
    <t>Hidalgo Dr_3434_Town Place Apts_Dallas</t>
  </si>
  <si>
    <t>Henderson_170_Henderson Place_Midlothian</t>
  </si>
  <si>
    <t>Luella Blvd_3701_Seville Place_La Porte</t>
  </si>
  <si>
    <t>Sam Houston Pkwy E N_8440_Chalet at Fall Creek_Humble</t>
  </si>
  <si>
    <t>Terrell Ave E_300_Oak Timbers Fort Worth_Fort Worth</t>
  </si>
  <si>
    <t>McKinney Ave_3839_Gables West Village I_Dallas</t>
  </si>
  <si>
    <t>Mason Rd_7115_Camden Lakemont_Richmond</t>
  </si>
  <si>
    <t>Town Center Blvd_7404_Brazos Ranch_Rosenberg</t>
  </si>
  <si>
    <t>Memorial Dr_5201_Bayou on the Bend_Houston</t>
  </si>
  <si>
    <t>Waters Rd_300_Hidden Creek_Allen</t>
  </si>
  <si>
    <t>Oakmoor Pkwy_11900_Oakmoor AH_Houston</t>
  </si>
  <si>
    <t>NW Hwy W_3850_The Élan at Bluffview_Dallas</t>
  </si>
  <si>
    <t>Barker Cypress_2931_Landmark at Barker Cypress_Houston</t>
  </si>
  <si>
    <t>College Park Dr_3600_Pine Creek Ranch_The Woodlands</t>
  </si>
  <si>
    <t>Donnelly Cir_4701_Hulen Heights_Fort Worth</t>
  </si>
  <si>
    <t>5th St W_801_The Monarch by Windsor_Austin</t>
  </si>
  <si>
    <t>Lamar Blvd S_300_Cole Apts_Austin</t>
  </si>
  <si>
    <t>Riverside Dr E_127_The Crescent_Austin</t>
  </si>
  <si>
    <t>Dunlap Dr_12800_Willow Ridge_Houston</t>
  </si>
  <si>
    <t>Wintergreen Rd E_400_Arbors on Wintergreen_Desoto</t>
  </si>
  <si>
    <t>John Rd W_2519-2563_Primrose Park Villas_Dallas</t>
  </si>
  <si>
    <t>Washington Ave N_2000_Roseland Gardens_Dallas</t>
  </si>
  <si>
    <t>Highland Rd_2100_Primrose at Highland Meadows_Dallas</t>
  </si>
  <si>
    <t>Malloy Bridge Rd E_600_Villas of Seagoville Apts_Seagoville</t>
  </si>
  <si>
    <t>Lake Carolyn Pkwy_851_Bella Casita_Irving</t>
  </si>
  <si>
    <t>La Frontera Blvd_2601_La Frontera Square_Round Rock</t>
  </si>
  <si>
    <t>Hackberry N_618_W.C. White Apts_San Antonio</t>
  </si>
  <si>
    <t>Metric Blvd_12430_Broadstone Crossing_Austin</t>
  </si>
  <si>
    <t>Witter St_1123_Town Square Apts_Pasadena</t>
  </si>
  <si>
    <t>Town Center Ln_251_Arthouse Apts_Keller</t>
  </si>
  <si>
    <t>Spring Cypress Rd_7303_Stoneleigh on the Lake_Cypress</t>
  </si>
  <si>
    <t>Old Spanish Trl_1333_Domain at Kirby_Houston</t>
  </si>
  <si>
    <t>Crescent Plaza_1725_The Eclipse_Houston</t>
  </si>
  <si>
    <t>Vista del Norte_13000_Villas of Vista del Norte_San Antonio</t>
  </si>
  <si>
    <t>Timber View_3379_Deer Creek_San Antonio</t>
  </si>
  <si>
    <t>Wurzbach Rd_7026_Woodland Ridge_San Antonio</t>
  </si>
  <si>
    <t>Explorer St_4827_Springfield Manor Ph_San Antonio</t>
  </si>
  <si>
    <t>O'Connor Rd_13656_Villa De Valencia_San Antonio</t>
  </si>
  <si>
    <t>Blanco Rd_5347_Meadow Run_San Antonio</t>
  </si>
  <si>
    <t>1604 Loop W N_8910_Hidden Lake II_San Antonio</t>
  </si>
  <si>
    <t>Gessner S_2401_Ventura Lofts_Houston</t>
  </si>
  <si>
    <t>Yarrow Blvd_7423_Artisan at Mission Creek_San Antonio</t>
  </si>
  <si>
    <t>Landa St_860_Landa Place_New Braunfels</t>
  </si>
  <si>
    <t>Stratton Ave_716_Stratton Oaks Apts_Seguin</t>
  </si>
  <si>
    <t>Rigsby Ave_1303_Rosemont at Highland Park_San Antonio</t>
  </si>
  <si>
    <t>90 Hwy W_6303_Costa Valencia_San Antonio</t>
  </si>
  <si>
    <t>Military Dr W_9914_The Haven at Westover Hills_San Antonio</t>
  </si>
  <si>
    <t>Stassney E_501_Austin City Lights_Austin</t>
  </si>
  <si>
    <t>620 FM N_9501_Colonial Grand at Canyon Creek_Austin</t>
  </si>
  <si>
    <t>Plateau Vista Blvd_1800_Colonial Grand at Round Rock_Round Rock</t>
  </si>
  <si>
    <t>Olmos Creek Dr_2914_Bella Madera_San Antonio</t>
  </si>
  <si>
    <t>Callaghan Rd_7575_Mission Oaks_San Antonio</t>
  </si>
  <si>
    <t>Colonial Grand Pkwy_3001_Colonial Grand at Silverado_Cedar Park</t>
  </si>
  <si>
    <t>1604 Loop N E_11801_The Villages at Kitty Hawk_Universal City</t>
  </si>
  <si>
    <t>Bandera Rd_9603_Camden Braun Station_San Antonio</t>
  </si>
  <si>
    <t>Sunrise Canyon_501_Sunrise Canyon_Universal City</t>
  </si>
  <si>
    <t>Sycamore School Rd_5400_Sunset Pointe_Fort Worth</t>
  </si>
  <si>
    <t>New Braunfels Ave S_6639_Primrose at Mission Hills_San Antonio</t>
  </si>
  <si>
    <t>Castroville Rd_2525_La Providencia_San Antonio</t>
  </si>
  <si>
    <t>Gentleman Dr_820_Westchester_San Antonio</t>
  </si>
  <si>
    <t>Hunter Rd_2600_Mariposa at Hunter Road_San Marcos</t>
  </si>
  <si>
    <t>35 IH S_10701_Onion Creek Luxury Apts_Austin</t>
  </si>
  <si>
    <t>Slaughter Ln W_420_Waterstone_Austin</t>
  </si>
  <si>
    <t>Center Lake Dr_12800_Bella Sarah Apts_Austin</t>
  </si>
  <si>
    <t>Hunters Chase Dr_12215_Dakota Springs_Austin</t>
  </si>
  <si>
    <t>Courtenay St_9012_Venue at Home Town NRH_North Richland Hills</t>
  </si>
  <si>
    <t>Galleria Dr_5005_Broadstone Parkway_Farmers Branch</t>
  </si>
  <si>
    <t>Business Center Dr_2200_Waterford Place at Shadow Creek Ranch_Pearland</t>
  </si>
  <si>
    <t>Ridgecroft_15895_Ridgemont Heights_Houston</t>
  </si>
  <si>
    <t>Wilcrest Dr_9520_The Pinnacle on Wilcrest_Houston</t>
  </si>
  <si>
    <t>McKinney_1400_One Park Place_Houston</t>
  </si>
  <si>
    <t>Church St S_1105_Wesleyan Retirement Homes_Georgetown</t>
  </si>
  <si>
    <t>Hemphill St_12301_Worthington Point Apts_Fort Worth</t>
  </si>
  <si>
    <t>Jensen St_7320_Redwood Heights_Houston</t>
  </si>
  <si>
    <t>Winkler Dr_8625_Villas on Winkler Senior Homes_Houston</t>
  </si>
  <si>
    <t>Saint Augustine Dr N_2222_St. Augustine Estates Apts_Dallas</t>
  </si>
  <si>
    <t>Cockrell Hill Rd_3110_Sphinx at Luxar Villas_Dallas</t>
  </si>
  <si>
    <t>Seagler Rd_3003_Portico at West 8, I_Houston</t>
  </si>
  <si>
    <t>Richmond_2300_Alexan Upper Kirby_Houston</t>
  </si>
  <si>
    <t>Westheimer Rd_2001_The Westheimer_Houston</t>
  </si>
  <si>
    <t>Elser St_3300_Fulton Village Apts_Houston</t>
  </si>
  <si>
    <t>Railroad St_2101_San Gabriel Senior Village_Georgetown</t>
  </si>
  <si>
    <t>Atascocita Rd_230_Atascocita Pines Apts_Humble</t>
  </si>
  <si>
    <t>Calmont Ave_8124_Cambridge Court_Fort Worth</t>
  </si>
  <si>
    <t>Tidwell_9110_Commons of Grace Senior Estates_Houston</t>
  </si>
  <si>
    <t>Kobayashi Rd S_901_Baypointe_Webster</t>
  </si>
  <si>
    <t>Texas Ave W_500_Baybrook Park Retirement Center_Webster</t>
  </si>
  <si>
    <t>Village Fair Dr_5151_Providence at Village Fair_Dallas</t>
  </si>
  <si>
    <t>Hampton N_3030_Rosemont at Lakewest_Dallas</t>
  </si>
  <si>
    <t>Alemeda St_2950_Alameda Villas_Fort Worth</t>
  </si>
  <si>
    <t>Shore N_4323_Reserve at Las Brisas II_Irving</t>
  </si>
  <si>
    <t>1959 FM_711_Kensington Place_Houston</t>
  </si>
  <si>
    <t>Sublett Rd_1200_Rush Creek_Arlington</t>
  </si>
  <si>
    <t>Oak Moor Dr_2700_Providence at Prairie Oaks Apts_Arlington</t>
  </si>
  <si>
    <t>Post Oak Blvd_3888_Post Oak East_Euless</t>
  </si>
  <si>
    <t>Anken Dr_2501_Pleasant Hill Apts_Austin</t>
  </si>
  <si>
    <t>Antoine Dr_5950_Pepper Tree Manor_Houston</t>
  </si>
  <si>
    <t>Tumbleweed Trl_8301_Oak Timbers II_White Settlement</t>
  </si>
  <si>
    <t>Fonmeadow St_14603_Oak Tree Manor_Houston</t>
  </si>
  <si>
    <t>Jim Miller Rd N_378_Pleasant Village_Dallas</t>
  </si>
  <si>
    <t>Mockingbird Ln W_1893_Providence Mockingbird_Dallas</t>
  </si>
  <si>
    <t>Westview Blvd_1900_The Lakes at Westview I_Conroe</t>
  </si>
  <si>
    <t>Cutten Rd_15727_Vintage Park_Houston</t>
  </si>
  <si>
    <t>Briar Forest Dr_13202_Briar Forest Lofts_Houston</t>
  </si>
  <si>
    <t>Preston Trace Blvd_8660_Preston Trace Apts_Frisco</t>
  </si>
  <si>
    <t>Perryton_2515_Potters House at Primrose_Dallas</t>
  </si>
  <si>
    <t>Shepherd Ln_4317_Spring Oaks Apts_Balch Springs</t>
  </si>
  <si>
    <t>Simpson Stuart Rd_3111-3131_Champion TH at Pecan Grove_Dallas</t>
  </si>
  <si>
    <t>Hatcher St_4900_Frazier Court_Dallas</t>
  </si>
  <si>
    <t>Tower Ridge Dr_2560_Tower Ridge Apts_Corinth</t>
  </si>
  <si>
    <t>Sandy Point_1828_Forest Park Apts_Bryan</t>
  </si>
  <si>
    <t>1960 FM_11100_Fairlake Cove Apts_Huffman</t>
  </si>
  <si>
    <t>Bourland Rd_501_Evergreen at Keller_Keller</t>
  </si>
  <si>
    <t>6th St E_513_Briarwood Apts_Kaufman</t>
  </si>
  <si>
    <t>Research Blvd_8600_Autumn Chase Austin_Austin</t>
  </si>
  <si>
    <t>Harvey Ln_1161_Elm Ridge Apts_Austin</t>
  </si>
  <si>
    <t>Decker Ln_8000_Eagles Landing Apts_Austin</t>
  </si>
  <si>
    <t>Parks School House Rd_200_Park Manor_Waxahachie</t>
  </si>
  <si>
    <t>Ewing Ave_1201_Sphinx at Reese Court_Dallas</t>
  </si>
  <si>
    <t>Bickers St_3020_Lakeview TH_Dallas</t>
  </si>
  <si>
    <t>Webberville Rd_1950_Heritage Pointe_Austin</t>
  </si>
  <si>
    <t>SW Fwy_4100_Metro Greenway_Houston</t>
  </si>
  <si>
    <t>Alden Bridge_6203_Conservatory at Alden Bridge_The Woodlands</t>
  </si>
  <si>
    <t>University Ln E_5902_Windsor House_Dallas</t>
  </si>
  <si>
    <t>Coit Rd_9300_Kia Ora Park Apts_Plano</t>
  </si>
  <si>
    <t>Spruce Valley Ln_2970_Windsor Forest_Dallas</t>
  </si>
  <si>
    <t>Stonebrook Pkwy_7450_Parkview in Frisco_Frisco</t>
  </si>
  <si>
    <t>Park Place Blvd_8363_Casa Bella Apts_Houston</t>
  </si>
  <si>
    <t>Beach St N_10501_City Parc at Keller_Keller</t>
  </si>
  <si>
    <t>Post Oak Blvd_1111_Uptown Post Oak_Houston</t>
  </si>
  <si>
    <t>NW Fwy_25222_Greystar Cypress Village_Cypress</t>
  </si>
  <si>
    <t>Westheimer_4410_Millennium High Street_Houston</t>
  </si>
  <si>
    <t>Santa Rosa Ave N_100_The Vistana_San Antonio</t>
  </si>
  <si>
    <t>Inspiration Dr_1531_Alta Design District_Dallas</t>
  </si>
  <si>
    <t>Monterra Blvd_8301_Monterra Village I_Fort Worth</t>
  </si>
  <si>
    <t>Rayford Rd_425_The Landmark at Woodlands II_Spring</t>
  </si>
  <si>
    <t>Bluff St E_701_Lincoln Trinity Bluff_Fort Worth</t>
  </si>
  <si>
    <t>Bowie St W_2855_GrandMarc at Westberry Place_Fort Worth</t>
  </si>
  <si>
    <t>Collin McKinney Pkwy_7951_Times Square at Craig Ranch_McKinney</t>
  </si>
  <si>
    <t>Mason Creek Dr_222_Mason Park Apts_Katy</t>
  </si>
  <si>
    <t>Lakeline Blvd_11001_The Crossings at Lakeline_Cedar Park</t>
  </si>
  <si>
    <t>Louis Henna Blvd W (Texas 45)_1100_La Frontera Apts-Frontera Vista_Round Rock</t>
  </si>
  <si>
    <t>Sam Houston Pkwy N E_4822_Lafayette Village_Houston</t>
  </si>
  <si>
    <t>NW Fwy_15301_Stonehaven AH_Houston</t>
  </si>
  <si>
    <t>Steepleway Blvd_12424_The Meadowlands_Houston</t>
  </si>
  <si>
    <t>W Rd_503_Waterside Court_Houston</t>
  </si>
  <si>
    <t>Rainey St_43_Legacy on the Lake_Austin</t>
  </si>
  <si>
    <t>Abram St W_1051_Midtown UTA_Arlington</t>
  </si>
  <si>
    <t>University Oaks_501_The Cambridge at College Station_College Station</t>
  </si>
  <si>
    <t>Rio Grande_2704_Rio West_Austin</t>
  </si>
  <si>
    <t>Sawyer Heights_2424_Sawyer Heights Lofts_Houston</t>
  </si>
  <si>
    <t>Cockrell Hill N_1310_Pinnacle Ridge Apts_Dallas</t>
  </si>
  <si>
    <t>71 Hwy W_12531_Windsor at Bee Cave_Bee Cave</t>
  </si>
  <si>
    <t>Mansfield Hwy_5151_Magnolia at Village Creek Apts_Fort Worth</t>
  </si>
  <si>
    <t>Azle Ave_5600_Lindbergh Parc Senior Apts_Fort Worth</t>
  </si>
  <si>
    <t>820 Loop E_6100_Amelia Parc_Fort Worth</t>
  </si>
  <si>
    <t>620 FM N_13730_The Remington_Austin</t>
  </si>
  <si>
    <t>Fitzhugh Ave N_2707_Fitzhugh Urban Flats_Dallas</t>
  </si>
  <si>
    <t>Longmire Dr_2300_Longmire House Apts_College Station</t>
  </si>
  <si>
    <t>McKinney Ave_1900_1900 McKinney_Dallas</t>
  </si>
  <si>
    <t>Indiana St_2901_Broadstone Ambrose_Dallas</t>
  </si>
  <si>
    <t>Teravista Pkwy_401_Melograno at Teravista_Round Rock</t>
  </si>
  <si>
    <t>Leora Ln N_701_Lakeside 121_Lewisville</t>
  </si>
  <si>
    <t>Morrell Ave_811_Ewing Villas_Dallas</t>
  </si>
  <si>
    <t>Village Gardens_1300_Eagle Lake Gardens_Azle</t>
  </si>
  <si>
    <t>Chaparral Rd_351_Chaparral TH_Allen</t>
  </si>
  <si>
    <t>Shady Oaks Manor Dr_6225_Wildwood Branch_Fort Worth</t>
  </si>
  <si>
    <t>Simpson Stuart Rd_3245_Homes of Persimmon_Dallas</t>
  </si>
  <si>
    <t>Jacocks Ln_2100_Times Square on the Hill_Fort Worth</t>
  </si>
  <si>
    <t>Wycliff Ave_2929_2929 Wycliff_Dallas</t>
  </si>
  <si>
    <t>Meadowview Ct_151_Meadowview TH_Terrell</t>
  </si>
  <si>
    <t>Washington Ave N_2021_Roseland TH &amp; Estates_Dallas</t>
  </si>
  <si>
    <t>May Rd Cir_1488_May Road Apts_Seagoville</t>
  </si>
  <si>
    <t>Sweetwater Dr_202_Fox Hollow TH_Weatherford</t>
  </si>
  <si>
    <t>Bolton Boone Dr_2400_Primrose Park at Rolling Hills_Desoto</t>
  </si>
  <si>
    <t>Shady Shore Rd_401_Shady Shores Apts_Lake Dallas</t>
  </si>
  <si>
    <t>Pioneer Blvd W_2800_Oak Park Apts_Irving</t>
  </si>
  <si>
    <t>Guadalupe Ave_3120_Columbia Luxar TH_Dallas</t>
  </si>
  <si>
    <t>S Blvd_1811-1821_Edgewood Manor_Dallas</t>
  </si>
  <si>
    <t>Oates Dr_1725_LBJ Garden Villas_Mesquite</t>
  </si>
  <si>
    <t>2578 FM_260_Terrell Senior Terraces I_Terrell</t>
  </si>
  <si>
    <t>Remington Cir_1151_Shenandoah TH_Burleson</t>
  </si>
  <si>
    <t>Cooper St N_1215_Avalon Apts_Arlington</t>
  </si>
  <si>
    <t>Las Bresas_201_Azle Village_Azle</t>
  </si>
  <si>
    <t>Buckner Blvd N_2700_Bella Vista Park_Dallas</t>
  </si>
  <si>
    <t>Prairie Creek_1190_Prairie Creek Manor_Dallas</t>
  </si>
  <si>
    <t>Chase Oaks Blvd_7100_Plaza at Chase Oaks_Plano</t>
  </si>
  <si>
    <t>Sartain Dr_8201_Cobblestone Manor_Fort Worth</t>
  </si>
  <si>
    <t>San Villa Dr_6148_Shady Oaks Manor Apts_Fort Worth</t>
  </si>
  <si>
    <t>Langwick Dr_955_Langwick Senior Residences_Houston</t>
  </si>
  <si>
    <t>Montgomery Rd W_9922_Parkway Ranch I_Houston</t>
  </si>
  <si>
    <t>Cedar Dr_1017_Cedar Drive Village_La Marque</t>
  </si>
  <si>
    <t>Reed Rd_2889_Mariposa at Reed Road_Houston</t>
  </si>
  <si>
    <t>Birdsong Dr_1000_Birdsong Place Villas_Baytown</t>
  </si>
  <si>
    <t>Burgoyne Rd_7510_Tanglewood at Voss West_Houston</t>
  </si>
  <si>
    <t>Frazier St N_2213_Oak Creek_Conroe</t>
  </si>
  <si>
    <t>Dell Dale St_930_Sheldon Ranch_Channelview</t>
  </si>
  <si>
    <t>Perry Rd_13350_Orchard Park at Willowbrook_Houston</t>
  </si>
  <si>
    <t>Wilson Rd_625_Countryside Village_Humble</t>
  </si>
  <si>
    <t>Haley St_410 &amp; 500_Royal Oaks Apts_Irving</t>
  </si>
  <si>
    <t>Forum Dr S_2650_The Forum at Grand Prairie_Grand Prairie</t>
  </si>
  <si>
    <t>Park Row_3023_Eban Village I &amp; II_Dallas</t>
  </si>
  <si>
    <t>Rifle Gap Rd_3200_Post Sierra at Frisco Bridges I_Frisco</t>
  </si>
  <si>
    <t>Rifle Gap Rd_NF_Post Sierra at Frisco Bridges II_Frisco</t>
  </si>
  <si>
    <t>Main St S_925_925 Main_Grapevine</t>
  </si>
  <si>
    <t>Hatcher St_4700-4900_Wahoo Frazier TH_Dallas</t>
  </si>
  <si>
    <t>Windsor Ct_100_Terrell Senior Terraces II_Terrell</t>
  </si>
  <si>
    <t>Park Ln_8066_The Heights at Park Lane Tower_Dallas</t>
  </si>
  <si>
    <t>Park Ln_8066_The Heights at Park Lane Flats_Dallas</t>
  </si>
  <si>
    <t>Park Ln_8066_The Heights at Park Lane Lofts_Dallas</t>
  </si>
  <si>
    <t>Voss Rd S_2301_Tanglewood at Voss East_Houston</t>
  </si>
  <si>
    <t>Weslayan St_3333_33 ThirtyThree_Houston</t>
  </si>
  <si>
    <t>Dunlavy St_4310_Fairmont Museum District_Houston</t>
  </si>
  <si>
    <t>Hospital Dr_1200_Town Square Apts_Angleton</t>
  </si>
  <si>
    <t>Stone Lake Dr_2651_Stone Lake_Grand Prairie</t>
  </si>
  <si>
    <t>Lebanon Rd_6805_La Valencia at Starwood_Frisco</t>
  </si>
  <si>
    <t>35 IH S_8515_The Cottages_Austin</t>
  </si>
  <si>
    <t>Howard Ln E_NF_Criterion at Harris Ridge_Austin</t>
  </si>
  <si>
    <t>Eastwood_114-117_John Goldberg Senior Apts_Houston</t>
  </si>
  <si>
    <t>Cypresswood Dr_9889_The Lakes at Cypresswood_Houston</t>
  </si>
  <si>
    <t>Montfair Blvd_10851_Alexan Sterling Ridge_The Woodlands</t>
  </si>
  <si>
    <t>Enclave Pkwy_1602_The Abbey at Eldridge II_Houston</t>
  </si>
  <si>
    <t>Fallsview Ln_13131_ARIUM Briar Forest II_Houston</t>
  </si>
  <si>
    <t>Werner St_5401_Redstone Apts_Houston</t>
  </si>
  <si>
    <t>McKinney Ranch Pkwy_6653_Soho Parkway_McKinney</t>
  </si>
  <si>
    <t>Queensbury Ln_12808_The Lofts CityCentre_Houston</t>
  </si>
  <si>
    <t>Sam Houston Pkwy_800_The Lofts at CityCentre II_Houston</t>
  </si>
  <si>
    <t>Exchange Pkwy E_505_The Heights at Allen Station_Allen</t>
  </si>
  <si>
    <t>Sandshell Blvd_7001_Belterra Apts_Fort Worth</t>
  </si>
  <si>
    <t>Loggins Dr_710_Loggins Court_West Columbia</t>
  </si>
  <si>
    <t>Basse Rd E_300_Artessa at Quarry Village_San Antonio</t>
  </si>
  <si>
    <t>Houston Center Blvd W_12655_Camden Whispering Oaks_Houston</t>
  </si>
  <si>
    <t>Space Center Blvd_11400_Clearpoint Crossing Residences_Houston</t>
  </si>
  <si>
    <t>Domain Dr_11400_Residences at the Domain_Austin</t>
  </si>
  <si>
    <t>Domain Dr_11011_Villages at the Domain_Austin</t>
  </si>
  <si>
    <t>Krenek Tap Rd_819_Terrace Pines AH_College Station</t>
  </si>
  <si>
    <t>35 IH N_21393_Saddle Creek Apts_Kyle</t>
  </si>
  <si>
    <t>First St S_9401_Southpark Ranch_Austin</t>
  </si>
  <si>
    <t>Bishop St N_1409_Bishop's Corner_San Marcos</t>
  </si>
  <si>
    <t>Lockhill Rd_6298_Providence Estates TH_San Antonio</t>
  </si>
  <si>
    <t>Frio St N_810 &amp; 910_Vista Verde Apts_San Antonio</t>
  </si>
  <si>
    <t>Humble Westfield Rd (1960 FM)_9494_Bellaterra at Deerbrook_Humble</t>
  </si>
  <si>
    <t>Onion Creek Pkwy_1901_Colonial Grand at Onion Creek_Austin</t>
  </si>
  <si>
    <t>1626 FM_NF_Colonial Grand at Cityway I_Austin</t>
  </si>
  <si>
    <t>Schroeder Rd_5938-6004_The Villas_Houston</t>
  </si>
  <si>
    <t>Belfort W_13100_Milan_Houston</t>
  </si>
  <si>
    <t>Medical District Dr_2222_Colonial Reserve at Medical District_Dallas</t>
  </si>
  <si>
    <t>McKinnon St_2728_Glass House by Windsor_Dallas</t>
  </si>
  <si>
    <t>Gross Rd_900_Magnolia At Mesquite Creek_Mesquite</t>
  </si>
  <si>
    <t>Loyola Ln_6200_Park Place at Loyola_Austin</t>
  </si>
  <si>
    <t>Park Row_20100_Lancaster Apts_Katy</t>
  </si>
  <si>
    <t>Westheimer Rd_2929_The Belle Meade at River Oaks_Houston</t>
  </si>
  <si>
    <t>Braeswood Blvd N_3838_Braeswood Place_Houston</t>
  </si>
  <si>
    <t>Towne Crossing Blvd_1601_Towne Crossing_Mansfield</t>
  </si>
  <si>
    <t>Towne Crossing Blvd_1751_Cedar Point TH_Mansfield</t>
  </si>
  <si>
    <t>Towne Crossing Blvd_1701_Falls at Towne Crossing_Mansfield</t>
  </si>
  <si>
    <t>Washington Ave_3990_The Core Apts_Houston</t>
  </si>
  <si>
    <t>Premier Dr_3401_The Waterford at Plano_Plano</t>
  </si>
  <si>
    <t>Eldorado Pkwy W_4690_Haven at Eldorado_McKinney</t>
  </si>
  <si>
    <t>Barker Cypress Rd_1895_Newport on the Lake_Houston</t>
  </si>
  <si>
    <t>Eldridge Pkwy N_875_Broadstone Memorial_Houston</t>
  </si>
  <si>
    <t>Copperfield Pkwy_1501_Crescent Pointe_College Station</t>
  </si>
  <si>
    <t>Granbury Rd_6850_Cumberland on Granbury_Fort Worth</t>
  </si>
  <si>
    <t>Fabra St_518_Terraces at Cibolo_Boerne</t>
  </si>
  <si>
    <t>Crowley Rd_8500_Home Towne at Matador Ranch_Fort Worth</t>
  </si>
  <si>
    <t>Lovers Ln_6044_Grand Reserve_Dallas</t>
  </si>
  <si>
    <t>Braesmain Dr_8333_Alexan Main Street_Houston</t>
  </si>
  <si>
    <t>Space Center Blvd_19220_Village on the Lake II_Houston</t>
  </si>
  <si>
    <t>Four Point Dr_11350_Tintara at Canyon Creek II_Austin</t>
  </si>
  <si>
    <t>Sarah Deel Dr_501_The Landings at Clear Lake_Webster</t>
  </si>
  <si>
    <t>Sam Houston Pkwy E N_8330_Cascade at Fall Creek_Humble</t>
  </si>
  <si>
    <t>Sienna Springs Blvd_8787_Century Sienna Plantation_Missouri City</t>
  </si>
  <si>
    <t>Louisiana Ave_1455_Sorrento at Tuscan Lakes (I &amp; II)_League City</t>
  </si>
  <si>
    <t>League City Pkwy E_1450_Amalfi at Tuscan Lakes_League City</t>
  </si>
  <si>
    <t>Independence Pkwy_9100_Sequoia Courtney Manor_Plano</t>
  </si>
  <si>
    <t>Oak St_902_Whispering Oaks_Houston</t>
  </si>
  <si>
    <t>Wildwood Park Rd_21811_The Villas at River Park West_Richmond</t>
  </si>
  <si>
    <t>San Felipe_6464_Gables 6464_Houston</t>
  </si>
  <si>
    <t>Shady Brook Ln_6541_Westside in the Village_Dallas</t>
  </si>
  <si>
    <t>Elm St_555_The Depot Apts_Fort Worth</t>
  </si>
  <si>
    <t>Memorial Dr_NF_Asbury at River Oaks_Houston</t>
  </si>
  <si>
    <t>W Rd_8989_Tiburon_Houston</t>
  </si>
  <si>
    <t>Great Hills Trl_9306_Village Park at the Arboretum_Austin</t>
  </si>
  <si>
    <t>Woodbury St_1920_Cambridge Tower_Houston</t>
  </si>
  <si>
    <t>Gray St_NF_Post Midtown Square III_Houston</t>
  </si>
  <si>
    <t>Cleveland_901_Camden City Centre II_Houston</t>
  </si>
  <si>
    <t>Dunlavy St_4310_Fairmont Museum District II_Houston</t>
  </si>
  <si>
    <t>Fannin St_5353_Venue Museum District_Houston</t>
  </si>
  <si>
    <t>San Felipe_6464_Gables 6464, II &amp; III_Houston</t>
  </si>
  <si>
    <t>Cutten Rd_15500_San Cierra_Houston</t>
  </si>
  <si>
    <t>Wfield Place Dr_18203_Stoneleigh Cypress Station_Houston</t>
  </si>
  <si>
    <t>Shady Brook Ln_6550_The Dakota in the Village_Dallas</t>
  </si>
  <si>
    <t>The Lakes Blvd_13838_Villas Tech Ridge_Pflugerville</t>
  </si>
  <si>
    <t>Grant Rd_9611_Wynhaven at Willowbrook_Houston</t>
  </si>
  <si>
    <t>Huffmeister Rd_14600_Carrington Park at Huffmeister_Cypress</t>
  </si>
  <si>
    <t>Sommerall Dr_6777_Alexan Sommerall_Houston</t>
  </si>
  <si>
    <t>Barker Cypress_7202_Carrington at Barker Cypress_Houston</t>
  </si>
  <si>
    <t>Little York Rd W_12410_Camden Yorktown_Houston</t>
  </si>
  <si>
    <t>Mason Rd S_2005_Oak Park Trails_Katy</t>
  </si>
  <si>
    <t>Mason Rd S_5303_Legends at Cinco Ranch_Katy</t>
  </si>
  <si>
    <t>Tuckerton Dr_15511_Landmark at Cypress Falls_Houston</t>
  </si>
  <si>
    <t>WestView Blvd_NF_WestView Conroe Tract II (on hold)_Conroe</t>
  </si>
  <si>
    <t>Orem Dr W_2201_Landmark at City Park_Houston</t>
  </si>
  <si>
    <t>Greens Rd_6200_Autumn Pines_Humble</t>
  </si>
  <si>
    <t>Mansions View Dr_15000_Regency at Woodland_Conroe</t>
  </si>
  <si>
    <t>Magnolia Cove Dr_4855_Harbor View at Kings Harbor_Kingwood</t>
  </si>
  <si>
    <t>League City Pkwy E_2800_The Haven at South Shore_League City</t>
  </si>
  <si>
    <t>Sylvanfield Blvd_4522_NorthChase Village_Houston</t>
  </si>
  <si>
    <t>Sylvanfield Blvd_4521_North Chase Village II (on hold)_Houston</t>
  </si>
  <si>
    <t>Maple Ave_6401_Southwestern Medical Park_Dallas</t>
  </si>
  <si>
    <t>Main St_3200_3200 Main Lofts_Dallas</t>
  </si>
  <si>
    <t>Fry Rd S_3306_Retreat at Cinco Ranch_Katy</t>
  </si>
  <si>
    <t>Chelsea Place_16303_The Retreat at Chelsea Park_Selma</t>
  </si>
  <si>
    <t>Magnolia Cove Dr_4920_Kings Cove_Kingwood</t>
  </si>
  <si>
    <t>Parmer Ln W_12820_Altea at Silverado_Cedar Park</t>
  </si>
  <si>
    <t>Discovery Blvd_900_Arboleda_Cedar Park</t>
  </si>
  <si>
    <t>Cypress Creek Rd_350_Regal Canyon_Cedar Park</t>
  </si>
  <si>
    <t>1960 FM Rd W_3455_Knightsbridge_Humble</t>
  </si>
  <si>
    <t>Harvey Mitchell Dr_1300_2818 Place_College Station</t>
  </si>
  <si>
    <t>Magnolia St_3505_Village at Morningstar II_Texas City</t>
  </si>
  <si>
    <t>Marbach Rd_8797_Polo Club_San Antonio</t>
  </si>
  <si>
    <t>Dessau Rd_12000_Marquis at Canyon Ridge_Austin</t>
  </si>
  <si>
    <t>Braeswood Blvd N_4550_The Meritage_Houston</t>
  </si>
  <si>
    <t>Cevallos St E_301_Cevallos Lofts_San Antonio</t>
  </si>
  <si>
    <t>Ashley Rd E_321_Las Bougainvilleas (on hold)_San Antonio</t>
  </si>
  <si>
    <t>O'Connor Rd N_1111_Huntington Chase_Irving</t>
  </si>
  <si>
    <t>Chimney Rock Rd_323_The Arbors on Chimney Rock_Tyler</t>
  </si>
  <si>
    <t>1325 FM_15905_Raceway Crossing Apts_Austin</t>
  </si>
  <si>
    <t>Indian Dr_510_Indian Creek_Waxahachie</t>
  </si>
  <si>
    <t>Brown St_2200_Bridgepoint_Waxahachie</t>
  </si>
  <si>
    <t>Old Bullard Rd_5415_The Establishment_Tyler</t>
  </si>
  <si>
    <t>Old Bullard Rd_5105_Bullard Crossing_Tyler</t>
  </si>
  <si>
    <t>Old Bullard Rd_5621_Bullard Creek_Tyler</t>
  </si>
  <si>
    <t>Shiloh Rd_2400_Hidden Springs Apts_Tyler</t>
  </si>
  <si>
    <t>Broadway Ave S_2713_Plantation Pines_Tyler</t>
  </si>
  <si>
    <t>323 N Loop W_2202_Town Parc at Tyler_Tyler</t>
  </si>
  <si>
    <t>Holly Tree Dr_5207_Autum Glen_Tyler</t>
  </si>
  <si>
    <t>Shiloh Rd_701_The Hudson_Tyler</t>
  </si>
  <si>
    <t>Rice Rd_1600_Dovetree_Tyler</t>
  </si>
  <si>
    <t>Chimney Rock_323_Cambridge Oaks Duplexes_Tyler</t>
  </si>
  <si>
    <t>Kinsey Dr_4901_Quail Creek_Tyler</t>
  </si>
  <si>
    <t>Grande Blvd_1505_Grande Hill Estates_Tyler</t>
  </si>
  <si>
    <t>Thistle Dr_4920_Chelsea Creek Apts_Tyler</t>
  </si>
  <si>
    <t>Towne Park Dr_3110_Villas of Pine Ridge_Tyler</t>
  </si>
  <si>
    <t>Hogan Dr_4055_The Mansions at the Cascades_Tyler</t>
  </si>
  <si>
    <t>Chimney Rock_322_Tanglewood Place_Tyler</t>
  </si>
  <si>
    <t>Sweetbriar Ln_5100_Hunter's Glen_Tyler</t>
  </si>
  <si>
    <t>Shiloh Rd_1909_Wood Trail Apts_Tyler</t>
  </si>
  <si>
    <t>Sybil Ln_1909_Royal Crest_Tyler</t>
  </si>
  <si>
    <t>Aldine Bender Rd_5015_Costa Rialto_Houston</t>
  </si>
  <si>
    <t>Shiloh Rd_2911_Park At Shiloh Apts_Tyler</t>
  </si>
  <si>
    <t>Spectrum Dr_15750_Allegro Addison Circle_Addison</t>
  </si>
  <si>
    <t>Claremont Dr_3030_Arioso Apts &amp; Toccata Casitas_Grand Prairie</t>
  </si>
  <si>
    <t>Varsity Dr_3400_Varsity Place_Tyler</t>
  </si>
  <si>
    <t>Old Omen Rd_3088_The Cambridge at Tyler_Tyler</t>
  </si>
  <si>
    <t>Old Bullard Rd_6003_Salado Apts_Tyler</t>
  </si>
  <si>
    <t>Varsity Dr_3333_University Pines_Tyler</t>
  </si>
  <si>
    <t>Old Grande Blvd_400_The Woodlands_Tyler</t>
  </si>
  <si>
    <t>New Laredo Hwy_7139_Alhambra Senior AH_San Antonio</t>
  </si>
  <si>
    <t>McKinney Ave_3930_The Monterey Uptown_Dallas</t>
  </si>
  <si>
    <t>Berry_605_Oxford Place_Houston</t>
  </si>
  <si>
    <t>Gulf Pointe Dr_11666_Carrington Park at Gulf Pointe_Houston</t>
  </si>
  <si>
    <t>W Rd_9500_Villas at West Road_Houston</t>
  </si>
  <si>
    <t>71 Hwy E_3950_The Lodge at Lost Pines_Bastrop</t>
  </si>
  <si>
    <t>Military Dr_7979_Candleridge Apts_San Antonio</t>
  </si>
  <si>
    <t>Main St_1407_Third Rail Lofts-1407 Main_Dallas</t>
  </si>
  <si>
    <t>Houston St N_2345_The Vista_Dallas</t>
  </si>
  <si>
    <t>Slocum St_1403_Trinity Lofts_Dallas</t>
  </si>
  <si>
    <t>Bowser Ave_4733_Gables Highland Park Brownstones_Dallas</t>
  </si>
  <si>
    <t>Business Center Dr_2020_The Villas at Shadow Creek Ranch_Pearland</t>
  </si>
  <si>
    <t>Briargrove Ln_3900_Vail Quarters_Dallas</t>
  </si>
  <si>
    <t>Lake Carolyn Pkwy_1001_Delante_Irving</t>
  </si>
  <si>
    <t>Tranquilo_6411_AMLI at La Villita_Irving</t>
  </si>
  <si>
    <t>Almeda Rd_9000_Fountains at Almeda_Houston</t>
  </si>
  <si>
    <t>Sheridan Cir_6501-6555_Peppertree Acres_Fort Worth</t>
  </si>
  <si>
    <t>Shaver Rd S_3271_The Villas at Shaver_Pasadena</t>
  </si>
  <si>
    <t>Huntington Estates Dr_10888_HomeTowne on Bellfort_Houston</t>
  </si>
  <si>
    <t>Deseo_6727_Lincoln Lakeside_Irving</t>
  </si>
  <si>
    <t>Tarrant Pkwy N_500_Grand Estates at Keller_Keller</t>
  </si>
  <si>
    <t>Golden Triangle Blvd_5001_Enclave on Golden Triangle_Keller</t>
  </si>
  <si>
    <t>121 SH S_2241_Alta Vista Ridge_Lewisville</t>
  </si>
  <si>
    <t>Colony Blvd S_5620_Sonoma Grande at The Legends_The Colony</t>
  </si>
  <si>
    <t>Daniel Rd_5760_Acqua_Plano</t>
  </si>
  <si>
    <t>Independence Pkwy_10200_Estancia at Ridgeview Ranch II_Plano</t>
  </si>
  <si>
    <t>Coit Rd_9600_Riachi at One21_Plano</t>
  </si>
  <si>
    <t>Prairie Ranch Dr_4950_Prairie Ranch Apts_Grand Prairie</t>
  </si>
  <si>
    <t>Mira Lago Blvd_1580_Laguna Vista at Mercer Crossing_Farmers Branch</t>
  </si>
  <si>
    <t>Keller Springs Rd_2925_Spicewood Crossing_Carrollton</t>
  </si>
  <si>
    <t>Bishop Rd_7008_Lakeside at Legacy Village III_Plano</t>
  </si>
  <si>
    <t>Bishop Rd_7008_Lakeside at Legacy Village IV_Plano</t>
  </si>
  <si>
    <t>Ryan Dr S_200_Red Oak Town Village I_Red Oak</t>
  </si>
  <si>
    <t>Western Center Blvd_2650_Indigo Pointe at Western Center_Fort Worth</t>
  </si>
  <si>
    <t>Grapevine Mills Pkwy_3900_Camden Riverwalk I, The Vistas_Grapevine</t>
  </si>
  <si>
    <t>Copper Grove Blvd_15050_Villas at Huffmeister_Houston</t>
  </si>
  <si>
    <t>Pease St_5000_Jefferson Square Apts_Houston</t>
  </si>
  <si>
    <t>Ray White Rd_8625_Republic Park Vista_Fort Worth</t>
  </si>
  <si>
    <t>Hollow Tree Ln_101_Republic Hollow Tree_Houston</t>
  </si>
  <si>
    <t>River Pointe Dr_201_The RiverWood Apts_Conroe</t>
  </si>
  <si>
    <t>Reed Rd_2910_Cypress Creek at Reed Rd_Houston</t>
  </si>
  <si>
    <t>Timber Forest Dr_19030_Wentworth Senior Housing_Atascocita</t>
  </si>
  <si>
    <t>Dickinson Ave_2402_Oak Tree Village_League City</t>
  </si>
  <si>
    <t>Glenwood Dr_4305_Glenwood Trails_Deer Park</t>
  </si>
  <si>
    <t>Mustang Rd_3075_The Melbourne Senior Apts_Alvin</t>
  </si>
  <si>
    <t>Sam Houston Pkwy W S_10014_Hometowne at Missouri City_Missouri City</t>
  </si>
  <si>
    <t>Hurst Blvd W_901_Villas on Calloway Creek_Hurst</t>
  </si>
  <si>
    <t>Bell Ave N_816_Bellmere Apts_Denton</t>
  </si>
  <si>
    <t>Eagle Dr_603_Eagle's Nest_Denton</t>
  </si>
  <si>
    <t>Ryliecrest Dr_11209_Peachtree Senior Living_Balch Springs</t>
  </si>
  <si>
    <t>Mira Lago Blvd_11701_Evergreen at Farmers Branch_Farmers Branch</t>
  </si>
  <si>
    <t>Eastland St_5500_Residences at Eastland_Fort Worth</t>
  </si>
  <si>
    <t>Cedar Springs_4242_NF_Dallas</t>
  </si>
  <si>
    <t>Verde Dr_201_The Gibraltar_Clute</t>
  </si>
  <si>
    <t>Bell Ave_2421_Foxfire Apts_Denton</t>
  </si>
  <si>
    <t>Gray St_3154_Zion Village_Houston</t>
  </si>
  <si>
    <t>Parkwood Ave W_1423_Gardens at Friendswood Lakes_Friendswood</t>
  </si>
  <si>
    <t>Bluffs Landing Way_3201_Bluffs Landing Senior Village_Round Rock</t>
  </si>
  <si>
    <t>2001 FM_401_Tuscany Park_Buda</t>
  </si>
  <si>
    <t>517 FM W_901_Jordan Cove_League City</t>
  </si>
  <si>
    <t>Sign St_7736_Westbury Village Homes_Missouri City</t>
  </si>
  <si>
    <t>Clearwater Paseo_401_Paseo de Paz_Kerrville</t>
  </si>
  <si>
    <t>Durango W_5635_West Durango Plaza_San Antonio</t>
  </si>
  <si>
    <t>35th St SW_934_West End Baptist Manor Apts_San Antonio</t>
  </si>
  <si>
    <t>Nash St_NF_Mansions at Briar Creek (on hold)_Bryan</t>
  </si>
  <si>
    <t>Dessau Rd_12435_Harris Branch AH_Austin</t>
  </si>
  <si>
    <t>Ventura Dr_2414_Plaza Ventura_Austin</t>
  </si>
  <si>
    <t>Shaver Rd S_4415_Windshire Apts_Houston</t>
  </si>
  <si>
    <t>1464 FM_14231_The Landmark of Sugarland II_Sugar Land</t>
  </si>
  <si>
    <t>Yale St_2125_2125 Yale_Houston</t>
  </si>
  <si>
    <t>Gessner Rd N_12020_Costa Vizcaya_Houston</t>
  </si>
  <si>
    <t>University Dr S_3517_Edge 55_Fort Worth</t>
  </si>
  <si>
    <t>646 FM_555_Greystar at Beacon Lakes_League City</t>
  </si>
  <si>
    <t>Braeswood Blvd N_4650_Sedona Apts_Houston</t>
  </si>
  <si>
    <t>Town and Country Blvd_811_Domain at City Centre_Houston</t>
  </si>
  <si>
    <t>Bull Creek Rd_4330_Post West Austin_Austin</t>
  </si>
  <si>
    <t>Lamar Blvd S_1500_Post South Lamar_Austin</t>
  </si>
  <si>
    <t>360 SH N_400_Mansions at Mansfield_Mansfield</t>
  </si>
  <si>
    <t>Pressler St_507_Gables Pressler_Austin</t>
  </si>
  <si>
    <t>Bissonnet St_1717_Ashby Highrise_Houston</t>
  </si>
  <si>
    <t>Northgate Blvd_9210_Serena Park Apts_Austin</t>
  </si>
  <si>
    <t>Guadalupe St_401_Gables Republic Park Apts_Austin</t>
  </si>
  <si>
    <t>Blanco_19615_The Reflection Apts_San Antonio</t>
  </si>
  <si>
    <t>Austin Hwy_1320_Legacy Heights_San Antonio</t>
  </si>
  <si>
    <t>Vance Jackson Rd_14200_Presidio at the Landmark_San Antonio</t>
  </si>
  <si>
    <t>1960 FM W_11950_Mansions at Hastings Green_Houston</t>
  </si>
  <si>
    <t>Stassney Ln E_625_Platinum Southside_Austin</t>
  </si>
  <si>
    <t>35 IH N_3400_Riverside Apts at East Avenue Town Center_Austin</t>
  </si>
  <si>
    <t>Grand Ave Pkwy_1720_Broadstone Grand Avenue_Pflugerville</t>
  </si>
  <si>
    <t>Shadow Creek Pkwy_11900_Alexan Shadow Creek Ranch_Pearland</t>
  </si>
  <si>
    <t>Birnamwood Blvd_20919_Mansions at Turkey Creek_Humble</t>
  </si>
  <si>
    <t>Manchaca Rd_10601_Remington Hills_Austin</t>
  </si>
  <si>
    <t>Sam Houston Pkwy E N_9702_Alexan Eagle Creek_Humble</t>
  </si>
  <si>
    <t>1960 FM W_9915_Idlewilde Apts_Houston</t>
  </si>
  <si>
    <t>Prue Rd_6674_Hillstone at Prue Road_San Antonio</t>
  </si>
  <si>
    <t>Independence Pkwy_440_Franklin Park at Canyon Creek_Plano</t>
  </si>
  <si>
    <t>Sunrise_2800_City North at Sunrise Ranch_Round Rock</t>
  </si>
  <si>
    <t>Washam Dr_NF_Sierra Ridge Apts_Georgetown</t>
  </si>
  <si>
    <t>3009 FM_501_Waterford Ridge_Schertz</t>
  </si>
  <si>
    <t>Eucalyptus St_101_The Residence at Lake Jackson_Lake Jackson</t>
  </si>
  <si>
    <t>Vance Jackson St_12330_Boulder Creek_San Antonio</t>
  </si>
  <si>
    <t>Frazer St N @ Dallas St W_NF_West Fork Apts_Conroe</t>
  </si>
  <si>
    <t>Riverside Dr N_6101_Avington Park Apts_Fort Worth</t>
  </si>
  <si>
    <t>Kuykendahl Rd_24215_Augusta Meadows_Tomball</t>
  </si>
  <si>
    <t>151 Hwy_9531_Stone Ranch at Westover Hills_San Antonio</t>
  </si>
  <si>
    <t>Mueschke Rd_14144_Grand Cypress_Cypress</t>
  </si>
  <si>
    <t>Southdown Trace Trl_10600_Regency Park_Houston</t>
  </si>
  <si>
    <t>Sundance Pkwy_2056_Villas at Sundance_New Braunfels</t>
  </si>
  <si>
    <t>Rio Grande St_2101_21 Rio_Austin</t>
  </si>
  <si>
    <t>Riverside Dr E_222_Riverside Square Apts_Austin</t>
  </si>
  <si>
    <t>Sawdust Rd_2495_The Abbey on Lake Wyndemere_The Woodlands</t>
  </si>
  <si>
    <t>Amberglen Blvd_9001_Camden Amber Oaks I_Austin</t>
  </si>
  <si>
    <t>6 Hwy N_9140_The Falls at Copper Lake_Houston</t>
  </si>
  <si>
    <t>Esperanza Crossing_3001_Domain Parkside_Austin</t>
  </si>
  <si>
    <t>River Bend Dr_120_Cypress Creek at River Bend_Georgetown</t>
  </si>
  <si>
    <t>Walker St W_1751_Broadstone Walker Commons_League City</t>
  </si>
  <si>
    <t>Decker Rd_7510_Piedmont Apts_Baytown</t>
  </si>
  <si>
    <t>Post Oak Blvd_2929_The Hampton at Post Oak_Houston</t>
  </si>
  <si>
    <t>Westpark Dr_14906_Wynhaven at Towne West_Houston</t>
  </si>
  <si>
    <t>9th St E_NF_Skyline Lofts (on hold)_Austin</t>
  </si>
  <si>
    <t>78 Hwy_NF_Seguin Town Center_Seguin</t>
  </si>
  <si>
    <t>Stonelake Blvd_10011_Circle at Stonelake_Austin</t>
  </si>
  <si>
    <t>Fairhaven_8727_Highland Park Senior Living Apts_San Antonio</t>
  </si>
  <si>
    <t>MidLn St_2121_2121 Midlane_Houston</t>
  </si>
  <si>
    <t>Holly Oaks Ln_2113_Residences at Holly Oaks II_Weatherford</t>
  </si>
  <si>
    <t>Cypresswood Dr_9844_Villas at Cypresswood_Houston</t>
  </si>
  <si>
    <t>Dalworth St_2377_Vista Verde_Grand Prairie</t>
  </si>
  <si>
    <t>Ferguson Dr_300_Lotus Village_Austin</t>
  </si>
  <si>
    <t>NF_NF_Leander Apt Complex (On Hold)_Leander</t>
  </si>
  <si>
    <t>Mission Park Dr_19002_Deseo at Grand Mission_Richmond</t>
  </si>
  <si>
    <t>Somerset Rd_9323_Costa Mirada_San Antonio</t>
  </si>
  <si>
    <t>New Braunfels Ave S_6222_Costa Almadena_San Antonio</t>
  </si>
  <si>
    <t>Pleasanton Rd_1707_Union Pines Apts_San Antonio</t>
  </si>
  <si>
    <t>Hackberry_4622_SA Union Park Apts_San Antonio</t>
  </si>
  <si>
    <t>Dean Panill Dr W_4363_Wurzbach Manor_San Antonio</t>
  </si>
  <si>
    <t>Binz Engleman Rd_3644_Artisan at Salado Creek_San Antonio</t>
  </si>
  <si>
    <t>Zarzamora St S_1938_San Juan Square_San Antonio</t>
  </si>
  <si>
    <t>Binz Engelman_3714_Artisan at Salado Falls_San Antonio</t>
  </si>
  <si>
    <t>Medina Base Dr_5800_Homestead_San Antonio</t>
  </si>
  <si>
    <t>Vera Cruz_2101_Villa de San Alfonso_San Antonio</t>
  </si>
  <si>
    <t>Commerce W_4243_Lago Vista Village_San Antonio</t>
  </si>
  <si>
    <t>Goldfield_4848_Park on Goldfield_San Antonio</t>
  </si>
  <si>
    <t>Babcock Rd_140_Babcock Villa Apts_San Antonio</t>
  </si>
  <si>
    <t>Camino Real_3503_Nueces Bend and Frio Crossing_San Antonio</t>
  </si>
  <si>
    <t>1604 Loop N W_1297_Westcreek TH_San Antonio</t>
  </si>
  <si>
    <t>General McMullen Dr N_537_McMullen Square_San Antonio</t>
  </si>
  <si>
    <t>Ben White Blvd W_1212_Skyline Terrace_Austin</t>
  </si>
  <si>
    <t>Frontier Valley Dr_1805_Santora Villas_Austin</t>
  </si>
  <si>
    <t>Janis Dr E_501_Shady Oaks Apts_Georgetown</t>
  </si>
  <si>
    <t>Dessau Rd_15711_Cambridge Villas Apts_Pflugerville</t>
  </si>
  <si>
    <t>Grand Ave Pkwy_500_HomeTowne at Picadilly_Pflugerville</t>
  </si>
  <si>
    <t>Richard Rd_24011_Park at Woodland Springs_Spring</t>
  </si>
  <si>
    <t>Mueller Blvd_4640_Mosaic at Mueller II_Austin</t>
  </si>
  <si>
    <t>Skyline Rd_1350_The Homes of Mountain Creek_Dallas</t>
  </si>
  <si>
    <t>Goliad St S_316_Evergreen at Rockwall_Rockwall</t>
  </si>
  <si>
    <t>Thomas St SW_321_Crestmoor Park West_Burleson</t>
  </si>
  <si>
    <t>Alsbury NE_755_Alsbury Villas_Burleson</t>
  </si>
  <si>
    <t>Samuels Ave_1120_Pavilion at Samuels_Fort Worth</t>
  </si>
  <si>
    <t>Old Decator Rd_7201_Enclave at Parkview Apts_Fort Worth</t>
  </si>
  <si>
    <t>Verde Dr_101_Costa Verde_Clute</t>
  </si>
  <si>
    <t>Silverdale Dr_1300_Lodge at Silverdale_Conroe</t>
  </si>
  <si>
    <t>336 Loop E N_219_Woodside Manor_Conroe</t>
  </si>
  <si>
    <t>Cherry St S_2627_HomeTowne at Tomball_Tomball</t>
  </si>
  <si>
    <t>Gulf Fwy_6311_Brays Crossing_Houston</t>
  </si>
  <si>
    <t>Hafer Rd_17217_Costa Ibiza_Houston</t>
  </si>
  <si>
    <t>Partners Way_23473_Porter Plaza Apts_Porter</t>
  </si>
  <si>
    <t>Rebecca Ln_200_Emerald Park Apts_Bryan</t>
  </si>
  <si>
    <t>Camp Bullis Rd_6522_Vista Ridge_San Antonio</t>
  </si>
  <si>
    <t>San Marcos St S_1901_Artisan at Creekside_San Antonio</t>
  </si>
  <si>
    <t>Broadway St_1800_The 1800_San Antonio</t>
  </si>
  <si>
    <t>Vance Jackson_14111_Palomino_San Antonio</t>
  </si>
  <si>
    <t>Vista Ln_4100_Bridgewood Ranch I_Kaufman</t>
  </si>
  <si>
    <t>Slaughter Ln E_810_Residences at Onion Creek_Austin</t>
  </si>
  <si>
    <t>Sadler Dr_1350_Vantage at San Marcos_San Marcos</t>
  </si>
  <si>
    <t>McDermott St_201_The Waterfront at Deer Park_Deer Park</t>
  </si>
  <si>
    <t>Katy Fwy_7777_Alexan Silber_Houston</t>
  </si>
  <si>
    <t>McNeil Dr_9900_Alexan Ribelin Ranch_Austin</t>
  </si>
  <si>
    <t>Trimble Ave - Robert S. Light Blvd_1250_Vantage at Buda_Buda</t>
  </si>
  <si>
    <t>Old Denton Rd_8100_Bella Vista_Fort Worth</t>
  </si>
  <si>
    <t>Rogers Rd_1700-1800_Colonial Park Apts_Fort Worth</t>
  </si>
  <si>
    <t>Pleasant Run Rd E_207_DeSoto Town Center Apts_Desoto</t>
  </si>
  <si>
    <t>Cornell Ln_690_Colony Townhouse Apts II_Waxahachie</t>
  </si>
  <si>
    <t>Parkwood_3198_Cool Springs at Frisco Bridges_Frisco</t>
  </si>
  <si>
    <t>Pearland Pkwy_11575_Park Avenue at Boulder Creek_Houston</t>
  </si>
  <si>
    <t>Riverside Dr_2502_Lakeside Villas of Grand Prairie_Grand Prairie</t>
  </si>
  <si>
    <t>Beach St N_8660_Watervue AH_Fort Worth</t>
  </si>
  <si>
    <t>Woodbridge Pkwy_600_Broadstone Woodbridge_Wylie</t>
  </si>
  <si>
    <t>10 IH &amp; 1604 Loop_NF_Landmark Mixed-Use Development_San Antonio</t>
  </si>
  <si>
    <t>45 Hwy_NF_Wildflower Commons Apts_Austin</t>
  </si>
  <si>
    <t>Blanco St - Baylor St_NF_Baylor Condos and The Castle (On Hold)_Austin</t>
  </si>
  <si>
    <t>UTSA Blvd_5803_Broadstone Ranch_San Antonio</t>
  </si>
  <si>
    <t>1604 Loop W N_1703_Costa Bella_San Antonio</t>
  </si>
  <si>
    <t>Villita St_120_Hollyhills Condo Development_San Antonio</t>
  </si>
  <si>
    <t>La Cantera Pkwy_17101_The Residences at Eilan_San Antonio</t>
  </si>
  <si>
    <t>Samuels Ave_520_Lincoln Park at Trinity Bluff Midrise_Fort Worth</t>
  </si>
  <si>
    <t>Dominion Park Dr_200_The Trails at Dominion Park_Houston</t>
  </si>
  <si>
    <t>Dominion Park Dr_211_The Grove_Houston</t>
  </si>
  <si>
    <t>Bens Branch Dr_2727_Town Center II_Kingwood</t>
  </si>
  <si>
    <t>Slaughter Ln W_811_Camden Shadow Brook I_Austin</t>
  </si>
  <si>
    <t>Dartmouth St_2518_Heritage at Dartmouth_College Station</t>
  </si>
  <si>
    <t>Grace Cir_1212_Grace TH_Ennis</t>
  </si>
  <si>
    <t>Burnett E_1000_Creekside Terrace_Ennis</t>
  </si>
  <si>
    <t>Floyd St_2001_Breckenridge Village_Ennis</t>
  </si>
  <si>
    <t>Overton Rd E_2836_People El Shaddai Village_Dallas</t>
  </si>
  <si>
    <t>Easter St_3119_St. James Manor_Dallas</t>
  </si>
  <si>
    <t>1093 FM_20900_The Residences at Cinco Ranch_Richmond</t>
  </si>
  <si>
    <t>Woodland Hills Dr-Lockwood_NF_Residences at Woodland Hills_Humble</t>
  </si>
  <si>
    <t>Northpines Dr_200_Alta Kingwood_Kingwood</t>
  </si>
  <si>
    <t>Napoli Dr_13801_Palazzo at Cypresswood_Houston</t>
  </si>
  <si>
    <t>Lake Carolyn Pkwy_800_Alta Lakeshore Lofts I &amp; II_Irving</t>
  </si>
  <si>
    <t>Cypresswood Dr_8215_Conservatory at Champion Forest_Spring</t>
  </si>
  <si>
    <t>Clay St_NF_Clay Street Lofts (on hold)_San Antonio</t>
  </si>
  <si>
    <t>Sam Houston Pkwy N E_6200_Stone Park II_Houston</t>
  </si>
  <si>
    <t>Hillcroft St_13960_The Crossings at Hillcroft_Houston</t>
  </si>
  <si>
    <t>College Park Dr_3720_Plantation Apts at The Woodlands I_The Woodlands</t>
  </si>
  <si>
    <t>Gessner Rd N_12331_The Tradewinds at Willowbrook_Houston</t>
  </si>
  <si>
    <t>Grand Harbor Dr_24757_Camden Grand Harbor_Katy</t>
  </si>
  <si>
    <t>Northpointe Blvd_11743_Camden Northpointe_Tomball</t>
  </si>
  <si>
    <t>Talavera Pkwy_130_Legends on the Green_San Antonio</t>
  </si>
  <si>
    <t>Shavano Ranch Dr_17239_Ranch at Shavano Park_San Antonio</t>
  </si>
  <si>
    <t>Hamilton Wolfe_5623_Villas at Medical Center_San Antonio</t>
  </si>
  <si>
    <t>5th St E_NF_Block One Condos (on hold)_Austin</t>
  </si>
  <si>
    <t>Westinghouse Rd_NF_Westinghouse Pointe_Georgetown</t>
  </si>
  <si>
    <t>35 IH_NF_Rhya Mixed-Use _San Antonio</t>
  </si>
  <si>
    <t>Rollingbrook Dr_2700_Wyndham Park_Baytown</t>
  </si>
  <si>
    <t>Bee Caves Pkwy_12601_Galleria_Austin</t>
  </si>
  <si>
    <t>Belmont Ave_5222_Alta Henderson_Dallas</t>
  </si>
  <si>
    <t>3rd Ave N_520_Heritage Square Apts_Texas City</t>
  </si>
  <si>
    <t>Revere St_2727_La Maison at River Oaks_Houston</t>
  </si>
  <si>
    <t>Collin McKinney Pkwy_5201_Heights at Lake Forest (On Hold)_McKinney</t>
  </si>
  <si>
    <t>Benge Dr_930_Maverick Place_Arlington</t>
  </si>
  <si>
    <t>Collins St N_NF_The Viridian Apts (all phases)_Arlington</t>
  </si>
  <si>
    <t>360 SH N_370_Dolce Living at Mansfield I_Mansfield</t>
  </si>
  <si>
    <t>360 SH N_370_Dolce Living at Mansfield II_Mansfield</t>
  </si>
  <si>
    <t>Heritage Pkwy S_NF_Dolce Living at Mansfield III_Mansfield</t>
  </si>
  <si>
    <t>Babcock Rd_6710_Hacienda del Sol_San Antonio</t>
  </si>
  <si>
    <t>78 FM_9205_Waterford Park_Converse</t>
  </si>
  <si>
    <t>County Line Rd W_1360_Waterford Place_New Braunfels</t>
  </si>
  <si>
    <t>Northaven Rd_2800_Northaven Terrace_Dallas</t>
  </si>
  <si>
    <t>Skyline Dr_2000_Skyway Villas_McKinney</t>
  </si>
  <si>
    <t>Pearl W_1705_Granbury Heights Apt_Granbury</t>
  </si>
  <si>
    <t>377 Hwy E_916_The Estates on Lake Granbury_Granbury</t>
  </si>
  <si>
    <t>Panama Ct_800_Lakeshore Apts_Granbury</t>
  </si>
  <si>
    <t>Brooklyn Ave_550_Rex Apts (Redevelopment-on hold)_San Antonio</t>
  </si>
  <si>
    <t>Meadows Dr N_1201_Granbury Meadows_Granbury</t>
  </si>
  <si>
    <t>Charterhouse Cir_959_Charterhouse at Lake Pointe_Granbury</t>
  </si>
  <si>
    <t>2nd St E_1525_Bromley Apts_Granbury</t>
  </si>
  <si>
    <t>Lipan Dr_1017_Oaks of Granbury_Granbury</t>
  </si>
  <si>
    <t>Walnut Hill Ln_NF_Lake Highlands Town Center Apts_Dallas</t>
  </si>
  <si>
    <t>Huffines Blvd_4025_The Residences at the Collection_Carrollton</t>
  </si>
  <si>
    <t>Fairway Dr_6118_Fairway Village_Austin</t>
  </si>
  <si>
    <t>287 Hwy Bypass W_1301_Cambridge Court_Waxahachie</t>
  </si>
  <si>
    <t>Martin Luther King Blvd W_706_Cityville at Pearl_Austin</t>
  </si>
  <si>
    <t>Anderson Mill Rd_NF_Villagio Mixed-Use_Austin</t>
  </si>
  <si>
    <t>969 FM_NF_Villa Muse Mixed-Use (On Hold)_Austin</t>
  </si>
  <si>
    <t>Caseta Dr_15059_West Oaks Seniors_Houston</t>
  </si>
  <si>
    <t>25th St W_910_Galileo at 25th Condominiums_Austin</t>
  </si>
  <si>
    <t>71 SH W_8600_Estancia Apts_Austin</t>
  </si>
  <si>
    <t>Congress Ave S_4276_South Urban Lofts_Austin</t>
  </si>
  <si>
    <t>Riverside Dr E_6201_Rivermont Place Apts_Austin</t>
  </si>
  <si>
    <t>W Ave_3822_Walnut Manor_San Antonio</t>
  </si>
  <si>
    <t>William DeHaes_3753_Woodland Ridge II_Irving</t>
  </si>
  <si>
    <t>W Ave_3747_West Avenue Apts_San Antonio</t>
  </si>
  <si>
    <t>Gault Ln_8222_Ridgecrest Apts_San Antonio</t>
  </si>
  <si>
    <t>Grissom Rd_6201_The Barcelona Lofts I_San Antonio</t>
  </si>
  <si>
    <t>Memorial Ct_3131_Memorial by Windsor_Houston</t>
  </si>
  <si>
    <t>Kimble St_8018_Nueva Vida_Houston</t>
  </si>
  <si>
    <t>Newman Rd_301_Highland Manor_La Marque</t>
  </si>
  <si>
    <t>Blue Star St_300-400_Big Tex Grain Redevelopment_San Antonio</t>
  </si>
  <si>
    <t>Convict Hill Rd_7000_Quarry Hill_Austin</t>
  </si>
  <si>
    <t>Galloway Ave N_4731_Cedars Apts_Mesquite</t>
  </si>
  <si>
    <t>Marshall Dr E_1201_Donna Lynn Apts_Grand Prairie</t>
  </si>
  <si>
    <t>Garrett Ave N_1820_Garrett Gables_Dallas</t>
  </si>
  <si>
    <t>Willoughby Blvd_8502_South Port II_Dallas</t>
  </si>
  <si>
    <t>Clarkwood Rd_6855_Ridge Parc II_Dallas</t>
  </si>
  <si>
    <t>Stafford Rd_12700_The Retreat at Stafford_Stafford</t>
  </si>
  <si>
    <t>Basse Rd_1838_Westminster Square_San Antonio</t>
  </si>
  <si>
    <t>Wurzbach Rd_5800_Christian Village Retirement_San Antonio</t>
  </si>
  <si>
    <t>Timberwilde_8911_Hereford Apts_San Antonio</t>
  </si>
  <si>
    <t>Trinity St S_120_Sacred Heart Villa_San Antonio</t>
  </si>
  <si>
    <t>Shakespeare St_2410_Rice Village Apts (on hold)_Houston</t>
  </si>
  <si>
    <t>Quick Hill Rd_3701_Broadstone Travesia_Round Rock</t>
  </si>
  <si>
    <t>Hall St N_1707_The ICON at Ross_Dallas</t>
  </si>
  <si>
    <t>Lago Vista W_11601_Portofino at Mercer Crossing_Farmers Branch</t>
  </si>
  <si>
    <t>Highland Dr_455_Evergreen at Vista Ridge_Lewisville</t>
  </si>
  <si>
    <t>Eldorado Pkwy_6000_Alta Cobb Hill_Frisco</t>
  </si>
  <si>
    <t>Emily Rd_13259_Autumn Brook_Dallas</t>
  </si>
  <si>
    <t>Cedar Springs Rd_1700_Gables Park 17_Dallas</t>
  </si>
  <si>
    <t>Alabama St_2305_Gables Upper Kirby III_Houston</t>
  </si>
  <si>
    <t>Falcon Park Dr_1111_Broadstone Grand Parkway_Katy</t>
  </si>
  <si>
    <t>Osborn Ln_2728_Mid Towne_Bryan</t>
  </si>
  <si>
    <t>Ingram Rd_10402_Monterrey Village_San Antonio</t>
  </si>
  <si>
    <t>Traders Rd_2100_Woodland Park at Greenville_Greenville</t>
  </si>
  <si>
    <t>Norwood St_929_The Lofts at West 7th_Fort Worth</t>
  </si>
  <si>
    <t>Amarra Dr_NF_Stratus Amarra_Austin</t>
  </si>
  <si>
    <t>Saint Johns W_810_Midtown Commons at Crestview Station_Austin</t>
  </si>
  <si>
    <t>Hunters Terrace_1200_Lakes of Tour 18 (on hold)_Humble</t>
  </si>
  <si>
    <t>Post Oak Blvd_NF_Hanover BLVD Place_Houston</t>
  </si>
  <si>
    <t>1431 FM_NF_Cedar Park Town Center Mixed-Use_Cedar Park</t>
  </si>
  <si>
    <t>Lemmon Ave_3223_Cityville Katy Trail_Dallas</t>
  </si>
  <si>
    <t>Wheeler St_3600_Cityville Oak Park I_Dallas</t>
  </si>
  <si>
    <t>Travertine Ln_5960_AMLI at Fossil Lake_Fort Worth</t>
  </si>
  <si>
    <t>Cookscreek Place_2706_Cooks Creek Place Apts_Farmers Branch</t>
  </si>
  <si>
    <t>Indian Run Dr_1220_Wind Dance Apts_Carrollton</t>
  </si>
  <si>
    <t>Palm Village Blvd_1901_Hunter's Cove (I, II &amp; II)_Bay City</t>
  </si>
  <si>
    <t>Bernard St_2322_Gables Upper Kirby II_Houston</t>
  </si>
  <si>
    <t>Highland Dr_201_Arbors of Taylor Apts_Taylor</t>
  </si>
  <si>
    <t>Sloan St_405_Burnett Place_Taylor</t>
  </si>
  <si>
    <t>45th St E_609_Siesta Place_Austin</t>
  </si>
  <si>
    <t>Lamar Ave N_6010_Central Park II_Austin</t>
  </si>
  <si>
    <t>Legacy Oaks Pkwy_5501_Legacy Oaks_Schertz</t>
  </si>
  <si>
    <t>Military Dr SE_3903_La Hacienda_San Antonio</t>
  </si>
  <si>
    <t>Austin Hwy_1111_The 1111_San Antonio</t>
  </si>
  <si>
    <t>Ella Blvd_16350_Stoneleigh Ella Crossing_Houston</t>
  </si>
  <si>
    <t>Kenswick Dr_19800_Stoneleigh on Kenswick_Humble</t>
  </si>
  <si>
    <t>Blanco Rd_15150_Haven at Blanco_San Antonio</t>
  </si>
  <si>
    <t>Woodson Park Dr_14633_Camden Woodson Park_Houston</t>
  </si>
  <si>
    <t>Old Spanish Trl_2950_Equinox II_Houston</t>
  </si>
  <si>
    <t>Almeda Rd_NF_Chenevert (on hold)_Houston</t>
  </si>
  <si>
    <t>Hunter Terrace_NF_Hunter Terrace Apts (delayed)_Houston</t>
  </si>
  <si>
    <t>Sam Houston Pkwy S W_8018_Park 8 Residential Tower I_Houston</t>
  </si>
  <si>
    <t>336 Loop W N_3300_Hawthorne Ridge_Conroe</t>
  </si>
  <si>
    <t>336 Loop W N_2951_The Retreat at Country Club_Conroe</t>
  </si>
  <si>
    <t>Bellfort W_14402_West End Ranch_Sugar Land</t>
  </si>
  <si>
    <t>34th St N_2211_Mansions at Moses Lake_Texas City</t>
  </si>
  <si>
    <t>John King Blvd S_1650_The Mansions of Rockwall_Rockwall</t>
  </si>
  <si>
    <t>Southwestern Blvd_8910_The Avery on Southwestern_Dallas</t>
  </si>
  <si>
    <t>Brick Row_744_Brick Row Urban Village_Richardson</t>
  </si>
  <si>
    <t>Manor Rd_5908_Windsor Park Low-Income Housing_Austin</t>
  </si>
  <si>
    <t>5th St W_1611_Gables 5th Street Commons_Austin</t>
  </si>
  <si>
    <t>Amberglen Blvd_8901_Camden Amber Oaks II_Austin</t>
  </si>
  <si>
    <t>Via La Cantera_6215_The Residences at La Cantera_San Antonio</t>
  </si>
  <si>
    <t>Chase Hill Blvd_15949_High View Place_San Antonio</t>
  </si>
  <si>
    <t>Voss Rd S_2525_Broadstone 2525_Houston</t>
  </si>
  <si>
    <t>Post Oak Park Dr_1875_Gables Post Oak_Houston</t>
  </si>
  <si>
    <t>Kings Park_15911_Regatta III_Houston</t>
  </si>
  <si>
    <t>Cable Ranch Rd_1538_Sequoia Cable Ranch_San Antonio</t>
  </si>
  <si>
    <t>Memorial Ln_8401_Tribeca_Plano</t>
  </si>
  <si>
    <t>Pruitt Rd_201_Alexan Woods_Spring</t>
  </si>
  <si>
    <t>Jones Maltsberger Rd_12511_Remington Ranch_San Antonio</t>
  </si>
  <si>
    <t>Saums Rd_20400_Providence Place II_Katy</t>
  </si>
  <si>
    <t>Rocky Falls Rd_1930_Rocky Falls Apts_Richmond</t>
  </si>
  <si>
    <t>Michael Dr_9417_Veraison Village_Fort Worth</t>
  </si>
  <si>
    <t>Greenville Ave_11911_The District at Greenville_Dallas</t>
  </si>
  <si>
    <t>Lullwater Dr_8501_Churchill Estates at Lake Highlands_Dallas</t>
  </si>
  <si>
    <t>Union Station Pkwy_880_Hebron 121 Station IA-West Indies Village_Lewisville</t>
  </si>
  <si>
    <t>Cedar Springs_5128_Miramonte Villas_Dallas</t>
  </si>
  <si>
    <t>Babcock Rd_13903_The Reserve at UTSA_San Antonio</t>
  </si>
  <si>
    <t>Colonial Lakes Dr_2900_The Reserve at Colonial Lakes_Missouri City</t>
  </si>
  <si>
    <t>Scotland_4200_Gables Memorial Hills_Houston</t>
  </si>
  <si>
    <t>Colony Lake Estates Dr_630_Lakeland Estates_Stafford</t>
  </si>
  <si>
    <t>Centrepark Dr_10221_The Lodge at Spring Shadows II_Houston</t>
  </si>
  <si>
    <t>Water St_200_ARIUM Edgewater_Webster</t>
  </si>
  <si>
    <t>Fry Rd_13130_Camden Cypress Creek_Cypress</t>
  </si>
  <si>
    <t>County Rd 94_3800_Cobblestone Park II_Manvel</t>
  </si>
  <si>
    <t>Fountains Ln_200_The Fountains of Conroe_Conroe</t>
  </si>
  <si>
    <t>528 FM_1799_The Gardens at Challenger Park_Webster</t>
  </si>
  <si>
    <t>Forest Center Dr_300_Villas of Kingwood_Porter</t>
  </si>
  <si>
    <t>Lawrence Rd_1225_Summer Brooke_Kemah</t>
  </si>
  <si>
    <t>Cutten Rd_13313_Carrington at Champion Forest_Houston</t>
  </si>
  <si>
    <t>N Fwy_16112_Wynhaven at Cypress Station_Houston</t>
  </si>
  <si>
    <t>Research Forest Dr_10333_Laurelwoode_Magnolia</t>
  </si>
  <si>
    <t>Panther Creek Pkwy_9415_Camden Panther Creek_Frisco</t>
  </si>
  <si>
    <t>Slaughter Ln W_751_Camden Shadow Brook II_Austin</t>
  </si>
  <si>
    <t>Wells Branch Pkwy_1630_Colonial Grand at Wells Branch_Austin</t>
  </si>
  <si>
    <t>Brushy Creek Rd_1101_Camden Brushy Creek_Cedar Park</t>
  </si>
  <si>
    <t>Inman Dr_201_Forum at Denton Station_Denton</t>
  </si>
  <si>
    <t>McCabe Rd_711_Preserve at Taylor Bayou_La Porte</t>
  </si>
  <si>
    <t>Point Lookout Dr_18101_Voyager at the Space Center_Houston</t>
  </si>
  <si>
    <t>Roxbury Dr_6202_Alta Roxbury_San Antonio</t>
  </si>
  <si>
    <t>Lebanon Rd_2355_Lebanon Ridge_Frisco</t>
  </si>
  <si>
    <t>Gran Via_340_Escena Las Colinas_Irving</t>
  </si>
  <si>
    <t>River Ridge Pkwy E_1101_University Heights San Marcos II_San Marcos</t>
  </si>
  <si>
    <t>Joe Wilson Rd N_720_Legacy of Cedar Hill III_Cedar Hill</t>
  </si>
  <si>
    <t>Sayle St_4101_Sayle Village_Greenville</t>
  </si>
  <si>
    <t>Pearland Pkwy_NF_Park Avenue at Boulder Creek II_Houston</t>
  </si>
  <si>
    <t>Quorum Dr_15777_15777 Quorum_Addison</t>
  </si>
  <si>
    <t>1st St S_10001_The Estates at Southpark Meadows_Austin</t>
  </si>
  <si>
    <t>1st St S_10101_The Terraces at Southpark Meadows_Austin</t>
  </si>
  <si>
    <t>Main St_1808_Mercantile Place-The Element_Dallas</t>
  </si>
  <si>
    <t>Dessau Rd_12101_Century Parmer Place_Austin</t>
  </si>
  <si>
    <t>Center St_3801_Providence Town Square_Deer Park</t>
  </si>
  <si>
    <t>Cinco Village Center Blvd_24001_The Solana at Cinco Ranch_Katy</t>
  </si>
  <si>
    <t>Eldorado W_902_Lakeside Manor_Little Elm</t>
  </si>
  <si>
    <t>Newcastle Dr_5454_The Marquis at Bellaire_Houston</t>
  </si>
  <si>
    <t>Rio Grande_2222_The Quarters at Karnes House_Austin</t>
  </si>
  <si>
    <t>Cesar Chavez W_NF_Gables Park Plaza II_Austin</t>
  </si>
  <si>
    <t>Grissom Rd_6201_The Barcelona Lofts II_San Antonio</t>
  </si>
  <si>
    <t>Legendary Ln_3783_Rosa Vista Apts_Dallas</t>
  </si>
  <si>
    <t>Macarthur Blvd S_119_MacArthur Square_Irving</t>
  </si>
  <si>
    <t>Franz Rd_22777_The Grand Parkway_Katy</t>
  </si>
  <si>
    <t>Holleman Dr E_614_The Lofts at Wolf Pen Creek_College Station</t>
  </si>
  <si>
    <t>Medina Base Dr_7714-1_Lackland City Apts_San Antonio</t>
  </si>
  <si>
    <t>Cesar Chavez W_600_Project Green Senior Living_Austin</t>
  </si>
  <si>
    <t>Cesar Chavez W_600_Project Green Apt Towers_Austin</t>
  </si>
  <si>
    <t>Cesar Chavez W_600_Project Green Condo Towers_Austin</t>
  </si>
  <si>
    <t>Guadalupe St S_1001_Sundance Square_Lockhart</t>
  </si>
  <si>
    <t>Bennet Ave_2500_The Belmont Apts_Dallas</t>
  </si>
  <si>
    <t>Ridge Rd_4700_Phillips at Mckinney Ranch_McKinney</t>
  </si>
  <si>
    <t>5th St N_351_Oaks 5th Street Crossing_Garland</t>
  </si>
  <si>
    <t>Carlisle St_2525_Gables Uptown Trail_Dallas</t>
  </si>
  <si>
    <t>15th St_1013_15th &amp; I_Plano</t>
  </si>
  <si>
    <t>35 IH S_8000_Alexan Legacy Oaks_Austin</t>
  </si>
  <si>
    <t>1604 Loop W N_403_Franklin Park at Sonterra_San Antonio</t>
  </si>
  <si>
    <t>Broadway_NF_Franklin Park at Alamo Heights_San Antonio</t>
  </si>
  <si>
    <t>Oltorf E_501_District at SoCo_Austin</t>
  </si>
  <si>
    <t>John King Blvd S_1470_The Mansions of Rockwall Active Adult Living_Rockwall</t>
  </si>
  <si>
    <t>Tribeca Ln_4700_The Encore_Plano</t>
  </si>
  <si>
    <t>Cornell Ln_691_Colony Townhouse Apts I_Waxahachie</t>
  </si>
  <si>
    <t>Oak Lawn Ave_1551_Camden Design District_Dallas</t>
  </si>
  <si>
    <t>Raceway Dr_13861_Dry Creek Ranch_Northlake</t>
  </si>
  <si>
    <t>Broadway St_11200_The Residences at Pearland Town Center II_Pearland</t>
  </si>
  <si>
    <t>Broadway St_11200_The Residences at Pearland Town Center I_Pearland</t>
  </si>
  <si>
    <t>Harry Wurzbach Rd_3819_Village at Oakwell Farms_San Antonio</t>
  </si>
  <si>
    <t>Garden Park Dr_935_The Lofts at Watters Creek II_Allen</t>
  </si>
  <si>
    <t>Oak Grove Rd_1021_Woodmont AH_Fort Worth</t>
  </si>
  <si>
    <t>Broadway Ave S_2720_The Timbers on Broadway_Tyler</t>
  </si>
  <si>
    <t>Braeswood N_2900_Archstone Toscano West University_Houston</t>
  </si>
  <si>
    <t>Detroit St_8406_Sterling Square_Houston</t>
  </si>
  <si>
    <t>22nd St_2500_House 2500_Austin</t>
  </si>
  <si>
    <t>Pendleton_4050_Park Hudson Place_Bryan</t>
  </si>
  <si>
    <t>Pendleton_4150_Park Hudson Place II_Bryan</t>
  </si>
  <si>
    <t>College Park Dr_3720_Plantation Apts at The Woodlands II_The Woodlands</t>
  </si>
  <si>
    <t>Slaughter Ln W_3621_Ranch House_Austin</t>
  </si>
  <si>
    <t>Town Center Dr_1225_Mansions at Stone Hill_Pflugerville</t>
  </si>
  <si>
    <t>Pecan St (1825 FM)_NF_Pflugerville Town Square Apts_Pflugerville</t>
  </si>
  <si>
    <t>Longview St_2505_Circle West Campus_Austin</t>
  </si>
  <si>
    <t>1626 FM_NF_Colonial Grand at Cityway II_Austin</t>
  </si>
  <si>
    <t>Cabela's Dr_1300 Blk_Provident Buda_Buda</t>
  </si>
  <si>
    <t>Firecracker Dr_1255_The Huntington_Buda</t>
  </si>
  <si>
    <t>967 RR N_590_Creekside Villas Senior Village_Buda</t>
  </si>
  <si>
    <t>Cullen Blvd_NF_TownePlace Reserve_Pearland</t>
  </si>
  <si>
    <t>Abner Jackson Blvd_294_Jackson Village Retirement Center_Lake Jackson</t>
  </si>
  <si>
    <t>Sakowitz St_2424_2424 Sakowitz_Houston</t>
  </si>
  <si>
    <t>Wayside Dr N_7447_HomeTowne on Wayside_Houston</t>
  </si>
  <si>
    <t>290 Hwy W_8800_Fox Hill Apts_Austin</t>
  </si>
  <si>
    <t>Hasler Blvd N_NF_Fairwood Commons_Bastrop</t>
  </si>
  <si>
    <t>1604 Loop N W_1907_Reed Road Apts (on hold)_San Antonio</t>
  </si>
  <si>
    <t>Dolphin Rd_4645_Carpenter's Point_Dallas</t>
  </si>
  <si>
    <t>Bickers St_2696_Village at Lakewest I &amp; II_Dallas</t>
  </si>
  <si>
    <t>Raiford Rd_1100_Villas on Raiford_Carrollton</t>
  </si>
  <si>
    <t>Josey Ln N_2105_Lakeview at Josey Ranch_Carrollton</t>
  </si>
  <si>
    <t>MacArthur Blvd S_418_Heritage Crossing_Irving</t>
  </si>
  <si>
    <t>Fran Way_201_Fiji Senior Villas_Dallas</t>
  </si>
  <si>
    <t>Morningstar Blvd_6245_Evergreen at Morningstar_The Colony</t>
  </si>
  <si>
    <t>Round Grove Rd W_940_Crest Manor_Lewisville</t>
  </si>
  <si>
    <t>Ray White Rd_8729_Heritage Park Vista_Keller</t>
  </si>
  <si>
    <t>Watermark Blvd_100_The Point at Waterview_Granbury</t>
  </si>
  <si>
    <t>Wheeler_NF_Cityville Oak Park II_Dallas</t>
  </si>
  <si>
    <t>Haskell Ave N_NF_Cityville CityPlace_Dallas</t>
  </si>
  <si>
    <t>1431 FM (Whitestone Blvd E)_NF_Landmark of Cedar Park_Cedar Park</t>
  </si>
  <si>
    <t>Town Center Blvd_NF_Brazos Ranch Apts II (on hold)_Rosenberg</t>
  </si>
  <si>
    <t>TC Jester_14723_Northgate Oaks_Houston</t>
  </si>
  <si>
    <t>Overton Ridge Blvd_6301_Vantage at Cityview_Fort Worth</t>
  </si>
  <si>
    <t>Garden Ridge Blvd N_901_Franklin Park at Lewisville_Lewisville</t>
  </si>
  <si>
    <t>Swenson Farms Blvd_413_Adaigo Swenson Farms_Pflugerville</t>
  </si>
  <si>
    <t>AW Grimes N_1301_Century Palm Valley_Round Rock</t>
  </si>
  <si>
    <t>2222 FM_7201_Alexan Vistas_Austin</t>
  </si>
  <si>
    <t>Klatten Hoff Dr_150_Alexan Star Ranch_Hutto</t>
  </si>
  <si>
    <t>Harvey Mitchell Pkwy_1350_Parkway Place_College Station</t>
  </si>
  <si>
    <t>Royal Ln_2825_Plantation Royal Apts_Dallas</t>
  </si>
  <si>
    <t>Anderson Mill Rd_8601_IMT Anderson Mill_Austin</t>
  </si>
  <si>
    <t>Eucalyptus St_NF_The Residence at Lake Jackson II_Lake Jackson</t>
  </si>
  <si>
    <t>1093 FM_23600_Palms at Cinco Ranch_Richmond</t>
  </si>
  <si>
    <t>Vance Jackson_16631_The Haven at The Rim_San Antonio</t>
  </si>
  <si>
    <t>Rogers Rd_5547_Verde Culebra_San Antonio</t>
  </si>
  <si>
    <t>Evans Rd_1202_Mission Hills_San Antonio</t>
  </si>
  <si>
    <t>Bandera Rd_1955_The Mirabella_San Antonio</t>
  </si>
  <si>
    <t>Brookhaven Club Dr_3850_Savoye (Vitruvian Park I)_Addison</t>
  </si>
  <si>
    <t>Bozeman Dr_5765_Parkside at Legacy_Plano</t>
  </si>
  <si>
    <t>La Vista Dr_7425_Lakewood Flats_Dallas</t>
  </si>
  <si>
    <t>Sam Houston Pkwy W_NF_Park 8 Residential Tower II_Houston</t>
  </si>
  <si>
    <t>Sam Houston Pkwy W_NF_Park 8 Residential Tower III_Houston</t>
  </si>
  <si>
    <t>21st St W_908_NF_Austin</t>
  </si>
  <si>
    <t>Wellborn Rd_3803_Z Islander_Bryan</t>
  </si>
  <si>
    <t>Maple Ave_5959_The Southwestern_Dallas</t>
  </si>
  <si>
    <t>Toomey Rd_1717_Coldwater_Austin</t>
  </si>
  <si>
    <t>Cresta Avenida_20202_Belleza at Cresta Bella_San Antonio</t>
  </si>
  <si>
    <t>Somerset Rd_1404_Somerset Rd Apts_San Antonio</t>
  </si>
  <si>
    <t>Devine Rd_NF_Devine Condominiums_San Antonio</t>
  </si>
  <si>
    <t>Seagler Rd_3003_Portico at West 8, II_Houston</t>
  </si>
  <si>
    <t>Independence Pkwy_10200_Estancia at Ridgeview Ranch I_Plano</t>
  </si>
  <si>
    <t>Howell St_2717_AMLI Quadrangle_Dallas</t>
  </si>
  <si>
    <t>Ross Ave_2611_The Arts Apts_Dallas</t>
  </si>
  <si>
    <t>Medical Center Dr_7555_Costa Mariposa_Texas City</t>
  </si>
  <si>
    <t>Virginia Pkwy_8690_Greenhaven_McKinney</t>
  </si>
  <si>
    <t>Wintergreen Rd W_431_Bridgemoor at DeSoto_Desoto</t>
  </si>
  <si>
    <t>Grassmere Ln_1920_The Retreat at Stonebridge Ranch_McKinney</t>
  </si>
  <si>
    <t>Jackson Keller Rd_1602_Elan Gardens_San Antonio</t>
  </si>
  <si>
    <t>Cobia Dr_700_Verona at the Reserve_Katy</t>
  </si>
  <si>
    <t>Red Bluff Rd_8300_Preserve at Baywood_Pasadena</t>
  </si>
  <si>
    <t>Studemont St_1400_Verde Studemont_Houston</t>
  </si>
  <si>
    <t>Nassau Bay_NF_Space Center Plaza Apts_Houston</t>
  </si>
  <si>
    <t>288 Hwy_NF_WaterLights District Mixed Use_Pearland</t>
  </si>
  <si>
    <t>Riverside Dr E_1900_South Shore District_Austin</t>
  </si>
  <si>
    <t>1825 FM (Pecan St)_NF_Pacana Mixed Use aka Pecan Street Plaza_Pflugerville</t>
  </si>
  <si>
    <t>79 US_NF_The Crossings of Carmel Creek_Hutto</t>
  </si>
  <si>
    <t>Austin Ave N_103_Two Rivers_Georgetown</t>
  </si>
  <si>
    <t>337 Block Loop_2500-2600_Stone Canyons_New Braunfels</t>
  </si>
  <si>
    <t>Avery Ranch Rd_NF_Pearson Place Apts_Austin</t>
  </si>
  <si>
    <t>Slaughter Ln_NF_Goodnight Ranch Mixed Use_Austin</t>
  </si>
  <si>
    <t>Lamar Blvd N_5400_Camden Lamar Heights_Austin</t>
  </si>
  <si>
    <t>Cumberland Dr_NF_South First &amp; Cumberland Condos_Austin</t>
  </si>
  <si>
    <t>Manderville Ln_NF_Midtown Park_Dallas</t>
  </si>
  <si>
    <t>337 Block Loop_2500-2600_Estates at Stone Crossing Condos_New Braunfels</t>
  </si>
  <si>
    <t>Huebner Rd_8646_Chancellor Huebner Road Apts_San Antonio</t>
  </si>
  <si>
    <t>Kittyhawk Rd_7461_Vantage at Kitty Hawk_Converse</t>
  </si>
  <si>
    <t>Lone Star Blvd_600_Lone Star Brewery Redevelopment_San Antonio</t>
  </si>
  <si>
    <t>Barker Cypress Rd_10880_Waterford Place at Riata Ranch_Cypress</t>
  </si>
  <si>
    <t>Rogers Rd_1701_Gallery 1701_Fort Worth</t>
  </si>
  <si>
    <t>Holley Pkwy_2001_Copper Ridge_Roanoke</t>
  </si>
  <si>
    <t>Atascocita Rd_3918_Woodland Hills_Humble</t>
  </si>
  <si>
    <t>Old Denton Rd_6415_The Haven at Western Center_Fort Worth</t>
  </si>
  <si>
    <t>Boat Club Dr_8201_Villa Lago_Fort Worth</t>
  </si>
  <si>
    <t>Scenic Vista Dr_1200_Westpoint at Scenic Vista_Fort Worth</t>
  </si>
  <si>
    <t>Medical District Dr_2140_21 Forty Medical District_Dallas</t>
  </si>
  <si>
    <t>Valley View Ln_7373_Alexan City North_Dallas</t>
  </si>
  <si>
    <t>Anderson Mill Rd_11908_Amberley Ridge_Austin</t>
  </si>
  <si>
    <t>Crystal Falls Pkwy_202_Crystal Falls Village_Leander</t>
  </si>
  <si>
    <t>Waterway Ave_1_The Millennium Waterway_The Woodlands</t>
  </si>
  <si>
    <t>Lakeline Blvd S_1905_Lakeline Oaks_Cedar Park</t>
  </si>
  <si>
    <t>Lakeline Blvd N_1500_Highland Estates_Cedar Park</t>
  </si>
  <si>
    <t>Lamar Sq Dr_1330_The Willows_Austin</t>
  </si>
  <si>
    <t>Lake Creek Pkwy N_9725_Platinum Lakeline_Austin</t>
  </si>
  <si>
    <t>Huebner Rd_10422_The Preserve on Fredericksburg_San Antonio</t>
  </si>
  <si>
    <t>Burnett St_NF_Hardy Yards Redevelopment_Houston</t>
  </si>
  <si>
    <t>Cockrell Hill Rd N_NF_Pinnacle Ridge Apts II_Dallas</t>
  </si>
  <si>
    <t>Madison Ave S_801_Notre Dame Court Senior Housing_Dallas</t>
  </si>
  <si>
    <t>Las Colinas Blvd W_301_Monterra at Las Colinas_Irving</t>
  </si>
  <si>
    <t>Fleming Dr_12000_Timber Ridge II_Houston</t>
  </si>
  <si>
    <t>361 Hwy S_1400_Legends at Lowe's Farm_Mansfield</t>
  </si>
  <si>
    <t>Centre Station Dr_14301_Broadstone Centreport_Fort Worth</t>
  </si>
  <si>
    <t>SMU Blvd_5609_The Shelby_Dallas</t>
  </si>
  <si>
    <t>SMU Blvd_5600_The BLVD_Dallas</t>
  </si>
  <si>
    <t>Central Expwy N_9837_Glen at Preston Hollow Apts_Dallas</t>
  </si>
  <si>
    <t>Uptown Blvd_NF_Forestar Uptown Cedar Hill_Cedar Hill</t>
  </si>
  <si>
    <t>Congress Ave S_3809_Berkshire SoCo_Austin</t>
  </si>
  <si>
    <t>Red River_901_Red River Flats_Austin</t>
  </si>
  <si>
    <t>Addison Rd_17671_ALARA Villages of Addison_Dallas</t>
  </si>
  <si>
    <t>Roosevelt Ave_2914_San Jose Apts_San Antonio</t>
  </si>
  <si>
    <t>11th St_12200_Santa Fe Plaza_Santa Fe</t>
  </si>
  <si>
    <t>Clearwater Paseo_451_Gardens at Clearwater_Kerrville</t>
  </si>
  <si>
    <t>517 FM_1100 Blk_Mariposa at Bay Colony_League City</t>
  </si>
  <si>
    <t>11th St_12402_Heritage Crossing_Santa Fe</t>
  </si>
  <si>
    <t>Main St_1903_Horizon Meadows_La Marque</t>
  </si>
  <si>
    <t>Ella Blvd_16354_Mariposa at Ella Boulevard_Houston</t>
  </si>
  <si>
    <t>Sam Houston Pkwy N_9835_Sierra Meadows_Humble</t>
  </si>
  <si>
    <t>Little York Rd W_19501_Trebah Village_Katy</t>
  </si>
  <si>
    <t>Mason Rd N_2243_Mason Senior AH_Katy</t>
  </si>
  <si>
    <t>Grapevine Mills Pkwy_3800_Camden Riverwalk II, The Estates_Grapevine</t>
  </si>
  <si>
    <t>Bandera Hwy_1343_Rio Verde_Kerrville</t>
  </si>
  <si>
    <t>Chimney Rock_8850_The Villages at Meyerland I_Houston</t>
  </si>
  <si>
    <t>Chimney Rock_8950_The Villages at Meyerland III_Houston</t>
  </si>
  <si>
    <t>Fallbrook Dr_11707_Mansions at Hastings Green Senior Housing_Houston</t>
  </si>
  <si>
    <t>Little York Rd W_3230_Chelsea Senior Community_Houston</t>
  </si>
  <si>
    <t>Santos St_401_HemisView Village_San Antonio</t>
  </si>
  <si>
    <t>Foster Rd N_5121_Montabella Pointe_San Antonio</t>
  </si>
  <si>
    <t>Aquarena Springs Dr_1980_The Courts at Riverbend_San Marcos</t>
  </si>
  <si>
    <t>Hunter Rd_1951_Purgatory Creek_San Marcos</t>
  </si>
  <si>
    <t>Post Rd_1800_Encino Pointe_San Marcos</t>
  </si>
  <si>
    <t>Berkman Dr_3801_Wildflower Terrace Senior Apts_Austin</t>
  </si>
  <si>
    <t>Saint Augustine Dr N_2300_Crestshire Village_Dallas</t>
  </si>
  <si>
    <t>Mayfield Rd W_600_Belleza Senior Apts_Arlington</t>
  </si>
  <si>
    <t>Basswood Blvd_3600_Alta Fossil Creek_Fort Worth</t>
  </si>
  <si>
    <t>Hi Line Dr_1900_Alta 1900 Lofts_Dallas</t>
  </si>
  <si>
    <t>Sam Houston Pkwy N E_6464_Alta Crossing_Houston</t>
  </si>
  <si>
    <t>Sam Houston Pkwy E N_10373_Alta Pine Forest_Humble</t>
  </si>
  <si>
    <t>Town &amp; Country Blvd_5250_Broadstone Stonebriar_Frisco</t>
  </si>
  <si>
    <t>Leora Ln_650_Bella Madera at Lake Lewisville_Lewisville</t>
  </si>
  <si>
    <t>Polk St S_821_Huntington Ridge_Desoto</t>
  </si>
  <si>
    <t>Greenside Dr_851_The Pradera_Richardson</t>
  </si>
  <si>
    <t>Bilsky Bay Dr_10600_Republic Deer Creek_Fort Worth</t>
  </si>
  <si>
    <t>Parker Rd_NF_Castle Hills Apts _The Colony</t>
  </si>
  <si>
    <t>Addison Rd_15900_The Lofts at Addison Place_Addison</t>
  </si>
  <si>
    <t>Center Ridge Dr_701_Bella Springs at Tech Ridge_Austin</t>
  </si>
  <si>
    <t>Philippine St_14651_Kensington Crossings_Houston</t>
  </si>
  <si>
    <t>Gessner S_6525_Carlingford I_Houston</t>
  </si>
  <si>
    <t>Highmeadow Dr_7600_The Ava_Houston</t>
  </si>
  <si>
    <t>Post Oak Rd N_1255_North Post Oak Lofts_Houston</t>
  </si>
  <si>
    <t>McCreary Rd_NF_Evergreen at Wylie_Wylie</t>
  </si>
  <si>
    <t>Lake Robbins Dr_2323_The Village at The Woodlands Waterway_Spring</t>
  </si>
  <si>
    <t>Dugas Rd_8838_The Falls at Westover Hills_San Antonio</t>
  </si>
  <si>
    <t>Eckhert Rd_6418_The Abbey at Grande Oaks_San Antonio</t>
  </si>
  <si>
    <t>1488 FM_541_Foundations at Woodland_Conroe</t>
  </si>
  <si>
    <t>1488 FM_545_Regency in the Forest_Conroe</t>
  </si>
  <si>
    <t>Overlook Pkwy_25675_The Estates at Lookout Canyon_San Antonio</t>
  </si>
  <si>
    <t>Wilderness Oak_24345_The Mansions at Canyon Springs_San Antonio</t>
  </si>
  <si>
    <t>Bulverde Dr_22800_The Mansions at TPC_San Antonio</t>
  </si>
  <si>
    <t>TPC Pkwy (Cibolo Canyon)_5505_Towers at TPC_San Antonio</t>
  </si>
  <si>
    <t>Babcock Rd_18385_The Estates at Crown Ridge_San Antonio</t>
  </si>
  <si>
    <t>Winterfield Dr_605_The Mansions at Star Ranch Country Club_Hutto</t>
  </si>
  <si>
    <t>Collin McKinney Pkwy_2580_The Estates of McKinney_McKinney</t>
  </si>
  <si>
    <t>Lovers Ln W_1500_Tuscany Square_Arlington</t>
  </si>
  <si>
    <t>Riverside Dr E_1620_AMLI South Shore_Austin</t>
  </si>
  <si>
    <t>2243 Old W_11450_Leander Station Senior Village_Leander</t>
  </si>
  <si>
    <t>Santa Fe_1513_Country Oaks_Weatherford</t>
  </si>
  <si>
    <t>Magnolia St_108_Parkside_Mansfield</t>
  </si>
  <si>
    <t>Pioneer Dr W_4002-4004_Pioneer Court_Irving</t>
  </si>
  <si>
    <t>Martin Luther King Jr Blvd E_2906_M Station_Austin</t>
  </si>
  <si>
    <t>Cleveland St_1201_Gateway at Denton_Denton</t>
  </si>
  <si>
    <t>Yorktown Crossing Pkwy_15903_Yorktown Crossing_Houston</t>
  </si>
  <si>
    <t>McDonald Rd_3700_Cedar Trails_Tyler</t>
  </si>
  <si>
    <t>Calloway Rd_2801_Deerwood_Tyler</t>
  </si>
  <si>
    <t>Paluxy Dr_5058_StoneBrook_Tyler</t>
  </si>
  <si>
    <t>Cumberland Rd W_2051_Cumberland Place_Tyler</t>
  </si>
  <si>
    <t>Joe Ramsey Blvd_4900_Solarium_Greenville</t>
  </si>
  <si>
    <t>Old Omen Rd_4350_Summerwood_Tyler</t>
  </si>
  <si>
    <t>CR 272 (Adam Henry Rd)_2851_The Reserve_Tyler</t>
  </si>
  <si>
    <t>Chadwick Pkwy_13900_Chadwick Apts_Northlake</t>
  </si>
  <si>
    <t>Cromwell Dr_4925_Vantage at Plum Creek_Kyle</t>
  </si>
  <si>
    <t>Presidio Vista Dr_2301_The Wyatt at Presidio Junction_Fort Worth</t>
  </si>
  <si>
    <t>Presidio Vista Dr_2332_Presidio Junction Apts II_Fort Worth</t>
  </si>
  <si>
    <t>323 Loop SE S_2611_Aspen Place_Tyler</t>
  </si>
  <si>
    <t>323 Loop SE S_2601_Fox Run_Tyler</t>
  </si>
  <si>
    <t>Paluxy_4400_Kensington Place_Tyler</t>
  </si>
  <si>
    <t>Troup Hwy (Hwy 110)_4400_River Oaks_Tyler</t>
  </si>
  <si>
    <t>Cedar Springs_4533_The Dylan Residences_Dallas</t>
  </si>
  <si>
    <t>Old Denton Rd_8828_Riverside Villas_Fort Worth</t>
  </si>
  <si>
    <t>Shady Shores Rd_6503_The Lodge at Pecan Creek_Denton</t>
  </si>
  <si>
    <t>Old Angleton Rd_1218_Casa Brazoria_Clute</t>
  </si>
  <si>
    <t>Calaveras St S_2404_San Juan Square II_San Antonio</t>
  </si>
  <si>
    <t>Four Seasons Ln_1500_Four Seasons at Clear Creek_Fort Worth</t>
  </si>
  <si>
    <t>Masch Branch Rd_4821_Estate Villas at Krum_Krum</t>
  </si>
  <si>
    <t>Burnet Rd_5350_AMLI 5350_Austin</t>
  </si>
  <si>
    <t>AW Grimes Blvd S_300_Colonial Grand at Ashton Oaks_Round Rock</t>
  </si>
  <si>
    <t>University Blvd_1700_Fairway Knoll at Teravista_Round Rock</t>
  </si>
  <si>
    <t>Hidden Valley Dr_901_Las Brisas_Round Rock</t>
  </si>
  <si>
    <t>620 RR N_15510_The Park at Brushy Creek_Austin</t>
  </si>
  <si>
    <t>Greenhill Dr_610_The Trails at Crystal Park_Round Rock</t>
  </si>
  <si>
    <t>Walnut St_1900_Walnut Ridge_Bastrop</t>
  </si>
  <si>
    <t>Bitters Rd W_1440_Escalante_San Antonio</t>
  </si>
  <si>
    <t>Galicia Ln_1160_Hacienda del Sol_Dallas</t>
  </si>
  <si>
    <t>121 SH_NF_Verona Villas_Carrollton</t>
  </si>
  <si>
    <t>Crow Ln_6212_The Retreat at North Bluff_Austin</t>
  </si>
  <si>
    <t>UTSA Blvd_6676_Avalon Place_San Antonio</t>
  </si>
  <si>
    <t>Harvey Mitchell Pkwy_1725_The Woodlands of College Station_College Station</t>
  </si>
  <si>
    <t>Randol Mill Rd_8472_Mill Stone_Fort Worth</t>
  </si>
  <si>
    <t>Tennessee St S_1200_Merritt Homes_McKinney</t>
  </si>
  <si>
    <t>Chase Oaks Blvd_7112_Tuscany Villas at Chase Oaks_Plano</t>
  </si>
  <si>
    <t>Patrol Way_6712_Magnolia Trace_Dallas</t>
  </si>
  <si>
    <t>Mustang Dr_3101_Village on the Creek_Grapevine</t>
  </si>
  <si>
    <t>Katy Fort Bend Rd_2150_The Marquis at Katy_Katy</t>
  </si>
  <si>
    <t>Sam Houston Pkwy E N_7800_ARIUM Fall Creek_Humble</t>
  </si>
  <si>
    <t>Pecan St S_1225_Johnson Creek Crossing_Arlington</t>
  </si>
  <si>
    <t>Vitruvian Way_3850_Savoye Squared (Vitruvian Park II)_Addison</t>
  </si>
  <si>
    <t>Tomball Pkwy_19401_The Discovery at Mandolin_Houston</t>
  </si>
  <si>
    <t>Business Center Dr_2526_The Discovery at Shadow Creek Ranch_Pearland</t>
  </si>
  <si>
    <t>Midpark Rd_8550_Midpark Towers_Dallas</t>
  </si>
  <si>
    <t>Yager Ln E_305_ARIUM Tech Ridge_Austin</t>
  </si>
  <si>
    <t>Samuels Ave_520_Lincoln Park at Trinity Bluff TH_Fort Worth</t>
  </si>
  <si>
    <t>Cinco Terrace Dr_24333_Park at Cinco Ranch_Katy</t>
  </si>
  <si>
    <t>Vistacourt Dr_350_Gateway_Plano</t>
  </si>
  <si>
    <t>Alsbury Blvd SW_1350_Encore Alsbury_Burleson</t>
  </si>
  <si>
    <t>N St_350_The Sanctuary Lofts_San Marcos</t>
  </si>
  <si>
    <t>Park Central Dr_1701_Parkview Legends_McKinney</t>
  </si>
  <si>
    <t>Huebner Rd_7838_Boardwalk Med Center_San Antonio</t>
  </si>
  <si>
    <t>39th St SW_339_Casitas de Villa Corona Senior Housing_San Antonio</t>
  </si>
  <si>
    <t>34th St W_880_The Orchard at Garden Oaks_Houston</t>
  </si>
  <si>
    <t>Sam Houston Pkwy W S_7950.5_Floral Gardens_Houston</t>
  </si>
  <si>
    <t>Irvington Blvd_4004_Avenue Terrace_Houston</t>
  </si>
  <si>
    <t>Northline Dr_7211_Northline AH_Houston</t>
  </si>
  <si>
    <t>Beechnut St_13650_Campanile on Eldridge_Houston</t>
  </si>
  <si>
    <t>Minnesota St_9590_Sterling Court Senior Residences_Houston</t>
  </si>
  <si>
    <t>W Rd_19015_Greenhouse Village_Cypress</t>
  </si>
  <si>
    <t>Scott St_11409_South Acres Ranch II_Houston</t>
  </si>
  <si>
    <t>Brownstone Place_2800_Pearland Senior Village_Pearland</t>
  </si>
  <si>
    <t>Lakeside Cir_889_Hebron 121 Station II- Tuscan Village_Lewisville</t>
  </si>
  <si>
    <t>Lakeside Cir_889_Hebron 121 Station III-Southern Coastal Village_Lewisville</t>
  </si>
  <si>
    <t>Lakecrest View Dr_17807_The Lakeview Lofts_Cypress</t>
  </si>
  <si>
    <t>Barker-Clodine Rd_529_Carroll at Green Trails_Houston</t>
  </si>
  <si>
    <t>Westheimer Rd_13099_Waterford on Westheimer_Houston</t>
  </si>
  <si>
    <t>12 RR_1818_Dakota Ranch_San Marcos</t>
  </si>
  <si>
    <t>Babcock Rd_14333_Villas at Babcock_San Antonio</t>
  </si>
  <si>
    <t>Katy Fort Bend Rd_1550_Grand Villas_Katy</t>
  </si>
  <si>
    <t>Egret Bay Blvd S_1800_Grand Villas at Tuscan Lakes_League City</t>
  </si>
  <si>
    <t>Chenevert St_3603_Midtown Grove_Houston</t>
  </si>
  <si>
    <t>Harvey Mitchell Pkwy_1711_Campus Village at College Station_College Station</t>
  </si>
  <si>
    <t>Oakenwald St E_390_Zang Triangle_Dallas</t>
  </si>
  <si>
    <t>Dallas St W_2900_2900 West Dallas_Houston</t>
  </si>
  <si>
    <t>Bee St_NF_Pike St Apts_Farmers Branch</t>
  </si>
  <si>
    <t>Delaware St S_NF_Delaware Street TH_Irving</t>
  </si>
  <si>
    <t>Kiest Blvd E_2906_MF Housing Development at Cedar Glen I_Dallas</t>
  </si>
  <si>
    <t>Kiest Blvd E_2908_MF Housing Development at Cedar Glen II_Dallas</t>
  </si>
  <si>
    <t>Pinnacle Park Blvd_1150_Taylors Farm_Dallas</t>
  </si>
  <si>
    <t>156 FM S_700_Estate Villas of Justin_Justin</t>
  </si>
  <si>
    <t>Oak St W_1221_Sterling Fry Street_Denton</t>
  </si>
  <si>
    <t>Corinth Dr S_2010_The Boulevard Corinth_Corinth</t>
  </si>
  <si>
    <t>Broadway Dr_4200_Park Central at Flower Mound_Flower Mound</t>
  </si>
  <si>
    <t>Fort Worth Dr_701_The Grove at Denton_Denton</t>
  </si>
  <si>
    <t>Hebron Pkwy E_1701_Colonial Grand at Hebron_Carrollton</t>
  </si>
  <si>
    <t>Frazier N_2455_Skytop_Conroe</t>
  </si>
  <si>
    <t>Culebra Rd_11727_Carmel Canyon_San Antonio</t>
  </si>
  <si>
    <t>Fort Worth Ave_2522_Avalon at Kessler Park_Dallas</t>
  </si>
  <si>
    <t>Fort Worth Ave_2300_The Orleans at La Reunion_Dallas</t>
  </si>
  <si>
    <t>Fort Worth Ave_2201_Courtyards at La Reunion_Dallas</t>
  </si>
  <si>
    <t>Shadow Creek Pkwy_12400_Carroll at Shadow Creek Ranch_Pearland</t>
  </si>
  <si>
    <t>67 Hwy E_250_Bella Ruscello_Duncanville</t>
  </si>
  <si>
    <t>Alamo Ranch Pkwy_11585_Alamo Ranch_San Antonio</t>
  </si>
  <si>
    <t>Gaylord Dr_9870_The Fountains at Memorial City_Houston</t>
  </si>
  <si>
    <t>Mason Rd S_NF_Legends at Cinco Ranch II_Katy</t>
  </si>
  <si>
    <t>Mill St_1701_Copper Beech_San Marcos</t>
  </si>
  <si>
    <t>Hillcrest Ln_155_San Gabriel Crossing_Liberty Hill</t>
  </si>
  <si>
    <t>Fountain View Dr_2930_Fountain Spring_Houston</t>
  </si>
  <si>
    <t>Vitruvian Way_3900_Fiori (Vitruvian Park III)_Addison</t>
  </si>
  <si>
    <t>287 Hwy Bypass W_1250_Hunter's Cove_Waxahachie</t>
  </si>
  <si>
    <t>Canfield St_3800_Twelve Canfield Place_Houston</t>
  </si>
  <si>
    <t>Southmore Blvd_2412_Southmore Gardens_Houston</t>
  </si>
  <si>
    <t>Glade Rd W_400_Glade Corners_Grapevine</t>
  </si>
  <si>
    <t>Sumner St_6900_Austin Ranch V-Blvd_The Colony</t>
  </si>
  <si>
    <t>Fayridge Dr_14155_Cypress Creek at Fayridge Drive_Houston</t>
  </si>
  <si>
    <t>90 Hwy_11511_Cypress Gardens_Houston</t>
  </si>
  <si>
    <t>Montgomery Rd W_10000 Blk_Parkway Ranch II_Houston</t>
  </si>
  <si>
    <t>Webster St_2100_Zion Gardens_Houston</t>
  </si>
  <si>
    <t>Southdown Trace Trl_10603_Tarrington Court_Houston</t>
  </si>
  <si>
    <t>Sheldon Rd_975_Pine Trail Homes_Channelview</t>
  </si>
  <si>
    <t>Scott St_11409_South Acres Ranch I_Houston</t>
  </si>
  <si>
    <t>Meadow St_1541_Campus Park_Denton</t>
  </si>
  <si>
    <t>Clark Rd S_201_High Pointe Village II_Cedar Hill</t>
  </si>
  <si>
    <t>Ryan Dr S_200_Red Oak Town Village II_Red Oak</t>
  </si>
  <si>
    <t>Alabama St W_219_Skylane Midtown_Houston</t>
  </si>
  <si>
    <t>.5 Tidwell Rd W_1305-2225_The Enclave_Houston</t>
  </si>
  <si>
    <t>Kimberely Ln_14222_The Nottingham Village II_Houston</t>
  </si>
  <si>
    <t>Stonewood Dr_6301_Villas of Spring Creek II_Plano</t>
  </si>
  <si>
    <t>Amesbury Dr_5025_Amesbury Apts_Dallas</t>
  </si>
  <si>
    <t>71st St_2311_Coastal Breeze_Galveston</t>
  </si>
  <si>
    <t>Frisco Sq Blvd_6255_The Residences at Frisco Square-The Boulevard_Frisco</t>
  </si>
  <si>
    <t>Gramercy St_2600_Broadstone Gramercy (2600)_Houston</t>
  </si>
  <si>
    <t>Gramercy St_2601_Broadstone Gramercy (2601)_Houston</t>
  </si>
  <si>
    <t>Millbend Dr S_2500_The Woodlands Lodge_The Woodlands</t>
  </si>
  <si>
    <t>Baker Rd W_2200_Lynn at Country Club_Baytown</t>
  </si>
  <si>
    <t>Emmet Hutto Blvd_3717_The Villas at Rollingbrook_Baytown</t>
  </si>
  <si>
    <t>52nd St_2120_Oakglen_Dallas</t>
  </si>
  <si>
    <t>Blanco Rd_5211-5231_Santa Fe Square Manor_San Antonio</t>
  </si>
  <si>
    <t>Orem Dr W_6105_Corinthian Village_Houston</t>
  </si>
  <si>
    <t>Northpark Plaza Dr_150_Discovery at Kingwood_Kingwood</t>
  </si>
  <si>
    <t>Escena Blvd_6401_AMLI at Escena_Irving</t>
  </si>
  <si>
    <t>Hi Line Dr_1400_1400 Hi Line_Dallas</t>
  </si>
  <si>
    <t>White Settlement Rd_2385_Meadow Vista_Weatherford</t>
  </si>
  <si>
    <t>Castle Dr_1802_HomeTowne at Garland_Garland</t>
  </si>
  <si>
    <t>Rogers Rd_1818_The Villas in Westover Hills_San Antonio</t>
  </si>
  <si>
    <t>Ave A_503_CAN Plant Residences at Pearl_San Antonio</t>
  </si>
  <si>
    <t>Cleveland St_905_Midtown Denton_Denton</t>
  </si>
  <si>
    <t>1st St S_3715_Oak Meadows_Austin</t>
  </si>
  <si>
    <t>Ame Dr_401_Gardens of Denton_Denton</t>
  </si>
  <si>
    <t>Main St_4640_Midtown Terrace Suites_Houston</t>
  </si>
  <si>
    <t>Murray Farm Rd_344_Colonial Grand at Fairview_Fairview</t>
  </si>
  <si>
    <t>Wilson Rd_4775_Carrington at Park Lakes_Humble</t>
  </si>
  <si>
    <t>Old Holzwarth Rd_2111_Waterstone_Spring</t>
  </si>
  <si>
    <t>Crescent Plaza Dr_1755_The Domain at Eldridge_Houston</t>
  </si>
  <si>
    <t>Congress St_1414_1414 Congress_Houston</t>
  </si>
  <si>
    <t>1st St S_11001_Colonial Grand at Double Creek_Austin</t>
  </si>
  <si>
    <t>Weaver Dr_4222_Royal North_Houston</t>
  </si>
  <si>
    <t>Valley Pkwy S_2436_Cypress_Lewisville</t>
  </si>
  <si>
    <t>Burke Rd_3400_Hampshire Court_Pasadena</t>
  </si>
  <si>
    <t>McCue Rd_2525_Millennium Uptown_Houston</t>
  </si>
  <si>
    <t>Gray St W_1340_Hanover West Gray_Houston</t>
  </si>
  <si>
    <t>Gray St W_1916_Graybelle_Houston</t>
  </si>
  <si>
    <t>Kirby Dr_2800_Gables West Ave II_Houston</t>
  </si>
  <si>
    <t>Kirby Dr_NF_Gables West Ave III_Houston</t>
  </si>
  <si>
    <t>Arbor Hills Way_NF_Austin Ranch VI-Oaks_The Colony</t>
  </si>
  <si>
    <t>Kuykendahl Rd_15331_Cypresswood Estates_Houston</t>
  </si>
  <si>
    <t>Dallas Pkwy_15605_Allegro Addison Circle II_Addison</t>
  </si>
  <si>
    <t>Riverside Dr E_1300_RiverView_Austin</t>
  </si>
  <si>
    <t>Waterloo City Ln_2223_Lakeshore Pearl_Austin</t>
  </si>
  <si>
    <t>Deerbrook Park Blvd_19777_Deerbrook Place_Humble</t>
  </si>
  <si>
    <t>Stone Oak Pkwy_20659_The Abbey at Stone Oak_San Antonio</t>
  </si>
  <si>
    <t>Richmond Ave_510_Post Richmond Avenue_Houston</t>
  </si>
  <si>
    <t>Sunnyvale St_4836_Sunrise Village_Dallas</t>
  </si>
  <si>
    <t>Noel Rd_14145_San Raphael II_Dallas</t>
  </si>
  <si>
    <t>1604 Loop N W_3010_Camden Westover Hills_San Antonio</t>
  </si>
  <si>
    <t>College Park Dr_4400_The Retreat at The Woodlands_The Woodlands</t>
  </si>
  <si>
    <t>Chenevert St N_15_City View Lofts_Houston</t>
  </si>
  <si>
    <t>Market Center Blvd_1955_Avant_Dallas</t>
  </si>
  <si>
    <t>Sovereign Rd_14500_Broadstone Centreport II_Fort Worth</t>
  </si>
  <si>
    <t>UTA Blvd_1001_Campus Edge on UTA Blvd_Arlington</t>
  </si>
  <si>
    <t>5th St_1000_Corazon Apts_Austin</t>
  </si>
  <si>
    <t>Lamar Blvd S_2700_Lamar-Manchaca Apts_Austin</t>
  </si>
  <si>
    <t>Harmon Ave_3400_University Park Apts_Austin</t>
  </si>
  <si>
    <t>Flores St S_1401_Steel House Lofts_San Antonio</t>
  </si>
  <si>
    <t>Main St S_1011_UNION at Carrollton Square_Carrollton</t>
  </si>
  <si>
    <t>Maint St S_NF_UNION at Carrollton Square II_Carrollton</t>
  </si>
  <si>
    <t>Broadway St_1915_Mosaic on Broadway_San Antonio</t>
  </si>
  <si>
    <t>Cutten Rd_15500_San Antigua_Houston</t>
  </si>
  <si>
    <t>Custer Rd S_4101_Discovery at Rowlett Creek_McKinney</t>
  </si>
  <si>
    <t>Boyd Dr_401_Stoneledge_Grapevine</t>
  </si>
  <si>
    <t>Buffalo Spdwy_10201_The Connection at Buffalo Pointe_Houston</t>
  </si>
  <si>
    <t>1488 FM_245_The Mansions Woodland_Conroe</t>
  </si>
  <si>
    <t>Rand St_5518_Lockwood Landing III_Houston</t>
  </si>
  <si>
    <t>Rand St_5431_Lockwood Landing IV_Houston</t>
  </si>
  <si>
    <t>Shepherd Dr S_3100 blk_Shepherd Alabama Apts_Houston</t>
  </si>
  <si>
    <t>Richmond Ave_3788_Pearl Greenway_Houston</t>
  </si>
  <si>
    <t>Carlisle St_3030_The Taylor_Dallas</t>
  </si>
  <si>
    <t>Lamar Blvd S_1000_Greystar Lamar Plaza Mixed Use_Austin</t>
  </si>
  <si>
    <t>LBJ Fwy_4801-4825_Greystar Galleria Lofts_Farmers Branch</t>
  </si>
  <si>
    <t>Lamar Blvd S_1219_Gibson Flats_Austin</t>
  </si>
  <si>
    <t>McNeil Dr_9415_Promesa_Austin</t>
  </si>
  <si>
    <t>Hackberry Rd_NF_Cypress Waters Apts_Coppell</t>
  </si>
  <si>
    <t>Brazos St_301_The Whitley_Austin</t>
  </si>
  <si>
    <t>Evans Rd_1234_Evans Ranch_San Antonio</t>
  </si>
  <si>
    <t>Borgfeld Rd_1222_Merritt Lakeside_Schertz</t>
  </si>
  <si>
    <t>Potranco Rd_7727_Westover Oaks_San Antonio</t>
  </si>
  <si>
    <t>151 SH_8615_Tacara Westover Hills_San Antonio</t>
  </si>
  <si>
    <t>281 US Hwy N_NF_Tacara Stone Oak_San Antonio</t>
  </si>
  <si>
    <t>Rogers Rd_2210_Slate Creek at Westover Hills_San Antonio</t>
  </si>
  <si>
    <t>Cheryl Dr W_330_Woodlawn Ranch_San Antonio</t>
  </si>
  <si>
    <t>Leal St_600_The Terrace at Haven for Hope_San Antonio</t>
  </si>
  <si>
    <t>Cromwell Dr_4850_The Overlook at Plum Creek_Kyle</t>
  </si>
  <si>
    <t>Lakes at 610 Dr_8811_Lakes at 610_Houston</t>
  </si>
  <si>
    <t>Meadowglen Ln_11805_Camden Royal Oaks II_Houston</t>
  </si>
  <si>
    <t>Wenda St_4647_Magnolia Place_Houston</t>
  </si>
  <si>
    <t>Marion Pugh Dr_801_U Club TH on Marion Pugh_College Station</t>
  </si>
  <si>
    <t>Dunstan Rd_2455_Ashton Rice Village_Houston</t>
  </si>
  <si>
    <t>Sienna Ranch Rd_6303_Watermark at Sienna Plantation_Missouri City</t>
  </si>
  <si>
    <t>Hardrock Rd_2515_Chateau at Wildbriar Lake_Irving</t>
  </si>
  <si>
    <t>Hickory St_8625_Old Hickory Square at Frisco_Frisco</t>
  </si>
  <si>
    <t>Wonderview Ln_NF_Wonderview Senior Apts_Dallas</t>
  </si>
  <si>
    <t>Bell Ave S_214_Victoria Station_Denton</t>
  </si>
  <si>
    <t>Bowens Crossing St_8711_The Villages at Bowens Crossing_San Antonio</t>
  </si>
  <si>
    <t>Woodlake Pkwy (78 FM)_7027_Republic Woodlake_San Antonio</t>
  </si>
  <si>
    <t>Turtle Rock Rd_12800_Villages at Turtle Rock_Austin</t>
  </si>
  <si>
    <t>San Felipe St_5740_Gables Tanglewood_Houston</t>
  </si>
  <si>
    <t>Park Place Blvd_100_Waterford at Summer Park_Rosenberg</t>
  </si>
  <si>
    <t>Oak Grove Ave_NF_Uptown Lemmon Avenue_Dallas</t>
  </si>
  <si>
    <t>Arena Dr_NF_South Shore-Town Lake 1B_Austin</t>
  </si>
  <si>
    <t>Williams_510_Bluebird_Baytown</t>
  </si>
  <si>
    <t>Church St_2101_2101 Church Street Apts_Galveston</t>
  </si>
  <si>
    <t>Rainey St_47_SkyHouse Austin_Austin</t>
  </si>
  <si>
    <t>Main St N_3610_Main Street Commons_Taylor</t>
  </si>
  <si>
    <t>Washington Ave_2411_24Eleven Washington_Houston</t>
  </si>
  <si>
    <t>Grapevine Mills Blvd N_3225_Terrawood_Grapevine</t>
  </si>
  <si>
    <t>Cabelas Dr_1480_Silverado Crossing_Buda</t>
  </si>
  <si>
    <t>Reading Rd_NF_Brazos Senior Village_Rosenberg</t>
  </si>
  <si>
    <t>Greensmark_1580_Faith Village_Houston</t>
  </si>
  <si>
    <t>Hall St N_3535_Belmont Village Turtle Creek_Dallas</t>
  </si>
  <si>
    <t>Davis St W_1836_Alta West Davis_Dallas</t>
  </si>
  <si>
    <t>Travis St_4500_Travis Street Plaza_Houston</t>
  </si>
  <si>
    <t>Queenston Blvd_6700_Queenston Manor_Houston</t>
  </si>
  <si>
    <t>Shining Sumac Ave_NF_Mariposa at FM 529_Houston</t>
  </si>
  <si>
    <t>Weslayan St_2801_2801 Weslayan_Houston</t>
  </si>
  <si>
    <t>Richmond Ave_5455_Elan at Avenue R_Houston</t>
  </si>
  <si>
    <t>Brownway St_5250_Sage West_Houston</t>
  </si>
  <si>
    <t>Block Cutten Rd_15700_Vintage Apts 4_Houston</t>
  </si>
  <si>
    <t>Hidalgo St_NF_WaterWall Place_Houston</t>
  </si>
  <si>
    <t>Smith St_3101_Pearl Midtown_Houston</t>
  </si>
  <si>
    <t>Dallas St W_1616_Broadstone West Dallas_Houston</t>
  </si>
  <si>
    <t>Westpark Dr_10801_Orchard at Westchase_Houston</t>
  </si>
  <si>
    <t>Tanglewilde St_2630_Alta Woodlake Square_Houston</t>
  </si>
  <si>
    <t>Rusk St_1111_Texaco Bldg Conversion_Houston</t>
  </si>
  <si>
    <t>Mason Rd S_6855_Waterstone at Cinco Ranch_Katy</t>
  </si>
  <si>
    <t>Richmond Ave_1301_The Muse_Houston</t>
  </si>
  <si>
    <t>Partnership Way_NF_Williamsburg Apts I_Katy</t>
  </si>
  <si>
    <t>Block Gray St_1400-1500_Milhaus Midtown_Houston</t>
  </si>
  <si>
    <t>Anders Ln_NF_Phillips Kemah_Kemah</t>
  </si>
  <si>
    <t>Katy Ranch Rd_24929_Watermark at Katy Ranch_Katy</t>
  </si>
  <si>
    <t>Broadway St_12501_The Avenues at Shadow Creek Ranch_Pearland</t>
  </si>
  <si>
    <t>Imperial Blvd_NF_Imperial Sugar Land_Sugar Land</t>
  </si>
  <si>
    <t>Wilson St_2602_Flats on Wilson_Austin</t>
  </si>
  <si>
    <t>Congress Ave S_4367_Flats on South Congress_Austin</t>
  </si>
  <si>
    <t>Lamar Blvd N_5210_Flats on Lamar_Austin</t>
  </si>
  <si>
    <t>Barton Springs Rd_NF_Sterzing and Barton Springs Apts_Austin</t>
  </si>
  <si>
    <t>Lamar Blvd S_NF_Hanover South Lamar_Austin</t>
  </si>
  <si>
    <t>Flores St S_1010_The Viceroy_San Antonio</t>
  </si>
  <si>
    <t>Summercrest Blvd NW_1320_Dolce Living Burleson_Burleson</t>
  </si>
  <si>
    <t>Monterra Blvd_8301_Monterra Village II_Fort Worth</t>
  </si>
  <si>
    <t>Eagle Dr_919_33 North_Denton</t>
  </si>
  <si>
    <t>Lancaster Ave W_2920_The Lancaster_Fort Worth</t>
  </si>
  <si>
    <t>Currie St_1020_White Buffalo_Fort Worth</t>
  </si>
  <si>
    <t>Custer Pkwy_3650_Alta Creekside_Richardson</t>
  </si>
  <si>
    <t>Skyline Dr_NF_Platinum Skyline_McKinney</t>
  </si>
  <si>
    <t>Ave of the Stars_3150_Ablon at Frisco Bridges_Frisco</t>
  </si>
  <si>
    <t>Las Colinas Blvd_5349-5373_Lakepointe at Las Colinas_Irving</t>
  </si>
  <si>
    <t>Greenbriar St_4100_District at Greenbriar_Houston</t>
  </si>
  <si>
    <t>Maple Ave_6008_The EON at Maple_Dallas</t>
  </si>
  <si>
    <t>Commerce_1810_Mercantile Place-The Continental_Dallas</t>
  </si>
  <si>
    <t>Jackson St_1900_Atmos Lofts_Dallas</t>
  </si>
  <si>
    <t>John Q Hammons Dr_7755_AMLI at the Ballpark_Frisco</t>
  </si>
  <si>
    <t>Renfro St E_444_Reserve at Village Creek_Burleson</t>
  </si>
  <si>
    <t>Star Rd N_3551_Evergreen at Richardson_Richardson</t>
  </si>
  <si>
    <t>Triangle Blvd_4616_The Lofts at the Triangle_Austin</t>
  </si>
  <si>
    <t>Guadalupe St W_4600_Triangle II-Residences_Austin</t>
  </si>
  <si>
    <t>151 SH_12105_Westover Springs_San Antonio</t>
  </si>
  <si>
    <t>Dallas St E_1300_Tanglewood_Mansfield</t>
  </si>
  <si>
    <t>35 IH S_7700_Ladera Hill Country_Austin</t>
  </si>
  <si>
    <t>Craddock Ave_512_The Retreat at San Marcos_San Marcos</t>
  </si>
  <si>
    <t>Reading Rd_7145_Dolce Living at Rosenberg_Rosenberg</t>
  </si>
  <si>
    <t>26th St W_510_GrandMarc Austin_Austin</t>
  </si>
  <si>
    <t>1488 FM Rd_5402_Landmark of Magnolia_Magnolia</t>
  </si>
  <si>
    <t>Nagle St_501_Normandy Square_College Station</t>
  </si>
  <si>
    <t>Parliament St_11903_Sir Winston Villas_San Antonio</t>
  </si>
  <si>
    <t>NW Hwy W_401_Lincoln Las Colinas_Irving</t>
  </si>
  <si>
    <t>Forest Park Rd_5940_Alexan Medical District_Dallas</t>
  </si>
  <si>
    <t>University Blvd E_5920_The Standard_Dallas</t>
  </si>
  <si>
    <t>Lakeline Blvd_NF_Lakeline East_Cedar Park</t>
  </si>
  <si>
    <t>Huebner Rd_8638_Arden Park_San Antonio</t>
  </si>
  <si>
    <t>Sonterra Blvd E_600_Siena on Sonterra_San Antonio</t>
  </si>
  <si>
    <t>Spring Green Blvd_10441_Lakeside Villas at Cinco Ranch_Katy</t>
  </si>
  <si>
    <t>Post Oak Blvd_3100_Broadstone Post Oak_Houston</t>
  </si>
  <si>
    <t>Blackburn St_2990_Allure_Dallas</t>
  </si>
  <si>
    <t>Southwestern Blvd_8749_The Bluffs-Redevelopment_Dallas</t>
  </si>
  <si>
    <t>Forest Park Blvd_3120_LoftVue_Fort Worth</t>
  </si>
  <si>
    <t>University Dr_3201_The Vue on University Drive_Fort Worth</t>
  </si>
  <si>
    <t>Carlisle St_3003_3003 Carlisle_Dallas</t>
  </si>
  <si>
    <t>Harry Hines Blvd_2711_Alamo Manhattan Victory_Dallas</t>
  </si>
  <si>
    <t>Manchaca Rd_4013_Woods at Manchaca_Austin</t>
  </si>
  <si>
    <t>Heights Blvd_145_Alta Heights_Houston</t>
  </si>
  <si>
    <t>Lake Carolyn Pkwy_850_Alexan Urban Center_Irving</t>
  </si>
  <si>
    <t>Yellow Jacket Ln W_970_Sonoma Court_Rockwall</t>
  </si>
  <si>
    <t>Carrollton Pkwy_1440_The Mansions at Sunset Ridge_Carrollton</t>
  </si>
  <si>
    <t>El Dorado Blvd W_220_Villas at El Dorado_Friendswood</t>
  </si>
  <si>
    <t>Holzwarth Rd_NF_The Belvedere at Springwoods Village_Spring</t>
  </si>
  <si>
    <t>11th St E_807_Eleven_Austin</t>
  </si>
  <si>
    <t>21st St W_911_21Pearl_Austin</t>
  </si>
  <si>
    <t>Estate Hill Dr_22202_The Springs at Stone Oak Village_San Antonio</t>
  </si>
  <si>
    <t>Old Denton Rd_13100 Blk_Overlook Ranch_Fort Worth</t>
  </si>
  <si>
    <t>Saint Johns W_NF_Midtown Commons II_Austin</t>
  </si>
  <si>
    <t>Pinnacle Park Blvd_NF_Hillside West Seniors Community_Dallas</t>
  </si>
  <si>
    <t>Bowie St_311_3 Eleven Bowie_Austin</t>
  </si>
  <si>
    <t>Central Expwy N_4030_The Residences at Cityplace_Dallas</t>
  </si>
  <si>
    <t>Gruene Rd_NF_Ranch at the Guadalupe_New Braunfels</t>
  </si>
  <si>
    <t>Bissonnet St_7400_Le Promenade_Houston</t>
  </si>
  <si>
    <t>Dallas St W_3233_The Sovereign_Houston</t>
  </si>
  <si>
    <t>TC Jester Blvd_230_The District at Washington_Houston</t>
  </si>
  <si>
    <t>Houston St_2400_The Arpeggio Victory Park_Dallas</t>
  </si>
  <si>
    <t>Solon Place Way_1000_Solon Place_Waxahachie</t>
  </si>
  <si>
    <t>Barker Cypress Rd_12515_Watermark at Grand Cypress_Cypress</t>
  </si>
  <si>
    <t>Law St_3810_Alexan West University_Houston</t>
  </si>
  <si>
    <t>Las Palmas_3237_Willowick Court Redevelopment_Houston</t>
  </si>
  <si>
    <t>Greenville Ave N_NF_GreenVUE_Richardson</t>
  </si>
  <si>
    <t>Lake Ridge Rd_NF_Pine Prairie I_Lewisville</t>
  </si>
  <si>
    <t>Lake Ridge Rd_NF_Pine Prairie II_Lewisville</t>
  </si>
  <si>
    <t>Eldridge Pkwy N_770_Broadstone Energy Corridor_Houston</t>
  </si>
  <si>
    <t>Widnhaven Pkwy_5200_Platinum Castle Hills_Lewisville</t>
  </si>
  <si>
    <t>Main Ave_1415_Tobin Lofts_San Antonio</t>
  </si>
  <si>
    <t>Fairmount St_4110_Forty One Ten Fairmount_Dallas</t>
  </si>
  <si>
    <t>Addison Cir_5001_NF_Addison</t>
  </si>
  <si>
    <t>Greenville Ave S_1451_NF_Allen</t>
  </si>
  <si>
    <t>Benge Dr_816_Heritage-Cj Apt_Arlington</t>
  </si>
  <si>
    <t>Bowen Rd_435_Bowen Square Apts_Arlington</t>
  </si>
  <si>
    <t>Causley_604_Oxford_Arlington</t>
  </si>
  <si>
    <t>3rd St E_111_Center Chase Apts_Arlington</t>
  </si>
  <si>
    <t>Abram St E_2015_Tanglewood Apts_Arlington</t>
  </si>
  <si>
    <t>Abrams E_3232_Silver Belle Apts_Arlington</t>
  </si>
  <si>
    <t>Arkansas Ln E_1010_The Arbors of Arlington_Arlington</t>
  </si>
  <si>
    <t>Park Row E_2411_South Park Apts_Arlington</t>
  </si>
  <si>
    <t>Park Row Dr E_2407_SouthPark Apts_Arlington</t>
  </si>
  <si>
    <t>Third St E_201_Center Chase Apts_Arlington</t>
  </si>
  <si>
    <t>Melrose_1900_Melrose Duplexes_Arlington</t>
  </si>
  <si>
    <t>Oak Manor_2401_NF_Arlington</t>
  </si>
  <si>
    <t>Pioneer Pkwy W_1014_Olive Branch Apts_Arlington</t>
  </si>
  <si>
    <t>Randol Mill Rd W_1736_Wilshire Manor_Arlington</t>
  </si>
  <si>
    <t>Ridge Run Rd_2233_NF_Arlington</t>
  </si>
  <si>
    <t>Center St S_1001_Center Court Apts_Arlington</t>
  </si>
  <si>
    <t>Cooper St S_5200_NF_Arlington</t>
  </si>
  <si>
    <t>Arkansas Ln W_1029_Arbor Terrace_Arlington</t>
  </si>
  <si>
    <t>Boyd Rd_133_Reata West MultiFamily Development_Azle</t>
  </si>
  <si>
    <t>Boston Ave_3510_Boston Apts_Benbrook</t>
  </si>
  <si>
    <t>Cox St_1801_New Orleans of Carrolton_Carrollton</t>
  </si>
  <si>
    <t>Josey Ln S_1920_Fox creek _Carrollton</t>
  </si>
  <si>
    <t>Westcourt Dr_101_Northridge Court Apts_Cleburne</t>
  </si>
  <si>
    <t>Woodard Ave_1661_Cleburne Terrace Apts_Cleburne</t>
  </si>
  <si>
    <t>Woodard Ave_815_The Arbors of Cleburne_Cleburne</t>
  </si>
  <si>
    <t>3218 FM_3301_Bradford Place Apts_Commerce</t>
  </si>
  <si>
    <t>Live Oak_2231_Vinca Apts_Commerce</t>
  </si>
  <si>
    <t>Live Oak St_2224_Ponderosa Apts_Commerce</t>
  </si>
  <si>
    <t>Washington_2309_Regency Square Apts_Commerce</t>
  </si>
  <si>
    <t>Westgate Dr_2458_Village Apts_Commerce</t>
  </si>
  <si>
    <t>Kennedy Dr @ Edison Ln_200_Centennial Place_Crowley</t>
  </si>
  <si>
    <t>52nd St_2607_Oak Glen Apts_Dallas</t>
  </si>
  <si>
    <t>52nd St_2121_Rose Garden_Dallas</t>
  </si>
  <si>
    <t>Amanda Ln_11330_Montecito Creek_Dallas</t>
  </si>
  <si>
    <t>Audelia Rd_12111_NF_Dallas</t>
  </si>
  <si>
    <t>Bonnie View Rd_3823_Bonnie View Apts_Dallas</t>
  </si>
  <si>
    <t>Bonnie View Rd_5821_Highland Hills Apts_Dallas</t>
  </si>
  <si>
    <t>Budtime_10223_NF_Dallas</t>
  </si>
  <si>
    <t>Cedar Springs Rd_4625_Marrakesh &amp; Versailles_Dallas</t>
  </si>
  <si>
    <t>Chapel Creek Dr_3232_Courtney Place Apts_Dallas</t>
  </si>
  <si>
    <t>Chaucer_7575_NF_Dallas</t>
  </si>
  <si>
    <t>Colorado Blvd_2620_Las palmas_Dallas</t>
  </si>
  <si>
    <t>8th St E_321_NF_Dallas</t>
  </si>
  <si>
    <t>RL Thornton Fwy E_7751_La Arboleda_Dallas</t>
  </si>
  <si>
    <t>UNIVERSITY Dr E_5907_Spanish Trace Apts_Dallas</t>
  </si>
  <si>
    <t>Fair Oaks Ave_7502_Sundance Apts_Dallas</t>
  </si>
  <si>
    <t>Fawn Valley Dr_3504_Mesa Ridge_Dallas</t>
  </si>
  <si>
    <t>Ferguson_7323_Cambridge Square Apts_Dallas</t>
  </si>
  <si>
    <t>Ferguson Rd_7621_Casa Nueva Apts_Dallas</t>
  </si>
  <si>
    <t>Forest Ln_9920_Village Oaks Condos_Dallas</t>
  </si>
  <si>
    <t>Hartford_4328_Hartford Apts_Dallas</t>
  </si>
  <si>
    <t>Highland Hills Dr_5850_Highland Hills Apts_Dallas</t>
  </si>
  <si>
    <t>Hillcrest Rd_12660_The Williamsburg_Dallas</t>
  </si>
  <si>
    <t>Horizon Pkwy N_4300_NF_Dallas</t>
  </si>
  <si>
    <t>NW Hwy E_10425_NF_Dallas</t>
  </si>
  <si>
    <t>John Rd W_2800_NF_Dallas</t>
  </si>
  <si>
    <t>Kings Rd_2787_Kings Quarter_Dallas</t>
  </si>
  <si>
    <t>Kings Rd_3102_Piazza Siena_Dallas</t>
  </si>
  <si>
    <t>Kingsley Dr_9707_Highland House_Dallas</t>
  </si>
  <si>
    <t>Lake Highlands Dr E_11115_NF_Dallas</t>
  </si>
  <si>
    <t>Live Oak St_4207_NF_Dallas</t>
  </si>
  <si>
    <t>Luther Ln_5909_The Shelton_Dallas</t>
  </si>
  <si>
    <t>Mccallum Blvd_7220_NF_Dallas</t>
  </si>
  <si>
    <t>Mccallum Blvd_7740_McCallum Glen_Dallas</t>
  </si>
  <si>
    <t>Melody Ln_6347_Santa Fe Trails_Dallas</t>
  </si>
  <si>
    <t>Mt. Raineer_3621_Indian Ridge Apts_Dallas</t>
  </si>
  <si>
    <t>Akard St N_318_Mosaic_Dallas</t>
  </si>
  <si>
    <t>Buckner Blvd N_2714_Timber Park Apts_Dallas</t>
  </si>
  <si>
    <t>Fitzhugh Ave N_2021_N Fitzhugh Apts_Dallas</t>
  </si>
  <si>
    <t>Garrett Ave N_1919_Villa Garrett_Dallas</t>
  </si>
  <si>
    <t>Gilpin Rd N_312_Indian Ridge Apts_Dallas</t>
  </si>
  <si>
    <t>Marsalis Ave N_929_Marsalis Apts_Dallas</t>
  </si>
  <si>
    <t>Plymouth N_640_Northills_Dallas</t>
  </si>
  <si>
    <t>Plymouth Rd N_1305_NF_Dallas</t>
  </si>
  <si>
    <t>NF_NF_Walnut Gardens_Dallas</t>
  </si>
  <si>
    <t>Nogales Dr_3514_Arawak and Granada_Dallas</t>
  </si>
  <si>
    <t>Norwalk_3203_Brooks AH_Dallas</t>
  </si>
  <si>
    <t>Norwalk Ave_3131-3233_Big block_Dallas</t>
  </si>
  <si>
    <t>Norwalk Ave_3233_Norwalk_Dallas</t>
  </si>
  <si>
    <t>Peterson Ln_5423_Peterson Place Apts_Dallas</t>
  </si>
  <si>
    <t>Remond Dr_2928_Remond Cliff Plaza_Dallas</t>
  </si>
  <si>
    <t>Royal Ln_10062_Country Squire_Dallas</t>
  </si>
  <si>
    <t>Barry Ave S_1315_Barrymore Apts_Dallas</t>
  </si>
  <si>
    <t>Cockrell Hill Rd S_4105_Timber Rock Apts_Dallas</t>
  </si>
  <si>
    <t>Hampton Rd S_5000_Hampton Terrace_Dallas</t>
  </si>
  <si>
    <t>Lancaster S_4810_Frances Place_Dallas</t>
  </si>
  <si>
    <t>Polk St S_3425-435_Catalina Court_Dallas</t>
  </si>
  <si>
    <t>Vernon Ave S_3211_Biscayne_Dallas</t>
  </si>
  <si>
    <t>Vernon Ave S_3311_Kiest Park Estates_Dallas</t>
  </si>
  <si>
    <t>Vernon Ave S_3233-3321_Vernon Oaks-Kiest Park Estates_Dallas</t>
  </si>
  <si>
    <t>Shadybrook Ln_6727_Park Vali Hai_Dallas</t>
  </si>
  <si>
    <t>Southland_2202_Palms of Dallas_Dallas</t>
  </si>
  <si>
    <t>Spring Valley_8376_Landmark on the valley_Dallas</t>
  </si>
  <si>
    <t>Springvalley Rd_8360_Brookbend Village_Dallas</t>
  </si>
  <si>
    <t>SPRINGWOOD Ln_3103_Boulder Ridge Apts_Dallas</t>
  </si>
  <si>
    <t>Stevens Forest Dr_1818_Chateau Crete_Dallas</t>
  </si>
  <si>
    <t>Summerwood Cir_9823_NF_Dallas</t>
  </si>
  <si>
    <t>Timberglen Rd_4651_Jefferson at Timberglen_Dallas</t>
  </si>
  <si>
    <t>Timberline Dr_9640_Northwest Crossing_Dallas</t>
  </si>
  <si>
    <t>Vantage Point Dr_9000_Saint Andrews Apts II_Dallas</t>
  </si>
  <si>
    <t>Davis St W_2105_Acorn Tree_Dallas</t>
  </si>
  <si>
    <t>Kiest Blvd W_950_Fredricksburg Apts_Dallas</t>
  </si>
  <si>
    <t>Ledbetter Dr W_2107_Westridge_Dallas</t>
  </si>
  <si>
    <t>Wheatland Rd W_919_Crystal Creek_Dallas</t>
  </si>
  <si>
    <t>Walnut Hill Ln_10850_Principals only Listings_Dallas</t>
  </si>
  <si>
    <t>Webb Chapel Extension_3131_Chapel court_Dallas</t>
  </si>
  <si>
    <t>Welborn St_3111_NF_Dallas</t>
  </si>
  <si>
    <t>Westmount Ave_1248_Mill Run Apts_Dallas</t>
  </si>
  <si>
    <t xml:space="preserve">Bonnie View_3827_Bonnie View Apts_Dallas </t>
  </si>
  <si>
    <t xml:space="preserve">Royal Ln _10028_Kingsborough TH_Dallas </t>
  </si>
  <si>
    <t>Coronado_201_Country Place_Denton</t>
  </si>
  <si>
    <t>Fort Worth Dr_701_Former Home Depot_Denton</t>
  </si>
  <si>
    <t>Londonderry_501_NF_Denton</t>
  </si>
  <si>
    <t>Bell Ave N_2211-2221_Oaklawn Gardens_Denton</t>
  </si>
  <si>
    <t>288 Loop N_307_Singing Oaks_Denton</t>
  </si>
  <si>
    <t>Mayhill S_2601_Pecan Creek_Denton</t>
  </si>
  <si>
    <t>Scripture St_1310_NF_Denton</t>
  </si>
  <si>
    <t>Soledad Dr_5401_Strip Centers in DFW Metroplex_Denton</t>
  </si>
  <si>
    <t>Hickory St W_2211_Hunt Club Apts_Denton</t>
  </si>
  <si>
    <t>Oak St W_1616_NF_Denton</t>
  </si>
  <si>
    <t>Prairie St W_2626_Prairie Hollow_Denton</t>
  </si>
  <si>
    <t>45 IH N _901_Bluebonnet Place_Ennis</t>
  </si>
  <si>
    <t>Biloxi Dr_1001_Townhouse Apts_Ennis</t>
  </si>
  <si>
    <t>Lake Bardwell Dr_1600_Oak Timbers_Ennis</t>
  </si>
  <si>
    <t>Yorkstown Dr_2300_The Willows Apts_Ennis</t>
  </si>
  <si>
    <t>Bear Creek Pkwy_1300_NF_Euless</t>
  </si>
  <si>
    <t>Del Paso_601_Twin Bridge Apts_Euless</t>
  </si>
  <si>
    <t>Norman Dr_304_Southwest Apts_Euless</t>
  </si>
  <si>
    <t>Michael Dr_9301_NF_Everman</t>
  </si>
  <si>
    <t>Michael Dr_9301_Varaison Village Apts_Everman</t>
  </si>
  <si>
    <t>Beaty St_5500_Beaty St. Apts_Fort Worth</t>
  </si>
  <si>
    <t>Ben Day Murrin Rd_5130_Benbrook_Fort Worth</t>
  </si>
  <si>
    <t>Boca Raton Blvd_5416_Hillside View_Fort Worth</t>
  </si>
  <si>
    <t>Bryant Irvin Rd_5255_NF_Fort Worth</t>
  </si>
  <si>
    <t>Calmont Ave_8222_Calmont Villas_Fort Worth</t>
  </si>
  <si>
    <t>Cardinal Wood Ct_6136_NF_Fort Worth</t>
  </si>
  <si>
    <t>Robert St E_1701_Pilgrim Valley Manor_Fort Worth</t>
  </si>
  <si>
    <t>Rosedale E_5320_Ala Casa Apts_Fort Worth</t>
  </si>
  <si>
    <t>Rosedale E_5308_NF_Fort Worth</t>
  </si>
  <si>
    <t>Seminary Dr E_1350_Spanish Gate Apts_Fort Worth</t>
  </si>
  <si>
    <t>Escalante Ave_2333_NF_Fort Worth</t>
  </si>
  <si>
    <t>Handley St_2120_Handley Oaks_Fort Worth</t>
  </si>
  <si>
    <t>Heatherbend_3400_Windsor Park_Fort Worth</t>
  </si>
  <si>
    <t>King George Dr_525_Oaks Apts_Fort Worth</t>
  </si>
  <si>
    <t>Lackland Rd_3223_Lackland Court_Fort Worth</t>
  </si>
  <si>
    <t>Mccurdy St_2400_Park Terrace_Fort Worth</t>
  </si>
  <si>
    <t>Michael Dr_9413_Veraison Village_Fort Worth</t>
  </si>
  <si>
    <t>Milburn St_6025_Cumberland at Ridglea_Fort Worth</t>
  </si>
  <si>
    <t>Normandale St N_8700_Normandale Manor_Fort Worth</t>
  </si>
  <si>
    <t>Oakland Hills_5931_Woodhaven Crossroads_Fort Worth</t>
  </si>
  <si>
    <t>Old Decatur Rd_7001_NF_Fort Worth</t>
  </si>
  <si>
    <t>Parker Henderson Rd_5400_Indian Creek_Fort Worth</t>
  </si>
  <si>
    <t>River Park_3300_Riverpark_Fort Worth</t>
  </si>
  <si>
    <t>Cravens Rd S_4225_Summer Lakes Estates_Fort Worth</t>
  </si>
  <si>
    <t>Normandale St S_8901_NF_Fort Worth</t>
  </si>
  <si>
    <t>Riverside Dr S_2601_NF_Fort Worth</t>
  </si>
  <si>
    <t>7th St W_411_The Neil P. at Burnett Park_Fort Worth</t>
  </si>
  <si>
    <t>Fort Worth W_NF_NF_Fort Worth</t>
  </si>
  <si>
    <t>Weiler_1445_Weiler TH_Fort Worth</t>
  </si>
  <si>
    <t>Wellesley Ave_4700-4724_Hulen Hills Apts_Fort Worth</t>
  </si>
  <si>
    <t>Western Center Blvd_3440_The Club at Fossil Creek_Fort Worth</t>
  </si>
  <si>
    <t>Chaha Rd_4412_NF_Garland</t>
  </si>
  <si>
    <t>Colonel Dr_1245_NF_Garland</t>
  </si>
  <si>
    <t>La Prada Dr_801_NF_Garland</t>
  </si>
  <si>
    <t>Buckingham Rd W_3520_Buckingham Court_Garland</t>
  </si>
  <si>
    <t>Glenn Heights_NF_Glenn Heights Duplex_Glenn Heights</t>
  </si>
  <si>
    <t>Pearl St W_1201_Spanish Oaks Apts_Granbury</t>
  </si>
  <si>
    <t>Dickey Rd_575_Cottonwood Park_Grand Prairie</t>
  </si>
  <si>
    <t>Doreen_2337_Investment Property_Grand Prairie</t>
  </si>
  <si>
    <t>Duncan Perry_NF_NF_Grand Prairie</t>
  </si>
  <si>
    <t>Small Hill Rd_403_Greenhill Apts_Grand Prairie</t>
  </si>
  <si>
    <t>Dickey W_511_Village on the Park_Grand Prairie</t>
  </si>
  <si>
    <t>Anderson Gibson Rd_2650_Grapevine Diamond Condominums_Greenville</t>
  </si>
  <si>
    <t>30 IH_6011_Lakeway Apts_Greenville</t>
  </si>
  <si>
    <t>Jack Finney Blvd_6775_Chalet_Greenville</t>
  </si>
  <si>
    <t>Jack Finney Blvd_6115_Chalet AH_Greenville</t>
  </si>
  <si>
    <t>Joe Ramsey Blvd_5015_Galleria Apts_Greenville</t>
  </si>
  <si>
    <t>Moulton St_4701_Town East Apts_Greenville</t>
  </si>
  <si>
    <t>Joe Ramsey Blvd N_1600_Arbors Apts_Greenville</t>
  </si>
  <si>
    <t>Sayle St_4701_Sayle Gardens Apts_Greenville</t>
  </si>
  <si>
    <t>StoNewall St_6002_Spanish Trace Apts_Greenville</t>
  </si>
  <si>
    <t>Waldemar_4816_Villages of Savannah_Haltom City</t>
  </si>
  <si>
    <t>Cavender Dr_1232_Cavender Manor_Hurst</t>
  </si>
  <si>
    <t>Hurst E_450_Aspen Square Apts_Hurst</t>
  </si>
  <si>
    <t>Norwood Dr_825_Manchester Apts_Hurst</t>
  </si>
  <si>
    <t>Brown Dr_310_Villas Apts_Irving</t>
  </si>
  <si>
    <t>Airport Fwy E_215_America Best Value Inn &amp; Suites_Irving</t>
  </si>
  <si>
    <t>Grauwyler Rd E_801_Kings Manor_Irving</t>
  </si>
  <si>
    <t>Grauwyler Rd E_136_Spanish Trace_Irving</t>
  </si>
  <si>
    <t>Britain Rd N_720_NF_Irving</t>
  </si>
  <si>
    <t>Macarthur Blvd N_9937_NF_Irving</t>
  </si>
  <si>
    <t>Nursery Rd N_1010_Jamestown Colony House_Irving</t>
  </si>
  <si>
    <t>Story Rd N_4000_NF_Irving</t>
  </si>
  <si>
    <t>Nursey Rd N_1025_NF_Irving</t>
  </si>
  <si>
    <t>Pioneer Dr E_1013_Texan_Irving</t>
  </si>
  <si>
    <t>Rock Island_1900_Irving Oaks Apts_Irving</t>
  </si>
  <si>
    <t>Northgate Dr W_3102_NF_Irving</t>
  </si>
  <si>
    <t>Northgate Dr W_3703_NF_Irving</t>
  </si>
  <si>
    <t>Northgate Dr W_4500_NF_Irving</t>
  </si>
  <si>
    <t>Pioneer Dr W_2701_NF_Irving</t>
  </si>
  <si>
    <t>Pioneer Dr W_4500_NF_Irving</t>
  </si>
  <si>
    <t>Pioneer Dr W_3200_Spanish Chase Apts_Irving</t>
  </si>
  <si>
    <t>Pioneer Dr W_722_Tree Country Apts_Irving</t>
  </si>
  <si>
    <t>Walnut Hill Ln W_3101_NF_Irving</t>
  </si>
  <si>
    <t>Walnut Hill Ln W_3501_San Simeon_Irving</t>
  </si>
  <si>
    <t>Willow Creek Dr_3315_Tanner Place Apts_Irving</t>
  </si>
  <si>
    <t>Keller Pkwy_1870_Crosstimbers Office Park_Keller</t>
  </si>
  <si>
    <t>Keller Pkwy_1745_Villages of Tuscany Residences_Keller</t>
  </si>
  <si>
    <t>274 Hwy_18630_The Hamlins @ Cedar Creek_Kemp</t>
  </si>
  <si>
    <t>Masch Branch Rd_4891_Estate Villas_Krum</t>
  </si>
  <si>
    <t>Armstrong Ln_331_Grand Heritage Estates_Lavon</t>
  </si>
  <si>
    <t>Charles St S_1090_St. Charles Place_Lewisville</t>
  </si>
  <si>
    <t>Windhaven Pkwy_2500_Amaranth @544_Lewisville</t>
  </si>
  <si>
    <t>36 SH N_370_NF_Mansfield</t>
  </si>
  <si>
    <t>Custer NE_1_Stonebridge_McKinney</t>
  </si>
  <si>
    <t>Virginia Pkwy_5701_Village of Stone Brooke_McKinney</t>
  </si>
  <si>
    <t>Baker Dr_1802_Baker Square_Mesquite</t>
  </si>
  <si>
    <t>80 US Hwy E_2707_Oakwood Village Apts_Mesquite</t>
  </si>
  <si>
    <t>Hillcrest St_2119_NF_Mesquite</t>
  </si>
  <si>
    <t>Eastridge Dr_721_Timber Oaks Apts_Midlothian</t>
  </si>
  <si>
    <t>26 Blvd_9101_Venue at Hometown_North Richland Hills</t>
  </si>
  <si>
    <t>Thousand Oaks Dr_8435_NF_North Richland Hills</t>
  </si>
  <si>
    <t>Green Tee Dr_3206_Shady Valley Square_Pantego</t>
  </si>
  <si>
    <t>Parker Rd W_4800_Sunrise Of Plano Apts_Plano</t>
  </si>
  <si>
    <t>Spring Creek Pkwy W_1940_Cottonwood Estates_Plano</t>
  </si>
  <si>
    <t>Red Oak Rd W_407_Red Oak Portfolio_Red Oak</t>
  </si>
  <si>
    <t>Cavalier Dr_1400_NF_Richardson</t>
  </si>
  <si>
    <t>Greenside Dr_951_NF_Richardson</t>
  </si>
  <si>
    <t>Star Rd N_3500_NF_Richardson</t>
  </si>
  <si>
    <t>Park Place_6505_Richland Place Apts_Richland Hills</t>
  </si>
  <si>
    <t>Chiesa Rd_7400_Chiesa Estates-Hillcrest_Rowlett</t>
  </si>
  <si>
    <t>Lilian N_805_University Village_Stephenville</t>
  </si>
  <si>
    <t>Bluebonnet W_100_Bluebonnet_Stephenville</t>
  </si>
  <si>
    <t>Swan St W_1400_Royal ManorApts_Stephenville</t>
  </si>
  <si>
    <t>Colquitt Rd_1451_Country Club Manor_Terrell</t>
  </si>
  <si>
    <t>Lovers Ln_100_Virginia Anne Apts_Terrell</t>
  </si>
  <si>
    <t>Mineral Wells St_1001_Texas Apts_Terrell</t>
  </si>
  <si>
    <t>Moore Ave W_2390_Terrell Crossing-Parcel 71_Terrell</t>
  </si>
  <si>
    <t>Cascades Ct_3351_Cascades Lake Towers_Tyler</t>
  </si>
  <si>
    <t>Hogan Dr_4141_NF_Tyler</t>
  </si>
  <si>
    <t>Hollytree Dr_6100_NF_Tyler</t>
  </si>
  <si>
    <t>Old Bullard Rd_3900_NF_Tyler</t>
  </si>
  <si>
    <t>Old Jacksonville Hwy_5348_NF_Tyler</t>
  </si>
  <si>
    <t>Old Omen Rd_4200_NF_Tyler</t>
  </si>
  <si>
    <t>Broadway S_5315_The Village on Broadway_Tyler</t>
  </si>
  <si>
    <t>Shiloh Rd_1717_NF_Tyler</t>
  </si>
  <si>
    <t>Erwin W_2500_Tyler Affordable Living_Tyler</t>
  </si>
  <si>
    <t>Houston St_501_NF_Waxahachie</t>
  </si>
  <si>
    <t>Nandina Way_804_NF_Waxahachie</t>
  </si>
  <si>
    <t>35 IH E S_803_Knights Inn and Suites_Waxahachie</t>
  </si>
  <si>
    <t>Holly Oaks Rd_NF_Holly Oaks Apts_Weatherford</t>
  </si>
  <si>
    <t>Holly Oaks Rd_2101_Residences at Holly Oaks_Weatherford</t>
  </si>
  <si>
    <t>Jameson St_1121_Jameson Street Apts_Weatherford</t>
  </si>
  <si>
    <t>Marilyn St_2216_Parker County Properties_Weatherford</t>
  </si>
  <si>
    <t>Santa Fe Dr_711_Santa Fe Apts_Weatherford</t>
  </si>
  <si>
    <t>Tin Top Rd_2024_Weatherford Town Center Senior Apts_Weatherford</t>
  </si>
  <si>
    <t>Trails Pl_1_Trails Place TH_Wylie</t>
  </si>
  <si>
    <t>Meadow Dr_211_Country Villa Apts_Castroville</t>
  </si>
  <si>
    <t>Friendship Ln_1019_Highland Oaks_Fredericksburg</t>
  </si>
  <si>
    <t>Ave U_2805_Encinito Apts_Hondo</t>
  </si>
  <si>
    <t>Walnut St_155_Blossom Duplexes_Blossom</t>
  </si>
  <si>
    <t>Pecan S_607_Patman Switch_Hughes Springs</t>
  </si>
  <si>
    <t>7th St_635_Westgate Apts_Paris</t>
  </si>
  <si>
    <t>Clarksville_3125_Spanish Oaks_Paris</t>
  </si>
  <si>
    <t>Cherry E_2193_Cherry Street_Paris</t>
  </si>
  <si>
    <t>Lamar Ave_2526_The Regency Apts_Paris</t>
  </si>
  <si>
    <t>Helm Ln_311_Quail Ridge_Sulphur Springs</t>
  </si>
  <si>
    <t>Helm Ln_309_Quail Ridge-Green Tree Apts_Sulphur Springs</t>
  </si>
  <si>
    <t>38.5 St_1230_Silver Ridge Apts_Austin</t>
  </si>
  <si>
    <t>Above Stratford Place_3144_NF_Austin</t>
  </si>
  <si>
    <t>BIRMINGHAM Dr_8750_SECTION 8 PACKAGE_Austin</t>
  </si>
  <si>
    <t>Brownie Dr_10100_NF_Austin</t>
  </si>
  <si>
    <t>Congress Ave_2020_NF_Austin</t>
  </si>
  <si>
    <t>Cougar Dr_5704_Heatherwood_Austin</t>
  </si>
  <si>
    <t>Crossing Place_NF_NF_Austin</t>
  </si>
  <si>
    <t>Cuernavaca_1900_Lake Austin Package_Austin</t>
  </si>
  <si>
    <t>Cypress Creek Rd_NF_NF_Austin</t>
  </si>
  <si>
    <t>40th St E_910_Turnberry_Austin</t>
  </si>
  <si>
    <t>Elmont_2101_Barcelona and Metropolitan Apts_Austin</t>
  </si>
  <si>
    <t>Fairfield Dr_833_Summer Wind Condominiums_Austin</t>
  </si>
  <si>
    <t>620 FM N and Boulder Ln_8801 &amp; 10320_Sonterra_Austin</t>
  </si>
  <si>
    <t>Goodwin Ave_3706_Grant Villas Apts_Austin</t>
  </si>
  <si>
    <t>Hudson Bend Rd_6409_Sanctuary @ Hudson Harbor_Austin</t>
  </si>
  <si>
    <t>Jollyville Rd_11604_NF_Austin</t>
  </si>
  <si>
    <t>Lavaca St_1701_NF_Austin</t>
  </si>
  <si>
    <t>Leon St_2510_NF_Austin</t>
  </si>
  <si>
    <t>Manor Rd_3300_Kensington_Austin</t>
  </si>
  <si>
    <t>Manor Rd_2401_Sea Breeze Apts_Austin</t>
  </si>
  <si>
    <t>Mesa Dr_5815_NF_Austin</t>
  </si>
  <si>
    <t>62 FM N_9715_NF_Austin</t>
  </si>
  <si>
    <t>183 Hwy N_13145_Balcones Ranch_Austin</t>
  </si>
  <si>
    <t>Pearl St_2501_NF_Austin</t>
  </si>
  <si>
    <t>Reinli St_1106_The Legacy Apts_Austin</t>
  </si>
  <si>
    <t>Rio Grande St_2728_NF_Austin</t>
  </si>
  <si>
    <t>Rutland Dr_1727_NF_Austin</t>
  </si>
  <si>
    <t>Salado_2616_Texan West Campus_Austin</t>
  </si>
  <si>
    <t>Springdale Rd_554_Springdale Gardens_Austin</t>
  </si>
  <si>
    <t>Tandem Blvd_14318_NF_Austin</t>
  </si>
  <si>
    <t>Teri Rd_4703_NF_Austin</t>
  </si>
  <si>
    <t>22.5 St W_904_Vintage West Campus_Austin</t>
  </si>
  <si>
    <t>22nd St W_900_Pearl 22_Austin</t>
  </si>
  <si>
    <t>25th St W_708_NF_Austin</t>
  </si>
  <si>
    <t>3rd St W_800_NF_Austin</t>
  </si>
  <si>
    <t>5th St W_1316_NF_Austin</t>
  </si>
  <si>
    <t>Wells Branch Pkwy_2801_IMT Wells Branch_Austin</t>
  </si>
  <si>
    <t>Wickersham_1515_Longhorn Landing_Austin</t>
  </si>
  <si>
    <t>Bowman Dr E_101_Bowman's Walk_Round Rock</t>
  </si>
  <si>
    <t>Aquarena Springs_1623_Spring West-Post Road Place_San Marcos</t>
  </si>
  <si>
    <t>Aquarena Springs Dr_1850_Villagio Student Apts_San Marcos</t>
  </si>
  <si>
    <t>Old Post Rd_1637_Mosscliff Apts_San Marcos</t>
  </si>
  <si>
    <t>Buffalo Gap_2400_Highland Oaks Apts_Abilene</t>
  </si>
  <si>
    <t>Cedar Run Rd_3500_Indian Run_Abilene</t>
  </si>
  <si>
    <t>Curry Ln_3501_Windsor Place_Abilene</t>
  </si>
  <si>
    <t>Denton St_1948_Cedar Creek Apts_Abilene</t>
  </si>
  <si>
    <t>277 Hwy_5249_Mill Creek_Abilene</t>
  </si>
  <si>
    <t>Justice Way_1000_Country Place Apts_Abilene</t>
  </si>
  <si>
    <t>Musken Rd_1111_Riatta Ranch_Abilene</t>
  </si>
  <si>
    <t>3rd N_3201_Landmark Properties_Abilene</t>
  </si>
  <si>
    <t>Willis N_2410_Willow Park_Abilene</t>
  </si>
  <si>
    <t>Nonesuch Rd_2601_Fairmont Apts_Abilene</t>
  </si>
  <si>
    <t>Nonesuch Rd_2500_Pine Meadows Apts_Abilene</t>
  </si>
  <si>
    <t>25th St S_2800_Bent Tree Apts_Abilene</t>
  </si>
  <si>
    <t>Clack St S_1000_Pebble Creek_Abilene</t>
  </si>
  <si>
    <t>Leggett S_610_The Chaparral_Abilene</t>
  </si>
  <si>
    <t>SW Dr_2701_Royale Orleans Apts_Abilene</t>
  </si>
  <si>
    <t>Texas Ave_5450_Hunter's Ridge_Abilene</t>
  </si>
  <si>
    <t>Lookout Ridge Blvd_201_Lookout Ridge Apts_Harker Heights</t>
  </si>
  <si>
    <t>Cunningham Rd_2710_The Bridgemoor At Killeen_Killeen</t>
  </si>
  <si>
    <t>18th St N_1105_Willowwood Apts_Killeen</t>
  </si>
  <si>
    <t>Twin Creek Dr N_1001_Remington_Killeen</t>
  </si>
  <si>
    <t>440 Old FM Rd_1121_Ashton Park_Killeen</t>
  </si>
  <si>
    <t>Terrace Dr_1701_Terrace Heights Apts_Killeen</t>
  </si>
  <si>
    <t>Trimmier Rd_2700_Stone Creek Apts_Killeen</t>
  </si>
  <si>
    <t>Westfield Blvd_463_Pecan Pointe_Killeen</t>
  </si>
  <si>
    <t>Antelope Trl_3007_WESTGATE Apts_Temple</t>
  </si>
  <si>
    <t>Fryers Creek &amp; 5th St S_400 &amp; 2115_C&amp;C Apts_Temple</t>
  </si>
  <si>
    <t>Marlandwood Rd_1810_The Village Apts_Temple</t>
  </si>
  <si>
    <t>39th St S_2602_The Glen_Temple</t>
  </si>
  <si>
    <t>Thornton Ln_3320_Holly Oaks_Temple</t>
  </si>
  <si>
    <t>Adams Ave W_4102_The Bluffs_Temple</t>
  </si>
  <si>
    <t>Elm Ave W_620_Temple Gardens Apts_Temple</t>
  </si>
  <si>
    <t>Woodbridge Blvd_202_Woodbridge Crossing_Temple</t>
  </si>
  <si>
    <t>Ransom Rd E_203_Bayshore and Rockport_Aransas Pass</t>
  </si>
  <si>
    <t>McMullen_2001_Windy Shores_Aransas Pass</t>
  </si>
  <si>
    <t>Saint Mary's St N_4000_Imperial Apts_Beeville</t>
  </si>
  <si>
    <t>Barry St_802_Woodbury Apts_Corpus Christi</t>
  </si>
  <si>
    <t>Cimarron Blvd_3701_Lipes Apts_Corpus Christi</t>
  </si>
  <si>
    <t>Corona Dr_4502_Embassy House_Corpus Christi</t>
  </si>
  <si>
    <t>Ennis Joslin Rd_1701_Alta Bayside_Corpus Christi</t>
  </si>
  <si>
    <t>Everhart Rd_6730_Valhalla Aparmtnets_Corpus Christi</t>
  </si>
  <si>
    <t>Hancock_522_Bay Vista_Corpus Christi</t>
  </si>
  <si>
    <t>Kostoryz_4625_Gaslight Apts_Corpus Christi</t>
  </si>
  <si>
    <t>Ocean Dr_4222_Resort By The Sea Apts_Corpus Christi</t>
  </si>
  <si>
    <t>Patti Dr_6533_Gulf Breeze_Corpus Christi</t>
  </si>
  <si>
    <t>Alameda St S_3401_Cathedral of the Palms_Corpus Christi</t>
  </si>
  <si>
    <t>Alameda St S_5525_Islander Village_Corpus Christi</t>
  </si>
  <si>
    <t>Saratoga Blvd_5701_Reserve at Saratoga_Corpus Christi</t>
  </si>
  <si>
    <t>Schanen Blvd_4040_The Park Apts_Corpus Christi</t>
  </si>
  <si>
    <t>Weber Rd_5901_Paradise Bay_Corpus Christi</t>
  </si>
  <si>
    <t>Whitecap Blvd_14721_Beach Club Condominiums_Corpus Christi</t>
  </si>
  <si>
    <t>Williams Dr_5701_Arrowsmith Apts_Corpus Christi</t>
  </si>
  <si>
    <t>Wood River Dr_4021_Wood River_Corpus Christi</t>
  </si>
  <si>
    <t>Wooldridge Rd_5757_The Oasis_Corpus Christi</t>
  </si>
  <si>
    <t>Caesar St E_1201_Kingsville Pointe_Kingsville</t>
  </si>
  <si>
    <t>Brahma S_2901_Bordeaux Apts_Kingsville</t>
  </si>
  <si>
    <t>Corral Ave W_1100_University Square_Kingsville</t>
  </si>
  <si>
    <t>Corral St W_1300_NF_Kingsville</t>
  </si>
  <si>
    <t>Cimmarron_1617_Sun Valley Apts_Portland</t>
  </si>
  <si>
    <t>College Hills Blvd_2431_Arroyo Square Apts_San Angelo</t>
  </si>
  <si>
    <t>Glenna Dr_329_West Gate Villa Apts_San Angelo</t>
  </si>
  <si>
    <t>Lincoln_1818_University Park Apts_San Angelo</t>
  </si>
  <si>
    <t>Millbrook Dr_3426_College Hills West_San Angelo</t>
  </si>
  <si>
    <t>Raney St_1929_Windmill Apts_San Angelo</t>
  </si>
  <si>
    <t>Smith Blvd_555_Willow Run_San Angelo</t>
  </si>
  <si>
    <t>Sunset Dr_2901_Newport Village_San Angelo</t>
  </si>
  <si>
    <t>Shepherd W_101_Angelina House_Lufkin</t>
  </si>
  <si>
    <t>University N_2614_Woodforest_Nacogdoches</t>
  </si>
  <si>
    <t>Starr_1710_Chevy Chase Apts_Nacogdoches</t>
  </si>
  <si>
    <t>Corsicana St E_900_Athena Gardens_Athens</t>
  </si>
  <si>
    <t>Fordall W_900_Point North_Henderson</t>
  </si>
  <si>
    <t>Canada St_701 &amp; 645_Little Creek Apts_Jacksonville</t>
  </si>
  <si>
    <t>Jackson St N_1011_Sweet Union Apts_Jacksonville</t>
  </si>
  <si>
    <t>Danville Rd S_1000_Stoneridge Apts_Kilgore</t>
  </si>
  <si>
    <t>Bill Owens Pkwy_2801_Hunters Crossing_Longview</t>
  </si>
  <si>
    <t>Hawkins Pkwy E_115_Longfellow Arms_Longview</t>
  </si>
  <si>
    <t>Hawkins Pkwy E_110_Summer Green_Longview</t>
  </si>
  <si>
    <t>Eden Dr_203_WILLIAM TELL Apts_Longview</t>
  </si>
  <si>
    <t>McCann Rd_2900_Mill Park_Longview</t>
  </si>
  <si>
    <t>Eastman Rd N_2500_North Huntington Hills Apts_Longview</t>
  </si>
  <si>
    <t>259 Hwy N_3401_The Reserve_Longview</t>
  </si>
  <si>
    <t>Pine Tree Rd_803_Longview Multi Family Group_Longview</t>
  </si>
  <si>
    <t>Green St S_717_Village South_Longview</t>
  </si>
  <si>
    <t>Scenic Dr_502_Penwood Apts_Longview</t>
  </si>
  <si>
    <t>Thelma Dr_100-115_Pine Tree Duplexes_Longview</t>
  </si>
  <si>
    <t>Avalon Ave W_600_The Tree House Apts_Longview</t>
  </si>
  <si>
    <t>Hawkins Pkwy W_301_Misty Ridge_Longview</t>
  </si>
  <si>
    <t>Victory Rd_2800_Oak Manor Apts_Marshall</t>
  </si>
  <si>
    <t>Pinecrest Dr W_2107_Seven Keys Apts_Marshall</t>
  </si>
  <si>
    <t>Sugar Ln_1020_Timbercrest Apts_Palestine</t>
  </si>
  <si>
    <t>Sugar Ln_1010_Whispering Pines_Palestine</t>
  </si>
  <si>
    <t>Airline Rd E_3207_Stratford Place_Victoria</t>
  </si>
  <si>
    <t>Colorado E_1810_Carriage Park_Victoria</t>
  </si>
  <si>
    <t>Fillmore Ave_607_Sage Creek_Victoria</t>
  </si>
  <si>
    <t>Ben Jordan St N_2107_Town Park Apts_Victoria</t>
  </si>
  <si>
    <t>Sam Houston_2008_Fox Run Apts_Victoria</t>
  </si>
  <si>
    <t>Sam Houston Dr_1906_Mosswood_Victoria</t>
  </si>
  <si>
    <t>Victoria Station Dr_1701_Victoria Station Apts_Victoria</t>
  </si>
  <si>
    <t>Mckinney S_604_NF_Mexia</t>
  </si>
  <si>
    <t>3rd S_2513_University Woods I &amp; II_Waco</t>
  </si>
  <si>
    <t>Austin Ave_400_Former Regis-St. Elizabeth_Waco</t>
  </si>
  <si>
    <t>Bagby Ave_5210_The Residence at Central Texas Marketplace_Waco</t>
  </si>
  <si>
    <t>China Spring Rd_9900_The Riviera Apts_Waco</t>
  </si>
  <si>
    <t>Hawthorne Dr_5100_Ashton Oaks Apts_Waco</t>
  </si>
  <si>
    <t>Hodde Dr_4722_Moderno Vivo Apts_Waco</t>
  </si>
  <si>
    <t>Lake Shore Dr_1600_Lakeshore North_Waco</t>
  </si>
  <si>
    <t>Hewitt Dr N_620_Four Seasons_Waco</t>
  </si>
  <si>
    <t>Hewitt Dr N_509_Meadow Park_Waco</t>
  </si>
  <si>
    <t>Valley Mills Dr N_1001_Valley Terrace Apts_Waco</t>
  </si>
  <si>
    <t>Neil Dr_728_Villa Victoria_Waco</t>
  </si>
  <si>
    <t>Owen Ln_410_Baxter Crossing_Waco</t>
  </si>
  <si>
    <t>Owen Ln_416_Fleetwood Square_Waco</t>
  </si>
  <si>
    <t>Primrose Dr_1800_Arlington Farms_Waco</t>
  </si>
  <si>
    <t>Rambler Dr_800_Oaktree Apts_Waco</t>
  </si>
  <si>
    <t>Richland Dr_344_Landmark Apts_Waco</t>
  </si>
  <si>
    <t>Richter_1901_Southwind Apts_Waco</t>
  </si>
  <si>
    <t>21st St S_2425_Blair's Cove Apts_Waco</t>
  </si>
  <si>
    <t>4th St S_219_Behrens Lofts_Waco</t>
  </si>
  <si>
    <t>Sanger_7301_Madeira Apts_Waco</t>
  </si>
  <si>
    <t>Sanger Ave_5101_Sandstone Apts_Waco</t>
  </si>
  <si>
    <t>Sanger Ave_4801_Towne Oaks_Waco</t>
  </si>
  <si>
    <t>Spring St_1601_Former Pecan Gardens_Waco</t>
  </si>
  <si>
    <t>Brookview W_3426_Brookview Hills Apts_Waco</t>
  </si>
  <si>
    <t>Western Oaks Dr_1500_Woodway Park Condominiums_Waco</t>
  </si>
  <si>
    <t>Westview Dr_700_NF_Waco</t>
  </si>
  <si>
    <t>1960 FM E_7840_NF_Atascocita</t>
  </si>
  <si>
    <t>Northwood_1300_Lakeview Terrace_Baytown</t>
  </si>
  <si>
    <t>Northwood Dr_813_Bay Pointe Apts_Baytown</t>
  </si>
  <si>
    <t>Finfeather Rd_3200_Avalon Apts_Bryan</t>
  </si>
  <si>
    <t>Hollow Hill Dr_1512_Autumn Woods_Bryan</t>
  </si>
  <si>
    <t>Lynn St_208_Costa Mesa Residences_Bryan</t>
  </si>
  <si>
    <t>Silver Spur Cir_2903_Forest Creek_Bryan</t>
  </si>
  <si>
    <t>Hackberry_202_Oak Park_Clute</t>
  </si>
  <si>
    <t>Dartmouth_1903_Park Side Villas_College Station</t>
  </si>
  <si>
    <t>SW Pkwy_205_Copper Creek Apts_College Station</t>
  </si>
  <si>
    <t>517 FM_5301_Green River TH_Dickinson</t>
  </si>
  <si>
    <t>517 Hwy_5425_Wise Investments_Dickinson</t>
  </si>
  <si>
    <t>37th St_705_NF_Galveston</t>
  </si>
  <si>
    <t>Moody Ave_302_Moody Plaza_Galveston</t>
  </si>
  <si>
    <t>Autumn Wood_805_New Apts_Houston</t>
  </si>
  <si>
    <t>BARRINGER_647_NF_Houston</t>
  </si>
  <si>
    <t>Birdwood_9600_Spring Creek Apt_Houston</t>
  </si>
  <si>
    <t>Bissonnet_9800_Houston Bayou Apt_Houston</t>
  </si>
  <si>
    <t>Braeswood Park_2255_Braeswood Park_Houston</t>
  </si>
  <si>
    <t>Breen_5705_NF_Houston</t>
  </si>
  <si>
    <t>Cedar Post_1207_CEDAR BRANCH_Houston</t>
  </si>
  <si>
    <t>Chenevert_21_NF_Houston</t>
  </si>
  <si>
    <t>Clarke Springs Dr_15706_Clarke Springs_Houston</t>
  </si>
  <si>
    <t>Cotillion Dr_16000_Siena Villas Condominiums_Houston</t>
  </si>
  <si>
    <t>Houston Rd E_7600_NF_Houston</t>
  </si>
  <si>
    <t>El Camino Real_16401_NF_Houston</t>
  </si>
  <si>
    <t>Gessner Rd S_8200_NF_Houston</t>
  </si>
  <si>
    <t>Green Plaza Dr_1141_Walnut Creek Apts_Houston</t>
  </si>
  <si>
    <t>Hammerly Blvd_8797_Hammerly Oaks_houston</t>
  </si>
  <si>
    <t>10 IH_46300_Bank Financed Apts_Houston</t>
  </si>
  <si>
    <t>45 IH S @ Cullen_3815_University Park_Houston</t>
  </si>
  <si>
    <t>Kuykendahl Rd_13110_The Vanderbilt_Houston</t>
  </si>
  <si>
    <t>Lucore_10200_Deerwood in the Park_Houston</t>
  </si>
  <si>
    <t>Memorial Ct_3300_The Quarters at Memorial_Houston</t>
  </si>
  <si>
    <t>Memorial Dr_5292_Park Memorial_Houston</t>
  </si>
  <si>
    <t>Mesa_1111_Garden Apts_Houston</t>
  </si>
  <si>
    <t>Shepherd Dr N_3405_Garden Oaks Condos_Houston</t>
  </si>
  <si>
    <t>Nathaniel_9220_Indigo Falls_Houston</t>
  </si>
  <si>
    <t>Plaza Verde Dr_202-218_North Village Green Condos_HOUSTON</t>
  </si>
  <si>
    <t>Ranchester_6200_Hamilton Court_Houston</t>
  </si>
  <si>
    <t>Rolido Dr_2801_Rolido Parque_Houston</t>
  </si>
  <si>
    <t>Rookin_6500_Windsor Place Care Center_Houston</t>
  </si>
  <si>
    <t>Gessner S_7415_Summerfield Apts_Houston</t>
  </si>
  <si>
    <t>Green Dr S_12601_NF_Houston</t>
  </si>
  <si>
    <t>Saint Joseph Pkwy_801_Former Days Inn-vacant_Houston</t>
  </si>
  <si>
    <t>Scott St_7006_Southlawn Palms_Houston</t>
  </si>
  <si>
    <t>Houston SE_123_NF_Houston</t>
  </si>
  <si>
    <t>Space Center Blvd_16200_Retreat of Clear Lake_Houston</t>
  </si>
  <si>
    <t>Sunnyside St_200_La Casita_Houston</t>
  </si>
  <si>
    <t>SW Fwy_6910_ARENA GARDENS_Houston</t>
  </si>
  <si>
    <t>Texas Ave_1114_Downtown Houston_Houston</t>
  </si>
  <si>
    <t>Ticonderoga_13016_Ticonderoga Pines_Houston</t>
  </si>
  <si>
    <t>Tierwester_7812_Tierwester Village Apts_Houston</t>
  </si>
  <si>
    <t>Town Park Dr_8721_NF_Houston</t>
  </si>
  <si>
    <t>Travis_2100_Central Square Plaza_Houston</t>
  </si>
  <si>
    <t>Alabama St W_1701_NF_Houston</t>
  </si>
  <si>
    <t>Little York W_3434_Oak Villa Apts_Houston</t>
  </si>
  <si>
    <t>Walker St_1121_Melrose Building_Houston</t>
  </si>
  <si>
    <t>White Oak Dr_2222_NF_Houston</t>
  </si>
  <si>
    <t>Windrush_1_NF_Houston</t>
  </si>
  <si>
    <t>Windwater Dr_9757_The Windwater at Windmill Lakes_houston</t>
  </si>
  <si>
    <t>Wirt Rd_7000_Residences_Houston</t>
  </si>
  <si>
    <t>El Camino Real_16201_Chateaux Dijon_Houston</t>
  </si>
  <si>
    <t>Grand Colony Dr_5906_Greenhouse Villas_Katy</t>
  </si>
  <si>
    <t>Kingsland_21077_Westbrooke Apts_Katy</t>
  </si>
  <si>
    <t>Johnson N_106_Shady Oaks Apts_Pasadena</t>
  </si>
  <si>
    <t>Richey S_407_Compton Court_Pasadena</t>
  </si>
  <si>
    <t>Valley Ranch Crossing Dr_21899_The Villas at Valley Ranch_Porter</t>
  </si>
  <si>
    <t>Emmett F Lowery Expwy_8601_Oaks at Texas City AH_Texas City</t>
  </si>
  <si>
    <t>Lovett_1159_NF_Tomball</t>
  </si>
  <si>
    <t>Ave F_5001_Baybrook_Bay City</t>
  </si>
  <si>
    <t>Baywood Dr_1700_Baywood Square_Bay City</t>
  </si>
  <si>
    <t>Hamman_2300_Wildwood Apts_Bay City</t>
  </si>
  <si>
    <t>Hamman Rd_1909_Riverway Apts_Bay City</t>
  </si>
  <si>
    <t>Waring E_704_Brookhollow_Dayton</t>
  </si>
  <si>
    <t>Nasa Pkwy_4011_The Lighthouse at 4011_El Lago</t>
  </si>
  <si>
    <t>Brazos Dr_1440_Brazos Apts_Huntsville</t>
  </si>
  <si>
    <t>20th St_2002_Huntsville Apts_Huntsville</t>
  </si>
  <si>
    <t>Bobby K Marks Dr_2209_Cornerstone_Huntsville</t>
  </si>
  <si>
    <t>45 IH_1301_Texas Apt Complex_Huntsville</t>
  </si>
  <si>
    <t>Josey St_1235_Woodcreek_Huntsville</t>
  </si>
  <si>
    <t>Lake Rd_2450_Huntsville Apt Complexes_Huntsville</t>
  </si>
  <si>
    <t>High Point St_23242_NF_Prairie View</t>
  </si>
  <si>
    <t>Ave F_2001_Greenbriar_Wharton</t>
  </si>
  <si>
    <t>Stadium Rd_1823_Mill Creek_Wharton</t>
  </si>
  <si>
    <t>802 FM_2700_La Mansion_Brownsville</t>
  </si>
  <si>
    <t>Parades Line Rd_605_Brandywyne Apts_Brownsville</t>
  </si>
  <si>
    <t>Washington E_1802-1804_Casa Granda Apts_Harlingen</t>
  </si>
  <si>
    <t>Glasscock St_4402_Somerset Apts_Harlingen</t>
  </si>
  <si>
    <t>Haine Dr_2901_Sierra_Harlingen</t>
  </si>
  <si>
    <t>Morgan Blvd_1410_Spring Creek_Harlingen</t>
  </si>
  <si>
    <t>499 Loop S_902_Oak Terrace_Harlingen</t>
  </si>
  <si>
    <t>Sam Houston_1501_Palm Terrace Apts_Harlingen</t>
  </si>
  <si>
    <t>Bales Rd_700_Plaza Royale Apts_McAllen</t>
  </si>
  <si>
    <t>Bicentennial Blvd_3601_Vintage Square_McAllen</t>
  </si>
  <si>
    <t>Eighth E_3101_Greens Pointe Apts_McAllen</t>
  </si>
  <si>
    <t>Quamasia E_121_Villas de Nolana_McAllen</t>
  </si>
  <si>
    <t>I Rd N_2501_Clocktower Village_McAllen</t>
  </si>
  <si>
    <t>2nd St N_1101_Tamarack Apts_McAllen</t>
  </si>
  <si>
    <t>Main St N_4210_Paradise Village Apts_McAllen</t>
  </si>
  <si>
    <t>Second St N_1901_Tamarack Apts_McAllen</t>
  </si>
  <si>
    <t>Nolana Ave_1200_Nolana Apts_McAllen</t>
  </si>
  <si>
    <t>Tamarack Ave_1600_El Camino Real Apts_McAllen</t>
  </si>
  <si>
    <t>Plantation Grove Blvd_3807_Las Misiones Apts_Mission</t>
  </si>
  <si>
    <t>Oak Hollow_20502_Stone Oak TH_Harlingen</t>
  </si>
  <si>
    <t>Veterans Blvd N_1925_Holly AH_Eagle Pass</t>
  </si>
  <si>
    <t>Cherokee Trl_120_Krystal Plex Apts_Texarkana</t>
  </si>
  <si>
    <t>College Dr_1023_The Woodlands_Texarkana</t>
  </si>
  <si>
    <t>Kennedy Ln_2605_Forest Point Apts_Texarkana</t>
  </si>
  <si>
    <t>Richmond Rd_5911_Legacy at Pleasant Grove_Texarkana</t>
  </si>
  <si>
    <t>Richmond Rd_1915_Three Fountains Apts_Texarkana</t>
  </si>
  <si>
    <t>Westlawn Dr_425_Westlawn Apts_Texarkana</t>
  </si>
  <si>
    <t>32nd St R_1601_NF_Wichita Falls</t>
  </si>
  <si>
    <t>Airport Dr_901_NF_Wichita Falls</t>
  </si>
  <si>
    <t>Archer City Hwy_1501_NF_Wichita Falls</t>
  </si>
  <si>
    <t>Barnett Rd_4516_NF_Wichita Falls</t>
  </si>
  <si>
    <t>Barnett Rd_4540_NF_Wichita Falls</t>
  </si>
  <si>
    <t>Barnett Rd_4835_NF_Wichita Falls</t>
  </si>
  <si>
    <t>Barnett Rd_3919_Wellington on the lake_Wichita Falls</t>
  </si>
  <si>
    <t>Brookdale Dr_4800_Parkway Villas_Wichita Falls</t>
  </si>
  <si>
    <t>Cedar Elm_4201_French Quarter Apts_Wichita Falls</t>
  </si>
  <si>
    <t>Central Fwy_5635_NF_Wichita Falls</t>
  </si>
  <si>
    <t>Central Fwy N_5601_Northpark Village Apts_Wichita Falls</t>
  </si>
  <si>
    <t>Johnson Rd_4806_Westmoreland Park Apts_Wichita Falls</t>
  </si>
  <si>
    <t>Kemp Blvd_3001_NF_Wichita Falls</t>
  </si>
  <si>
    <t>Lake Park Dr_5005_NF_Wichita Falls</t>
  </si>
  <si>
    <t>Maplewood Ave_4515_NF_Wichita Falls</t>
  </si>
  <si>
    <t>Nunneley Place_1510_Lincoln Heights Apts_Wichita Falls</t>
  </si>
  <si>
    <t>Pearlie Dr_1701_Sheppard's Edge Apts_Wichita Falls</t>
  </si>
  <si>
    <t>Professional Dr_5228_NF_Wichita Falls</t>
  </si>
  <si>
    <t>Professional Dr_5282_NF_Wichita Falls</t>
  </si>
  <si>
    <t>Professional Dr_5300_NF_Wichita Falls</t>
  </si>
  <si>
    <t>Professional Dr_5500_NF_Wichita Falls</t>
  </si>
  <si>
    <t>Redwood Ave_1001_NF_Wichita Falls</t>
  </si>
  <si>
    <t>Ridgeway_1200_NF_Wichita Falls</t>
  </si>
  <si>
    <t>Santa Fe St_2010 &amp; 2020_The Highlander &amp; Santa Fe Village_Wichita Falls</t>
  </si>
  <si>
    <t>Seabury Dr_4200_NF_Wichita Falls</t>
  </si>
  <si>
    <t>SW Pkwy_2612_The Elms_Wichita Falls</t>
  </si>
  <si>
    <t>Taft Blvd_4011_NF_Wichita Falls</t>
  </si>
  <si>
    <t>Taft Blvd_4021_NF_Wichita Falls</t>
  </si>
  <si>
    <t>Taft Blvd_4700_Colony Park Apts_Wichita Falls</t>
  </si>
  <si>
    <t>Taft Blvd_4709_Southern Oaks_Wichita Falls</t>
  </si>
  <si>
    <t>Taft Blvd_5021_Stone Creek Ranch_Wichita Falls</t>
  </si>
  <si>
    <t>Tower Dr A_5210_Fountaingate AH_Wichita Falls</t>
  </si>
  <si>
    <t>Trout St_1520_Casa Manana_Wichita Falls</t>
  </si>
  <si>
    <t>Rathgeber Rd W_1727_Parkstone Senior Village_Wichita Falls</t>
  </si>
  <si>
    <t>Weeks Park Ln_4100_NF_Wichita Falls</t>
  </si>
  <si>
    <t>Second St NE_3001_Spanish Trace Apts_Mineral Wells</t>
  </si>
  <si>
    <t>Bell St_1524_Bell Plaza_Amarillo</t>
  </si>
  <si>
    <t>Bell St_1550_Brighton Court_Amarillo</t>
  </si>
  <si>
    <t>Plum Creek_6600_Quail Creek Aparments_Amarillo</t>
  </si>
  <si>
    <t>Polk St S_724_Loft Conversion Opportunity_Amarillo</t>
  </si>
  <si>
    <t>Williams St S_1212_Amarillo Gardens_Amarillo</t>
  </si>
  <si>
    <t>Blake Ave_6302_Arden Ridge Apts_Amarillo</t>
  </si>
  <si>
    <t>Paramount Terrace_4210_Paramount Terrace_Amarillo</t>
  </si>
  <si>
    <t>Bell S_5601_Red Oak Ranch Apts_Amarillo</t>
  </si>
  <si>
    <t>Bell S_3920_The Crossings at Bell_Amarillo</t>
  </si>
  <si>
    <t>Coulter St S_3420_Chasewood Apts_Amarillo</t>
  </si>
  <si>
    <t>Virginia St S_4515_The Lighthouse_Amarillo</t>
  </si>
  <si>
    <t>Western S_3318_Heritage House Apts_Amarillo</t>
  </si>
  <si>
    <t>27th Ave W_3100_Colonial Arms-Jamestown_Amarillo</t>
  </si>
  <si>
    <t>27th Ave W_3003_Greenbriar Terrace Apts_Amarillo</t>
  </si>
  <si>
    <t>51st St W_4301_Westbridge Square_Amarillo</t>
  </si>
  <si>
    <t>Cottonwood Ln_10_Cimarron Apts_Canyon</t>
  </si>
  <si>
    <t>Maddox S_1301_Jasmine Apts_Dumas</t>
  </si>
  <si>
    <t>6th St E_1425_Ponderosa_Big Spring</t>
  </si>
  <si>
    <t>Bromley Place_3200_Vantage at Midland_Midland</t>
  </si>
  <si>
    <t>Midland Dr N_3101_CORNERSTONE Apts_Midland</t>
  </si>
  <si>
    <t>Midland Dr N_1902_Hunters Glen Apts_Midland</t>
  </si>
  <si>
    <t>Midland Dr N_3001_Quail Hollow Apts_Midland</t>
  </si>
  <si>
    <t>Tremont_5216_Treemont Apts_Midland</t>
  </si>
  <si>
    <t>Andrews Hwy_9100_Sunset_Odessa</t>
  </si>
  <si>
    <t>50th St E_4100_Windchase Apts_Odessa</t>
  </si>
  <si>
    <t>8th St E_2735_Southgate_Odessa</t>
  </si>
  <si>
    <t>Texas St N_4560_LaPromesa Apts_Odessa</t>
  </si>
  <si>
    <t>Oakwood Dr_4600_Peppertree and Spanish Oaks Apts_Odessa</t>
  </si>
  <si>
    <t>Rocky Ln Rd_2201_Sunchase Apts_Odessa</t>
  </si>
  <si>
    <t>Tanglewood Ln_5050_The Woodlands of Odessa_Odessa</t>
  </si>
  <si>
    <t>Alto Rey Ave_6938_Park Ridge Apts_El Paso</t>
  </si>
  <si>
    <t>Argonaut St_213_Argonaut Heights_El Paso</t>
  </si>
  <si>
    <t>Desert Pass St_200_Legends of El Paso_El Paso</t>
  </si>
  <si>
    <t>Dyer St_9550_Raintree Village Apts_El Paso</t>
  </si>
  <si>
    <t>Fairbanks Dr_5205_Rushfair Villa_El Paso</t>
  </si>
  <si>
    <t>Magruder_1500_Mountain View at Southgate_El Paso</t>
  </si>
  <si>
    <t>McCombs St_9960_Autumn Manor Apts_El Paso</t>
  </si>
  <si>
    <t>Morehead Ave_2500-2624_Mountain Shadow_El Paso</t>
  </si>
  <si>
    <t>Lee Trevino N_1750_Fairway View Estates_El Paso</t>
  </si>
  <si>
    <t>Rubin Ct_500_Las Lomas_El Paso</t>
  </si>
  <si>
    <t>Belvidere S_200_Legends of el Paso_El Paso</t>
  </si>
  <si>
    <t>Mesa HillS Dr S_601_Ryan's Mill_El Paso</t>
  </si>
  <si>
    <t>Mesa Hills Dr S_415_The Tuscany at Mesa Hills_El Paso</t>
  </si>
  <si>
    <t>Mesa Hills Dr S_734_West Town Apts_El Paso</t>
  </si>
  <si>
    <t>Schuster Ave_300_Williamsburg Apt Group_El Paso</t>
  </si>
  <si>
    <t>Shadow Mountain Dr_272_Coronado Hills Resort_El Paso</t>
  </si>
  <si>
    <t>Trawood Dr_2990_The Wind Tree Apts_El Paso</t>
  </si>
  <si>
    <t>Viscount Blvd_7900_Arbor Vista_El Paso</t>
  </si>
  <si>
    <t>Vista Del Sol_10701_Ridgemar Apts_El Paso</t>
  </si>
  <si>
    <t>Zion St_3334_Mountain Plaza_El Paso</t>
  </si>
  <si>
    <t>Jon Cunningham Blvd_4495_North Hills Village_El Paso</t>
  </si>
  <si>
    <t>Will Ruth_5757_Mountain Vista_El Paso</t>
  </si>
  <si>
    <t>Medical Dr_150_The Woodland_Boerne</t>
  </si>
  <si>
    <t>Bandera Hwy_1300_River Hills_Kerrville</t>
  </si>
  <si>
    <t>306 FM_520_La Sierra Apts_New Braunfels</t>
  </si>
  <si>
    <t>Alamo_105_The Gibbs Building_San Antonio</t>
  </si>
  <si>
    <t>Commerce E_3735_NF_San Antonio</t>
  </si>
  <si>
    <t>Grayson E_819_Grayson Terrace_San Antonio</t>
  </si>
  <si>
    <t>1604 Loop N E_13101_Hawthorn Suites-San Antonio NE_San Antonio</t>
  </si>
  <si>
    <t>Everest St_335_Dijon West Apts_San Antonio</t>
  </si>
  <si>
    <t>Expo Blvd_11327_Four Oaks Tower_San Antonio</t>
  </si>
  <si>
    <t>Hillcrest_2822_Hillcrest II_San Antonio</t>
  </si>
  <si>
    <t>Hillcrest Dr_2903_Hillcrest Apts_San Antonio</t>
  </si>
  <si>
    <t>10 IH W_6945_Alegria Del Sol_San Antonio</t>
  </si>
  <si>
    <t>Montrose_436_Montrose II_San Antonio</t>
  </si>
  <si>
    <t>Pkwy Dr_4407_Parkway Apts_San Antonio</t>
  </si>
  <si>
    <t>Rowley Rd_5455_La Normandie Condominium Project_San Antonio</t>
  </si>
  <si>
    <t>Vance Jackson Rd_12205_NF_San Antonio</t>
  </si>
  <si>
    <t>Vanderheck Blvd_116_Sunset Ridge_San Antonio</t>
  </si>
  <si>
    <t>Wildflower_5042_Regency Manor Apts_San Antonio</t>
  </si>
  <si>
    <t>La Cantera Pkwy_16985_NF_San Antonio</t>
  </si>
  <si>
    <t>123 Hwy Bypass N_3063_The Ranch at State Hwy. 123_Seguin</t>
  </si>
  <si>
    <t>Corner Stone Ct_1605_Cypress Bend_Beaumont</t>
  </si>
  <si>
    <t>Dowlen Rd_520_Greentree Village_Beaumont</t>
  </si>
  <si>
    <t>Folsom_5550_Regency Place_Beaumont</t>
  </si>
  <si>
    <t>French Rd_3155_French Road_Beaumont</t>
  </si>
  <si>
    <t>10 IH N_125_Timberlake Courts_Beaumont</t>
  </si>
  <si>
    <t>Lexington Dr_6550_Towne Oaks_Beaumont</t>
  </si>
  <si>
    <t>Longfellow_1215_Longfellow_Beaumont</t>
  </si>
  <si>
    <t>Major Dr N_4215_West End Lodge_Beaumont</t>
  </si>
  <si>
    <t>Old Dowlen Rd_4165_The Pointe Apts_Beaumont</t>
  </si>
  <si>
    <t>Prutzman_6550_Lancaster Cornwall_Beaumont</t>
  </si>
  <si>
    <t>4th St S_4365_Maple Housing Of Beaumont_Beaumont</t>
  </si>
  <si>
    <t>Saxe_1280_Cardinal Square_Beaumont</t>
  </si>
  <si>
    <t>Sweetgum Ln_2570_Colonnade Apts_Beaumont</t>
  </si>
  <si>
    <t>Gulfway_5305_Amber_Groves</t>
  </si>
  <si>
    <t>Gulfway Dr_5307_Beverly Place_Groves</t>
  </si>
  <si>
    <t>Gulfway Dr_5401_Vincent Park Apts_Groves</t>
  </si>
  <si>
    <t>31st St_2575_Spurlock North_Nederland</t>
  </si>
  <si>
    <t>Ave B_1003_Chateau Nederland_Nederland</t>
  </si>
  <si>
    <t>Nederland Ave_2900_The Avenue_Nederland</t>
  </si>
  <si>
    <t>MacArthur Dr_3000_Sussex Apts_Orange</t>
  </si>
  <si>
    <t>Meeks Rd_4750_International Village_Orange</t>
  </si>
  <si>
    <t>Meeks N_3819_Chivas Square_Orange</t>
  </si>
  <si>
    <t>Ridgemont Dr_3333_Autumn Park Apts_Orange</t>
  </si>
  <si>
    <t>Austin_440_Historic Landmark_Port Arthur</t>
  </si>
  <si>
    <t>Main Ave_1600_Poole Avenue AH_Port Arthur</t>
  </si>
  <si>
    <t>Normandy St_3500_Brittany Place Apts_Port Arthur</t>
  </si>
  <si>
    <t>Poole Ave_1401_Poole Avenue Apts_Port Arthur</t>
  </si>
  <si>
    <t>Ridgewood Dr_877_Las Brisas_Port Neches</t>
  </si>
  <si>
    <t>22nd St_5817_Twin Oaks_Lubbock</t>
  </si>
  <si>
    <t>24th St_5802_Chaparral Apts_Lubbock</t>
  </si>
  <si>
    <t>27th St_1617_Park Tower Apts_Lubbock</t>
  </si>
  <si>
    <t>34th St_2102_Wellington_Lubbock</t>
  </si>
  <si>
    <t>3rd St_2717_Sierra Crossing_Lubbock</t>
  </si>
  <si>
    <t>44th St_2701_Gatewood Apts_Lubbock</t>
  </si>
  <si>
    <t>44th St_2400_Magnolia Court Apts_Lubbock</t>
  </si>
  <si>
    <t>45th St_2401_Park Terrace_Lubbock</t>
  </si>
  <si>
    <t>4th St_5710_Meridian Park Apts_Lubbock</t>
  </si>
  <si>
    <t>4th St_5525_Pine Grove Villas_lubbock</t>
  </si>
  <si>
    <t>50th St_4602_Lubbock Square Apts_Lubbock</t>
  </si>
  <si>
    <t>50th St_3508_Town Plaza_Lubbock</t>
  </si>
  <si>
    <t>66th St_5720_Farrar West Apts_Lubbock</t>
  </si>
  <si>
    <t>66th St_5402_Woodcrest_Lubbock</t>
  </si>
  <si>
    <t>70th St_2310_Texas Apt Complex_Lubbock</t>
  </si>
  <si>
    <t>71st St_4501_The Wyndham_Lubbock</t>
  </si>
  <si>
    <t>82nd St_6703_Dakota Arms_Lubbock</t>
  </si>
  <si>
    <t>82nd St_4421_Willow Hill_Lubbock</t>
  </si>
  <si>
    <t>Aberdeen Ave_5310_NF_Lubbock</t>
  </si>
  <si>
    <t>Albany Ave_6402_Metropolitan Apts_Lubbock</t>
  </si>
  <si>
    <t>Ave U_8217_Preserve at Prairie Point_Lubbock</t>
  </si>
  <si>
    <t>Belmont Ave N_602_Lynnwood TH_Lubbock</t>
  </si>
  <si>
    <t>28th St E_1017_Ranch Oak Apts (North &amp; South)_Lubbock</t>
  </si>
  <si>
    <t>Glenna Goodacre Blvd_2400_The Centre_Lubbock</t>
  </si>
  <si>
    <t>Glenna Goodacre Blvd_2300_The Suites_Lubbock</t>
  </si>
  <si>
    <t>Indiana_223_The Edge_Lubbock</t>
  </si>
  <si>
    <t>Indiana Ave_201_College Pointe Apts_Lubbock</t>
  </si>
  <si>
    <t>Indiana Ave_6201_Del Estrado Townhome Apts_Lubbock</t>
  </si>
  <si>
    <t>Indiana Dr_7906_NF_Lubbock</t>
  </si>
  <si>
    <t>La Salle Ave_2104_La Salle_Lubbock</t>
  </si>
  <si>
    <t>Brentwood Ave N_308_Village TH_Lubbock</t>
  </si>
  <si>
    <t>Frankford Ave S_1002_Jefferson Commons Texas Tech_Lubbock</t>
  </si>
  <si>
    <t>289 Loop S_3001_White Plaza Apts_Lubbock</t>
  </si>
  <si>
    <t>University_1001_University Plaza Apts_Lubbock</t>
  </si>
  <si>
    <t>289 Loop W_2302_Innsbruck West_Lubbock</t>
  </si>
  <si>
    <t>289 Loop W_5351_Metropolitan Apts_Lubbock</t>
  </si>
  <si>
    <t xml:space="preserve">Ave J_1215_Green-Cobb Buildings_Lubbock </t>
  </si>
  <si>
    <t xml:space="preserve">4th St_4901_Stratford Place_Lubbock </t>
  </si>
  <si>
    <t>Country Club Dr_7550_Lago del Mar_Laredo</t>
  </si>
  <si>
    <t>rancho viejo Dr_604_Rancho Viejo Apts_Laredo</t>
  </si>
  <si>
    <t>TEXOMA Pkwy_3800_Creekmore Apts_Denison</t>
  </si>
  <si>
    <t>LaSalle Dr_1600_Diamond Place Apts_Sherman</t>
  </si>
  <si>
    <t>1417 FM N_3301_Post Oak Crossing Apts_Sherman</t>
  </si>
  <si>
    <t>Northridge_3031_Normandy Manor Apts_Sherman</t>
  </si>
  <si>
    <t>Northridge Dr_3013_Normandy Manor_Sherman</t>
  </si>
  <si>
    <t>Rex Cruise_3114_Turtle Creek Village Apts_Sherman</t>
  </si>
  <si>
    <t>Taylor_1925_Highland Park Village_Sherman</t>
  </si>
  <si>
    <t>Travis St Sherman S_915_Southgate Apts_Sherman</t>
  </si>
  <si>
    <t>Taylor W_1200_Arrow Wood_Sherman</t>
  </si>
  <si>
    <t>Taylor St W_2300_Hunnington_Sherman</t>
  </si>
  <si>
    <t>Washington St W_1800_Ridgeview AH_Sherman</t>
  </si>
  <si>
    <t>Good Shepherd Dr_1700_Brownwood Apts Package_Brownwood</t>
  </si>
  <si>
    <t>Waco St_928_Andrea Gardens Apt Complex_Colorado City</t>
  </si>
  <si>
    <t>Sadosa St W_600_Eastland Village Apts_Eastland</t>
  </si>
  <si>
    <t>Ave O_3900_Western Crest &amp; Windridge Apts_Snyder</t>
  </si>
  <si>
    <t>Hovley Ln E_NF_Canterra_Palm Desert</t>
  </si>
  <si>
    <t>Balsam Way S_4601_Monterey_Littleton</t>
  </si>
  <si>
    <t>Community Center Dr_11625_Stone Mountain_Northglenn</t>
  </si>
  <si>
    <t>Middlebrook Rd_4000_Middlebrook Farms_Orlando</t>
  </si>
  <si>
    <t>42nd St N_13702_Sterling North Campus_Tampa</t>
  </si>
  <si>
    <t>Waters Ave W_3501_San Marin_Tampa</t>
  </si>
  <si>
    <t>Lake Dr_2482_Holly Tree_Waldorf</t>
  </si>
  <si>
    <t>Kelso Dunes Rd_1350_Adobe Ranch_Henderson</t>
  </si>
  <si>
    <t>Tropicana Ave E_5325_Majestic Heights_Las Vegas</t>
  </si>
  <si>
    <t>Tamarus St_5050_Sonterra_Las Vegas</t>
  </si>
  <si>
    <t>Topaz St_4775_Toscana Villas_Las Vegas</t>
  </si>
  <si>
    <t>81st St E_9303_Estancia_Tulsa</t>
  </si>
  <si>
    <t>Mingo Rd S_7705_Sonoma Grande_Tulsa</t>
  </si>
  <si>
    <t>Bethel Church Rd_4215_Ravenwood Hills_Columbia</t>
  </si>
  <si>
    <t>River Terrace Rd_20900_River Road Terrace_Petersburg</t>
  </si>
  <si>
    <t>3rd St W_155_Alpha Delta Apts_Arlington</t>
  </si>
  <si>
    <t>Starlinda Ct_615_NF_Arlington</t>
  </si>
  <si>
    <t>Charlotte St_2422-2428 _Charlotte Place Apts_Denton</t>
  </si>
  <si>
    <t>Eagle Dr_1112-1116_The Village Apts_Denton</t>
  </si>
  <si>
    <t>Fallmeadow CT_612_NF_Denton</t>
  </si>
  <si>
    <t>Fallmeadow St_3211_NF_Denton</t>
  </si>
  <si>
    <t>Fulton_425_Cabernet Apts_Denton</t>
  </si>
  <si>
    <t>Hercules Ln_709_Crystalwood Apts_Denton</t>
  </si>
  <si>
    <t>Louise St_2425_The Arbor_Denton</t>
  </si>
  <si>
    <t>Palmwood PI_1100_Palmwood Apts_Denton</t>
  </si>
  <si>
    <t>Stuart Rd_3817-3827_Crystalwood Apts_Denton</t>
  </si>
  <si>
    <t>Demoye_418_NF_Aubrey</t>
  </si>
  <si>
    <t>Vine_1127_NF_Denton</t>
  </si>
  <si>
    <t>Vine St_902_Vineyard Apts_Denton</t>
  </si>
  <si>
    <t>Belt Line Rd E_510_Cottonwood Apts_Desoto</t>
  </si>
  <si>
    <t>Hampton N_518_Hampton Gardens Apts_Desoto</t>
  </si>
  <si>
    <t>Cardinal E_1303-1701_NF_Ennis</t>
  </si>
  <si>
    <t>Alexander Ln E_505_Emerald Gardens_Euless</t>
  </si>
  <si>
    <t>Birchman Ave_5504 &amp; 5508_Birchman Plaza_Fort Worth</t>
  </si>
  <si>
    <t>Boca Raton Blvd_5514-5634_Boca Club Condos_Fort Worth</t>
  </si>
  <si>
    <t>Bonnie Dr_3737_NF_Fort Worth</t>
  </si>
  <si>
    <t>Byers Ave_4538_CHAPARRAL Apts_Fort Worth</t>
  </si>
  <si>
    <t>Main St_517_Azle Creek Apts_Azle</t>
  </si>
  <si>
    <t>Chapin Rd_7700_Chapin Road Apts_Fort Worth</t>
  </si>
  <si>
    <t>Houston St N_2304_NF_Fort Worth</t>
  </si>
  <si>
    <t>Inverness Ave_5101_NF_Fort Worth</t>
  </si>
  <si>
    <t>Lake Como Dr_3200_Forest Apts_Fort Worth</t>
  </si>
  <si>
    <t>Lariat Ln_718_NF_Fort Worth</t>
  </si>
  <si>
    <t>Locke Ave_4805_West Apts_Fort Worth</t>
  </si>
  <si>
    <t>McLean_3021-3017-3013_Flamingo Apts_Fort Worth</t>
  </si>
  <si>
    <t>Monticello Rd_701_NF_Fort Worth</t>
  </si>
  <si>
    <t>New York Ave_200_NF_Fort Worth</t>
  </si>
  <si>
    <t>Normandy Rd_6528_Courtyard Villa Apts_Fort Worth</t>
  </si>
  <si>
    <t>Elam Rd_12904_Pioneer Crossing TH_Balch Springs</t>
  </si>
  <si>
    <t>Purington Ave_2735_NF_Fort Worth</t>
  </si>
  <si>
    <t>Saint Louis Ave_1701_NF_Fort Worth</t>
  </si>
  <si>
    <t>Trail Lake Dr_6766_NF_Fort Worth</t>
  </si>
  <si>
    <t>Tucker E_1410_NF_Fort Worth</t>
  </si>
  <si>
    <t>Tulsa Way_3858_NF_Fort Worth</t>
  </si>
  <si>
    <t>Seawall Blvd_7000_The Dawn Condominiums_Galveston</t>
  </si>
  <si>
    <t>Beltline Rd N_1601-1605_Creekview Apts_Garland</t>
  </si>
  <si>
    <t>Buckingham W_701_Hampton Court Condominiums_Garland</t>
  </si>
  <si>
    <t>Courtenay Pl_832_Bradfield Creek TH_Garland</t>
  </si>
  <si>
    <t>Fannidelia Dr _1404_The Meadows_Carrollton</t>
  </si>
  <si>
    <t>Rita Dr_305-307 _NF_Garland</t>
  </si>
  <si>
    <t>Crawford Ct_1520_The Reserve at Lake Granbury_Granbury</t>
  </si>
  <si>
    <t>Kemah Ct_5607_NF_Granbury</t>
  </si>
  <si>
    <t>14th St SE_1810_NF_Grand Prairie</t>
  </si>
  <si>
    <t>Center St _8112_Raintree Apts_Grand Prairie</t>
  </si>
  <si>
    <t>Worth St E_421_Contessa Apts_Grapevine</t>
  </si>
  <si>
    <t>Bernice St_1901_Sandstone Apts_Haltom City</t>
  </si>
  <si>
    <t>Harmon_122_Hurst Inn_Hurst</t>
  </si>
  <si>
    <t>Chamberlain_903-921_Chamberlain Complex_Irving</t>
  </si>
  <si>
    <t>French St_951_Chalet Apts_Irving</t>
  </si>
  <si>
    <t>Jackson Cir_2201_NF_Carrollton</t>
  </si>
  <si>
    <t>Highland Park Ct_130-149_Highland Park Court Apts_Irving</t>
  </si>
  <si>
    <t>Riverview Dr_2232_NF_Irving</t>
  </si>
  <si>
    <t>Rogers Rd N_618_Tuscan Court Apts_Irving</t>
  </si>
  <si>
    <t>Rolston Rd_301-319_Irving Court_Irving</t>
  </si>
  <si>
    <t>Story Rd S_325_Granada Terrace-Rishi Village_Irving</t>
  </si>
  <si>
    <t>Greenville _225_NF_Joshua</t>
  </si>
  <si>
    <t>Jefferson St S_400_Jefferson Street Apts_Kaufman</t>
  </si>
  <si>
    <t>Britton St W_115_NF_Krum</t>
  </si>
  <si>
    <t>Masch Branch Rd_4892_Midwest Apts_Krum</t>
  </si>
  <si>
    <t>Westridge Ave_1207_Westridge Apts_Lancaster</t>
  </si>
  <si>
    <t>Keller Springs Rd_2800_NF_Carrollton</t>
  </si>
  <si>
    <t>Main St_370_Lewisvilla Apts_Lewisville</t>
  </si>
  <si>
    <t>Main St_210_Elmwood Apts_Little Elm</t>
  </si>
  <si>
    <t xml:space="preserve">1585 FM_1114_FM 1585 Shopping Center_Lubbock </t>
  </si>
  <si>
    <t>Virginia Pkwy_2520_Twelve Oaks Apts_McKinney</t>
  </si>
  <si>
    <t>Elm St  W_2521_Casa Paradise_Phoenix</t>
  </si>
  <si>
    <t>F Ave_1509 - 1531_Plano Apts_Plano</t>
  </si>
  <si>
    <t>100 Hwy_1506_Treasure Island Village_Port Isabel</t>
  </si>
  <si>
    <t>6th St N_609_NF_Princeton</t>
  </si>
  <si>
    <t>Hazelwood Dr E_500_Hazelwood Apts_Princeton</t>
  </si>
  <si>
    <t>Methodist N_600_Steel Dust II_Red Oak</t>
  </si>
  <si>
    <t>Ridgedale Dr_2416_NF_Carrollton</t>
  </si>
  <si>
    <t>SH N_106_Hawk's Landing_Red Oak</t>
  </si>
  <si>
    <t>Bowser Rd_116_Bowser Road Apts_Richardson</t>
  </si>
  <si>
    <t>Bowser Rd S_100_Fairfield Apts_Richardson</t>
  </si>
  <si>
    <t>Candlewood Pl_331-333_NF_Richardson</t>
  </si>
  <si>
    <t>Foxboro Dr_3204_NF_Richardson</t>
  </si>
  <si>
    <t>Hilltop Ave_306_Richardson Duplex_Richardson</t>
  </si>
  <si>
    <t>Royal Crest Dr_609_NF_Richardson</t>
  </si>
  <si>
    <t>Royal Crest Dr_628_NF_Richardson</t>
  </si>
  <si>
    <t>Saint Paul Ct_817-819_NF_Richardson</t>
  </si>
  <si>
    <t>Towne House Ln_412_Woodhaven Duplex_Richardson</t>
  </si>
  <si>
    <t>School Rd_1310_Lynn Villa_Carrollton</t>
  </si>
  <si>
    <t>Hardisty_6731_Plaza Apts_Richland Hills</t>
  </si>
  <si>
    <t>Laura Ann Ct_6600-6623_Laura Ann Court Duplexes_Richland Hills</t>
  </si>
  <si>
    <t>Park Pl Dr_6605_Richland Chateau_Richland Hills</t>
  </si>
  <si>
    <t>Reeves St_6626_Robinwood Apts_Richland Hills</t>
  </si>
  <si>
    <t>Rufe Snow D_3101_Richland Chateau_Richland Hills</t>
  </si>
  <si>
    <t>Brocks_6157-61-63_NF_River Oaks</t>
  </si>
  <si>
    <t>Cody Ct_940_NF_River Oaks</t>
  </si>
  <si>
    <t>Roberts Cut Off_420_The Park at River Oaks_River Oaks</t>
  </si>
  <si>
    <t>Ranger Dr_5412-5414_Lakeview Duplex_Rockwall</t>
  </si>
  <si>
    <t>Cedar St_315_Cedars_Cedar Hill</t>
  </si>
  <si>
    <t>Alissa Dr_6200-6700_Lakeview Meadow Estates_Rowlett</t>
  </si>
  <si>
    <t>Amherst Dr_7406_NF_Rowlett</t>
  </si>
  <si>
    <t>Knights Bridge_3914_NF_Rowlett</t>
  </si>
  <si>
    <t>Rutgers Cir_7400_College Park Duplex_Rowlett</t>
  </si>
  <si>
    <t>Stanford St_2610_NF_Rowlett</t>
  </si>
  <si>
    <t>6th St_3116_NF_Sachse</t>
  </si>
  <si>
    <t>78 SH_6408_NF_Sachse</t>
  </si>
  <si>
    <t>Brookview Ct_5510_Brookview Ct Fourplex_Sachse</t>
  </si>
  <si>
    <t>Jewel St_3624-3630_NF_Sachse</t>
  </si>
  <si>
    <t>Murphy Rd_6340_Hilltop Meadows_Sachse</t>
  </si>
  <si>
    <t>Benge Dr_716_Benge Oaks Apts_Arlington</t>
  </si>
  <si>
    <t>Hickerson St_312_Hickerson Place Apts_Cedar Hill</t>
  </si>
  <si>
    <t>White Rock St_805_NF_Saginaw</t>
  </si>
  <si>
    <t>36th St SW_915_LaGuna Apts_San Antonio</t>
  </si>
  <si>
    <t>Glendora Ave_6910_Glendora Apts_San Antonio</t>
  </si>
  <si>
    <t>Grayson St E_831_Marshann Apts_San Antonio</t>
  </si>
  <si>
    <t>Natalen Ave_451_Natalen Square Apts_San Antonio</t>
  </si>
  <si>
    <t>Ben Hogan_139_Stephenville 4 Plexes_Stephenville</t>
  </si>
  <si>
    <t>Long_1380_NF_Stephenville</t>
  </si>
  <si>
    <t>Houston St_907_Inverness_Terrell</t>
  </si>
  <si>
    <t>Alamo St W_301_NF_Terrell</t>
  </si>
  <si>
    <t>Brin E_301_NF_Terrell</t>
  </si>
  <si>
    <t>Lemons St_706_Lemon Duplexes_Cedar Hill</t>
  </si>
  <si>
    <t>College St E_409_NF_Terrell</t>
  </si>
  <si>
    <t>Frances Ave_1805_NF_Terrell</t>
  </si>
  <si>
    <t>Frances N_904_NF_Terrell</t>
  </si>
  <si>
    <t>Lovers Ln_200_Royal Oaks TH_Terrell</t>
  </si>
  <si>
    <t>Virginia N_700_NF_Terrell</t>
  </si>
  <si>
    <t>Houston St W_620_Villa Milano Apts_Tyler</t>
  </si>
  <si>
    <t>75 Hwy N_500_Hackberry Park Apts_Van Alstyne</t>
  </si>
  <si>
    <t>Azalea Trl_816_NF_Waxahachie</t>
  </si>
  <si>
    <t>Hibiscus Way_803_Hibiscus Court TH_Waxahachie</t>
  </si>
  <si>
    <t>Rogers N_518_Colonial Manor_Waxahachie</t>
  </si>
  <si>
    <t>Caddo St S_605_NF_Cleburne</t>
  </si>
  <si>
    <t>Vine St_1011_1011 Vine St Apts_Weatherford</t>
  </si>
  <si>
    <t>Cambridge Cir_8040_NF_White Settlement</t>
  </si>
  <si>
    <t>Lariat Ln_714_NF_White Settlement</t>
  </si>
  <si>
    <t>Redbud Ln_301_NF_Wilmer</t>
  </si>
  <si>
    <t>Brown St W_103_NF_Wylie</t>
  </si>
  <si>
    <t>Samuel Blvd Apt 5 E_218_Meadowridge_Coppell</t>
  </si>
  <si>
    <t>8th St E_308_El Nina_Dallas</t>
  </si>
  <si>
    <t>8th St W_324_Bishop Arts District_Dallas</t>
  </si>
  <si>
    <t>9th St E_409_El Ricardo_Dallas</t>
  </si>
  <si>
    <t>Ave G W_700_Prairie Crossing Apts_Dallas</t>
  </si>
  <si>
    <t>Bennett Ave_1715_NF_Dallas</t>
  </si>
  <si>
    <t>Bowser_4429_NF_Dallas</t>
  </si>
  <si>
    <t>Knoll Crest Dr_2103_Cedar Ridge Condominiums II_Arlington</t>
  </si>
  <si>
    <t>Bruton Rd_9855_Starr of Dallas Apts_Dallas</t>
  </si>
  <si>
    <t>Bryan St_5217_NF_Dallas</t>
  </si>
  <si>
    <t>Carroll_1501_NF_Dallas</t>
  </si>
  <si>
    <t>Cole Ave_2808_NF_Dallas</t>
  </si>
  <si>
    <t>Cole Ave_4136_Studio Village TH_Dallas</t>
  </si>
  <si>
    <t>Columbia Ave_4602_El Cielo Apts_Dallas</t>
  </si>
  <si>
    <t>Columbia Ave_5114-5124_Columbia House Apts_Dallas</t>
  </si>
  <si>
    <t>Columbia Ave_5315_Belvedere_Dallas</t>
  </si>
  <si>
    <t>Congress Ave_4300_Hartford Apts_Dallas</t>
  </si>
  <si>
    <t>Creek Cove DR_144_Creek Cove Villas_Dallas</t>
  </si>
  <si>
    <t>Mc Queary St_504-524_NF_Arlington</t>
  </si>
  <si>
    <t>Diceman Ave_1106_NF_Dallas</t>
  </si>
  <si>
    <t>Elsbeth St_600_NF_Dallas</t>
  </si>
  <si>
    <t>Ewing Ave N_405_Park Place_Dallas</t>
  </si>
  <si>
    <t>Fairmount St_4633_Fairmount Gardens Apts_Dallas</t>
  </si>
  <si>
    <t>Ferguson_7827_Park Highlands_Dallas</t>
  </si>
  <si>
    <t>Fitzhugh ave N_1826-1830_1826 &amp; 1830 N Fitzhugh Apts_Dallas</t>
  </si>
  <si>
    <t>Fitzhugh Ave N_2212_2212 Fitzhugh Apts_Dallas</t>
  </si>
  <si>
    <t>Fitzhugh N_1728_Bonaventure Apts_Dallas</t>
  </si>
  <si>
    <t>Forest Ln_9254_Trinity Forest Condos_Dallas</t>
  </si>
  <si>
    <t>Garrett St_1407_NF_Dallas</t>
  </si>
  <si>
    <t>Medlin Dr_2505_Medlin Square_Arlington</t>
  </si>
  <si>
    <t>Gaston Ave_4320_NF_Dallas</t>
  </si>
  <si>
    <t>Gaston Ave_4912_Gaston Apts_Dallas</t>
  </si>
  <si>
    <t>Gaston Ave_5921_Blue Sky Apts_Dallas</t>
  </si>
  <si>
    <t>Gaston Ave_4948-4950_Ventura Apts_Dallas</t>
  </si>
  <si>
    <t>Grigsby_1625_Grigsby Place Apts_Dallas</t>
  </si>
  <si>
    <t>Hall N_4014 &amp; 4018_NF_Dallas</t>
  </si>
  <si>
    <t>Hudson St_5708_NF_Dallas</t>
  </si>
  <si>
    <t>Illinois Ave E_333_Illinois Garden_Dallas</t>
  </si>
  <si>
    <t>Illinois Ave W_2803_Oakridge_Dallas</t>
  </si>
  <si>
    <t>Junius St_5119_NF_Dallas</t>
  </si>
  <si>
    <t>Mitchell St E_304_Mitchell Street Apts_Arlington</t>
  </si>
  <si>
    <t>Kiest Blvd E_3811_Kiest Terrace_Dallas</t>
  </si>
  <si>
    <t>Kiest Blvd E_3808_Kiest Villas_Dallas</t>
  </si>
  <si>
    <t>Lafayette St_4406_NF_Dallas</t>
  </si>
  <si>
    <t>Lindell Ave_5613_Lindell Ave Condos_Dallas</t>
  </si>
  <si>
    <t>Live Oak St_5027_Ambassador_Dallas</t>
  </si>
  <si>
    <t>Main St_4100-4104_NF_Dallas</t>
  </si>
  <si>
    <t>Marsalis N_926_Townview Apts_Dallas</t>
  </si>
  <si>
    <t>Mather Ct_3955_Chiquita Apts_Dallas</t>
  </si>
  <si>
    <t>McCommas_5815_NF_Dallas</t>
  </si>
  <si>
    <t>Oak St N_406_North Oak Lofts_Arlington</t>
  </si>
  <si>
    <t>Melody Ln_6050_Tealwood Condos_Dallas</t>
  </si>
  <si>
    <t>Moser_2100-2110_Fig Tree Apts_Dallas</t>
  </si>
  <si>
    <t>Munger Ave_225_NF_Dallas</t>
  </si>
  <si>
    <t>Navajo Dr_3326_Jamestown_Dallas</t>
  </si>
  <si>
    <t>Peyton Dr_13934-14030_Northwood Hills Apts_Dallas</t>
  </si>
  <si>
    <t>Pine St_3628_Berry Square Apts_Dallas</t>
  </si>
  <si>
    <t>Prospect Ave_5829_NF_Dallas</t>
  </si>
  <si>
    <t>Rawlins St_3720_Mirasol Court_Dallas</t>
  </si>
  <si>
    <t>Reagan_2806_The Delano_Dallas</t>
  </si>
  <si>
    <t>Ricksaw Dr_3660_NF_Dallas</t>
  </si>
  <si>
    <t>Park Row Dr W_300_Park Ridge TH_Arlington</t>
  </si>
  <si>
    <t>Robert B. Cullum Blvd_2310_Delta Plaza Apts_Dallas</t>
  </si>
  <si>
    <t>Ronnie Dr_7650_NF_Dallas</t>
  </si>
  <si>
    <t>Ruidosa Ave_2910_NF_Dallas</t>
  </si>
  <si>
    <t>San Jacinto St_3219_Bryan Place Apts_Dallas</t>
  </si>
  <si>
    <t>San Jacinto St_4407_San Jacinto Place_Dallas</t>
  </si>
  <si>
    <t>Sidney St_3919_Ciudad del Sol_Dallas</t>
  </si>
  <si>
    <t>Skillman St_8110_NF_Dallas</t>
  </si>
  <si>
    <t>Throckmorton St_2801_NF_Dallas</t>
  </si>
  <si>
    <t>Walnut St_9801_Richland Trace Condo_Dallas</t>
  </si>
  <si>
    <t>Williamstown Dr_5840_NF_Dallas</t>
  </si>
  <si>
    <t>Park Row E_2405_Coach Light Apts_Arlington</t>
  </si>
  <si>
    <t>Worth St_5203_NF_Dallas</t>
  </si>
  <si>
    <t>Young St_1775_Downtown Lofts-TH_Dallas</t>
  </si>
  <si>
    <t>Halsell St_1304_Atrium Garden Apts_Decatur</t>
  </si>
  <si>
    <t>Austin St N_115_NF_Denton</t>
  </si>
  <si>
    <t>Ave F_224_224 Ave F Apts_DENTON</t>
  </si>
  <si>
    <t>Ave G_223-305_Grace I &amp; II_Denton</t>
  </si>
  <si>
    <t>Bell Ave N_1116_NF_Denton</t>
  </si>
  <si>
    <t>Bernard St_2406-2416_Bernard St. Duplexes_Denton</t>
  </si>
  <si>
    <t>Bonnie Brae St Apt A S_121_Bonnie Green Apts_Denton</t>
  </si>
  <si>
    <t>Bryan St_410_NF_Denton</t>
  </si>
  <si>
    <t>New Unique_ID's</t>
  </si>
  <si>
    <t>No of PDF's Created</t>
  </si>
  <si>
    <t>PDF Creation Status</t>
  </si>
  <si>
    <t>Westheimer_1212_Canyon Villas I_Austin_00001</t>
  </si>
  <si>
    <t>Victory Dr_4009_Mission James Place_Austin_00002</t>
  </si>
  <si>
    <t>Lake Creek Pkwy_10707_Parkside at Lake Creek_Austin_00003</t>
  </si>
  <si>
    <t>Anderson Mill Rd_9219_Anderson Oaks_Austin_00004</t>
  </si>
  <si>
    <t>Apple Creek Dr_302_Apple Creek_Georgetown_00005</t>
  </si>
  <si>
    <t>Lawnmont Dr_1501_Apple Creek_Round Rock_00006</t>
  </si>
  <si>
    <t>Royal Crest Dr_1500_The Arbor_Austin_00007</t>
  </si>
  <si>
    <t>Wells Branch Pkwy_1831_Arbors of Wells Branch_Austin_00008</t>
  </si>
  <si>
    <t>Justin Ln_1003_Argosy at Crestview_Austin_00009</t>
  </si>
  <si>
    <t>Wood Hollow Dr_7117_Westdale Pointe_Austin_00010</t>
  </si>
  <si>
    <t>Burton Dr_2124_Tollgate Creek Condominiums_Austin_00011</t>
  </si>
  <si>
    <t>Ashdale Dr_2450_Ashdale Gardens_Austin_00012</t>
  </si>
  <si>
    <t>Leon St_2408_Lone Star Lofts_Austin_00013</t>
  </si>
  <si>
    <t>Capital of Texas Hwy N_8527_The Falls on Bull Creek_Austin_00014</t>
  </si>
  <si>
    <t>Mellow Meadow Dr_12425_Audubon Square_Austin_00015</t>
  </si>
  <si>
    <t>Lamar Blvd N_7401_Austin Gardens_Austin_00016</t>
  </si>
  <si>
    <t>Morado Cir_10610_Great Hills_Austin_00017</t>
  </si>
  <si>
    <t>Riverside Dr E_4821_Hillside Place_Austin_00018</t>
  </si>
  <si>
    <t>Anderson Ln W_400_Austin Parke_Austin_00019</t>
  </si>
  <si>
    <t>Royal Crest Dr_1600_Autumn Hills_Austin_00020</t>
  </si>
  <si>
    <t>Balcones Club_9218_Balcones Club_Austin_00021</t>
  </si>
  <si>
    <t>Research Blvd_11215_Balcones Woods_Austin_00022</t>
  </si>
  <si>
    <t>Stassney Ln W_1005_Ironstone_Austin_00023</t>
  </si>
  <si>
    <t>Bartons Bluff Ln_2800_Barton Creek Landing_Austin_00024</t>
  </si>
  <si>
    <t>Dickson Dr_2121_Barton's Mill_Austin_00026</t>
  </si>
  <si>
    <t>Bee Caves Rd_2611_Windsor at Barton Creek_Austin_00027</t>
  </si>
  <si>
    <t>Bent Tree Rd_8405_Bent Tree_Austin_00028</t>
  </si>
  <si>
    <t>Cardinal Loop_2419_Bergstrom Arms (Demolished)_Del Valle_00029</t>
  </si>
  <si>
    <t>Town Lake Cir_2215_Vista Lago_Austin_00030</t>
  </si>
  <si>
    <t>Bowman Dr W_101_Bowmans Walk_Round Rock_00031</t>
  </si>
  <si>
    <t>Burton Dr_1845_LaFayette Landing_Austin_00032</t>
  </si>
  <si>
    <t>Shepherd Mountain Cove_6001_Bridgehead_Austin_00033</t>
  </si>
  <si>
    <t>Willow Creek Dr_1910_Point South_Austin_00034</t>
  </si>
  <si>
    <t>Douglas St_2336_Bristol Square_Austin_00035</t>
  </si>
  <si>
    <t>Golden Meadow Dr_10300_Brook Meadow Village_Austin_00036</t>
  </si>
  <si>
    <t>35 IH S_1824_The Brook in Travis Heights_Austin_00037</t>
  </si>
  <si>
    <t>Lamar Blvd N_5106_Brownstone Park_Austin_00038</t>
  </si>
  <si>
    <t>Sam Bass Cir_1101_Brushy Creek Village_Round Rock_00039</t>
  </si>
  <si>
    <t>Heinemann Dr_13005_Laurel Ridge_Austin_00040</t>
  </si>
  <si>
    <t>Cameron Rd_5700_Cameron Greens_Austin_00041</t>
  </si>
  <si>
    <t>Salado St_2810_Camino Real_Austin_00042</t>
  </si>
  <si>
    <t>Royal Crest Dr_1601_Canyon Oaks_Austin_00043</t>
  </si>
  <si>
    <t>Jollyville Rd_11316_Canyon Creek_Austin_00044</t>
  </si>
  <si>
    <t>Grand Canyon Dr_7020_Westheimer Regency_Austin_00045</t>
  </si>
  <si>
    <t>Algarita Ave_1221_Cascades_Austin_00046</t>
  </si>
  <si>
    <t>Congress Ave S_7001_Centennial Place_Austin_00047</t>
  </si>
  <si>
    <t>Red River St_3401_Century Square_Austin_00048</t>
  </si>
  <si>
    <t>Taylor Draper Ln_11282_Channings Mark_Austin_00050</t>
  </si>
  <si>
    <t>Wells Branch Pkwy_1801_Chardonnay_Austin_00051</t>
  </si>
  <si>
    <t>Gessner Dr_8028_Chase Village_Austin_00052</t>
  </si>
  <si>
    <t>Reagan Hill Dr_1521_Austin Pacifica_Austin_00054</t>
  </si>
  <si>
    <t>Stassney Ln W_2048_Cherry Creek Crossing_Austin_00055</t>
  </si>
  <si>
    <t>Hymeadow Dr_12300_Chesapeake_Austin_00056</t>
  </si>
  <si>
    <t>William Cannon Dr W_2121_Cheshire Gardens_Austin_00057</t>
  </si>
  <si>
    <t>Chevy Chase Dr_7581_Chevy Chase_Austin_00058</t>
  </si>
  <si>
    <t>Huntwick_2504_Chevy Chase Downs_Austin_00059</t>
  </si>
  <si>
    <t>Christopher Ave_1338_Chisholm Valley Duplexes_Round Rock_00060</t>
  </si>
  <si>
    <t>Thermal Dr_14100_Churchill Crossing_Austin_00061</t>
  </si>
  <si>
    <t>Jollyville Rd_9500_Cimarron Crossing_Austin_00062</t>
  </si>
  <si>
    <t>Tamarron Blvd_3050_Cliffs at Barton Creek_Austin_00063</t>
  </si>
  <si>
    <t>Longspur Blvd W_502_Club Creek_Austin_00064</t>
  </si>
  <si>
    <t>Congress Ave S_500_Congress Square_Austin_00066</t>
  </si>
  <si>
    <t>Convict Hill Rd_5001_Convict Hill Village_Austin_00067</t>
  </si>
  <si>
    <t>William Cannon Dr W_739_The Place at Coopers Hill_Austin_00068</t>
  </si>
  <si>
    <t>Lamar Blvd N_10000_Copper Mill_Austin_00069</t>
  </si>
  <si>
    <t>Cromwell Cir_2425_Coppertree_Austin_00070</t>
  </si>
  <si>
    <t>Lamar Blvd N_8926_Aubry Hills_Austin_00072</t>
  </si>
  <si>
    <t>Grove Blvd_1009_Country Club TH_Austin_00073</t>
  </si>
  <si>
    <t>Sunrise Rd_1300_Tramor at Autumn Park_Round Rock_00074</t>
  </si>
  <si>
    <t>Broadmoor Dr_1200_The Heritage at Hillcrest_Austin_00075</t>
  </si>
  <si>
    <t>Keats Dr_3737_Tramor at Creek Village_Austin_00077</t>
  </si>
  <si>
    <t>Palm Valley Blvd_1525_The Creek_Round Rock_00078</t>
  </si>
  <si>
    <t>Anderson Ln E_1901_Anderson Springs_Austin_00079</t>
  </si>
  <si>
    <t>Anderson Ln E_1601_Creekwood Village_Austin_00080</t>
  </si>
  <si>
    <t>Morado Cove_10307_Madison at the Arboretum_Austin_00081</t>
  </si>
  <si>
    <t>35 IH N_11441_Cricket Hollow_Austin_00082</t>
  </si>
  <si>
    <t>Rutland Dr_1124_Cross Creek_Austin_00083</t>
  </si>
  <si>
    <t>Mc Cann Dr_8801_Crossroads_Austin_00084</t>
  </si>
  <si>
    <t>Greenhill Dr_600_Crystal Creek_Round Rock_00085</t>
  </si>
  <si>
    <t>1st St S_3501_Hillcrest Oaks_Austin_00086</t>
  </si>
  <si>
    <t>Duval St_4305_Duval Villa_Austin_00087</t>
  </si>
  <si>
    <t>Metric Blvd_12166_Edge Creek_Austin_00088</t>
  </si>
  <si>
    <t>Rundberg Ln E_1400_Englebrook_Austin_00089</t>
  </si>
  <si>
    <t>Burton Dr_1919_English Aire_Austin_00090</t>
  </si>
  <si>
    <t>Saint Edwards Dr_1401_Forest Creek Village_Austin_00092</t>
  </si>
  <si>
    <t>Manchaca Rd_3707_The Grove_Austin_00093</t>
  </si>
  <si>
    <t>Victory Dr_4100_Tramor at Victory Place_Austin_00094</t>
  </si>
  <si>
    <t>Banister Ln_1113_Four Park Place_Austin_00095</t>
  </si>
  <si>
    <t>Willowbend Dr_2100_Foxfire_Round Rock_00096</t>
  </si>
  <si>
    <t>Lawnmont Dr_1500_Gables of Round Rock_Round Rock_00097</t>
  </si>
  <si>
    <t>Rio Grande St_2222_University Gardens_Austin_00098</t>
  </si>
  <si>
    <t>Rundberg Ln W_1804_Gateways_Austin_00099</t>
  </si>
  <si>
    <t>Metric Blvd_11701_Venterra at Bradford Pointe_Austin_00100</t>
  </si>
  <si>
    <t>Luther Dr_209_Georgetown Park_Georgetown_00101</t>
  </si>
  <si>
    <t>Georgian Dr_8005_Georgian Apts_Austin_00102</t>
  </si>
  <si>
    <t>Rundberg Ln E_1007_Glen Oaks_Austin_00103</t>
  </si>
  <si>
    <t>Grand Canyon Dr_7077_Canyon Villas II_Austin_00104</t>
  </si>
  <si>
    <t>Greystone Dr_3500_Juniper Springs_Austin_00105</t>
  </si>
  <si>
    <t>Great Hills Trl_9617_Arboretum Oaks_Austin_00106</t>
  </si>
  <si>
    <t>Reinli St_1100-1106_The Legacy_Austin_00107</t>
  </si>
  <si>
    <t>Wells Branch Pkwy_1773_The Hampton_Austin_00108</t>
  </si>
  <si>
    <t>Jollyville Rd_10300_Hardrock Canyon I &amp; II_Austin_00109</t>
  </si>
  <si>
    <t>Oltorf St E_1730_Harpers Creek_Austin_00110</t>
  </si>
  <si>
    <t>Gessner Dr_8001_Haven East_Austin_00111</t>
  </si>
  <si>
    <t>Manchaca Rd_3506_Heritage Oaks_Austin_00113</t>
  </si>
  <si>
    <t>Plaza Dr N_9121_Heritage Plaza_Austin_00114</t>
  </si>
  <si>
    <t>Pond Springs Rd_13359_Hidden Timber_Austin_00115</t>
  </si>
  <si>
    <t>Jollyville Rd_11028_High Oaks I &amp; II_Austin_00116</t>
  </si>
  <si>
    <t>Wickersham Ln_2400_High Point Village_Austin_00117</t>
  </si>
  <si>
    <t>Reinli St_909_Highland Cove_Austin_00118</t>
  </si>
  <si>
    <t>Great Hills Trl_9417_Tramor at the Arboretum_Austin_00119</t>
  </si>
  <si>
    <t>Wickersham Ln_2310_Wickersham Green_Austin_00120</t>
  </si>
  <si>
    <t>Great Hills Trl_9009_Tramor at the Hills_Austin_00121</t>
  </si>
  <si>
    <t>Burton Dr_1900_Woodridge_Austin_00122</t>
  </si>
  <si>
    <t>Shoreline Dr_3101_Hunt Club_Austin_00123</t>
  </si>
  <si>
    <t>Hunters Chase Dr_12342_Hunter's Chase_Austin_00124</t>
  </si>
  <si>
    <t>Berkeley Ave_2309_Tramor at Hunter's Glen_Austin_00125</t>
  </si>
  <si>
    <t>35 IH S_1500_Hunters Ridge_Round Rock_00126</t>
  </si>
  <si>
    <t>William Cannon Dr E_409_Hunterwood_Austin_00127</t>
  </si>
  <si>
    <t>Speedway St_4413_Hyde Park I &amp; II_Austin_00128</t>
  </si>
  <si>
    <t>Wood Hollow Dr_7630_Westdale Creek_Austin_00129</t>
  </si>
  <si>
    <t>Copper Creek Dr_9811_International Residence_Austin_00130</t>
  </si>
  <si>
    <t>Dickson Dr_2200_Barton Court_Austin_00131</t>
  </si>
  <si>
    <t>Camino La Costa_1220_Irongate_Austin_00132</t>
  </si>
  <si>
    <t>Bull Creek Rd_4320_Bull Creek TH_Austin_00134</t>
  </si>
  <si>
    <t>Thunder Creek Rd_5230_Keystone_Austin_00135</t>
  </si>
  <si>
    <t>Jollyville Rd_11500_Northland at the Arboretum_Austin_00136</t>
  </si>
  <si>
    <t>Town Creek Dr_1201_Regatta_Austin_00137</t>
  </si>
  <si>
    <t>Renaissance Ct_14000_Lakes at Renaissance Park_Austin_00138</t>
  </si>
  <si>
    <t>Lakeshore Blvd S_1720_The Lakeshore_Austin_00139</t>
  </si>
  <si>
    <t>Lakeshore Blvd S_2401_Lakeview_Austin_00140</t>
  </si>
  <si>
    <t>W Ave_1802_Lantana_Austin_00141</t>
  </si>
  <si>
    <t>40th St W_1200_Le Med_Austin_00142</t>
  </si>
  <si>
    <t>Metric Blvd_11700_Lincoln Oaks_Austin_00143</t>
  </si>
  <si>
    <t>Bluff Springs Rd_6503_Mission Reilly Ridge_Austin_00144</t>
  </si>
  <si>
    <t>William Cannon Dr E_1912_Logan's Mill_Austin_00145</t>
  </si>
  <si>
    <t>Town Lake Cir_2400_London Square_Austin_00146</t>
  </si>
  <si>
    <t>Masterson Pass_401_Longbranch_Austin_00147</t>
  </si>
  <si>
    <t>Main St E_1201_Main Street Square_Round Rock_00148</t>
  </si>
  <si>
    <t>Lamar Blvd N_8600_The Palms on Lamar_Austin_00149</t>
  </si>
  <si>
    <t>Dessau Rd_9500_Marlborough Square_Austin_00150</t>
  </si>
  <si>
    <t>Metric Blvd_12330_Venterra at Waters Edge_Austin_00151</t>
  </si>
  <si>
    <t>San Felipe Blvd_7920_Marthas Vineyard_Austin_00152</t>
  </si>
  <si>
    <t>Mellow Meadow Dr_10507_The Meadows_Austin_00154</t>
  </si>
  <si>
    <t>Melrose Trl_6511-B_Melrose Place_Austin_00155</t>
  </si>
  <si>
    <t>Manchaca Rd_5413_Tramor at the Oaks_Austin_00156</t>
  </si>
  <si>
    <t>Duval Rd_3201_Mesa Verde_Austin_00157</t>
  </si>
  <si>
    <t>Parker Ln_3111_Montecito_Austin_00158</t>
  </si>
  <si>
    <t>Shepherd Mountain Cove_6000_Monte Vista Condos_Austin_00159</t>
  </si>
  <si>
    <t>Rundberg Ln W_1930_Meridian_Austin_00160</t>
  </si>
  <si>
    <t>Anderson Ln W_2101_North Village_Austin_00161</t>
  </si>
  <si>
    <t>Middle Fiskville Rd_9601_Meadowood_Austin_00162</t>
  </si>
  <si>
    <t>Mopac Expwy N_8100_The Place at Terracina_Austin_00163</t>
  </si>
  <si>
    <t>Rundberg Ln W_306_Northchase_Austin_00164</t>
  </si>
  <si>
    <t>Foster Ln_2819_The Park at Allandale_Austin_00165</t>
  </si>
  <si>
    <t>Longspur Blvd W_701_Longspur Crossing_Austin_00166</t>
  </si>
  <si>
    <t>Houston St_1507_Oak Creek_Austin_00167</t>
  </si>
  <si>
    <t>1st St S_3625_Oak Grove_Austin_00168</t>
  </si>
  <si>
    <t>Wood Hollow Dr_7201_Oak Hollow_Austin_00169</t>
  </si>
  <si>
    <t>Pleasant Valley Rd S_2317_Arbor Pointe_Austin_00170</t>
  </si>
  <si>
    <t>Duval St_4505_Oak Park_Austin_00171</t>
  </si>
  <si>
    <t>Hills Dr N_3517_Oak Ridge_Austin_00172</t>
  </si>
  <si>
    <t>Woodward St_1710-1724_Park Lane Villas_Austin_00173</t>
  </si>
  <si>
    <t>Mesa Dr_5811_Post Park Mesa_Austin_00174</t>
  </si>
  <si>
    <t>Duval Rd_3220_Barrington at Park Place_Austin_00175</t>
  </si>
  <si>
    <t>Riverside Dr E_1500_Breakers on the Lake_Austin_00176</t>
  </si>
  <si>
    <t>Park Plaza Dr_829_Park Plaza_Austin_00177</t>
  </si>
  <si>
    <t>Mellow Meadow Dr_10616_Park West Condo Apts_Austin_00178</t>
  </si>
  <si>
    <t>Wells Branch Pkwy_1915_Park at Wells Branch_Austin_00179</t>
  </si>
  <si>
    <t>Pleasant Valley Rd S_1300_The Park_Austin_00180</t>
  </si>
  <si>
    <t>5th St S_2207_Pastures_Austin_00181</t>
  </si>
  <si>
    <t>Plaza Dr N_8805_Pebble Creek I &amp; II_Austin_00182</t>
  </si>
  <si>
    <t>Lamar Blvd N_5200_Pecan Grove_Austin_00183</t>
  </si>
  <si>
    <t>290 Hwy E_7227_Penbrook Club_Austin_00184</t>
  </si>
  <si>
    <t>35 IH N_8800_Solano_Austin_00185</t>
  </si>
  <si>
    <t>Penny Ln_2601_Abbey Road_Austin_00186</t>
  </si>
  <si>
    <t>Wickersham Ln_2207_Pinto Creek_Austin_00187</t>
  </si>
  <si>
    <t>Cromwell Cir_2430_Lexington Hills_Austin_00188</t>
  </si>
  <si>
    <t>Pleasant Valley Rd S_2200_Metropolis_Austin_00189</t>
  </si>
  <si>
    <t>Cahill Dr_8519_Polo Club_Austin_00190</t>
  </si>
  <si>
    <t>290 Hwy E_6855_Capitol Village_Austin_00191</t>
  </si>
  <si>
    <t>Northgate Blvd_9001_Avalon Palms II_Austin_00192</t>
  </si>
  <si>
    <t>Airport Blvd_4411_The Princeton_Austin_00193</t>
  </si>
  <si>
    <t>Ridgepoint Dr_2250_Promontory Point_Austin_00194</t>
  </si>
  <si>
    <t>Tandem Blvd_14300_The Cottages at Wells Branch_Austin_00195</t>
  </si>
  <si>
    <t>Mearns Meadow Blvd_1200_Quail Run_Austin_00196</t>
  </si>
  <si>
    <t>Victory Dr_4017_Tramor at the Quest_Austin_00197</t>
  </si>
  <si>
    <t>Metric Blvd_12001_Broadmoor_Austin_00198</t>
  </si>
  <si>
    <t>Reagan Hill Dr_1500_Lantern Hill &amp; Reagan Hill_Austin_00199</t>
  </si>
  <si>
    <t>Barwood Park_600_Remington House_Austin_00200</t>
  </si>
  <si>
    <t>Research Blvd_8220_Research Pointe_Austin_00201</t>
  </si>
  <si>
    <t>Taylor Draper Ln_11266_Museo_Austin_00202</t>
  </si>
  <si>
    <t>Wood Hollow Dr_6805_The Ridge_Austin_00203</t>
  </si>
  <si>
    <t>Royal Crest Dr_1616_University Crest_Austin_00204</t>
  </si>
  <si>
    <t>River Crossing Cir_1845_River Crossing_Austin_00205</t>
  </si>
  <si>
    <t>Medical Arts St_3001_River Oaks_Austin_00206</t>
  </si>
  <si>
    <t>Town Lake Cir_2409_Las Palmas_Austin_00207</t>
  </si>
  <si>
    <t>Willow Creek Dr_2005_Bluffs at Town Lake_Austin_00208</t>
  </si>
  <si>
    <t>Cromwell Cir_2239_Landry Place_Austin_00209</t>
  </si>
  <si>
    <t>Riverside Dr E_300_SoCo on the Lake_Austin_00210</t>
  </si>
  <si>
    <t>Riverside Dr E_222_Riverside Square_Austin_00211</t>
  </si>
  <si>
    <t>Greystone Dr_3600_Northwest Hills_Austin_00212</t>
  </si>
  <si>
    <t>Rockwood Ln_8615_Rockwood_Austin_00213</t>
  </si>
  <si>
    <t>Northgate Blvd_9300_Avalon Palms I_Austin_00214</t>
  </si>
  <si>
    <t>Rundberg Ln W_1809_Rundberg West_Austin_00215</t>
  </si>
  <si>
    <t>Rutland Dr_1101_Runnymede_Austin_00216</t>
  </si>
  <si>
    <t>Rutland Dr_1711_Rutland Place I &amp; II_Austin_00217</t>
  </si>
  <si>
    <t>Gracy Farms Ln_2600_The Village At Gracy Farms_Austin_00218</t>
  </si>
  <si>
    <t>Manor Rd_2604_Sagebrush_Austin_00219</t>
  </si>
  <si>
    <t>Stassney Ln W_1016_Salem Walk_Austin_00220</t>
  </si>
  <si>
    <t>1st St S_5816_The Arts Apts at Turtle Creek_Austin_00221</t>
  </si>
  <si>
    <t>Lamar Blvd N_8071_Santa Maria Village_Austin_00222</t>
  </si>
  <si>
    <t>Hart Ln_7201_Acacia Cliffs_Austin_00223</t>
  </si>
  <si>
    <t>Manor Rd_2401_Eastside Commons_Austin_00224</t>
  </si>
  <si>
    <t>70 Hwy W_8001_Settlers Creek_Austin_00225</t>
  </si>
  <si>
    <t>Jollyville Rd_12148_Shadow Oaks_Austin_00226</t>
  </si>
  <si>
    <t>Camino La Costa_1114_Magnolia Court_Austin_00227</t>
  </si>
  <si>
    <t>Congress Ave S_4320_Sierra Vista_Austin_00228</t>
  </si>
  <si>
    <t>Lakeshore Blvd S_1801_Shoreline_Austin_00229</t>
  </si>
  <si>
    <t>Saint Elmo Rd W_201_Sierra Ridge_Austin_00230</t>
  </si>
  <si>
    <t>1st St S_2900_Silvercreek_Austin_00231</t>
  </si>
  <si>
    <t>35 IH N_8900_Capella_Austin_00232</t>
  </si>
  <si>
    <t>Nimbus Dr_1001_Skyview Village_Pflugerville_00234</t>
  </si>
  <si>
    <t>Sneed Cove_6201_Sorrento_Austin_00235</t>
  </si>
  <si>
    <t>35 IH S_2001_South Cliff_Austin_00236</t>
  </si>
  <si>
    <t>35 IH S_3209_Mission Grace Woods_Austin_00237</t>
  </si>
  <si>
    <t>35 IH S_6808_South Point Village_Austin_00238</t>
  </si>
  <si>
    <t>Mays St S_1200_Vista Ridge_Round Rock_00240</t>
  </si>
  <si>
    <t>Southridge Dr_3603_Bainbridge Villas_Austin_00242</t>
  </si>
  <si>
    <t>Spicewood Springs Rd_8617_Spicewood Springs_Austin_00243</t>
  </si>
  <si>
    <t>Loyola Ln_4803_Spring Hollow_Austin_00244</t>
  </si>
  <si>
    <t>Springdale Rd_6407_Tierra Bella_Austin_00245</t>
  </si>
  <si>
    <t>Duval Rd_4716_The Springs Garden Homes_Austin_00246</t>
  </si>
  <si>
    <t>Spyglass Dr_1781_Mission Barton Creek_Austin_00247</t>
  </si>
  <si>
    <t>Rutland Dr_1630_Austin Commons_Austin_00248</t>
  </si>
  <si>
    <t>Stassney Ln E_1800_Stassney Woods_Austin_00249</t>
  </si>
  <si>
    <t>William Cannon Dr W_2809_Sterling Springs_Austin_00250</t>
  </si>
  <si>
    <t>Lamar Blvd N_10401_Sterling Village_Austin_00251</t>
  </si>
  <si>
    <t>Lamar Blvd S_1500_Stoneridge (Demolished)_Austin_00253</t>
  </si>
  <si>
    <t>Ave B #110_4310_Stonewood Village_Austin_00254</t>
  </si>
  <si>
    <t>Manchaca Rd_4911_Stony Creek_Austin_00255</t>
  </si>
  <si>
    <t>Plaza Dr N_9200_Shadow Creek_Austin_00256</t>
  </si>
  <si>
    <t>1st St S_3200_Stoney Ridge_Austin_00257</t>
  </si>
  <si>
    <t>Oltorf St E_1817_Sienna Ridge_Austin_00258</t>
  </si>
  <si>
    <t>39th St W_103_Su Casa_Austin_00259</t>
  </si>
  <si>
    <t>San Felipe Blvd_7905_Summer Grove_Austin_00260</t>
  </si>
  <si>
    <t>William Cannon Dr W_744_Club at Summer Valley_Austin_00261</t>
  </si>
  <si>
    <t>Georgetown St N_1101_Summerset_Round Rock_00262</t>
  </si>
  <si>
    <t>San Felipe Blvd_7900_Summit Creek_Austin_00263</t>
  </si>
  <si>
    <t>Sunrise Rd_1200_Sunchase_Round Rock_00264</t>
  </si>
  <si>
    <t>Banister Ln_1006_Sundance_Austin_00265</t>
  </si>
  <si>
    <t>Oltorf St E_501_Sunnymeade_Austin_00266</t>
  </si>
  <si>
    <t>Cardinal Loop W_2426_Sunscape_Del Valle_00267</t>
  </si>
  <si>
    <t>Wells Branch Pkwy_2323_Sweetwater at Wells Branch_Austin_00268</t>
  </si>
  <si>
    <t>Tallwood Dr_8810_The Arbor at Tallwood_Austin_00269</t>
  </si>
  <si>
    <t>Aftonshire Way_2915_Mission Tanglewood_Austin_00270</t>
  </si>
  <si>
    <t>45th St E_1020_Tanglewood North_Austin_00271</t>
  </si>
  <si>
    <t>Wonsley Dr E_615_Towne Oaks II_Austin_00273</t>
  </si>
  <si>
    <t>1st St S_614_Timbercreek_Austin_00274</t>
  </si>
  <si>
    <t>Anderson Ln E_500_Towne Oaks I_Austin_00276</t>
  </si>
  <si>
    <t>Treadwell St_1200_Treadwell Condos_Austin_00277</t>
  </si>
  <si>
    <t>Metric Blvd_11511_Trails of Walnut Creek_Austin_00278</t>
  </si>
  <si>
    <t>Ed Bluestein Blvd_6600_Travis Station_Austin_00280</t>
  </si>
  <si>
    <t>Clayton Ln_1071_Trestles of Austin_Austin_00281</t>
  </si>
  <si>
    <t>Leon St_2518_Viewpoint_Austin_00282</t>
  </si>
  <si>
    <t>Longview St_2505_Villa Vallarta_Austin_00283</t>
  </si>
  <si>
    <t>Burton Dr_2101_Park View at Town Lake_Austin_00284</t>
  </si>
  <si>
    <t>NE Dr_7224_Trails at Vintage Creek_Austin_00285</t>
  </si>
  <si>
    <t>Jollyville Rd_10926_Village Oaks_Austin_00286</t>
  </si>
  <si>
    <t>Gessner Dr_8033_Village Park_Austin_00287</t>
  </si>
  <si>
    <t>Camino La Costa_1016_Villas of La Costa_Austin_00288</t>
  </si>
  <si>
    <t>Southport Dr_1508_The Villas at Oak Run_Austin_00289</t>
  </si>
  <si>
    <t>Lamar Blvd N_9036_Villas of Quail Creek_Austin_00290</t>
  </si>
  <si>
    <t>Springdale Rd_6409_Walnut Creek_Austin_00291</t>
  </si>
  <si>
    <t>Cedar Bend Dr_2000_Walnut Creek Crossing_Austin_00292</t>
  </si>
  <si>
    <t>NE Dr_7211_Walnut Grove_Austin_00293</t>
  </si>
  <si>
    <t>24th St W_1302_West 24th Street Apts_Austin_00294</t>
  </si>
  <si>
    <t>Mellow Meadow Dr_12403_Westwood_Austin_00295</t>
  </si>
  <si>
    <t>Parker Ln_3300_Whisper Hollow_Austin_00296</t>
  </si>
  <si>
    <t>Saint Elmo Rd W_400_The Arts Apts at South Austin_Austin_00297</t>
  </si>
  <si>
    <t>Faro Dr_1511_Wildcreek_Austin_00298</t>
  </si>
  <si>
    <t>Lamar Blvd N_8912_Wildflower_Austin_00299</t>
  </si>
  <si>
    <t>Cameron Rd_7610_Wildwood_Austin_00300</t>
  </si>
  <si>
    <t>1st St S_5112_Williamson Creek_Austin_00301</t>
  </si>
  <si>
    <t>William Cannon Dr E_412_Willow Brook_Austin_00302</t>
  </si>
  <si>
    <t>Willow Creek Dr_1911_Austin View_Austin_00303</t>
  </si>
  <si>
    <t>Spyglass Dr_1300_The Ridge at Barton Creek_Austin_00305</t>
  </si>
  <si>
    <t>Research Blvd_11411_Wind River Crossing_Austin_00306</t>
  </si>
  <si>
    <t>Northgate Blvd_9024_Ashbury Parke_Austin_00307</t>
  </si>
  <si>
    <t>Steck Ave_3605_Le Montreaux_Austin_00308</t>
  </si>
  <si>
    <t>Burnet Rd_8524_Woodchase_Austin_00309</t>
  </si>
  <si>
    <t>Manchaca Rd_3622_Woodgate_Austin_00310</t>
  </si>
  <si>
    <t>Greystone Dr_3524_Woodhollow_Austin_00311</t>
  </si>
  <si>
    <t>Lakeshore Blvd S_2201_Chelsea on Town Lake_Austin_00312</t>
  </si>
  <si>
    <t>35 IH N_8312_Woodland Heights_Austin_00313</t>
  </si>
  <si>
    <t>Burleson Rd_2507_Burleson Place_Austin_00314</t>
  </si>
  <si>
    <t>Rutland Dr_1735_Woodmark_Austin_00315</t>
  </si>
  <si>
    <t>Wickersham Ln_2501_Woodmeade_Austin_00316</t>
  </si>
  <si>
    <t>Lamar Blvd S_3505_Woodmoor_Austin_00317</t>
  </si>
  <si>
    <t>Barton Skyway_2901_The Woods On Barton Skyway_Austin_00318</t>
  </si>
  <si>
    <t>Steck Ave_4021_Woodstone_Austin_00319</t>
  </si>
  <si>
    <t>Greystone Dr_3543_Westdale Parke_Austin_00320</t>
  </si>
  <si>
    <t>William Cannon Dr W_117_Cannon South_Austin_00321</t>
  </si>
  <si>
    <t>Woodward St_121_Lindys Landing_Austin_00322</t>
  </si>
  <si>
    <t>1st St S_600_The Willows_Austin_00324</t>
  </si>
  <si>
    <t>53rd St E_600_The Elms_Austin_00325</t>
  </si>
  <si>
    <t>30th St W_610_Fountain Terrace_Austin_00326</t>
  </si>
  <si>
    <t>51st St W_600_Villa Solano_Austin_00327</t>
  </si>
  <si>
    <t>32nd St W_711_Buckingham Square_Austin_00328</t>
  </si>
  <si>
    <t>Battle Bend Blvd_911_Oak Bend_Austin_00329</t>
  </si>
  <si>
    <t>Camino La Costa_1044_MacKenzie Pointe_Austin_00330</t>
  </si>
  <si>
    <t>Oltorf St E_1110_Travis Park_Austin_00331</t>
  </si>
  <si>
    <t>Gunter St_1137_Mason Manor_Austin_00332</t>
  </si>
  <si>
    <t>Kinney Ave_1507_Cloisters West_Austin_00333</t>
  </si>
  <si>
    <t>Aquarena Springs Dr_1640_Shalamar_San Marcos_00334</t>
  </si>
  <si>
    <t>Elmont Dr_2101_Barcelona_Austin_00335</t>
  </si>
  <si>
    <t>Anderson Ln E_2104_Salado at Walnut Creek_Austin_00336</t>
  </si>
  <si>
    <t>Loop W N_2200_Kensington Court_Austin_00337</t>
  </si>
  <si>
    <t>Willow Creek Dr_2201_Renaissance Park_Austin_00338</t>
  </si>
  <si>
    <t>Loop W N_2200_Kensington Terrace_Austin_00339</t>
  </si>
  <si>
    <t>Loop W N_2211_French Quarter_Austin_00340</t>
  </si>
  <si>
    <t>Wilson St_2324_Oak Creek Village_Austin_00341</t>
  </si>
  <si>
    <t>Manor Rd_2506_Archways_Austin_00342</t>
  </si>
  <si>
    <t>Wheless Ln_2606_Westheimer Oaks_Austin_00343</t>
  </si>
  <si>
    <t>Congress Ave S_2703_Heights on Congress_Austin_00344</t>
  </si>
  <si>
    <t>Willow Springs Rd_3601_Woodwillow TH_Austin_00345</t>
  </si>
  <si>
    <t>Summer Oaks Dr_1304_Oak Run_Austin_00346</t>
  </si>
  <si>
    <t>Springdale Rd_1054_Springdale Gardens_Austin_00347</t>
  </si>
  <si>
    <t>Southway Dr_3819_South Hill_Austin_00348</t>
  </si>
  <si>
    <t>Harmon Ave_4709_The Village at 47th_Austin_00350</t>
  </si>
  <si>
    <t>Manor Rd_5020_Harvard Place_Austin_00351</t>
  </si>
  <si>
    <t>Lamar Blvd N_5606_Hidden Gardens_Austin_00352</t>
  </si>
  <si>
    <t>Lamar Blvd N_6008_Central Park I_Austin_00353</t>
  </si>
  <si>
    <t>Manor Rd_6103_Manor Palms_Austin_00354</t>
  </si>
  <si>
    <t>Duval St_7200_Mi Casa_Austin_00356</t>
  </si>
  <si>
    <t>Fathom Cir_8312_Laurel Woods_Austin_00357</t>
  </si>
  <si>
    <t>Shoal Creek Blvd_8515_Shoal Creek Arms_Austin_00358</t>
  </si>
  <si>
    <t>Shoal Creek Blvd_8605_Shoal Creek North_Austin_00360</t>
  </si>
  <si>
    <t>Galewood Dr_9010_Galewood Gardens_Austin_00361</t>
  </si>
  <si>
    <t>Quail Blvd_9920_Quail Park Village_Austin_00362</t>
  </si>
  <si>
    <t>Elmont Dr_2510_The Addington_Austin_00363</t>
  </si>
  <si>
    <t>Town Lake Cir_2439_Warren House_Austin_00364</t>
  </si>
  <si>
    <t>Dawson Rd_516_Park Terrace at Town Lake_Austin_00365</t>
  </si>
  <si>
    <t>Cumberland Dr_130_The Oaks_Austin_00367</t>
  </si>
  <si>
    <t>Rio Grande St_1801_Penthouse_Austin_00368</t>
  </si>
  <si>
    <t>39th St W_415_Andrews Place_Austin_00369</t>
  </si>
  <si>
    <t>40th St E_901_Granada_Austin_00370</t>
  </si>
  <si>
    <t>Speedway St_3100_The Marks &amp; The Embers_Austin_00371</t>
  </si>
  <si>
    <t>Winflo Dr_809_Park Place_Austin_00372</t>
  </si>
  <si>
    <t>Bluff Springs Rd_7100_Bluff Springs TH_Austin_00373</t>
  </si>
  <si>
    <t>26th St W_600_26 West_Austin_00374</t>
  </si>
  <si>
    <t>Chisolm Valley Dr_1221_Westwind_Round Rock_00375</t>
  </si>
  <si>
    <t>Manor Rd_5005_Windcrest_Austin_00376</t>
  </si>
  <si>
    <t>15th St W_708_Victorian Villages_Georgetown_00377</t>
  </si>
  <si>
    <t>W Ave_2907_Warwick_Austin_00378</t>
  </si>
  <si>
    <t>Robbie Ln_200_Englebrook-San Marcos_San Marcos_00379</t>
  </si>
  <si>
    <t>Craddock Ave_317_Executive TH_San Marcos_00380</t>
  </si>
  <si>
    <t>Aquarena Springs Dr_1200_Hidden Village_San Marcos_00381</t>
  </si>
  <si>
    <t>San Marcos Pkwy_1109_Florencia Villas_San Marcos_00382</t>
  </si>
  <si>
    <t>Clarewood Dr_1400_Clarewood_San Marcos_00383</t>
  </si>
  <si>
    <t>Thorpe Ln_1348_The Summit_San Marcos_00384</t>
  </si>
  <si>
    <t>Peques St_900_The Timbers_San Marcos_00385</t>
  </si>
  <si>
    <t>Aquarena Springs Dr_1631_Ye Olde Colony_San Marcos_00386</t>
  </si>
  <si>
    <t>12 RR_1518_Highcrest Apts_San Marcos_00387</t>
  </si>
  <si>
    <t>35 IH N_1703_Avalon_San Marcos_00388</t>
  </si>
  <si>
    <t>35 IH N_1805_The Verandah_San Marcos_00389</t>
  </si>
  <si>
    <t>Leah Ave_1101_Cedars of San Marcos_San Marcos_00390</t>
  </si>
  <si>
    <t>River Rd W_705_Colony Square Condos_San Marcos_00391</t>
  </si>
  <si>
    <t>LBJ Dr N_800_Treehouse_San Marcos_00392</t>
  </si>
  <si>
    <t>1st St_201_Village Green_San Marcos_00393</t>
  </si>
  <si>
    <t>Aquarena Springs Dr_1805_Riverside Ranch_San Marcos_00394</t>
  </si>
  <si>
    <t>W Ave_112_Westfield_San Marcos_00395</t>
  </si>
  <si>
    <t>Craddock Ave_205_Langtry_San Marcos_00396</t>
  </si>
  <si>
    <t>Wood W_327_Texas State Apts_San Marcos_00397</t>
  </si>
  <si>
    <t>LBJ Dr N_1230_Hill Country-San Marcos_San Marcos_00398</t>
  </si>
  <si>
    <t>Ramsay_222_Iconic Village_San Marcos_00399</t>
  </si>
  <si>
    <t>Linda Dr_520_Townwood_San Marcos_00400</t>
  </si>
  <si>
    <t>LBJ Dr N_1000_Vintage Pads_San Marcos_00401</t>
  </si>
  <si>
    <t>Spicewood Springs Rd_4411_The Marquis at Caprock Canyon_Austin_00402</t>
  </si>
  <si>
    <t>Metric Blvd_12113_Madison at Walnut Creek_Austin_00403</t>
  </si>
  <si>
    <t>Capital of TX Hwy N_6804_The McClintock_Austin_00404</t>
  </si>
  <si>
    <t>Wilson St_1320_Lockhart_Lockhart_00405</t>
  </si>
  <si>
    <t>Spinnaker St_400_The Landing_Lockhart_00406</t>
  </si>
  <si>
    <t>Pine Point Dr_1_Pine Point_Bastrop_00407</t>
  </si>
  <si>
    <t>Childers Dr_202_The Arbors of Bastrop_Bastrop_00408</t>
  </si>
  <si>
    <t>Willow Creek Dr_2200_Bridge Hollow_Austin_00409</t>
  </si>
  <si>
    <t>Wonder World Dr_1350_Asbury Place_San Marcos_00410</t>
  </si>
  <si>
    <t>Stonelake Blvd_9801_Arboretum at Stone Lake_Austin_00411</t>
  </si>
  <si>
    <t>Monterey Oaks Blvd_4201_Sedona Springs_Austin_00412</t>
  </si>
  <si>
    <t>McNeil Dr_6280_McNeil Ranch_Austin_00413</t>
  </si>
  <si>
    <t>Duval Rd_3625_San Marin_Austin_00414</t>
  </si>
  <si>
    <t>Capital of Texas Hwy N_7700_Canyon Springs on Bull Creek_Austin_00415</t>
  </si>
  <si>
    <t>Metric Blvd_12349_Camden Huntingdon_Austin_00416</t>
  </si>
  <si>
    <t>Great Hills Trl_10050_Marquis at Great Hills_Austin_00417</t>
  </si>
  <si>
    <t>McNeil Dr_6800_Madison at Stone Creek_Austin_00418</t>
  </si>
  <si>
    <t>Luther Dr_600_Indian Creek Apts_Georgetown_00420</t>
  </si>
  <si>
    <t>Mearns Meadow Blvd_1070_Arbors of Austin_Austin_00421</t>
  </si>
  <si>
    <t>Bluffstone Cove_8701_Broadstone Great Hills_Austin_00422</t>
  </si>
  <si>
    <t>Hobby Horse Ct_11900_Verano at the Domain_Austin_00423</t>
  </si>
  <si>
    <t>Panther Trl_2200_The Hamilton_Austin_00424</t>
  </si>
  <si>
    <t>Jollyville Rd_11624_Marquis at Ladera Vista_Austin_00425</t>
  </si>
  <si>
    <t>Palm Valley Blvd E_515_Steeplechase_Round Rock_00426</t>
  </si>
  <si>
    <t>Seton Center Pkwy_4600_Estate on Quarry Lake_Austin_00427</t>
  </si>
  <si>
    <t>Austin Center Blvd_6800_Somerset TH_Austin_00428</t>
  </si>
  <si>
    <t>Wells Branch Pkwy_3101_Camden Ridgecrest_Austin_00429</t>
  </si>
  <si>
    <t>Bluff Springs Rd_6307_Colonial Village at Canyon Hills_Austin_00430</t>
  </si>
  <si>
    <t>35 IH N_12151_Silver Springs_Austin_00431</t>
  </si>
  <si>
    <t>Manchaca Rd_9323_The Crossing_Austin_00432</t>
  </si>
  <si>
    <t>Stonehollow Dr_11915_Northland at Stonehollow_Austin_00433</t>
  </si>
  <si>
    <t>Spicewood Springs Rd_5217_Marquis at Treetops_Austin_00434</t>
  </si>
  <si>
    <t>Metric Blvd_12100_Chez Moi_Austin_00436</t>
  </si>
  <si>
    <t>Staggerbrush Rd_4701_IMT Monterey Ranch_Austin_00437</t>
  </si>
  <si>
    <t>Century Park Blvd_3201_Madison at Wells Branch_Austin_00439</t>
  </si>
  <si>
    <t>Riverside Dr E_4700_The Edge and The Zone at East End_Austin_00440</t>
  </si>
  <si>
    <t>Lake Austin Blvd_2600_Gables Town Lake_Austin_00441</t>
  </si>
  <si>
    <t>William Cannon W_6636_Lantana Ridge_Austin_00442</t>
  </si>
  <si>
    <t>La Frontera Blvd_2811_Limestone Ranch_Austin_00443</t>
  </si>
  <si>
    <t>Nelms Dr_1704_Sunrise Bluff_Austin_00444</t>
  </si>
  <si>
    <t>Gaines Ranch Loop_4424_Camden Gaines Ranch_Austin_00445</t>
  </si>
  <si>
    <t>McNeil Dr_6263_Colonial Village at Quarry Oaks_Austin_00446</t>
  </si>
  <si>
    <t>Brodie Ln_5800_The Grand Reserve at Sunset Valley_Austin_00447</t>
  </si>
  <si>
    <t>Parmer Ln W_3401_Water's Park_Austin_00448</t>
  </si>
  <si>
    <t>Congress Ave S_1221_State House on Congress_Austin_00449</t>
  </si>
  <si>
    <t>Park Plaza Dr_1088_Forest Park_Austin_00450</t>
  </si>
  <si>
    <t>Palm Valley Blvd E_1801_Rocking Horse Ranch_Round Rock_00451</t>
  </si>
  <si>
    <t>Masterson Pass_607_Arrowhead Park_Austin_00452</t>
  </si>
  <si>
    <t>Hills Dr N_3600_Bent Oaks_Austin_00453</t>
  </si>
  <si>
    <t>Merrilltown Dr_14745_Lodge at Merrilltown I &amp; II_Austin_00455</t>
  </si>
  <si>
    <t>Walnut Park Crossing_12118_Limestone Canyon_Austin_00456</t>
  </si>
  <si>
    <t>Faro Dr_1612_Paradise Oaks_Austin_00457</t>
  </si>
  <si>
    <t>Wells Branch Pkwy_1720_Wyndhaven at Wells Branch_Austin_00458</t>
  </si>
  <si>
    <t>Metric Blvd_13401_Madison at Scofield Farms_Austin_00459</t>
  </si>
  <si>
    <t>Riverside Dr E_4501_Country Club Creek_Austin_00460</t>
  </si>
  <si>
    <t>Aquarena Springs Dr_1951_Country Oaks_San Marcos_00461</t>
  </si>
  <si>
    <t>Aquarena Springs Dr_1950_River Oaks Villas_San Marcos_00462</t>
  </si>
  <si>
    <t>LBJ Dr N_1350_Hillside Ranch I &amp; II_San Marcos_00463</t>
  </si>
  <si>
    <t>Lamar Blvd S_3816_The Retreat at Barton Creek_Austin_00464</t>
  </si>
  <si>
    <t>38th St W_800_Gables Central Park_Austin_00465</t>
  </si>
  <si>
    <t>Spicewood Springs Rd_8585_Terrazzo Apts_Austin_00466</t>
  </si>
  <si>
    <t>Brodie Ln_6607_River Oaks_Austin_00467</t>
  </si>
  <si>
    <t>William Cannon Dr_3014_Highlands Hill Country_Austin_00470</t>
  </si>
  <si>
    <t>SW Pkwy_5604_The Preserve at Travis Creek_Austin_00471</t>
  </si>
  <si>
    <t>Mopac Expwy S_2301_Gables at the Terrace_Austin_00472</t>
  </si>
  <si>
    <t>Mopac Expwy S_5417_Austin Trails_Austin_00473</t>
  </si>
  <si>
    <t>Scofield Ridge Pkwy_2600_Scofield Park at Austin_Austin_00474</t>
  </si>
  <si>
    <t>Crossing Place_1300_University Estates at Austin_Austin_00475</t>
  </si>
  <si>
    <t>Mopac Expwy S_5701_River Stone Ranch_Austin_00476</t>
  </si>
  <si>
    <t>Linda Dr_518_Kelsea Place_San Marcos_00477</t>
  </si>
  <si>
    <t>Wells Branch Pkwy_2800_IMT Wells Branch_Austin_00478</t>
  </si>
  <si>
    <t>620 RR N_8801_Sonterra I_Austin_00479</t>
  </si>
  <si>
    <t>Mopac Expwy S_2001_Post Barton Creek_Austin_00481</t>
  </si>
  <si>
    <t>Wonder World Dr_1011_The Palazzo I_San Marcos_00482</t>
  </si>
  <si>
    <t>Parmer Ln W_9400_The Ranch_Austin_00483</t>
  </si>
  <si>
    <t>Cypress Creek Rd_335_Cypress Gardens_Cedar Park_00484</t>
  </si>
  <si>
    <t>Post Rd_1629_Post Road Place_San Marcos_00485</t>
  </si>
  <si>
    <t>Stassney Ln E_500_Falcon Ridge_Austin_00486</t>
  </si>
  <si>
    <t>Aquarena Springs Dr_1623_Spring West_San Marcos_00487</t>
  </si>
  <si>
    <t>Decker Ln_7000_Huntington Meadows_Austin_00488</t>
  </si>
  <si>
    <t>Clayton Ln_1034_The Timbers_Austin_00489</t>
  </si>
  <si>
    <t>Parmer Ln W_9801_Sycamore Springs_Austin_00490</t>
  </si>
  <si>
    <t>Alameda Trace Cir_12345_RIATA-Rock Creek_Austin_00491</t>
  </si>
  <si>
    <t>Alameda Trace Cir_12320_RIATA-Enclave_Austin_00492</t>
  </si>
  <si>
    <t>Alameda Trace Cir_12370_RIATA-Arrow Wood_Austin_00493</t>
  </si>
  <si>
    <t>Riata Trace Pkwy_12610_RIATA-Myles Mark_Austin_00494</t>
  </si>
  <si>
    <t>Bagdad Rd S_2702_Cedar Ridge I_Leander_00495</t>
  </si>
  <si>
    <t>Post Rd_1617_Post Oak Villa_San Marcos_00496</t>
  </si>
  <si>
    <t>W Ave_109_University Springs_San Marcos_00497</t>
  </si>
  <si>
    <t>Brodie Ln_8710_Deerfield_Austin_00499</t>
  </si>
  <si>
    <t>2222 RM_10301_Riverlodge_Austin_00500</t>
  </si>
  <si>
    <t>22nd St W_550_The Oaks at Georgetown_Georgetown_00501</t>
  </si>
  <si>
    <t>Riverbend_200_Westwood TH_Georgetown_00502</t>
  </si>
  <si>
    <t>Barton Creek Blvd_2716_Sendera Barton Creek_Austin_00503</t>
  </si>
  <si>
    <t>Christopher Ave_1338_Westwind Duplexes_Round Rock_00504</t>
  </si>
  <si>
    <t>Exchange Dr_8054_Palms of Walnut Creek_Austin_00505</t>
  </si>
  <si>
    <t>Sunridge Dr_2900_Mission Hills_Austin_00506</t>
  </si>
  <si>
    <t>Wickersham Ln_1600_Ion at East End_Austin_00507</t>
  </si>
  <si>
    <t>Monterey Oaks Blvd_4701_The Park at Monterey Oaks_Austin_00508</t>
  </si>
  <si>
    <t>Louis Henna Blvd_2501_Montelena_Round Rock_00510</t>
  </si>
  <si>
    <t>Louis Henna Blvd_700_Stonehaven_Round Rock_00511</t>
  </si>
  <si>
    <t>Austin Ave N_2111_Parkview Place_Georgetown_00512</t>
  </si>
  <si>
    <t>Alameda Trace Cir_12445_RIATA-Grey Moss_Austin_00513</t>
  </si>
  <si>
    <t>Tapadera Trace Ln_5700_RIATA-Wood Trail_Austin_00514</t>
  </si>
  <si>
    <t>Boulder Ln_10320_Sonterra II_Austin_00515</t>
  </si>
  <si>
    <t>290 Hwy W_7631_Vineyard Hills_Austin_00517</t>
  </si>
  <si>
    <t>La Cresada Dr_8801_Legacy at Western Oaks_Austin_00518</t>
  </si>
  <si>
    <t>Lamplight Village Ave_12345_Renaissance at Northbend_Austin_00519</t>
  </si>
  <si>
    <t>Colorado St S_1817_Southpark Village_Lockhart_00521</t>
  </si>
  <si>
    <t>Louis Henna Blvd_2500_Henna TH_Round Rock_00522</t>
  </si>
  <si>
    <t>Alameda Trace Cir_12340_RIATA-Dominion_Austin_00524</t>
  </si>
  <si>
    <t>Alameda Trace Cir_12440_RIATA-Buena Vista_Austin_00525</t>
  </si>
  <si>
    <t>Old Manchaca Rd_10801_Saddle Creek_Austin_00526</t>
  </si>
  <si>
    <t>Aquarena Springs Dr_1975_The Zone At San Marcos_San Marcos_00527</t>
  </si>
  <si>
    <t>12 RR_1740_The Edge_San Marcos_00528</t>
  </si>
  <si>
    <t>Douglas St_2347_Douglas Landing_Austin_00529</t>
  </si>
  <si>
    <t>Tech Ridge Blvd_12501_San Paloma_Austin_00530</t>
  </si>
  <si>
    <t>Riverside Dr E_2425_Mountain Ranch_Austin_00532</t>
  </si>
  <si>
    <t>Anderson Mill Rd (FM 2769)_11908_Marquis at Volente_Austin_00534</t>
  </si>
  <si>
    <t>Waters Edge Cir_25_Waters Edge_Georgetown_00535</t>
  </si>
  <si>
    <t>Parmer Ln W_7011_IMT Rattan Creek_Austin_00536</t>
  </si>
  <si>
    <t>Congress Ave S_1007_Camden South Congress_Austin_00537</t>
  </si>
  <si>
    <t>Slaughter Ln W_815_Trails at the Park_Austin_00539</t>
  </si>
  <si>
    <t>Parmer Ln W_9500_Ventana Oaks_Austin_00540</t>
  </si>
  <si>
    <t>Exchange Dr_8038_The Reserve at Walnut Creek_Austin_00541</t>
  </si>
  <si>
    <t>Shoreline Dr_3400_Parkside Crossing_Austin_00542</t>
  </si>
  <si>
    <t>Creek Dr S_1111_Colonial Village at Sierra Vista_Round Rock_00543</t>
  </si>
  <si>
    <t>Louis Henna Blvd_670_The Mansions at Round Rock_Round Rock_00544</t>
  </si>
  <si>
    <t>Tech Ridge Blvd_12443_Mandalay_Austin_00545</t>
  </si>
  <si>
    <t>Oltorf St E_4404_University Canyon aka The Heights in Austin_Austin_00546</t>
  </si>
  <si>
    <t>Lake Creek Pkwy_10015_Presidio_Austin_00547</t>
  </si>
  <si>
    <t>Blessing Ave_7607_St. Johns Village_Austin_00548</t>
  </si>
  <si>
    <t>Crossing Place_1500_Village at Riverside_Austin_00549</t>
  </si>
  <si>
    <t>Parmer Ln W_5400_Lodge at Stone Oak Ranch_Austin_00550</t>
  </si>
  <si>
    <t>Craddock_121_The Metropolitan_San Marcos_00555</t>
  </si>
  <si>
    <t>Wonder World Dr_1011_The Palazzo II_San Marcos_00556</t>
  </si>
  <si>
    <t>620 FM N_13425_Talavera_Austin_00557</t>
  </si>
  <si>
    <t>183 Hwy N_13355_Toscana_Austin_00558</t>
  </si>
  <si>
    <t>620 FM N_8025_ALARA Canyon Creek_Austin_00559</t>
  </si>
  <si>
    <t>620 RR N_8021_Alara Cantebrea Crossing_Austin_00560</t>
  </si>
  <si>
    <t>Parmer Ln_8701_The Artisan_Austin_00562</t>
  </si>
  <si>
    <t>W Ave_300_Gables West Avenue_Austin_00563</t>
  </si>
  <si>
    <t>Shoreline Dr_3501_The Estates at Shoreline_Austin_00567</t>
  </si>
  <si>
    <t>William Cannon Dr W_1500_Tramor at Cannon Place_Austin_00568</t>
  </si>
  <si>
    <t>35 IH N_1606_Autumn Chase_San Marcos_00569</t>
  </si>
  <si>
    <t>Lakeline Blvd S_1600_Red Stone Ranch_Cedar Park_00573</t>
  </si>
  <si>
    <t>Warner Ranch Dr_1801_The Lodge at Warner Ranch_Round Rock_00576</t>
  </si>
  <si>
    <t>La Frontera Blvd_2800_The Enclave at La Frontera_Round Rock_00577</t>
  </si>
  <si>
    <t>Foothill Farms Loop_15835_1825 Place AH_Pflugerville_00578</t>
  </si>
  <si>
    <t>Oltorf St E_4900_Austin Cityview_Austin_00579</t>
  </si>
  <si>
    <t>Davis Ln_4825_Camden Stoneleigh_Austin_00580</t>
  </si>
  <si>
    <t>Harrisglenn Dr_12800_Settlers Ridge_Austin_00581</t>
  </si>
  <si>
    <t>1325 FM_15450_The Preserve at Rolling Oaks_Austin_00582</t>
  </si>
  <si>
    <t>Leah Ave_1001_Park Hill_San Marcos_00583</t>
  </si>
  <si>
    <t>Techni Center_5800_Fort Branch at Trumans Landing_Austin_00584</t>
  </si>
  <si>
    <t>Elmont Dr_4600_The Ball Park At Austin_Austin_00585</t>
  </si>
  <si>
    <t>Crossing Place_1301_University Village at Austin_Austin_00586</t>
  </si>
  <si>
    <t>Quail Valley Dr_805_Georgetown Place_Georgetown_00589</t>
  </si>
  <si>
    <t>Old Settlers Blvd E_1201_Parkwood Terrace_Round Rock_00590</t>
  </si>
  <si>
    <t>620 RR N_8600_Verandah at Grandview Hills_Austin_00597</t>
  </si>
  <si>
    <t>620 FM N_7655_Tintara at Canyon Creek I_Austin_00598</t>
  </si>
  <si>
    <t>620 FM N_9009_Monterone Canyon Creek_Austin_00603</t>
  </si>
  <si>
    <t>Old Bee Cave Rd_8405_Southwest Trails-AH_Austin_00604</t>
  </si>
  <si>
    <t>O'Connor Dr_7710_Monterone Round Rock_Round Rock_00606</t>
  </si>
  <si>
    <t>Champion Blvd_345_Champions Crossing_San Marcos_00610</t>
  </si>
  <si>
    <t>35 IH S_1506_Villas at Willow Springs_San Marcos_00611</t>
  </si>
  <si>
    <t>Steiner Ranch Blvd_4500_Monterone at Steiner Ranch_Austin_00624</t>
  </si>
  <si>
    <t>Jackson Keller_1550_The Enclave at 1550_San Antonio_00671</t>
  </si>
  <si>
    <t>Stone Oak Pkwy_19275_Toscana at Sonterra_San Antonio_00672</t>
  </si>
  <si>
    <t>Sahara Dr_10363_Alamo_San Antonio_00673</t>
  </si>
  <si>
    <t>Hutchins Place W_2800_Alta Vista_San Antonio_00674</t>
  </si>
  <si>
    <t>Starcrest Dr_12474_Altamonte_San Antonio_00675</t>
  </si>
  <si>
    <t>Amber Place W_131_Amber_San Antonio_00676</t>
  </si>
  <si>
    <t>Randoph Blvd_6000_Amberton_San Antonio_00677</t>
  </si>
  <si>
    <t>Fredericksburg Rd_3939_Antonian_San Antonio_00678</t>
  </si>
  <si>
    <t>USAA Blvd_5100_Huebner Oaks_San Antonio_00679</t>
  </si>
  <si>
    <t>Heimer Rd_250_Arbor Hill_San Antonio_00680</t>
  </si>
  <si>
    <t>W Ave_3815_Arbor Place_San Antonio_00681</t>
  </si>
  <si>
    <t>Villa Dr_135_Villa Mesa_Universal City_00682</t>
  </si>
  <si>
    <t>Blanco Rd_5200_Arriba En Blanco_San Antonio_00683</t>
  </si>
  <si>
    <t>Henderson Pass_16400_Ashley Oaks_San Antonio_00684</t>
  </si>
  <si>
    <t>Harry Wurzbach_2447_Aspen Chase_San Antonio_00686</t>
  </si>
  <si>
    <t>Perrin Beitel_9338_Aspen Trail_San Antonio_00687</t>
  </si>
  <si>
    <t>Gardendale_4411_Auburn Creek_San Antonio_00688</t>
  </si>
  <si>
    <t>Nacogdoches_10631_Audubon Place_San Antonio_00689</t>
  </si>
  <si>
    <t>Braesview_11711_Austin Pointe_San Antonio_00690</t>
  </si>
  <si>
    <t>Thousand Oaks Dr_3200_Regal Park_San Antonio_00691</t>
  </si>
  <si>
    <t>Eisenhauer_3600_Avalon_San Antonio_00692</t>
  </si>
  <si>
    <t>Camino Villa_9821_Bandera Crossing_San Antonio_00693</t>
  </si>
  <si>
    <t>Cross Creek_8170_Banyan Tree_San Antonio_00695</t>
  </si>
  <si>
    <t>Montrose_427_Montrose Place_San Antonio_00696</t>
  </si>
  <si>
    <t>Silver Sands W_935_Bear Creek_San Antonio_00697</t>
  </si>
  <si>
    <t>Marbach Rd_11803_Bear Springs_San Antonio_00698</t>
  </si>
  <si>
    <t>Flores St S_8237_Bellaire_San Antonio_00699</t>
  </si>
  <si>
    <t>Gus Eckert_4801_Bent Tree_San Antonio_00700</t>
  </si>
  <si>
    <t>Austin Hwy_1111_Bentwood Place_San Antonio_00701</t>
  </si>
  <si>
    <t>Roszell_11300_Terrace Apts_San Antonio_00702</t>
  </si>
  <si>
    <t>Vista Valet_1111_Biltmore Park_San Antonio_00703</t>
  </si>
  <si>
    <t>Bitters Rd W_400_Bitterwood_San Antonio_00704</t>
  </si>
  <si>
    <t>Old Blanco Rd_13999_Blanco Crossing_San Antonio_00705</t>
  </si>
  <si>
    <t>Parliament Dr_11710_Blue Swan_San Antonio_00706</t>
  </si>
  <si>
    <t>Jackson Keller_2503_City View AH_San Antonio_00707</t>
  </si>
  <si>
    <t>W.W. White Rd_2103_Boxwood_San Antonio_00708</t>
  </si>
  <si>
    <t>Braesview_11501_Braesview_San Antonio_00709</t>
  </si>
  <si>
    <t>Vista Valet_800_Brandon Oaks_San Antonio_00710</t>
  </si>
  <si>
    <t>Howard St_730_Braunfels Haus_New Braunfels_00711</t>
  </si>
  <si>
    <t>Gevers S_3550_Brigadoon_San Antonio_00712</t>
  </si>
  <si>
    <t>Jones Maltsberger_8607_The Villas of San Francisco_San Antonio_00713</t>
  </si>
  <si>
    <t>Broadview Dr W_215_Broad Viewe_San Antonio_00714</t>
  </si>
  <si>
    <t>Broadway_9110_Broadway Place_San Antonio_00715</t>
  </si>
  <si>
    <t>Broken Oak_1935_Broken Oak TH_San Antonio_00716</t>
  </si>
  <si>
    <t>Bronco Dr_8228_Bronco_San Antonio_00717</t>
  </si>
  <si>
    <t>Old Corpus Christi Hwy_7577_Brooksfield_San Antonio_00718</t>
  </si>
  <si>
    <t>Jones Maltsberger_14438_Burning Tree_San Antonio_00719</t>
  </si>
  <si>
    <t>Callaghan Rd_3631_Callaghan Crossing_San Antonio_00720</t>
  </si>
  <si>
    <t>Wurzbach Rd_5900_The Calypso_San Antonio_00721</t>
  </si>
  <si>
    <t>Blanco Rd_12222_Camino Real_San Antonio_00722</t>
  </si>
  <si>
    <t>Roadrunner Way_14500_Campus Side_San Antonio_00723</t>
  </si>
  <si>
    <t>Rigsby Ave_4747_Candlestick_San Antonio_00724</t>
  </si>
  <si>
    <t>W Ave_3536_Canlen West_San Antonio_00725</t>
  </si>
  <si>
    <t>Callaghan Rd_1100_Vista Meadows_San Antonio_00726</t>
  </si>
  <si>
    <t>Henderson Pass_16500_Canyon Oaks_San Antonio_00727</t>
  </si>
  <si>
    <t>Henderson Pass_16550_Canyon Point_San Antonio_00728</t>
  </si>
  <si>
    <t>Blanco Rd_13030_Cape Cod_San Antonio_00729</t>
  </si>
  <si>
    <t>Sea Ln S_7543_Willow Run_San Antonio_00730</t>
  </si>
  <si>
    <t>Babcock Rd_1751_Carlyle Place_San Antonio_00731</t>
  </si>
  <si>
    <t>Bitters Rd W_1440_Carmel at Deerfield_San Antonio_00732</t>
  </si>
  <si>
    <t>Blanco Rd_6014_Castle Hills_San Antonio_00733</t>
  </si>
  <si>
    <t>Blanco Rd_5320_Castle Point_San Antonio_00734</t>
  </si>
  <si>
    <t>Jackson Keller_1403_Castle Terrace_San Antonio_00735</t>
  </si>
  <si>
    <t>Military Dr W_8021_Castleridge_San Antonio_00736</t>
  </si>
  <si>
    <t>Patricia Dr_1200_Churchill Park_San Antonio_00737</t>
  </si>
  <si>
    <t>Snowden_7207_The Landmark at Medical Center_San Antonio_00738</t>
  </si>
  <si>
    <t>Chase Hill Blvd_15801_Chase Hill_San Antonio_00739</t>
  </si>
  <si>
    <t>Fredericksburg Rd_3737_Chateau Orleans_San Antonio_00740</t>
  </si>
  <si>
    <t>Treasure Way_151_Chelsea_San Antonio_00741</t>
  </si>
  <si>
    <t>Silver Sands W_901_Chestnut Park_San Antonio_00742</t>
  </si>
  <si>
    <t>410 Loop NE_1422_Chevy Chase_San Antonio_00743</t>
  </si>
  <si>
    <t>Universal City Blvd_1950_Cimarron City_Universal City_00744</t>
  </si>
  <si>
    <t>Dartbrook_9109_Cinnamon Creek_San Antonio_00745</t>
  </si>
  <si>
    <t>Frio St N_1100_City Gate_San Antonio_00746</t>
  </si>
  <si>
    <t>Ray Bon_7914_Cobblestone Village_San Antonio_00747</t>
  </si>
  <si>
    <t>Thousand Oaks Dr_2650_Connemara Estates_San Antonio_00748</t>
  </si>
  <si>
    <t>Hillcrest Dr_3102_Continental_San Antonio_00749</t>
  </si>
  <si>
    <t>Contour Dr W_1441_Contour Place_San Antonio_00750</t>
  </si>
  <si>
    <t>410 Loop NW_5827_Copper Mill_San Antonio_00751</t>
  </si>
  <si>
    <t>Sir Winston Dr_11245_Copperfield_San Antonio_00752</t>
  </si>
  <si>
    <t>Wakefield Dr_8506_Coral Ridge_San Antonio_00753</t>
  </si>
  <si>
    <t>Grosvenor Blvd_1002_Cornerstone_San Antonio_00754</t>
  </si>
  <si>
    <t>Ahern Dr_8502_Cosmopolitan_San Antonio_00755</t>
  </si>
  <si>
    <t>Henderson Pass_16100_Costa Del Sol_San Antonio_00756</t>
  </si>
  <si>
    <t>Country Club Dr_1048_Fairway Manor_Seguin_00757</t>
  </si>
  <si>
    <t>Ackerman Rd_2644_Country Oaks_San Antonio_00758</t>
  </si>
  <si>
    <t>Doeskin Dr_1_Country View_Boerne_00759</t>
  </si>
  <si>
    <t>Fredericksburg Rd_8727_Country View_San Antonio_00760</t>
  </si>
  <si>
    <t>Bitters Rd E_950_Countryside_San Antonio_00761</t>
  </si>
  <si>
    <t>Danny Kaye_5940_Courtland Heights_San Antonio_00762</t>
  </si>
  <si>
    <t>McCarty Rd_539_Cove_San Antonio_00763</t>
  </si>
  <si>
    <t>Sherri Ann_5243_Covina Plaza_San Antonio_00764</t>
  </si>
  <si>
    <t>Nacogdoches_14900_Creek Crossing_San Antonio_00765</t>
  </si>
  <si>
    <t>Perrin Central_3902_Rock Canyon_San Antonio_00766</t>
  </si>
  <si>
    <t>Thousand Oaks Dr_4620_Vista Landing_San Antonio_00767</t>
  </si>
  <si>
    <t>Oakdale_3431_Sage Crossing_San Antonio_00768</t>
  </si>
  <si>
    <t>Dewhurst Rd_901_Alegria Del Sol_San Antonio_00769</t>
  </si>
  <si>
    <t>Gentleman Rd_700_Cumberland_San Antonio_00770</t>
  </si>
  <si>
    <t>410 Loop NW_6100_Cypress Cove_San Antonio_00771</t>
  </si>
  <si>
    <t>Darby Blvd_811_Darby Square_San Antonio_00772</t>
  </si>
  <si>
    <t>DeZavala Rd_6033_DeZavala Oaks_San Antonio_00773</t>
  </si>
  <si>
    <t>De Zavala Rd_6061_DeZavala Park_San Antonio_00774</t>
  </si>
  <si>
    <t>Wurzbach Rd_7230_Deer Oaks_San Antonio_00775</t>
  </si>
  <si>
    <t>Larkspur_1955_Amesbury at Deerfield_San Antonio_00776</t>
  </si>
  <si>
    <t>Deerwood_227_The Montecito_San Antonio_00777</t>
  </si>
  <si>
    <t>Heimer Rd_550_Desert Shadows_San Antonio_00778</t>
  </si>
  <si>
    <t>Braesview_11843_Devonshire Condo Apts_San Antonio_00779</t>
  </si>
  <si>
    <t>Thompson Place W_1869_Diplomat_San Antonio_00781</t>
  </si>
  <si>
    <t>Donaldson Ave_1315_Donaldson Villas_San Antonio_00782</t>
  </si>
  <si>
    <t>Culebra Rd_7750_Doral Club_San Antonio_00783</t>
  </si>
  <si>
    <t>Gardendale_4515_Dove Tree_San Antonio_00784</t>
  </si>
  <si>
    <t>Thousand Oaks Rd_3935_Dublin_San Antonio_00785</t>
  </si>
  <si>
    <t>New Braunfels Ave S_6218_The Dunes_San Antonio_00786</t>
  </si>
  <si>
    <t>Potranco Rd_7999_Dymaxion_San Antonio_00787</t>
  </si>
  <si>
    <t>Gus Eckert_4822_Silver Creek_San Antonio_00788</t>
  </si>
  <si>
    <t>Fredericksburg Rd_5211_Eagles Nest_San Antonio_00789</t>
  </si>
  <si>
    <t>Harry Wurzbach_3819_El Chaparral_San Antonio_00790</t>
  </si>
  <si>
    <t>Desert Sands_10202_Sunny Glen II_San Antonio_00791</t>
  </si>
  <si>
    <t>410 Loop NE_2555_The Enclave_San Antonio_00793</t>
  </si>
  <si>
    <t>Whitewood Dr_326_Establishment_San Antonio_00794</t>
  </si>
  <si>
    <t>De Chantle Rd_158_Executive_San Antonio_00795</t>
  </si>
  <si>
    <t>Fairdale_6600_Fairdale_San Antonio_00796</t>
  </si>
  <si>
    <t>Parkdale_4100_Ashler Oaks_San Antonio_00797</t>
  </si>
  <si>
    <t>Data Point_8710_Fairways V_San Antonio_00798</t>
  </si>
  <si>
    <t>Vance Jackson Rd_11530_Fifth Avenue_San Antonio_00799</t>
  </si>
  <si>
    <t>Evers Rd_6313_Forest Oaks_San Antonio_00800</t>
  </si>
  <si>
    <t>Vance Jackson Rd_11707_Woods of Elm Creek_San Antonio_00801</t>
  </si>
  <si>
    <t>Horizon Hill_4400_Fountainhead_San Antonio_00802</t>
  </si>
  <si>
    <t>Fairhaven_8630_Fountains of San Antonio_San Antonio_00803</t>
  </si>
  <si>
    <t>Blanco Rd_12221_Fox Fire_San Antonio_00804</t>
  </si>
  <si>
    <t>Broadway_10014_Fox Run_San Antonio_00805</t>
  </si>
  <si>
    <t>Fredericksburg Rd_3435_Fredericksburg Place_San Antonio_00806</t>
  </si>
  <si>
    <t>Jackson Keller_1650_French Chalet_San Antonio_00807</t>
  </si>
  <si>
    <t>French Place W_109_French Place_San Antonio_00808</t>
  </si>
  <si>
    <t>Colonnade Blvd_9898_Colonnade_San Antonio_00809</t>
  </si>
  <si>
    <t>Wall St_11700_Providence at Wall Street_San Antonio_00810</t>
  </si>
  <si>
    <t>Huebner Rd_11660_The Gables_San Antonio_00811</t>
  </si>
  <si>
    <t>Pinn Rd_2431_Hacienda Apts_San Antonio_00812</t>
  </si>
  <si>
    <t>Village Green_149_Gold Talon_Universal City_00813</t>
  </si>
  <si>
    <t>Military Dr SE_2819_Cielo Hills_San Antonio_00814</t>
  </si>
  <si>
    <t>35 IH Business_453_Grand Cypress_New Braunfels_00815</t>
  </si>
  <si>
    <t>Huebner Rd_11600_Forest Glen_San Antonio_00816</t>
  </si>
  <si>
    <t>Greenbriar_8535_Greenbriar_San Antonio_00817</t>
  </si>
  <si>
    <t>Jackson Keller_215_Greenwich Village_San Antonio_00818</t>
  </si>
  <si>
    <t>Castlewood Dr_301_Gruenewood Villas_New Braunfels_00819</t>
  </si>
  <si>
    <t>Ingram Rd_7585_Silver Oaks_San Antonio_00820</t>
  </si>
  <si>
    <t>Shadow Creek Ln_9180_Shadow Creek_Converse_00821</t>
  </si>
  <si>
    <t>Goliad Rd_2566_Grove Park_San Antonio_00822</t>
  </si>
  <si>
    <t>Ahern Dr_8425_Hallmark_San Antonio_00823</t>
  </si>
  <si>
    <t>410 Loop NE_2600_Hampton Green_San Antonio_00824</t>
  </si>
  <si>
    <t>Starcrest Dr_12324_Hampton North_San Antonio_00825</t>
  </si>
  <si>
    <t>Patricia Dr_1300_Rockport Landing_San Antonio_00826</t>
  </si>
  <si>
    <t>Vance Jackson Rd_12222_Windsor House_San Antonio_00827</t>
  </si>
  <si>
    <t>Cinnamon Creek Dr_8801_Hearthstone_San Antonio_00828</t>
  </si>
  <si>
    <t>Babcock Rd_1543_Heritage Park_San Antonio_00829</t>
  </si>
  <si>
    <t>Wurzbach Rd_5959_Hidden Meadow_San Antonio_00830</t>
  </si>
  <si>
    <t>Military Hwy NW_13129_Hidden Oaks_San Antonio_00831</t>
  </si>
  <si>
    <t>Flame Cir_807_Hidden Village_San Antonio_00832</t>
  </si>
  <si>
    <t>Oak Terrace Dr_13012_High Key_San Antonio_00833</t>
  </si>
  <si>
    <t>Callaghan Rd_7810_Cordoba_San Antonio_00834</t>
  </si>
  <si>
    <t>Southcross Blvd E_3003_Highland Hills Duplexes_San Antonio_00835</t>
  </si>
  <si>
    <t>Laureate Dr_10951_Hill at Woodway_San Antonio_00836</t>
  </si>
  <si>
    <t>Koehler Ct_501_Hillside Manor_San Antonio_00837</t>
  </si>
  <si>
    <t>Potranco Rd_7520_The Hollows_San Antonio_00838</t>
  </si>
  <si>
    <t>Huebner Rd_8727_Huebner Country_San Antonio_00839</t>
  </si>
  <si>
    <t>Data Point_8715_Hunters Glen_San Antonio_00840</t>
  </si>
  <si>
    <t>Military Hwy NW_2358_Hunters Ridge_San Antonio_00841</t>
  </si>
  <si>
    <t>Pipers Ln_7770_Huntington_San Antonio_00842</t>
  </si>
  <si>
    <t>Floyd Curl Dr_8525_Hyperion_San Antonio_00843</t>
  </si>
  <si>
    <t>W Ave_12701_Indian Hollow_San Antonio_00844</t>
  </si>
  <si>
    <t>Cinnamon Creek Dr_8722_Villages Of Cinnamon Creek_San Antonio_00845</t>
  </si>
  <si>
    <t>Kitty Hawk Rd_330_Sable Ridge_Universal City_00846</t>
  </si>
  <si>
    <t>Willmon Way_8835_Villas of Windcrest_San Antonio_00847</t>
  </si>
  <si>
    <t>Jackson Keller_2500_Jackson Square_San Antonio_00848</t>
  </si>
  <si>
    <t>General McMullen S_2506_Winston Square_San Antonio_00849</t>
  </si>
  <si>
    <t>Jamar_1919_Kennedy Arms_San Antonio_00850</t>
  </si>
  <si>
    <t>Lavender Ln_4550_Acadia Place_San Antonio_00851</t>
  </si>
  <si>
    <t>Chambers Rd_7811_Forest Ridge I_San Antonio_00852</t>
  </si>
  <si>
    <t>Callaghan Rd_4411_Kingswood Manor_San Antonio_00853</t>
  </si>
  <si>
    <t>Bandera Rd_1171_The Oaks on Bandera_San Antonio_00854</t>
  </si>
  <si>
    <t>Heimer Rd_403_La Calera_San Antonio_00855</t>
  </si>
  <si>
    <t>La Casa_301_La Casa_Kerrville_00856</t>
  </si>
  <si>
    <t>Vandiver N_6900_La Fiesta_San Antonio_00857</t>
  </si>
  <si>
    <t>10 IH W_10707_La Jolla de San Antonio_San Antonio_00858</t>
  </si>
  <si>
    <t>Callaghan Rd_7600_La Maison_San Antonio_00859</t>
  </si>
  <si>
    <t>Rampart W_102_La Paloma_San Antonio_00860</t>
  </si>
  <si>
    <t>Babcock Rd_800_La Risa_San Antonio_00861</t>
  </si>
  <si>
    <t>Jackson Keller Rd_103_Flats at Olmos_San Antonio_00862</t>
  </si>
  <si>
    <t>Plaza Dr_115_Lakeside_Kerrville_00863</t>
  </si>
  <si>
    <t>Lauren Ln_8555_Lakeside Villas_San Antonio_00864</t>
  </si>
  <si>
    <t>Primrose Cir_200_Landa_New Braunfels_00865</t>
  </si>
  <si>
    <t>Blanco Rd_13400_Landera_San Antonio_00866</t>
  </si>
  <si>
    <t>NE Pkwy_3400_Landing_San Antonio_00867</t>
  </si>
  <si>
    <t>35 IH Business N_1565_Langtry Village_New Braunfels_00868</t>
  </si>
  <si>
    <t>Vance Jackson Rd_4603_Lantana_San Antonio_00869</t>
  </si>
  <si>
    <t>Blanco Rd_12626_Las Brisas_San Antonio_00870</t>
  </si>
  <si>
    <t>Fredericksburg Rd_8331_Las Cimas_San Antonio_00871</t>
  </si>
  <si>
    <t>Chase Hill Blvd_15800_Las Colinas_San Antonio_00872</t>
  </si>
  <si>
    <t>San Eduardo Ave S_1014_Las Palmas Gardens_San Antonio_00873</t>
  </si>
  <si>
    <t>Laurel St W_321_Laurel_San Antonio_00874</t>
  </si>
  <si>
    <t>Babcock Rd_1415_Laurel Crossing_San Antonio_00875</t>
  </si>
  <si>
    <t>Laurel Ln_483_Laurel Heights_New Braunfels_00876</t>
  </si>
  <si>
    <t>Woodlawn Ave N_3301_Lawnwood_San Antonio_00877</t>
  </si>
  <si>
    <t>Rene Levy_431_Levy Townhome Condominiums_San Antonio_00878</t>
  </si>
  <si>
    <t>Vista View St_12550_The Lexington_San Antonio_00879</t>
  </si>
  <si>
    <t>410 Loop NW_5940_Liberty Ridge_San Antonio_00880</t>
  </si>
  <si>
    <t>Junction Hwy_1800_Lime Creek_Kerrville_00881</t>
  </si>
  <si>
    <t>Braesview_11800_The Place at Castle Hills_San Antonio_00882</t>
  </si>
  <si>
    <t>Jackson Keller_1700_Lincoln Village_San Antonio_00883</t>
  </si>
  <si>
    <t>Howard St_235_Linda_San Antonio_00884</t>
  </si>
  <si>
    <t>Medical Dr_4900_Broadstone on Medical_San Antonio_00885</t>
  </si>
  <si>
    <t>Marbach Rd_7203_Marbach Manor_San Antonio_00887</t>
  </si>
  <si>
    <t>Horal Dr_1880_Marbach Park_San Antonio_00888</t>
  </si>
  <si>
    <t>Goliad Rd_2303_Marigold_San Antonio_00889</t>
  </si>
  <si>
    <t>Utopia Ln_444_The Encinal_San Antonio_00890</t>
  </si>
  <si>
    <t>Jones Maltsberger_7918_Mariposa_San Antonio_00891</t>
  </si>
  <si>
    <t>Parliament Dr_11721_Mark at Parliament_San Antonio_00892</t>
  </si>
  <si>
    <t>Lorene Ln_9525_The Coronado_San Antonio_00893</t>
  </si>
  <si>
    <t>Oak Meadows_14001_Meadows_Universal City_00894</t>
  </si>
  <si>
    <t>Jackson Keller_1502_Mediterranean Villa_San Antonio_00895</t>
  </si>
  <si>
    <t>Rustleaf Dr_150_Merry Oaks_San Antonio_00896</t>
  </si>
  <si>
    <t>USAA Blvd_4900_Mesa Ridge_San Antonio_00897</t>
  </si>
  <si>
    <t>123 Hwy Bypass N_1111_Middletowne Apts_Seguin_00898</t>
  </si>
  <si>
    <t>W Ave_13515_Mirada_San Antonio_00899</t>
  </si>
  <si>
    <t>Bluemel Rd_4400_TH at Limestone Oaks_San Antonio_00900</t>
  </si>
  <si>
    <t>Gillmore_244_Mitchell Village_San Antonio_00901</t>
  </si>
  <si>
    <t>Fredericksburg Rd E_5534_Montebello_San Antonio_00902</t>
  </si>
  <si>
    <t>Commerce St W_6060_Monterrey Park_San Antonio_00903</t>
  </si>
  <si>
    <t>Mulberry Ave E_1130_Brackenridge Hill_San Antonio_00904</t>
  </si>
  <si>
    <t>Callaghan Rd_7626_Nob Hill_San Antonio_00905</t>
  </si>
  <si>
    <t>Fredericksburg Rd_5550_Forest Ridge II_San Antonio_00906</t>
  </si>
  <si>
    <t>Joe Newton St_7771_The Granite at Tuscany Hills_San Antonio_00907</t>
  </si>
  <si>
    <t>Glen Mont_8142_North Pointe Terrace Fourplexes_San Antonio_00908</t>
  </si>
  <si>
    <t>Knoll N_5700_Northgate Village_San Antonio_00909</t>
  </si>
  <si>
    <t>Timber Path_8841_Villas de Sendero_San Antonio_00910</t>
  </si>
  <si>
    <t>Vandiver N_8315_Northwood_San Antonio_00911</t>
  </si>
  <si>
    <t>Vance Jackson Rd_6111_Oak Creek_San Antonio_00912</t>
  </si>
  <si>
    <t>Oak Manor Dr_7314_The Villas of Oak Hills_San Antonio_00913</t>
  </si>
  <si>
    <t>Babcock Rd_1847_Oak Hills Village_San Antonio_00914</t>
  </si>
  <si>
    <t>Barrington Dr_3903_Park at Ventana_San Antonio_00915</t>
  </si>
  <si>
    <t>Perrin Beitel_11200_Oak Ridge_San Antonio_00916</t>
  </si>
  <si>
    <t>Nacogdoches_3270_Aguila Oaks_San Antonio_00917</t>
  </si>
  <si>
    <t>Perrin Central_3919_Oak Springs_San Antonio_00918</t>
  </si>
  <si>
    <t>Danny Kaye_6020_Oakdell Way_San Antonio_00919</t>
  </si>
  <si>
    <t>Oakwell Farms Pkwy_1983_Oakhampton Place_San Antonio_00920</t>
  </si>
  <si>
    <t>Oakhill Rd_2003_The Bell Tower_San Antonio_00921</t>
  </si>
  <si>
    <t>Starcrest Dr_8800_Oaks of Marymount_San Antonio_00922</t>
  </si>
  <si>
    <t>Oakdell Way_8000_Oaks of Northgate_San Antonio_00923</t>
  </si>
  <si>
    <t>Hunt Ln_534_Oaks of Westlakes_San Antonio_00924</t>
  </si>
  <si>
    <t>Isom_777_Oasis_San Antonio_00925</t>
  </si>
  <si>
    <t>Sunset Rd W_327_Olive Tree_San Antonio_00926</t>
  </si>
  <si>
    <t>Basse Rd_800_Olmos Club_San Antonio_00927</t>
  </si>
  <si>
    <t>Dot Dr_111_111 Dot Drive Apts_San Antonio_00928</t>
  </si>
  <si>
    <t>Woodstone Dr_4934_The Place at Overlook_San Antonio_00929</t>
  </si>
  <si>
    <t>Palisades Dr_165_Palisades Park_Universal City_00930</t>
  </si>
  <si>
    <t>Blanco Rd_16585_Panther Springs_San Antonio_00931</t>
  </si>
  <si>
    <t>Parkdale_3815_Park at Colonnade_San Antonio_00932</t>
  </si>
  <si>
    <t>Military Dr SE_2233_The Park at Presa_San Antonio_00933</t>
  </si>
  <si>
    <t>Park Crossing_13031_Park Greene TH_San Antonio_00934</t>
  </si>
  <si>
    <t>Fredericksburg Rd_9939_Park Hill_San Antonio_00935</t>
  </si>
  <si>
    <t>Bandera Rd_2011_The Park on Bandera_San Antonio_00936</t>
  </si>
  <si>
    <t>Nacogdoches_14310_Park Place_San Antonio_00937</t>
  </si>
  <si>
    <t>Randolph Blvd_5314_Park Ridge_San Antonio_00938</t>
  </si>
  <si>
    <t>W Ave_11845_Park West_San Antonio_00939</t>
  </si>
  <si>
    <t>Vance Jackson Rd_4019_Parkdale_San Antonio_00940</t>
  </si>
  <si>
    <t>Frio St N_1010_Parkside_San Antonio_00941</t>
  </si>
  <si>
    <t>Singing Wind Dr_2105_Singing Wind_Kerrville_00942</t>
  </si>
  <si>
    <t>Parliament Dr_11838_Parliament Bend_San Antonio_00943</t>
  </si>
  <si>
    <t>W Ave_11726_Autumn Brook_San Antonio_00944</t>
  </si>
  <si>
    <t>Pecan Valley Dr_6840_Villas of Pecan Manor_San Antonio_00945</t>
  </si>
  <si>
    <t>Southcross Blvd E_3450_Pecan Valley_San Antonio_00946</t>
  </si>
  <si>
    <t>Vance Jackson Rd_1011_Pepperidge_San Antonio_00947</t>
  </si>
  <si>
    <t>Universal City Blvd_2125_Peppermill_Universal City_00948</t>
  </si>
  <si>
    <t>Uhr Ln_12660_Perrin Crest_San Antonio_00949</t>
  </si>
  <si>
    <t>Perrin Beitel_9511_Perrin Square_San Antonio_00950</t>
  </si>
  <si>
    <t>410 Loop NE_1946_Oakwell Springs_San Antonio_00951</t>
  </si>
  <si>
    <t>90 Hwy W_7678_Vaquero Place_San Antonio_00952</t>
  </si>
  <si>
    <t>Pipers Creek_7940_Hillstone Creek_San Antonio_00953</t>
  </si>
  <si>
    <t>Pipers Ln_7750_Pipers Square_San Antonio_00954</t>
  </si>
  <si>
    <t>Eckhert Blvd_5903_Plaza de Ville_San Antonio_00955</t>
  </si>
  <si>
    <t>Huebner Rd_20211_Villas at Sonterra_San Antonio_00956</t>
  </si>
  <si>
    <t>Pleasanton Rd_3735_Mandalay Villa_San Antonio_00957</t>
  </si>
  <si>
    <t>Dickson W_247_Pollyanna_San Antonio_00958</t>
  </si>
  <si>
    <t>Vance Jackson Rd_2222_Ponderosa_San Antonio_00959</t>
  </si>
  <si>
    <t>Powhatan_9603_Oak Terrace_San Antonio_00960</t>
  </si>
  <si>
    <t>Medical Dr_4114_Promontory Pointe_San Antonio_00961</t>
  </si>
  <si>
    <t>Quail Creek Dr_8438_Silver Ridge_San Antonio_00962</t>
  </si>
  <si>
    <t>Tarasco_609_Rainbow Hills Duplexes_San Antonio_00963</t>
  </si>
  <si>
    <t>Oakhill Rd_2400_Ingram Ranch_San Antonio_00964</t>
  </si>
  <si>
    <t>Rampart E_123_Rampart House_San Antonio_00965</t>
  </si>
  <si>
    <t>Danny Kaye_5903_Seven Oaks_San Antonio_00966</t>
  </si>
  <si>
    <t>Pat Booker Rd_1009_Randolph Plaza_Universal City_00967</t>
  </si>
  <si>
    <t>Scarsdale Dr_12635_Regatta_San Antonio_00968</t>
  </si>
  <si>
    <t>Sahara Dr_10362_Woodhollow_San Antonio_00969</t>
  </si>
  <si>
    <t>Thousand Oaks Dr_1570_The Remington_San Antonio_00970</t>
  </si>
  <si>
    <t>Oaklawn Dr_7135_Oaklawn_San Antonio_00971</t>
  </si>
  <si>
    <t>Woodchase Dr_7791_Richland Trace_San Antonio_00972</t>
  </si>
  <si>
    <t>Rigsby Ave_2929_Oak Meadow Villas_San Antonio_00973</t>
  </si>
  <si>
    <t>Bandera Hwy_1350_River Hills_Kerrville_00974</t>
  </si>
  <si>
    <t>Vance Jackson Rd_11130_Terrace at River Oaks II_San Antonio_00975</t>
  </si>
  <si>
    <t>Seville Dr_241_River Park Apts_New Braunfels_00976</t>
  </si>
  <si>
    <t>Cinnamon Creek Dr_8711_Riverstone_San Antonio_00977</t>
  </si>
  <si>
    <t>Dollarhide_2011_Riviera_San Antonio_00978</t>
  </si>
  <si>
    <t>Roselawn_3346_Roselawn_San Antonio_00980</t>
  </si>
  <si>
    <t>Holland Ave_402_Rosemont Olmos Park_San Antonio_00981</t>
  </si>
  <si>
    <t>Data Point_8916_Rosemont Crossing_San Antonio_00982</t>
  </si>
  <si>
    <t>Royalgate Dr_5909_Crestwood_San Antonio_00983</t>
  </si>
  <si>
    <t>Southcross Blvd E_4032_The Reserve at Pecan Valley_San Antonio_00984</t>
  </si>
  <si>
    <t>Ingram Rd_6130_Hilltop Oaks_San Antonio_00985</t>
  </si>
  <si>
    <t>Blanco Rd_13230_Salado Crossing_San Antonio_00986</t>
  </si>
  <si>
    <t>Flame Cir_803_Salem Creek_San Antonio_00987</t>
  </si>
  <si>
    <t>Louis Pasteur_7458_San Antonio Station_San Antonio_00988</t>
  </si>
  <si>
    <t>Oasis_10333_Sandpiper_San Antonio_00989</t>
  </si>
  <si>
    <t>Jones Maltsberger_12315_Santa Fe_San Antonio_00990</t>
  </si>
  <si>
    <t>Eisenhauer_3900_Savannah Ridge_San Antonio_00991</t>
  </si>
  <si>
    <t>Fredericksburg Rd_9400_Portofino Apts_San Antonio_00993</t>
  </si>
  <si>
    <t>Mulberry Ave E_1235_Sentinel Pointe_San Antonio_00994</t>
  </si>
  <si>
    <t>Zarzamora St S_8027_Seven Pines_San Antonio_00995</t>
  </si>
  <si>
    <t>Blanco Rd_13330_Seville_San Antonio_00996</t>
  </si>
  <si>
    <t>Grissom Rd_5650_The Place at Shadow Valley_San Antonio_00997</t>
  </si>
  <si>
    <t>Magic Dr_3601_The Montage at North Point_San Antonio_00998</t>
  </si>
  <si>
    <t>Sherril Brook Dr_4011_Sherril Oaks_San Antonio_00999</t>
  </si>
  <si>
    <t>Patricia Dr_1401_Sierra Ridge_San Antonio_01000</t>
  </si>
  <si>
    <t>Whitby Rd_6101_Sierra Vista_San Antonio_01001</t>
  </si>
  <si>
    <t>Camino Villa_9830_Silver Rock_San Antonio_01002</t>
  </si>
  <si>
    <t>Santa Rosa N_500_Soap Works_San Antonio_01003</t>
  </si>
  <si>
    <t>Callaghan Rd_7667_Songbird_San Antonio_01004</t>
  </si>
  <si>
    <t>Lasses Blvd_2715_South Hill_San Antonio_01005</t>
  </si>
  <si>
    <t>New Braunfels Ave S_5500_South Point_San Antonio_01006</t>
  </si>
  <si>
    <t>Southcross Blvd E_3907_Southcross Square_San Antonio_01007</t>
  </si>
  <si>
    <t>Babcock Rd_1150_Spanish Keys_San Antonio_01008</t>
  </si>
  <si>
    <t>Rittiman Rd_4443_Spanish Main_San Antonio_01009</t>
  </si>
  <si>
    <t>Cripple Creek_3206_Spanish Oaks_San Antonio_01010</t>
  </si>
  <si>
    <t>Pecan Valley Dr_6835_Spanish Spur_San Antonio_01011</t>
  </si>
  <si>
    <t>Blanco Rd_7226_Rayo del Sol_San Antonio_01012</t>
  </si>
  <si>
    <t>Cinnamon Creek Dr_8802_Spice Creek_San Antonio_01013</t>
  </si>
  <si>
    <t>Ray Bon_4830_Spring Hill_San Antonio_01014</t>
  </si>
  <si>
    <t>Springvale_1310_Springvale Manor_San Antonio_01015</t>
  </si>
  <si>
    <t>Gardina St_1400_Springwood_San Antonio_01016</t>
  </si>
  <si>
    <t>Von Scheele_5055_Medical Center Apts_San Antonio_01017</t>
  </si>
  <si>
    <t>Skolout Dr_7737_Stepping Stone_San Antonio_01018</t>
  </si>
  <si>
    <t>Treeline Park_384_Keystone at Alamo Heights_San Antonio_01019</t>
  </si>
  <si>
    <t>10 IH W_12200_Stone Oak Place_San Antonio_01020</t>
  </si>
  <si>
    <t>Huebner Rd_11500_Oak Haven_San Antonio_01021</t>
  </si>
  <si>
    <t>Thousand Oaks Dr_2626_Stoneleigh_San Antonio_01022</t>
  </si>
  <si>
    <t>Border Brook_6933_Stoneybrook_San Antonio_01023</t>
  </si>
  <si>
    <t>Medical Dr_4041_The Stratford_San Antonio_01024</t>
  </si>
  <si>
    <t>Greatview Dr_8303_Sugar Hill_San Antonio_01025</t>
  </si>
  <si>
    <t>Patricia Dr_1400_Summer Oaks_San Antonio_01026</t>
  </si>
  <si>
    <t>Hillcrest Dr_1474_Summer Place_San Antonio_01027</t>
  </si>
  <si>
    <t>Walnut St E_1230_Summers Bend Apts_Seguin_01028</t>
  </si>
  <si>
    <t>Stringfellow Dr_4700_Summerview_San Antonio_01030</t>
  </si>
  <si>
    <t>Fredericksburg Rd_4210_Santa Fe Place_San Antonio_01031</t>
  </si>
  <si>
    <t>Vance Jackson Rd_11444_Trails of Elm Creek_San Antonio_01032</t>
  </si>
  <si>
    <t>410 Loop NW_5300_Summit Oaks_San Antonio_01033</t>
  </si>
  <si>
    <t>Thousand Oaks Dr_1550_The Summit of Thousand Oaks_San Antonio_01034</t>
  </si>
  <si>
    <t>Military Dr W_5470_Avion Place_San Antonio_01035</t>
  </si>
  <si>
    <t>Gardendale_4615_Sundance_San Antonio_01036</t>
  </si>
  <si>
    <t>410 Loop NE_2554_Saddlewood_San Antonio_01037</t>
  </si>
  <si>
    <t>Perrin Beitel_4227_Sungate Village_San Antonio_01038</t>
  </si>
  <si>
    <t>Sahara Dr_10343_Sunny Glen_San Antonio_01039</t>
  </si>
  <si>
    <t>Bandera Rd_1830_Sun Park_San Antonio_01040</t>
  </si>
  <si>
    <t>Blanco Rd_7600_Sunray_San Antonio_01041</t>
  </si>
  <si>
    <t>Cloverleaf_425_Sunset Ridge_San Antonio_01042</t>
  </si>
  <si>
    <t>Parliament Dr_11955_Sutters Mill_San Antonio_01043</t>
  </si>
  <si>
    <t>Wall St_11711_Sutton House_San Antonio_01044</t>
  </si>
  <si>
    <t>Elbel Rd_1000_Sycamore Creek_Schertz_01045</t>
  </si>
  <si>
    <t>Brees Blvd_67_Tanglewood AH_San Antonio_01048</t>
  </si>
  <si>
    <t>Broadway_8051_Tara_San Antonio_01049</t>
  </si>
  <si>
    <t>Gentleman Rd_801_Terrace House_San Antonio_01050</t>
  </si>
  <si>
    <t>Ivy Ln_216_Boerne Arbors_Boerne_01051</t>
  </si>
  <si>
    <t>Treeline Park_340_The Crescent_San Antonio_01052</t>
  </si>
  <si>
    <t>Hillcrest Dr_3110_The Dakota_San Antonio_01053</t>
  </si>
  <si>
    <t>Huebner Rd_16650_The Marquis at Deerfield_San Antonio_01054</t>
  </si>
  <si>
    <t>Basse Rd E_680_The Meridian_San Antonio_01055</t>
  </si>
  <si>
    <t>Louis Pasteur_7733_The Vintage_San Antonio_01056</t>
  </si>
  <si>
    <t>Thompson Place W_1727_Thompson Place_San Antonio_01057</t>
  </si>
  <si>
    <t>French Place W_211_Thunderbird_San Antonio_01058</t>
  </si>
  <si>
    <t>Timber View_3200_Timber Ridge_San Antonio_01059</t>
  </si>
  <si>
    <t>Timberhill_5544_Lodge at Timberhill_San Antonio_01060</t>
  </si>
  <si>
    <t>Blanco Rd_12301_Timbermill_San Antonio_01061</t>
  </si>
  <si>
    <t>Marbach Rd_7220_Timberock_San Antonio_01062</t>
  </si>
  <si>
    <t>Border Brook_6903_Timbers Edge_San Antonio_01063</t>
  </si>
  <si>
    <t>Torrey St E_575_Torrey Place_New Braunfels_01064</t>
  </si>
  <si>
    <t>Chambers_7738_Tower Point Condo Apts_San Antonio_01065</t>
  </si>
  <si>
    <t>Oakdell Way_7710_Towering Oaks_San Antonio_01066</t>
  </si>
  <si>
    <t>Santa Rosa N_601_Towne Center_San Antonio_01067</t>
  </si>
  <si>
    <t>78 FM_9060_Towne East Village_Converse_01068</t>
  </si>
  <si>
    <t>Callaghan Rd_4015_Townview Place_San Antonio_01069</t>
  </si>
  <si>
    <t>Tradewind Dr_8802_Tradewinds_San Antonio_01070</t>
  </si>
  <si>
    <t>410 Loop NE_2439_Iron Horse Valley_San Antonio_01071</t>
  </si>
  <si>
    <t>Cable Ranch Rd_1431_Trails of Westlakes_San Antonio_01072</t>
  </si>
  <si>
    <t>Fairhaven_8631_Sonoma Canyon_San Antonio_01073</t>
  </si>
  <si>
    <t>Medical Dr_3629_Turtle Creek Vista_San Antonio_01074</t>
  </si>
  <si>
    <t>Oakwell Ct_3333_The Villas of Oakwell Farms_San Antonio_01075</t>
  </si>
  <si>
    <t>University Row_7302_Blue Bonnet Hills_San Antonio_01076</t>
  </si>
  <si>
    <t>Clara Ln_2531_Vance Jackson_San Antonio_01077</t>
  </si>
  <si>
    <t>Vance Jackson Rd_423_Tradewind Villas_San Antonio_01078</t>
  </si>
  <si>
    <t>Huebner Oaks_11020_Ventana_San Antonio_01079</t>
  </si>
  <si>
    <t>Gawain Dr_5315_Victorian Village_San Antonio_01080</t>
  </si>
  <si>
    <t>Oasis_10334_View Point_San Antonio_01081</t>
  </si>
  <si>
    <t>Camino De Oro_130_Villa de Oro_San Antonio_01082</t>
  </si>
  <si>
    <t>Brackenridge_123_Villa Fontana_San Antonio_01083</t>
  </si>
  <si>
    <t>Gentleman Rd_800_Villa Madrid_San Antonio_01084</t>
  </si>
  <si>
    <t>Starcrest Dr_9310_Villa Navarone_San Antonio_01085</t>
  </si>
  <si>
    <t>New Braunfels Ave N_8011_Village Oaks_San Antonio_01086</t>
  </si>
  <si>
    <t>Expo Blvd_11300_Village of Hampton Cove_San Antonio_01087</t>
  </si>
  <si>
    <t>Blanco Rd_14555_Park at Walkers Ranch_San Antonio_01088</t>
  </si>
  <si>
    <t>Thousand Oaks Dr_2170_Sunset Canyon_San Antonio_01089</t>
  </si>
  <si>
    <t>Jackson Keller Rd_1000_Villas of Castle Hills_San Antonio_01090</t>
  </si>
  <si>
    <t>Henderson Pass_16465_Villas of Henderson Pass_San Antonio_01091</t>
  </si>
  <si>
    <t>Fredericksburg Rd_5315_Villas of Oak Creste_San Antonio_01092</t>
  </si>
  <si>
    <t>Lamb Rd_7221_Villas of St. Moritz_San Antonio_01093</t>
  </si>
  <si>
    <t>Horizon Hill_4000_St. Tropez_San Antonio_01094</t>
  </si>
  <si>
    <t>Callaghan Rd_7473_Vineyard Gardens_San Antonio_01095</t>
  </si>
  <si>
    <t>Vista Valet_1110_Vista Crossing_San Antonio_01096</t>
  </si>
  <si>
    <t>Evers Rd_5622_Vista del Rey_San Antonio_01098</t>
  </si>
  <si>
    <t>Rowley Rd_5450_The Abbey at Medical Center_San Antonio_01099</t>
  </si>
  <si>
    <t>Mainland Dr_8120_Bandera Commons_San Antonio_01100</t>
  </si>
  <si>
    <t>Babcock Rd_2626_Walnut Hill_San Antonio_01101</t>
  </si>
  <si>
    <t>Medical Dr_5380_Crescent Oaks at Medical_San Antonio_01102</t>
  </si>
  <si>
    <t>Vandiver N_6700_Waterford_San Antonio_01103</t>
  </si>
  <si>
    <t>Thousand Oaks Dr_4031_Waters at Northern Hills Marina_San Antonio_01104</t>
  </si>
  <si>
    <t>Blanco Rd_6701_Wedgwood Highrise_San Antonio_01105</t>
  </si>
  <si>
    <t>Callaghan Rd_6623_Wellington Estates_San Antonio_01106</t>
  </si>
  <si>
    <t>Woodchase Dr_7820_Westchase_San Antonio_01107</t>
  </si>
  <si>
    <t>Cable Ranch Rd_1455_Westlakes Villas_San Antonio_01108</t>
  </si>
  <si>
    <t>Colt Dr_2903_Westwinds_San Antonio_01109</t>
  </si>
  <si>
    <t>Hamilton Wolfe_5303_Whispering Creek Villas_San Antonio_01110</t>
  </si>
  <si>
    <t>O'Connor Rd_13658_Whispering Hills_San Antonio_01111</t>
  </si>
  <si>
    <t>Military Hwy NW_2370_Whispering Oaks_San Antonio_01112</t>
  </si>
  <si>
    <t>Whitewood Dr_200_Whitewood Oaks_San Antonio_01113</t>
  </si>
  <si>
    <t>NW Crossroads_1530_Willow Creek_San Antonio_01114</t>
  </si>
  <si>
    <t>Wurzbach Rd_6400_The Willows_San Antonio_01115</t>
  </si>
  <si>
    <t>Midcrown Dr_8000_The Heights at MidCrown_San Antonio_01116</t>
  </si>
  <si>
    <t>Military Hwy NW_13121_Winding Creek_San Antonio_01117</t>
  </si>
  <si>
    <t>Babcock Rd_2502_Windridge_San Antonio_01118</t>
  </si>
  <si>
    <t>Lockhill Selma_2447_Windrush_San Antonio_01119</t>
  </si>
  <si>
    <t>Gawain Dr_5341_Windsor Village_San Antonio_01120</t>
  </si>
  <si>
    <t>Hill Country Dr_717_Winnwood Club_Kerrville_01121</t>
  </si>
  <si>
    <t>Sir Winston Dr_11246_The Winston_San Antonio_01122</t>
  </si>
  <si>
    <t>Cinnamon Creek Dr_8602_Wolfe Run_San Antonio_01123</t>
  </si>
  <si>
    <t>Oakgate_3500_Woodbridge_San Antonio_01124</t>
  </si>
  <si>
    <t>Woodbury Dr_2834_Woodbury Place_San Antonio_01125</t>
  </si>
  <si>
    <t>Woodstone_4909_Woodhill_San Antonio_01126</t>
  </si>
  <si>
    <t>Woodlake Pkwy_6000_Woodlake Village_San Antonio_01127</t>
  </si>
  <si>
    <t>Vance Jackson Rd_11146_Terrace at River Oaks I_San Antonio_01128</t>
  </si>
  <si>
    <t>Broadway_10010_The Woodlands_San Antonio_01129</t>
  </si>
  <si>
    <t>Hillcrest Dr_3253_Woods of Brookhollow_San Antonio_01130</t>
  </si>
  <si>
    <t>Wurzbach Rd_9001_Limestone Oaks_San Antonio_01131</t>
  </si>
  <si>
    <t>Pinebrook_8100_Woodway Court_San Antonio_01132</t>
  </si>
  <si>
    <t>Huisache E_205_Miller Manor_San Antonio_01133</t>
  </si>
  <si>
    <t>Mulberry Ave E_1201_Broadway Heights_San Antonio_01134</t>
  </si>
  <si>
    <t>Basilwood_6822_Brookview Duplexes_San Antonio_01135</t>
  </si>
  <si>
    <t>Pinn Rd_2307_Casablanca_San Antonio_01136</t>
  </si>
  <si>
    <t>Flores St S_8511_Deely Place_San Antonio_01137</t>
  </si>
  <si>
    <t>Presa S_7200_Brooks Village TH_San Antonio_01138</t>
  </si>
  <si>
    <t>Encanta_5300_Encanta Villas_San Antonio_01139</t>
  </si>
  <si>
    <t>Gardina St_1352_Gardenwood_San Antonio_01140</t>
  </si>
  <si>
    <t>Glen Ridge_5111_Honey Hill_San Antonio_01141</t>
  </si>
  <si>
    <t>Nacogdoches Rd_14650_Kenton Place_San Antonio_01142</t>
  </si>
  <si>
    <t>410 Loop NE_2167_Villas de Ventana_San Antonio_01143</t>
  </si>
  <si>
    <t>Poss Rd_6812_Leon Trace_San Antonio_01144</t>
  </si>
  <si>
    <t>Mulberry Ave #101 E_1202_Mulberry Village_San Antonio_01145</t>
  </si>
  <si>
    <t>Melrose Dr E_130_New England Village_San Antonio_01146</t>
  </si>
  <si>
    <t>Rainbow Dr_223_Whispering Heights_San Antonio_01147</t>
  </si>
  <si>
    <t>Country Village St_8446_The Reserve in Alamo Heights_San Antonio_01148</t>
  </si>
  <si>
    <t>Hot Wells_538_Robins Nest_San Antonio_01149</t>
  </si>
  <si>
    <t>Orsinger Ln_11910_Waters at Elm Creek_San Antonio_01151</t>
  </si>
  <si>
    <t>Oakdell Way_8050_La Mirage_San Antonio_01154</t>
  </si>
  <si>
    <t>Houston St E_222_Towers at the Majestic_San Antonio_01155</t>
  </si>
  <si>
    <t>Arcadia Place_101_Treehouse_San Antonio_01156</t>
  </si>
  <si>
    <t>35 IH W_795_Vista del Sol_New Braunfels_01157</t>
  </si>
  <si>
    <t>Harry Wurzbach_2530_Wilshire Woods_San Antonio_01158</t>
  </si>
  <si>
    <t>Wurzbach Rd_7110_Hunters Bend_San Antonio_01159</t>
  </si>
  <si>
    <t>Gardina St_1400_Springwood Villas_San Antonio_01160</t>
  </si>
  <si>
    <t>1604 Loop N E_12900_Retama Ranch_Universal City_01162</t>
  </si>
  <si>
    <t>Huebner Rd_19950_Stone Manor at Sonterra_San Antonio_01163</t>
  </si>
  <si>
    <t>Vance Jackson Rd_12235_Palermo_San Antonio_01164</t>
  </si>
  <si>
    <t>De Zavala Rd_4601_Village at Shavano_San Antonio_01165</t>
  </si>
  <si>
    <t>Fredericksburg Rd_4300_El Marco_San Antonio_01166</t>
  </si>
  <si>
    <t>410 Loop NW_5335_Rolling Ridge Square I, II, III_San Antonio_01167</t>
  </si>
  <si>
    <t>Babcock Rd_1243_Hillcrest I, II, III_San Antonio_01169</t>
  </si>
  <si>
    <t>410 Loop NW_3222_Warren House_San Antonio_01171</t>
  </si>
  <si>
    <t>Fredericksburg Rd_5050_Warren Inn Village_San Antonio_01172</t>
  </si>
  <si>
    <t>151 Hwy_10800_TaraVista_San Antonio_01173</t>
  </si>
  <si>
    <t>Common St_2293_The Augusta at Gruene_New Braunfels_01174</t>
  </si>
  <si>
    <t>Henderson Pass_17635_Estates of Northwoods_San Antonio_01175</t>
  </si>
  <si>
    <t>Talavera Pkwy_107_Talavera_San Antonio_01176</t>
  </si>
  <si>
    <t>Vista del Norte_12727_Salado Springs_San Antonio_01177</t>
  </si>
  <si>
    <t>Perrin Central_3800_The Newport_San Antonio_01178</t>
  </si>
  <si>
    <t>Dugas Rd_9032_Hill Country Villas_San Antonio_01179</t>
  </si>
  <si>
    <t>Westward Dr_2601_Westwood Plaza_San Antonio_01180</t>
  </si>
  <si>
    <t>Piper's Creek_7935_Three Fountains_San Antonio_01183</t>
  </si>
  <si>
    <t>Lexington Ave_317_Cadillac Lofts_San Antonio_01185</t>
  </si>
  <si>
    <t>La Cantera Pkwy_16505_Mira Vista at La Cantera_San Antonio_01186</t>
  </si>
  <si>
    <t>Broadway_214_Calcasieu_San Antonio_01190</t>
  </si>
  <si>
    <t>Presa N_606_Maverick Apts_San Antonio_01191</t>
  </si>
  <si>
    <t>35 IH N_770_WestShore Colony_New Braunfels_01192</t>
  </si>
  <si>
    <t>Fredericksburg Rd_9835_Dominion Park_San Antonio_01195</t>
  </si>
  <si>
    <t>Schertz Pkwy_1401_Val Verde_Schertz_01196</t>
  </si>
  <si>
    <t>UTSA Blvd_5655_The Highlands_San Antonio_01197</t>
  </si>
  <si>
    <t>Knoll N_5711_Saddle Ridge_San Antonio_01198</t>
  </si>
  <si>
    <t>Treble Creek_2727_Marquis at Rogers Ranch_San Antonio_01199</t>
  </si>
  <si>
    <t>Lockhill Selma_3838_The Lodge at Shavano Park_San Antonio_01203</t>
  </si>
  <si>
    <t>Lockhill Selma_1835_The Manor at Castle Hills_San Antonio_01205</t>
  </si>
  <si>
    <t>Crosspoint Dr_125_The Vistas_Boerne_01206</t>
  </si>
  <si>
    <t>10 IH E_4141_Casa Pointe Villa_San Antonio_01207</t>
  </si>
  <si>
    <t>Huebner Rd_8100_Arboretum_San Antonio_01208</t>
  </si>
  <si>
    <t>Gold Canyon Rd_2424_Sendero Ridge_San Antonio_01209</t>
  </si>
  <si>
    <t>Treeline Park_250_Quarry TH_San Antonio_01210</t>
  </si>
  <si>
    <t>281 US N_19500_The Ravinia_San Antonio_01211</t>
  </si>
  <si>
    <t>Prue Rd_6650_Enclave at Buckhorn Crossing_San Antonio_01212</t>
  </si>
  <si>
    <t>Potranco_7333_Villas of Costa Brava_San Antonio_01213</t>
  </si>
  <si>
    <t>Encino Commons_21303_The View at Encino Commons_San Antonio_01215</t>
  </si>
  <si>
    <t>Stone Oak Pkwy_18777_Claremore_San Antonio_01216</t>
  </si>
  <si>
    <t>Blanco Springs Rd_18200_Vineyard Springs_San Antonio_01217</t>
  </si>
  <si>
    <t>Medical Dr_3711_Signature Ridge_San Antonio_01218</t>
  </si>
  <si>
    <t>Eisenhauer Rd_5239_Rosillo Creek_San Antonio_01219</t>
  </si>
  <si>
    <t>Aviation Blvd E_402_Pebble Beach Village_Universal City_01220</t>
  </si>
  <si>
    <t>Babcock Rd_5600_Mission Ranch_San Antonio_01221</t>
  </si>
  <si>
    <t>Lois St_1010_Colonial Oaks_Kerrville_01222</t>
  </si>
  <si>
    <t>Ranchero Rd_815_Park Hill_Kerrville_01223</t>
  </si>
  <si>
    <t>Lynn Batts Ln_33_Cenizo Flats Apts_San Antonio_01224</t>
  </si>
  <si>
    <t>W Ave_4702-2_Bently Place Duplexes_San Antonio_01225</t>
  </si>
  <si>
    <t>306 Old FM_1951_Northwood Luxury Apts_New Braunfels_01226</t>
  </si>
  <si>
    <t>Chase Hill Blvd_15651_Maverick Creek Villas_San Antonio_01227</t>
  </si>
  <si>
    <t>Henderson Pass_17655_Sedona Ranch_San Antonio_01228</t>
  </si>
  <si>
    <t>Wilderness Oak_24245_Retreat at Canyon Springs_San Antonio_01229</t>
  </si>
  <si>
    <t>Larkspur_1947_Legacy TH at Castle Hills_San Antonio_01230</t>
  </si>
  <si>
    <t>USAA Blvd_4980_Dove Valley Ranch_San Antonio_01231</t>
  </si>
  <si>
    <t>Sonterra Blvd E_210_The Lodge at Sonterra_San Antonio_01233</t>
  </si>
  <si>
    <t>Bandera Rd E_12770_Elm Hollow_Helotes_01234</t>
  </si>
  <si>
    <t>410 Loop NW_5100_Rolling Ridge South_San Antonio_01235</t>
  </si>
  <si>
    <t>Glen Ridge_5235_Rolling Ridge Square IV_San Antonio_01236</t>
  </si>
  <si>
    <t>Junction Hwy_2350_Heritage Oaks_Kerrville_01238</t>
  </si>
  <si>
    <t>Austin Hwy_2355_The Lodge on Perrin Creek_San Antonio_01240</t>
  </si>
  <si>
    <t>Chase Hill Blvd_15726_Alpin Park_San Antonio_01241</t>
  </si>
  <si>
    <t>Baker St_915_Oak Bend Place_Tomball_01242</t>
  </si>
  <si>
    <t>Tomball Pkwy_29807_The Park at Spring Creek_Tomball_01244</t>
  </si>
  <si>
    <t>Rudel Rd_1515_Marymont_Tomball_01245</t>
  </si>
  <si>
    <t>Hicks St_1000_Hickory Hill_Tomball_01246</t>
  </si>
  <si>
    <t>Village Sq Dr_1011_Fountains of Tomball_Tomball_01247</t>
  </si>
  <si>
    <t>Kuykendahl_16700_Emerald Cove_Houston_01248</t>
  </si>
  <si>
    <t>Butte Creek_17033_Ashton Woods_Houston_01249</t>
  </si>
  <si>
    <t>Havenbrook Dr_3415_Oaks of Kingwood I_Kingwood_01250</t>
  </si>
  <si>
    <t>Havenbrook Dr_3415_Oaks of Kingwood II_Kingwood_01251</t>
  </si>
  <si>
    <t>Gatesden_11000_Lakewood_Tomball_01252</t>
  </si>
  <si>
    <t>Cornerstone Village Dr_14131_North Bend_Houston_01253</t>
  </si>
  <si>
    <t>Cornerstone Village Dr_14355_Cypress Creek_Houston_01254</t>
  </si>
  <si>
    <t>Oakwood Glen Blvd_7133_Spring Oaks I_Spring_01255</t>
  </si>
  <si>
    <t>Oakwood Glen_7203_The Cottages of Cypresswood_Spring_01257</t>
  </si>
  <si>
    <t>Stuebner Airline_16414_Oaks of Wimbledon_Spring_01258</t>
  </si>
  <si>
    <t>Stuebner Airline Rd_16222_Wimbledon_Spring_01260</t>
  </si>
  <si>
    <t>Stuebner Airline_16339_Mill Creek_Spring_01261</t>
  </si>
  <si>
    <t>Cutten Rd_14500_Raveneaux_Houston_01262</t>
  </si>
  <si>
    <t>Sycamore Springs Dr_2911_Elm Creek_Kingwood_01265</t>
  </si>
  <si>
    <t>Sycamore Springs Dr_2921_Elm Grove_Kingwood_01266</t>
  </si>
  <si>
    <t>Hufsmith W_327_Terrace Hills_Tomball_01267</t>
  </si>
  <si>
    <t>Graham Dr_1100_Bridgewater_Tomball_01270</t>
  </si>
  <si>
    <t>Lawrence_920_Cobble Creek_Tomball_01272</t>
  </si>
  <si>
    <t>Belmont St_300_Hampton Place TH_Tomball_01273</t>
  </si>
  <si>
    <t>Hickory Twig Way_19700_Cypresswood Crossing_Spring_01274</t>
  </si>
  <si>
    <t>Spring Park Center Blvd_555_Spring Park_Spring_01275</t>
  </si>
  <si>
    <t>Lake Hills Dr_2139_Woodland Hills Village I_Kingwood_01276</t>
  </si>
  <si>
    <t>Lake Hills Dr_2135_Woodland Hills Village II_Kingwood_01277</t>
  </si>
  <si>
    <t>Cypresswood Dr_4500_Applewood Village_Spring_01278</t>
  </si>
  <si>
    <t>Cypresswood Dr_4607_Cypresswood_Spring_01279</t>
  </si>
  <si>
    <t>Wunderlich_14230_Brookfield_Houston_01280</t>
  </si>
  <si>
    <t>Louetta Rd_4545_Oak Falls_Spring_01281</t>
  </si>
  <si>
    <t>Cypresswood Dr_8100_The Lodge at Cypresswood_Houston_01282</t>
  </si>
  <si>
    <t>Louetta Rd_11100_Legacy Pines_Houston_01283</t>
  </si>
  <si>
    <t>Lyons School Rd_16303_Lyons Court Condominiums_Spring_01284</t>
  </si>
  <si>
    <t>Wunderlich_14150_Champion Oaks_Houston_01285</t>
  </si>
  <si>
    <t>Wunderlich Dr_14222_The Cottages of Champions Forest_Houston_01286</t>
  </si>
  <si>
    <t>Cypresswood_4603_Falcon Ridge_Spring_01287</t>
  </si>
  <si>
    <t>Place Rebecca Ln_2218_Nantucket Square II_Houston_01288</t>
  </si>
  <si>
    <t>Imperial Valley_22720_North Park TH_Houston_01289</t>
  </si>
  <si>
    <t>Imperial Valley Dr_22820_The Forest_Houston_01290</t>
  </si>
  <si>
    <t>Hollow Tree_200_Autumn Chase_Houston_01291</t>
  </si>
  <si>
    <t>Highland Cross_311_Sedona Pointe_Houston_01292</t>
  </si>
  <si>
    <t>Bammel Houston N_14545_London Park_Houston_01293</t>
  </si>
  <si>
    <t>1960 FM_4200_Timberstone_Houston_01294</t>
  </si>
  <si>
    <t>Parramatta_311_The Chancellor_Houston_01295</t>
  </si>
  <si>
    <t>Imperial Valley Dr_22921_Arbor Ridge_Houston_01296</t>
  </si>
  <si>
    <t>Cypress Station Dr_1000_Oaks of Cypress Station_Houston_01297</t>
  </si>
  <si>
    <t>Cypress Station Dr_505_Parkwood on Cypress Station_Houston_01298</t>
  </si>
  <si>
    <t>Bammelwood Dr_2402_Bammelwood_Houston_01299</t>
  </si>
  <si>
    <t>Kuykendahl_15414_Vineyard Trace_Houston_01300</t>
  </si>
  <si>
    <t>Cali Dr_17601_Champion Court_Houston_01301</t>
  </si>
  <si>
    <t>Cali Dr_17610_The Country Club_Houston_01302</t>
  </si>
  <si>
    <t>Kuykendahl_15915_The Bridges_Houston_01303</t>
  </si>
  <si>
    <t>Cypress Station Dr_905_Wyndham Park I_Houston_01306</t>
  </si>
  <si>
    <t>Cypress Trace Rd_18001_Northwoods_Houston_01307</t>
  </si>
  <si>
    <t>Highland Cross_411_Citation North_Houston_01308</t>
  </si>
  <si>
    <t>Imperial Valley_22715_The Retreat_Houston_01309</t>
  </si>
  <si>
    <t>Cornerstone Village_14365_The Summit at Champions East_Houston_01310</t>
  </si>
  <si>
    <t>Walters Rd_14101_Aston Brook_Houston_01312</t>
  </si>
  <si>
    <t>Cypress Station_905_Wyndham Park II_Houston_01313</t>
  </si>
  <si>
    <t>Cypress Station_910_Portofino Landing_Houston_01314</t>
  </si>
  <si>
    <t>Cypress Station_990_The Palms at Cypress Station_Houston_01315</t>
  </si>
  <si>
    <t>Cypress Station Dr_1007_The Blenheim_Houston_01316</t>
  </si>
  <si>
    <t>Hollow Tree_100_Autumn Lakes_Houston_01317</t>
  </si>
  <si>
    <t>Red Oak Dr_17710_The Village of Red Oak_Houston_01318</t>
  </si>
  <si>
    <t>Red Oak Rd_17714_Rain Forest_Houston_01319</t>
  </si>
  <si>
    <t>Imperial Valley_22910_Cinnamon Square_Houston_01320</t>
  </si>
  <si>
    <t>Parramatta Ln_310_North Park_Houston_01322</t>
  </si>
  <si>
    <t>1960 FM E_1230_Deerbrook Garden_Humble_01323</t>
  </si>
  <si>
    <t>Bender Ave_401_Township_Humble_01324</t>
  </si>
  <si>
    <t>Bender S_412_Pines at Humble Park_Humble_01325</t>
  </si>
  <si>
    <t>Briarcreek Blvd_1819_Memorial Hills TH_Houston_01326</t>
  </si>
  <si>
    <t>Wooded Pine_1601_Candleridge Park_Houston_01327</t>
  </si>
  <si>
    <t>Ella Blvd_15530_La Jolla Champions on Ella_Houston_01328</t>
  </si>
  <si>
    <t>Imperial Valley_20430_Century Park_Houston_01329</t>
  </si>
  <si>
    <t>Ella Blvd_16755_Lakeview II_Houston_01330</t>
  </si>
  <si>
    <t>Romano Park Ln_1699_Lakeview Estates_Houston_01331</t>
  </si>
  <si>
    <t>Hirschfield_2800_One Westfield Lake_Spring_01332</t>
  </si>
  <si>
    <t>Hirschfield_2929_Windsong Village_Spring_01333</t>
  </si>
  <si>
    <t>Inverness Forest Blvd_21717_Woods of Inverness_Houston_01334</t>
  </si>
  <si>
    <t>Ella Blvd_16755_Lakeview I_Houston_01335</t>
  </si>
  <si>
    <t>Cypresswood_22221_Cypresswood Court_Spring_01336</t>
  </si>
  <si>
    <t>Foxwood Forest_19920_Foxwood_Humble_01337</t>
  </si>
  <si>
    <t>Woodcreek Ln_3023_Woodcreek Village_Houston_01338</t>
  </si>
  <si>
    <t>Aldine Westfield_20515_Westfield Ridge_Humble_01339</t>
  </si>
  <si>
    <t>Millstone_2257-B_Kelkind Manor_Houston_01341</t>
  </si>
  <si>
    <t>Vista Dr N_300_Apache Springs_Houston_01342</t>
  </si>
  <si>
    <t>Sun Prairie_911_Sun Prairie_Houston_01343</t>
  </si>
  <si>
    <t>Dunson Glen_805_Glen Oaks I &amp; II_Houston_01344</t>
  </si>
  <si>
    <t>Wells Fargo_210_Preakness of Cypress Station_Houston_01345</t>
  </si>
  <si>
    <t>Wells Fargo_505_Carriage Place_Houston_01346</t>
  </si>
  <si>
    <t>Dunson Glen_700_Green Tree Place_Houston_01347</t>
  </si>
  <si>
    <t>Cypress Station Dr_601_Roundhill TH_Houston_01349</t>
  </si>
  <si>
    <t>Butterfield Rd_555_Cypress Lake_Houston_01350</t>
  </si>
  <si>
    <t>Ella Blvd_15330_Commerce Park_Houston_01351</t>
  </si>
  <si>
    <t>Ella Blvd_15455_Applewood Village TH_Houston_01352</t>
  </si>
  <si>
    <t>1960 FM_9814_Timbers of Deerbrook_Humble_01353</t>
  </si>
  <si>
    <t>Whitaker_19700_Park at Deerbrook_Humble_01354</t>
  </si>
  <si>
    <t>Blue Ash_15215_Park Trails_Houston_01355</t>
  </si>
  <si>
    <t>Blue Ash Dr_15615_Fairfield Cove_Houston_01356</t>
  </si>
  <si>
    <t>Blue Ash Dr_15101_Blue Ash_Houston_01357</t>
  </si>
  <si>
    <t>Cypresswood_10325_The Mandolin_Houston_01358</t>
  </si>
  <si>
    <t>Grant Rd_11111_Stonegate Villas_Cypress_01359</t>
  </si>
  <si>
    <t>Regency Green Dr_11300_Central Park Regency_Cypress_01360</t>
  </si>
  <si>
    <t>Kingwood Dr_3700_Kingwood Lakes_Kingwood_01361</t>
  </si>
  <si>
    <t>Kingwood Dr_4545_Kings Crossing_Kingwood_01362</t>
  </si>
  <si>
    <t>Bens Branch Dr_2727_Town Center I_Kingwood_01363</t>
  </si>
  <si>
    <t>Greenwood Forest Dr_12811_Champions Village_Houston_01365</t>
  </si>
  <si>
    <t>1960 FM E_7850_Sunrise at Atascocita_Humble_01366</t>
  </si>
  <si>
    <t>1960 FM E_11243_Lakewood Heights TH_Huffman_01367</t>
  </si>
  <si>
    <t>1960 FM E_8300_The Verandah at Lake Pointe_Atascocita_01368</t>
  </si>
  <si>
    <t>Cypress N Houston_14175_Andover Place_Cypress_01369</t>
  </si>
  <si>
    <t>Magnolia Cove Dr_4630_Harbor Cove_Kingwood_01371</t>
  </si>
  <si>
    <t>1960 FM E_8311_Woods on the Fairway_Humble_01372</t>
  </si>
  <si>
    <t>Grant Rd_11909_Lakewood West_Houston_01373</t>
  </si>
  <si>
    <t>Barwood Bend_11900_Ashley Crest_Houston_01374</t>
  </si>
  <si>
    <t>Memorial S_18839_Northeast Pines_Humble_01376</t>
  </si>
  <si>
    <t>Carolyn Ct_1200_Kay Lynn Apts_Humble_01377</t>
  </si>
  <si>
    <t>Cypresswood_9721_Cypress Commons_Houston_01378</t>
  </si>
  <si>
    <t>Jones Rd_12703_Stirling Court_Houston_01379</t>
  </si>
  <si>
    <t>Mist Ln_10901_Stone Mist_Houston_01380</t>
  </si>
  <si>
    <t>Isaacks Rd_98_Deer Springs_Humble_01381</t>
  </si>
  <si>
    <t>Lake Village Dr_2200_Trailwood Village_Kingwood_01382</t>
  </si>
  <si>
    <t>Huffmeister_11200_Park Colony_Houston_01383</t>
  </si>
  <si>
    <t>Wortham Blvd_10225_Wynnewood_Houston_01384</t>
  </si>
  <si>
    <t>Bender_424_Bender Hollow_Humble_01385</t>
  </si>
  <si>
    <t>Bender S_515_Meadowbrook_Humble_01386</t>
  </si>
  <si>
    <t>Grant Rd_11800_Village in the Woods_Cypress_01387</t>
  </si>
  <si>
    <t>Prestonwood Forest Dr_13210_Prestonwood_Houston_01388</t>
  </si>
  <si>
    <t>Greencreek Dr_10803_Pebble Creek_Houston_01389</t>
  </si>
  <si>
    <t>Glenora Dr_10730_Hastings Place I_Houston_01390</t>
  </si>
  <si>
    <t>Willow Place S_8330_One Willow Chase_Houston_01391</t>
  </si>
  <si>
    <t>Green Creek Dr_10802_Woodedge_Houston_01392</t>
  </si>
  <si>
    <t>Saathoff_11111_Brandon Oaks_Cypress_01393</t>
  </si>
  <si>
    <t>Willow Place N_8450_One Willow Park_Houston_01394</t>
  </si>
  <si>
    <t>1960 FM W_5100_Providence at Champions_Houston_01395</t>
  </si>
  <si>
    <t>Greenwood Forest Dr_12820_Greenwood Forest_Houston_01396</t>
  </si>
  <si>
    <t>Antoine_12355_Camden Station_Houston_01397</t>
  </si>
  <si>
    <t>Antoine_12411_One Camden Court_Houston_01398</t>
  </si>
  <si>
    <t>Bammel Houston N_10200_Meridian_Houston_01399</t>
  </si>
  <si>
    <t>Champions Dr_14141_Champions Green_Houston_01400</t>
  </si>
  <si>
    <t>1960 FM W_5959_The Promenade Champions Forest_Houston_01401</t>
  </si>
  <si>
    <t>Glenora_10730_Hastings Place II_Houston_01402</t>
  </si>
  <si>
    <t>Windfern_12919_Windfern Meadows_Houston_01403</t>
  </si>
  <si>
    <t>Windfern_13035_Trails of Windfern_Houston_01404</t>
  </si>
  <si>
    <t>Perry Rd_11240_Willow Run TH_Houston_01405</t>
  </si>
  <si>
    <t>Hammond_11810_Morningside Green_Houston_01406</t>
  </si>
  <si>
    <t>Azalea Trace_5110_Smoketree Apts_Houston_01407</t>
  </si>
  <si>
    <t>Antoine_12335_Champions Pointe_Houston_01408</t>
  </si>
  <si>
    <t>Breton Ridge_13555_Breton Mill_Houston_01409</t>
  </si>
  <si>
    <t>Willowchase Blvd_7700_The Verandah at Centerfield_Houston_01410</t>
  </si>
  <si>
    <t>Crescent Moon_11000_Chelsea Park_Houston_01411</t>
  </si>
  <si>
    <t>Legacy Park Dr_10801_Legacy Park_Houston_01412</t>
  </si>
  <si>
    <t>Ella_14335_Cranbrook Downs_Houston_01414</t>
  </si>
  <si>
    <t>Champions Centre Dr_13222_Champions Centre_Houston_01415</t>
  </si>
  <si>
    <t>Champion Forest Dr_12801_Champions Forest_Houston_01417</t>
  </si>
  <si>
    <t>Willowchase Blvd_7575_The Terrace at Willowbrook_Houston_01418</t>
  </si>
  <si>
    <t>Ella Blvd_13800_Bayou Oaks_Houston_01419</t>
  </si>
  <si>
    <t>Ella_13875_Cranbrook Forest_Houston_01420</t>
  </si>
  <si>
    <t>Ella Blvd_13913_Monticello on Cranbrook_Houston_01421</t>
  </si>
  <si>
    <t>Ella Blvd_14531_Polo Club on Cranbrook_Houston_01422</t>
  </si>
  <si>
    <t>Stonefield_13100_Huntington at Stonefield_Houston_01423</t>
  </si>
  <si>
    <t>Champions Park_13050_Champions Park_Houston_01424</t>
  </si>
  <si>
    <t>Champions Plaza_6830_Champions Woods_Houston_01425</t>
  </si>
  <si>
    <t>Seton Lake Dr_7703_Seton Chase_Houston_01426</t>
  </si>
  <si>
    <t>Bammel Houston N_13949_Willow Bend_Houston_01427</t>
  </si>
  <si>
    <t>Greens Rd W_7250_The Enclave at Willowbrook_Houston_01428</t>
  </si>
  <si>
    <t>Fallbrook Dr_7610_Cedar Pointe_Houston_01429</t>
  </si>
  <si>
    <t>Ella Blvd_14000_Timbers of Cranbrook_Houston_01430</t>
  </si>
  <si>
    <t>Ella_14400_Excelsior on the Park_Houston_01431</t>
  </si>
  <si>
    <t>Old Bammel Houston N_10401_Briar Park_Houston_01432</t>
  </si>
  <si>
    <t>Tomball Prkwy_14150_Willowbrook Point_Houston_01433</t>
  </si>
  <si>
    <t>Greens Pkwy_1325_Pine Lake Village_Houston_01434</t>
  </si>
  <si>
    <t>Greens Pkwy_1415_Fall Lake_Houston_01435</t>
  </si>
  <si>
    <t>Greens Pkwy_1351_Live Oak Bend_Houston_01436</t>
  </si>
  <si>
    <t>Greens Rd_501_The Durham at CityView_Houston_01437</t>
  </si>
  <si>
    <t>Chase N_16900_The Royal Phoenician_Houston_01438</t>
  </si>
  <si>
    <t>Kuykendahl Rd_12655_The Augusta_Houston_01440</t>
  </si>
  <si>
    <t>Brundage_2110_Vanderbilt_Houston_01441</t>
  </si>
  <si>
    <t>Cambury_13725_Cambury Place_Houston_01442</t>
  </si>
  <si>
    <t>Ella Blvd_14403_Morgan Bay_Houston_01443</t>
  </si>
  <si>
    <t>Ella Blvd_15100_Chartwell Court_Houston_01444</t>
  </si>
  <si>
    <t>Dominion Park Dr_150_The Square_Houston_01445</t>
  </si>
  <si>
    <t>Gears_1303_Driscoll Place I_Houston_01447</t>
  </si>
  <si>
    <t>Gears_1303_Driscoll Place II_Houston_01448</t>
  </si>
  <si>
    <t>Northborough Dr_13355_Canfield Lakes_Houston_01449</t>
  </si>
  <si>
    <t>Northborough Dr_13502_Sago Palms_Houston_01450</t>
  </si>
  <si>
    <t>Greens Rd_770_The Bennett at CityView_Houston_01451</t>
  </si>
  <si>
    <t>Greens Rd_855_Anniston at CityView_Houston_01452</t>
  </si>
  <si>
    <t>Greens Pkwy_1350_Worthington at the Beltway_Houston_01453</t>
  </si>
  <si>
    <t>Greens Rd_407_Park De Ville_Houston_01454</t>
  </si>
  <si>
    <t>Imperial Valley Dr_16802_CityView Place III_Houston_01455</t>
  </si>
  <si>
    <t>Greens Rd_400_CityView West_Houston_01456</t>
  </si>
  <si>
    <t>Northborough_13011_The Thicket_Houston_01457</t>
  </si>
  <si>
    <t>Northborough_13030_Forest Pointe_Houston_01458</t>
  </si>
  <si>
    <t>Northborough_13503_Siena Courtyard_Houston_01459</t>
  </si>
  <si>
    <t>Rushcreek Dr_633_Oakridge_Houston_01460</t>
  </si>
  <si>
    <t>Northborough_12603_Northpointe Village_Houston_01461</t>
  </si>
  <si>
    <t>Northborough_12803_Mira Vista_Houston_01462</t>
  </si>
  <si>
    <t>Plaza Verde Dr_201_Fallbrook_Houston_01463</t>
  </si>
  <si>
    <t>Northpoint_90_North Park_Houston_01464</t>
  </si>
  <si>
    <t>Northpoint_220_Northpoint Square_Houston_01465</t>
  </si>
  <si>
    <t>Airline_11960_Northgate_Houston_01466</t>
  </si>
  <si>
    <t>Dyna Dr_100_Oak Leaf Village_Houston_01468</t>
  </si>
  <si>
    <t>Wagon Rd_15715_Chelsea Walk North_Houston_01469</t>
  </si>
  <si>
    <t>Imperial Valley Dr_17133_Springfield at CityView II_Houston_01470</t>
  </si>
  <si>
    <t>Green Plaza_11411_Walnut Creek_Houston_01471</t>
  </si>
  <si>
    <t>Greens Plaza_11500_Canyon Club_Houston_01472</t>
  </si>
  <si>
    <t>Dyna_125_Los Prados_Houston_01473</t>
  </si>
  <si>
    <t>Goodson Dr_2_Casa Verde_Houston_01474</t>
  </si>
  <si>
    <t>Goodson_197_Regency Crossing_Houston_01475</t>
  </si>
  <si>
    <t>Goodson_198_Valley Oaks_Houston_01476</t>
  </si>
  <si>
    <t>Goodson_103_Magnolia Regency I_Houston_01478</t>
  </si>
  <si>
    <t>Goodson_185_Magnolia Regency II_Houston_01479</t>
  </si>
  <si>
    <t>Imperial Valley Dr_16303_Deer Creek_Houston_01480</t>
  </si>
  <si>
    <t>Imperial Valley_17050_Biscayne at CityView I_Houston_01481</t>
  </si>
  <si>
    <t>Richcrest_717_Royale De Ville_Houston_01482</t>
  </si>
  <si>
    <t>Richcrest_818_Greenbriar Park North_Houston_01483</t>
  </si>
  <si>
    <t>Seminar Dr_535_Breckenridge at CityView II_Houston_01484</t>
  </si>
  <si>
    <t>Wayforest Dr_17630_Augusta at CityView_Houston_01486</t>
  </si>
  <si>
    <t>Wayforest Dr_17715_Savannah at CityView_Houston_01487</t>
  </si>
  <si>
    <t>59 Hwy_14400_Bender Creek_Humble_01489</t>
  </si>
  <si>
    <t>Imperial Valley_17030_Biscayne at CityView II_Houston_01491</t>
  </si>
  <si>
    <t>Imperial Valley_17103_Amherst at CityView_Houston_01492</t>
  </si>
  <si>
    <t>Harvest Time Ln_850_The Charleston at CityView_Houston_01493</t>
  </si>
  <si>
    <t>Greens Rd_707_Maison de Ville_Houston_01494</t>
  </si>
  <si>
    <t>Greens Rd_906_Woods of Greenbriar_Houston_01495</t>
  </si>
  <si>
    <t>Carl Ave_16803_CityView Place II_Houston_01496</t>
  </si>
  <si>
    <t>Imperial Valley_17230_Greenspoint Landing II_Houston_01497</t>
  </si>
  <si>
    <t>Aldine Bender_225_North Oaks_Houston_01498</t>
  </si>
  <si>
    <t>Imperial Valley Dr_17206_Cambridge at CityView_Houston_01500</t>
  </si>
  <si>
    <t>Imperial Valley Dr_17435_Springfield at CityView I_Houston_01501</t>
  </si>
  <si>
    <t>Aldine Westfield_15521_Greenbriar Colony TH_Houston_01502</t>
  </si>
  <si>
    <t>Langwick_1100_Crescent at CityView_Houston_01504</t>
  </si>
  <si>
    <t>Seminar_535_Breckenridge at CityView III_Houston_01505</t>
  </si>
  <si>
    <t>Greens Rd_1000_Salado at CityView_Houston_01506</t>
  </si>
  <si>
    <t>Seminar Dr_802_Arbor Court_Houston_01507</t>
  </si>
  <si>
    <t>Carl Ave_16811_CityView Place IV_Houston_01508</t>
  </si>
  <si>
    <t>Seminar Dr_625_Imperial Oaks_Houston_01510</t>
  </si>
  <si>
    <t>Wayforest_17601_Courtyard Manor_Houston_01511</t>
  </si>
  <si>
    <t>Carl Ave_16826_CityView Place V_Houston_01512</t>
  </si>
  <si>
    <t>Imperial Valley_16250_Sausalito_Houston_01513</t>
  </si>
  <si>
    <t>Will Clayton Pkwy_8455_Parkside_Humble_01514</t>
  </si>
  <si>
    <t>59 Hwy_17750_Deerbrook Forest_Humble_01515</t>
  </si>
  <si>
    <t>CrossRds Park Dr_12665_Limestone Ranch_Houston_01516</t>
  </si>
  <si>
    <t>Steepleway Blvd_12101_Sprucewood_Houston_01517</t>
  </si>
  <si>
    <t>Easton Commons_8440_Peppermill Place_Houston_01518</t>
  </si>
  <si>
    <t>Rankin Rd_8137_Rankin Country_Humble_01519</t>
  </si>
  <si>
    <t>Old Belt Dr N_6910_Northlake Manor_Humble_01520</t>
  </si>
  <si>
    <t>Golden Eagle_15100_Waterchase_Humble_01521</t>
  </si>
  <si>
    <t>Wilson Rd_831_Colony of Humble_Humble_01522</t>
  </si>
  <si>
    <t>Golf Club Dr_16700_Spring Hill Village_Crosby_01523</t>
  </si>
  <si>
    <t>Cotillion_16001_Imperial Landing_Houston_01524</t>
  </si>
  <si>
    <t>Crosswinds Dr_14810_Crosswinds_Houston_01525</t>
  </si>
  <si>
    <t>Sam Houston Pkwy E N_5301_Villas at Pine Lake_Houston_01527</t>
  </si>
  <si>
    <t>Aldine Bender_5619_Haverstock Hill_Houston_01528</t>
  </si>
  <si>
    <t>Will Clayton Pkwy_5801_Shadowridge North_Humble_01529</t>
  </si>
  <si>
    <t>Easton Commons_8550_Easton Village_Houston_01530</t>
  </si>
  <si>
    <t>Easton Commons_8630_Coventry Square_Houston_01531</t>
  </si>
  <si>
    <t>Timber Creek Place Dr_5535_Bear Creek Crossing_Houston_01532</t>
  </si>
  <si>
    <t>Timber Creek Place_5635_Timberwalk_Houston_01533</t>
  </si>
  <si>
    <t>Atascocita Rd_5303_Eagle Crest_Humble_01534</t>
  </si>
  <si>
    <t>Point Park_8727_Villages at Copperfield II_Houston_01535</t>
  </si>
  <si>
    <t>Point Park_8750_Villages at Copperfield I_Houston_01536</t>
  </si>
  <si>
    <t>Sunbury_8255_Copperfield_Houston_01537</t>
  </si>
  <si>
    <t>529 FM_15910_Copper Mill_Houston_01538</t>
  </si>
  <si>
    <t>Timber Creek Place_5450_Saint Gregory's Beach_Houston_01539</t>
  </si>
  <si>
    <t>Timber Creek Place Dr_5455_Timberledge_Houston_01540</t>
  </si>
  <si>
    <t>York Meadows_6416_Meadow Creek_Houston_01541</t>
  </si>
  <si>
    <t>Timber Creek Place_5315_Trails of Timber Creek_Houston_01542</t>
  </si>
  <si>
    <t>A Rumford Ln_6230_Langham Creek_Houston_01544</t>
  </si>
  <si>
    <t>Point NW_15455_Villages at Copperfield III_Houston_01545</t>
  </si>
  <si>
    <t>Sunbury_8200_Sunbury Downs_Houston_01546</t>
  </si>
  <si>
    <t>Little York W_15303-15357_TH of Bear Creek_Houston_01547</t>
  </si>
  <si>
    <t>Kingfield_15550_Colonies Landing_Houston_01548</t>
  </si>
  <si>
    <t>Seattle Slew_12613_Trails at Rock Creek II_Houston_01549</t>
  </si>
  <si>
    <t>Jones Rd_8901_Pointe at Steeplechase I_Houston_01550</t>
  </si>
  <si>
    <t>Wagonwheel Ln_6706_Inwood Place_Houston_01552</t>
  </si>
  <si>
    <t>TC Jester Blvd W_7200_Inwood Village_Houston_01553</t>
  </si>
  <si>
    <t>W Rd_11220_Steeplecrest I_Houston_01554</t>
  </si>
  <si>
    <t>W Rd_11220_Steeplecrest II_Houston_01555</t>
  </si>
  <si>
    <t>Timber Creek Place Dr_5735_The Madison at Bear Creek_Houston_01557</t>
  </si>
  <si>
    <t>W Rd_11245_Retreat at Steeplechase_Houston_01558</t>
  </si>
  <si>
    <t>Thoroughbred Dr_11910_Steepleway Downs_Houston_01559</t>
  </si>
  <si>
    <t>W Rd_10910_Ascot Court_Houston_01560</t>
  </si>
  <si>
    <t>W Rd_10990_West Brook_Houston_01561</t>
  </si>
  <si>
    <t>Ranchstone_10901_Ranchstone_Houston_01562</t>
  </si>
  <si>
    <t>W Rd_10919_Stone Canyon_Houston_01563</t>
  </si>
  <si>
    <t>Hollister_6565_Hollister Place_Houston_01564</t>
  </si>
  <si>
    <t>Hollister_6000_Wilshire Place_Houston_01565</t>
  </si>
  <si>
    <t>Jones Rd_8655_The Trails at Corinthian Creek_Houston_01566</t>
  </si>
  <si>
    <t>Seattle Slew_12502_Trails at Rock Creek I_Houston_01567</t>
  </si>
  <si>
    <t>Timber Creek Place_5650_The Lake_Houston_01568</t>
  </si>
  <si>
    <t>Timber Creek Place Dr_5730_Towne Lake_Houston_01569</t>
  </si>
  <si>
    <t>Antoine_8430_Chesapeake Village_Houston_01570</t>
  </si>
  <si>
    <t>Antoine_9021_Inwood Meadows_Houston_01571</t>
  </si>
  <si>
    <t>Gulf Bank W_5300_Avery Park I_Houston_01572</t>
  </si>
  <si>
    <t>Smiling Wood_7100_The Park at Willowbrook_Houston_01573</t>
  </si>
  <si>
    <t>Smiling Wood Ln_7150_Willow Brook_Houston_01574</t>
  </si>
  <si>
    <t>Gulf Bank W_9515_Windfern Pointe_Houston_01576</t>
  </si>
  <si>
    <t>Gulf Bank W_7058_Crossing at Woodland Trails_Houston_01577</t>
  </si>
  <si>
    <t>Gold Point_10910_Winchester Place_Houston_01578</t>
  </si>
  <si>
    <t>Steepleway Blvd_12920_The Promenade Jersey Village III_Houston_01579</t>
  </si>
  <si>
    <t>Hollister_6969_The Seasons_Houston_01580</t>
  </si>
  <si>
    <t>Silent Wood_7330_Champions Forest_Houston_01581</t>
  </si>
  <si>
    <t>Jones Rd_9001_Camden Steeplechase_Houston_01583</t>
  </si>
  <si>
    <t>Steeple Park_11555_Pointe at Steeplechase II_Houston_01584</t>
  </si>
  <si>
    <t>Pleasant Colony_11011_The Promenade Jersey Village II_Houston_01585</t>
  </si>
  <si>
    <t>Philipine_14555_The Reserve at Woodwind Lakes_Houston_01586</t>
  </si>
  <si>
    <t>Hollister_7055_Thornbury_Houston_01587</t>
  </si>
  <si>
    <t>Flintlock Rd_5915_Savoy Manor_Houston_01588</t>
  </si>
  <si>
    <t>Gulf Bank Rd W_5714_Park Lane II_Houston_01589</t>
  </si>
  <si>
    <t>Gulf Bank W_5880_Timbers of Inwood Forest II_Houston_01591</t>
  </si>
  <si>
    <t>Gulf Bank Rd W_5555_Park Lane I_Houston_01593</t>
  </si>
  <si>
    <t>Gulf Bank W_5335_Streamside Place_Houston_01594</t>
  </si>
  <si>
    <t>Gulf Bank W_5350_Avery Park II_Houston_01595</t>
  </si>
  <si>
    <t>Blue Bell_1655_Blue Bell Crossing_Houston_01596</t>
  </si>
  <si>
    <t>Veterans Memorial_9660_Blue Bell Village_Houston_01597</t>
  </si>
  <si>
    <t>Mount Houston W_5710-5732_Villages of Inwood_Houston_01599</t>
  </si>
  <si>
    <t>Woodsman Trl_7015_Rosslyn Heights_Houston_01600</t>
  </si>
  <si>
    <t>Little York W_3500_Oak Villa II_Houston_01601</t>
  </si>
  <si>
    <t>Alabonson Rd_7302_Inwood Grove_Houston_01603</t>
  </si>
  <si>
    <t>Gulf Bank W_5850_Timbers of Inwood Forest I_Houston_01604</t>
  </si>
  <si>
    <t>Holly View Dr_5550_The Park at Live Oak_Houston_01605</t>
  </si>
  <si>
    <t>Holly View Dr_5555_Hollyview_Houston_01606</t>
  </si>
  <si>
    <t>Greens Crossing Blvd_10445_Mission Falls_Houston_01607</t>
  </si>
  <si>
    <t>Blue Bell_1400_The Meadows on Blue Bell_Houston_01608</t>
  </si>
  <si>
    <t>Holly View Dr_5600_Gables of Inwood_Houston_01609</t>
  </si>
  <si>
    <t>Little York W_3434_Oak Villa I_Houston_01610</t>
  </si>
  <si>
    <t>Antoine_6407_Diamond Ridge I_Houston_01611</t>
  </si>
  <si>
    <t>Antoine_6417_Diamond Ridge II_Houston_01612</t>
  </si>
  <si>
    <t>Little York W_790_Lincoln Park_Houston_01614</t>
  </si>
  <si>
    <t>Little York W_215_Casa Real_Houston_01615</t>
  </si>
  <si>
    <t>Antoine_6101_The Falls on Antoine_Houston_01616</t>
  </si>
  <si>
    <t>Antoine Dr_6240_Reserve at White Oak_Houston_01617</t>
  </si>
  <si>
    <t>Northwood Forest_12215_Las Brisas_Houston_01618</t>
  </si>
  <si>
    <t>Hamill_5601_Pinewood North_Houston_01619</t>
  </si>
  <si>
    <t>Wild Pine_12322_Pine Village North_Houston_01620</t>
  </si>
  <si>
    <t>Gulf Bank W_1415_Coppertree Village_Houston_01621</t>
  </si>
  <si>
    <t>Montgomery W_9601_Garden City_Houston_01622</t>
  </si>
  <si>
    <t>Sunny Side_303_La Casita II_Houston_01623</t>
  </si>
  <si>
    <t>Sunnyside_313_La Casita I_Houston_01624</t>
  </si>
  <si>
    <t>Parker Rd W_480_Pecan Shadows_Houston_01625</t>
  </si>
  <si>
    <t>Hollyvale Dr_427_Hollyvale_Houston_01626</t>
  </si>
  <si>
    <t>Aldine Mail Rd_2203_Oakdale Manor_Houston_01630</t>
  </si>
  <si>
    <t>Carby W_256_Country Living_Houston_01633</t>
  </si>
  <si>
    <t>Northline_7313_Northline Point_Houston_01635</t>
  </si>
  <si>
    <t>John F Kennedy Blvd_12550_Rockwood Landing_Houston_01636</t>
  </si>
  <si>
    <t>Aldine Mail Route_5005_Northwood Villas_Houston_01637</t>
  </si>
  <si>
    <t>Aldine Mail Route_4826_Aldine_Houston_01638</t>
  </si>
  <si>
    <t>A Tallowpine_5240_Pineview Terrace_Katy_01639</t>
  </si>
  <si>
    <t>5th St E_5360_Katy Manor_Katy_01640</t>
  </si>
  <si>
    <t>Ave E_1518_Katy Mayfair_Katy_01641</t>
  </si>
  <si>
    <t>Aldine Mail Route_4335_Capewood_Houston_01642</t>
  </si>
  <si>
    <t>Aldine Mail Route_4505_La Quinta Garden_Houston_01643</t>
  </si>
  <si>
    <t>Northline_7001_Concord Green_Houston_01644</t>
  </si>
  <si>
    <t>Parker Rd W_130_Parkway Plaza_Houston_01645</t>
  </si>
  <si>
    <t>Keith Harrow_16150_Breckenridge Court_Houston_01646</t>
  </si>
  <si>
    <t>Keith Harrow_16160_Harpers Mill_Houston_01647</t>
  </si>
  <si>
    <t>90 Hwy_4015_Whisper Oaks_Crosby_01653</t>
  </si>
  <si>
    <t>2100 FM_15016_Crosby Square_Crosby_01654</t>
  </si>
  <si>
    <t>Barker Cypress_1822_The Enclave at Cypress Park_Houston_01655</t>
  </si>
  <si>
    <t>Park View S_18142_Arbor Pointe_Houston_01656</t>
  </si>
  <si>
    <t>Clay Hill Dr_4211_Green Tree Place_Houston_01657</t>
  </si>
  <si>
    <t>Clay_16222_Clay Creek_Houston_01658</t>
  </si>
  <si>
    <t>Park Row_14220_Arcadian West_Houston_01659</t>
  </si>
  <si>
    <t>Park Row_19321_Park Falls_Houston_01660</t>
  </si>
  <si>
    <t>Keith-Harrow_17310_Green Meadows_Houston_01661</t>
  </si>
  <si>
    <t>Shady Ln_10300_Parker Square_Houston_01662</t>
  </si>
  <si>
    <t>Parker_7170_Las Palmas_Houston_01664</t>
  </si>
  <si>
    <t>Krenek_304_Crosby Meadows_Crosby_01665</t>
  </si>
  <si>
    <t>Park Row_21500_Bent Tree_Katy_01668</t>
  </si>
  <si>
    <t>Saums_20000_Stonecreek I_Katy_01669</t>
  </si>
  <si>
    <t>Saums_20000_Stonecreek II_Katy_01670</t>
  </si>
  <si>
    <t>Westborough Dr_2031_Westborough Crossing_Katy_01671</t>
  </si>
  <si>
    <t>Park Row_19606_Ryan's Pointe_Houston_01672</t>
  </si>
  <si>
    <t>Park Row_15200_Park Place_Houston_01673</t>
  </si>
  <si>
    <t>Park Row_15211_Heritage at Park Row_Houston_01675</t>
  </si>
  <si>
    <t>Clay_17103_Pine Forest_Houston_01677</t>
  </si>
  <si>
    <t>Barker Cypress_1800_Promenade Cullen Park I_Houston_01678</t>
  </si>
  <si>
    <t>Barker Cypress_1810_Promenade Cullen Park II_Houston_01679</t>
  </si>
  <si>
    <t>Wickchester_11900_Eagle Hollow_Houston_01680</t>
  </si>
  <si>
    <t>Sherwood Forest_1503_Timberline Forest_Houston_01681</t>
  </si>
  <si>
    <t>Loch Katrine_16545_Village at Loch Katrine I &amp; II_Houston_01683</t>
  </si>
  <si>
    <t>Grow Ln_7835_Quail Creek_Houston_01684</t>
  </si>
  <si>
    <t>Hollister_5800_Woodcreek of North West Crossing_Houston_01685</t>
  </si>
  <si>
    <t>Park Row_15000_The Legend at Park Ten_Houston_01686</t>
  </si>
  <si>
    <t>Sam Houston Pkwy W_2401_The Reserve at City Center North_Houston_01687</t>
  </si>
  <si>
    <t>Kempwood Dr_10105_Spring Shadows_Houston_01689</t>
  </si>
  <si>
    <t>Kempwood_9540_Miami Gardens_Houston_01690</t>
  </si>
  <si>
    <t>Guhn Rd_5757_Villa Anita_Houston_01691</t>
  </si>
  <si>
    <t>Tidwell_8327_Lafayette Green_Houston_01692</t>
  </si>
  <si>
    <t>Westview_10330_Sandy Glen_Houston_01693</t>
  </si>
  <si>
    <t>Grow Ln_8047_Park West_Houston_01694</t>
  </si>
  <si>
    <t>Grow_8103_Fawndale_Houston_01695</t>
  </si>
  <si>
    <t>Blalock_3402_Spring Brook Village_Houston_01696</t>
  </si>
  <si>
    <t>Campbell_3400_Green Oak Village_Houston_01697</t>
  </si>
  <si>
    <t>Sherwood Forest_1521_Windcrest on Sherwood_Houston_01698</t>
  </si>
  <si>
    <t>Sherwood Forest St_1610_Knights Landing II_Houston_01699</t>
  </si>
  <si>
    <t>Upland Dr_1701_Knights Landing I_Houston_01700</t>
  </si>
  <si>
    <t>Hammerly_10545_Springwoods Village_Houston_01701</t>
  </si>
  <si>
    <t>Hammerly_10580_Westway_Houston_01702</t>
  </si>
  <si>
    <t>Shadowdale_2135_Shadowdale Oaks_Houston_01703</t>
  </si>
  <si>
    <t>Crestdale Dr_3125_Waterford Place_Houston_01705</t>
  </si>
  <si>
    <t>Kempwood_9999_Kempwood Hollow_Houston_01706</t>
  </si>
  <si>
    <t>Kempwood_10100_Spring Shadows Place_Houston_01707</t>
  </si>
  <si>
    <t>Hollister_5801_Cherry Creek_Houston_01708</t>
  </si>
  <si>
    <t>Tidwell Rd W_8000_Somerset II_Houston_01709</t>
  </si>
  <si>
    <t>Pitner Rd_8650_Pine Gardens_Houston_01710</t>
  </si>
  <si>
    <t>Hammerly_10000_Hunters Chase_Houston_01711</t>
  </si>
  <si>
    <t>Pinemont_7500_Shadow Creek_Houston_01712</t>
  </si>
  <si>
    <t>Kempwood_10010_Kempwood Place_Houston_01713</t>
  </si>
  <si>
    <t>Witte Rd_1500_Bermuda Woods_Houston_01716</t>
  </si>
  <si>
    <t>Blalock_1640_Pine Shadows_Houston_01717</t>
  </si>
  <si>
    <t>Campbell_1760_Leaf Hollow_Houston_01718</t>
  </si>
  <si>
    <t>Tidwell Rd W_8001_Somerset I_Houston_01720</t>
  </si>
  <si>
    <t>Clay_9301_Jade Forest_Houston_01721</t>
  </si>
  <si>
    <t>Hammerly_10011_Hammerly Villa_Houston_01722</t>
  </si>
  <si>
    <t>Kempwood Dr_9001_Gentry House_Houston_01723</t>
  </si>
  <si>
    <t>Gessner Dr_1711_Royal Gate_Houston_01724</t>
  </si>
  <si>
    <t>Gessner Dr N_1776_Gessner Park_Houston_01725</t>
  </si>
  <si>
    <t>Sunforest_6000_Rancho Verde_Houston_01726</t>
  </si>
  <si>
    <t>Thousand Oaks_5700_Pine Ridge Place_Houston_01727</t>
  </si>
  <si>
    <t>Long Point_9005_Red Apple_Houston_01730</t>
  </si>
  <si>
    <t>Hollister_3950_Summercrest Apts_Houston_01732</t>
  </si>
  <si>
    <t>Witte Rd_1651-1655_Witte Oaks_Houston_01733</t>
  </si>
  <si>
    <t>Witte_1651_Witte Oaks_Houston_01734</t>
  </si>
  <si>
    <t>Laverne St_2001_Hickory Ridge_Houston_01736</t>
  </si>
  <si>
    <t>Hammerly_8787_Hammerly Walk_Houston_01737</t>
  </si>
  <si>
    <t>Hammerly_8791_Hammerly Oaks_Houston_01738</t>
  </si>
  <si>
    <t>Pitner Rd_8520_Northwest Corners_Houston_01740</t>
  </si>
  <si>
    <t>Hammerly_8800_Spring Lake_Houston_01741</t>
  </si>
  <si>
    <t>Hollister_2217_Spring Lake Lakehomes_Houston_01742</t>
  </si>
  <si>
    <t>Gessner Dr_1702_Timberwood_Houston_01743</t>
  </si>
  <si>
    <t>Blalock_1207_Blalock_Houston_01745</t>
  </si>
  <si>
    <t>Long Point_9616_MacArthur Park_Houston_01746</t>
  </si>
  <si>
    <t>Long Point_9745_Rolling Wood_Houston_01747</t>
  </si>
  <si>
    <t>Westview Dr_9595_Windcrest on Westview_Houston_01750</t>
  </si>
  <si>
    <t>Hammerly_8701_Village Park_Houston_01751</t>
  </si>
  <si>
    <t>Gessner Dr_1320_English Oaks_Houston_01752</t>
  </si>
  <si>
    <t>Witte Rd_1323_Brompton Square_Houston_01753</t>
  </si>
  <si>
    <t>Long Point_9550_Valencia at Spring Branch_Houston_01754</t>
  </si>
  <si>
    <t>Westview_10110_Westview Forest_Houston_01755</t>
  </si>
  <si>
    <t>Westview Dr_10157_Park on Westview_Houston_01756</t>
  </si>
  <si>
    <t>Blalock_1217_Cedar Branch_Houston_01757</t>
  </si>
  <si>
    <t>Gessner Dr_1554_Spring Pines_Houston_01759</t>
  </si>
  <si>
    <t>Hanka_10011_Sir Charles_Houston_01760</t>
  </si>
  <si>
    <t>Westview_10107_Front Royale_Houston_01761</t>
  </si>
  <si>
    <t>Blalock_1550_Walnut Hill_Houston_01762</t>
  </si>
  <si>
    <t>Campbell Rd_1515_Cedar Forest_Houston_01763</t>
  </si>
  <si>
    <t>Cedar Post Ln_1221_Timber Trace_Houston_01764</t>
  </si>
  <si>
    <t>Cedar Post_1250_La Petite_Houston_01765</t>
  </si>
  <si>
    <t>Cedar Post_1325_Cedar Gate_Houston_01766</t>
  </si>
  <si>
    <t>Long Point_9225_Mount Vernon Manor_Houston_01767</t>
  </si>
  <si>
    <t>Antoine_5500_Oak Glen_Houston_01768</t>
  </si>
  <si>
    <t>Antoine_5555_Oaks on Antoine_Houston_01769</t>
  </si>
  <si>
    <t>Lockfield_4200_Crossings at Willow Bend_Houston_01771</t>
  </si>
  <si>
    <t>Lockfield_4222_Oaks of Northwest Corners_Houston_01772</t>
  </si>
  <si>
    <t>Watonga_3700_Indian Springs_Houston_01773</t>
  </si>
  <si>
    <t>Watonga_3737_Lamonte Park TH_Houston_01774</t>
  </si>
  <si>
    <t>Long Point_9310_Southern Gardens_Houston_01775</t>
  </si>
  <si>
    <t>Mangum_4102_Delta 1 Apts_Houston_01778</t>
  </si>
  <si>
    <t>Mangum_4225_Hidden Park_Houston_01779</t>
  </si>
  <si>
    <t>Ojeman Rd_1501_Montrose_Houston_01781</t>
  </si>
  <si>
    <t>Sunforest_5801_Luxor Park_Houston_01782</t>
  </si>
  <si>
    <t>Watonga_4000_Sierra Ranch_Houston_01783</t>
  </si>
  <si>
    <t>DeSoto_5353_Oak Brook_Houston_01785</t>
  </si>
  <si>
    <t>DeSoto_5399_Candlewood Glen_Houston_01786</t>
  </si>
  <si>
    <t>DeSoto_5500_Linda Vista_Houston_01787</t>
  </si>
  <si>
    <t>Pinemont_5959_Pine Forest Park_Houston_01788</t>
  </si>
  <si>
    <t>Mangum_4702_Mangum Oaks_Houston_01790</t>
  </si>
  <si>
    <t>NW Fwy_11911_Creekwood_Houston_01791</t>
  </si>
  <si>
    <t>Lamonte_4800_The Woods on Lamonte_Houston_01793</t>
  </si>
  <si>
    <t>Antoine Dr_5625_Oakwood Gardens_Houston_01794</t>
  </si>
  <si>
    <t>DeSoto_5300_Hunters Cove_Houston_01795</t>
  </si>
  <si>
    <t>Tidwell W_6150_Aspen_Houston_01796</t>
  </si>
  <si>
    <t>Tidwell W_6200_Asbury Park_Houston_01797</t>
  </si>
  <si>
    <t>43rd St W_6500_Vintage_Houston_01798</t>
  </si>
  <si>
    <t>Deep Forest_5353_Pine Forest Place_Houston_01799</t>
  </si>
  <si>
    <t>Lost Forest_5310_Pine Arbor_Houston_01800</t>
  </si>
  <si>
    <t>Houston Rosslyn N_5801_Northwest Pines_Houston_01801</t>
  </si>
  <si>
    <t>Pinemont_7200_The Pines of Northwest Crossing_Houston_01802</t>
  </si>
  <si>
    <t>Jalna_7611_Hidden Pines Apts_Houston_01803</t>
  </si>
  <si>
    <t>Pech_1502_The Glens_Houston_01806</t>
  </si>
  <si>
    <t>Shady Villa_7200_Park Shadows_Houston_01808</t>
  </si>
  <si>
    <t>Johanna_1830_Amberwood_Houston_01809</t>
  </si>
  <si>
    <t>Johanna_2010_Johanna Apts_Houston_01811</t>
  </si>
  <si>
    <t>Sherwood Ln_4401_Seven Oaks_Houston_01812</t>
  </si>
  <si>
    <t>Sherwood Ln_4506_Sherwood Lane_Houston_01813</t>
  </si>
  <si>
    <t>Sherwood Ln_4211_Nueva Villa_Houston_01815</t>
  </si>
  <si>
    <t>Sherwood Ln_4300_One Pine_Houston_01816</t>
  </si>
  <si>
    <t>Hammerly_8515_Plaza on Hammerly_Houston_01817</t>
  </si>
  <si>
    <t>Pech_2121_Aspenwood_Houston_01818</t>
  </si>
  <si>
    <t>Wirt Rd_2200_Concord_Houston_01821</t>
  </si>
  <si>
    <t>Sherwood_4600-4603_Innsbruck-Le Moyne_Houston_01824</t>
  </si>
  <si>
    <t>Moritz_1720_Garden Walk_Houston_01825</t>
  </si>
  <si>
    <t>Moritz_1751_Point Moritz North_Houston_01826</t>
  </si>
  <si>
    <t>Pine Chase Dr_1717_Pine Chase_Houston_01827</t>
  </si>
  <si>
    <t>34th St W_4250_Casa Nube en 34th_Houston_01828</t>
  </si>
  <si>
    <t>34th St W_4619_Silver Creek Apts II_Houston_01829</t>
  </si>
  <si>
    <t>Mangum_3130_Burnham Woods_Houston_01830</t>
  </si>
  <si>
    <t>Ravenwood Cir_7964_Ravenwood_Houston_01831</t>
  </si>
  <si>
    <t>Amelia_7901_Spring Branch Estates_Houston_01832</t>
  </si>
  <si>
    <t>Long Point_7429_Palma Royal_Houston_01834</t>
  </si>
  <si>
    <t>Long Point_7745_King Edward VI_Houston_01835</t>
  </si>
  <si>
    <t>Sherwood Ln_3910_Canterbury Court_Houston_01838</t>
  </si>
  <si>
    <t>Sherwood Ln_4008_Seven Gables_Houston_01839</t>
  </si>
  <si>
    <t>Mangum_3200_Silvercreek_Houston_01840</t>
  </si>
  <si>
    <t>Mangum_3233_Kingswood Village_Houston_01841</t>
  </si>
  <si>
    <t>Sherwood Ln_3821_Sherwood Gardens_Houston_01842</t>
  </si>
  <si>
    <t>34th St W_4000_Clearbrook_Houston_01843</t>
  </si>
  <si>
    <t>34th St W_4200_Spring Hill_Houston_01844</t>
  </si>
  <si>
    <t>Long Point Rd_7550_Woodvine_Houston_01845</t>
  </si>
  <si>
    <t>Wirt Rd_1855_Cancun_Houston_01848</t>
  </si>
  <si>
    <t>Woodvine_1742_Long Point Plaza_Houston_01849</t>
  </si>
  <si>
    <t>Moritz_1541_Oaks of Moritz_Houston_01850</t>
  </si>
  <si>
    <t>TC Jester Blvd W_1710_The Grove at White Oak II_Houston_01851</t>
  </si>
  <si>
    <t>25th St W_1110_Twin Pines_Houston_01853</t>
  </si>
  <si>
    <t>Shady Villa_7726_Palms of Shady Villa_Houston_01854</t>
  </si>
  <si>
    <t>Shady Villa_7727_Wood Hollow_Houston_01855</t>
  </si>
  <si>
    <t>Pinemont_712_Pine Manor_Houston_01858</t>
  </si>
  <si>
    <t>Yale_4742_Graceland Terrace_Houston_01859</t>
  </si>
  <si>
    <t>Wirt Rd_1702_Malibu Courts_Houston_01861</t>
  </si>
  <si>
    <t>Wirt Rd_1714_Spring Gardens_Houston_01862</t>
  </si>
  <si>
    <t>Rosslyn_4300_Oak Forest Place_Houston_01864</t>
  </si>
  <si>
    <t>Alba_5116_Candlelight Garden_Houston_01865</t>
  </si>
  <si>
    <t>Pinemont_818_Candlelight Estates_Houston_01868</t>
  </si>
  <si>
    <t>Pinemont_1001_Dominion Square_Houston_01869</t>
  </si>
  <si>
    <t>Donovan W_601_Donovan Village_Houston_01870</t>
  </si>
  <si>
    <t>Coldstream_1118_La Veranda Apts_Houston_01871</t>
  </si>
  <si>
    <t>Westview_6804_Westview Gardens_Houston_01872</t>
  </si>
  <si>
    <t>Westview_7000_Castlewood_Houston_01873</t>
  </si>
  <si>
    <t>Crosstimbers W_500_West Crosstimbers_Houston_01874</t>
  </si>
  <si>
    <t>Shepherd N_4411_Garden Oaks Village_Houston_01875</t>
  </si>
  <si>
    <t>Sherwood Ln_3805_Sherwood Glen_Houston_01876</t>
  </si>
  <si>
    <t>Sherwood Ln_3820_Plaza Real_Houston_01877</t>
  </si>
  <si>
    <t>TC Jester Blvd W_2802_The Dunhill_Houston_01878</t>
  </si>
  <si>
    <t>Tidwell W_1200_Tidwell Estates_Houston_01879</t>
  </si>
  <si>
    <t>Patrick_5601_Boca del Rio Apts_Houston_01881</t>
  </si>
  <si>
    <t>Yale St_5050_Yale Court_Houston_01882</t>
  </si>
  <si>
    <t>43rd St W_2006_Oak Tree_Houston_01883</t>
  </si>
  <si>
    <t>Westview_7025_Oak Forest_Houston_01887</t>
  </si>
  <si>
    <t>Lehman St_910_Shepherd Forest_Houston_01888</t>
  </si>
  <si>
    <t>Oak St_827_Villa Nueva_Houston_01889</t>
  </si>
  <si>
    <t>Oak St_838_Tiffany Oaks_Houston_01890</t>
  </si>
  <si>
    <t>Thornton_505_Las Palmas Apts_Houston_01891</t>
  </si>
  <si>
    <t>34th St W_2223_Brookhollow_Houston_01892</t>
  </si>
  <si>
    <t>Sherwood Ln_3800_Tara Oaks_Houston_01893</t>
  </si>
  <si>
    <t>TC Jester W_2800_Turtle Creek_Houston_01894</t>
  </si>
  <si>
    <t>Ella Blvd_2121_Ella Creek_Houston_01895</t>
  </si>
  <si>
    <t>N Fwy_5600_Nordling Chateau_Houston_01897</t>
  </si>
  <si>
    <t>TC Jester W_3600_Forest Oaks_Houston_01900</t>
  </si>
  <si>
    <t>34th St W_1705_Oak Manor_Houston_01901</t>
  </si>
  <si>
    <t>Ella Blvd_3011_Ella Square_Houston_01902</t>
  </si>
  <si>
    <t>Hackett_2400_Woodside Village_Houston_01904</t>
  </si>
  <si>
    <t>Seaspray Ct_1700_The Oaks of Timbergrove_Houston_01905</t>
  </si>
  <si>
    <t>TC Jester Blvd W_2790_Pointe Plaza_Houston_01907</t>
  </si>
  <si>
    <t>TC Jester E_2424_Crossing at White Oak_Houston_01908</t>
  </si>
  <si>
    <t>18th St W_2338_Brittany Place_Houston_01909</t>
  </si>
  <si>
    <t>Judiway_1353_Colony Oaks Apts_Houston_01910</t>
  </si>
  <si>
    <t>TC Jester Blvd W_1600_Timbergrove_Houston_01913</t>
  </si>
  <si>
    <t>TC Jester Blvd W_1660_The Gardens_Houston_01914</t>
  </si>
  <si>
    <t>TC Jester Blvd W_1700_The Grove at White Oak I_Houston_01915</t>
  </si>
  <si>
    <t>Werner_4503_Monterrey Vista_Houston_01916</t>
  </si>
  <si>
    <t>Werner_4635_Redwood Village II_Houston_01917</t>
  </si>
  <si>
    <t>Alfano_6301_Rustic Glen_Houston_01921</t>
  </si>
  <si>
    <t>16th St W_427_NF_Houston_01933</t>
  </si>
  <si>
    <t>27th St W_304_Ben Hur Apts_Houston_01934</t>
  </si>
  <si>
    <t>Tannehill_2100_Whispertree_Houston_01935</t>
  </si>
  <si>
    <t>TC Jester Blvd E_1640_Retreat at City Park_Houston_01936</t>
  </si>
  <si>
    <t>Marable_4920_La Vista Villa_Houston_01938</t>
  </si>
  <si>
    <t>N Fwy_4911_Villa Provincial Apts_Houston_01939</t>
  </si>
  <si>
    <t>Lyerly_74_Northpoint_Houston_01940</t>
  </si>
  <si>
    <t>Lyerly_80_Northline Colonial_Houston_01942</t>
  </si>
  <si>
    <t>Bauman_8210_Village Park North_Houston_01943</t>
  </si>
  <si>
    <t>Irvington_9121_Monterrey Villa_Houston_01944</t>
  </si>
  <si>
    <t>Oxford_4410_Oxford Square_Houston_01947</t>
  </si>
  <si>
    <t>Burress_6_Independence Hall_Houston_01949</t>
  </si>
  <si>
    <t>Tidwell E_101_Vista Villa_Houston_01952</t>
  </si>
  <si>
    <t>Bauman_9400_Tidwell Park_Houston_01954</t>
  </si>
  <si>
    <t>Fulton_8001_Versailles_Houston_01955</t>
  </si>
  <si>
    <t>Fulton St_8217_Meadow Lea_Houston_01956</t>
  </si>
  <si>
    <t>N Fwy_5135_Ventana Gardens_Houston_01957</t>
  </si>
  <si>
    <t>Victoria_300_Redwood Village I_Houston_01958</t>
  </si>
  <si>
    <t>Victoria_830_Victoria Manor_Houston_01959</t>
  </si>
  <si>
    <t>Hollister_4000_Villa Del Sol_Houston_01960</t>
  </si>
  <si>
    <t>Tidwell_915_House of Kent_Houston_01961</t>
  </si>
  <si>
    <t>Crosstimbers E_122_Northline Terrace_Houston_01963</t>
  </si>
  <si>
    <t>Cavalcade W_611_Oakwood Manor_Houston_01966</t>
  </si>
  <si>
    <t>Fulton_5100_Pillars_Houston_01968</t>
  </si>
  <si>
    <t>Heights Blvd_1950_Heights House_Houston_01974</t>
  </si>
  <si>
    <t>Homestead_9603_Swiss Village on the Park_Houston_01979</t>
  </si>
  <si>
    <t>Crosstimbers E_3605_Colonial Apts_Houston_01984</t>
  </si>
  <si>
    <t>Crofton_9555_Crofton Place_Houston_01988</t>
  </si>
  <si>
    <t>Crosstimbers E_2612_Crosstimber Oaks Apts_Houston_01989</t>
  </si>
  <si>
    <t>Heights Blvd_1603_Shadow Pines North_Houston_01990</t>
  </si>
  <si>
    <t>Main N_4500_Las Brisas_Houston_01992</t>
  </si>
  <si>
    <t>Curry_7601_Branch Village_Houston_01994</t>
  </si>
  <si>
    <t>Jensen_7301_Vance Plaza_Houston_01995</t>
  </si>
  <si>
    <t>Harrell_8826_W Leo Daniel Tower_Houston_01997</t>
  </si>
  <si>
    <t>Main N_4725_Pecan Villas_Houston_01999</t>
  </si>
  <si>
    <t>Fulton_4411_Central Apts_Houston_02002</t>
  </si>
  <si>
    <t>Tim St_2635_La Casita Homes_Houston_02007</t>
  </si>
  <si>
    <t>Laura Koppe_3201_Colonial Arms_Houston_02010</t>
  </si>
  <si>
    <t>Schuller_7430_Palms View-Villa Bonita_Houston_02013</t>
  </si>
  <si>
    <t>Sterlingshire_8600_Miracle Point_Houston_02017</t>
  </si>
  <si>
    <t>Sterlingshire_8660_Miracle Point II Apts_Houston_02018</t>
  </si>
  <si>
    <t>Rand St_5420_Lockwood Landing II_Houston_02021</t>
  </si>
  <si>
    <t>Sterlingshire_9002_Sterlingshire_Houston_02022</t>
  </si>
  <si>
    <t>Hirsch_6603_Gulf Coast Arms_Houston_02026</t>
  </si>
  <si>
    <t>Cavalcade_5006_Kashmere Royal_Houston_02033</t>
  </si>
  <si>
    <t>Memorial Dr_14900_Argyle at Memorial_Houston_02034</t>
  </si>
  <si>
    <t>Memorial Dr_14800_Princeton Club_Houston_02035</t>
  </si>
  <si>
    <t>Lavender_5117_Alta Arms_Houston_02038</t>
  </si>
  <si>
    <t>Wallisville Rd_14445_Dover Pointe_Houston_02039</t>
  </si>
  <si>
    <t>Uvalde Rd_230-280_Village at Uvalde_Houston_02040</t>
  </si>
  <si>
    <t>Purple Sage_5675_Hunters Creek_Houston_02042</t>
  </si>
  <si>
    <t>Thorntree N_13502_Thorntree_Houston_02043</t>
  </si>
  <si>
    <t>Mesa_9700_Dyersdale Village_Houston_02049</t>
  </si>
  <si>
    <t>Wayside N_7373_Settegast Heights Village_Houston_02051</t>
  </si>
  <si>
    <t>Lockwood_3905_Legacy Apts_Houston_02054</t>
  </si>
  <si>
    <t>Lockwood Dr_4712_Lockwood Landing I_Houston_02055</t>
  </si>
  <si>
    <t>Uvalde_90_Pines of Woodforest_Houston_02056</t>
  </si>
  <si>
    <t>Normandy_450_Riverwalk_Houston_02058</t>
  </si>
  <si>
    <t>Woodforest Blvd_12603_Forrester II_Houston_02059</t>
  </si>
  <si>
    <t>Cimarron Pkwy_22022_Cimarron Parkway_Katy_02061</t>
  </si>
  <si>
    <t>Tidwell_12355_South Lake Villas_Houston_02062</t>
  </si>
  <si>
    <t>Tidwell E_12635_Forest Park_Houston_02063</t>
  </si>
  <si>
    <t>Lake Houston Pkwy S_5830_Lake Houston Pines_Houston_02064</t>
  </si>
  <si>
    <t>Lake Houston Pkwy S_6415_The Woods_Houston_02065</t>
  </si>
  <si>
    <t>Woodforest Blvd_12800_Forrester I_Houston_02066</t>
  </si>
  <si>
    <t>Uvalde Rd_5915_Forest Creek_Houston_02067</t>
  </si>
  <si>
    <t>Wallisville E_2500_Country Terrace I_Highlands_02070</t>
  </si>
  <si>
    <t>Oleander Dr_8410_Country Terrace II_Baytown_02071</t>
  </si>
  <si>
    <t>Royal Ave_3301_Bay City Village_Baytown_02072</t>
  </si>
  <si>
    <t>Hunt Rd_800_Hunt Garden_Baytown_02073</t>
  </si>
  <si>
    <t>Memorial Dr_14855_The Park on Memorial_Houston_02074</t>
  </si>
  <si>
    <t>Memorial_15135_The Memorial_Houston_02075</t>
  </si>
  <si>
    <t>Mason S_1007_The Fountains at Katy_Katy_02076</t>
  </si>
  <si>
    <t>Dominion_333_Nottingham Place_Katy_02077</t>
  </si>
  <si>
    <t>Mason Rd S_2002_Cornerstone Ranch_Katy_02078</t>
  </si>
  <si>
    <t>Provincial Blvd_21540_Kingston Villas_Katy_02079</t>
  </si>
  <si>
    <t>Fry Rd_2013_Farmington_Katy_02080</t>
  </si>
  <si>
    <t>Houghton_1111_The Place at Green Trails_Katy_02081</t>
  </si>
  <si>
    <t>Kimberley Ln_14250_The Nottingham Village I_Houston_02082</t>
  </si>
  <si>
    <t>Threadneedle_851_Live Oak_Houston_02083</t>
  </si>
  <si>
    <t>Memorial Dr_15885_Marquis on Memorial_Houston_02084</t>
  </si>
  <si>
    <t>Dairy Ashford S_1414_Briar Meadows_Houston_02086</t>
  </si>
  <si>
    <t>Eldridge Pkwy_2255_The Biarritz_Houston_02087</t>
  </si>
  <si>
    <t>Briar Forest Dr_14504_The Villages of Briar Forest_Houston_02089</t>
  </si>
  <si>
    <t>Eldridge Pkwy_1415_AMLI on Eldridge Parkway I_Houston_02090</t>
  </si>
  <si>
    <t>Eldridge Pkwy_1950_Chandler Park_Houston_02091</t>
  </si>
  <si>
    <t>Eldridge Pkwy_1415_AMLI on Eldridge Parkway II_Houston_02092</t>
  </si>
  <si>
    <t>Baker Rd_2100_Camden Baytown_Baytown_02093</t>
  </si>
  <si>
    <t>W Rd_15125_The Lodge at Copperfield_Houston_02094</t>
  </si>
  <si>
    <t>Memorial Mews_700_Meadows on Memorial_Houston_02095</t>
  </si>
  <si>
    <t>Enclave Pkwy_1815_Tarrytowne Estates_Houston_02096</t>
  </si>
  <si>
    <t>Perthshire_14814_Sheffield Square_Houston_02098</t>
  </si>
  <si>
    <t>Eldridge_1600_San Montego_Houston_02099</t>
  </si>
  <si>
    <t>Eldridge Pkwy_1333_Village on the Parkway_Houston_02100</t>
  </si>
  <si>
    <t>Nottingham Oaks_600_Memorial_Houston_02101</t>
  </si>
  <si>
    <t>Dairy Ashford N_611_Wisteria Gardens_Houston_02102</t>
  </si>
  <si>
    <t>Whittington_12730_The Gables_Houston_02103</t>
  </si>
  <si>
    <t>Whittington_12735_Whittfield_Houston_02104</t>
  </si>
  <si>
    <t>Dairy Ashford S_1200_Ashford Lakes_Houston_02105</t>
  </si>
  <si>
    <t>Silverado Dr_1335_Silverado_Houston_02106</t>
  </si>
  <si>
    <t>Westmead Dr_1910_Ashton Park_Houston_02107</t>
  </si>
  <si>
    <t>Whittington_12850_Walden Pond_Houston_02108</t>
  </si>
  <si>
    <t>Enclave Pkwy_1715_Chalfonte_Houston_02109</t>
  </si>
  <si>
    <t>Briar Forest Dr_12951_ARIUM Briar Forest I_Houston_02110</t>
  </si>
  <si>
    <t>Briar Forest_13101_The Abbey at Eldridge I_Houston_02111</t>
  </si>
  <si>
    <t>Enclave Pkwy_1520_Myriad_Houston_02112</t>
  </si>
  <si>
    <t>Wilcrest_201_Lakeside Place I_Houston_02113</t>
  </si>
  <si>
    <t>Wilcrest_301_Lakeside Place II_Houston_02114</t>
  </si>
  <si>
    <t>Wilcrest_1201_Oaks of Brittany_Houston_02115</t>
  </si>
  <si>
    <t>Richmond_13702_Westhollow Place_Houston_02116</t>
  </si>
  <si>
    <t>Richmond Ave_12360_The Lodge at Shadowlake I_Houston_02117</t>
  </si>
  <si>
    <t>Oaks Plaza Dr W_14723_Limestone Apts_Houston_02118</t>
  </si>
  <si>
    <t>Panagard Dr_2503_Arcadia at Westheimer_Houston_02119</t>
  </si>
  <si>
    <t>Avenida La Quinta_2215_Briarwood Village I &amp; II_Houston_02120</t>
  </si>
  <si>
    <t>Bateswood Dr_791_Country Wood_Houston_02121</t>
  </si>
  <si>
    <t>Country Place_801_Palm Court_Houston_02122</t>
  </si>
  <si>
    <t>Hammerly_8332_Hammerly Gardens_Houston_02123</t>
  </si>
  <si>
    <t>Shadowdale_1112_Southern Pines_Houston_02124</t>
  </si>
  <si>
    <t>Bateswood_738_Regents Walk_Houston_02125</t>
  </si>
  <si>
    <t>Bateswood_777_Brighton Oaks_Houston_02126</t>
  </si>
  <si>
    <t>Bateswood_788_Bateswood Manor_Houston_02127</t>
  </si>
  <si>
    <t>Briarwest Blvd_2400_West Oaks_Houston_02128</t>
  </si>
  <si>
    <t>Gentryside_2023_Reflections on the Lake_Houston_02130</t>
  </si>
  <si>
    <t>Eldridge Pkwy_2323_The Retreat at Eldridge_Houston_02131</t>
  </si>
  <si>
    <t>Richmond Ave_14913_The Lodge at West Oaks_Houston_02133</t>
  </si>
  <si>
    <t>Windchase_3233_Windchase Hamlet_Houston_02134</t>
  </si>
  <si>
    <t>Dairy Ashford S_2800_Charleston_Houston_02135</t>
  </si>
  <si>
    <t>Windchase_3003_Savannah Place I &amp; II_Houston_02140</t>
  </si>
  <si>
    <t>Dairy Ashford S_2700_The Ashford Park_Houston_02142</t>
  </si>
  <si>
    <t>Overbrook_12200_Mansions of Shadowbriar_Houston_02143</t>
  </si>
  <si>
    <t>Piping Rock Ln_12580_Hunters Point_Houston_02144</t>
  </si>
  <si>
    <t>Shadowbriar Dr_2920_Renaissance Village at Shadowlake I_Houston_02145</t>
  </si>
  <si>
    <t>Shadowbriar Dr_3030_Renaissance Village at Shadowlake II_Houston_02146</t>
  </si>
  <si>
    <t>Katy Fwy_11601_Lafayette West_Houston_02147</t>
  </si>
  <si>
    <t>Yorkchester_874_Memorial Fountains_Houston_02149</t>
  </si>
  <si>
    <t>Country Place Dr_1000_The Park at Country Place_Houston_02150</t>
  </si>
  <si>
    <t>Country Place_1015_Country Place_Houston_02151</t>
  </si>
  <si>
    <t>Woodland Park Dr_2700_Camden Park_Houston_02152</t>
  </si>
  <si>
    <t>Woodland Park Dr_2601_Archstone Plaza at Westchase_Houston_02153</t>
  </si>
  <si>
    <t>Sam Houston Pkwy S W_680_Camden Holly Springs_Houston_02155</t>
  </si>
  <si>
    <t>Seagler_1202_Abbey at Briargrove Park_Houston_02156</t>
  </si>
  <si>
    <t>Wilcrest_1251_Lakeside Forest_Houston_02157</t>
  </si>
  <si>
    <t>Wilcrest_1300_Briar Creek_Houston_02158</t>
  </si>
  <si>
    <t>Richmond Ave_11355_Westchase Forest_Houston_02160</t>
  </si>
  <si>
    <t>Meadowglen Ln_10615_The Meadows_Houston_02161</t>
  </si>
  <si>
    <t>Crescent Park Dr_2310_Avalon at Royal Oaks II_Houston_02162</t>
  </si>
  <si>
    <t>Hayes Rd_2101_Westchase Ranch I_Houston_02163</t>
  </si>
  <si>
    <t>Bentworth_2020_Abbey at Briarforest II_Houston_02164</t>
  </si>
  <si>
    <t>Briar Forest_11250_Briar Court_Houston_02165</t>
  </si>
  <si>
    <t>Hayes_2301_The Waverly_Houston_02166</t>
  </si>
  <si>
    <t>Hayes_2305_Hayes Place_Houston_02167</t>
  </si>
  <si>
    <t>Kirkwood S_1919_Abbey at Briarforest III_Houston_02168</t>
  </si>
  <si>
    <t>Briar Forest_12750_The Lexington_Houston_02169</t>
  </si>
  <si>
    <t>Kirkwood S_2151_The Steeples_Houston_02170</t>
  </si>
  <si>
    <t>Briar Forest_11655_Abbey at Briarforest I_Houston_02171</t>
  </si>
  <si>
    <t>Briar Forest Dr_11710_Palms at Kirkwood_Houston_02172</t>
  </si>
  <si>
    <t>Deerwood_10440_Creekstone_Houston_02173</t>
  </si>
  <si>
    <t>Hayes_2828_City West_Houston_02174</t>
  </si>
  <si>
    <t>Hayes_2909_Windemere_Houston_02175</t>
  </si>
  <si>
    <t>Wilcrest_1307_Evergreen Pointe_Houston_02176</t>
  </si>
  <si>
    <t>Lakeside Estates_1445_Park at Lakeside I_Houston_02177</t>
  </si>
  <si>
    <t>Holly Springs_10501_Belmont Place-La Fontaine_Houston_02178</t>
  </si>
  <si>
    <t>Gray Falls_2475_West Chase Crossing_Houston_02179</t>
  </si>
  <si>
    <t>Woodland Park Dr_2500_The Milano_Houston_02180</t>
  </si>
  <si>
    <t>Kirkwood S_2410_Wyndham Oaks_Houston_02181</t>
  </si>
  <si>
    <t>Woodland Park Dr_2777_Marquis at Westchase_Houston_02182</t>
  </si>
  <si>
    <t>Southlake Dr_11755_Avalon at Royal Oaks I_Houston_02184</t>
  </si>
  <si>
    <t>Briar Forest Dr_10925_La Mirage Resort_Houston_02185</t>
  </si>
  <si>
    <t>Briar Forest_10950_Park at Lakeside II_Houston_02186</t>
  </si>
  <si>
    <t>Valley Forge_10440_Amherst_Houston_02187</t>
  </si>
  <si>
    <t>Wallingford Dr_2750_Wallingford_Houston_02188</t>
  </si>
  <si>
    <t>Wilcrest_2300_Crest_Houston_02189</t>
  </si>
  <si>
    <t>Westpark Dr_10010_Park Plaza_Houston_02190</t>
  </si>
  <si>
    <t>Westpark_10100_Willow Falls_Houston_02191</t>
  </si>
  <si>
    <t>Meadowglen Ln_10936_Celebration at Westchase I_Houston_02192</t>
  </si>
  <si>
    <t>Meadowglen_10940_Celebration at Westchase II_Houston_02193</t>
  </si>
  <si>
    <t>Meadowglen Ln_10751_Meadowchase_Houston_02194</t>
  </si>
  <si>
    <t>Meadowglen_10901_Cambridge Place_Houston_02195</t>
  </si>
  <si>
    <t>Witte_1275_Westview Court_Houston_02196</t>
  </si>
  <si>
    <t>Barryknoll_11900_Terrace at Memorial City_Houston_02197</t>
  </si>
  <si>
    <t>Briar Forest_9449_Woodlake on the Bayou_Houston_02201</t>
  </si>
  <si>
    <t>Stoney Brook_2717_Stoney Brook_Houston_02202</t>
  </si>
  <si>
    <t>Voss S_2424_The Park at Voss_Houston_02203</t>
  </si>
  <si>
    <t>Voss S_2505_Tuscany Park_Houston_02204</t>
  </si>
  <si>
    <t>Westheimer_11770_Water Song_Houston_02205</t>
  </si>
  <si>
    <t>Woodland Park Dr_3000_Westchase Creek_Houston_02206</t>
  </si>
  <si>
    <t>Hayes Rd_3131_Mediterra at Westchase_Houston_02207</t>
  </si>
  <si>
    <t>Woodland Park_3225_Gramercy Park_Houston_02208</t>
  </si>
  <si>
    <t>Westpark_10161_Parkwest Place_Houston_02211</t>
  </si>
  <si>
    <t>Bettina Ct_872_Memorial City_Houston_02212</t>
  </si>
  <si>
    <t>Old Katy Rd_10060_Ivy Club_Houston_02213</t>
  </si>
  <si>
    <t>Wallingford Dr_2851_The Oaks of Westchase_Houston_02214</t>
  </si>
  <si>
    <t>Walnut Bend_2801_Walnut Terrace_Houston_02215</t>
  </si>
  <si>
    <t>Rogerdale_2828_Walden of Westchase_Houston_02216</t>
  </si>
  <si>
    <t>Rogerdale Rd_3354_Western Ridge_Houston_02217</t>
  </si>
  <si>
    <t>Gessner S_2200_Sunblossom at Woodlake_Houston_02218</t>
  </si>
  <si>
    <t>Elmside_2727_Parc Royale_Houston_02219</t>
  </si>
  <si>
    <t>Richmond_10777_Richmond Towne Homes_Houston_02221</t>
  </si>
  <si>
    <t>Richmond_10881_Walnut Bend_Houston_02223</t>
  </si>
  <si>
    <t>Bunker Hill_970_Le Renaissance_Houston_02224</t>
  </si>
  <si>
    <t>Blalock Rd_1111_Blalock Woods_Houston_02225</t>
  </si>
  <si>
    <t>Gaylord_9075_Village Place_Houston_02226</t>
  </si>
  <si>
    <t>Ella Lee Ln_9550_Woodlake Oaks_Houston_02227</t>
  </si>
  <si>
    <t>Voss S_1413_The Glenchester_Houston_02228</t>
  </si>
  <si>
    <t>Gessner S_2021_The Quadrangle of Woodlake_Houston_02229</t>
  </si>
  <si>
    <t>Westerland_2222_Trails of Woodlake_Houston_02230</t>
  </si>
  <si>
    <t>Westerland_2600_Woodlake TH_Houston_02231</t>
  </si>
  <si>
    <t>Westheimer Rd_9407_Westheimer Terrace_Houston_02232</t>
  </si>
  <si>
    <t>Woodway_8787_Broadstone Piney Point_Houston_02233</t>
  </si>
  <si>
    <t>Westhiemer_8501_The Arbors On Westheimer_Houston_02234</t>
  </si>
  <si>
    <t>Dunvale_2929_Rolido Parque_Houston_02235</t>
  </si>
  <si>
    <t>Westheimer_8740_Victoria Place_Houston_02236</t>
  </si>
  <si>
    <t>Jeanetta_2742_The Marquis On Westheimer_Houston_02238</t>
  </si>
  <si>
    <t>Burgoyne_7510_La Scala at Voss_Houston_02241</t>
  </si>
  <si>
    <t>Ella Lee Ln_6434_Barcelona_Houston_02242</t>
  </si>
  <si>
    <t>Ella Lee Ln_9545_The Park at Woodlake_Houston_02243</t>
  </si>
  <si>
    <t>Old Farm Rd_2500_Old Farm II, The Crossing_Houston_02245</t>
  </si>
  <si>
    <t>Westheimer Rd_8600_Westpoint-Creekside II_Houston_02247</t>
  </si>
  <si>
    <t>Woodway Dr_8600_Westpoint-Creekside III_Houston_02248</t>
  </si>
  <si>
    <t>Woodway_8585_Verandas at Old Farm_Houston_02249</t>
  </si>
  <si>
    <t>Highmeadow_7600_Place Vendome_Houston_02250</t>
  </si>
  <si>
    <t>Locke Ln_7900_The Villagio_Houston_02251</t>
  </si>
  <si>
    <t>Marilee Ln_2666_The Heritage_Houston_02252</t>
  </si>
  <si>
    <t>Pagewood Ln_9767_Pagewood Place_Houston_02253</t>
  </si>
  <si>
    <t>Richmond Ave_9850_Camden Stonebridge_Houston_02254</t>
  </si>
  <si>
    <t>Woodway_5010_The Bordeaux_Houston_02255</t>
  </si>
  <si>
    <t>Post Oak Ln N_99_Post Oak at Woodway_Houston_02256</t>
  </si>
  <si>
    <t>Del Monte_6403_Waters of Winrock_Houston_02257</t>
  </si>
  <si>
    <t>Richmond_8990_The Granite Club_Houston_02258</t>
  </si>
  <si>
    <t>Crossview_2929_Crossview Court_Houston_02259</t>
  </si>
  <si>
    <t>Dunvale_3401_Turtle Pointe South_Houston_02260</t>
  </si>
  <si>
    <t>Richmond Ave_8155_Richmond Chase_Houston_02261</t>
  </si>
  <si>
    <t>Richmond Ave_8162_Turtle Pointe_Houston_02262</t>
  </si>
  <si>
    <t>Richmond Ave_9900_Woodtrail_Houston_02263</t>
  </si>
  <si>
    <t>Richmond Ave_9940_Richmond Green_Houston_02264</t>
  </si>
  <si>
    <t>Westheimer_7900_Carrington Court_Houston_02265</t>
  </si>
  <si>
    <t>Westheimer_7979_7979 Westheimer AH_Houston_02266</t>
  </si>
  <si>
    <t>Voss S_2525_Times Square (Demolished)_Houston_02267</t>
  </si>
  <si>
    <t>Westheimer Rd_6505_The Water Mill_Houston_02268</t>
  </si>
  <si>
    <t>Ocee_3401_Spring Meadows_Houston_02270</t>
  </si>
  <si>
    <t>Pagewood_9221_Summervale_Houston_02271</t>
  </si>
  <si>
    <t>Hillcroft St_3001_Mirabella Galleria_Houston_02272</t>
  </si>
  <si>
    <t>Hillcroft_3737_3737 Hillcroft_Houston_02273</t>
  </si>
  <si>
    <t>Woodway_8003_Woodway Garden TH_Houston_02275</t>
  </si>
  <si>
    <t>Elmside Dr_2901_The Pathway_Houston_02276</t>
  </si>
  <si>
    <t>Elmside_3030_Stonecrossing of Westchase_Houston_02277</t>
  </si>
  <si>
    <t>Gessner S_2900_Woodchase_Houston_02278</t>
  </si>
  <si>
    <t>Gessner S_3230_Central Park_Houston_02279</t>
  </si>
  <si>
    <t>Gessner S_3777_Boca Springs_Houston_02280</t>
  </si>
  <si>
    <t>Woodchase Dr_3400_Aberdeen_Houston_02281</t>
  </si>
  <si>
    <t>Woodchase_3600_The Fountains of Westchase_Houston_02282</t>
  </si>
  <si>
    <t>Ocee St_3400_The Gables at Richmond_Houston_02283</t>
  </si>
  <si>
    <t>Skyline_6419_Stonehaven_Houston_02284</t>
  </si>
  <si>
    <t>Queen Annes_855_Kingsbrook Village_Houston_02285</t>
  </si>
  <si>
    <t>Meadowglen_9850_Sunset Shadows_Houston_02286</t>
  </si>
  <si>
    <t>Meadowglen_9801_Madison Park of Westchase I_Houston_02287</t>
  </si>
  <si>
    <t>Meadowglen_9797_Landing at Westchase_Houston_02288</t>
  </si>
  <si>
    <t>Post Oak Park Rd_1919_Post Oak Park_Houston_02291</t>
  </si>
  <si>
    <t>Briar Ridge_2530_Westbriar_Houston_02293</t>
  </si>
  <si>
    <t>Silber_915_Legends of Memorial I_Houston_02296</t>
  </si>
  <si>
    <t>Memorial Dr_10220_Memorial Creole_Houston_02298</t>
  </si>
  <si>
    <t>Bering Dr_1100_Tuscany_Houston_02299</t>
  </si>
  <si>
    <t>International Blvd_722_9900 Memorial_Houston_02306</t>
  </si>
  <si>
    <t>Kingsbrook_8222_Fox Hall_Houston_02308</t>
  </si>
  <si>
    <t>Woodway_5800_The Deerwood_Houston_02310</t>
  </si>
  <si>
    <t>Post Oak Ln S_502_502 South Post Oak Lane_Houston_02311</t>
  </si>
  <si>
    <t>Shavelson_6815_Memorial Springs_Houston_02313</t>
  </si>
  <si>
    <t>Silber_910_Legends of Memorial II_Houston_02314</t>
  </si>
  <si>
    <t>Westheimer Rd_6425_The Palms on Westheimer_Houston_02315</t>
  </si>
  <si>
    <t>Winrock_1915_Briarwest_Houston_02316</t>
  </si>
  <si>
    <t>Winrock_2100_The Winrock_Houston_02317</t>
  </si>
  <si>
    <t>Winrock Blvd_1200_Woodway Square_Houston_02318</t>
  </si>
  <si>
    <t>Augusta_1819_Augusta Court Mid-Rise_Houston_02320</t>
  </si>
  <si>
    <t>San Felipe_6363_Regency Arms_Houston_02324</t>
  </si>
  <si>
    <t>Wood Hollow_1416_Woodway on San Felipe_Houston_02325</t>
  </si>
  <si>
    <t>Fountainview_1617_Three Fountains III_Houston_02329</t>
  </si>
  <si>
    <t>San Felipe_5885_Tanglewood Court_Houston_02330</t>
  </si>
  <si>
    <t>Fountain View Dr_2313_Three Fountains_Houston_02331</t>
  </si>
  <si>
    <t>Briar Hollow_4510_The Tree Tops at Post Oak_Houston_02334</t>
  </si>
  <si>
    <t>Bering Dr_1801_Tuscany Gate_Houston_02335</t>
  </si>
  <si>
    <t>Bering Dr_1615_Tuscany Lane_Houston_02336</t>
  </si>
  <si>
    <t>Fountainview_1430_Tanglebrook_Houston_02337</t>
  </si>
  <si>
    <t>Winrock_2395_Westgate_Houston_02338</t>
  </si>
  <si>
    <t>Winrock_2520_Briarwood_Houston_02339</t>
  </si>
  <si>
    <t>Westheimer Rd_6263_The Plaza on Westheimer_Houston_02348</t>
  </si>
  <si>
    <t>Yorktown_2400_Creole On Yorktown_Houston_02349</t>
  </si>
  <si>
    <t>Yorktown_2530_Yorktown_Houston_02350</t>
  </si>
  <si>
    <t>Alabama W_4727_Afton Gardens_Houston_02351</t>
  </si>
  <si>
    <t>Greenridge_2815_Oxford on Greenridge I_Houston_02355</t>
  </si>
  <si>
    <t>Winsome_6041_Montebello Gardens_Houston_02356</t>
  </si>
  <si>
    <t>Augusta_2525_Tuscany Oaks_Houston_02357</t>
  </si>
  <si>
    <t>McCue_2400_2400 McCue_Houston_02358</t>
  </si>
  <si>
    <t>McCue_2525_Marquee_Houston_02360</t>
  </si>
  <si>
    <t>Fairdale Ln_6220_The Gallery_Houston_02361</t>
  </si>
  <si>
    <t>Greenridge_3000_Greenridge Place_Houston_02362</t>
  </si>
  <si>
    <t>Winsome_6015_Fountainview Lodge I_Houston_02363</t>
  </si>
  <si>
    <t>McCue St_2300_Montecito_Houston_02364</t>
  </si>
  <si>
    <t>McCue_2306_Marquee West_Houston_02366</t>
  </si>
  <si>
    <t>McCue_2320_Carriage Square_Houston_02367</t>
  </si>
  <si>
    <t>Sage_2309_Sagewood Apts_Houston_02370</t>
  </si>
  <si>
    <t>Sage_2425_Plantation_Houston_02371</t>
  </si>
  <si>
    <t>Bering_2100_Mirage_Houston_02375</t>
  </si>
  <si>
    <t>Bering_2345_Phoenician_Houston_02376</t>
  </si>
  <si>
    <t>Fountainview_2400_La Tour Fontaine_Houston_02378</t>
  </si>
  <si>
    <t>Winsome Ln_6014_The Lenox_Houston_02380</t>
  </si>
  <si>
    <t>Greenridge_3015_Constitution Square_Houston_02381</t>
  </si>
  <si>
    <t>Greenridge_3030_Tiffany Square_Houston_02382</t>
  </si>
  <si>
    <t>Beverly Hill_6311_Adorable Pointe_Houston_02383</t>
  </si>
  <si>
    <t>Beverly Hill_6363_Coral Hills_Houston_02384</t>
  </si>
  <si>
    <t>Briarhurst Dr_2777_Trafalgar West II_Houston_02385</t>
  </si>
  <si>
    <t>Skyline Dr_6360_Villas of Hillcroft-Hidden Pines_Houston_02386</t>
  </si>
  <si>
    <t>Skyline Dr_6363_Villas of Hillcroft-Inglewood Village_Houston_02387</t>
  </si>
  <si>
    <t>SW Fwy_6130_Falls of Westpark_Houston_02388</t>
  </si>
  <si>
    <t>Mid Ln_2007_San Felipe Court at River Oaks_Houston_02390</t>
  </si>
  <si>
    <t>Westcreek Ln_2350_Park at Westcreek_Houston_02395</t>
  </si>
  <si>
    <t>Westcreek Ln_2049_Westcreek at River Oaks_Houston_02396</t>
  </si>
  <si>
    <t>Westheimer_4444_4444 Westheimer Apts_Houston_02397</t>
  </si>
  <si>
    <t>Fairdale_6100_Fountainview Lodge II_Houston_02401</t>
  </si>
  <si>
    <t>Fairdale_6110_Inwood Gardens_Houston_02402</t>
  </si>
  <si>
    <t>Beverly Hill_6061_Beverly Palms_Houston_02404</t>
  </si>
  <si>
    <t>Beverly Hills Walk_5920_Tanglewood Place_Houston_02405</t>
  </si>
  <si>
    <t>Chimney Rock_3424_Chimney Rock Court_Houston_02406</t>
  </si>
  <si>
    <t>Fountainview_3304_Wilshire_Houston_02407</t>
  </si>
  <si>
    <t>Sage_3101_Bali Hai_Houston_02408</t>
  </si>
  <si>
    <t>Schumacher_5701_Schumacher Square_Houston_02409</t>
  </si>
  <si>
    <t>Beverly Hill_5301_Oaks of Beverly Hills_Houston_02410</t>
  </si>
  <si>
    <t>Richmond_5151_Galleria Oaks_Houston_02411</t>
  </si>
  <si>
    <t>Windswept_6370_Unity Pointe_Houston_02414</t>
  </si>
  <si>
    <t>Winsome_6111_The Registry_Houston_02415</t>
  </si>
  <si>
    <t>McCue_3323_Providence Uptown_Houston_02416</t>
  </si>
  <si>
    <t>Beverly Hill_5331_Verde Chateaux Dijon_Houston_02417</t>
  </si>
  <si>
    <t>Windswept Ln_6320_Windswept Gardens_Houston_02419</t>
  </si>
  <si>
    <t>Windswept_6330_Ashley Square_Houston_02420</t>
  </si>
  <si>
    <t>Windswept_6333_Colonial Woods_Houston_02421</t>
  </si>
  <si>
    <t>Skyline Dr_6353_Villas of Hillcroft-Southern Oaks_Houston_02422</t>
  </si>
  <si>
    <t>Sage_3525_3525 Sage Hi Rise_Houston_02425</t>
  </si>
  <si>
    <t>Mimosa Dr_2415_Mimosa and Argonne Forest_Houston_02429</t>
  </si>
  <si>
    <t>Westcott_904_Memorial Club_Houston_02434</t>
  </si>
  <si>
    <t>Sage_3300_Gables Metropolitan Uptown_Houston_02438</t>
  </si>
  <si>
    <t>Wild Indigo_4641_Newcastle at Towne Plaza Condos_Houston_02444</t>
  </si>
  <si>
    <t>Wild Indigo_4655_Towne Plaza_Houston_02445</t>
  </si>
  <si>
    <t>Durham N_900_Colonial_Houston_02446</t>
  </si>
  <si>
    <t>Birdsall_160_57 Off Memorial_Houston_02456</t>
  </si>
  <si>
    <t>Buffalo Spdwy_3133_Inverness_Houston_02459</t>
  </si>
  <si>
    <t>Buffalo Spdwy_3121_The Park at River Oaks_Houston_02460</t>
  </si>
  <si>
    <t>Scotland_4200_Memorial Hills (Demolished)_Houston_02462</t>
  </si>
  <si>
    <t>Dunlavy_777_The Villas at River Oaks_Houston_02466</t>
  </si>
  <si>
    <t>Dallas W_3433_Allen House_Houston_02467</t>
  </si>
  <si>
    <t>Memorial_5400_Memorial Towers_Houston_02469</t>
  </si>
  <si>
    <t>Memorial Dr_4400_Bayou Park Village_Houston_02470</t>
  </si>
  <si>
    <t>Memorial Dr_5353_The Left Bank River Oaks_Houston_02471</t>
  </si>
  <si>
    <t>Essex Ln_3919_The Essex House_Houston_02477</t>
  </si>
  <si>
    <t>Gray W_1920_The Plaza at River Oaks_Houston_02478</t>
  </si>
  <si>
    <t>Alabama W_3805_The Carlton_Houston_02479</t>
  </si>
  <si>
    <t>Alabama W_3720_Gables Cityscape_Houston_02480</t>
  </si>
  <si>
    <t>Westheimer_3435_The River Oaks_Houston_02483</t>
  </si>
  <si>
    <t>Bammel Ln_2828_Cabochon at River Oaks_Houston_02485</t>
  </si>
  <si>
    <t>Timmons_3131_Greenway Gardens_Houston_02487</t>
  </si>
  <si>
    <t>Essex Ln_4000_The Gael_Houston_02490</t>
  </si>
  <si>
    <t>Las Palmas_3237_Willowick Court TH (TBD)_Houston_02491</t>
  </si>
  <si>
    <t>Willowick_2511_Georgian_Houston_02495</t>
  </si>
  <si>
    <t>McDuffie_2810_McDuffie_Houston_02498</t>
  </si>
  <si>
    <t>Westheimer_2001_Westheimer Square_Houston_02508</t>
  </si>
  <si>
    <t>Westheimer_2400_Avalon Square_Houston_02509</t>
  </si>
  <si>
    <t>Cummins St_3333_The Place at Greenway_Houston_02512</t>
  </si>
  <si>
    <t>Cummins_3411_Greenway Court_Houston_02513</t>
  </si>
  <si>
    <t>Greenbriar_2611_Court of St Anne_Houston_02516</t>
  </si>
  <si>
    <t>Alabama W_2300_Gables Waterford Square_Houston_02518</t>
  </si>
  <si>
    <t>Branard_2322_Branard Plaza_Houston_02519</t>
  </si>
  <si>
    <t>Greenbriar_2828_Gables CityWalk_Houston_02529</t>
  </si>
  <si>
    <t>Main W_1919_Takara So_Houston_02536</t>
  </si>
  <si>
    <t>Alabama St W_1648_West Alabama Place_Houston_02541</t>
  </si>
  <si>
    <t>Alabama W_1715_Wilshire Village_Houston_02542</t>
  </si>
  <si>
    <t>Alabama W_1920_1920 West Alabama_Houston_02543</t>
  </si>
  <si>
    <t>N Blvd_2440_The Boulevard_Houston_02545</t>
  </si>
  <si>
    <t>Wakeforest_3700_Wakeforest_Houston_02546</t>
  </si>
  <si>
    <t>Bissonnet_3000_The Belmont_Houston_02551</t>
  </si>
  <si>
    <t>Edloe_5151_Village at West University_Houston_02552</t>
  </si>
  <si>
    <t>N Blvd_2701_North Boulevard_Houston_02572</t>
  </si>
  <si>
    <t>Edloe_3400_Sendera at Greenway_Houston_02576</t>
  </si>
  <si>
    <t>Audley_3800_Camden Greenway_Houston_02577</t>
  </si>
  <si>
    <t>Bissonnet_2630_Bissonnet Village (TBD)_Houston_02579</t>
  </si>
  <si>
    <t>N Blvd_2701_North Boulevard Apts_Houston_02580</t>
  </si>
  <si>
    <t>Portsmouth_1903_Whitehall_Houston_02582</t>
  </si>
  <si>
    <t>Portsmouth_1919_La Villa Carrie_Houston_02583</t>
  </si>
  <si>
    <t>Bissonnet_1717_Maryland Manor_Houston_02587</t>
  </si>
  <si>
    <t>Colquitt_2300_Sleepy Hollow_Houston_02589</t>
  </si>
  <si>
    <t>Greenbriar St_4100_Greenbriar Chateau_Houston_02591</t>
  </si>
  <si>
    <t>Heights_800_800 Heights_Houston_02595</t>
  </si>
  <si>
    <t>Heights Blvd_600_600 Heights Blvd. Apts_Houston_02599</t>
  </si>
  <si>
    <t>Dallas W_2210_AMLI Towne Square_Houston_02602</t>
  </si>
  <si>
    <t>Elder St_1101_Elder Street Artist Lofts_Houston_02603</t>
  </si>
  <si>
    <t>Richmond_1840_Richmond Terrace_Houston_02604</t>
  </si>
  <si>
    <t>Richmond_1901_Houston Medical Apts_Houston_02605</t>
  </si>
  <si>
    <t>.5 St#5 E_636_Studemont Arms_Houston_02613</t>
  </si>
  <si>
    <t>Harvard_815_Harvard Square Apts_Houston_02615</t>
  </si>
  <si>
    <t>N St_306_Skylane Downtown_Houston_02621</t>
  </si>
  <si>
    <t>Heights Blvd S_201_Archstone Memorial Heights II_Houston_02625</t>
  </si>
  <si>
    <t>Memorial Dr_2100_2100 Memorial_Houston_02627</t>
  </si>
  <si>
    <t>Byrne_935_Byrne Heights_Houston_02629</t>
  </si>
  <si>
    <t>Heights_205_Heights Plaza (TBD)_Houston_02637</t>
  </si>
  <si>
    <t>Heights Blvd S_201_Archstone Memorial Heights I_Houston_02638</t>
  </si>
  <si>
    <t>Allen Pkwy_1600_Historic Oaks of Allen Parkway_Houston_02642</t>
  </si>
  <si>
    <t>Louisiana_401_Hogg Palace Lofts_Houston_02643</t>
  </si>
  <si>
    <t>Texas Ave_909_Post Rice Lofts_Houston_02644</t>
  </si>
  <si>
    <t>Clay W_417_West Clay_Houston_02645</t>
  </si>
  <si>
    <t>Bagby_2350_Metro Midtown_Houston_02650</t>
  </si>
  <si>
    <t>Hamilton St_320_Hamilton Street Residence_Houston_02652</t>
  </si>
  <si>
    <t>Alabama W_502_Skylane Montrose_Houston_02656</t>
  </si>
  <si>
    <t>Commonwealth_1903_Commonwealth_Houston_02657</t>
  </si>
  <si>
    <t>Hyde Park_1410_Hyde Park_Houston_02659</t>
  </si>
  <si>
    <t>Runnels St_1919_Clayton Homes_Houston_02662</t>
  </si>
  <si>
    <t>Caroline_1111_Four Seasons Place_Houston_02663</t>
  </si>
  <si>
    <t>Main St_2016_2016 Main_Houston_02664</t>
  </si>
  <si>
    <t>Gray St_302_Post Midtown Square (I &amp; II)_Houston_02670</t>
  </si>
  <si>
    <t>Louisiana_2303_Camden Midtown_Houston_02671</t>
  </si>
  <si>
    <t>Hyde Park_1419_Michael Hyde Park Apts_Houston_02674</t>
  </si>
  <si>
    <t>Hyde Park_1501_Killarney Oaks_Houston_02678</t>
  </si>
  <si>
    <t>Oak Ct_10_Midtown Arbor Place_Houston_02682</t>
  </si>
  <si>
    <t>Fannin St_1617_Houston House_Houston_02683</t>
  </si>
  <si>
    <t>Avondale_301_Calvert Apts_Houston_02688</t>
  </si>
  <si>
    <t>Hawthorne_1419_Hawthorne_Houston_02710</t>
  </si>
  <si>
    <t>Berry_605_Oxford Place Apts_Houston_02717</t>
  </si>
  <si>
    <t>Main W_604_Gaslight Square_Houston_02721</t>
  </si>
  <si>
    <t>Alabama W_230_230 West Alabama_Houston_02725</t>
  </si>
  <si>
    <t>Marshall_414_Marshall Gardens_Houston_02732</t>
  </si>
  <si>
    <t>San Jacinto_3810_San Jacinto Apts_Houston_02733</t>
  </si>
  <si>
    <t>Caroline_5212_Caroline Apts, 5212_Houston_02735</t>
  </si>
  <si>
    <t>Castlecourt_1341_The Place_Houston_02736</t>
  </si>
  <si>
    <t>Fannin_3817_San Jacinto Apts_Houston_02741</t>
  </si>
  <si>
    <t>Westmoreland St_228_The Court of Charleston_Houston_02743</t>
  </si>
  <si>
    <t>Berthea_1136_Berthea Apts_Houston_02781</t>
  </si>
  <si>
    <t>Portland_216-242_Gramercy Place_Houston_02783</t>
  </si>
  <si>
    <t>Richmond Ave_1301_1301 Richmond (TBD)_Houston_02788</t>
  </si>
  <si>
    <t>Truxillo_3260_Cuney Homes_Houston_02793</t>
  </si>
  <si>
    <t>Richmond_1400_Richmont Square_Houston_02798</t>
  </si>
  <si>
    <t>Woodrow_714_Shibui_Houston_02799</t>
  </si>
  <si>
    <t>Sumpter_3031_Rose Plaza Apts_Houston_02808</t>
  </si>
  <si>
    <t>Hahlo_1230_Wheatley Manor_Houston_02811</t>
  </si>
  <si>
    <t>Market_5600_Wheatley Plaza_Houston_02813</t>
  </si>
  <si>
    <t>Bayou_505_Kennedy Place_Houston_02814</t>
  </si>
  <si>
    <t>Autumnwood_815_Holiday Forest_Houston_02818</t>
  </si>
  <si>
    <t>Coolwood_777_Coolwood Oaks_Houston_02819</t>
  </si>
  <si>
    <t>Fair Oaks Rd_810_Amber Creek_Houston_02820</t>
  </si>
  <si>
    <t>Fair Oaks_910_Fair Oaks_Houston_02821</t>
  </si>
  <si>
    <t>Pleasantville Dr_1922_Pleasant Village_Houston_02822</t>
  </si>
  <si>
    <t>Sherman_7310_Plaza De Magnolia_Houston_02823</t>
  </si>
  <si>
    <t>Coke_5300_Cleme Manor_Houston_02825</t>
  </si>
  <si>
    <t>66th St S_222_East End_Houston_02828</t>
  </si>
  <si>
    <t>Wayside Dr N_2022_Casa Suya_Houston_02831</t>
  </si>
  <si>
    <t>Villa De Matel_950_Courtyard_Houston_02835</t>
  </si>
  <si>
    <t>Wayside Dr S_1010_Royal Wayside_Houston_02836</t>
  </si>
  <si>
    <t>Challenger 7 Dr_10202_Jacinto Palms_Jacinto City_02840</t>
  </si>
  <si>
    <t>Caylor_221_Oakland Plaza Apts_Houston_02843</t>
  </si>
  <si>
    <t>Falcon_1222_Mimosa_Houston_02851</t>
  </si>
  <si>
    <t>Normandy_695_Normandy Woods_Houston_02854</t>
  </si>
  <si>
    <t>Woodforest_13000_Timber Run_Houston_02855</t>
  </si>
  <si>
    <t>Fleming_12221_Yorkshire Village_Houston_02857</t>
  </si>
  <si>
    <t>Fleming_12300_Falls of Birchbrook_Houston_02858</t>
  </si>
  <si>
    <t>Normandy St_550_Villa Sierra_Houston_02860</t>
  </si>
  <si>
    <t>Normandy_555_Riviera Pines_Houston_02861</t>
  </si>
  <si>
    <t>Maxey_666_Maxey Village_Houston_02862</t>
  </si>
  <si>
    <t>Maxey Rd_670_Rollingwood_Houston_02863</t>
  </si>
  <si>
    <t>Northwood N_1000_Leewood_Baytown_02865</t>
  </si>
  <si>
    <t>Northwood_1200_Laguna Azul_Baytown_02866</t>
  </si>
  <si>
    <t>Madrid_6600_Sir John Apts_Houston_02867</t>
  </si>
  <si>
    <t>Canal_7530_Casa Blanca_Houston_02868</t>
  </si>
  <si>
    <t>Maxey Rd_470_Pine Creek_Houston_02869</t>
  </si>
  <si>
    <t>Wood Bayou Dr_12380_Wood Bayou_Houston_02870</t>
  </si>
  <si>
    <t>Maxey Rd_650_650 Maxey Village_Houston_02871</t>
  </si>
  <si>
    <t>Fleming Dr_12200_Timber Ridge I_Houston_02873</t>
  </si>
  <si>
    <t>Normandy_794_Colorado Club_Houston_02874</t>
  </si>
  <si>
    <t>Ln_10823_Shadow Lake Apts_Houston_02875</t>
  </si>
  <si>
    <t>Uvalde Dr_333_Northshore Meadows_Houston_02878</t>
  </si>
  <si>
    <t>Ln_10921_Pin Oak Apts_Houston_02879</t>
  </si>
  <si>
    <t>Wiggins_10903_Jacinto Arms Apts_Houston_02880</t>
  </si>
  <si>
    <t>Market_12845_La Fiesta Apts_Houston_02890</t>
  </si>
  <si>
    <t>Freeport_615_Oakglen_Houston_02894</t>
  </si>
  <si>
    <t>Texarkana_13919_Bayou Terrace_Houston_02895</t>
  </si>
  <si>
    <t>Victoria_13933_Cloverleaf_Houston_02896</t>
  </si>
  <si>
    <t>Woodforest_13155_Tall Timbers_Houston_02897</t>
  </si>
  <si>
    <t>Woodforest_13455_Parc Towne Plaza_Houston_02898</t>
  </si>
  <si>
    <t>Alderson_14415_Spanish Villa_Houston_02902</t>
  </si>
  <si>
    <t>Freeport_912_Pioneer Apts_Houston_02904</t>
  </si>
  <si>
    <t>Freeport_1114_Estada Villa_Houston_02905</t>
  </si>
  <si>
    <t>Alderson_13925_The Gentry_Houston_02908</t>
  </si>
  <si>
    <t>Ashland_907_Casa De Grande_Channelview_02910</t>
  </si>
  <si>
    <t>Sheldon_719_Reserve at Channelview Gardens_Channelview_02911</t>
  </si>
  <si>
    <t>Woodland Dr_903_Woodland Villa_Channelview_02913</t>
  </si>
  <si>
    <t>E Fwy_15430_South Grand_Channelview_02914</t>
  </si>
  <si>
    <t>Baker Rd W_305_The Lakes at Madera_Baytown_02916</t>
  </si>
  <si>
    <t>Baker Rd_3800_Villas at the Palms_Baytown_02917</t>
  </si>
  <si>
    <t>Shady Hill Dr_3400_Cypress Bend_Baytown_02919</t>
  </si>
  <si>
    <t>Quail Hollow Dr_4601_Sterling Bay_Baytown_02921</t>
  </si>
  <si>
    <t>Normandy_799_Magnolia Creek_Houston_02922</t>
  </si>
  <si>
    <t>Hemlock_4520_Sunshine_Baytown_02928</t>
  </si>
  <si>
    <t>Decker Dr_3120_Creekside_Baytown_02930</t>
  </si>
  <si>
    <t>Massey Tompkins_605_Tompkins Greens_Baytown_02931</t>
  </si>
  <si>
    <t>Baker_4219_West Lodge_Baytown_02932</t>
  </si>
  <si>
    <t>Baker Rd W_2900_Cedar Ridge_Baytown_02933</t>
  </si>
  <si>
    <t>Garth_3403_Trestles of Baytown_Baytown_02934</t>
  </si>
  <si>
    <t>Garth_3700_Logans Pointe_Baytown_02935</t>
  </si>
  <si>
    <t>Garth_3135_Casa Linda Apts_Baytown_02936</t>
  </si>
  <si>
    <t>Garth Rd_3201_Tanglewood Square_Baytown_02938</t>
  </si>
  <si>
    <t>Massey Tompkins_501_Autumn Ridge_Baytown_02939</t>
  </si>
  <si>
    <t>Garth_1601_Woodcreek Village_Baytown_02941</t>
  </si>
  <si>
    <t>Crosby Cedar Bayou_3529_Crosby Green_Baytown_02944</t>
  </si>
  <si>
    <t>Gray Ridge_15250_The Vinings at West Oaks I_Houston_02945</t>
  </si>
  <si>
    <t>Westpark Dr_15035_Cape Colony_Houston_02947</t>
  </si>
  <si>
    <t>Empanada_14500_Woodbridge Crossing_Houston_02948</t>
  </si>
  <si>
    <t>Pavilion Point_14402_Fox Pointe_Houston_02949</t>
  </si>
  <si>
    <t>Bissonnet_13150_Beckford Place_Houston_02950</t>
  </si>
  <si>
    <t>Nolan_1502_Bay Terrace_Baytown_02954</t>
  </si>
  <si>
    <t>Pruett Rd N_907_Inverness_Baytown_02955</t>
  </si>
  <si>
    <t>Ward_2011_Oaks of Baytown_Baytown_02956</t>
  </si>
  <si>
    <t>Ward_2700_The Boardwalk of Baytown_Baytown_02957</t>
  </si>
  <si>
    <t>Bob Smith_1700_Bay Oaks_Baytown_02959</t>
  </si>
  <si>
    <t>Cedar Bayou_2105_Greenfield_Baytown_02960</t>
  </si>
  <si>
    <t>Synott_4040_Oaks of Ashford Point I_Houston_02961</t>
  </si>
  <si>
    <t>Ashburnham Dr_3950_Ashford Pointe_Houston_02962</t>
  </si>
  <si>
    <t>Ashford Point Dr_12910_Georgian Westside_Houston_02963</t>
  </si>
  <si>
    <t>Ashford Point_13103_Oaks of Ashford Point II_Houston_02964</t>
  </si>
  <si>
    <t>Bellaire Blvd_15770_Hawthorne_Houston_02965</t>
  </si>
  <si>
    <t>Eldridge Pkwy_3995_Park on Eldridge_Houston_02966</t>
  </si>
  <si>
    <t>Synott_3803_Ashford Creek_Houston_02967</t>
  </si>
  <si>
    <t>Synott_3939_Hartford Park_Houston_02968</t>
  </si>
  <si>
    <t>Memorial_1305_Graywood Arms_Baytown_02969</t>
  </si>
  <si>
    <t>Brant Rock_12903_Copper Cove_Houston_02972</t>
  </si>
  <si>
    <t>Brant Rock_12906_Brant Rock Condominium Apts_Houston_02973</t>
  </si>
  <si>
    <t>James Bowie Dr_1711_Briarwood_Baytown_02974</t>
  </si>
  <si>
    <t>James Bowie Dr_1800_Willow Tree_Baytown_02975</t>
  </si>
  <si>
    <t>Rollingbrook_3300_Raintree_Baytown_02977</t>
  </si>
  <si>
    <t>Westpark_10070_Legacy at Westchase_Houston_02978</t>
  </si>
  <si>
    <t>Cook_4545_Sunblossom Woods_Houston_02979</t>
  </si>
  <si>
    <t>Cook Rd_6819_Pelican Landing_Houston_02980</t>
  </si>
  <si>
    <t>6 Hwy S_4034_Falls of West Oaks_Houston_02981</t>
  </si>
  <si>
    <t>Rio Bonito_14405_El Sol Del Rio_Houston_02982</t>
  </si>
  <si>
    <t>Dairy View_9301_Summerstone_Houston_02983</t>
  </si>
  <si>
    <t>Sierra Blanca Dr_6403_El Sol Brillante_Houston_02986</t>
  </si>
  <si>
    <t>Dairy Ashford S_6700_The Mint at Dairy Ashford_Houston_02987</t>
  </si>
  <si>
    <t>Bowser Rd N_101_Eastgate Apts Of Richardson_Richardson_02988</t>
  </si>
  <si>
    <t>Rio Bonito_14100_Park Village_Houston_02990</t>
  </si>
  <si>
    <t>Bellaire_12707_The Arbor at Dairy Ashford_Houston_02991</t>
  </si>
  <si>
    <t>Ashford Point_12630_Vanderbilt Court_Houston_02992</t>
  </si>
  <si>
    <t>Ashford Point_12777_Ashford Court_Houston_02993</t>
  </si>
  <si>
    <t>Brant Rock_12710_Trails of Ashford_Houston_02994</t>
  </si>
  <si>
    <t>Medfield_12660_Vanderbilt_Houston_02995</t>
  </si>
  <si>
    <t>Dairy Ashford S_9903_Cambridge Crossing_Houston_02997</t>
  </si>
  <si>
    <t>Brookglade Cir_12600_Bluestone_Houston_03000</t>
  </si>
  <si>
    <t>Old Richmond_13210_Ambiance TH_Houston_03002</t>
  </si>
  <si>
    <t>Synott_9330_South Chase_Houston_03003</t>
  </si>
  <si>
    <t>Synott_9402_Synott Square_Houston_03004</t>
  </si>
  <si>
    <t>Dairy Ashford S_9506_Huntington Village_Houston_03005</t>
  </si>
  <si>
    <t>Corporate_7302_Rubicon_Houston_03006</t>
  </si>
  <si>
    <t>Corporate_7502_Waterfall Park_Houston_03007</t>
  </si>
  <si>
    <t>Boone Rd_4400_Brays Village_Houston_03008</t>
  </si>
  <si>
    <t>United Dr_9888_The Sovereign TH_Houston_03009</t>
  </si>
  <si>
    <t>Corporate_7255_The Fountains at Bellaire_Houston_03010</t>
  </si>
  <si>
    <t>Harwin_11490_Remington Court_Houston_03011</t>
  </si>
  <si>
    <t>Harwin Dr_10300_Sun Blossom Cottages_Houston_03012</t>
  </si>
  <si>
    <t>Boone Rd_8039_Chelsea Lane_Houston_03013</t>
  </si>
  <si>
    <t>Cook_7500_Alief Square_Houston_03015</t>
  </si>
  <si>
    <t>Cook Rd_7520_JadeStone_Houston_03016</t>
  </si>
  <si>
    <t>Cook Rd_8000_Tierra Del Sol_Houston_03017</t>
  </si>
  <si>
    <t>Village Bend Ln_10901_Suncrest Village TH_Houston_03018</t>
  </si>
  <si>
    <t>Beechnut St_10630_Sunset Crossing_Houston_03020</t>
  </si>
  <si>
    <t>Boone Rd_8811_Aspen Park_Houston_03021</t>
  </si>
  <si>
    <t>Kirkwood S_9850_Kirkwood Landing_Houston_03022</t>
  </si>
  <si>
    <t>Bissonnet_11700_Crossing at Ashton Place_Houston_03024</t>
  </si>
  <si>
    <t>Cook Rd_7000_Parque on Bellaire_Houston_03025</t>
  </si>
  <si>
    <t>Dashwood_11855_Crossing at Windsor TH_Houston_03026</t>
  </si>
  <si>
    <t>Kirkwood Dr S_4315_Kirkwood Vista_Houston_03027</t>
  </si>
  <si>
    <t>Beechnut_9301_Riveraine_Houston_03028</t>
  </si>
  <si>
    <t>Beechnut_9501_The Sebring_Houston_03029</t>
  </si>
  <si>
    <t>Beechnut_11402_Leawood Plaza_Houston_03030</t>
  </si>
  <si>
    <t>Beechnut_10615_Stoneridge_Houston_03031</t>
  </si>
  <si>
    <t>Kirkwood Rd S_4503_Sterling Crossing_Houston_03032</t>
  </si>
  <si>
    <t>Kirkwood Dr S_4700_Coral Islands_Houston_03033</t>
  </si>
  <si>
    <t>Neff_12102_ABC TH_Houston_03034</t>
  </si>
  <si>
    <t>Club Creek_10000_Spring Rose_Houston_03035</t>
  </si>
  <si>
    <t>Club Creek_10001_Deerfield_Houston_03036</t>
  </si>
  <si>
    <t>Club Creek_10110_Happy Homes_Houston_03037</t>
  </si>
  <si>
    <t>Corporate Dr_7700_El Paraiso_Houston_03038</t>
  </si>
  <si>
    <t>Corporate Dr_7825_The Lodge I_Houston_03040</t>
  </si>
  <si>
    <t>Corporate_7930_Woodcreek On The Bayou_Houston_03041</t>
  </si>
  <si>
    <t>Course Dr S_8600_Victoria Park_Houston_03042</t>
  </si>
  <si>
    <t>Spice Ln_10555_Aspen Ridge_Houston_03043</t>
  </si>
  <si>
    <t>Course Dr S_8304_Arrowood_Houston_03045</t>
  </si>
  <si>
    <t>Course Dr S_8404_Bristol Court_Houston_03046</t>
  </si>
  <si>
    <t>Beechnut_10534_Villa Adora_Houston_03047</t>
  </si>
  <si>
    <t>Cinnamon Ln_8323_Westwood Ridge_Houston_03048</t>
  </si>
  <si>
    <t>Club Creek_9901_Emerald Isle_Houston_03049</t>
  </si>
  <si>
    <t>Club Creek_9955_Santa Barbara_Houston_03050</t>
  </si>
  <si>
    <t>Beechnut St_10215_The Broadmoor_Houston_03051</t>
  </si>
  <si>
    <t>Beechnut St_10522_Coral Gables_Houston_03052</t>
  </si>
  <si>
    <t>Wilcrest_10300_Winding Trails_Houston_03053</t>
  </si>
  <si>
    <t>Bissonnet St_10111_Greyfield_Houston_03054</t>
  </si>
  <si>
    <t>Sam Houston Pkwy S_9501_Park Westwood_Houston_03055</t>
  </si>
  <si>
    <t>Bissonnet St_10225_The Mills_Houston_03056</t>
  </si>
  <si>
    <t>Deering Dr_9560_Westwood II_Houston_03057</t>
  </si>
  <si>
    <t>Greenfork Dr_10010_Whispering Oaks_Houston_03058</t>
  </si>
  <si>
    <t>Sam Houston Pkwy S W_9255_Glenwood AH_Houston_03059</t>
  </si>
  <si>
    <t>Club Creek_10202_Villa Madrid_Houston_03060</t>
  </si>
  <si>
    <t>Concourse_9430_Westwood Fountains_Houston_03061</t>
  </si>
  <si>
    <t>Spice Ln_10027_The Claridge_Houston_03062</t>
  </si>
  <si>
    <t>Woodfair_9290_Rama Apts_Houston_03063</t>
  </si>
  <si>
    <t>Woodfair Dr_9450_Villa De Cancun_Houston_03064</t>
  </si>
  <si>
    <t>Bissonnet_12023_Huntington Glen_Houston_03065</t>
  </si>
  <si>
    <t>Woodfair Dr_9502_Premier on Woodfair I_Houston_03066</t>
  </si>
  <si>
    <t>Sam Houston Pkwy S W_9475_Shadowtree_Houston_03067</t>
  </si>
  <si>
    <t>Coventry Sq Dr_9401_Coventry Park_Houston_03068</t>
  </si>
  <si>
    <t>Coventry Sq Dr_9400_Victorian_Houston_03069</t>
  </si>
  <si>
    <t>Sam Houston Pkwy W_10101_Villa Ana_Houston_03070</t>
  </si>
  <si>
    <t>Woodfair_9303_Riverstone AH_Houston_03071</t>
  </si>
  <si>
    <t>Bellfort W_11675_Idlewood Park_Houston_03072</t>
  </si>
  <si>
    <t>Bellfort W_11726_Southwest Village_Stafford_03073</t>
  </si>
  <si>
    <t>Lands End Dr_10250_Woodstone Manor_Houston_03074</t>
  </si>
  <si>
    <t>Forum Park_9898_The Carlisle_Houston_03076</t>
  </si>
  <si>
    <t>Concourse Dr_9445_Villa Monterrey_Houston_03078</t>
  </si>
  <si>
    <t>Forum Park_9701_Madison_Houston_03079</t>
  </si>
  <si>
    <t>Ct Glen_9700_Casa Nube en Bissonnet_Houston_03080</t>
  </si>
  <si>
    <t>Ct Glen_9755_The Crossing at Sedona Square II_Houston_03081</t>
  </si>
  <si>
    <t>Glen S_11715_The Crossing at Sedona Square I_Houston_03082</t>
  </si>
  <si>
    <t>Forum W Dr_10222_The Forum Apts_Houston_03083</t>
  </si>
  <si>
    <t>Woodfair Dr_9502_Premier on Woodfair II_Houston_03084</t>
  </si>
  <si>
    <t>Glen S_11735_Chesterfield_Houston_03085</t>
  </si>
  <si>
    <t>S Dr_10440_Meadows Southwest_Houston_03086</t>
  </si>
  <si>
    <t>Forum Park_10101_Forum Plaza_Houston_03087</t>
  </si>
  <si>
    <t>Forum W Dr_10003_Las Varandas del Sur_Houston_03088</t>
  </si>
  <si>
    <t>Bellerive_7500_Chestnut Hill_Houston_03091</t>
  </si>
  <si>
    <t>Fondren_5810_Shadow Ridge_Houston_03092</t>
  </si>
  <si>
    <t>Fondren_5909_Coral Club_Houston_03093</t>
  </si>
  <si>
    <t>Harwin_7637_Willows On Harwin_Houston_03094</t>
  </si>
  <si>
    <t>Bellaire Blvd_9303_Royal Shield Apts_Houston_03097</t>
  </si>
  <si>
    <t>Ranchester_6200_Hamilton Court Condo Apts_Houston_03098</t>
  </si>
  <si>
    <t>Clarewood_9201_Louisville Court_Houston_03099</t>
  </si>
  <si>
    <t>Wilcrest S_11303_Tradewinds_Houston_03100</t>
  </si>
  <si>
    <t>Keegans Ridge_11505_Point of the Southwest_Houston_03101</t>
  </si>
  <si>
    <t>Gessner S_6425_Carlingford II_Houston_03102</t>
  </si>
  <si>
    <t>Harwin_10201_Town Park_Houston_03103</t>
  </si>
  <si>
    <t>Meadow Ln_11522_Meadow Lane Fourplex Homes_Stafford_03104</t>
  </si>
  <si>
    <t>Bellfort W_11650_Timbers of Keegans Bayou_Houston_03106</t>
  </si>
  <si>
    <t>Bellerive_7630_Charleston Court_Houston_03107</t>
  </si>
  <si>
    <t>Bonhomme_5959_The Barrington_Houston_03108</t>
  </si>
  <si>
    <t>Sands Point Dr_8300_Sands Point_Houston_03111</t>
  </si>
  <si>
    <t>Bellerive_7203_Stonegate_Houston_03112</t>
  </si>
  <si>
    <t>Bellerive_7222_Regency Square_Houston_03113</t>
  </si>
  <si>
    <t>Lands End Dr_10350_Stancliff Park_Houston_03114</t>
  </si>
  <si>
    <t>S Dr_10411_Foxboro_Houston_03116</t>
  </si>
  <si>
    <t>Ranchester_5909_Sun Blossom Mountain_Houston_03117</t>
  </si>
  <si>
    <t>Sands Point Dr_8600_Sands Point Cove_Houston_03118</t>
  </si>
  <si>
    <t>Gessner_6200_6200 Gessner_Houston_03119</t>
  </si>
  <si>
    <t>Clarewood_9220_Summer Creek_Houston_03120</t>
  </si>
  <si>
    <t>Gessner S_6400_Silver Leaf_Houston_03121</t>
  </si>
  <si>
    <t>Parkfront_5850_Falls of Point West_Houston_03122</t>
  </si>
  <si>
    <t>Ranchester Dr_5900_Sun Blossom Gardens_Houston_03123</t>
  </si>
  <si>
    <t>Town Park_9000_Rock Springs_Houston_03124</t>
  </si>
  <si>
    <t>Town Park_9001_Village Key_Houston_03125</t>
  </si>
  <si>
    <t>Town Park_9303_Rustic Village_Houston_03126</t>
  </si>
  <si>
    <t>All Day_5995_Highland Green_Houston_03128</t>
  </si>
  <si>
    <t>Bellaire_7575_The Conquistador_Houston_03129</t>
  </si>
  <si>
    <t>Moonmist_7650_Paradise Apts_Houston_03130</t>
  </si>
  <si>
    <t>Ranchester_6301_Happy Village_Houston_03131</t>
  </si>
  <si>
    <t>Bellaire_7900_Plantation Place_Houston_03132</t>
  </si>
  <si>
    <t>Gessner Dr S_8917_Braeburn Colony_Houston_03134</t>
  </si>
  <si>
    <t>Gessner S_7100_Country Club Village_Houston_03139</t>
  </si>
  <si>
    <t>Beechnut_8929_Southwest Gardens II_Houston_03140</t>
  </si>
  <si>
    <t>Beechnut_8910_Beechnut Palms_Houston_03141</t>
  </si>
  <si>
    <t>Gessner Dr S_6500_Cambridge Court (TBD)_Houston_03144</t>
  </si>
  <si>
    <t>Beechnut_7511_Beechnut Grove_Houston_03145</t>
  </si>
  <si>
    <t>Beechnut St_6833_Plaza del Sol_Houston_03146</t>
  </si>
  <si>
    <t>Bellaire_6600_Turf Club_Houston_03148</t>
  </si>
  <si>
    <t>Clarewood_7500_Sharpstown Manor_Houston_03149</t>
  </si>
  <si>
    <t>Clarewood_7650_St. Clarewood_Houston_03150</t>
  </si>
  <si>
    <t>Bellaire Blvd_8100_Parkgreen_Houston_03151</t>
  </si>
  <si>
    <t>Harbor Town Dr_6601_Parkway_Houston_03152</t>
  </si>
  <si>
    <t>Marinette_6200_Royal Oaks Apts_Houston_03153</t>
  </si>
  <si>
    <t>Marinette_6203_Marinette Gardens_Houston_03154</t>
  </si>
  <si>
    <t>Bellaire_6960_Sharpstown Park_Houston_03155</t>
  </si>
  <si>
    <t>De Moss_6718_Crescent Oaks_Houston_03156</t>
  </si>
  <si>
    <t>Beechnut_8703-8715_Brentwood Village_Houston_03158</t>
  </si>
  <si>
    <t>Beechnut_8847_Southwest Gardens I_Houston_03159</t>
  </si>
  <si>
    <t>Beechnut_9023_Beechnut Chateau_Houston_03160</t>
  </si>
  <si>
    <t>Beechnut_9034_Royal Beechnut_Houston_03161</t>
  </si>
  <si>
    <t>Gessner Dr S_7222_Linda Square_Houston_03163</t>
  </si>
  <si>
    <t>Ranchester Dr_6001_Villa Bella_Houston_03164</t>
  </si>
  <si>
    <t>Ranchester_6300_Hamilton Park_Houston_03165</t>
  </si>
  <si>
    <t>Fondren_8710_Ridgestone_Houston_03166</t>
  </si>
  <si>
    <t>Fondren Rd_8800_Brickhaven I_Houston_03167</t>
  </si>
  <si>
    <t>Gessner Rd S_7514_Summerfield_Houston_03169</t>
  </si>
  <si>
    <t>Carvel Ln_8330_Ashley_Houston_03171</t>
  </si>
  <si>
    <t>Bissonnet_7500_Bissonnet Gardens_Houston_03172</t>
  </si>
  <si>
    <t>Bissonnet_7575_Sharpstown Gardens_Houston_03173</t>
  </si>
  <si>
    <t>Fondren Rd_8900_Brickhaven II_Houston_03174</t>
  </si>
  <si>
    <t>Fondren_9100_Boardwalk_Houston_03175</t>
  </si>
  <si>
    <t>Fonvilla_7000_Forest Green_Houston_03176</t>
  </si>
  <si>
    <t>Bissonnet_9200_Williamstown_Houston_03178</t>
  </si>
  <si>
    <t>Gessner S_9707_Woodscape_Houston_03179</t>
  </si>
  <si>
    <t>Jason_8484_Evergreen Commons_Houston_03182</t>
  </si>
  <si>
    <t>Nairn_8500_Rockport Apt Homes_Houston_03183</t>
  </si>
  <si>
    <t>Club Creek_9950_Pier Club_Houston_03184</t>
  </si>
  <si>
    <t>Imogene_9292_The Westwood Complex_Houston_03186</t>
  </si>
  <si>
    <t>Braeswood Blvd S_9001_Heatherwood_Houston_03187</t>
  </si>
  <si>
    <t>Bissonnet_8901_Stoneriver_Houston_03188</t>
  </si>
  <si>
    <t>Gessner S_10222_Crescent Place_Houston_03190</t>
  </si>
  <si>
    <t>Gustine Ln_8700_Wesley Gardens_Houston_03191</t>
  </si>
  <si>
    <t>Bissonnet_7900_Braeburn Oaks Condos_Houston_03192</t>
  </si>
  <si>
    <t>Carew_7250_Sierra_Houston_03193</t>
  </si>
  <si>
    <t>Harbor Town Dr_6666_Sharpstown Green Condos_Houston_03195</t>
  </si>
  <si>
    <t>Kingsgate Cir_7298_Westlake Village_Houston_03196</t>
  </si>
  <si>
    <t>Bissonnet St_7003_The Oaks on Bissonnet_Houston_03197</t>
  </si>
  <si>
    <t>Braeburn Glen_9707_Villa Acapulco_Houston_03198</t>
  </si>
  <si>
    <t>Braeswood Blvd S_8701_Braes Hollow_Houston_03199</t>
  </si>
  <si>
    <t>Braeswood S_8800_Braeswood Atrium_Houston_03200</t>
  </si>
  <si>
    <t>Braeswood S_8801_Braes Court_Houston_03201</t>
  </si>
  <si>
    <t>Bankside_6425_Bankside Village_Houston_03202</t>
  </si>
  <si>
    <t>Fondren_10555_Braeswood Oaks_Houston_03203</t>
  </si>
  <si>
    <t>Westbrae Pkwy_10950_Crystal Falls_Houston_03204</t>
  </si>
  <si>
    <t>Braesridge_11100_Braesridge I_Houston_03205</t>
  </si>
  <si>
    <t>Sandpiper_10402_Sandpiper_Houston_03206</t>
  </si>
  <si>
    <t>Wanda_6503_St James Place II_Houston_03207</t>
  </si>
  <si>
    <t>Fondren_9109_St James_Houston_03208</t>
  </si>
  <si>
    <t>Westbrae Pkwy_10680_Westbrae Court_Houston_03212</t>
  </si>
  <si>
    <t>Westbrae Pkwy_10750_Fairfield Trails_Houston_03213</t>
  </si>
  <si>
    <t>Fondren_10001_West Hollow_Houston_03214</t>
  </si>
  <si>
    <t>Sandpiper_10301_Arbor Square_Houston_03215</t>
  </si>
  <si>
    <t>Dumfries_6310_Bayou Village Place_Houston_03216</t>
  </si>
  <si>
    <t>Fondren_9801_Stone Forest_Houston_03217</t>
  </si>
  <si>
    <t>Gustine Ln_8801_Royal Pines_Houston_03218</t>
  </si>
  <si>
    <t>Braes Bayou Dr_9600_Braeburn Villa_Houston_03219</t>
  </si>
  <si>
    <t>Creekbend Dr_8110_Beacon Hill_Houston_03221</t>
  </si>
  <si>
    <t>Braesridge_11100_Braesridge II_Houston_03222</t>
  </si>
  <si>
    <t>Creekbend Dr_7600_The Reserve at Creekbend_Houston_03223</t>
  </si>
  <si>
    <t>Creekbend Dr_8000_The Reserve at Braes Forest_Houston_03224</t>
  </si>
  <si>
    <t>Gulfton_5815_Lantern Village_Houston_03225</t>
  </si>
  <si>
    <t>Glenmont_6050_Mapletree Gardens_Houston_03226</t>
  </si>
  <si>
    <t>Bissonnet_4301_Pont Alba_Bellaire_03227</t>
  </si>
  <si>
    <t>Fondren Rd_10800_The Reserve at Bankside_Houston_03229</t>
  </si>
  <si>
    <t>Fondren Rd_10919_The Willows_Houston_03230</t>
  </si>
  <si>
    <t>Larkwood Dr_11025_Carlyle Place_Houston_03231</t>
  </si>
  <si>
    <t>Dunlap St_6601_Sterling Point_Houston_03233</t>
  </si>
  <si>
    <t>Willowbend_6111_Regal Pointe_Houston_03234</t>
  </si>
  <si>
    <t>Glenmont_5655_Atrium Regency_Houston_03235</t>
  </si>
  <si>
    <t>Glenmont_6100_La Hacienda_Houston_03236</t>
  </si>
  <si>
    <t>Gulfton_6001_Napoleon Square_Houston_03237</t>
  </si>
  <si>
    <t>Gulfton_6200_Jefferson House_Houston_03238</t>
  </si>
  <si>
    <t>Gulfton_6233_Westward Square_Houston_03239</t>
  </si>
  <si>
    <t>Chimney Rock_6111_Le Chateau_Houston_03240</t>
  </si>
  <si>
    <t>El Camino Del Ray_5500_Sierra Vista_Houston_03241</t>
  </si>
  <si>
    <t>Pin Oak Park_4807_Estates at Bellaire_Houston_03242</t>
  </si>
  <si>
    <t>Pin Oak Park_4848_Marquis on Pin Oak_Houston_03243</t>
  </si>
  <si>
    <t>Bellaire Blvd_6009_Pelican Pointe_Houston_03244</t>
  </si>
  <si>
    <t>Rampart_5720_Peachtree_Houston_03245</t>
  </si>
  <si>
    <t>Rampart_6002_South Oaks_Houston_03246</t>
  </si>
  <si>
    <t>Rampart_6300_Rampart Gardens_Houston_03247</t>
  </si>
  <si>
    <t>Chimney Rock_5401_5401 Chimney Rock_Houston_03248</t>
  </si>
  <si>
    <t>Chimney Rock_5601_Fountain Oaks_Houston_03249</t>
  </si>
  <si>
    <t>Chimney Rock_5600_Sharon Park Village_Houston_03250</t>
  </si>
  <si>
    <t>Elm_5414_Bellaire Woods_Houston_03251</t>
  </si>
  <si>
    <t>Glenmont_5710_Chapparal Villas I_Houston_03252</t>
  </si>
  <si>
    <t>Rice S_5510_Remington Park_Houston_03253</t>
  </si>
  <si>
    <t>Glenmont_5720_Chapparal Villas II_Houston_03254</t>
  </si>
  <si>
    <t>Glenmont_5840_Cedar Glen_Houston_03255</t>
  </si>
  <si>
    <t>Glenmont_5909_Las Americas_Houston_03256</t>
  </si>
  <si>
    <t>Westward_5621_Chateaux Carmel_Houston_03257</t>
  </si>
  <si>
    <t>Gulfton_6060_Alexander House_Houston_03260</t>
  </si>
  <si>
    <t>Gulfton_6303_Atrium Cellini_Houston_03262</t>
  </si>
  <si>
    <t>Renwick_5402_Pavilion Place_Houston_03263</t>
  </si>
  <si>
    <t>Hillcroft_7111_Candlewick_Houston_03264</t>
  </si>
  <si>
    <t>Mullins_6711_Fiesta Plaza II Apts_Houston_03266</t>
  </si>
  <si>
    <t>Bissonnet_5606_Mark VI_Houston_03267</t>
  </si>
  <si>
    <t>Bissonnet_5625_Grayridge_Houston_03269</t>
  </si>
  <si>
    <t>Alder_6414_Greentree at the Garden_Houston_03271</t>
  </si>
  <si>
    <t>Hillcroft_7001_Crown Garden_Houston_03277</t>
  </si>
  <si>
    <t>Bellaire_6120_Bellaire Gardens_Houston_03278</t>
  </si>
  <si>
    <t>Mullins_6711_Fiesta Plaza_Houston_03279</t>
  </si>
  <si>
    <t>Dashwood_6011_Carriage Way_Houston_03280</t>
  </si>
  <si>
    <t>Atwell_6655_Mark 5 North_Houston_03281</t>
  </si>
  <si>
    <t>Atwell_6711_Mark V South Apts_Houston_03282</t>
  </si>
  <si>
    <t>Chimney Rock_6700_The Palms at Chimney Rock_Houston_03284</t>
  </si>
  <si>
    <t>Clarewood_5312_Monticello Square_Houston_03285</t>
  </si>
  <si>
    <t>Atwell_7211_Atwell Village Apts_Houston_03286</t>
  </si>
  <si>
    <t>Edgemoor_5704_Scottwood_Houston_03287</t>
  </si>
  <si>
    <t>Bellaire_5800_Bellaire Square North (Demolished)_Houston_03288</t>
  </si>
  <si>
    <t>Hillcroft St_6525_St Cloud_Houston_03289</t>
  </si>
  <si>
    <t>Clarewood_5801_Clarewood Gardens_Houston_03291</t>
  </si>
  <si>
    <t>Bissonnet_6000_Spring Forest_Houston_03294</t>
  </si>
  <si>
    <t>Hillcroft_7245_Fairmount_Houston_03295</t>
  </si>
  <si>
    <t>Hillcroft_7303_Fairmont Apts_Houston_03296</t>
  </si>
  <si>
    <t>Chimney Rock_6666_Colony Oaks_Houston_03300</t>
  </si>
  <si>
    <t>Dashwood_5800_Villa Royal_Houston_03301</t>
  </si>
  <si>
    <t>Dashwood_5940_Le Sajon_Houston_03303</t>
  </si>
  <si>
    <t>Bissonnet_5929_Jonathan Square II_Houston_03304</t>
  </si>
  <si>
    <t>Birdwood_5430_Braeswood Plaza_Houston_03305</t>
  </si>
  <si>
    <t>Renwick_6768_Grey Field_Houston_03306</t>
  </si>
  <si>
    <t>Renwick_6909_Enchanted Fountains_Houston_03308</t>
  </si>
  <si>
    <t>Chimney Rock_8900_The Villages at Meyerland II_Houston_03310</t>
  </si>
  <si>
    <t>Braeswood Blvd N_5410-5415_Nob Hill Southeast_Houston_03311</t>
  </si>
  <si>
    <t>Braesvalley Dr_5465_Nob Hill West_Houston_03312</t>
  </si>
  <si>
    <t>Renwick_7100_Renwick Square_Houston_03313</t>
  </si>
  <si>
    <t>Bissonnet_5911_Cherry Gardens_Houston_03314</t>
  </si>
  <si>
    <t>Pine_5531_Pines Street Apts_Houston_03315</t>
  </si>
  <si>
    <t>Valerie_6226_6226 Valerie Apts_Houston_03317</t>
  </si>
  <si>
    <t>Braeswood Blvd N_5500_Nob Hill Southwest_Houston_03319</t>
  </si>
  <si>
    <t>Hillcroft_7525_The White House_Houston_03321</t>
  </si>
  <si>
    <t>Mullins_7302_Pueblo Mio_Houston_03322</t>
  </si>
  <si>
    <t>Pine_5505_The Crossing at Saint Charles_Houston_03323</t>
  </si>
  <si>
    <t>Bissonnet_5900_Azalea Place_Houston_03324</t>
  </si>
  <si>
    <t>Bissonnet_5959_Cherry Cove_Houston_03325</t>
  </si>
  <si>
    <t>Academy_6815_Morgan Manor_Houston_03326</t>
  </si>
  <si>
    <t>Bellaire_4139_Blair House_Houston_03328</t>
  </si>
  <si>
    <t>Beechnut_4600_Meyer Oaks_Houston_03333</t>
  </si>
  <si>
    <t>Braeswood N_4605_Meyergrove_Houston_03334</t>
  </si>
  <si>
    <t>Braeswood N_5900_Crossing at Berkley Square_Houston_03335</t>
  </si>
  <si>
    <t>Glenfield_9600_Falls of Maplewood_Houston_03336</t>
  </si>
  <si>
    <t>Glenfield Ct_9700_Meyerland Court_Houston_03337</t>
  </si>
  <si>
    <t>Stella Link_6924_Villa Fontana_Houston_03341</t>
  </si>
  <si>
    <t>Greenbriar_7000_Greenbriar Bend_Houston_03346</t>
  </si>
  <si>
    <t>Bellefontaine_4025-4031_Fredoric_Houston_03347</t>
  </si>
  <si>
    <t>Kirby_7500_Kirby Place_Houston_03350</t>
  </si>
  <si>
    <t>Kirby_7550_Arcadian Kirby_Houston_03351</t>
  </si>
  <si>
    <t>Meyer Forest Dr_9701_Meyer Park (I)_Houston_03354</t>
  </si>
  <si>
    <t>Law St_3810_Courts at West University_Houston_03355</t>
  </si>
  <si>
    <t>Tangley_2415_Village_Houston_03359</t>
  </si>
  <si>
    <t>Post Oak S_10600_Glen Willow_Houston_03361</t>
  </si>
  <si>
    <t>Greenwillow St_10841_Willow Gardens_Houston_03363</t>
  </si>
  <si>
    <t>Buffalo Spdwy_7171_Camden Vanderbilt I_Houston_03367</t>
  </si>
  <si>
    <t>Brompton_7315_Berkshires on Brompton_Houston_03370</t>
  </si>
  <si>
    <t>Brompton Rd #514_7510_Brompton Court_Houston_03371</t>
  </si>
  <si>
    <t>Maroneal_2222_The Maroneal_Houston_03372</t>
  </si>
  <si>
    <t>Dorrington_2210_Montclair_Houston_03373</t>
  </si>
  <si>
    <t>Linkwood_4045_Stratford House II_Houston_03375</t>
  </si>
  <si>
    <t>Bartell Dr W_8410_Ashley Park_Houston_03376</t>
  </si>
  <si>
    <t>Timberside Dr_8715_Braes Manor_Houston_03377</t>
  </si>
  <si>
    <t>Westridge_2700_Ridgepoint_Houston_03378</t>
  </si>
  <si>
    <t>Murworth_2686_Wilshire Park_Houston_03379</t>
  </si>
  <si>
    <t>Braeswood N_3822_Gardens of Braeswood_Houston_03382</t>
  </si>
  <si>
    <t>Braeswood S_4155_Carlton House_Houston_03383</t>
  </si>
  <si>
    <t>Linkwood_4010_Stratford House I_Houston_03384</t>
  </si>
  <si>
    <t>Braeswood N_4141_Rutledge_Houston_03390</t>
  </si>
  <si>
    <t>Kirby_7600_The Crossing on Kirby_Houston_03392</t>
  </si>
  <si>
    <t>Greenbriar_7777_The Greenbriar_Houston_03394</t>
  </si>
  <si>
    <t>Broadmead_2801_Broadmead_Houston_03400</t>
  </si>
  <si>
    <t>Ilona_8814-8826_Linkwood Park_Houston_03402</t>
  </si>
  <si>
    <t>Braeswood S_1819_The Lanesborough_Houston_03405</t>
  </si>
  <si>
    <t>Murworth_3000_Mainstream_Houston_03406</t>
  </si>
  <si>
    <t>Braeswood S_4055_Villa D'Orleans_Houston_03410</t>
  </si>
  <si>
    <t>Holly Hall_2111_Twenty One Eleven Holly Hall_Houston_03414</t>
  </si>
  <si>
    <t>Holly Hall_2250_Scotland Yard I_Houston_03415</t>
  </si>
  <si>
    <t>Stella Link_9701_Royale Apts_Houston_03418</t>
  </si>
  <si>
    <t>Westridge_2401_Villages of Westridge_Houston_03420</t>
  </si>
  <si>
    <t>Westridge_2501_Westridge Gardens_Houston_03421</t>
  </si>
  <si>
    <t>Westridge_2600_Mainridge_Houston_03422</t>
  </si>
  <si>
    <t>O'Meara_3901_Pine Terrace_Houston_03425</t>
  </si>
  <si>
    <t>MacGregor N_3200_Bayou View Gardens_Houston_03426</t>
  </si>
  <si>
    <t>MacGregor Way N_3501_Dynasty_Houston_03428</t>
  </si>
  <si>
    <t>Bellfort W_4010_Louvre_Houston_03429</t>
  </si>
  <si>
    <t>Bellfort #15 W_4135_Bellfort Park_Houston_03431</t>
  </si>
  <si>
    <t>Prospect St_1913-1941_Prospect Street_Houston_03433</t>
  </si>
  <si>
    <t>Riverside_2601_The Park at Riverside_Houston_03434</t>
  </si>
  <si>
    <t>El Paseo_1800_Parque View_Houston_03435</t>
  </si>
  <si>
    <t>Fannin_8181_Fannin Street Station I_Houston_03436</t>
  </si>
  <si>
    <t>Fannin_8181_Fannin Street Station II_Houston_03437</t>
  </si>
  <si>
    <t>Almeda Rd_6301_Villas at Hermann Park_Houston_03438</t>
  </si>
  <si>
    <t>Bellfort W_2701_Lakes of 610_Houston_03441</t>
  </si>
  <si>
    <t>Loop W S_2400_Meadow Ridge_Houston_03442</t>
  </si>
  <si>
    <t>Ewing_1815_Ewing Apts, 1815_Houston_03444</t>
  </si>
  <si>
    <t>Hermann Dr_1701_Parklane_Houston_03445</t>
  </si>
  <si>
    <t>Hermann Dr_1615_The Plaza Museum District_Houston_03446</t>
  </si>
  <si>
    <t>Calumet_2608_Calumet Court_Houston_03447</t>
  </si>
  <si>
    <t>Charleston Park_16_Oaks of Charleston_Houston_03450</t>
  </si>
  <si>
    <t>Timberside Dr_9707_Loop Crossing_Houston_03452</t>
  </si>
  <si>
    <t>Riverside_5501_Riverside Terrace_Houston_03458</t>
  </si>
  <si>
    <t>Ardmore_5986_Ardmore_Houston_03467</t>
  </si>
  <si>
    <t>Bayou Bend_5800_Bayou Bend_Houston_03468</t>
  </si>
  <si>
    <t>Scott_5415_5415 Scott Apts_Houston_03477</t>
  </si>
  <si>
    <t>Southmore_3710_Southmore Place_Houston_03478</t>
  </si>
  <si>
    <t>Almeda_7200_Versailles Park_Houston_03479</t>
  </si>
  <si>
    <t>Staffordshire_7331_Parkwood_Houston_03480</t>
  </si>
  <si>
    <t>Almeda Rd_7009_AMLI at the Medical Center_Houston_03481</t>
  </si>
  <si>
    <t>MacGregor Way N_3101_Bayou Landing_Houston_03484</t>
  </si>
  <si>
    <t>MacGregor Way N_3533_North MacGregor Arms_Houston_03485</t>
  </si>
  <si>
    <t>La Salette_6115_San Jacinto Garden_Houston_03486</t>
  </si>
  <si>
    <t>Griggs Rd_4000_Spanish Village_Houston_03492</t>
  </si>
  <si>
    <t>Cambridge_7901_Park On Cambridge_Houston_03498</t>
  </si>
  <si>
    <t>Cambridge_8282_Harvest Hill_Houston_03499</t>
  </si>
  <si>
    <t>MacGregor Way N_4463_Beall Village_Houston_03501</t>
  </si>
  <si>
    <t>El Mundo_8300_El Mundo Park_Houston_03503</t>
  </si>
  <si>
    <t>El Mundo_8380_Parque Del Oro_Houston_03504</t>
  </si>
  <si>
    <t>Southmore_3711_Nubia Square_Houston_03506</t>
  </si>
  <si>
    <t>Almeda_7100_7100 Almeda_Houston_03507</t>
  </si>
  <si>
    <t>Holly Hall_2700_Plaza Del Oro_Houston_03510</t>
  </si>
  <si>
    <t>Corder_4002_Missionary Village_Houston_03511</t>
  </si>
  <si>
    <t>Southlawn St_3829_Southlawn Palms_Houston_03513</t>
  </si>
  <si>
    <t>Beatty_2510_St Johns_Houston_03515</t>
  </si>
  <si>
    <t>Calhoun_7402_Wesley Square_Houston_03516</t>
  </si>
  <si>
    <t>Edfield_4617_Mount Hebron Village_Houston_03517</t>
  </si>
  <si>
    <t>El Mundo_8181_San Marin_Houston_03519</t>
  </si>
  <si>
    <t>Yellowstone Blvd_3322_Park Yellowstone TH_Houston_03525</t>
  </si>
  <si>
    <t>Alice_3603_Alice Apts_Houston_03529</t>
  </si>
  <si>
    <t>Corder_4001_Zollie Scales Manor_Houston_03530</t>
  </si>
  <si>
    <t>Dismuke_1907_Dismuke Apts_Houston_03531</t>
  </si>
  <si>
    <t>Gulf Fwy_6113_Brookdale Village_Houston_03532</t>
  </si>
  <si>
    <t>Bellfort W_4362_4362 Bellfort_Houston_03534</t>
  </si>
  <si>
    <t>Sunflower_5050_Sunflower Terrace_Houston_03536</t>
  </si>
  <si>
    <t>Beatty_2520_Colony Manor_Houston_03540</t>
  </si>
  <si>
    <t>Beatty_2606_Victory_Houston_03541</t>
  </si>
  <si>
    <t>Beatty_2704_Gatehouse_Houston_03542</t>
  </si>
  <si>
    <t>Loop E S_6315_Sands_Houston_03545</t>
  </si>
  <si>
    <t>Lawndale Plaza_1500_Lawndale Village_Houston_03546</t>
  </si>
  <si>
    <t>Broad_2811_Oak Acres_Houston_03554</t>
  </si>
  <si>
    <t>Loop E S_6922_Gala Vista_Houston_03558</t>
  </si>
  <si>
    <t>Winkler_123_Winkler Villa_Houston_03559</t>
  </si>
  <si>
    <t>Weslow_3803_Weslow Manor_Houston_03563</t>
  </si>
  <si>
    <t>Schroeder_6030_Les Jardins Apts_Houston_03566</t>
  </si>
  <si>
    <t>Royal Palms_5601_Royal Palms East_Houston_03568</t>
  </si>
  <si>
    <t>Loop E S_6156_The Villas_Houston_03573</t>
  </si>
  <si>
    <t>Redwood_910_Redwood Gardens_Houston_03576</t>
  </si>
  <si>
    <t>Broadway_2911_Parkford_Houston_03579</t>
  </si>
  <si>
    <t>Broadway_3003_Concord Arms_Houston_03580</t>
  </si>
  <si>
    <t>Golfcrest Blvd_3037_Orleans East_Houston_03583</t>
  </si>
  <si>
    <t>Bellfort St_7035_Bellfort Plaza_Houston_03584</t>
  </si>
  <si>
    <t>Lawndale_7132_Encanto_Houston_03587</t>
  </si>
  <si>
    <t>Winkler Dr_166_Winkler Drive_Houston_03590</t>
  </si>
  <si>
    <t>Golfcrest_3003_Tel Wink_Houston_03593</t>
  </si>
  <si>
    <t>Golfcrest Blvd_3043_Golfcrest Gardens_Houston_03594</t>
  </si>
  <si>
    <t>Golfcrest_3045_Golfcrest_Houston_03595</t>
  </si>
  <si>
    <t>Hasbrook_3034_Nine Oaks_Houston_03597</t>
  </si>
  <si>
    <t>Plum Creek_2926_Patrician_Houston_03598</t>
  </si>
  <si>
    <t>Winkler_8425_Cobblestone_Houston_03602</t>
  </si>
  <si>
    <t>Broadway_2724_Las Villas_Houston_03604</t>
  </si>
  <si>
    <t>Broadway_2505_Broadway Park_Houston_03605</t>
  </si>
  <si>
    <t>Evergreen_3499_Evergreen_Houston_03610</t>
  </si>
  <si>
    <t>Southway_7315_Southway Manor_Houston_03618</t>
  </si>
  <si>
    <t>Hogue_6524_The Hogue Apts_Houston_03622</t>
  </si>
  <si>
    <t>Office City Dr_7575_Willow Creek_Houston_03623</t>
  </si>
  <si>
    <t>Patricia Manor_2522_Patricia Manor_Houston_03624</t>
  </si>
  <si>
    <t>Park Place_7525_Villa Paree_Houston_03626</t>
  </si>
  <si>
    <t>Leonora_8101_Dylans Crossing Condos_Houston_03628</t>
  </si>
  <si>
    <t>Telephone_6000_Telephone Road_Houston_03629</t>
  </si>
  <si>
    <t>Broadway_3109_Boulevard_Houston_03631</t>
  </si>
  <si>
    <t>Broadway_3215_Findlay House_Houston_03632</t>
  </si>
  <si>
    <t>Dover_3402_White Cliff_Houston_03634</t>
  </si>
  <si>
    <t>Park Place_8447_Acre Villa_Houston_03640</t>
  </si>
  <si>
    <t>Easton_8001_Easton_Houston_03645</t>
  </si>
  <si>
    <t>Gulf Fwy_8308_Las Palmas_Houston_03654</t>
  </si>
  <si>
    <t>Stone_8100_Bellfort II Apts_Houston_03656</t>
  </si>
  <si>
    <t>Old Galveston Rd_4011_Houston Park Place Gardens_Houston_03661</t>
  </si>
  <si>
    <t>Bellfort_7606_Bellfort East_Houston_03663</t>
  </si>
  <si>
    <t>Leonora_7901_Glenbrook East_Houston_03664</t>
  </si>
  <si>
    <t>Park Place_8407_Park Place Arms_Houston_03665</t>
  </si>
  <si>
    <t>Park Place_8345_Colonial Apts_Houston_03669</t>
  </si>
  <si>
    <t>Park Place_8360_Park De Ville_Houston_03670</t>
  </si>
  <si>
    <t>Glenview_7611_Leonora Square_Houston_03671</t>
  </si>
  <si>
    <t>Broadway_8400_Woodlen Place_Houston_03677</t>
  </si>
  <si>
    <t>Broadway_8405_Woodlen Glen_Houston_03678</t>
  </si>
  <si>
    <t>Broadway_8500_Pebble Walk_Houston_03679</t>
  </si>
  <si>
    <t>Allendale_4910_Willow Tree_Houston_03680</t>
  </si>
  <si>
    <t>Silver Creek_5160_Silver Club_Houston_03682</t>
  </si>
  <si>
    <t>Bellfort_7711_Lennox Apts_Houston_03684</t>
  </si>
  <si>
    <t>Bellfort_7950_Bellfort I &amp; II_Houston_03685</t>
  </si>
  <si>
    <t>Stone_8271_Bellestone Villas_Houston_03686</t>
  </si>
  <si>
    <t>Stone_8404_Stone Manor_Houston_03687</t>
  </si>
  <si>
    <t>Weir Dr_8010_Glenbrook Villa_Houston_03688</t>
  </si>
  <si>
    <t>Dover_4137_Dover Place_Houston_03689</t>
  </si>
  <si>
    <t>Broadway_4114_Broadway_Houston_03693</t>
  </si>
  <si>
    <t>Broadway_4015_Le Montreal_Houston_03694</t>
  </si>
  <si>
    <t>Broadway St_8700_Broadway Square-Section 4-I_Houston_03695</t>
  </si>
  <si>
    <t>Broadway St_8955_Broadway Square-Section 1-IV_Houston_03696</t>
  </si>
  <si>
    <t>Grahamcrest Dr_7615_Grahamcrest Apts_Houston_03699</t>
  </si>
  <si>
    <t>Allendale_6005_Allendale Village_Houston_03700</t>
  </si>
  <si>
    <t>Scarborough Ln_1710_Scarborough Lane_Pasadena_03702</t>
  </si>
  <si>
    <t>Winkler_8311_Glenview_Houston_03703</t>
  </si>
  <si>
    <t>Winkler Dr_8535_Winkler-Belvedere_Houston_03704</t>
  </si>
  <si>
    <t>Winkler Dr_8541_The East Hampton_Houston_03705</t>
  </si>
  <si>
    <t>Halkies S_301_Gemini Gardens_Houston_03710</t>
  </si>
  <si>
    <t>Telephone Rd_6727_Sage Meadows_Houston_03714</t>
  </si>
  <si>
    <t>Winkler Dr_8601_Meadowbrook Manor_Houston_03716</t>
  </si>
  <si>
    <t>Allendale_4801_Oakshadows Retirement Community_Houston_03717</t>
  </si>
  <si>
    <t>Main St S_910_Ken Mar_Pasadena_03718</t>
  </si>
  <si>
    <t>Main St S_1004_Main Village_Pasadena_03719</t>
  </si>
  <si>
    <t>Richey S_519_Bryton Hill Manor_Pasadena_03720</t>
  </si>
  <si>
    <t>Garner_402_Courtyard Apts_Pasadena_03722</t>
  </si>
  <si>
    <t>Garner_403_Garner Villa_Pasadena_03723</t>
  </si>
  <si>
    <t>Broadway_8501_Crescent City_Houston_03724</t>
  </si>
  <si>
    <t>Broadway St_8750_Broadway Square-Section 4-II_Houston_03725</t>
  </si>
  <si>
    <t>Richey S_621_The Columns_Pasadena_03726</t>
  </si>
  <si>
    <t>Richey St S_1009_Raintree_Pasadena_03727</t>
  </si>
  <si>
    <t>Shaver S_812_Old South_Pasadena_03728</t>
  </si>
  <si>
    <t>Richey S_315_Compton Court_Pasadena_03729</t>
  </si>
  <si>
    <t>Jackson E_1010_Cedar Bayou_Pasadena_03733</t>
  </si>
  <si>
    <t>Red Bluff_1120_First Line_Pasadena_03734</t>
  </si>
  <si>
    <t>Morley St_7900_Broadway Square-Section 2-I_Houston_03735</t>
  </si>
  <si>
    <t>Gulf Fwy_8800_Skylane South_Houston_03736</t>
  </si>
  <si>
    <t>Charles S_612_Cedar Creek_Pasadena_03740</t>
  </si>
  <si>
    <t>Shaver S_2135_Rozewood Apts_Pasadena_03741</t>
  </si>
  <si>
    <t>Dumont_1103-1109_Dumont Palace Apts_South Houston_03742</t>
  </si>
  <si>
    <t>Perez_2701_Garden Villa_Pasadena_03746</t>
  </si>
  <si>
    <t>Houston Ave E_920_Emerald Pointe_Pasadena_03747</t>
  </si>
  <si>
    <t>Pasadena Blvd_1706_Villas of Pasadena_Pasadena_03748</t>
  </si>
  <si>
    <t>Ave H_1408_Ashton Place II_South Houston_03750</t>
  </si>
  <si>
    <t>Ave A_1301_Granada Terrace_South Houston_03751</t>
  </si>
  <si>
    <t>Federal_3200_Spencer Square_Pasadena_03752</t>
  </si>
  <si>
    <t>Lafferty_2730_Gardenview_Pasadena_03753</t>
  </si>
  <si>
    <t>Lafferty_3030_Bayou Oaks_Pasadena_03754</t>
  </si>
  <si>
    <t>Allen Genoa S_2525_Queens Lane_Pasadena_03755</t>
  </si>
  <si>
    <t>Queens Rd_1111_The Crossing at Allen Square_Pasadena_03757</t>
  </si>
  <si>
    <t>Austin E_910_Lotus Square_Pasadena_03758</t>
  </si>
  <si>
    <t>Curtis E_1000_Arbors at Town Square_Pasadena_03759</t>
  </si>
  <si>
    <t>Preston Rd_701_Vista Del Sol_Pasadena_03764</t>
  </si>
  <si>
    <t>Birnham Woods Blvd_909_Birnham Woods_Pasadena_03765</t>
  </si>
  <si>
    <t>Strawberry_1500_Strawberry Hill_Pasadena_03766</t>
  </si>
  <si>
    <t>Burke_1111_Oak Pointe_Pasadena_03768</t>
  </si>
  <si>
    <t>Cherrybrook_2320_Cherrybrook Place_Pasadena_03770</t>
  </si>
  <si>
    <t>Spencer Hwy_3101_Parkside Place_Pasadena_03771</t>
  </si>
  <si>
    <t>Westside_2802_Tammerlane_Pasadena_03772</t>
  </si>
  <si>
    <t>Burke_1100_Empire Village_Pasadena_03773</t>
  </si>
  <si>
    <t>Beltway 8 E_502_Greentree_Pasadena_03774</t>
  </si>
  <si>
    <t>Sam Houston Pkwy S E_1111_La Paloma Village_Pasadena_03775</t>
  </si>
  <si>
    <t>Red Bluff_2300_Quarters on Red Bluff_Pasadena_03776</t>
  </si>
  <si>
    <t>Preston Ave_622_Trinity Courtyards_Pasadena_03777</t>
  </si>
  <si>
    <t>Burke_1141_Burke Square_Pasadena_03779</t>
  </si>
  <si>
    <t>Burke_2001_Maple Trail Apts &amp; TH_Pasadena_03780</t>
  </si>
  <si>
    <t>Southmore Ave_1911_Eden Rock_Pasadena_03781</t>
  </si>
  <si>
    <t>Pasadena Blvd_2701_Jasmine Park_Houston_03782</t>
  </si>
  <si>
    <t>Sam Houston Pkwy S E_1516_San Augustine_Pasadena_03787</t>
  </si>
  <si>
    <t>Pasadena Blvd_3120_Oakwood Village_Pasadena_03788</t>
  </si>
  <si>
    <t>Pasadena Blvd_3222_Twin Oaks_Pasadena_03789</t>
  </si>
  <si>
    <t>Burke_2323_Parkview Village_Pasadena_03790</t>
  </si>
  <si>
    <t>Burke_2402_Alpine Village_Pasadena_03791</t>
  </si>
  <si>
    <t>Strawberry_2120_Embers_Pasadena_03792</t>
  </si>
  <si>
    <t>Southmore E_2401_Southmore Park_Pasadena_03793</t>
  </si>
  <si>
    <t>Southmore E_2650_Southmore TH_Pasadena_03794</t>
  </si>
  <si>
    <t>Red Bluff_3201_Fieldstone_Pasadena_03797</t>
  </si>
  <si>
    <t>Red Bluff Rd_3500_Casa Palmas_Pasadena_03798</t>
  </si>
  <si>
    <t>Lyric Ln_1202_San Augustine TH Apts_Pasadena_03800</t>
  </si>
  <si>
    <t>Red Bluff Rd_3823_Red Pines AH_Pasadena_03801</t>
  </si>
  <si>
    <t>Jenkins_2001_Pecan Place_Pasadena_03802</t>
  </si>
  <si>
    <t>Jenkins_2008_Britany Village_Pasadena_03803</t>
  </si>
  <si>
    <t>Harris E_2216_Copper Ridge_Pasadena_03804</t>
  </si>
  <si>
    <t>Jenkins_1705_Victoria Village_Pasadena_03805</t>
  </si>
  <si>
    <t>Jenkins_1744_The Crossings at Sun Meadow_Pasadena_03806</t>
  </si>
  <si>
    <t>Airport Blvd W_8300_The Crossings at Bradford Place II_Houston_03807</t>
  </si>
  <si>
    <t>Sunset Meadow Ln_12247_Sunswept TH Apts_Houston_03809</t>
  </si>
  <si>
    <t>Pasadena Blvd W_401_Alexan Deer Park_Deer Park_03810</t>
  </si>
  <si>
    <t>Pasadena Blvd W_500_Parktown Townhouses II_Deer Park_03811</t>
  </si>
  <si>
    <t>Spencer Hwy_6411_Brandywood II_Pasadena_03812</t>
  </si>
  <si>
    <t>Airport Blvd W_6255_Village of Fondren_Houston_03813</t>
  </si>
  <si>
    <t>Bellfort W_6200_Bel Lindo_Houston_03814</t>
  </si>
  <si>
    <t>Bellfort W_6101-6201_Oakwood Villa_Houston_03815</t>
  </si>
  <si>
    <t>2nd N_315_Sylvan Beach_La Porte_03816</t>
  </si>
  <si>
    <t>Stacey Ln_18_Roseland Manor_Baytown_03817</t>
  </si>
  <si>
    <t>Fondren Rd_12265_Brookbend_Houston_03818</t>
  </si>
  <si>
    <t>Ludington_6655_The Ludington_Houston_03819</t>
  </si>
  <si>
    <t>Burke_3224_Bayshore Park_Pasadena_03821</t>
  </si>
  <si>
    <t>Strawberry_3002_Belle Chase_Pasadena_03822</t>
  </si>
  <si>
    <t>Sycamore Ave_4802-4812_Sycamore Gardens_Pasadena_03825</t>
  </si>
  <si>
    <t>Burke_3219_Bayshore Towers_Pasadena_03829</t>
  </si>
  <si>
    <t>Spencer Hwy_6411_Brandywood I_Pasadena_03833</t>
  </si>
  <si>
    <t>Carrie Ln W_7329_Deer Park Gardens_Deer Park_03834</t>
  </si>
  <si>
    <t>Dutch #5_1238_Village of Deer Park_Deer Park_03835</t>
  </si>
  <si>
    <t>X St E_223_New Castle Town Plaza_Deer Park_03838</t>
  </si>
  <si>
    <t>Pasadena Blvd W_500_Parktown Townhouses I_Deer Park_03839</t>
  </si>
  <si>
    <t>McDermott_401_Deerglen_Deer Park_03840</t>
  </si>
  <si>
    <t>San Augustine Ave E_335_Deerwood at the Park_Deer Park_03841</t>
  </si>
  <si>
    <t>Spencer Hwy_7878_London Belle_Pasadena_03843</t>
  </si>
  <si>
    <t>Spencer Hwy_8015_Savannah Oaks_Deer Park_03844</t>
  </si>
  <si>
    <t>Spencer Hwy_9999_Harbour Bay_La Porte_03845</t>
  </si>
  <si>
    <t>Missouri_1200_Marina Club at Baytown_Baytown_03846</t>
  </si>
  <si>
    <t>Spencer Hwy_6565_Cinnamon Ridge_Pasadena_03847</t>
  </si>
  <si>
    <t>Spencer Hwy_7201_Deer Park Village_Pasadena_03848</t>
  </si>
  <si>
    <t>Airport W_7700_Airport Gardens_Houston_03851</t>
  </si>
  <si>
    <t>Airport Blvd W_7800_Amritta_Houston_03852</t>
  </si>
  <si>
    <t>Bellfort St W_6300_Bennington Square_Houston_03854</t>
  </si>
  <si>
    <t>Bellfort W_6301_San Marcos_Houston_03855</t>
  </si>
  <si>
    <t>Tri City Beach Rd_301_Forest View Apts_Baytown_03856</t>
  </si>
  <si>
    <t>James E_1300_Baywood_Baytown_03857</t>
  </si>
  <si>
    <t>James St E_2500_The Place at 2500 James_Baytown_03858</t>
  </si>
  <si>
    <t>Bellfort W_10200_Southwest Terrace_Houston_03859</t>
  </si>
  <si>
    <t>Keegans Ridge Rd_11500_Keegan's Mill_Houston_03860</t>
  </si>
  <si>
    <t>Bellfort St W_8201_Brays Oaks Village_Houston_03861</t>
  </si>
  <si>
    <t>Westplace Dr_8800_Chelsea Town Condos_Houston_03862</t>
  </si>
  <si>
    <t>Bellfort W_6400_Brays Oaks Park Apts_Houston_03863</t>
  </si>
  <si>
    <t>Bellfort W_6405_Bellfort Village_Houston_03864</t>
  </si>
  <si>
    <t>Chimney Rock Rd_11810_Spring Village_Houston_03866</t>
  </si>
  <si>
    <t>Ludington #3_6298_Arbor Village TH_Houston_03868</t>
  </si>
  <si>
    <t>Fondren Rd_11315_Los Arcos_Houston_03870</t>
  </si>
  <si>
    <t>Fonmeadow_14550_Camden Court_Pasadena_03871</t>
  </si>
  <si>
    <t>Fonmeadow Dr_14600_Remington Place Condo Apts_Houston_03872</t>
  </si>
  <si>
    <t>Wilmington_4000_Wilmington House Apts_Houston_03874</t>
  </si>
  <si>
    <t>Scott St_10200_Simmons Gardens_Houston_03875</t>
  </si>
  <si>
    <t>Cullen Blvd_10012_Anna Dupree Terrace_Houston_03876</t>
  </si>
  <si>
    <t>Post Oak S_11211_Post Oak Manor_Houston_03878</t>
  </si>
  <si>
    <t>Burdine St_12111_Westbury Park_Houston_03879</t>
  </si>
  <si>
    <t>Airport Blvd W_6363_The Reserve at 63 Sixty Three_Houston_03880</t>
  </si>
  <si>
    <t>Bob White Dr_12345_Rainy Meadows_Houston_03882</t>
  </si>
  <si>
    <t>Selinsky Rd_5602_Crestmont West_Houston_03883</t>
  </si>
  <si>
    <t>Selinsky Rd_5638_Crestmont Village_Houston_03884</t>
  </si>
  <si>
    <t>Dunlap St_12500_Pines of Westbury_Houston_03887</t>
  </si>
  <si>
    <t>Fondren Rd_12261_Casa Miranda_Houston_03889</t>
  </si>
  <si>
    <t>Bellfort W_5438_5438 Bellfort West_Houston_03890</t>
  </si>
  <si>
    <t>Fondren Rd_12101_Ludren Park_Houston_03892</t>
  </si>
  <si>
    <t>Fondren Rd_12211_Airport Landing_Houston_03893</t>
  </si>
  <si>
    <t>Gasmer Dr_5525_La Peak_Houston_03894</t>
  </si>
  <si>
    <t>Gasmer Dr_5555_Las Villas del Parque_Houston_03895</t>
  </si>
  <si>
    <t>Gasmer_5565_Westbury Manor_Houston_03900</t>
  </si>
  <si>
    <t>Gasmer Dr_5570_Piccadilly Place_Houston_03902</t>
  </si>
  <si>
    <t>Bellfort W_5448_Westbury Square_Houston_03903</t>
  </si>
  <si>
    <t>Willow Dr S_5022_Silver Springs_Houston_03904</t>
  </si>
  <si>
    <t>Willow S_5151_Villa Rosa_Houston_03905</t>
  </si>
  <si>
    <t>Phlox St_4203_4203 Phlox_Houston_03906</t>
  </si>
  <si>
    <t>Scott St_9425_Riverbrook_Houston_03907</t>
  </si>
  <si>
    <t>Scott St_9703_Scott Plaza_Houston_03908</t>
  </si>
  <si>
    <t>Post Oak Rd S_12945_Cambridge Village_Houston_03909</t>
  </si>
  <si>
    <t>Airport W_4400_Palomino Place_Houston_03912</t>
  </si>
  <si>
    <t>Fuqua St W_3815_St. James Village_Houston_03915</t>
  </si>
  <si>
    <t>College_1717_Tara Hall_Houston_03917</t>
  </si>
  <si>
    <t>Easthaven_7800_South Houston Vista_Houston_03918</t>
  </si>
  <si>
    <t>Tallyho Rd_9313_Villa del Prado_Houston_03919</t>
  </si>
  <si>
    <t>Glencrest St_8950_Broadway Square-Section 1-II_Houston_03921</t>
  </si>
  <si>
    <t>Selinsky Rd_5901_Villa Americana_Houston_03924</t>
  </si>
  <si>
    <t>Glencrest St_8801_Broadway Square-Section 2-II_Houston_03925</t>
  </si>
  <si>
    <t>Broadway St_8800_Savannah_Houston_03926</t>
  </si>
  <si>
    <t>Nathaniel_9220_Indigo Falls Apts I_Houston_03927</t>
  </si>
  <si>
    <t>Nathaniel_9220_Indigo Falls Apts II_Houston_03928</t>
  </si>
  <si>
    <t>Gulf Fwy_10809-10909_Del Mar_Houston_03929</t>
  </si>
  <si>
    <t>Nathaniel_9220_Indigo Falls Apts III_Houston_03930</t>
  </si>
  <si>
    <t>Martin Luther King_11911_Park Texas_Houston_03931</t>
  </si>
  <si>
    <t>Martin Luther King_12000_Park Houston_Houston_03932</t>
  </si>
  <si>
    <t>Selinsky_5900_Crystal Springs_Houston_03934</t>
  </si>
  <si>
    <t>Broadway St_8751_Broadway Square-Section 3-II_Houston_03938</t>
  </si>
  <si>
    <t>Glencrest St_8900_Broadway Square-Section 1-I_Houston_03939</t>
  </si>
  <si>
    <t>Telephone Rd_10201_Quail Meadows_Houston_03941</t>
  </si>
  <si>
    <t>Shaver S_3402_Sierra Wald_South Houston_03942</t>
  </si>
  <si>
    <t>Shaver S_3600_The Crossing_South Houston_03943</t>
  </si>
  <si>
    <t>Telephone Rd_10901_Parkview Village_Houston_03947</t>
  </si>
  <si>
    <t>Allen Genoa S_801_Alegra Palms_South Houston_03949</t>
  </si>
  <si>
    <t>Allen Genoa_1000_Allen Arms I_South Houston_03950</t>
  </si>
  <si>
    <t>Ave M_1600_Allen Arms II_South Houston_03951</t>
  </si>
  <si>
    <t>Ave N_1606_Savannah_South Houston_03952</t>
  </si>
  <si>
    <t>Redford Rd_1221_The Bristol_Houston_03953</t>
  </si>
  <si>
    <t>Redford St_9406_Redford Square_Houston_03954</t>
  </si>
  <si>
    <t>Broadway St_8915_Broadway Square-Section 1-III_Houston_03955</t>
  </si>
  <si>
    <t>Shaver S_3635_West Point Village_Pasadena_03957</t>
  </si>
  <si>
    <t>Shaver St S_4300_La Villita_Houston_03959</t>
  </si>
  <si>
    <t>Shaver S_4343_Park Hollow_Pasadena_03960</t>
  </si>
  <si>
    <t>Vista_201_Park On Vista_Pasadena_03961</t>
  </si>
  <si>
    <t>Edgebrook Dr E_77_Flagstone Gardens_Houston_03962</t>
  </si>
  <si>
    <t>Edgebrook E_116_Arlington Place_Houston_03963</t>
  </si>
  <si>
    <t>Shaver S_4101_The Pointe_Pasadena_03965</t>
  </si>
  <si>
    <t>Edgebrook Dr E_101_Edgebrook I_Houston_03966</t>
  </si>
  <si>
    <t>Arlington Sq_3927_The Commons on Edgebrook_Houston_03968</t>
  </si>
  <si>
    <t>Arlington Sq_3925_Quay Point_Houston_03969</t>
  </si>
  <si>
    <t>Burke Rd_3520_Ashwood Park_Pasadena_03970</t>
  </si>
  <si>
    <t>Burke_3602_The Crossing at Burke Regency_Pasadena_03971</t>
  </si>
  <si>
    <t>Vista_4100_Oak Run Manor_Pasadena_03972</t>
  </si>
  <si>
    <t>Vista Rd_4205_Vista Hollow_Pasadena_03973</t>
  </si>
  <si>
    <t>Kingspoint Rd_10802_Almeda Chateau_Houston_03974</t>
  </si>
  <si>
    <t>Fuqua_11700_Eagles Landing_Houston_03975</t>
  </si>
  <si>
    <t>Green Dr S_12510_Fairfield Creek_Houston_03976</t>
  </si>
  <si>
    <t>Windmill Lakes Blvd_10280_Point at Windmill Lakes_Houston_03977</t>
  </si>
  <si>
    <t>Windwater Dr_9750_The Breakers at Windmill Lakes_Houston_03978</t>
  </si>
  <si>
    <t>Windwater Dr_9757_Windwater at Windmill Lakes_Houston_03979</t>
  </si>
  <si>
    <t>Hollock_9800_The Lakes_Houston_03981</t>
  </si>
  <si>
    <t>Theta_8600_The Berkshire_Houston_03982</t>
  </si>
  <si>
    <t>Fuqua_10700_Sage Hollow_Houston_03984</t>
  </si>
  <si>
    <t>Sabo Rd_10601_Green Arbor_Houston_03985</t>
  </si>
  <si>
    <t>Burke Rd_3650_Parc Bay_Pasadena_03986</t>
  </si>
  <si>
    <t>Federal Rd_3420_Alta Vista TH_Pasadena_03987</t>
  </si>
  <si>
    <t>Sabo Rd_10701_Sabo Village_Houston_03988</t>
  </si>
  <si>
    <t>Roydon Dr_12801_Southpoint_Houston_03989</t>
  </si>
  <si>
    <t>Windmill Lakes_9988_La Jolla on the Lake_Houston_03991</t>
  </si>
  <si>
    <t>Windmill Lakes_10121_Windmill Landing_Houston_03992</t>
  </si>
  <si>
    <t>Fairmont Pkwy_4201_Sandstone_Pasadena_03993</t>
  </si>
  <si>
    <t>Preston St_3402_Willow Springs_Pasadena_03994</t>
  </si>
  <si>
    <t>Young_4102_Bayou Willows_Pasadena_03995</t>
  </si>
  <si>
    <t>Burke_4747_Park on Burke_Pasadena_03996</t>
  </si>
  <si>
    <t>Fairmont Pkwy_6060_The Park at Fairmont_Pasadena_03997</t>
  </si>
  <si>
    <t>Broadway S_3101_Rush Oaks_La Porte_03998</t>
  </si>
  <si>
    <t>Falk_3001_Township Apts_La Porte_03999</t>
  </si>
  <si>
    <t>Broadway S_3003_Bayside Oaks_La Porte_04001</t>
  </si>
  <si>
    <t>Luella_3331_The Plaza at San Jacinto Park_La Porte_04003</t>
  </si>
  <si>
    <t>6th St S_1026_Village by the Bay_La Porte_04005</t>
  </si>
  <si>
    <t>Pineloch_695_Green Oaks I_Webster_04006</t>
  </si>
  <si>
    <t>El Dorado_240_El Dorado View_Webster_04007</t>
  </si>
  <si>
    <t>Burke Rd_4025-4029_Sandridge_Pasadena_04010</t>
  </si>
  <si>
    <t>Beamer_10925_Altmonte_Houston_04011</t>
  </si>
  <si>
    <t>Beamer_11150_Beamer Place_Houston_04012</t>
  </si>
  <si>
    <t>Beamer Rd_11717_Clear Creek Landing_Houston_04013</t>
  </si>
  <si>
    <t>Algonquin_11710_Scarsdale Park II_Houston_04014</t>
  </si>
  <si>
    <t>Algonquin_11810_Scarsdale Park I_Houston_04015</t>
  </si>
  <si>
    <t>Resource Pkwy_11207-11211_Oak Haven Retirement Community_Houston_04016</t>
  </si>
  <si>
    <t>Young St_4210_Fairmont Oaks_Pasadena_04017</t>
  </si>
  <si>
    <t>Broadway S_3141_Windsail Bay II_La Porte_04020</t>
  </si>
  <si>
    <t>Fairmont Pkwy E_222_Tammie Jay_La Porte_04021</t>
  </si>
  <si>
    <t>146 Hwy_3030_Bayou Villa_La Porte_04022</t>
  </si>
  <si>
    <t>Galveston Rd (Hwy 3)_15240_Clear Lake Falls Townhome Condos_Webster_04024</t>
  </si>
  <si>
    <t>Red Bluff Rd_5930_Cedar Bluff_Pasadena_04026</t>
  </si>
  <si>
    <t>Luella Blvd_3333_College View_La Porte_04027</t>
  </si>
  <si>
    <t>Gemini Ave_1300_The Palms at Clear Lake_Houston_04028</t>
  </si>
  <si>
    <t>Bay Area Blvd_2000_The Cove_Houston_04029</t>
  </si>
  <si>
    <t>R St S_777_Vista Baywood_La Porte_04032</t>
  </si>
  <si>
    <t>1959 FM_725_Summer Cove_Houston_04033</t>
  </si>
  <si>
    <t>Gulf Fwy_15603_Coopers Mill_Webster_04034</t>
  </si>
  <si>
    <t>Highland Meadows Village_10903_Cimarron Landing_Houston_04036</t>
  </si>
  <si>
    <t>Beamer_12353_Park Center_Houston_04037</t>
  </si>
  <si>
    <t>1959 FM_950_Windjammer_Houston_04038</t>
  </si>
  <si>
    <t>Cyberonics Blvd_300_Armand Place_Houston_04040</t>
  </si>
  <si>
    <t>El Dorado Blvd_503_Lakeshire Place_Webster_04041</t>
  </si>
  <si>
    <t>El Dorado Blvd_450_The Huntley_Webster_04042</t>
  </si>
  <si>
    <t>2351 FM_4949_Bridgestone_Friendswood_04043</t>
  </si>
  <si>
    <t>Bay Area Blvd_4300_The Park at Armand Bayou II_Houston_04044</t>
  </si>
  <si>
    <t>Buccaneer_16301_Quail Walk_Houston_04045</t>
  </si>
  <si>
    <t>Bay Area Blvd_1500_Taylorcrest Condos_Houston_04046</t>
  </si>
  <si>
    <t>Buccaneer_16203_The Presidio at Clear Lake_Houston_04047</t>
  </si>
  <si>
    <t>El Camino Real_16202_The Hamptons_Houston_04048</t>
  </si>
  <si>
    <t>Watkins Way_5000_The Enclave at Quail Crossing II_Friendswood_04049</t>
  </si>
  <si>
    <t>Glenwest Dr_19100_The Lodge at Baybrook_Friendswood_04050</t>
  </si>
  <si>
    <t>Bay Area Blvd W_2323_Crystal Bay_Webster_04051</t>
  </si>
  <si>
    <t>3 Hwy_15902_The Bradford I_Webster_04052</t>
  </si>
  <si>
    <t>El Dorado_270_Piper's Cove_Webster_04055</t>
  </si>
  <si>
    <t>2351 FM_5025_Baywood_Friendswood_04056</t>
  </si>
  <si>
    <t>Watkins Way_5000_The Enclave at Quail Crossing I_Friendswood_04057</t>
  </si>
  <si>
    <t>Nasa Rd 1 W_800_Baystone_Webster_04058</t>
  </si>
  <si>
    <t>Nasa Rd 1 E_801_The Falls at Clearlake_Webster_04059</t>
  </si>
  <si>
    <t>Bay Area Blvd_2305_Retreat Of Clear Lake_Houston_04060</t>
  </si>
  <si>
    <t>Space Center_15900_Newport at Clearlake_Houston_04061</t>
  </si>
  <si>
    <t>Medical Center Blvd_444_The Preserve_Webster_04062</t>
  </si>
  <si>
    <t>Nasa Rd 1_535_Solano_Webster_04063</t>
  </si>
  <si>
    <t>El Camino_16457_Bay Place_Houston_04065</t>
  </si>
  <si>
    <t>Nassau Bay_18100_Colony Oaks By the Bay_Houston_04068</t>
  </si>
  <si>
    <t>Space Center Blvd_16100_Wolf Creek_Houston_04069</t>
  </si>
  <si>
    <t>Space Center Blvd_19200_Village on the Lake_Houston_04070</t>
  </si>
  <si>
    <t>Tiffany Ct_16505_Tiffany Bay_Houston_04071</t>
  </si>
  <si>
    <t>Bay Area Blvd_1620_University Green_Houston_04072</t>
  </si>
  <si>
    <t>3 Hwy_16460_Chatham Village_Webster_04073</t>
  </si>
  <si>
    <t>El Dorado Blvd_707_Las Brisas_Houston_04074</t>
  </si>
  <si>
    <t>3 Hwy_15902_The Bradford II_Webster_04075</t>
  </si>
  <si>
    <t>Nasa Rd 1_3410_Casa Bonita_Seabrook_04077</t>
  </si>
  <si>
    <t>Nasa Rd 1_3520_Bay Park_Seabrook_04078</t>
  </si>
  <si>
    <t>El Camino Real_17700_Harbortree_Houston_04079</t>
  </si>
  <si>
    <t>El Camino Village Dr_1110_Skylar Pointe I_Houston_04080</t>
  </si>
  <si>
    <t>Nasa Pkwy_1315_The Regatta I, II &amp; III_Houston_04082</t>
  </si>
  <si>
    <t>Egret Bay Blvd_18707_Towers at Clear Lake North_Houston_04083</t>
  </si>
  <si>
    <t>Bay Area Blvd_1239_Clear Lake Village_Houston_04084</t>
  </si>
  <si>
    <t>Bay Area Blvd_1243_Clear Lake Village South_Houston_04085</t>
  </si>
  <si>
    <t>Austin S_506_Capital Estates_Webster_04086</t>
  </si>
  <si>
    <t>Cole St W_202_Space Colony_Webster_04088</t>
  </si>
  <si>
    <t>Nasa Rd 1_4101_Harbor Pointe_Seabrook_04090</t>
  </si>
  <si>
    <t>El Camino Village Dr_1210_Skylar Pointe II_Houston_04092</t>
  </si>
  <si>
    <t>El Camino Village_1400_Las Palmas_Houston_04093</t>
  </si>
  <si>
    <t>Upper Bay Rd_18290_Nassau Bay Village_Houston_04094</t>
  </si>
  <si>
    <t>San Sebastian_2041_Bay House_Houston_04096</t>
  </si>
  <si>
    <t>Repsdorph N_2401_Vista Shores_Seabrook_04097</t>
  </si>
  <si>
    <t>Egret Bay Blvd_18711_Towers at Clear Lake South Condos_Houston_04098</t>
  </si>
  <si>
    <t>Henderson_900_Hidden Lake_Houston_04100</t>
  </si>
  <si>
    <t>Ave J N_850_Villa Brazos_Freeport_04101</t>
  </si>
  <si>
    <t>Ave J N_902_Azalea Court_Freeport_04102</t>
  </si>
  <si>
    <t>Barry Rose Rd_2525_The Remington_Pearland_04103</t>
  </si>
  <si>
    <t>Bay Area Blvd_4300_The Park at Armand Bayou I_Houston_04104</t>
  </si>
  <si>
    <t>Nasa Rd 1_4601_Encore on the Bay_Seabrook_04105</t>
  </si>
  <si>
    <t>Nasa Rd 1_3802_Emerald Shores_Seabrook_04106</t>
  </si>
  <si>
    <t>Repsdorph N_2601_Bar Harbor_Seabrook_04107</t>
  </si>
  <si>
    <t>El Mar_1876_Jo Anne's Cottages_Seabrook_04108</t>
  </si>
  <si>
    <t>Nasa Rd 1_2727_Pirates Landing_Seabrook_04109</t>
  </si>
  <si>
    <t>Nasa Rd 1_2800_Seatree_Seabrook_04110</t>
  </si>
  <si>
    <t>Nasa Rd 1_3010_Edgelake_Seabrook_04111</t>
  </si>
  <si>
    <t>San Sebastian_2002_Balboa_Houston_04113</t>
  </si>
  <si>
    <t>Surf Ct_130_Nassau Bay Villa_Houston_04114</t>
  </si>
  <si>
    <t>El Mar Ln_1707_Miramar II Apts_Seabrook_04115</t>
  </si>
  <si>
    <t>Meyer N_2311_Miramar_Seabrook_04116</t>
  </si>
  <si>
    <t>Lakeside Dr_1901_La Maison at Lake Cove_Seabrook_04117</t>
  </si>
  <si>
    <t>Alexander Ln_2502_Strawbridge_Pearland_04119</t>
  </si>
  <si>
    <t>Ashley Wilson Rd W_1000_Oak Bend Estates_Sweeny_04120</t>
  </si>
  <si>
    <t>Bay Area Blvd W_2702_Baybrook Village III_Webster_04121</t>
  </si>
  <si>
    <t>Bay Area Blvd W_2702_Baybrook Village II_Webster_04122</t>
  </si>
  <si>
    <t>Blackhawk Blvd_17231_Skyhawk_Friendswood_04123</t>
  </si>
  <si>
    <t>Dixie Dr_201_Royal Wildewood Manor_Clute_04125</t>
  </si>
  <si>
    <t>Fairway_2301_Fairway Square_Alvin_04126</t>
  </si>
  <si>
    <t>Fairway S_2500_Hillcrest Village_Alvin_04127</t>
  </si>
  <si>
    <t>Gordon S_916_Alvin Memorial Gardens_Alvin_04128</t>
  </si>
  <si>
    <t>Hackberry Dr_101_Vanderbilt_Clute_04130</t>
  </si>
  <si>
    <t>Broadway E_3512_Silver Maples_Pearland_04131</t>
  </si>
  <si>
    <t>Buchta Rd_1100_Angleton Manor_Angleton_04132</t>
  </si>
  <si>
    <t>Buchta Rd_1300_The Albion_Angleton_04133</t>
  </si>
  <si>
    <t>2nd St S_410_Meadow Crossing_Alvin_04136</t>
  </si>
  <si>
    <t>Blackhawk_17201_Bay Meadows_Friendswood_04139</t>
  </si>
  <si>
    <t>Mustang Rd_2800_Meadow Park_Alvin_04140</t>
  </si>
  <si>
    <t>Mustang S_3833_Willow Creek Manor_Alvin_04142</t>
  </si>
  <si>
    <t>Brazosport Blvd S_401_Kings Road Apts_Freeport_04143</t>
  </si>
  <si>
    <t>Brazoswood_200_Fisherman's Wharf_Clute_04144</t>
  </si>
  <si>
    <t>Yupon_310_Garden Villa_Freeport_04146</t>
  </si>
  <si>
    <t>Airport_2901_Bayou Bend_Rosenberg_04147</t>
  </si>
  <si>
    <t>Alabama_708_Falcon Point_Katy_04148</t>
  </si>
  <si>
    <t>Broadway_9900_St. Andrews I_Pearland_04149</t>
  </si>
  <si>
    <t>Pearland Pkwy_2900_The Enclave at Mary's Creek_Pearland_04150</t>
  </si>
  <si>
    <t>Hafer Rd_17111_Northbrooke_Houston_04151</t>
  </si>
  <si>
    <t>Hospital E_1324_Lexington Square_Angleton_04152</t>
  </si>
  <si>
    <t>House St E_821_Kimberly House_Alvin_04153</t>
  </si>
  <si>
    <t>Huisache_302_Lakewood Suites (TBD)_Lake Jackson_04154</t>
  </si>
  <si>
    <t>Garland Dr_415_Arbors_Lake Jackson_04155</t>
  </si>
  <si>
    <t>Garland Dr_420_Sun Forest_Lake Jackson_04157</t>
  </si>
  <si>
    <t>Broadway E_1302_Royal Oaks_Pearland_04158</t>
  </si>
  <si>
    <t>Broadway E_3510_Salem Village_Pearland_04159</t>
  </si>
  <si>
    <t>Cannan Dr_301_Cambridge_Angleton_04160</t>
  </si>
  <si>
    <t>Clements_121_Westport_Angleton_04161</t>
  </si>
  <si>
    <t>Timbercreek Dr_200_Creekside Estates_Richwood_04163</t>
  </si>
  <si>
    <t>Quail Ridge Rd_15027_Danbury Manor_Danbury_04164</t>
  </si>
  <si>
    <t>Rosharon Rd_1908_Westwood Park_Alvin_04165</t>
  </si>
  <si>
    <t>35 Loop_2400_Steeplechase_Alvin_04166</t>
  </si>
  <si>
    <t>35 Loop Bypass_2551_Huntington Oaks_Alvin_04168</t>
  </si>
  <si>
    <t>Magnolia_1010_The Remington_Freeport_04169</t>
  </si>
  <si>
    <t>Mulberry E_1904_Arbor Pines Apts_Angleton_04170</t>
  </si>
  <si>
    <t>Mustang_2101_Garden Gate_Alvin_04171</t>
  </si>
  <si>
    <t>Johnson S_1201_Cedar Wood_Alvin_04172</t>
  </si>
  <si>
    <t>Johnson S_2401_Highland Square_Alvin_04173</t>
  </si>
  <si>
    <t>Old Alvin Rd_2701_Pearland Village_Pearland_04176</t>
  </si>
  <si>
    <t>332 Hwy W_460_Woodhollow_Lake Jackson_04178</t>
  </si>
  <si>
    <t>332 Hwy W_905_Oakwood_Lake Jackson_04179</t>
  </si>
  <si>
    <t>Hill S_1004_Foley Hill_Alvin_04180</t>
  </si>
  <si>
    <t>Hackberry Dr_201-202-301_Ashton Oaks_Clute_04181</t>
  </si>
  <si>
    <t>Henderson Rd_1400_Golden Gate_Angleton_04183</t>
  </si>
  <si>
    <t>Lake Rd_110_Raintree_Lake Jackson_04184</t>
  </si>
  <si>
    <t>Lakeview_100_Sherwood Forest_Clute_04185</t>
  </si>
  <si>
    <t>Lakeview_401_Brighton Manor_Clute_04186</t>
  </si>
  <si>
    <t>New Territory Blvd_5555_Broadstone New Territory I_Sugar Land_04188</t>
  </si>
  <si>
    <t>Kirkwood S_12840_Villages at Kirkwood_Stafford_04189</t>
  </si>
  <si>
    <t>Lamar_2000_Mustang Crossing I_Richmond_04190</t>
  </si>
  <si>
    <t>Ln Dr_819_Murray Hill_Rosenberg_04191</t>
  </si>
  <si>
    <t>Broadway_6520_Westlake Residential_Pearland_04192</t>
  </si>
  <si>
    <t>Whispering Winds Dr_2902_Whispering Winds_Pearland_04193</t>
  </si>
  <si>
    <t>Yerby_301_Brazoria Manor_Brazoria_04194</t>
  </si>
  <si>
    <t>Austin Pkwy_1800_Foundations at Austin Colony_Sugar Land_04195</t>
  </si>
  <si>
    <t>1640 FM_1800_Lamar Park_Richmond_04196</t>
  </si>
  <si>
    <t>Brooks Ave_810_Brookmore Hollow_Rosenberg_04197</t>
  </si>
  <si>
    <t>S St E_800_Newport Oaks_Alvin_04198</t>
  </si>
  <si>
    <t>S W_1601_Morgan Park_Alvin_04200</t>
  </si>
  <si>
    <t>That Way St_510_The Brentwood Apts_Lake Jackson_04201</t>
  </si>
  <si>
    <t>Timbercreek Dr_400_Creekwood Landing_Clute_04202</t>
  </si>
  <si>
    <t>Walnut E_3340_Park Place_Pearland_04203</t>
  </si>
  <si>
    <t>Radio Ln_1136_Ashton Oaks_Rosenberg_04204</t>
  </si>
  <si>
    <t>Reading Rd_4720_Brittany Square_Rosenberg_04205</t>
  </si>
  <si>
    <t>Rivercrest Dr_1700_Foundations at River Crest_Sugar Land_04206</t>
  </si>
  <si>
    <t>Old Dr S_2400_South Grand at Pecan Grove_Richmond_04207</t>
  </si>
  <si>
    <t>Mustang_1800_Mustang Crossing II &amp; III_Richmond_04208</t>
  </si>
  <si>
    <t>Pultar_1001_Grand Villa_Richmond_04209</t>
  </si>
  <si>
    <t>Westheimer Pkwy_22400_Merrywood_Katy_04210</t>
  </si>
  <si>
    <t>Kirkwood S_12250_Camden Sugar Grove_Stafford_04211</t>
  </si>
  <si>
    <t>Kirkwood S_12525_Fountain Park_Stafford_04212</t>
  </si>
  <si>
    <t>Mahlmann_1317_Kings Arms_Rosenberg_04214</t>
  </si>
  <si>
    <t>City Hall Dr_1811_Carriage Glen_Rosenberg_04216</t>
  </si>
  <si>
    <t>Country Place_3719_Stafford Oaks_Stafford_04217</t>
  </si>
  <si>
    <t>Dulles Ave_735_The Vinings_Stafford_04219</t>
  </si>
  <si>
    <t>1092 FM_1800_Quail Valley_Missouri City_04220</t>
  </si>
  <si>
    <t>6 Hwy S_12100_Parkside Apts_Sugar Land_04221</t>
  </si>
  <si>
    <t>Ln Dr_911_Victoria Garden_Rosenberg_04222</t>
  </si>
  <si>
    <t>Lexington Blvd_15700_Foundations at Lions Head_Sugar Land_04223</t>
  </si>
  <si>
    <t>Long Reach Dr_2323_The Fairmont First Colony_Sugar Land_04224</t>
  </si>
  <si>
    <t>Fifth St_1511_Springfield_Missouri City_04225</t>
  </si>
  <si>
    <t>Fluor Daniel Dr_225_Regency at First Colony_Sugar Land_04226</t>
  </si>
  <si>
    <t>Golfview Dr_1111_Country Club Place_Richmond_04227</t>
  </si>
  <si>
    <t>Settlers Way Blvd_2222_Foundations at Edgewater_Sugar Land_04228</t>
  </si>
  <si>
    <t>Fountain Lake Dr_10502_The Reserve at the Fountains_Stafford_04229</t>
  </si>
  <si>
    <t>Grants Lake Blvd_2710_Grants Lake_Sugar Land_04231</t>
  </si>
  <si>
    <t>Katy Flewellen_1550_The Hunt Club At Pin Oak_Katy_04232</t>
  </si>
  <si>
    <t>Dulles Ave_1201_The Trestles_Stafford_04233</t>
  </si>
  <si>
    <t>Stafford Run_550_Stafford Run_Stafford_04234</t>
  </si>
  <si>
    <t>Sugar Grove Blvd_4930_The Resort TH_Stafford_04235</t>
  </si>
  <si>
    <t>Deats Rd_600_Dickinson Pines_Dickinson_04237</t>
  </si>
  <si>
    <t>Deats Rd_110_Bayou Village_Dickinson_04238</t>
  </si>
  <si>
    <t>Constellation Blvd_451_Constellation Pointe_League City_04239</t>
  </si>
  <si>
    <t>1st St_515_Casa Caribe_Galveston_04240</t>
  </si>
  <si>
    <t>Cove View Blvd_3428_Newport at Campeche Cove_Galveston_04241</t>
  </si>
  <si>
    <t>24th St N_2410_Lakewood_Texas City_04243</t>
  </si>
  <si>
    <t>25th Ave N_2111_Chateau Jonon_Texas City_04244</t>
  </si>
  <si>
    <t>13th Ave N_1919_Trade Winds_Texas City_04245</t>
  </si>
  <si>
    <t>13th Ave N_2701_Baypointe Manor_Texas City_04246</t>
  </si>
  <si>
    <t>21st St N_2602_Ashton Park I &amp; II_Texas City_04247</t>
  </si>
  <si>
    <t>69th St_3102_Stewart's Landing_Galveston_04248</t>
  </si>
  <si>
    <t>Ave N_4400_The Park at Cedar Lawn_Galveston_04250</t>
  </si>
  <si>
    <t>Sugar Grove W Blvd_5010_Windfield TH_Stafford_04251</t>
  </si>
  <si>
    <t>Sugar Ridge Blvd_12903_Sugar Ridge II_Stafford_04252</t>
  </si>
  <si>
    <t>Sugar Ridge Blvd_12903_Sugar Ridge I_Stafford_04253</t>
  </si>
  <si>
    <t>Central City Blvd_6424_Village by the Sea_Galveston_04254</t>
  </si>
  <si>
    <t>Central City Blvd_6315_The Broadwater_Galveston_04255</t>
  </si>
  <si>
    <t>Clearview_107_Salem Square_Friendswood_04256</t>
  </si>
  <si>
    <t>Fountain Lake Dr_10500_The Reserve at Fountain Lake_Stafford_04257</t>
  </si>
  <si>
    <t>Fountain Lake Dr_10498_Alexan Fountain Lake_Stafford_04258</t>
  </si>
  <si>
    <t>Rocky Falls_2020_Brazos Bend Villa_Richmond_04259</t>
  </si>
  <si>
    <t>Thompson Rd_2111_Town &amp; Country_Richmond_04260</t>
  </si>
  <si>
    <t>Westwood Dr_1217_Pecan Park_Rosenberg_04261</t>
  </si>
  <si>
    <t>36th St N_2020_Los Cabos_Texas City_04264</t>
  </si>
  <si>
    <t>69th St_3222_Newport at West Beach_Galveston_04265</t>
  </si>
  <si>
    <t>25th Ave N_3501_Green Meadows_Texas City_04266</t>
  </si>
  <si>
    <t>25th St N_1403_Parkwood_Texas City_04267</t>
  </si>
  <si>
    <t>31st St N_1320_Gulf Royale_Texas City_04268</t>
  </si>
  <si>
    <t>Ave .5 R_4818_William B Travis_Galveston_04269</t>
  </si>
  <si>
    <t>Davis Rd_501_The Crow's Nest_League City_04274</t>
  </si>
  <si>
    <t>Marina Bay Dr_3045_Fairways at South Shore Condo Apts_League City_04275</t>
  </si>
  <si>
    <t>96 Hwy_3001_Bayridge_League City_04276</t>
  </si>
  <si>
    <t>5th Ave N_729_Mae's Apts_Texas City_04279</t>
  </si>
  <si>
    <t>9th Ave N N_3404_Sundance_Texas City_04280</t>
  </si>
  <si>
    <t>1st St S_1000_Rosewood_Conroe_04281</t>
  </si>
  <si>
    <t>7th St S_1101_Tall Timbers_Conroe_04282</t>
  </si>
  <si>
    <t>Ave G W_230_Pecan Grove Apts_Conroe_04283</t>
  </si>
  <si>
    <t>518 FM_2751_Harbor Walk_League City_04284</t>
  </si>
  <si>
    <t>Signature Point_1_Signature Point_League City_04285</t>
  </si>
  <si>
    <t>518 FM E_3850_South Shore Lakes_League City_04286</t>
  </si>
  <si>
    <t>Deats Rd_406_Pine Forest_Dickinson_04287</t>
  </si>
  <si>
    <t>Deats Rd_810_Dickinson Oaks Apts_Dickinson_04288</t>
  </si>
  <si>
    <t>Delany Rd_5809_Mesquite Woods_Hitchcock_04289</t>
  </si>
  <si>
    <t>3 Hwy S_628_Snug Harbor_League City_04290</t>
  </si>
  <si>
    <t>Texas Ave W_100_Seven Palms_Webster_04291</t>
  </si>
  <si>
    <t>146 Hwy_1115_Stoneridge_Texas City_04292</t>
  </si>
  <si>
    <t>Jackson Rd_6205_Jackson Cove_Hitchcock_04296</t>
  </si>
  <si>
    <t>Jones Dr_7400_Island Bay Resorts I_Galveston_04297</t>
  </si>
  <si>
    <t>Lasker_6904_Ashton Place_Galveston_04298</t>
  </si>
  <si>
    <t>Palmer Hwy_8601_Oaks of Texas City_Texas City_04299</t>
  </si>
  <si>
    <t>Enterprise_1201_Palms at South Shore Harbor_League City_04300</t>
  </si>
  <si>
    <t>Enterprise Ave Blvd_601_The Moorings_League City_04301</t>
  </si>
  <si>
    <t>Marina Bay Dr_1300_Legend Point Condominiums_Clear Lake_04302</t>
  </si>
  <si>
    <t>Fort Crockett_4925_The Seaside Village_Galveston_04303</t>
  </si>
  <si>
    <t>Friendswood Dr S_701_Huntington Woods_Friendswood_04304</t>
  </si>
  <si>
    <t>518 FM W_1111_Calder Square_League City_04305</t>
  </si>
  <si>
    <t>Marina Bay Dr_1420_The Park at Waterford Harbor_Kemah_04306</t>
  </si>
  <si>
    <t>Marina Way_2220_Marina Del Sol_Kemah_04307</t>
  </si>
  <si>
    <t>Heards Ln_7200_Champion Homes at Bay Walk_Galveston_04308</t>
  </si>
  <si>
    <t>Heards Ln_7302_Champion Homes at Marina Landing_Galveston_04309</t>
  </si>
  <si>
    <t>Lasker Dr_7019_Driftwood_Galveston_04311</t>
  </si>
  <si>
    <t>Lobit Dr_3206_Northern Pines_Dickinson_04312</t>
  </si>
  <si>
    <t>Main St E_1215_Briar Palms_League City_04313</t>
  </si>
  <si>
    <t>Holiday Dr_615_Carriage House_Galveston_04314</t>
  </si>
  <si>
    <t>Holiday Dr_711_Chateau LaFitte_Galveston_04315</t>
  </si>
  <si>
    <t>Hughes Ln_3301_Dickinson Arms_Dickinson_04316</t>
  </si>
  <si>
    <t>Glacier Ave_9001_Glacier Court_Texas City_04317</t>
  </si>
  <si>
    <t>Gulf Fwy_1720_Crossing at La Marque II_La Marque_04318</t>
  </si>
  <si>
    <t>Gulf Fwy_1725_Crossing at La Marque I_La Marque_04319</t>
  </si>
  <si>
    <t>Market_215_Carelton Courtyard_Galveston_04320</t>
  </si>
  <si>
    <t>Memorial_6601_Memorial Oaks_Texas City_04322</t>
  </si>
  <si>
    <t>517 Hwy E_5601_Torrey Pines_Dickinson_04323</t>
  </si>
  <si>
    <t>Hobbs Rd_305_The Oaks of League City_League City_04324</t>
  </si>
  <si>
    <t>Wesley Dr N_301_Riverbend_League City_04326</t>
  </si>
  <si>
    <t>Market St_100_Ebbtide_Galveston_04328</t>
  </si>
  <si>
    <t>Borough Park Dr_25469_Mission Woods_The Woodlands_04329</t>
  </si>
  <si>
    <t>1314 FM_24270_Porterwood_Porter_04330</t>
  </si>
  <si>
    <t>Frazier N_2205_Sun Park_Conroe_04331</t>
  </si>
  <si>
    <t>Seawall Blvd_8008_Antigua_Galveston_04332</t>
  </si>
  <si>
    <t>Skyview_111_Village Square_Friendswood_04333</t>
  </si>
  <si>
    <t>Saint Christopher_2525_Huntcliff_League City_04334</t>
  </si>
  <si>
    <t>45 IH N_231_Stone Ridge II_Conroe_04335</t>
  </si>
  <si>
    <t>45 IH N_25650_Briarcrest_Spring_04337</t>
  </si>
  <si>
    <t>Pecan Forest_150-200_Pecan Forest TH_League City_04338</t>
  </si>
  <si>
    <t>Ave .5 Q_4314_Village Manor_Santa Fe_04339</t>
  </si>
  <si>
    <t>Stewart Rd_7301_The Pointe_Galveston_04342</t>
  </si>
  <si>
    <t>Stewart Rd_8020_Gulf Wind_Galveston_04343</t>
  </si>
  <si>
    <t>Texas Ave_2902_Velami_Texas City_04344</t>
  </si>
  <si>
    <t>Waco_310_3rd Street Village_League City_04345</t>
  </si>
  <si>
    <t>Winnie_3916_Sandpiper Cove_Galveston_04346</t>
  </si>
  <si>
    <t>Monticello Dr_8801_The Breakers_Texas City_04347</t>
  </si>
  <si>
    <t>Palmer Hwy_2405_Palmer House_Texas City_04348</t>
  </si>
  <si>
    <t>Palmer Hwy_8801_Lakeview_Texas City_04349</t>
  </si>
  <si>
    <t>Stones Throw_105_Stones Throw Senior Living_Friendswood_04350</t>
  </si>
  <si>
    <t>Strand Blvd_210_Villa Marina_Galveston_04351</t>
  </si>
  <si>
    <t>Texas Ave_115_Shady Oaks_League City_04352</t>
  </si>
  <si>
    <t>Rayford Rd_810_The Farrington_Spring_04353</t>
  </si>
  <si>
    <t>Sawmill Rd_12000_Grogan's Landing_The Woodlands_04354</t>
  </si>
  <si>
    <t>Sawmill Rd_12420_Fawn Ridge_The Woodlands_04355</t>
  </si>
  <si>
    <t>Frazier S_1400_Park Village_Conroe_04356</t>
  </si>
  <si>
    <t>Bellshire Dr_800_Bellshire_Conroe_04357</t>
  </si>
  <si>
    <t>Brookhaven_25510-25200_Imperial Chase I &amp; II_Spring_04359</t>
  </si>
  <si>
    <t>Budde Rd_26001_Woodwind Village_Spring_04360</t>
  </si>
  <si>
    <t>Gladstell_808_Redford Park_Conroe_04361</t>
  </si>
  <si>
    <t>Gladstell Rd_1000_Gladstell Forest_Conroe_04362</t>
  </si>
  <si>
    <t>Hickerson_600_Havenwood Place_Conroe_04363</t>
  </si>
  <si>
    <t>Frazier N_3030_Creekside_Conroe_04364</t>
  </si>
  <si>
    <t>Gladstell St_311_Woodcluster_Conroe_04365</t>
  </si>
  <si>
    <t>Gladstell_407_Pine Ridge_Conroe_04366</t>
  </si>
  <si>
    <t>Hickerson St_500_Hollow Creek_Conroe_04367</t>
  </si>
  <si>
    <t>Snug Harbor_6107_Snug Harbor Condos_Conroe_04368</t>
  </si>
  <si>
    <t>Research Park Dr_8900_The Park at Research Forest_The Woodlands_04369</t>
  </si>
  <si>
    <t>Riva Row_2204_Boardwalk at Town Center Apts II_The Woodlands_04370</t>
  </si>
  <si>
    <t>Holly Creek_333_Holly Creek_The Woodlands_04372</t>
  </si>
  <si>
    <t>Panther Creek Dr S_4545_Forest View_The Woodlands_04373</t>
  </si>
  <si>
    <t>Plantation_2020_Timbers of Pine Hollow_Conroe_04374</t>
  </si>
  <si>
    <t>Little Bend Rd_7005_Independent Missionary Village_Hitchcock_04375</t>
  </si>
  <si>
    <t>Deats Rd_2902_Church Village_Dickinson_04376</t>
  </si>
  <si>
    <t>Cavalcade St_5520_Cavalcade Plaza_Houston_04377</t>
  </si>
  <si>
    <t>45 IH N_811_Pine Wood Apts_Conroe_04378</t>
  </si>
  <si>
    <t>Longmire_403_The Cedars_Conroe_04379</t>
  </si>
  <si>
    <t>336 Loop W N_1200_Whispering Oaks_Conroe_04380</t>
  </si>
  <si>
    <t>Plantation Dr_2021_Autumn Woods_Conroe_04381</t>
  </si>
  <si>
    <t>Sawdust Rd_1481_Timbermill_The Woodlands_04384</t>
  </si>
  <si>
    <t>Budde Rd_25335_Woodland Meadows_Spring_04385</t>
  </si>
  <si>
    <t>Scarborough Dr_291_Riverwalk_Conroe_04386</t>
  </si>
  <si>
    <t>Oddfellow_1510_Tanglewood_Conroe_04387</t>
  </si>
  <si>
    <t>Panther Creek Dr S_4407_Copperwood I &amp; II_The Woodlands_04388</t>
  </si>
  <si>
    <t>Panther Creek Dr S_4550_Harvestwood Apts_The Woodlands_04389</t>
  </si>
  <si>
    <t>Valleywood Rd_315_Green Tree Place_The Woodlands_04390</t>
  </si>
  <si>
    <t>Westview Blvd_2210_Central Park Condominiums_Conroe_04391</t>
  </si>
  <si>
    <t>River Pointe Dr_1600_River Pointe_Conroe_04392</t>
  </si>
  <si>
    <t>Millbend Dr S_2301_IMT Village Square_The Woodlands_04393</t>
  </si>
  <si>
    <t>Montgomery Park_2200_Forest Creek_Conroe_04394</t>
  </si>
  <si>
    <t>Montgomery Park_2201_Cimarron Park_Conroe_04395</t>
  </si>
  <si>
    <t>Little York W_301_Concord at Little York_Houston_04396</t>
  </si>
  <si>
    <t>Ave J N_905_Casa Quintana_Freeport_04397</t>
  </si>
  <si>
    <t>Seawall Blvd_4800_Fort Crockett_Galveston_04398</t>
  </si>
  <si>
    <t>Reed Rd_2725_Reed Parque TH_Houston_04400</t>
  </si>
  <si>
    <t>Willow Place N_8301_Willow Green_Houston_04401</t>
  </si>
  <si>
    <t>Gosling_7575_Alden Landing_The Woodlands_04404</t>
  </si>
  <si>
    <t>Shenandoah Park Dr_8787_The Park at Woodmoor_Shenandoah_04405</t>
  </si>
  <si>
    <t>Wilson Rd_1515_Carriage Woods_Conroe_04406</t>
  </si>
  <si>
    <t>Kingwood Dr_938_The Lodge at Kingwood_Kingwood_04407</t>
  </si>
  <si>
    <t>Montgomery Park Blvd_2330_White Oak_Conroe_04408</t>
  </si>
  <si>
    <t>Lyons Ave_3814_Pleasant Hill Village_Houston_04409</t>
  </si>
  <si>
    <t>59 Hwy_23423_Mallard Creek_Kingwood_04410</t>
  </si>
  <si>
    <t>Kellington Dr_200_The Paramount at Kingwood_Kingwood_04411</t>
  </si>
  <si>
    <t>Kings Manor Dr N_27600_The Preserve at Kingwood_Kingwood_04412</t>
  </si>
  <si>
    <t>Wildwood Forest Dr_455_Wildwood Forest_Spring_04413</t>
  </si>
  <si>
    <t>Wilson Rd_1101_Treehouse_Conroe_04415</t>
  </si>
  <si>
    <t>Six Pines Dr_10600_The Parkside_The Woodlands_04416</t>
  </si>
  <si>
    <t>Tanglebrush Dr_3451_Woodglen_The Woodlands_04417</t>
  </si>
  <si>
    <t>Westborough Dr_2000_Kenwood Club at the Park_Katy_04419</t>
  </si>
  <si>
    <t>Briarpark Dr_2921_The Retreat at Westchase_Houston_04420</t>
  </si>
  <si>
    <t>Saint Emanuel St_610_Lofts at the Ballpark_Houston_04421</t>
  </si>
  <si>
    <t>Shavelson_6800_North Stream Manor_Houston_04422</t>
  </si>
  <si>
    <t>Spring Rain_2400_The Ravinia_Spring_04423</t>
  </si>
  <si>
    <t>Airtex_500_Quail Chase_Houston_04424</t>
  </si>
  <si>
    <t>Loop E S_6969_Plum Creek TH_Houston_04426</t>
  </si>
  <si>
    <t>Memorial Ct_3003_AMLI at Memorial Heights_Houston_04427</t>
  </si>
  <si>
    <t>Memorial Heights Dr_616_The Estates at Memorial Heights_Houston_04428</t>
  </si>
  <si>
    <t>Buffalo Spdwy_9955_Park Lakes_Houston_04429</t>
  </si>
  <si>
    <t>Baker Dr_3500_Courtyard Apts_Dickinson_04431</t>
  </si>
  <si>
    <t>Sabine St_150_Sabine Street Lofts_Houston_04432</t>
  </si>
  <si>
    <t>529 FM_15503_The Enclave at Copperfield_Houston_04433</t>
  </si>
  <si>
    <t>Creekbend_7900_Windsor Park_Houston_04434</t>
  </si>
  <si>
    <t>69th St_3102_Captain's Landing_Galveston_04436</t>
  </si>
  <si>
    <t>Little York E_600_Meadowbrook Plaza_Houston_04437</t>
  </si>
  <si>
    <t>Fairmont Pkwy W_9801_Fairmont Oaks_La Porte_04438</t>
  </si>
  <si>
    <t>Bammel Houston N_15330_The Enclave at Cornerstone_Houston_04439</t>
  </si>
  <si>
    <t>Aldine Westfield_2450_The Shoreham_Houston_04440</t>
  </si>
  <si>
    <t>Cypresswood Dr_10300_The Villages of Cypress Creek_Houston_04441</t>
  </si>
  <si>
    <t>Loganberry_111_The Gateway at Lake Jackson_Lake Jackson_04442</t>
  </si>
  <si>
    <t>Brazoswood E_255_Brazoswood_Clute_04443</t>
  </si>
  <si>
    <t>Maxey Rd_451_The Villas on Woodforest_Houston_04444</t>
  </si>
  <si>
    <t>Highland Meadow Village Dr_10990_Highland Meadow Village_Houston_04445</t>
  </si>
  <si>
    <t>Dove Country Dr_3001_The Park at Fort Bend_Stafford_04446</t>
  </si>
  <si>
    <t>Sawdust Rd_2109_IMT Lake Wyndemere_The Woodlands_04447</t>
  </si>
  <si>
    <t>Six Pines Rd_10510_Tamarac Pines I &amp; II_The Woodlands_04448</t>
  </si>
  <si>
    <t>Blodgett_3216_Richfield Manor_Houston_04449</t>
  </si>
  <si>
    <t>Crosswinds Dr_15001_Villas in the Pines_Houston_04451</t>
  </si>
  <si>
    <t>Sampson St_5500_Savoy_Houston_04452</t>
  </si>
  <si>
    <t>Maxey Rd_414_Deerwood Pines_Houston_04453</t>
  </si>
  <si>
    <t>Jackson Hill_320_The Jackson Hill_Houston_04454</t>
  </si>
  <si>
    <t>Bay Area Blvd W_3102_The Reserve at Autumn Creek_Friendswood_04456</t>
  </si>
  <si>
    <t>Washington Ave_2505_Washington Courtyards Apts_Houston_04457</t>
  </si>
  <si>
    <t>332 Hwy W_504_The Villages of Lake Jackson_Lake Jackson_04458</t>
  </si>
  <si>
    <t>Timber Forest Dr_18551_Timberlakes at Atascocita_Humble_04459</t>
  </si>
  <si>
    <t>Homestead_9603_Swiss Village on the Park II_Houston_04460</t>
  </si>
  <si>
    <t>Atascocita Shores_19800_Lakeshore Villas_Humble_04461</t>
  </si>
  <si>
    <t>Forest Dr N_23200_Bala Woods at Kingwood_Kingwood_04462</t>
  </si>
  <si>
    <t>Sawdust Rd_1475_Woodridge Park_Spring_04463</t>
  </si>
  <si>
    <t>Tidwell Rd_9393_Lakecrest Village_Houston_04467</t>
  </si>
  <si>
    <t>Griggs Rd_5514_Skyview at Palm Center_Houston_04468</t>
  </si>
  <si>
    <t>TC Jester Blvd_701_Stonewood_Houston_04469</t>
  </si>
  <si>
    <t>Montrose_4899_The Museum Tower_Houston_04470</t>
  </si>
  <si>
    <t>Wood Forest Dr_12411_Wood Forest Chase_Houston_04471</t>
  </si>
  <si>
    <t>Greens Rd W_832_Columbia Greens_Houston_04472</t>
  </si>
  <si>
    <t>Montgomery Rd W_11111_Woodglen Village_Houston_04473</t>
  </si>
  <si>
    <t>Airport Blvd W_15015_The Enclave at Woodbridge_Sugar Land_04475</t>
  </si>
  <si>
    <t>Walnut Bend_3411_The Residence at Westchase_Houston_04477</t>
  </si>
  <si>
    <t>Katy Flewellen_2425_Willow Lake I_Katy_04478</t>
  </si>
  <si>
    <t>Fannin_4001_Ventana at Midtown_Houston_04479</t>
  </si>
  <si>
    <t>Cypresswood Dr_9717_Chasewood_Houston_04480</t>
  </si>
  <si>
    <t>Schroeder Rd_13504_The Club at Stablechase_Houston_04481</t>
  </si>
  <si>
    <t>Oakwood Glen Blvd_7103_Spring Oaks II_Spring_04482</t>
  </si>
  <si>
    <t>1960 FM W_2431_The Gallery at Champions_Houston_04483</t>
  </si>
  <si>
    <t>Bammelwood Dr_2331_Cypress Ridge_Houston_04484</t>
  </si>
  <si>
    <t>Woerner Rd_300_Lakebridge II_Houston_04485</t>
  </si>
  <si>
    <t>Rolling Creek_17100_The Palms on Rolling Creek_Houston_04486</t>
  </si>
  <si>
    <t>Cole Ave_915_Falcon Pointe_Rosenberg_04490</t>
  </si>
  <si>
    <t>Lyons Ave_3730_Britons Place_Houston_04491</t>
  </si>
  <si>
    <t>Gulf Fwy_8306_Gulfway_Houston_04494</t>
  </si>
  <si>
    <t>William_711_Dakota Lofts_Houston_04497</t>
  </si>
  <si>
    <t>Northwood_925_Avalon Bay_Baytown_04511</t>
  </si>
  <si>
    <t>Greenway Plaza_14-15_Greenway II_Houston_04513</t>
  </si>
  <si>
    <t>Fondren_10909_Goldberg Towers I &amp; II_Houston_04514</t>
  </si>
  <si>
    <t>Kirkwood S_2211_Lakeside Green Condo Apts_Houston_04517</t>
  </si>
  <si>
    <t>Gulf Bank W_5454_Avery Park III_Houston_04518</t>
  </si>
  <si>
    <t>Bohnhof Strasse St_16303-16330_Aspen Forest_Houston_04519</t>
  </si>
  <si>
    <t>Beechnut_7101_University_Houston_04520</t>
  </si>
  <si>
    <t>Bay Area Blvd_2600_University Forest_Houston_04521</t>
  </si>
  <si>
    <t>Cambridge_7900_University Housing_Houston_04522</t>
  </si>
  <si>
    <t>Emmett F Lowery Expwy_7500_The Retreat at Texas City_Texas City_04524</t>
  </si>
  <si>
    <t>Caroline_2305_Green River TH_Dickinson_04526</t>
  </si>
  <si>
    <t>Cloyd Dr_811_The Park at Walkers Landing_Magnolia_04527</t>
  </si>
  <si>
    <t>Grand Oaks Blvd_18823_Grand Oaks Rental Homes_Magnolia_04528</t>
  </si>
  <si>
    <t>El Dorado Blvd_265_The Lodge on El Dorado_Webster_04530</t>
  </si>
  <si>
    <t>Long Point_9239_The Pines at Long Point_Houston_04532</t>
  </si>
  <si>
    <t>Bering_2380_Miramar TH_Houston_04535</t>
  </si>
  <si>
    <t>Normandy_333_Chateaux Normandie_Houston_04542</t>
  </si>
  <si>
    <t>Charterwood Dr_10111_Tivoli Apts_Houston_04543</t>
  </si>
  <si>
    <t>Post Oak Blvd_1111_NF_Houston_04544</t>
  </si>
  <si>
    <t>Village Way_529_Brookshire Village_Brookshire_04548</t>
  </si>
  <si>
    <t>Vista_4542_Buena Vista TH_Pasadena_04549</t>
  </si>
  <si>
    <t>Reading Rd_4719_Briarstone_Rosenberg_04551</t>
  </si>
  <si>
    <t>C Trailing Vine Dr_2812_Trailing Vine Place_Spring_04553</t>
  </si>
  <si>
    <t>6 Hwy_7440_Oaks of Hitchcock_Hitchcock_04555</t>
  </si>
  <si>
    <t>Plantation W_127_Oaks of Flagridge_Lake Jackson_04556</t>
  </si>
  <si>
    <t>Any Way St_105_Oyster Creek_Lake Jackson_04559</t>
  </si>
  <si>
    <t>1266 FM_1051_Lake Haven_Kemah_04560</t>
  </si>
  <si>
    <t>332 Hwy_440_The Palms Of Lake Jackson_Lake Jackson_04561</t>
  </si>
  <si>
    <t>Cove View Blvd_3102_Lakeside at Campeche_Galveston_04563</t>
  </si>
  <si>
    <t>Eldridge_7100_Georgian TH_Houston_04564</t>
  </si>
  <si>
    <t>Dunbar Estates_110_Bedford_Friendswood_04570</t>
  </si>
  <si>
    <t>Northwood_811_Bay Pointe_Baytown_04573</t>
  </si>
  <si>
    <t>11th St S_402_Richmond House_Richmond_04574</t>
  </si>
  <si>
    <t>Gessner S_12600_Victoria Condos_Houston_04576</t>
  </si>
  <si>
    <t>Alabonson_7402_Inwood Pines_Houston_04577</t>
  </si>
  <si>
    <t>6 Hwy_7410_Bent Oaks_Hitchcock_04578</t>
  </si>
  <si>
    <t>Cherry S_1100_Dartford Square_Tomball_04580</t>
  </si>
  <si>
    <t>2004 FM_2801_Windsor Estates I_Texas City_04582</t>
  </si>
  <si>
    <t>Rollingbrook Dr_619_Stonebrook I_Baytown_04584</t>
  </si>
  <si>
    <t>Adoue W_702_Royal Oaks_Alvin_04585</t>
  </si>
  <si>
    <t>Memorial Glen_1002_Barrington Court_Humble_04586</t>
  </si>
  <si>
    <t>X St E_225_Town Plaza_Deer Park_04587</t>
  </si>
  <si>
    <t>Pleasant Colony_11111_The Promenade Jersey Village I_Houston_04588</t>
  </si>
  <si>
    <t>Kempwood_8800_Kempwood TH_Houston_04589</t>
  </si>
  <si>
    <t>61st St_2828_Somerset Retirement Village_Galveston_04590</t>
  </si>
  <si>
    <t>Cullen_4444_Cambridge Oaks_Houston_04592</t>
  </si>
  <si>
    <t>Arto_6869_Timber Crossing_Houston_04594</t>
  </si>
  <si>
    <t>Greens Rd_5900_Timber Point_Humble_04595</t>
  </si>
  <si>
    <t>Westerland_2501_Treemont_Houston_04596</t>
  </si>
  <si>
    <t>Barringer Ln_623_Clear Lake Condominiums_Webster_04599</t>
  </si>
  <si>
    <t>Clarewood_7400_Clarewood House Retirement Community_Houston_04600</t>
  </si>
  <si>
    <t>Tranquility Lake Blvd_2800_The Club at Tranquility Lake_Pearland_04601</t>
  </si>
  <si>
    <t>Kippway_10800_Collingham Park_Houston_04602</t>
  </si>
  <si>
    <t>.5 Fallbrook_7609_Willowood Gardens_Houston_04604</t>
  </si>
  <si>
    <t>Radio Ln_1316_Williamsburg_Rosenberg_04605</t>
  </si>
  <si>
    <t>Village Ln_4601_The Village_Baytown_04609</t>
  </si>
  <si>
    <t>Witte_1350_La Plaza_Houston_04610</t>
  </si>
  <si>
    <t>Antoine_1311_Woodvine Park Condos_Houston_04613</t>
  </si>
  <si>
    <t>Seawall Blvd_7820_The OceanFront_Galveston_04616</t>
  </si>
  <si>
    <t>Seawall Blvd_8100_The Seasons_Galveston_04617</t>
  </si>
  <si>
    <t>Katy Fwy_10759_Skylane West_Houston_04618</t>
  </si>
  <si>
    <t>Misty Ln_4901_Meadow Chase_Bay City_04620</t>
  </si>
  <si>
    <t>Carrell St E_750 &amp; 820_Mid-Towne I &amp; II_Tomball_04621</t>
  </si>
  <si>
    <t>Belair Dr_11851_Summercreek_San Antonio_04624</t>
  </si>
  <si>
    <t>Culebra Rd_5518_Monticello Manor_San Antonio_04626</t>
  </si>
  <si>
    <t>Elm St_1900_1900 Elm_Dallas_13056</t>
  </si>
  <si>
    <t>Cedar Springs_4242_4242 Cedar Springs (Demolished)_Dallas_13060</t>
  </si>
  <si>
    <t>Worthington_2525_Post Abbey_Dallas_13072</t>
  </si>
  <si>
    <t>Canton_2700_Adam Hats Downtown Lofts_Dallas_13075</t>
  </si>
  <si>
    <t>Addison Cir_5009_Post Addison Circle_Addison_13076</t>
  </si>
  <si>
    <t>Brookhaven Club Dr_4010_Addison of Brookhaven (Demolished)_Addison_13077</t>
  </si>
  <si>
    <t>18th St E_700_Alta Vista_Plano_13078</t>
  </si>
  <si>
    <t>Ambassador Way_4400_Ambassador_Balch Springs_13079</t>
  </si>
  <si>
    <t>Tierney_511_Ambassador_Fort Worth_13080</t>
  </si>
  <si>
    <t>Spring Valley_8542_Amber Dawn_Dallas_13081</t>
  </si>
  <si>
    <t>Garland Ave N_2735_Amberly Village TH_Garland_13083</t>
  </si>
  <si>
    <t>Ervay St S_2400_American Beauty Mill Lofts_Dallas_13084</t>
  </si>
  <si>
    <t>Dilido_3711_La Ventana_Dallas_13085</t>
  </si>
  <si>
    <t>Amesbury Dr_4662_Amesbury Parc_Dallas_13086</t>
  </si>
  <si>
    <t>Amesbury Dr_5020_Amesbury TH_Dallas_13088</t>
  </si>
  <si>
    <t>Accent Dr_3901_Bellagio at Bent Tree I &amp; II_Dallas_13089</t>
  </si>
  <si>
    <t>Preston Park Blvd_4701_Archstone Preston Park_Plano_13090</t>
  </si>
  <si>
    <t>Renner Rd E_4250_Breckinridge Point_Richardson_13091</t>
  </si>
  <si>
    <t>Legacy_600_Villas at Chase Oaks_Plano_13092</t>
  </si>
  <si>
    <t>Hedgecoxe_4640_AMLI at Deerfield_Plano_13093</t>
  </si>
  <si>
    <t>Marsh Ln_18949_Nantucket Landing_Dallas_13095</t>
  </si>
  <si>
    <t>Lexington Ave_1111_Archstone Lexington_Flower Mound_13097</t>
  </si>
  <si>
    <t>Virginia Pkwy_6530_The Venue at Stonebridge Ranch_McKinney_13098</t>
  </si>
  <si>
    <t>Red River Trl_430_Gardens of Valley Ranch_Irving_13099</t>
  </si>
  <si>
    <t>Timberglen_3847_Triden Village Apts_Dallas_13100</t>
  </si>
  <si>
    <t>Briargrove Ln_3653_Andalusian Gate_Dallas_13102</t>
  </si>
  <si>
    <t>Walnut Hill_3005_The Apple_Irving_13103</t>
  </si>
  <si>
    <t>Dale Crest Dr_9874_Gage Place_Dallas_13104</t>
  </si>
  <si>
    <t>SW Pkwy_396_Arbor Creek_Lewisville_13105</t>
  </si>
  <si>
    <t>Buckingham Rd E_411_Arboretum Estates_Richardson_13106</t>
  </si>
  <si>
    <t>Trinity Mills E_2240_The Arbors of Carrollton_Carrollton_13107</t>
  </si>
  <si>
    <t>San Jacinto_1000_Arbors of Las Colinas_Irving_13109</t>
  </si>
  <si>
    <t>Cockrell Hill S_6500_Arborstone_Dallas_13110</t>
  </si>
  <si>
    <t>Custer Rd_6909_Archstone Legacy_Plano_13111</t>
  </si>
  <si>
    <t>Spring Creek_2401_The Park on Spring Creek_Plano_13112</t>
  </si>
  <si>
    <t>Hall St N_3721_The Argyle_Dallas_13113</t>
  </si>
  <si>
    <t>Shadow Way_9855_The Madeline_Dallas_13114</t>
  </si>
  <si>
    <t>Overly Dr W_155_Ashleye Village_Lake Dallas_13116</t>
  </si>
  <si>
    <t>303 Hwy W_2403_Ashton Park_Grand Prairie_13117</t>
  </si>
  <si>
    <t>Skillman_7070_Bella Palms I_Dallas_13118</t>
  </si>
  <si>
    <t>Skillman_7120_Bella Palms II_Dallas_13119</t>
  </si>
  <si>
    <t>Ferguson Rd_11760_Aspen Chase_Dallas_13120</t>
  </si>
  <si>
    <t>Amelia Ct_1600_Aspen Court_Plano_13121</t>
  </si>
  <si>
    <t>Dennis_11661_Aventerra_Dallas_13122</t>
  </si>
  <si>
    <t>Spring Valley_5636_The Astoria_Dallas_13123</t>
  </si>
  <si>
    <t>NW Dr_5800_Audubon Park_Mesquite_13124</t>
  </si>
  <si>
    <t>Saint Augustine N_2808_Casa Linda_Dallas_13125</t>
  </si>
  <si>
    <t>Camp Wisdom W_7070_Austin Bluff_Dallas_13126</t>
  </si>
  <si>
    <t>123 Hwy S_1679_Autumn Breeze_Lewisville_13128</t>
  </si>
  <si>
    <t>Josey Ln_4600_Autumn Chase_Carrollton_13130</t>
  </si>
  <si>
    <t>Joyce Ln_3401_Autumn Ridge_Denton_13131</t>
  </si>
  <si>
    <t>Moser Ave_1925_Avalon_Dallas_13132</t>
  </si>
  <si>
    <t>Legacy_801_Avalon at Chase Oaks_Plano_13133</t>
  </si>
  <si>
    <t>Preston Rd_6820_Bell Preston_Plano_13134</t>
  </si>
  <si>
    <t>Webb Chapel Extension_2501_Bachman Oaks_Dallas_13135</t>
  </si>
  <si>
    <t>Baker Dr_1809_Baker Square_Mesquite_13138</t>
  </si>
  <si>
    <t>Marsh Ln_2116_Ballantrae Springs_Carrollton_13139</t>
  </si>
  <si>
    <t>Denton Tap Rd_2801_Ballantyne_Lewisville_13140</t>
  </si>
  <si>
    <t>Barclay St_8117_Villas Del Rey_Dallas_13141</t>
  </si>
  <si>
    <t>80 US Hwy E_2101_The Barons_Mesquite_13142</t>
  </si>
  <si>
    <t>Bardin_2770_Sheffield Square_Grand Prairie_13143</t>
  </si>
  <si>
    <t>Bay Island_6109_Bay Island_Garland_13144</t>
  </si>
  <si>
    <t>Lakeview Cir_2101_Bayshore Village_Lewisville_13145</t>
  </si>
  <si>
    <t>Lombardy Ln_3353_Bayou Bend_Dallas_13146</t>
  </si>
  <si>
    <t>Adleta Blvd_9959_Beacon Hill_Dallas_13147</t>
  </si>
  <si>
    <t>Custer Rd_800_Belle Grove at Custer_Richardson_13148</t>
  </si>
  <si>
    <t>Duck Creek Dr_6202_The Belmont at Duck Creek_Garland_13149</t>
  </si>
  <si>
    <t>Country Club W_3424_Benchmark_Irving_13150</t>
  </si>
  <si>
    <t>Amesbury_5454_The Bend-Bend East_Dallas_13151</t>
  </si>
  <si>
    <t>Bennett_2223_Bennett Place_Dallas_13152</t>
  </si>
  <si>
    <t>Edmonds Ln_760_Bent Creek_Lewisville_13153</t>
  </si>
  <si>
    <t>Wilson Creek Blvd_123_Bent Creek_McKinney_13154</t>
  </si>
  <si>
    <t>Forest Ln_9750_Lake Highlands Landing_Dallas_13155</t>
  </si>
  <si>
    <t>Westgrove_4820_Bent Tree Brooks_Addison_13156</t>
  </si>
  <si>
    <t>Ledgemont_16400_Bent Tree Fountains_Addison_13157</t>
  </si>
  <si>
    <t>Westgrove_4815_Bent Tree Oaks_Addison_13158</t>
  </si>
  <si>
    <t>Ledgemont_16300_Bent Tree Trails_Addison_13161</t>
  </si>
  <si>
    <t>Parker Rd W_5945_Bentley Place at Willow Bend_Plano_13162</t>
  </si>
  <si>
    <t>Benton Dr_205_Benton Pointe_Allen_13163</t>
  </si>
  <si>
    <t>Spring Valley Rd_5704_Arbor Springs_Dallas_13164</t>
  </si>
  <si>
    <t>Cliffbrook_7950_Berkshire Square_Dallas_13165</t>
  </si>
  <si>
    <t>Marsh Ln_14600_Addison Park_Addison_13166</t>
  </si>
  <si>
    <t>Verde Valley_5225_Biltmore_Dallas_13167</t>
  </si>
  <si>
    <t>Melody Ln_6251_Biltmore_Dallas_13168</t>
  </si>
  <si>
    <t>Grand Ave E_7510_The Bluffs of Lakewood_Dallas_13170</t>
  </si>
  <si>
    <t>Bolivar_3602_Boliver Square_Dallas_13171</t>
  </si>
  <si>
    <t>Duck Creek_6337_The Boulders_Garland_13172</t>
  </si>
  <si>
    <t>Castle Dr_1233_Bradfield Place_Garland_13174</t>
  </si>
  <si>
    <t>Rogers N_506_Briarcrest_Irving_13177</t>
  </si>
  <si>
    <t>Apollo Rd_1802_Mission Spring Creek_Garland_13178</t>
  </si>
  <si>
    <t>Branch Hollow_1110_Branch Hollow TH_Carrollton_13179</t>
  </si>
  <si>
    <t>Brand Rd_901_Brandon Walk_Garland_13180</t>
  </si>
  <si>
    <t>Horizon Pkwy N_4341_The Brazos_Dallas_13181</t>
  </si>
  <si>
    <t>Rio Grande_1515_The Brentdale_Plano_13182</t>
  </si>
  <si>
    <t>Peterson_5454_The Arts Apts at Midtown_Dallas_13183</t>
  </si>
  <si>
    <t>Macarthur_1330_Briarcrest_Carrollton_13184</t>
  </si>
  <si>
    <t>Briargrove_3939_Briargrove At Vail_Dallas_13185</t>
  </si>
  <si>
    <t>Jim Miller_5440_Bridgeport_Dallas_13186</t>
  </si>
  <si>
    <t>Polaris_4111_Bridgeport_Irving_13187</t>
  </si>
  <si>
    <t>Corporate_357_Brighton Place_Lewisville_13188</t>
  </si>
  <si>
    <t>Preston_2600_Cottages of Tulane_Plano_13189</t>
  </si>
  <si>
    <t>Memorial Dr_4777_Bristol Oaks_The Colony_13190</t>
  </si>
  <si>
    <t>John Rd W_1720_Bristol Square_Dallas_13191</t>
  </si>
  <si>
    <t>Dallas Pkwy_14222_Brittany Park_Dallas_13192</t>
  </si>
  <si>
    <t>Investor Dr_3900_Broadmoor_Dallas_13193</t>
  </si>
  <si>
    <t>Country Club W_3200_Broadmoor Place_Irving_13194</t>
  </si>
  <si>
    <t>Courtside_5015_Broadmoor Villas_Irving_13195</t>
  </si>
  <si>
    <t>Broadway Blvd_5118_Broadway_Garland_13196</t>
  </si>
  <si>
    <t>Broadway Commons_802_The Arts Apts at Broadway Commons II_Garland_13197</t>
  </si>
  <si>
    <t>Brockbank Dr_9827_Brockbank_Dallas_13198</t>
  </si>
  <si>
    <t>David Ave_1431_Brook Hollow_Desoto_13199</t>
  </si>
  <si>
    <t>Skillman_8303_Castle Rock_Dallas_13200</t>
  </si>
  <si>
    <t>Preferred Rd_4060_Brookfield_Dallas_13202</t>
  </si>
  <si>
    <t>Marsh Ln_14833_Brookhaven_Farmers Branch_13203</t>
  </si>
  <si>
    <t>Brookhaven Club Dr_3767_Brooks (Demolished)_Addison_13204</t>
  </si>
  <si>
    <t>Preston_7200_The Brooks on Preston_Plano_13205</t>
  </si>
  <si>
    <t>Audelia Rd_9857_The Brookshire_Dallas_13206</t>
  </si>
  <si>
    <t>Block Dr_3600_Brookstone_Irving_13207</t>
  </si>
  <si>
    <t>Plymouth Rd N_1306_The Greens of Kessler Park_Dallas_13208</t>
  </si>
  <si>
    <t>Bruton Rd_9901_Mira Flores_Dallas_13210</t>
  </si>
  <si>
    <t>John Rd W_1810_Buckner Village_Dallas_13211</t>
  </si>
  <si>
    <t>Marsh Ln_11911_Burgundy_Dallas_13213</t>
  </si>
  <si>
    <t>Las Colinas Blvd E_385_Cabochon at Las Colinas I_Irving_13214</t>
  </si>
  <si>
    <t>Las Colinas Blvd E_385_Cabochon at Las Colinas II_Irving_13216</t>
  </si>
  <si>
    <t>Eastridge_6706_Calais-Slopes Condos_Dallas_13217</t>
  </si>
  <si>
    <t>NW Hwy E_5959_Cambridge_Dallas_13218</t>
  </si>
  <si>
    <t>Valley Pkwy N_1402_Cambridge Village_Lewisville_13219</t>
  </si>
  <si>
    <t>Canton_2210_Camden Farmers Market I_Dallas_13220</t>
  </si>
  <si>
    <t>Trinity Mills_4280_Camden Garden_Dallas_13221</t>
  </si>
  <si>
    <t>Hampshire_1212_Camelot_Richardson_13222</t>
  </si>
  <si>
    <t>80 Hwy E_4200_Camelot Village_Mesquite_13223</t>
  </si>
  <si>
    <t>Acton Ave &amp; Candlelight Ave_1402 &amp; 1407_Candlelight Park_Duncanville_13224</t>
  </si>
  <si>
    <t>Renner Rd E_2600_Canterbury Courts_Richardson_13225</t>
  </si>
  <si>
    <t>Stone Canyon_10951_Canyon Creek_Dallas_13226</t>
  </si>
  <si>
    <t>Treehouse_7910_Canyon Falls_Dallas_13227</t>
  </si>
  <si>
    <t>Graycliff_2222_The Villas Of White Rock_Dallas_13229</t>
  </si>
  <si>
    <t>Meadow Rd_8209_Canyon Point_Dallas_13230</t>
  </si>
  <si>
    <t>Yellow Jacket Ln_1000_Canyon Ridge_Rockwall_13231</t>
  </si>
  <si>
    <t>Hall St N_3140_Carlisle on the Katy Trail_Dallas_13234</t>
  </si>
  <si>
    <t>Maham_13323_Carlton Court I &amp; II_Dallas_13235</t>
  </si>
  <si>
    <t>Carpenter Ave_4312_Carpenter Cove_Dallas_13236</t>
  </si>
  <si>
    <t>80 Hwy 1-A E_3421_Carrera Run_Mesquite_13237</t>
  </si>
  <si>
    <t>Preston_14827_Carriage Homes of Signature Place_Dallas_13238</t>
  </si>
  <si>
    <t>Communications Pkwy_3001_Carrington Park_Plano_13240</t>
  </si>
  <si>
    <t>Kelly Blvd_18211_Carrollton Park_Dallas_13242</t>
  </si>
  <si>
    <t>Hillcrest St_1125_Casa Claire_Mesquite_13243</t>
  </si>
  <si>
    <t>Randolph Dr N_100_Casa de Loma_Dallas_13244</t>
  </si>
  <si>
    <t>Santa Fe Trl_500_Casa Valley_Irving_13245</t>
  </si>
  <si>
    <t>Oates_2125_Casa View_Dallas_13246</t>
  </si>
  <si>
    <t>Cedar Springs_5115_Castillian_Dallas_13247</t>
  </si>
  <si>
    <t>Castle Dr_2057_Castle Cove_Garland_13248</t>
  </si>
  <si>
    <t>80 Hwy #146 E_2457_Castle Loma_Mesquite_13250</t>
  </si>
  <si>
    <t>Bellaire Blvd_998_Catalina at Bellaire_Lewisville_13251</t>
  </si>
  <si>
    <t>Graves St S_600_Cedar Creek Village_McKinney_13253</t>
  </si>
  <si>
    <t>Camp Wisdom Rd W_6363_Cedar Glen_Dallas_13254</t>
  </si>
  <si>
    <t>175 US Hwy N_2106_Cedar Point_Seagoville_13255</t>
  </si>
  <si>
    <t>Cedar Springs_4411_Cedar Point_Dallas_13256</t>
  </si>
  <si>
    <t>Rosemeade Pkwy_3750_Cedarbrook_Dallas_13258</t>
  </si>
  <si>
    <t>Buckingham W_3754_Cedars_Garland_13259</t>
  </si>
  <si>
    <t>Center W_700_Center Ridge_Duncanville_13261</t>
  </si>
  <si>
    <t>Forest Ln_9637_Chimney Hill_Dallas_13262</t>
  </si>
  <si>
    <t>Spring Creek Pkwy E_1800_The Giovanna_Plano_13263</t>
  </si>
  <si>
    <t>Frankford_2626_Centerpoint_Dallas_13264</t>
  </si>
  <si>
    <t>Centerville Rd W_834_Centerville Crossing_Garland_13265</t>
  </si>
  <si>
    <t>Duck Creek_4266_Centerville Pointe_Garland_13266</t>
  </si>
  <si>
    <t>Lawrence Dr_4386_Centron I &amp; II_Garland_13268</t>
  </si>
  <si>
    <t>Haverwood_4912_Champions of North Dallas_Dallas_13270</t>
  </si>
  <si>
    <t>MacArthur Blvd N_10201_The Champions of Valley Ranch_Irving_13271</t>
  </si>
  <si>
    <t>3040 FM_300_Chapel Hill II_Lewisville_13272</t>
  </si>
  <si>
    <t>Roundgrove Rd E_300_Chapel Hill I_Lewisville_13273</t>
  </si>
  <si>
    <t>Vista Ridge Mall Dr_275_Chapel Hill III_Lewisville_13274</t>
  </si>
  <si>
    <t>O'Connor Rd_3701_Chaparral Creek_Irving_13275</t>
  </si>
  <si>
    <t>Stone Canyon_10931_Chase Crossing_Dallas_13276</t>
  </si>
  <si>
    <t>Amesbury_5657_The Chase_Dallas_13277</t>
  </si>
  <si>
    <t>Dilido Rd_2900_Bella Vista Pointe_Dallas_13279</t>
  </si>
  <si>
    <t>Walnut St W_3100_Cherrybrook_Garland_13280</t>
  </si>
  <si>
    <t>Audelia_11620_Chesapeake_Dallas_13281</t>
  </si>
  <si>
    <t>Amanda_11363_Villa Vista_Dallas_13282</t>
  </si>
  <si>
    <t>Park Blvd_1001_Chisholm Place Condos_Plano_13283</t>
  </si>
  <si>
    <t>Carl Rd_1900_Village at the Crossroads_Irving_13284</t>
  </si>
  <si>
    <t>Brittain N_1701_Chivas West_Irving_13285</t>
  </si>
  <si>
    <t>Churchill Way_7601_Churchill On The Park_Dallas_13286</t>
  </si>
  <si>
    <t>Broadway Commons_637_The Arts Apts at Broadway Commons I_Garland_13287</t>
  </si>
  <si>
    <t>Prestonview Blvd_5800_Regal Court_Dallas_13289</t>
  </si>
  <si>
    <t>Lina St_18809_City Limits_Dallas_13291</t>
  </si>
  <si>
    <t>360 Hwy N_2355_The Clairborne_Grand Prairie_13292</t>
  </si>
  <si>
    <t>Highland Rd_2472_Claremont_Dallas_13293</t>
  </si>
  <si>
    <t>Beltline Rd N_3800_Clarendon_Irving_13294</t>
  </si>
  <si>
    <t>Park Ln_8350_Claridge Pointe_Dallas_13295</t>
  </si>
  <si>
    <t>Alouette Dr_2955_Clayton Pointe_Grand Prairie_13296</t>
  </si>
  <si>
    <t>Renner Rd_4000_Clearwater Creek_Richardson_13297</t>
  </si>
  <si>
    <t>Overton E_220_Cliff Park Village_Dallas_13298</t>
  </si>
  <si>
    <t>Cliffbrook Dr #108_7965_Cliffbrook Condos_Dallas_13299</t>
  </si>
  <si>
    <t>Southwestern_8820_The Cliffs_Dallas_13300</t>
  </si>
  <si>
    <t>Eldorado Pkwy_1300_Cliffs of Eldorado_McKinney_13301</t>
  </si>
  <si>
    <t>Brookhaven Club Dr_4015_Brookhaven Village South-Clipper Pointe_Addison_13302</t>
  </si>
  <si>
    <t>Webb Chapel Extension_3333_Clubview Gardens_Dallas_13303</t>
  </si>
  <si>
    <t>Stone Canyon Rd_10830_Avondale Parc_Dallas_13304</t>
  </si>
  <si>
    <t>Devonshire_3130_Cobblestone Condo Apts_Plano_13305</t>
  </si>
  <si>
    <t>Cole Ave_3304_Post Cole's Corner_Dallas_13306</t>
  </si>
  <si>
    <t>Rainier_4300_Colinas Pointe_Irving_13307</t>
  </si>
  <si>
    <t>G Ave_1809_Collin Park_Plano_13308</t>
  </si>
  <si>
    <t>Bolton Boone Dr_2525_Colonies_Desoto_13311</t>
  </si>
  <si>
    <t>Osler Dr_2815_Colonnade_Grand Prairie_13312</t>
  </si>
  <si>
    <t>Meredith_1100_Colonnade at Willow Bend_Plano_13313</t>
  </si>
  <si>
    <t>Coker_3321_Colony_Irving_13314</t>
  </si>
  <si>
    <t>Fort Worth Ave_2242_Colorado Place (demolished)_Dallas_13315</t>
  </si>
  <si>
    <t>Cliff Creek Crossings_7550_Mandalay Palms II_Dallas_13316</t>
  </si>
  <si>
    <t>Carlisle St_2821_Gables on Katy Trail_Dallas_13318</t>
  </si>
  <si>
    <t>Whitehurst_9941_The Park On Whitehurst_Dallas_13319</t>
  </si>
  <si>
    <t>Carlisle_3210_Constantine_Dallas_13320</t>
  </si>
  <si>
    <t>Maham Rd_13450_Linda Vista_Dallas_13321</t>
  </si>
  <si>
    <t>Shady Brook_6310_The Corners_Dallas_13323</t>
  </si>
  <si>
    <t>Wintergreen E_210_The Corners_Desoto_13324</t>
  </si>
  <si>
    <t>Shady Brook_6310_The Corners East_Dallas_13325</t>
  </si>
  <si>
    <t>Spring Valley Dr_3950_Lakeview at Parkside_Farmers Branch_13326</t>
  </si>
  <si>
    <t>Greenville Ave N_301_Cottonwood Creek_Allen_13327</t>
  </si>
  <si>
    <t>Metrocrest_1705_Country Club_Carrollton_13328</t>
  </si>
  <si>
    <t>Centerville E_1701_Country Club Condo Apts_Garland_13329</t>
  </si>
  <si>
    <t>Jupiter N_1702_Creekside on the Green_Garland_13330</t>
  </si>
  <si>
    <t>Country Sq_3015_Country Square_Carrollton_13331</t>
  </si>
  <si>
    <t>Country Sq_3430_Country Trails_Carrollton_13332</t>
  </si>
  <si>
    <t>First St_301_Country View_Wilmer_13333</t>
  </si>
  <si>
    <t>Preston Oaks_5400_Courts at Preston Oaks_Dallas_13334</t>
  </si>
  <si>
    <t>Knoll Trl_17250_Courts of Bent Tree_Dallas_13335</t>
  </si>
  <si>
    <t>Pear Ridge_5050_Crestmont Reserve_Dallas_13337</t>
  </si>
  <si>
    <t>Shiloh Dr N_2046_Courtyard_Garland_13338</t>
  </si>
  <si>
    <t>Ridgecrest_6003_Courtyard On Ridgecrest_Dallas_13340</t>
  </si>
  <si>
    <t>McKinney Ave_4654_Courtyards at Knox Park_Dallas_13342</t>
  </si>
  <si>
    <t>Carrier Pkwy_1109_Covington_Grand Prairie_13343</t>
  </si>
  <si>
    <t>Pioneer W_4188_Covington Creek_Irving_13344</t>
  </si>
  <si>
    <t>Woodmeadow Pkwy_11110_Creek Stone_Dallas_13345</t>
  </si>
  <si>
    <t>Chesterfield Dr_7501_Mandalay Palms I_Dallas_13347</t>
  </si>
  <si>
    <t>Walnut W_3110_Creekside_Garland_13348</t>
  </si>
  <si>
    <t>Preston_14255_Creekview_Dallas_13350</t>
  </si>
  <si>
    <t>Little Creek Rd_151_Little Creek Apts_Cedar Hill_13351</t>
  </si>
  <si>
    <t>Pioneer Dr W_4208_Creekwood_Irving_13352</t>
  </si>
  <si>
    <t>Rolling Hills Place_485_Creekwood Place_Lancaster_13353</t>
  </si>
  <si>
    <t>Audelia_10928_The Azul_Dallas_13354</t>
  </si>
  <si>
    <t>Hebron Pkwy_801_Crescent Cove at Lakepoint_Lewisville_13355</t>
  </si>
  <si>
    <t>Lucas Dr_2924_Crescent View_Dallas_13356</t>
  </si>
  <si>
    <t>Ridgecrest_6417_Crestridge_Dallas_13357</t>
  </si>
  <si>
    <t>NW Hwy E_6033_Cross Creek_Dallas_13358</t>
  </si>
  <si>
    <t>Alma_7401_Cross Creek_Plano_13359</t>
  </si>
  <si>
    <t>Fair Oaks Crossing_8850_Sonora Palms_Dallas_13360</t>
  </si>
  <si>
    <t>Walnut Hill_2615_Crossings on Walnut Hill_Irving_13361</t>
  </si>
  <si>
    <t>Gus Thomasson_3718_Churchill Crossing_Mesquite_13364</t>
  </si>
  <si>
    <t>Custer_3400_Custer Park_Plano_13365</t>
  </si>
  <si>
    <t>Abrams Rd_1111_Cutter's Point_Richardson_13366</t>
  </si>
  <si>
    <t>Macarthur Blvd_7902_Legacy at Valley Ranch_Irving_13368</t>
  </si>
  <si>
    <t>Peavy Rd_2880_Vista Del Sol_Dallas_13369</t>
  </si>
  <si>
    <t>Lina St_18800_Dana Point_Dallas_13370</t>
  </si>
  <si>
    <t>Dallas Pkwy_14500_Davenport I &amp; II_Dallas_13371</t>
  </si>
  <si>
    <t>Peters Colony E_1834_Dawntree_Carrollton_13373</t>
  </si>
  <si>
    <t>Commerce_3401_Deep Ellum Lofts_Dallas_13374</t>
  </si>
  <si>
    <t>Trinity Mills_3637_Deer Run_Dallas_13375</t>
  </si>
  <si>
    <t>Forest Ln_9670_Deerfield_Dallas_13376</t>
  </si>
  <si>
    <t>Melody Ln_6467_CityScape_Dallas_13377</t>
  </si>
  <si>
    <t>Safari W_606_Derby Park_Grand Prairie_13378</t>
  </si>
  <si>
    <t>Buckner S_3402_Bella Vista Creek_Dallas_13379</t>
  </si>
  <si>
    <t>Chariot Dr_8039_Solana Ridge_Dallas_13380</t>
  </si>
  <si>
    <t>Windcrest Dr_6400_The Domaine_Plano_13381</t>
  </si>
  <si>
    <t>Montfort_13740_Doral_Dallas_13382</t>
  </si>
  <si>
    <t>Spring Valley_5300_Dorchester_Dallas_13383</t>
  </si>
  <si>
    <t>Bethany Dr #102 E_540_Dove Hollow_Allen_13384</t>
  </si>
  <si>
    <t>Lina_18959_Eagle Creek_Dallas_13387</t>
  </si>
  <si>
    <t>Northgate Dr W_4013_Eagle Crest_Irving_13388</t>
  </si>
  <si>
    <t>Oates Rd E_238_Eagle's Landing_Garland_13389</t>
  </si>
  <si>
    <t>Childress_4047_Eastpoint_Mesquite_13390</t>
  </si>
  <si>
    <t>Willis_5140_Eastbridge_Dallas_13391</t>
  </si>
  <si>
    <t>John Rd W_2626_Eastfield Plaza_Mesquite_13392</t>
  </si>
  <si>
    <t>La Prada Dr E_8405_Eastfield Village_Dallas_13393</t>
  </si>
  <si>
    <t>Vontress Dr_1404_Eastside Village I &amp; II_Plano_13395</t>
  </si>
  <si>
    <t>Baywater_5900_Heritage at Lakeside_Plano_13396</t>
  </si>
  <si>
    <t>Frankford_1721_Edentree_Carrollton_13398</t>
  </si>
  <si>
    <t>Lake Side Cir_800_Edgewater_Lewisville_13399</t>
  </si>
  <si>
    <t>Nursery Rd N_800_Edgewood_Irving_13400</t>
  </si>
  <si>
    <t>Uecker_2190_Edgewood Village_Lewisville_13401</t>
  </si>
  <si>
    <t>Craig Dr_3400_El Lago_McKinney_13402</t>
  </si>
  <si>
    <t>Pioneer W_2871_Emerald Point_Irving_13403</t>
  </si>
  <si>
    <t>Valley Ranch Pkwy W_9835_Camden Valley Park_Irving_13404</t>
  </si>
  <si>
    <t>Marsh Ln_18250_Camden Springs_Dallas_13405</t>
  </si>
  <si>
    <t>Lakeside Cir_901_Emery Bay at Lakepointe_Lewisville_13406</t>
  </si>
  <si>
    <t>Uecker S_2197_Enclave_Lewisville_13407</t>
  </si>
  <si>
    <t>Beltline N_2200_Mission Courtyard Villas_Mesquite_13408</t>
  </si>
  <si>
    <t>Stonebrook Pkwy_8083_Enclave at Stonebrook_Frisco_13409</t>
  </si>
  <si>
    <t>MacArthur N_9805_The Enclave at Valley Ranch_Irving_13410</t>
  </si>
  <si>
    <t>Larmanda_6731_Stratford Hill_Dallas_13412</t>
  </si>
  <si>
    <t>Royal Ln W_2527_Vista at Hackbury Creek_Irving_13413</t>
  </si>
  <si>
    <t>Shiloh N_6200_Equinox on the Park_Garland_13414</t>
  </si>
  <si>
    <t>Dickason_4411_Establishment_Dallas_13415</t>
  </si>
  <si>
    <t>Block Dr_4023_Estelle Creek North_Irving_13416</t>
  </si>
  <si>
    <t>Estrada Pkwy_2115_Colonial Village at Estrada_Irving_13417</t>
  </si>
  <si>
    <t>Estrada Pkwy_1900_Crossings at Irving_Irving_13418</t>
  </si>
  <si>
    <t>Fair Oaks Crossing_8849_Fair Oaks Creek_Dallas_13419</t>
  </si>
  <si>
    <t>Bordeaux_6201_Fairfax_Dallas_13420</t>
  </si>
  <si>
    <t>Coit Rd_1705_Fairway_Plano_13421</t>
  </si>
  <si>
    <t>Woodmeadow Pkwy_11011_Fairway Greens_Dallas_13422</t>
  </si>
  <si>
    <t>360 Hwy N_1450_Fairways_Grand Prairie_13423</t>
  </si>
  <si>
    <t>67 US Hwy_801_Mission Fairways at Mesquite_Mesquite_13424</t>
  </si>
  <si>
    <t>Forest Springs Dr_9450_Villas on Forest Springs I_Dallas_13425</t>
  </si>
  <si>
    <t>Bruton Rd_9797_The Falls_Dallas_13426</t>
  </si>
  <si>
    <t>Clearwood_613_Falls on Clearwood_Richardson_13427</t>
  </si>
  <si>
    <t>LBJ Fwy_19200_Falltree_Mesquite_13428</t>
  </si>
  <si>
    <t>Josey_4747_Fieldcrest Condominiums_Carrollton_13430</t>
  </si>
  <si>
    <t>Finley Rd_2434_Finley Square_Irving_13431</t>
  </si>
  <si>
    <t>Duck Creek_4328_Forest at Duck Creek_Garland_13432</t>
  </si>
  <si>
    <t>Forestbrook_165_Forest Brook_Lewisville_13433</t>
  </si>
  <si>
    <t>Forest Ln_9690_Trinity Palms_Dallas_13434</t>
  </si>
  <si>
    <t>Forest Ln_9600_Forest Cove_Dallas_13435</t>
  </si>
  <si>
    <t>Chimney Hill Ln_9655_Bosque Estates_Dallas_13436</t>
  </si>
  <si>
    <t>Forest Ln_9659_Forest Hill_Dallas_13437</t>
  </si>
  <si>
    <t>Forest Ln_3423_Forest Park Village_Dallas_13439</t>
  </si>
  <si>
    <t>Forest Springs Dr_9475_Villas on Forest Springs II_Dallas_13440</t>
  </si>
  <si>
    <t>Forest Ln_9601_Forestwood on the Creek_Dallas_13441</t>
  </si>
  <si>
    <t>Forest Ln Place_5133_Forestwood TH_Dallas_13442</t>
  </si>
  <si>
    <t>Regal Park_10004_Fountains_Dallas_13444</t>
  </si>
  <si>
    <t>Jupiter_12993_Fountains at Jupiter_Dallas_13445</t>
  </si>
  <si>
    <t>Rosemeade Pkwy_3440_Fountains of Rosemeade_Carrollton_13446</t>
  </si>
  <si>
    <t>Woodmeadow Pkwy_10950_Fountains of Woodmeadow_Dallas_13447</t>
  </si>
  <si>
    <t>Cranford_2156_Fox Bend_Garland_13448</t>
  </si>
  <si>
    <t>Tarrant Rd W_1920_The Belmont_Grand Prairie_13450</t>
  </si>
  <si>
    <t>Josey_1910_Fox Creek North_Carrollton_13451</t>
  </si>
  <si>
    <t>Ferndale_8783_Fox Hills_Dallas_13452</t>
  </si>
  <si>
    <t>Fox Ave_696_Fox Hollow_Lewisville_13453</t>
  </si>
  <si>
    <t>Roundrock_6300_Fox Trails_Plano_13454</t>
  </si>
  <si>
    <t>Pineland Dr_5759_Foxfire_Dallas_13456</t>
  </si>
  <si>
    <t>Royal Ln_9450_Fox Hollow_Dallas_13457</t>
  </si>
  <si>
    <t>Hillcrest_1217_Foxwood_Mesquite_13458</t>
  </si>
  <si>
    <t>Frances Way_900_Frances Way Villas_Richardson_13459</t>
  </si>
  <si>
    <t>Winifred_1201_Franciscan_Garland_13460</t>
  </si>
  <si>
    <t>Frankford_1811_Frankford Place_Carrollton_13462</t>
  </si>
  <si>
    <t>Woodmeadow Pkwy_11111_Gable Point_Dallas_13463</t>
  </si>
  <si>
    <t>Lookout Dr_2701_Retreat at Spring Park_Garland_13465</t>
  </si>
  <si>
    <t>360 Hwy N_2175_The Seasons at Green Oaks_Grand Prairie_13466</t>
  </si>
  <si>
    <t>Eldorado Pkwy_1500_Gables of McKinney_McKinney_13467</t>
  </si>
  <si>
    <t>Noel Rd_14181_San Raphael_Dallas_13468</t>
  </si>
  <si>
    <t>State St_3010_Manchester State Thomas I TH_Dallas_13469</t>
  </si>
  <si>
    <t>Cole_3711_Gables at Turtle Creek Cityplace_Dallas_13470</t>
  </si>
  <si>
    <t>Travis St_3530_Riviera at West Village_Dallas_13471</t>
  </si>
  <si>
    <t>Valley Ranch Pkwy W_8600_Veranda At Valley Ranch_Irving_13472</t>
  </si>
  <si>
    <t>Frankford_1737_Galleria TH_Carrollton_13473</t>
  </si>
  <si>
    <t>Legacy_1201_Garden Gate-Plano_Plano_13474</t>
  </si>
  <si>
    <t>Meadows Blvd E_2500_Garden House in the Park_Mesquite_13475</t>
  </si>
  <si>
    <t>Brookhaven Club Dr_4005_Brookhaven Village South-Garden Oaks_Addison_13476</t>
  </si>
  <si>
    <t>Josey Ln_1937_Gardens of Josey Lane_Carrollton_13477</t>
  </si>
  <si>
    <t>Garrett_2015_Garrett Gardens_Dallas_13478</t>
  </si>
  <si>
    <t>Gaston_2752_Marquis on Gaston_Dallas_13479</t>
  </si>
  <si>
    <t>Frankford Rd_3613_Gates de Provence_Dallas_13480</t>
  </si>
  <si>
    <t>NW Hwy W_3932_The Gates of Bluffview_Dallas_13481</t>
  </si>
  <si>
    <t>Joe Wilson Rd S_201_Gates of Cedar Hill_Cedar Hill_13482</t>
  </si>
  <si>
    <t>Frankford Rd_3702_The Sequoia at Frankford Springs_Dallas_13483</t>
  </si>
  <si>
    <t>Churchill Way_7900_The Marquis at Park Central_Dallas_13484</t>
  </si>
  <si>
    <t>Kit Ln_13455_Gateway_Dallas_13485</t>
  </si>
  <si>
    <t>Gatewood_782_Gateway Place_Garland_13486</t>
  </si>
  <si>
    <t>Ridgecrest_6036_Gatewood Senior Community_Dallas_13487</t>
  </si>
  <si>
    <t>Marsh Ln_18880_The Georgian_Dallas_13488</t>
  </si>
  <si>
    <t>Skillman St_8300_Glen Oaks_Dallas_13490</t>
  </si>
  <si>
    <t>Glenbrook Dr S_2121_Glenbrook Place_Garland_13492</t>
  </si>
  <si>
    <t>Spring Valley_3800_Brookhaven Village North-Glenwood_Addison_13494</t>
  </si>
  <si>
    <t>Hillridge_3500_Golden Leaf Village_Plano_13496</t>
  </si>
  <si>
    <t>Commerce_4140_Goodrich Lofts_Dallas_13497</t>
  </si>
  <si>
    <t>Westchester Pkwy W_525_The Grand Courtyards_Grand Prairie_13499</t>
  </si>
  <si>
    <t>Love Dr_6225_Grand Venetian at Las Colinas_Irving_13500</t>
  </si>
  <si>
    <t>Amesbury_5350_The Green in the Village I_Dallas_13501</t>
  </si>
  <si>
    <t>Spring Valley Rd E_111_Green Valley (Demolished)_Richardson_13502</t>
  </si>
  <si>
    <t>Spring Creek Pkwy W_1901_Greenbriar_Plano_13503</t>
  </si>
  <si>
    <t>Fairway Dr_777_Oaks Riverchase_Coppell_13504</t>
  </si>
  <si>
    <t>Brookhaven Club Dr_3789_Greenbrook (Demolished)_Addison_13505</t>
  </si>
  <si>
    <t>Brookhaven Club Dr_3900_Greenhaven Village (Demolished)_Addison_13506</t>
  </si>
  <si>
    <t>Woodmeadow Pkwy_10700_Greens Crossing_Dallas_13507</t>
  </si>
  <si>
    <t>Old Hickory Trl_8613_Greens of Hickory Trails_Dallas_13508</t>
  </si>
  <si>
    <t>MacArthur_1120_Greentree_Carrollton_13509</t>
  </si>
  <si>
    <t>Jupiter Rd N_4622_Meridian Pointe_Garland_13510</t>
  </si>
  <si>
    <t>Frankford Rd_3621_Greysons Gate_Dallas_13511</t>
  </si>
  <si>
    <t>Jupiter_1705_Grove Park_Plano_13512</t>
  </si>
  <si>
    <t>SW Pkwy E_248_Hampton Bay_Lewisville_13513</t>
  </si>
  <si>
    <t>Swiss Ave_4402_Hamptons_Dallas_13515</t>
  </si>
  <si>
    <t>Woodmeadow Pkwy_10911_Hampton Greens_Dallas_13516</t>
  </si>
  <si>
    <t>Ridgecrest_6050_Harvard Square_Dallas_13518</t>
  </si>
  <si>
    <t>Harvest Hill_4121_Spanish Point_Dallas_13519</t>
  </si>
  <si>
    <t>Independence Pkwy_5401_The Place at Harvestree_Plano_13520</t>
  </si>
  <si>
    <t>Hudnall_3301_Harvey's Racquet Club_Dallas_13521</t>
  </si>
  <si>
    <t>Haverwood Ln_4701_Haverly Park I_Dallas_13522</t>
  </si>
  <si>
    <t>Haverwood_4804_Haverly Park II_Dallas_13523</t>
  </si>
  <si>
    <t>Heather Ln_100_Heather Lane TH_Terrell_13525</t>
  </si>
  <si>
    <t>Esters_4030_Heather Ridge_Irving_13526</t>
  </si>
  <si>
    <t>Marsh Ln_18950_Heatherstone_Dallas_13527</t>
  </si>
  <si>
    <t>Sceyene_9755_Heatherwood_Dallas_13528</t>
  </si>
  <si>
    <t>Hebron Pkwy_1930_Hebron Oaks_Carrollton_13529</t>
  </si>
  <si>
    <t>Hebron Pkwy E_1109_Hebron Trail_Carrollton_13530</t>
  </si>
  <si>
    <t>State St #111_3015_Post Heights_Dallas_13532</t>
  </si>
  <si>
    <t>Heritage Dr_1600_Heritage Place_McKinney_13535</t>
  </si>
  <si>
    <t>Spring Valley_5636_Hidden Bend_Dallas_13536</t>
  </si>
  <si>
    <t>College Pkwy_1200_Hidden Creek_Lewisville_13537</t>
  </si>
  <si>
    <t>Ferris Branch Blvd W_9702_Hidden Ridge_Dallas_13538</t>
  </si>
  <si>
    <t>Hidden Ridge_1290_Hidden Ridge_Irving_13539</t>
  </si>
  <si>
    <t>5th St W_1901_Hidden Village_Irving_13540</t>
  </si>
  <si>
    <t>Manderville Ln_8111_High Ridge_Dallas_13543</t>
  </si>
  <si>
    <t>Audelia_9842_Advenir at North Park_Dallas_13544</t>
  </si>
  <si>
    <t>Wheeler_3706_Highland Manor_Dallas_13546</t>
  </si>
  <si>
    <t>Highland Rd_2600_Highland Meadows_Dallas_13547</t>
  </si>
  <si>
    <t>Main St S_1019_Highland Oaks_Duncanville_13548</t>
  </si>
  <si>
    <t>Lake Highlands Dr_11201_The Arbors_Dallas_13549</t>
  </si>
  <si>
    <t>Hustead St_715_Highlands of Duncanville_Duncanville_13551</t>
  </si>
  <si>
    <t>8th St SE_3517_Highlands of Grand Prairie_Grand Prairie_13552</t>
  </si>
  <si>
    <t>Ohio_2523_Highlands of Preston I_Plano_13553</t>
  </si>
  <si>
    <t>Valley Ranch Pkwy E_9500_Highlands of Valley Ranch_Irving_13554</t>
  </si>
  <si>
    <t>Markville Dr_9050_The Falls at Highpoint_Dallas_13555</t>
  </si>
  <si>
    <t>Ohio_2401_Highwood_Plano_13556</t>
  </si>
  <si>
    <t>Caruth Haven_5787_The Hill in The Village_Dallas_13557</t>
  </si>
  <si>
    <t>Walnut Hill Ln W_3149_Hillcrest_Irving_13558</t>
  </si>
  <si>
    <t>Hillcrest St_2019_Hillcrest_Mesquite_13559</t>
  </si>
  <si>
    <t>Tarrant W_1960_Hillcrest_Grand Prairie_13560</t>
  </si>
  <si>
    <t>30 IH W_930_Hills of Palos Verdes_Garland_13561</t>
  </si>
  <si>
    <t>Spring Valley W_800_Hillsdale Garden_Richardson_13562</t>
  </si>
  <si>
    <t>Raleigh Dr_1020_Hillside_Carrollton_13563</t>
  </si>
  <si>
    <t>McCree_11440_Hilton Head_Dallas_13565</t>
  </si>
  <si>
    <t>Plymouth Rd N_811_Holiday Hills I_Dallas_13566</t>
  </si>
  <si>
    <t>Plymouth N_811_Holiday Hills II_Dallas_13567</t>
  </si>
  <si>
    <t>Belt Line_1810_Holiday Park_Garland_13568</t>
  </si>
  <si>
    <t>Renner Rd W_280_Homes of Prairie Springs_Richardson_13569</t>
  </si>
  <si>
    <t>Hondo_2544_Hondo Park_Dallas_13572</t>
  </si>
  <si>
    <t>Ferguson Rd_11611_Honey Creek_Dallas_13573</t>
  </si>
  <si>
    <t>Hudnall_3136_Hub in Oaklawn_Dallas_13574</t>
  </si>
  <si>
    <t>Point Blvd_4351_Hubbards Ridge_Garland_13575</t>
  </si>
  <si>
    <t>Spring Valley_8550_Hunters Court_Dallas_13576</t>
  </si>
  <si>
    <t>Commodore_3056_Hunters Cove_Grand Prairie_13577</t>
  </si>
  <si>
    <t>Independence_6400_Hunters Glen_Plano_13578</t>
  </si>
  <si>
    <t>Midway_18081_Hunter's Hill_Dallas_13579</t>
  </si>
  <si>
    <t>Saint Francis Ave_4748_Hunter's Run_Dallas_13580</t>
  </si>
  <si>
    <t>Summerwood Cir_9821_Hunting Ridge_Dallas_13581</t>
  </si>
  <si>
    <t>Audelia_12516_Huntington Brook_Dallas_13582</t>
  </si>
  <si>
    <t>Round Grove Rd_409_Huntington Circle_Lewisville_13583</t>
  </si>
  <si>
    <t>Enterprise_14802_Huntington Cove TH_Farmers Branch_13584</t>
  </si>
  <si>
    <t>Skillman_7324_Huntington Lakes I &amp; II_Dallas_13585</t>
  </si>
  <si>
    <t>Esters_4220_Huntington Ridge_Irving_13586</t>
  </si>
  <si>
    <t>Spring Valley Plaza_910_Huntington TH_Richardson_13587</t>
  </si>
  <si>
    <t>Country Sq_3525_Hutton Creek_Carrollton_13588</t>
  </si>
  <si>
    <t>Haverwood_4849_Idlewyld Village_Dallas_13589</t>
  </si>
  <si>
    <t>Independence_6501_Independence Crossing_Plano_13590</t>
  </si>
  <si>
    <t>Old Denton Rd_3910_Indian Creek_Carrollton_13591</t>
  </si>
  <si>
    <t>8th St W_3706_Indian Ridge_Dallas_13592</t>
  </si>
  <si>
    <t>Forest Ln_9669_Indigo on Forest_Dallas_13593</t>
  </si>
  <si>
    <t>Marsh_2210_Irishman's Creek_Carrollton_13594</t>
  </si>
  <si>
    <t>Rock Island Rd_1928_Irving Oaks_Irving_13596</t>
  </si>
  <si>
    <t>Park Ln_8900_Ivanhoe_Dallas_13597</t>
  </si>
  <si>
    <t>Audelia_11601_Sienna Palms_Dallas_13598</t>
  </si>
  <si>
    <t>Texas_910_AMLI at Bryan Place_Dallas_13600</t>
  </si>
  <si>
    <t>Beckley Ave N_1520_Grand Estates at Kessler Park_Dallas_13601</t>
  </si>
  <si>
    <t>Technology Blvd_10106_Aslan La Valencia_Dallas_13602</t>
  </si>
  <si>
    <t>Ohio_8025_Mission Gate_Plano_13603</t>
  </si>
  <si>
    <t>Montfort_14332_Villas at Montfort_Dallas_13604</t>
  </si>
  <si>
    <t>Field St N_2323_Jefferson at the North End_Dallas_13605</t>
  </si>
  <si>
    <t>Timberglen Rd_4607_The Verandas at Timberglen_Dallas_13606</t>
  </si>
  <si>
    <t>University W_4400_Archstone Park Cities_Dallas_13607</t>
  </si>
  <si>
    <t>Royal Ln W_800_Jefferson Creek_Irving_13608</t>
  </si>
  <si>
    <t>Marsh Ln_18788_Crossings On Marsh_Dallas_13609</t>
  </si>
  <si>
    <t>Hidden Ridge_1127_Jefferson Park_Irving_13610</t>
  </si>
  <si>
    <t>Macarthur N_6306_Jefferson Place_Irving_13611</t>
  </si>
  <si>
    <t>Macarthur_5301_Jefferson Ridge_Irving_13612</t>
  </si>
  <si>
    <t>Josey_1845_Josey Place_Carrollton_13613</t>
  </si>
  <si>
    <t>Beltline Rd E_1721_Karrington_Coppell_13614</t>
  </si>
  <si>
    <t>Marsh_2121_Keller Oaks_Carrollton_13615</t>
  </si>
  <si>
    <t>Frankford_2601_Kelly Crossing_Dallas_13616</t>
  </si>
  <si>
    <t>Country Club W_3413_Kensington Park_Irving_13617</t>
  </si>
  <si>
    <t>Timberglen Rd_3653_Keystone Ranch_Dallas_13618</t>
  </si>
  <si>
    <t>Bond St_5342_Knightsbridge of Las Colinas_Irving_13619</t>
  </si>
  <si>
    <t>Kings Rd_2929_Kingsgate_Dallas_13621</t>
  </si>
  <si>
    <t>Kingsley W_1900_Kingsley Crossings_Garland_13622</t>
  </si>
  <si>
    <t>Main_1509_Kirby Residences On Main_Dallas_13623</t>
  </si>
  <si>
    <t>Story Rd S_700_Kirkwood Park_Irving_13625</t>
  </si>
  <si>
    <t>Guerrero Dr_2500_Carrollton Oaks_Carrollton_13626</t>
  </si>
  <si>
    <t>Walnut Hill_2727_Knollwood_Irving_13627</t>
  </si>
  <si>
    <t>Cole_4649_Gables Knoxbridge_Dallas_13628</t>
  </si>
  <si>
    <t>Merit Dr_12500_La Costa Villas_Dallas_13630</t>
  </si>
  <si>
    <t>La Prada Dr_8383_La Prada Place_Dallas_13631</t>
  </si>
  <si>
    <t>Ventura_2600_La Ventura_Plano_13633</t>
  </si>
  <si>
    <t>Sotogrande Blvd_1401_Westdale Hills LaCosta_Euless_13634</t>
  </si>
  <si>
    <t>30 IH E_1365_Lake Bluff_Garland_13635</t>
  </si>
  <si>
    <t>Chaha Rd_4605_Lake Colony TH_Garland_13637</t>
  </si>
  <si>
    <t>Zion_5409_Lake Meadows_Garland_13639</t>
  </si>
  <si>
    <t>Lake Cir N_9340-A_Lake North_Dallas_13640</t>
  </si>
  <si>
    <t>Valley View Ln_1720_Lake Ridge_Irving_13641</t>
  </si>
  <si>
    <t>Kendale_2921_Lakedale_Dallas_13642</t>
  </si>
  <si>
    <t>Spring Valley Rd W_900_Lakefront Villas_Richardson_13643</t>
  </si>
  <si>
    <t>Lakehill_2610_Lakehill TH_Carrollton_13644</t>
  </si>
  <si>
    <t>Lake Park Rd_322_Lakeland_Lewisville_13645</t>
  </si>
  <si>
    <t>Lakepoint Dr_2025_Lakepointe Residences_Lewisville_13646</t>
  </si>
  <si>
    <t>Southwestern_8610_The Lakes_Dallas_13647</t>
  </si>
  <si>
    <t>Eldorado Pkwy_1400_Lakes of Eldorado_McKinney_13648</t>
  </si>
  <si>
    <t>Preston_3700_Lakeshore at Preston_Plano_13649</t>
  </si>
  <si>
    <t>Marsh Ln_2250_TwentyTwo50 Marsh at Carrollton_Carrollton_13650</t>
  </si>
  <si>
    <t>Bobtown_4501_Lakeview Village_Garland_13651</t>
  </si>
  <si>
    <t>30 IH E_1044_Landmark at Lake Village West_Garland_13652</t>
  </si>
  <si>
    <t>Forest Creek Dr #111_1227_Lakeway Forest-Lake Shore (Demolished)_Garland_13653</t>
  </si>
  <si>
    <t>Point Blvd_4350-4366_Landmark at Lake Village East II_Garland_13654</t>
  </si>
  <si>
    <t>Galloway Ave N_4819_Landmark at Laurel Heights I_Mesquite_13655</t>
  </si>
  <si>
    <t>30 IH E_235-269_Landmark at Lake Village North I_Garland_13656</t>
  </si>
  <si>
    <t>30 IH E_613_Landmark at Lake Village North II_Garland_13657</t>
  </si>
  <si>
    <t>Marvin Loving Dr_6133_Landmark at Lake Village East I_Garland_13658</t>
  </si>
  <si>
    <t>Easton Meadows Dr_3501-3805_Landmark at Lake Village North III_Garland_13659</t>
  </si>
  <si>
    <t>Henderson N_200_Lakewood Club_Dallas_13660</t>
  </si>
  <si>
    <t>Connecticut_2455_The Edge at White Rock_Dallas_13661</t>
  </si>
  <si>
    <t>Grand E_7150_Lakewood Green_Dallas_13663</t>
  </si>
  <si>
    <t>Brookside N_101_Lakewood on the Trail_Dallas_13664</t>
  </si>
  <si>
    <t>Royal Ln_9750_Toscana Palms_Dallas_13666</t>
  </si>
  <si>
    <t>Desco Ln_915_Landings of Carrier Parkway_Grand Prairie_13667</t>
  </si>
  <si>
    <t>Town Crossing_4035_Lane at Town Crossing_Mesquite_13669</t>
  </si>
  <si>
    <t>Long Prairie Rd_5210_Marquis at Lantana_Flower Mound_13670</t>
  </si>
  <si>
    <t>Northhaven_2749_Sedona Ranch_Dallas_13671</t>
  </si>
  <si>
    <t>Hampton N_1369_Las Casitas_DeSoto_13672</t>
  </si>
  <si>
    <t>Dallas Pkwy N_18725_LaSalle_Dallas_13673</t>
  </si>
  <si>
    <t>Joe Wilson Rd N_720_Legacy of Cedar Hill I_Cedar Hill_13675</t>
  </si>
  <si>
    <t>Legacy_701_Legends at Chase Oaks_Plano_13676</t>
  </si>
  <si>
    <t>Kathryn Ln_2300_Legends at Ridgeview Ranch_Plano_13677</t>
  </si>
  <si>
    <t>Yellow Jacket_923_Mission Rockwall_Rockwall_13678</t>
  </si>
  <si>
    <t>Community_3208_Lexington_Dallas_13679</t>
  </si>
  <si>
    <t>Santa Fe Trl_202_Lexington at Valley Ranch_Irving_13680</t>
  </si>
  <si>
    <t>6th St W_910_Lido_Irving_13681</t>
  </si>
  <si>
    <t>Rawlins_3838_Lincoln Court_Dallas_13682</t>
  </si>
  <si>
    <t>Preston Rd_14041_Preston Pointe_Dallas_13683</t>
  </si>
  <si>
    <t>Carroll Ave_2802_The Linden in Town_Dallas_13684</t>
  </si>
  <si>
    <t>Brothers Blvd_200_Living Oaks_Red Oak_13687</t>
  </si>
  <si>
    <t>Windhaven Pkwy_6301_The Livingston_Plano_13688</t>
  </si>
  <si>
    <t>Lochwood Blvd_11117_Lochwood_Dallas_13689</t>
  </si>
  <si>
    <t>Warren Pkwy_8568_The Lodge at Frisco Bridges_Frisco_13690</t>
  </si>
  <si>
    <t>Timberglen_3440_The Lodge at Timberglen_Dallas_13691</t>
  </si>
  <si>
    <t>Park Blvd W_3400_Mission Park Green_Plano_13693</t>
  </si>
  <si>
    <t>Valley View Ln_4030_London Square_Farmers Branch_13695</t>
  </si>
  <si>
    <t>Trl Glen Dr_6161_Las Lomas I &amp; II_Dallas_13696</t>
  </si>
  <si>
    <t>14th St E_4701_Los Rios Park_Plano_13698</t>
  </si>
  <si>
    <t>Rochelle Ln W_1201_Macarthur_Irving_13699</t>
  </si>
  <si>
    <t>Kinwest Pkwy_812_MacArthur Park_Irving_13700</t>
  </si>
  <si>
    <t>MacArthur Rd N_10701_MacArthur Ridge_Irving_13701</t>
  </si>
  <si>
    <t>Cedar Springs Rd_4606_Atera_Dallas_13702</t>
  </si>
  <si>
    <t>Richardson Dr_1520_Madison at Melrose_Richardson_13703</t>
  </si>
  <si>
    <t>Round Grove Rd E_201_The Madison at Round Grove_Lewisville_13704</t>
  </si>
  <si>
    <t>Dallas Pkwy_19002_Madison on the Parkway_Dallas_13705</t>
  </si>
  <si>
    <t>Main St S_1303_Main Park_Duncanville_13708</t>
  </si>
  <si>
    <t>Commerce_1222_Manor House_Dallas_13709</t>
  </si>
  <si>
    <t>Hunt Dr_4253_Bella Vida at Coyote Ridge I &amp; II_Carrollton_13710</t>
  </si>
  <si>
    <t>Coppell Rd N_620_The Mansions by the Lake_Coppell_13711</t>
  </si>
  <si>
    <t>Maple Ave_3200_The Villas at Katy Trail_Dallas_13712</t>
  </si>
  <si>
    <t>Belt Line N_4057_Marbletree_Irving_13713</t>
  </si>
  <si>
    <t>Renner Rd W_800_The Marquis at Waterview_Richardson_13715</t>
  </si>
  <si>
    <t>Marsh Ln_18749_Marsh Creek_Dallas_13716</t>
  </si>
  <si>
    <t>Marsh Ln_2535_Marsh Highland_Carrollton_13717</t>
  </si>
  <si>
    <t>Grauwyler E_1619_Mayarka Square_Irving_13721</t>
  </si>
  <si>
    <t>Independence_8900_McDermott Place_Plano_13722</t>
  </si>
  <si>
    <t>Lake Park Rd_290_McKamy Lake_Lewisville_13723</t>
  </si>
  <si>
    <t>Brook Dr N_2700_Mckinney Orchid_McKinney_13724</t>
  </si>
  <si>
    <t>Jupiter Rd_12610_McMillan Place_Dallas_13725</t>
  </si>
  <si>
    <t>Southwestern_8200_The Meadow_Dallas_13726</t>
  </si>
  <si>
    <t>Meadow Rd_8175_Meadows Crossing_Dallas_13727</t>
  </si>
  <si>
    <t>Ave K_3001_Meadow Green_Grand Prairie_13728</t>
  </si>
  <si>
    <t>Duncanville Rd_4811_Meadow Parc_Dallas_13730</t>
  </si>
  <si>
    <t>Bruton Rd W-Cartwright W_933_Stone Ridge_Mesquite_13731</t>
  </si>
  <si>
    <t>Easton Meadows_3826_Meadows_Garland_13733</t>
  </si>
  <si>
    <t>Park Blvd E_1201_La Jolla on Park_Plano_13734</t>
  </si>
  <si>
    <t>Esters Rd_1826_La Jolla on Esters_Irving_13735</t>
  </si>
  <si>
    <t>Lucas Dr_2816_Melrose Place_Dallas_13736</t>
  </si>
  <si>
    <t>Allen St_2427_Post Meridian_Dallas_13737</t>
  </si>
  <si>
    <t>Huffines Blvd_3620_Meridian_Carrollton_13738</t>
  </si>
  <si>
    <t>Westchester_355_Merrill Gardens_Grand Prairie_13739</t>
  </si>
  <si>
    <t>Merrill Rd N_400_Merrill Square_Duncanville_13740</t>
  </si>
  <si>
    <t>Franklin_2605_Mesquite Village_Mesquite_13742</t>
  </si>
  <si>
    <t>Metrocrest_1515_Metrocrest Village_Carrollton_13743</t>
  </si>
  <si>
    <t>Tarrant Rd W_201_The Lexington_Grand Prairie_13745</t>
  </si>
  <si>
    <t>Cole_2600_Gables Mirabella_Dallas_13747</t>
  </si>
  <si>
    <t>Saint Paul Dr_929_Miramonte_Richardson_13748</t>
  </si>
  <si>
    <t>Commerce St_3800_Mitchell Lofts_Dallas_13749</t>
  </si>
  <si>
    <t>Courtside_4905_Montego Bay_Irving_13751</t>
  </si>
  <si>
    <t>Fitzhugh #17 N_2703_Monterey_Dallas_13752</t>
  </si>
  <si>
    <t>Harvest Hill_5580_Montfort Crossing_Dallas_13753</t>
  </si>
  <si>
    <t>Montfort_14100_Montfort Oaks_Dallas_13754</t>
  </si>
  <si>
    <t>Preston Oaks_5445_Montfort Place_Dallas_13755</t>
  </si>
  <si>
    <t>Montfort_13660_Montfort Valley_Dallas_13756</t>
  </si>
  <si>
    <t>Moser_2315_Moser Gardens_Dallas_13757</t>
  </si>
  <si>
    <t>Scotland_1020_Mount Vernon_Desoto_13758</t>
  </si>
  <si>
    <t>Duncanville Rd_2626_Mountain Ridge_Dallas_13759</t>
  </si>
  <si>
    <t>CF Hawn Fwy_7651_Mira Vista_Dallas_13760</t>
  </si>
  <si>
    <t>Scyene Rd_9760_Avenida Crossing_Dallas_13761</t>
  </si>
  <si>
    <t>Belt Line_3466_Newport_Irving_13763</t>
  </si>
  <si>
    <t>Frontier_5925_Newport_Mesquite_13764</t>
  </si>
  <si>
    <t>Adleta_9900_Sage Pointe_Dallas_13765</t>
  </si>
  <si>
    <t>Park Ln_8662_North Park Terrace_Dallas_13766</t>
  </si>
  <si>
    <t>Pinyon Tree Ln_9387_North Creek Condominiums_Dallas_13767</t>
  </si>
  <si>
    <t>Nursery Rd N_1417_North Oak_Irving_13768</t>
  </si>
  <si>
    <t>Southwestern Blvd_8705_Northbridge in the Village Apts &amp; TH_Dallas_13769</t>
  </si>
  <si>
    <t>Northgate_3146_Northgate_Irving_13770</t>
  </si>
  <si>
    <t>Harvest Hill_4152_Northridge TH_Dallas_13771</t>
  </si>
  <si>
    <t>Timberline Dr_9680_Northwest Crossing_Dallas_13772</t>
  </si>
  <si>
    <t>Peyton Dr_13980_Northwood Hills_Dallas_13773</t>
  </si>
  <si>
    <t>122 Hwy S_1531_Oak Forest_Lewisville_13775</t>
  </si>
  <si>
    <t>Saturn Rd_4420_Oak Glen_Garland_13776</t>
  </si>
  <si>
    <t>High School Dr_103_Prairie Park_Grand Prairie_13777</t>
  </si>
  <si>
    <t>Estrada Pkwy_1913_Oak Hills_Irving_13778</t>
  </si>
  <si>
    <t>Emily Rd_13330_Oak Hollow_Dallas_13779</t>
  </si>
  <si>
    <t>Preston Oaks_5801_Oak Run_Dallas_13781</t>
  </si>
  <si>
    <t>Walnut Hill_2877_Terra Bella_Irving_13782</t>
  </si>
  <si>
    <t>Oak Tree Dr_2730_Oak Tree Condos_Carrollton_13783</t>
  </si>
  <si>
    <t>Old Orchard S_1595_Oak Tree Village_Lewisville_13784</t>
  </si>
  <si>
    <t>Samuell Blvd_4611_Oakdale TH_Dallas_13786</t>
  </si>
  <si>
    <t>Country Sq_3330_Oakhaven_Carrollton_13787</t>
  </si>
  <si>
    <t>Pioneer Rd_4614_The Oaks_Balch Springs_13790</t>
  </si>
  <si>
    <t>Spring Valley W_740_Oaks at Spring Valley_Richardson_13791</t>
  </si>
  <si>
    <t>Plano Pkwy W_700_Oaks of Collin Creek_Plano_13792</t>
  </si>
  <si>
    <t>Oak Knoll Cir E_200_Oaks of Lewisville_Lewisville_13794</t>
  </si>
  <si>
    <t>Macarthur N_9800_The Oaks of Valley Ranch_Irving_13795</t>
  </si>
  <si>
    <t>Haverwood Ln_4750_Stoneridge North Dallas_Dallas_13798</t>
  </si>
  <si>
    <t>Fair Oaks Crossing_8201_Adagio Palms_Dallas_13799</t>
  </si>
  <si>
    <t>O'Connor N_4809_The Marabella At Los Colinas_Irving_13802</t>
  </si>
  <si>
    <t>Preston_1520_Old Shepard Place_Plano_13803</t>
  </si>
  <si>
    <t>Chaha Rd_4605_On The Lake Apts_Garland_13804</t>
  </si>
  <si>
    <t>Americana_1217_One Townecrest_Mesquite_13805</t>
  </si>
  <si>
    <t>Kingsley_1320_Orchard Hills_Garland_13806</t>
  </si>
  <si>
    <t>Bolivar Dr_3527_Over the Rainbow_Dallas_13807</t>
  </si>
  <si>
    <t>Corporate E_247_Colonial Village At Vista Ridge_Lewisville_13808</t>
  </si>
  <si>
    <t>Edgefield_1702_River Glen_Garland_13810</t>
  </si>
  <si>
    <t>Lakeview Cir_1901_Parc Lake I &amp; II_Lewisville_13811</t>
  </si>
  <si>
    <t>Sale St_3001_The Marquis at Turtle Creek_Dallas_13812</t>
  </si>
  <si>
    <t>Cedar Springs_5414_The Montage_Dallas_13813</t>
  </si>
  <si>
    <t>Westgrove Dr_17200_Camden Addison_Addison_13814</t>
  </si>
  <si>
    <t>Buckingham Rd E_430_Camden Buckingham_Richardson_13815</t>
  </si>
  <si>
    <t>Marvin D. Love Fwy_7310_Park at Cliff Creek_Dallas_13816</t>
  </si>
  <si>
    <t>Blackburn St_3377_Thirty377 Apts_Dallas_13817</t>
  </si>
  <si>
    <t>Dale Crest_9701_Park Dale Garden_Dallas_13818</t>
  </si>
  <si>
    <t>Greenville Ave_11907_West Park (Demolished)_Dallas_13819</t>
  </si>
  <si>
    <t>Villaverde Ave_3626_Park Forest_Dallas_13820</t>
  </si>
  <si>
    <t>Cabell Dr_4211_Park Gates of City Place_Dallas_13821</t>
  </si>
  <si>
    <t>Amesbury Dr_5349_The Park_Dallas_13822</t>
  </si>
  <si>
    <t>Lovers Ln_4117_Park Lane_Dallas_13823</t>
  </si>
  <si>
    <t>Park Ln_3040_Park Lane Village_Dallas_13824</t>
  </si>
  <si>
    <t>Pioneer Dr W_2934_Park Manor_Irving_13825</t>
  </si>
  <si>
    <t>Cole Ave_4423_Park Mulberry_Dallas_13826</t>
  </si>
  <si>
    <t>Amberton Pkwy_9221_The Park On Greenville_Dallas_13827</t>
  </si>
  <si>
    <t>Rosemeade Pkwy_4141_The Park On Rosemeade_Dallas_13828</t>
  </si>
  <si>
    <t>Park Ln_3155_Park Place_Dallas_13829</t>
  </si>
  <si>
    <t>Meandering Way_13005_Park Plaza_Dallas_13830</t>
  </si>
  <si>
    <t>Park Ln_8780_Serendipity_Dallas_13831</t>
  </si>
  <si>
    <t>Irving W_2002_Park Springs_Irving_13832</t>
  </si>
  <si>
    <t>121 Hwy S_1902_The Place at Park Timbers_Lewisville_13833</t>
  </si>
  <si>
    <t>Prestonwood Dr_333_Mission Prestonwood_Richardson_13834</t>
  </si>
  <si>
    <t>Pentagon Pkwy_3035_Tierra Linda_Dallas_13835</t>
  </si>
  <si>
    <t>Mahanna St_3443_Parkford Oaks_Dallas_13836</t>
  </si>
  <si>
    <t>Parkridge Blvd_7300_Parkridge Place at Las Colinas_Irving_13837</t>
  </si>
  <si>
    <t>Glenwick Ln_4554_Parks Edge_Dallas_13838</t>
  </si>
  <si>
    <t>O'Connor N_1115_Parkside_Irving_13839</t>
  </si>
  <si>
    <t>Parkside Center Blvd_4000_Villas at Parkside_Farmers Branch_13840</t>
  </si>
  <si>
    <t>Belt Line_2804_Advenir at Towne Centre_Garland_13844</t>
  </si>
  <si>
    <t>Saturn_4610_Peachtree Square_Garland_13845</t>
  </si>
  <si>
    <t>Old Bent Tree Ln_4753_Pear Ridge_Dallas_13847</t>
  </si>
  <si>
    <t>Pear Ridge_4750_Pear Ridge Creek_Dallas_13848</t>
  </si>
  <si>
    <t>Goliad S_1410_Pebblebrook_Rockwall_13849</t>
  </si>
  <si>
    <t>Pleasant Run E_1225_Pecan Crossing_Desoto_13850</t>
  </si>
  <si>
    <t>Centerville Rd E_1051_Pecan Knoll_Garland_13851</t>
  </si>
  <si>
    <t>Galloway N_3236_Pecan Ridge_Mesquite_13853</t>
  </si>
  <si>
    <t>Webb Chapel Extension_3535_Pecan Square_Dallas_13855</t>
  </si>
  <si>
    <t>Renner Rd W_601_Pepper Place_Richardson_13856</t>
  </si>
  <si>
    <t>Walnut W_4625_Pepperwood_Garland_13857</t>
  </si>
  <si>
    <t>Peter's Colony_1810_Peter's Colony_Carrollton_13858</t>
  </si>
  <si>
    <t>Mockingbird E_5555_The Phoenix Midtown_Dallas_13859</t>
  </si>
  <si>
    <t>Arroyo Ave_2601_Villa Torino_Dallas_13860</t>
  </si>
  <si>
    <t>Galloway N_1716_Pine Oaks_Mesquite_13861</t>
  </si>
  <si>
    <t>Via Ventura_4900_Pines of Palos Verdes_Mesquite_13862</t>
  </si>
  <si>
    <t>Valley View Dr_146_The Pinnacle_Lewisville_13863</t>
  </si>
  <si>
    <t>Spring Valley W_1330_Pinyon Point_Richardson_13864</t>
  </si>
  <si>
    <t>Estrada Pkwy_2053_Pioneer Crossing_Irving_13865</t>
  </si>
  <si>
    <t>Pioneer Rd_3601_Pioneer Park Place_Balch Springs_13866</t>
  </si>
  <si>
    <t>Town Crossing_3701_The Place_Mesquite_13868</t>
  </si>
  <si>
    <t>Hudnall St_2625_Plantation House_Dallas_13869</t>
  </si>
  <si>
    <t>Union Bower Rd N_1100_Plantation View_Irving_13870</t>
  </si>
  <si>
    <t>Lebanon_11700_Marquis At Stonebriar_Frisco_13871</t>
  </si>
  <si>
    <t>Harvest Hill_5535_Plaza on Harvest Hill_Dallas_13872</t>
  </si>
  <si>
    <t>Pleasant Run Rd W_1255_Pleasant Creek Corners_Lancaster_13873</t>
  </si>
  <si>
    <t>Pleasant Run W_2525_Pleasant Run_Lancaster_13874</t>
  </si>
  <si>
    <t>Church Rd_9236_Pleasant Woods_Dallas_13875</t>
  </si>
  <si>
    <t>Timberglen_3737_The Pointe at Timberglen_Dallas_13878</t>
  </si>
  <si>
    <t>Block Dr_4004_Polaris_Irving_13879</t>
  </si>
  <si>
    <t>Spring Valley Rd_5616_Aspen Creek_Dallas_13880</t>
  </si>
  <si>
    <t>Bluegrove N_1400_Portafino_Lancaster_13881</t>
  </si>
  <si>
    <t>Woodside_3006_Post Gallery_Dallas_13882</t>
  </si>
  <si>
    <t>Valley View Dr_6901_Oaks Hackberry Creek I &amp; II_Irving_13883</t>
  </si>
  <si>
    <t>La Clede_2828_Post Square_Dallas_13884</t>
  </si>
  <si>
    <t>Moore Rd N_215_Townlake of Coppell_Coppell_13885</t>
  </si>
  <si>
    <t>Routh St_2121_Post Uptown Village_Dallas_13886</t>
  </si>
  <si>
    <t>Poppy Dr_9000_Oaks White Rock_Dallas_13887</t>
  </si>
  <si>
    <t>Main_1623_Mercantile Place-The Wilson_Dallas_13888</t>
  </si>
  <si>
    <t>Alma Rd_3560_Prairie Creek Villas I &amp; II_Richardson_13889</t>
  </si>
  <si>
    <t>Franklin_2861_Prescott Place I &amp; II_Mesquite_13890</t>
  </si>
  <si>
    <t>Story Rd N_3950_The Shadows of Cottonwood_Irving_13892</t>
  </si>
  <si>
    <t>Preston Rd_14455_Preston Bridge_Dallas_13894</t>
  </si>
  <si>
    <t>Preston Oaks_5902_Preston Creek_Dallas_13895</t>
  </si>
  <si>
    <t>Preston Oaks Rd_5800_Preston Oaks_Dallas_13896</t>
  </si>
  <si>
    <t>Preston View Blvd_5757_Preston Park_Dallas_13897</t>
  </si>
  <si>
    <t>Spring Valley Rd_5840_Preston Racquet Club Condos_Dallas_13898</t>
  </si>
  <si>
    <t>Spring Valley_5631_Preston Valley_Dallas_13899</t>
  </si>
  <si>
    <t>Melody Ln_6121_Princeton Court_Dallas_13901</t>
  </si>
  <si>
    <t>Audelia_11700_Providence_Dallas_13902</t>
  </si>
  <si>
    <t>Glenshire_3301_Glenshire Villas I_Balch Springs_13903</t>
  </si>
  <si>
    <t>Quail Dr_12222_Glenshire Villas II_Balch Springs_13904</t>
  </si>
  <si>
    <t>Warrior Trl E_720_Quail Crossing_Grand Prairie_13905</t>
  </si>
  <si>
    <t>Scyene Rd_9666_Quail Hollow_Dallas_13906</t>
  </si>
  <si>
    <t>Tarrant Rd W_1919_Quail Ridge_Grand Prairie_13908</t>
  </si>
  <si>
    <t>Quail Dr_12227_Quail Village I &amp; II_Balch Springs_13909</t>
  </si>
  <si>
    <t>Washington Ave N_2403_AMLI at City Place_Dallas_13910</t>
  </si>
  <si>
    <t>Saint Lawrence Cir_13214_Courtyards of Valley View_Farmers Branch_13911</t>
  </si>
  <si>
    <t>Meadow Rd_8325_Park Central_Dallas_13913</t>
  </si>
  <si>
    <t>Hidden Ridge_1200_Rancho Mirage_Irving_13914</t>
  </si>
  <si>
    <t>Frankford_4849_Rancho Palisades_Dallas_13915</t>
  </si>
  <si>
    <t>Rawlins Suite A_3929_Rawlins Chateau (Demolished)_Dallas_13916</t>
  </si>
  <si>
    <t>Rochelle_2200_Rayo de Sol_Irving_13917</t>
  </si>
  <si>
    <t>360 Hwy N_2625_Red River Ranch_Grand Prairie_13918</t>
  </si>
  <si>
    <t>Red Bird Ln W_3636_Redbird Trails_Dallas_13919</t>
  </si>
  <si>
    <t>Redbud Blvd N_1300_Redbud Trail_McKinney_13920</t>
  </si>
  <si>
    <t>Markville Dr_9010_Reflections of Highpoint_Dallas_13921</t>
  </si>
  <si>
    <t>Rodeo Dr_8801_Reflections at Valley Ranch_Irving_13922</t>
  </si>
  <si>
    <t>Macarthur_2414_Regal Parc_Irving_13923</t>
  </si>
  <si>
    <t>Audelia_13030_Regal Springs_Dallas_13925</t>
  </si>
  <si>
    <t>Cavalier_1319_Worthing Pointe_Richardson_13926</t>
  </si>
  <si>
    <t>Skillman_7474_Regency Condominiums_Dallas_13927</t>
  </si>
  <si>
    <t>Walnut_1801_Regents Point TH_Garland_13928</t>
  </si>
  <si>
    <t>Valley Ranch Pkwy_8707_Remington at Valley Ranch_Irving_13929</t>
  </si>
  <si>
    <t>Meadow Creek Dr N_1201_Remington Hills at Las Colinas_Irving_13930</t>
  </si>
  <si>
    <t>Dallas Pkwy N_18959_The Renaissance_Dallas_13931</t>
  </si>
  <si>
    <t>Gannon_3839_Cielo Ranch II_Dallas_13932</t>
  </si>
  <si>
    <t>Verde Valley Ln_5151_Renaissance Parc_Dallas_13933</t>
  </si>
  <si>
    <t>Edmonds Ln S_1716_Renaissance Village_Lewisville_13934</t>
  </si>
  <si>
    <t>Montfort Dr_13907_The Reserve at Galleria_Dallas_13935</t>
  </si>
  <si>
    <t>Coit Rd_12009_Ansley at Park Central_Dallas_13936</t>
  </si>
  <si>
    <t>Garland Rd_9215_The Reserve at White Rock_Dallas_13937</t>
  </si>
  <si>
    <t>Duncanville Rd_2740_Residence at the Oaks_Dallas_13938</t>
  </si>
  <si>
    <t>McKinney_3227_Gables Uptown Tower_Dallas_13939</t>
  </si>
  <si>
    <t>Mixon_9401_Richelieu_Dallas_13940</t>
  </si>
  <si>
    <t>Audelia Rd_13015_The Dunes at Richland Oaks_Dallas_13941</t>
  </si>
  <si>
    <t>Walnut St_9999_Richland Village_Dallas_13942</t>
  </si>
  <si>
    <t>Forest Ln_9737_Ridgegate_Dallas_13944</t>
  </si>
  <si>
    <t>Skillman St_9350_Las Cascadas_Dallas_13946</t>
  </si>
  <si>
    <t>Fairmount St_3500_Rienzi at Turtle Creek_Dallas_13947</t>
  </si>
  <si>
    <t>Spring Valley Rd_4040_Chateau DeVille_Farmers Branch_13948</t>
  </si>
  <si>
    <t>River Bend_1000_River Bend_Lancaster_13949</t>
  </si>
  <si>
    <t>MacArthur Blvd S_600_Riverchase_Coppell_13950</t>
  </si>
  <si>
    <t>Riverfall Dr_7879_Riverfall Square_Dallas_13951</t>
  </si>
  <si>
    <t>Stone Canyon Rd_10570_Riverfalls Park_Dallas_13952</t>
  </si>
  <si>
    <t>360 Hwy N_2775_Riverhill_Grand Prairie_13953</t>
  </si>
  <si>
    <t>Audelia_12920_Riverwalk_Dallas_13955</t>
  </si>
  <si>
    <t>Rochelle W_240_Rochelle Place_Irving_13956</t>
  </si>
  <si>
    <t>Rochelle Rd W_306_Rochelle Plaza_Irving_13957</t>
  </si>
  <si>
    <t>Belt Line Rd_5850_Rock Creek_Dallas_13958</t>
  </si>
  <si>
    <t>Rock Island_2002_Rock Island_Irving_13959</t>
  </si>
  <si>
    <t>Uecker Dr_2200_Rockbrook Creek_Lewisville_13960</t>
  </si>
  <si>
    <t>Estrada Pkwy_2010_Rolling Hills_Irving_13961</t>
  </si>
  <si>
    <t>Rolling Hills Place_500_Rolling Hills Place_Lancaster_13962</t>
  </si>
  <si>
    <t>Rosehill Rd_4221_Rosegate Place_Garland_13963</t>
  </si>
  <si>
    <t>Rosemeade Pkwy_3939_Sage Creek Ranch_Dallas_13965</t>
  </si>
  <si>
    <t>Old Denton Rd_3830_Rosemeade TH_Carrollton_13966</t>
  </si>
  <si>
    <t>Hidden Ridge Dr_1100_Archstone at MacArthur_Irving_13967</t>
  </si>
  <si>
    <t>Rochelle Rd W_601_Rosewood Village_Irving_13968</t>
  </si>
  <si>
    <t>Custer Pkwy_2811_Royal Arms_Richardson_13970</t>
  </si>
  <si>
    <t>Newton_4140_Royal Oaks_Dallas_13972</t>
  </si>
  <si>
    <t>Chenault St_1540_Royal Orleans_Dallas_13973</t>
  </si>
  <si>
    <t>Community_2625_Rush Creek_Dallas_13974</t>
  </si>
  <si>
    <t>Fleming St_401_Rustic Oaks_Wylie_13975</t>
  </si>
  <si>
    <t>Northstar_4031_Sable Point_Irving_13976</t>
  </si>
  <si>
    <t>Country Sq_3420_The Place at Saddle Creek_Carrollton_13977</t>
  </si>
  <si>
    <t>Duck Creek_5710_Saddletree_Garland_13978</t>
  </si>
  <si>
    <t>Cole_4719_Saltillo_Dallas_13979</t>
  </si>
  <si>
    <t>New Orleans #138_2516_San Carlos_Dallas_13980</t>
  </si>
  <si>
    <t>San Mateo_7110_San Mateo Forest_Dallas_13981</t>
  </si>
  <si>
    <t>Rochelle W_900_Sandpebble_Irving_13982</t>
  </si>
  <si>
    <t>Maham Rd_13350_Vista Buena_Dallas_13983</t>
  </si>
  <si>
    <t>Ranchview_8203_Santa Fe Ranch_Irving_13984</t>
  </si>
  <si>
    <t>Royal Ln W_2940_Santa Rosa_Irving_13986</t>
  </si>
  <si>
    <t>Arroyo Ave_2600_Oaklawn Heights_Dallas_13987</t>
  </si>
  <si>
    <t>Eldorado Pkwy_4490_Saxon Woods_McKinney_13988</t>
  </si>
  <si>
    <t>Montfort Dr_14601_Saxony_Dallas_13989</t>
  </si>
  <si>
    <t>Whitehurst_9911_The Family Place Apts_Dallas_13990</t>
  </si>
  <si>
    <t>McDermott W_1420_Settler's Gate_Allen_13991</t>
  </si>
  <si>
    <t>Campbell W_2001_Seven Oaks_Garland_13992</t>
  </si>
  <si>
    <t>Perry Rd_1455_Sevilla Condos_Carrollton_13993</t>
  </si>
  <si>
    <t>Steppington_10651_The Seville_Dallas_13994</t>
  </si>
  <si>
    <t>Grand Ave E_7414_Coronado_Dallas_13996</t>
  </si>
  <si>
    <t>Marsh Ln_14500_Shadowood_Addison_13997</t>
  </si>
  <si>
    <t>Ferris Branch Blvd W_9701_Shadowridge Village_Dallas_13998</t>
  </si>
  <si>
    <t>Allegheny Ct_939-A_Shenandoah_Richardson_14001</t>
  </si>
  <si>
    <t>Shiloh N_1302_Villa Del Rio_Garland_14002</t>
  </si>
  <si>
    <t>Skillman_9455_Sienna Springs_Dallas_14003</t>
  </si>
  <si>
    <t>Portland_3800_Sierra Point_Irving_14004</t>
  </si>
  <si>
    <t>Stonebrook Pkwy_8400_Silverado_Frisco_14005</t>
  </si>
  <si>
    <t>Nursery Rd N_1319_Silverado_Irving_14006</t>
  </si>
  <si>
    <t>Alouette_2934_Silverbrook_Grand Prairie_14007</t>
  </si>
  <si>
    <t>Wimbleton Way_4700_Skyline Place_Dallas_14008</t>
  </si>
  <si>
    <t>Skyline Dr_2003_Ashton Oaks_McKinney_14009</t>
  </si>
  <si>
    <t>Pinehurst_2101_Pinehurst Place_Mesquite_14010</t>
  </si>
  <si>
    <t>Skillman_7610_Soho_Dallas_14011</t>
  </si>
  <si>
    <t>LBJ Fwy_9275_Solarium_Dallas_14012</t>
  </si>
  <si>
    <t>Corporate Dr E_256_Somerset_Lewisville_14013</t>
  </si>
  <si>
    <t>Travis_4418_Somerset_Dallas_14014</t>
  </si>
  <si>
    <t>Rolater Rd_9425_Sonsrena_Frisco_14015</t>
  </si>
  <si>
    <t>Buckingham_530_Sonterra at Buckingham_Richardson_14016</t>
  </si>
  <si>
    <t>Sierra Grande_110_South Meadows_Red Oak_14018</t>
  </si>
  <si>
    <t>Southern Oaks Blvd #13_3424_Southern Oaks_Dallas_14019</t>
  </si>
  <si>
    <t>Southern Blvd_5383_Southern Villas_Dallas_14020</t>
  </si>
  <si>
    <t>Pecan Crossing_1021_Southpoint_Desoto_14021</t>
  </si>
  <si>
    <t>Lamar S_1409_South Side on Lamar_Dallas_14022</t>
  </si>
  <si>
    <t>Brockbank_9877_Southwinds Apts_Dallas_14023</t>
  </si>
  <si>
    <t>Grauwyler E_1927_Spanish Trace_Irving_14024</t>
  </si>
  <si>
    <t>Spring Valley W_1000_Lakeside On Spring Valley_Richardson_14025</t>
  </si>
  <si>
    <t>Spring Creek_14833_Spring Creek_Dallas_14026</t>
  </si>
  <si>
    <t>Jupiter N_3501_Spring Pointe_Richardson_14031</t>
  </si>
  <si>
    <t>Kelly Blvd_18050_Springfield_Dallas_14033</t>
  </si>
  <si>
    <t>Driftwood Dr_2305_Springfield_Mesquite_14034</t>
  </si>
  <si>
    <t>Spring Valley_3820_Brookhaven Village North-Springhaven_Addison_14035</t>
  </si>
  <si>
    <t>Hebron Pkwy_2057_Springs of Indian Creek_Carrollton_14037</t>
  </si>
  <si>
    <t>Saint Augustine S_442_Spruce Square_Dallas_14039</t>
  </si>
  <si>
    <t>Town &amp; Country Blvd_5200_Stonebriar of Frisco_Frisco_14040</t>
  </si>
  <si>
    <t>Markville_9001_St. Andrews I &amp; II_Dallas_14042</t>
  </si>
  <si>
    <t>Altoona_3969_Buena Vista TH_Dallas_14044</t>
  </si>
  <si>
    <t>Abrams Rd_12250_St. Croix_Dallas_14045</t>
  </si>
  <si>
    <t>Senate_8943_St. Francis_Dallas_14047</t>
  </si>
  <si>
    <t>Beltline Rd E_1717_St. Marin_Coppell_14048</t>
  </si>
  <si>
    <t>Midway Rd_18175_Stanford Court_Dallas_14049</t>
  </si>
  <si>
    <t>Stonebrook Pkwy_7549_Stewart Creek_Frisco_14050</t>
  </si>
  <si>
    <t>SW Pkwy_328_Stone Creek_Lewisville_14051</t>
  </si>
  <si>
    <t>Lebanon Rd_6595_Residences at Starwood_Frisco_14053</t>
  </si>
  <si>
    <t>Rolling Brook Dr_7500_Stonebrook Village_Frisco_14054</t>
  </si>
  <si>
    <t>Wolford_2521_Stone Gate_McKinney_14055</t>
  </si>
  <si>
    <t>Northgate W_3101_Stonehill Terrace_Irving_14056</t>
  </si>
  <si>
    <t>Riverchase Dr_1315_The Marquis at Riverchase_Coppell_14057</t>
  </si>
  <si>
    <t>Macarthur Blvd N_8605_Stoneleigh at Valley Ranch_Irving_14058</t>
  </si>
  <si>
    <t>Poteet_3700_Stoneleigh at Mesquite_Mesquite_14059</t>
  </si>
  <si>
    <t>Naaman Forest Blvd_5501_Stoneleigh on Spring Creek_Garland_14060</t>
  </si>
  <si>
    <t>Buckingham_2261_Stoneleigh Place_Garland_14061</t>
  </si>
  <si>
    <t>Walnut St W_4209_Stonewood_Garland_14062</t>
  </si>
  <si>
    <t>Cartwright Rd_800_Strawberry Hill_Mesquite_14063</t>
  </si>
  <si>
    <t>Duncan Perry_950_Sugar Creek_Grand Prairie_14064</t>
  </si>
  <si>
    <t>Meadow Creek Dr_1301_Summer Bend_Irving_14065</t>
  </si>
  <si>
    <t>Central Expwy N_9837_Lakeside at Walnut Hill_Dallas_14066</t>
  </si>
  <si>
    <t>Emily Rd_13250_Landmark at Rosewood_Dallas_14067</t>
  </si>
  <si>
    <t>Belt Line_3801_Summergate_Irving_14068</t>
  </si>
  <si>
    <t>Whitehurst_10010_Summerhill_Dallas_14069</t>
  </si>
  <si>
    <t>Belt Line_4132_Summerwood_Irving_14070</t>
  </si>
  <si>
    <t>Americana Ln_1057_Summit_Mesquite_14071</t>
  </si>
  <si>
    <t>Cole Ave_4650_AMLI at Knox-Henderson_Dallas_14072</t>
  </si>
  <si>
    <t>Cowboys Pkwy_621_Summit by Norstar_Irving_14073</t>
  </si>
  <si>
    <t>Horizon Pkwy N_4200_Camino Real_Dallas_14075</t>
  </si>
  <si>
    <t>Park Ave_1050_Summit Park_Carrollton_14076</t>
  </si>
  <si>
    <t>Royal Ln_10075_Sun Colony_Dallas_14078</t>
  </si>
  <si>
    <t>Skillman_8401_Montecito Palms_Dallas_14080</t>
  </si>
  <si>
    <t>303 Hwy E_145_Sunridge_Grand Prairie_14081</t>
  </si>
  <si>
    <t>Timberglen_3550_Sunset Oaks_Dallas_14083</t>
  </si>
  <si>
    <t>Forest Ln_9180_Advenir at Forest Lane_Dallas_14084</t>
  </si>
  <si>
    <t>Estrada Pkwy_1814_Surrey Oaks East_Irving_14085</t>
  </si>
  <si>
    <t>Marvin D. Love Fwy_7272_Surrey Row_Dallas_14086</t>
  </si>
  <si>
    <t>Dallas N Pkwy_18600_Sutton Place_Dallas_14087</t>
  </si>
  <si>
    <t>Buckingham_540_Sweetwater Ranch_Richardson_14089</t>
  </si>
  <si>
    <t>Lahoma St_5051_Advenir at Highland Park_Dallas_14090</t>
  </si>
  <si>
    <t>Brookhaven Club Dr_3925_Brookhaven Village South-The Talisker of Addison_Addison_14091</t>
  </si>
  <si>
    <t>Frankford_1602_Tallows of Carrollton_Carrollton_14092</t>
  </si>
  <si>
    <t>Cedar Springs_4533_Tecali_Dallas_14093</t>
  </si>
  <si>
    <t>Block Dr_3726_Terrace_Irving_14094</t>
  </si>
  <si>
    <t>Maple_3131_Terrace House_Dallas_14095</t>
  </si>
  <si>
    <t>Wintergreen W_300_Thorn Manor_Desoto_14096</t>
  </si>
  <si>
    <t>Skillman Rd_6001_Timbercreek_Dallas_14098</t>
  </si>
  <si>
    <t>Timberglen_3773_Timberglen_Dallas_14099</t>
  </si>
  <si>
    <t>Audelia Rd_11600_Timberlodge_Dallas_14101</t>
  </si>
  <si>
    <t>Whitehurst Dr_9850_Arbor Vista_Dallas_14102</t>
  </si>
  <si>
    <t>Kelly_17910_Toscana_Dallas_14104</t>
  </si>
  <si>
    <t>Skillman St_6854_Toscana on Skillman_Dallas_14105</t>
  </si>
  <si>
    <t>Northgate Dr E_1700_Tower Village_Irving_14106</t>
  </si>
  <si>
    <t>Moore N_190_Town Creek_Coppell_14107</t>
  </si>
  <si>
    <t>Mary Lee_847_Towne Oaks TH_Irving_14108</t>
  </si>
  <si>
    <t>Buckner S_4999_Town View_Dallas_14109</t>
  </si>
  <si>
    <t>Park Ln_8620_Towne Center_Dallas_14110</t>
  </si>
  <si>
    <t>Americana Ln_1208_Towne Centre Village_Mesquite_14111</t>
  </si>
  <si>
    <t>Ferris Branch Blvd_9633_Wyndham On The Creek_Dallas_14112</t>
  </si>
  <si>
    <t>Pioneer W_4525_Towne Lake Village_Irving_14113</t>
  </si>
  <si>
    <t>Riverside Pkwy_2803_Towns of Riverside_Grand Prairie_14114</t>
  </si>
  <si>
    <t>Trade Wind Dr_2136_Trade Winds_Mesquite_14115</t>
  </si>
  <si>
    <t>Chapel Creek_3109_Spanish Creek_Dallas_14116</t>
  </si>
  <si>
    <t>Valley Ranch Pkwy E_9478_The Trails of Valley Ranch_Irving_14117</t>
  </si>
  <si>
    <t>W Fwy_1933_Tree Top_Grand Prairie_14119</t>
  </si>
  <si>
    <t>Walnut Hill_3203_Treehouse_Irving_14120</t>
  </si>
  <si>
    <t>Bowser_4207_Treetop_Dallas_14121</t>
  </si>
  <si>
    <t>Fair Oaks_7222_Casa Verde_Dallas_14122</t>
  </si>
  <si>
    <t>Office Pkwy_4144_Treymore North_Dallas_14123</t>
  </si>
  <si>
    <t>Haskell_2101_Treymore at City Place_Dallas_14124</t>
  </si>
  <si>
    <t>Wilson Creek_901_Treymore in McKinney_McKinney_14125</t>
  </si>
  <si>
    <t>John Rd W_2631_Treymore at Eastfield_Dallas_14126</t>
  </si>
  <si>
    <t>Esters_1147_Trinity_Irving_14127</t>
  </si>
  <si>
    <t>Walnut St_9696_Trinity Meadows_Dallas_14128</t>
  </si>
  <si>
    <t>Trinity Mills Rd_2750_Trinity Mills_Carrollton_14129</t>
  </si>
  <si>
    <t>Midway Rd_17617_Trinity Oaks_Dallas_14130</t>
  </si>
  <si>
    <t>Samuel Blvd_4709_Trinity Place_Mesquite_14131</t>
  </si>
  <si>
    <t>Trinity Mills_4350_Trinity Square_Dallas_14132</t>
  </si>
  <si>
    <t>Darr St_1635_Tu Casa TH_Irving_14133</t>
  </si>
  <si>
    <t>Ivan St_2217_Windsor at Turtle Creek_Dallas_14134</t>
  </si>
  <si>
    <t>Matilda_3516_Turtle Dove_Dallas_14135</t>
  </si>
  <si>
    <t>Newton_4111_Turtle Oaks_Fort Worth_14136</t>
  </si>
  <si>
    <t>Goldmark Dr_13731_Tuscany at Goldmark_Dallas_14137</t>
  </si>
  <si>
    <t>Lakeside Cir_805_Tuscany at Lakepointe_Lewisville_14138</t>
  </si>
  <si>
    <t>Wilson Creek Blvd_451_Tuscany at Wilson Creek_McKinney_14139</t>
  </si>
  <si>
    <t>Frankford_3840_Vail Village_Dallas_14141</t>
  </si>
  <si>
    <t>Briargrove Ln_3839_Vail Village Club_Dallas_14142</t>
  </si>
  <si>
    <t>Guthrie_2822_Valley Creek_Garland_14143</t>
  </si>
  <si>
    <t>Northgate Dr W_4608_Promenade at Valley Creek_Irving_14144</t>
  </si>
  <si>
    <t>Valley View Ln_7373_Valley Oaks_Dallas_14145</t>
  </si>
  <si>
    <t>Valley View Ln_3700_Promenade at Valley Ridge_Irving_14146</t>
  </si>
  <si>
    <t>Valley Ridge Blvd W_1000_Valley Ridge_Lewisville_14147</t>
  </si>
  <si>
    <t>Valley Ranch Pkwy E_8903_Valley Trails_Irving_14148</t>
  </si>
  <si>
    <t>Spring Valley Rd_5555_Ventana_Dallas_14149</t>
  </si>
  <si>
    <t>Gaston Ave #102_7130_Verandahs_Dallas_14150</t>
  </si>
  <si>
    <t>Noel Rd_13330_Verona Tower_Dallas_14151</t>
  </si>
  <si>
    <t>Noel Rd_13330_Verona Midrise_Dallas_14152</t>
  </si>
  <si>
    <t>Pear Ridge Dr_4900_The Versailles_Dallas_14153</t>
  </si>
  <si>
    <t>Kings Rd_2930_Versailles on Cedar Springs_Dallas_14154</t>
  </si>
  <si>
    <t>Grauwyler Rd E_2700_View Point_Irving_14155</t>
  </si>
  <si>
    <t>Del Norte Ln_6800_Villa del Norte_Dallas_14156</t>
  </si>
  <si>
    <t>Pioneer W_1831_Villa France_Irving_14157</t>
  </si>
  <si>
    <t>Fyke Rd_2730_Villa Marquis_Farmers Branch_14158</t>
  </si>
  <si>
    <t>MacArthur S_418_Villa Martinique_Irving_14159</t>
  </si>
  <si>
    <t>Glen Dr N_7904_Villa Miranda_Irving_14160</t>
  </si>
  <si>
    <t>Finley_2415_Village Square_Irving_14161</t>
  </si>
  <si>
    <t>Watership Ln_5959_Village Square_Dallas_14162</t>
  </si>
  <si>
    <t>Fisher_6172_Village View_Dallas_14163</t>
  </si>
  <si>
    <t>Clear Springs Dr_2600_The Villages at Clear Springs_Richardson_14164</t>
  </si>
  <si>
    <t>Meadow Creek_1000_Villas at Beaver Creek_Irving_14165</t>
  </si>
  <si>
    <t>Old Orchard N_165_Villas at Waterchase_Lewisville_14167</t>
  </si>
  <si>
    <t>Keller Springs_2050_The Villas of Josey Ranch_Carrollton_14168</t>
  </si>
  <si>
    <t>Remond_3050_Villas of Remond_Dallas_14169</t>
  </si>
  <si>
    <t>Ferguson_8850_The Vineyards_Dallas_14170</t>
  </si>
  <si>
    <t>Wade Blvd_9400_The Vineyards_Frisco_14171</t>
  </si>
  <si>
    <t>Cole Ave_3310_Post Vineyard_Dallas_14172</t>
  </si>
  <si>
    <t>Central Expwy N_13447_Vinings at Central_Dallas_14173</t>
  </si>
  <si>
    <t>Legacy Dr_3700_The Vintage at Legacy_Frisco_14174</t>
  </si>
  <si>
    <t>Tarrant Place_1902_Virginia Manor_Dallas_14175</t>
  </si>
  <si>
    <t>Garland Rd_9191_White Rock Lake Villas_Dallas_14176</t>
  </si>
  <si>
    <t>Cowboys Pkwy_701_Vista Pointe at the Valley_Irving_14177</t>
  </si>
  <si>
    <t>Corporate Dr E_265_Vista Springs_Lewisville_14178</t>
  </si>
  <si>
    <t>Wade Blvd_9399_Wade Crossing_Frisco_14179</t>
  </si>
  <si>
    <t>Walton Walker S_3880_Walker Place_Dallas_14180</t>
  </si>
  <si>
    <t>Frankford Rd_4055_Walker's Mark_Dallas_14181</t>
  </si>
  <si>
    <t>Walnut St_9944_Walnut Bend_Dallas_14182</t>
  </si>
  <si>
    <t>Beltway Dr_4051_Walnut Square_Addison_14183</t>
  </si>
  <si>
    <t>Webb Chapel Extension_3330_Plaza Del Lago_Dallas_14184</t>
  </si>
  <si>
    <t>Plano Rd_12365_Waterchase_Dallas_14185</t>
  </si>
  <si>
    <t>Gannon_3829_Cielo Ranch I_Dallas_14186</t>
  </si>
  <si>
    <t>Goldmark_13695_Waterford at Goldmark_Dallas_14187</t>
  </si>
  <si>
    <t>Old Denton Rd_3640_Waterford at the Park_Carrollton_14188</t>
  </si>
  <si>
    <t>Cowboys Pkwy_151_Waterford at Valley Ranch_Irving_14189</t>
  </si>
  <si>
    <t>Marsh Ln_14700_Waterford Court_Addison_14190</t>
  </si>
  <si>
    <t>Druid Ln_4501_Waterford Place_Dallas_14191</t>
  </si>
  <si>
    <t>Royal Ln_9505_Sontera Palms_Dallas_14193</t>
  </si>
  <si>
    <t>Audelia_9763_Watermarke at Lake Highlands_Dallas_14194</t>
  </si>
  <si>
    <t>Las Flores_14645_Watersong Villas_Dallas_14195</t>
  </si>
  <si>
    <t>Deer Run_2479_Wellington Park_Lewisville_14196</t>
  </si>
  <si>
    <t>MacArthur Blvd S_230_Wellington Place_Coppell_14197</t>
  </si>
  <si>
    <t>Lemmon Ave #10_4712_Westchester_Highland Park_14198</t>
  </si>
  <si>
    <t>Westchester Pkwy W_620_Westchester by Norstar_Grand Prairie_14199</t>
  </si>
  <si>
    <t>William Dehanes_3829_Westgate_Irving_14200</t>
  </si>
  <si>
    <t>Cascade St_1057_Westlake Village_Mesquite_14201</t>
  </si>
  <si>
    <t>SW Pkwy W_201_Camden Westview_Lewisville_14203</t>
  </si>
  <si>
    <t>Center St W_603_Westwood TH_Duncanville_14204</t>
  </si>
  <si>
    <t>Skillman_7218_Whisper Creek I &amp; II (Demolished)_Dallas_14207</t>
  </si>
  <si>
    <t>Cockrell Hill Rd S_6910_Whispering Hollow_Dallas_14208</t>
  </si>
  <si>
    <t>Pineland_6031_Wildflower_Dallas_14209</t>
  </si>
  <si>
    <t>Jupiter Rd S_1500_Wildwood Village_Allen_14210</t>
  </si>
  <si>
    <t>La Vista_7440_The Tenison at White Rock_Dallas_14211</t>
  </si>
  <si>
    <t>Skillman_6910_Everwood_Dallas_14213</t>
  </si>
  <si>
    <t>Abrams_6003_Willow Pond_Dallas_14214</t>
  </si>
  <si>
    <t>Old Orchard S_797_Willow Ridge_Lewisville_14215</t>
  </si>
  <si>
    <t>Centerville E_909_Willowgate_Garland_14217</t>
  </si>
  <si>
    <t>Kingsley_402_Willows_Garland_14218</t>
  </si>
  <si>
    <t>Willow Creek Dr_3304_The Willows_Irving_14219</t>
  </si>
  <si>
    <t>Hunnicut_7526_Mayan Palms_Dallas_14220</t>
  </si>
  <si>
    <t>Rosemeade Pkwy_4300_Willows on Rosemeade_Dallas_14221</t>
  </si>
  <si>
    <t>Mockingbird E_6151_Wilshire on Mockingbird_Dallas_14222</t>
  </si>
  <si>
    <t>Joe Wilson Rd N_301_Wilson Crossing_Cedar Hill_14223</t>
  </si>
  <si>
    <t>Horizon Pkwy N_4141_The Wimberly_Dallas_14224</t>
  </si>
  <si>
    <t>Link Dr_800_Wimberly Park_Duncanville_14225</t>
  </si>
  <si>
    <t>Main W_1420_Wimbledon_Lewisville_14226</t>
  </si>
  <si>
    <t>303 Hwy E_501_Windchase_Grand Prairie_14227</t>
  </si>
  <si>
    <t>Spring Valley W_1330_Windham Chase_Richardson_14229</t>
  </si>
  <si>
    <t>Emily Rd_13266_Winding Way_Dallas_14230</t>
  </si>
  <si>
    <t>Dallas N Pkwy_14350_Windridge_Dallas_14231</t>
  </si>
  <si>
    <t>Galloway Ave N_4845_Landmark at Laurel Heights II_Mesquite_14232</t>
  </si>
  <si>
    <t>Ave H E_2301_Windridge I &amp; II_Grand Prairie_14233</t>
  </si>
  <si>
    <t>Parham Dr_3099_Windscape II_Grand Prairie_14234</t>
  </si>
  <si>
    <t>Vail Dr_17717_Windsong_Dallas_14235</t>
  </si>
  <si>
    <t>Wintergreen E_1110_Windsong Place_Desoto_14236</t>
  </si>
  <si>
    <t>SW Pkwy_247_Windsor Court_Lewisville_14237</t>
  </si>
  <si>
    <t>Macarthur N_8001_Colonial Grand at Valley Ranch_Irving_14238</t>
  </si>
  <si>
    <t>Buckner N_3501_Windsor Station_Dallas_14239</t>
  </si>
  <si>
    <t>30 IH E_1021_Windward II_Garland_14240</t>
  </si>
  <si>
    <t>Winsted Dr_2210_The Winsted at White Rock_Dallas_14241</t>
  </si>
  <si>
    <t>Macarthur N_10501_Winsted_Irving_14242</t>
  </si>
  <si>
    <t>Wintergreen E_320_The Park at Wintergreen_Desoto_14243</t>
  </si>
  <si>
    <t>Meadow Rd_8215_Parks of Woodhollow_Dallas_14244</t>
  </si>
  <si>
    <t>Pleasant Run E_825_Wooded Creek_Desoto_14245</t>
  </si>
  <si>
    <t>Pineland_6161_Woodglen_Dallas_14246</t>
  </si>
  <si>
    <t>Cockrell Hill Rd S_6800_Woodglen Park_Dallas_14247</t>
  </si>
  <si>
    <t>Josey N_3022_Villa Siena_Carrollton_14248</t>
  </si>
  <si>
    <t>Shady Grove E_1313_Woods_Irving_14249</t>
  </si>
  <si>
    <t>Country Sq_3560_Woods at Lakeshore_Carrollton_14250</t>
  </si>
  <si>
    <t>CF Hawn Fwy_13660_Woodside_Dallas_14251</t>
  </si>
  <si>
    <t>Skillman_7160_Sutters Wood_Dallas_14252</t>
  </si>
  <si>
    <t>Pioneer Dr W_3701_Montoro_Irving_14253</t>
  </si>
  <si>
    <t>Walnut St_10000_The Parks at Walnut_Dallas_14258</t>
  </si>
  <si>
    <t>Spring Valley Rd_3721_Wyndward Addison_Addison_14259</t>
  </si>
  <si>
    <t>Westcreek Dr_6751_Creekside_Fort Worth_14261</t>
  </si>
  <si>
    <t>Boat Club Rd_8301_Eagle's Point_Fort Worth_14264</t>
  </si>
  <si>
    <t>Preston Rd_15411_Tiburon_Dallas_14265</t>
  </si>
  <si>
    <t>Overton Ridge_5401_The Enclave at Cityview_Fort Worth_14266</t>
  </si>
  <si>
    <t>Weyland Dr_1601_Remington Oaks_North Richland Hills_14267</t>
  </si>
  <si>
    <t>Charles Place_4701_Reserve at Charles Place_Plano_14268</t>
  </si>
  <si>
    <t>Bridgeview Dr_4200_The Marquis at Stonegate_Fort Worth_14269</t>
  </si>
  <si>
    <t>Pebble Creek Cts_3800_Reserve at Pebble Creek_Plano_14270</t>
  </si>
  <si>
    <t>Hulen S_4101_Marquis at Willow Lake_Fort Worth_14271</t>
  </si>
  <si>
    <t>Plaza Dr_1765_Village of Eastgate_Garland_14272</t>
  </si>
  <si>
    <t>Collinwood W Dr_1001_Village at Collinwood_Austin_14274</t>
  </si>
  <si>
    <t>Worth St_2104_Mayfield Park_Arlington_14283</t>
  </si>
  <si>
    <t>Vista Ridge Mall Dr E_350_The Abby at Vista Ridge_Lewisville_14284</t>
  </si>
  <si>
    <t>35 IH E S_1721_Bent Tree_Waxahachie_14285</t>
  </si>
  <si>
    <t>Spring Creek Pkwy_5301_Century Legacy Village_Plano_14286</t>
  </si>
  <si>
    <t>Pebblevale_2301_Mission Collin Creek_Plano_14287</t>
  </si>
  <si>
    <t>Stafford Springs Ave_516_Waterstone Place_Stafford_14288</t>
  </si>
  <si>
    <t>Clayton Ln_1026_Primrose of Shadow Creek_Austin_14292</t>
  </si>
  <si>
    <t>Leah Ave_1441_University Club Apts of San Marcos_San Marcos_14293</t>
  </si>
  <si>
    <t>85 FM Hwy E_3700_Silverton Village_Ennis_14296</t>
  </si>
  <si>
    <t>Chapel Hill_6201_Towns of Chapel Hill_Plano_14299</t>
  </si>
  <si>
    <t>Fairway_6705_Sunset Valley_Houston_14301</t>
  </si>
  <si>
    <t>Hesters Crossing_941_Lakeside at La Frontera_Round Rock_14315</t>
  </si>
  <si>
    <t>35 IH S_7707_Waters at Bluff Springs_Austin_14318</t>
  </si>
  <si>
    <t>Timberline Dr_2400_The Ridge at Timberline_Grapevine_14322</t>
  </si>
  <si>
    <t>Fossil Vista Dr_4699_Amesbury Court_Haltom City_14323</t>
  </si>
  <si>
    <t>Beach St N_6111_The Retreat at Fossil Creek_Fort Worth_14324</t>
  </si>
  <si>
    <t>Green Oaks Blvd NE_1705_Verandahs at Cliffside_Arlington_14325</t>
  </si>
  <si>
    <t>Western Center Blvd_3400_The Club at Fossil Creek_Fort Worth_14326</t>
  </si>
  <si>
    <t>McKinney Ave E_1610_The Parks of Denton_Denton_14327</t>
  </si>
  <si>
    <t>Pioneer #1 W_1012_Olive Branch Apts_Arlington_14328</t>
  </si>
  <si>
    <t>Parkview Ln_2701_The Arbors of Central Park_Bedford_14329</t>
  </si>
  <si>
    <t>Forest Ridge Dr_2200_Arbors on Forest Ridge_Bedford_14330</t>
  </si>
  <si>
    <t>Nandina Dr_1401_Arbrook Park_Arlington_14332</t>
  </si>
  <si>
    <t>Park Row Dr E_3121_Arlington Park_Arlington_14333</t>
  </si>
  <si>
    <t>Ash Ln E_601_Ash Lane_Euless_14334</t>
  </si>
  <si>
    <t>Crawford Ct_1220_The Reserve On Lake Granbury_Granbury_14335</t>
  </si>
  <si>
    <t>Bryant Irvin Rd_5230_Avery Pointe at Cityview_Fort Worth_14336</t>
  </si>
  <si>
    <t>Bardin Rd E_300_Bardin Greene_Arlington_14337</t>
  </si>
  <si>
    <t>Northern Cross Blvd_4200_The Bellagio at Beach Street_Haltom City_14338</t>
  </si>
  <si>
    <t>Park Place_1301_Barrington Crossing_Hurst_14339</t>
  </si>
  <si>
    <t>Browning Dr_6100_The Bluffs at Iron Horse_North Richland Hills_14340</t>
  </si>
  <si>
    <t>Cannon Pkwy_1515_Boulder Ridge_Roanoke_14341</t>
  </si>
  <si>
    <t>Burton Hill_1000_The Park at Westover_Fort Worth_14342</t>
  </si>
  <si>
    <t>Polk Dr_765_The Valencia_Arlington_14343</t>
  </si>
  <si>
    <t>Burney Oaks Ln_2502_Colonial Village at North Arlington_Arlington_14344</t>
  </si>
  <si>
    <t>Bryant Irvin Rd_5209_Cameron Creek_Fort Worth_14345</t>
  </si>
  <si>
    <t>Hulen S_7425_Candletree_Fort Worth_14346</t>
  </si>
  <si>
    <t>Oak Creek Ln_1950_Cantebria Crossing_Bedford_14347</t>
  </si>
  <si>
    <t>Ederville Rd_7412_Carol Oaks_Fort Worth_14349</t>
  </si>
  <si>
    <t>Lamar Blvd E_1500_Carriage House_Arlington_14350</t>
  </si>
  <si>
    <t>Rufe Snow Dr_4205_Castlewinds_North Richland Hills_14351</t>
  </si>
  <si>
    <t>Chatham Green Ln_3532_Chatham Green Village_Arlington_14353</t>
  </si>
  <si>
    <t>Median Way_5700_Chesterfield Apts_Arlington_14354</t>
  </si>
  <si>
    <t>Randol Mill Rd_8951_Chestnut Ridge I &amp; II_Fort Worth_14355</t>
  </si>
  <si>
    <t>Cinnamon Park Cir_2612_Cinnamon Park_Arlington_14357</t>
  </si>
  <si>
    <t>Jefferson Cliffs Way_1635_The Cliffs_Arlington_14358</t>
  </si>
  <si>
    <t>Turner Rd_951_Cobblestone Village_Grapevine_14359</t>
  </si>
  <si>
    <t>360 SH_2001_Collins Park At Bear Creek_Euless_14360</t>
  </si>
  <si>
    <t>Furrs St_2601_The Lodge at Legacy Park_Arlington_14361</t>
  </si>
  <si>
    <t>Park Springs Cir_2115_Commons on Park Springs_Arlington_14363</t>
  </si>
  <si>
    <t>Park Row W_420_Spanish Park_Arlington_14364</t>
  </si>
  <si>
    <t>Oakland Hills Dr_6011_Copper Creek_Fort Worth_14365</t>
  </si>
  <si>
    <t>Hulen St S_6051_Copperfield_Fort Worth_14366</t>
  </si>
  <si>
    <t>Cottonwood Club Dr_2105_Monterra Point_Arlington_14367</t>
  </si>
  <si>
    <t>Lamar Blvd E_525_Countrywood_Arlington_14368</t>
  </si>
  <si>
    <t>Tennis Dr_1501_Courts of Bedford_Bedford_14369</t>
  </si>
  <si>
    <t>Watson Rd N_1301_The Creek at Brookhollow_Arlington_14370</t>
  </si>
  <si>
    <t>Small Block Rd_8299_Creekside at Northlake_Northlake_14371</t>
  </si>
  <si>
    <t>Normandale St W_3001_Crescent Oaks_Fort Worth_14372</t>
  </si>
  <si>
    <t>Grapevine Mills Blvd N_2701_Cross Creek at Grapevine Ranch_Grapevine_14373</t>
  </si>
  <si>
    <t>Sherry St_2004_Cypress Club_Arlington_14374</t>
  </si>
  <si>
    <t>Belknap St E_5709_Desert Sands_Haltom City_14375</t>
  </si>
  <si>
    <t>Keller Pkwy_1300_Dominion Town Center_Keller_14376</t>
  </si>
  <si>
    <t>Meadowbrook Dr_9001_Horizon at Sunridge_Fort Worth_14377</t>
  </si>
  <si>
    <t>Normandale N_8950_Emerald Hills_Fort Worth_14378</t>
  </si>
  <si>
    <t>Enclave Cir_1249_The Enclave at Arlington_Arlington_14379</t>
  </si>
  <si>
    <t>Ash Ln E_855_Enclave at Bear Creek_Euless_14380</t>
  </si>
  <si>
    <t>Harwood Rd_8500_8500 Harwood_North Richland Hills_14382</t>
  </si>
  <si>
    <t>Raider Dr_1304_Euless Square_Euless_14383</t>
  </si>
  <si>
    <t>Coventry Park Dr_5613_Fairway on the Park_Fort Worth_14384</t>
  </si>
  <si>
    <t>7th St W_1001_Firestone Upper West Side_Fort Worth_14385</t>
  </si>
  <si>
    <t>Forest Point Dr_2508_Forest Ridge_Arlington_14386</t>
  </si>
  <si>
    <t>Beach N_5700_Fossil Hill_Fort Worth_14387</t>
  </si>
  <si>
    <t>Beach N_5600_Fossil Ridge_Haltom City_14388</t>
  </si>
  <si>
    <t>Mid Cities Blvd E_750_Fountain Wood at Bear Creek_Euless_14389</t>
  </si>
  <si>
    <t>McKinney E_2401_Fountains of Denton_Denton_14390</t>
  </si>
  <si>
    <t>Village Dr_1600_The Franciscan at Bear Creek_Euless_14391</t>
  </si>
  <si>
    <t>Franciscan_3006_Franciscan of Arlington_Arlington_14392</t>
  </si>
  <si>
    <t>Beach N_6901_Garden Gate-Fort Worth_Fort Worth_14393</t>
  </si>
  <si>
    <t>7th St W_2601_AMLI 7th Street Station_Fort Worth_14394</t>
  </si>
  <si>
    <t>Glenview Dr_7030_Glenview Square_North Richland Hills_14395</t>
  </si>
  <si>
    <t>820 Loop NE_6901_Grayson Ridge_North Richland Hills_14396</t>
  </si>
  <si>
    <t>Grayson Dr_2300_Colonial Village at Grapevine_Grapevine_14397</t>
  </si>
  <si>
    <t>Boca Raton Rd_6501_Havenwood_Fort Worth_14398</t>
  </si>
  <si>
    <t>Heather Hill Ct_2706_Heather Ridge_Arlington_14399</t>
  </si>
  <si>
    <t>Bryant Irvin Rd_5720_Heights of Cityview_Fort Worth_14400</t>
  </si>
  <si>
    <t>Highland Park Dr_5836_Highland Park_Fort Worth_14401</t>
  </si>
  <si>
    <t>Post Oak_3750_Hillcrest_Euless_14402</t>
  </si>
  <si>
    <t>Crump St_300_Hillside_Fort Worth_14403</t>
  </si>
  <si>
    <t>7th St W_410_Historic Electric Building_Fort Worth_14404</t>
  </si>
  <si>
    <t>Holly Park Dr_112_Holly Park_Arlington_14405</t>
  </si>
  <si>
    <t>Ivy Brook Ct_2504_Holly Ridge_Arlington_14406</t>
  </si>
  <si>
    <t>Jennings Ave S_1015_Homes of Parker Commons_Fort Worth_14407</t>
  </si>
  <si>
    <t>Sandshell Dr_5800_The Horizons at Fossil Creek_Fort Worth_14408</t>
  </si>
  <si>
    <t>Hulen S_5700_Hulen Oaks_Fort Worth_14409</t>
  </si>
  <si>
    <t>Fuller Wiser Rd_1001_Hunt Club_Euless_14410</t>
  </si>
  <si>
    <t>Green Oaks Blvd NE_1805_Hunter's Point_Arlington_14411</t>
  </si>
  <si>
    <t>Lamar E_425_Huntington Chase_Arlington_14412</t>
  </si>
  <si>
    <t>Harwood Rd_2900_Huntington Glen_Bedford_14413</t>
  </si>
  <si>
    <t>Bourland Rd_300_Lakes of Stone Glen_Keller_14414</t>
  </si>
  <si>
    <t>Shady Oaks Manor Dr_6501_Lakeview_Fort Worth_14415</t>
  </si>
  <si>
    <t>Springlake Pkwy_5101_Lakeview Terrace_Haltom City_14416</t>
  </si>
  <si>
    <t>Bear Creek Pkwy_1130_The Landing at Bear Creek_Euless_14417</t>
  </si>
  <si>
    <t>Green Oaks Blvd NE_1901_Legacy Point TH_Arlington_14418</t>
  </si>
  <si>
    <t>Boat Club Rd_9385_Legends at Eagle Mountain Lake_Fort Worth_14419</t>
  </si>
  <si>
    <t>Hall Johnson Rd_2551_Lincoln Vineyards_Grapevine_14420</t>
  </si>
  <si>
    <t>River Park Dr_3101_The Lodge at River Park_Fort Worth_14421</t>
  </si>
  <si>
    <t>Alta Vista Rd_13450_Lost Spurs Ranch_Fort Worth_14422</t>
  </si>
  <si>
    <t>360 Hwy_2525_The Mandolin_Euless_14423</t>
  </si>
  <si>
    <t>121 SH_2400_Regency by the Vineyard_Colleyville_14424</t>
  </si>
  <si>
    <t>Marine Creek Pkwy_4500_Marine Creek_Fort Worth_14425</t>
  </si>
  <si>
    <t>820 Loop E_2100_Brentwood_Fort Worth_14426</t>
  </si>
  <si>
    <t>Sierra Springs Dr_1400_Meadows of Bedford I_Bedford_14427</t>
  </si>
  <si>
    <t>Airport Fwy_2801_Colonial Village at Willow Creek_Bedford_14428</t>
  </si>
  <si>
    <t>Fuller Wiser Rd_1200_Colonial Grand at Bear Creek_Euless_14429</t>
  </si>
  <si>
    <t>Misty Ridge Cir_2300_The Biltmore_Arlington_14432</t>
  </si>
  <si>
    <t>Turner_501_Montelena_Grapevine_14433</t>
  </si>
  <si>
    <t>Bryant Irvin Rd_5350_Montevista_Fort Worth_14434</t>
  </si>
  <si>
    <t>Boland St_150_Monticello Oaks TH_Fort Worth_14435</t>
  </si>
  <si>
    <t>Matlock Rd_2900_Mustang Creek_Arlington_14436</t>
  </si>
  <si>
    <t>Ash Ln E_700_Norstar at Bear Creek_Euless_14437</t>
  </si>
  <si>
    <t>Wynncrest Ln_1108_Oak Forest_Arlington_14438</t>
  </si>
  <si>
    <t>Park Blvd_601_Oaks at Park Boulevard_Grapevine_14440</t>
  </si>
  <si>
    <t>Ascension Blvd_2100_The Oaks of Arlington_Arlington_14441</t>
  </si>
  <si>
    <t>Park Place Blvd_2001_The Creek on Park Place_Bedford_14442</t>
  </si>
  <si>
    <t>Ash Ln E_800_Overlook at Bear Creek_Euless_14443</t>
  </si>
  <si>
    <t>John T. White Rd_8700_Papillon Park TH_Fort Worth_14444</t>
  </si>
  <si>
    <t>Post Oak Blvd_3700_Paradise Hills_Euless_14445</t>
  </si>
  <si>
    <t>Denton Dr E_333_Parc Plaza_Euless_14446</t>
  </si>
  <si>
    <t>Beach N_6960_Park Creek_Fort Worth_14447</t>
  </si>
  <si>
    <t>Homedale_1505_Park Place_Fort Worth_14448</t>
  </si>
  <si>
    <t>L. Don Dodson_2401_Kensington Station_Bedford_14449</t>
  </si>
  <si>
    <t>Pinion Dr_907_Parkland Pointe_Arlington_14450</t>
  </si>
  <si>
    <t>Hill Trl Dr_700_Parkside on the Creek_Euless_14452</t>
  </si>
  <si>
    <t>Willowood Cir_3500_The Pavilion_Arlington_14453</t>
  </si>
  <si>
    <t>Little Rd_3740_Pineridge_Arlington_14454</t>
  </si>
  <si>
    <t>Shady Ln Blvd_1300_Point Loma Woods_Bedford_14455</t>
  </si>
  <si>
    <t>Greenway Glen_901_Polo Run_Arlington_14456</t>
  </si>
  <si>
    <t>Lamar Blvd E_1224_The Ponde_Arlington_14457</t>
  </si>
  <si>
    <t>Ascension Blvd_2500_Ascension Point_Arlington_14458</t>
  </si>
  <si>
    <t>Arbrook Blvd W_1601_Providence In The Park_Arlington_14459</t>
  </si>
  <si>
    <t>Booth Calloway_3830_Raintree_Richland Hills_14460</t>
  </si>
  <si>
    <t>Meadowbrook Blvd_8901_La Jolla on Meadowbrook_Fort Worth_14461</t>
  </si>
  <si>
    <t>Oak Hill Cir_2450_Orion at Oak Hill_Fort Worth_14462</t>
  </si>
  <si>
    <t>Henderson St_1000_AMLI at Upper West Side_Fort Worth_14463</t>
  </si>
  <si>
    <t>Trinity Bend Cir_2711_Riverbend Village_Arlington_14464</t>
  </si>
  <si>
    <t>River Park Dr_3451_River Park Place_Fort Worth_14465</t>
  </si>
  <si>
    <t>River Valley Blvd_5100_River Ranch_Fort Worth_14466</t>
  </si>
  <si>
    <t>River Park Dr_3450_Riverstone_Fort Worth_14467</t>
  </si>
  <si>
    <t>Grayson Dr_2050_The Royal St. Moritz_Grapevine_14468</t>
  </si>
  <si>
    <t>Granbury Cut-Off_6250_The Villas at LeBlanc_Fort Worth_14470</t>
  </si>
  <si>
    <t>Arbor Town Cir_1516_Sedona Springs_Arlington_14471</t>
  </si>
  <si>
    <t>121 SH_2500_Seramont_Euless_14472</t>
  </si>
  <si>
    <t>Buenos Aires Dr_6715_Shadow Creek_North Richland Hills_14473</t>
  </si>
  <si>
    <t>Hamilton Cir_4001_Shadow Ridge_Arlington_14474</t>
  </si>
  <si>
    <t>Central Park Blvd_2500_Colonial Village at Shoal Creek_Bedford_14475</t>
  </si>
  <si>
    <t>Lamar Blvd E_1100_The Shores_Arlington_14476</t>
  </si>
  <si>
    <t>Harwood Rd_8359_Silver Creek by Norstar_North Richland Hills_14477</t>
  </si>
  <si>
    <t>Grapevine Mills Pkwy_3701_The Marquis at Silver Oaks_Grapevine_14478</t>
  </si>
  <si>
    <t>Southern Hills Blvd_2624_Southern Hills_Arlington_14479</t>
  </si>
  <si>
    <t>Springlake Pkwy_5301_Spring Lake_Haltom City_14480</t>
  </si>
  <si>
    <t>Main S_807_Spring Valley_Euless_14481</t>
  </si>
  <si>
    <t>Turnberry Dr_2801_St. Andrews at River Park_Arlington_14483</t>
  </si>
  <si>
    <t>Oak Hill Cir_2501_Stonegate Villas_Fort Worth_14484</t>
  </si>
  <si>
    <t>Beach N_7000_Summer Brook at North Beach_Fort Worth_14485</t>
  </si>
  <si>
    <t>L. Don Dodson_2301_Summerstone_Bedford_14486</t>
  </si>
  <si>
    <t>Ridge Haven Dr_1604_Summit Ridge_Arlington_14487</t>
  </si>
  <si>
    <t>Crystal Springs_3001_Surrey Oaks_Bedford_14488</t>
  </si>
  <si>
    <t>Sycamore School Rd_4633_Sycamore Hill_Fort Worth_14489</t>
  </si>
  <si>
    <t>Sycamore School Rd_2201_Sycamore Pointe_Fort Worth_14490</t>
  </si>
  <si>
    <t>Sycamore Ln_501_Tall Timbers_Euless_14491</t>
  </si>
  <si>
    <t>College Cir N_7784_Tan Tara Club_North Richland Hills_14492</t>
  </si>
  <si>
    <t>Woodway Dr_6301_The Carlton_Fort Worth_14493</t>
  </si>
  <si>
    <t>Post Oak Blvd_3720_The Vaucluse_Euless_14494</t>
  </si>
  <si>
    <t>Walnut St E_844_Ticknor Terrace_Grapevine_14495</t>
  </si>
  <si>
    <t>Timberlake Dr_834_Las Lomas_Arlington_14496</t>
  </si>
  <si>
    <t>Glenview Ct_4401-A_Towne Oaks_North Richland Hills_14497</t>
  </si>
  <si>
    <t>Green Oaks NE_811_Trinity Oaks_Arlington_14498</t>
  </si>
  <si>
    <t>Trinity Height_1707_Trinity Trace_Arlington_14499</t>
  </si>
  <si>
    <t>Pipeline Rd E_101_Valley Oaks_Hurst_14500</t>
  </si>
  <si>
    <t>Central Park Dr_2300_The Village at Central Park_Bedford_14502</t>
  </si>
  <si>
    <t>Grapevine Hwy_8515_The Villas on the Green_North Richland Hills_14503</t>
  </si>
  <si>
    <t>Shady Oaks Manor_6303_Vistas at Lake Worth_Fort Worth_14504</t>
  </si>
  <si>
    <t>Valleycreek Ln_5901_Walnut Creek_Arlington_14505</t>
  </si>
  <si>
    <t>Lamar E_611_Waterchase_Arlington_14506</t>
  </si>
  <si>
    <t>John T. White Rd_7000_Waters Landing_Fort Worth_14509</t>
  </si>
  <si>
    <t>Las Vegas Trl_1823_Westlake Gardens_Fort Worth_14510</t>
  </si>
  <si>
    <t>Dove Loop Rd E_820_Wildwood Creek_Grapevine_14512</t>
  </si>
  <si>
    <t>Sycamore School Rd_1301_Willow Glen_Fort Worth_14513</t>
  </si>
  <si>
    <t>Calmont_8725_Wind River_Fort Worth_14514</t>
  </si>
  <si>
    <t>Windstone Dr_4624_Bardin Oaks_Arlington_14515</t>
  </si>
  <si>
    <t>Murphy Rd_2200_Windmill Terrace Apts_Bedford_14516</t>
  </si>
  <si>
    <t>Windsprint Way_2305_Windsprint_Arlington_14517</t>
  </si>
  <si>
    <t>Landers Ln_3657_Landers Lane TH_Arlington_14519</t>
  </si>
  <si>
    <t>Post Oak Blvd_3875_Wood Hollow_Euless_14520</t>
  </si>
  <si>
    <t>Meadow Crest Dr_6897_Wood Meadow_North Richland Hills_14521</t>
  </si>
  <si>
    <t>Martin Dr_2700_Woodbridge_Bedford_14522</t>
  </si>
  <si>
    <t>Ash Ln E_1000_Woodchase_Euless_14523</t>
  </si>
  <si>
    <t>Stoneybrook Dr_6001_La Plaza_Fort Worth_14524</t>
  </si>
  <si>
    <t>Park Blvd_655_Woodlake_Grapevine_14525</t>
  </si>
  <si>
    <t>Plum Ln_2216_Sutter Creek_Arlington_14527</t>
  </si>
  <si>
    <t>Boca Raton_6101_Wyndham Pointe_Fort Worth_14528</t>
  </si>
  <si>
    <t>Grand Ave Pkwy_1525_Riverhorse Ranch_Pflugerville_14529</t>
  </si>
  <si>
    <t>Jupiter Rd_12825_Villas at La Risa_Dallas_14530</t>
  </si>
  <si>
    <t>Preston Rd_6600_Camden Legacy Park_Plano_14533</t>
  </si>
  <si>
    <t>Liveoak_5400_5400 Liveoak_Dallas_14541</t>
  </si>
  <si>
    <t>Walnut St_10110_Briarwyck_Dallas_14543</t>
  </si>
  <si>
    <t>Prestonwood Blvd_15190_Turnberry Isle_Dallas_14545</t>
  </si>
  <si>
    <t>Preston Rd_19019_19019 Preston TH_Dallas_14546</t>
  </si>
  <si>
    <t>Gaston Ave_6011_6011 Gaston_Dallas_14549</t>
  </si>
  <si>
    <t>Aden Rd_2200_Aden Crest_Fort Worth_14551</t>
  </si>
  <si>
    <t>NW Hillery_355_Arbors of Burleson_Burleson_14552</t>
  </si>
  <si>
    <t>Bernard St_1103_Arbors of Denton_Denton_14553</t>
  </si>
  <si>
    <t>Oakmont Trl_6000_Arbors on Oakmont_Fort Worth_14554</t>
  </si>
  <si>
    <t>15th St E_1901_Amber Vista_Plano_14556</t>
  </si>
  <si>
    <t>Bellaire Dr S_4600_Marquis at Bellaire Ranch_Fort Worth_14558</t>
  </si>
  <si>
    <t>Cross Creek Ln_5513_Cross Creek Ranch_Benbrook_14559</t>
  </si>
  <si>
    <t>Williams Rd_4635_Benbrook Manor_Benbrook_14560</t>
  </si>
  <si>
    <t>Alma Dr_7301_Steeplechase_Plano_14563</t>
  </si>
  <si>
    <t>Steppington_10640_The Steppington_Dallas_14564</t>
  </si>
  <si>
    <t>Fair Oaks Ave_7407_City Central_Dallas_14565</t>
  </si>
  <si>
    <t>Rolling Rock_9624_Summer Glen_Dallas_14569</t>
  </si>
  <si>
    <t>Ohio Dr_6000_Summer Meadows_Plano_14570</t>
  </si>
  <si>
    <t>Thackery_8600_Renaissance Preston Hollow_Dallas_14571</t>
  </si>
  <si>
    <t>Preston Rd_17717_Summer Villas_Dallas_14572</t>
  </si>
  <si>
    <t>Preston Rd_1500_Summers Crossing_Plano_14573</t>
  </si>
  <si>
    <t>Frankford_7575_Estates on Frankford_Dallas_14574</t>
  </si>
  <si>
    <t>Holly Hill_7317_Sunchase Square_Dallas_14576</t>
  </si>
  <si>
    <t>Finley_3201_Adrianna's El Morocco_Irving_14577</t>
  </si>
  <si>
    <t>Peterson Ln_5444_Suncrest_Dallas_14578</t>
  </si>
  <si>
    <t>Chase Oaks Blvd_7101_Thornbury at Chase Oaks_Plano_14579</t>
  </si>
  <si>
    <t>Military Pkwy_1025_Allenhurst_Mesquite_14580</t>
  </si>
  <si>
    <t>Melody Ln_6011_Three Fountains Retirement Center_Dallas_14581</t>
  </si>
  <si>
    <t>Glen America_7777_Tonti Lakeside_Dallas_14583</t>
  </si>
  <si>
    <t>Village Way_7120_Concord at Gulfgate_Houston_14584</t>
  </si>
  <si>
    <t>Knoll Trl_15678_The Merce_Dallas_14587</t>
  </si>
  <si>
    <t>Fisher Rd_6418_Treehaven_Dallas_14588</t>
  </si>
  <si>
    <t>Live Oak_4906_Indian Creek_Dallas_14589</t>
  </si>
  <si>
    <t>Trellis Pl_206_Trellis Place Duplexes_Richardson_14590</t>
  </si>
  <si>
    <t>Trinity Mills_2522_Trinity Crossing_Carrollton_14591</t>
  </si>
  <si>
    <t>Country Club Dr_2000_River Oaks_Wylie_14592</t>
  </si>
  <si>
    <t>Ohio Dr_2525_Highlands of Preston II_Plano_14593</t>
  </si>
  <si>
    <t>Keller Springs_5353_Saddle Brook_Dallas_14594</t>
  </si>
  <si>
    <t>David Memorial_19445_Oak Haven_The Woodlands_14597</t>
  </si>
  <si>
    <t>Ferguson_11511_Shadow Brook North_Dallas_14598</t>
  </si>
  <si>
    <t>Larmanda_6809_Sheffield Manor_Dallas_14599</t>
  </si>
  <si>
    <t>Preston_13717_Carillon House_Dallas_14600</t>
  </si>
  <si>
    <t>Spring Creek E_2001_Sheridan Park at Spring Creek_Plano_14601</t>
  </si>
  <si>
    <t>University Blvd E_5750_The Carlyle_Dallas_14602</t>
  </si>
  <si>
    <t>Peterson_5351_Carolina Chase_Dallas_14603</t>
  </si>
  <si>
    <t>Apollo_2379_Shiloh Oaks_Garland_14604</t>
  </si>
  <si>
    <t>Park E_3500_Shiloh Park TH_Plano_14605</t>
  </si>
  <si>
    <t>Belt Line Rd E_1600_Carrollton Arms_Carrollton_14606</t>
  </si>
  <si>
    <t>Lovers Ln E_5936_Signature Pointe_Dallas_14607</t>
  </si>
  <si>
    <t>Caruth Haven_5445_The Caruth At Lincoln Park_Dallas_14608</t>
  </si>
  <si>
    <t>Bay Area Blvd W_780_Terrace at Clear Lake_Webster_14609</t>
  </si>
  <si>
    <t>Independence Pkwy_1717_Cornerstone Ranch_Plano_14610</t>
  </si>
  <si>
    <t>Walnut Hill Ln_11100_Silverado Springs_Dallas_14611</t>
  </si>
  <si>
    <t>Parker Rd W_7001_The Preserve at Arbor Hills_Plano_14612</t>
  </si>
  <si>
    <t>Irving Heights S_863_Casa Bella_Irving_14613</t>
  </si>
  <si>
    <t>Sotogrande Blvd_1700_Westdale Hills Augusta_Euless_14614</t>
  </si>
  <si>
    <t>Forest Ln_9590_Snug Harbor_Dallas_14615</t>
  </si>
  <si>
    <t>Fallwood_2409_Autumnwood_Arlington_14616</t>
  </si>
  <si>
    <t>Spring Creek Pkwy W_3801_Somerset at Spring Creek_Plano_14617</t>
  </si>
  <si>
    <t>Castleglen Dr_1004_Castleglen TH_Garland_14618</t>
  </si>
  <si>
    <t>Barnes Dr S_238_Legacy Pointe_Garland_14619</t>
  </si>
  <si>
    <t>Arapaho Rd_7050_Sonoma at Hillcrest_Dallas_14620</t>
  </si>
  <si>
    <t>Sandhurst_5925_Spanish Steppes_Dallas_14623</t>
  </si>
  <si>
    <t>Schroeder_12708_Lyndon Manor_Dallas_14625</t>
  </si>
  <si>
    <t>Jupiter Rd N_110_Spanish Villa_Garland_14626</t>
  </si>
  <si>
    <t>Cranford_1910_Little Brooks_Garland_14627</t>
  </si>
  <si>
    <t>El Estado_15534_Villas At Monterey_Dallas_14628</t>
  </si>
  <si>
    <t>Lloyd Dr_18790_Preston Bend_Dallas_14629</t>
  </si>
  <si>
    <t>Preston Rd_15889_London Park_Dallas_14630</t>
  </si>
  <si>
    <t>Roe Hampton_18331_The Manhattan_Dallas_14631</t>
  </si>
  <si>
    <t>Shenandoah_2700_Calmont Villas_Fort Worth_14632</t>
  </si>
  <si>
    <t>Eastchase Pkwy_1601_Bentley Square_Fort Worth_14633</t>
  </si>
  <si>
    <t>Walnut St W_4362_Country Village TH_Garland_14634</t>
  </si>
  <si>
    <t>McCallum Blvd_7777_Courts of McCallum_Dallas_14635</t>
  </si>
  <si>
    <t>Holly Hill_7117_Park Towne Villas_Dallas_14638</t>
  </si>
  <si>
    <t>Crosby Rd E_1400_La Sombra_Carrollton_14639</t>
  </si>
  <si>
    <t>Bent Tree Forest Dr_5330_Covington Pointe_Dallas_14640</t>
  </si>
  <si>
    <t>16th St W_651_Creek Walk_Plano_14641</t>
  </si>
  <si>
    <t>Abrams_5680_Lafayette House_Dallas_14642</t>
  </si>
  <si>
    <t>Meadowcreek_5426_Celery Stalk_Dallas_14643</t>
  </si>
  <si>
    <t>Jupiter Rd_12660_Spring House_Dallas_14644</t>
  </si>
  <si>
    <t>Beltline_5769_Laguna Terrace_Dallas_14645</t>
  </si>
  <si>
    <t>Arapaho_5665_St. Moritz_Dallas_14646</t>
  </si>
  <si>
    <t>Towne Maine Dr_8205_The Lincoln at Towne Square_Plano_14647</t>
  </si>
  <si>
    <t>Preston Rd_2525_Madison Willow Bend_Plano_14648</t>
  </si>
  <si>
    <t>Windcrest Dr_6300_Creekside Homes in Legacy_Plano_14649</t>
  </si>
  <si>
    <t>Preston Rd_19251_Lincoln Crossing_Dallas_14650</t>
  </si>
  <si>
    <t>Arapaho Rd_5990_Preston Greens_Dallas_14651</t>
  </si>
  <si>
    <t>Walnut W_3200_Crest Ridge_Garland_14652</t>
  </si>
  <si>
    <t>Villa Creek_2835_London Villa_Farmers Branch_14653</t>
  </si>
  <si>
    <t>Crosby Rd E_1300_Crosby Creek_Carrollton_14654</t>
  </si>
  <si>
    <t>Jupiter Rd_12800_Madison_Dallas_14656</t>
  </si>
  <si>
    <t>Meadow Rd_8111_Central Meadow East_Dallas_14657</t>
  </si>
  <si>
    <t>Beltline Rd_5811_Preston Del Norte Condo Apts_Dallas_14659</t>
  </si>
  <si>
    <t>Legacy Dr_300_Saxony at Chase Oaks_Plano_14661</t>
  </si>
  <si>
    <t>Alpha Rd_5557_Dallas North_Dallas_14662</t>
  </si>
  <si>
    <t>Preston Rd_17601_Preston Villas_Dallas_14664</t>
  </si>
  <si>
    <t>Beltline Rd E_1600-1610_Carrollton Arms-Del Mar_Carrollton_14665</t>
  </si>
  <si>
    <t>Belt Line Rd_6069_Grand Seasons_Dallas_14666</t>
  </si>
  <si>
    <t>McCallum_7825_Chatham Court_Dallas_14667</t>
  </si>
  <si>
    <t>Fuller_1130_Casawood_Dallas_14668</t>
  </si>
  <si>
    <t>Roehampton_18333_Cimarron Court_Dallas_14669</t>
  </si>
  <si>
    <t>McCallum_7815_Chatham Court Reflections_Dallas_14670</t>
  </si>
  <si>
    <t>Lone Tree Apartment A_10429_Easton Terrace_Dallas_14671</t>
  </si>
  <si>
    <t>Lloyd Cir_18909_Preston Village_Dallas_14672</t>
  </si>
  <si>
    <t>Steppington_10501_Madison Park Apts_Dallas_14674</t>
  </si>
  <si>
    <t>Bandera #1_6407_Drexel Village_Dallas_14675</t>
  </si>
  <si>
    <t>Thackery St_8629_Drexel Village_Dallas_14677</t>
  </si>
  <si>
    <t>Coit_17817_Mandalay_Dallas_14678</t>
  </si>
  <si>
    <t>Patricia Ln_2828_English Village_Garland_14680</t>
  </si>
  <si>
    <t>Hillcrest_15505_Prestonwood Hillcrest_Dallas_14682</t>
  </si>
  <si>
    <t>LBJ Fwy_6104_Citadel at Preston_Dallas_14683</t>
  </si>
  <si>
    <t>Walnut Plaza_1919_Estrada_Carrollton_14684</t>
  </si>
  <si>
    <t>Custer_9601_Bella Vida at Ridgeview Country Club_Plano_14685</t>
  </si>
  <si>
    <t>Melody Ln_5951_Rosemont at Melody Village_Dallas_14686</t>
  </si>
  <si>
    <t>Bent Tree Forest Cir_15905_Fairways of Bent Tree_Dallas_14687</t>
  </si>
  <si>
    <t>Arapaho_5930_Monaco Parc_Dallas_14688</t>
  </si>
  <si>
    <t>Mapleshade Ln_6606_Mapleshade Park_Dallas_14690</t>
  </si>
  <si>
    <t>Keller Springs_6350_Prestonwood Trails_Dallas_14691</t>
  </si>
  <si>
    <t>Miller Rd W_1214_Miller Garden_Garland_14692</t>
  </si>
  <si>
    <t>Mccallum_7795_Mccallum Corners_Dallas_14693</t>
  </si>
  <si>
    <t>Melody Ln_6415_Quarters_Dallas_14694</t>
  </si>
  <si>
    <t>Bonnie Dr_3241_Bonnie Royal_Fort Worth_14695</t>
  </si>
  <si>
    <t>McCallum_7720_McCallum Crossings_Dallas_14696</t>
  </si>
  <si>
    <t>Campus Dr_4500_Ladera Palms_Fort Worth_14698</t>
  </si>
  <si>
    <t>Waterview S_925_New Orleans_Richardson_14704</t>
  </si>
  <si>
    <t>McCallum Blvd_6565_McCallum Highlands_Dallas_14705</t>
  </si>
  <si>
    <t>Ridgeview_2901_Ranch at Ridgeview_Plano_14707</t>
  </si>
  <si>
    <t>Jupiter S_402_Forest Glen_Garland_14709</t>
  </si>
  <si>
    <t>Randol Mill Rd_8925_La Jolla Ridge_Fort Worth_14710</t>
  </si>
  <si>
    <t>McCallum Blvd_7760_McCallum Meadows_Dallas_14711</t>
  </si>
  <si>
    <t>Woodmeadow Pkwy_11434_New World_Dallas_14712</t>
  </si>
  <si>
    <t>Randol Mill Rd_8900_La Jolla Terrace_Fort Worth_14713</t>
  </si>
  <si>
    <t>Dickerson_17708_Mccallum Oaks_Dallas_14714</t>
  </si>
  <si>
    <t>Kingsley_10850_Newport Landing_Dallas_14716</t>
  </si>
  <si>
    <t>Hulen S_6822_Candle Chase_Fort Worth_14717</t>
  </si>
  <si>
    <t>McCallum Blvd_7650_Ashwood Park Apts_Dallas_14718</t>
  </si>
  <si>
    <t>River Park Dr_2751_The Canyons_Fort Worth_14723</t>
  </si>
  <si>
    <t>Tacoma_518_Meadow Creek_Garland_14724</t>
  </si>
  <si>
    <t>Gaston Ave_7204_7204 Gaston_Dallas_14725</t>
  </si>
  <si>
    <t>Northgate Dr W_4200_Burn Brae_Irving_14726</t>
  </si>
  <si>
    <t>Maham_14000_Teruko Springs_Dallas_14728</t>
  </si>
  <si>
    <t>Cedar Hill_901_Cedar Oak_Dallas_14731</t>
  </si>
  <si>
    <t>Golf Lake Trl_9600_Camden Glen Lakes_Dallas_14732</t>
  </si>
  <si>
    <t>Vega Dr_6300_Carlyle Crossing_Fort Worth_14733</t>
  </si>
  <si>
    <t>Ridgecrest Rd_6041_Northridge Court_Dallas_14734</t>
  </si>
  <si>
    <t>Meadow Creek_5200_Meadow Crest_Dallas_14735</t>
  </si>
  <si>
    <t>Jupiter S_320_Hickory_Garland_14736</t>
  </si>
  <si>
    <t>Ridgecrest Rd_6431_Northridge Villas_Dallas_14738</t>
  </si>
  <si>
    <t>Medalist E_6533_Highpoint TH_Plano_14740</t>
  </si>
  <si>
    <t>16th St E_623_Oak Gate_Plano_14741</t>
  </si>
  <si>
    <t>Boca Raton_5700_The Huntington_Fort Worth_14742</t>
  </si>
  <si>
    <t>Elizabeth Ln_6709_Carriage Square_Fort Worth_14743</t>
  </si>
  <si>
    <t>Woodmeadow Pkwy_11050_Oak Meadow_Dallas_14744</t>
  </si>
  <si>
    <t>Gordon St SW_400_Crestbrook_Burleson_14746</t>
  </si>
  <si>
    <t>Andrews Ave_400_Cedar Square_Dallas_14747</t>
  </si>
  <si>
    <t>Cimarron Trl_101_Camden Cimarron_Irving_14748</t>
  </si>
  <si>
    <t>Oakland Hill_6100_Casa Villa_Fort Worth_14749</t>
  </si>
  <si>
    <t>School Rd_1506_Old Town Place_Carrollton_14751</t>
  </si>
  <si>
    <t>Holly Hill Dr_7112_Holly Bend_Dallas_14752</t>
  </si>
  <si>
    <t>Las Vegas Trl S_238_Central Park TH_White Settlement_14757</t>
  </si>
  <si>
    <t>White Settlement Rd_3900_Crestwood Place_Fort Worth_14758</t>
  </si>
  <si>
    <t>Polk S_3288_Chalmette_Dallas_14762</t>
  </si>
  <si>
    <t>Brentwood Stair Rd_8300_The Brentwood_Fort Worth_14763</t>
  </si>
  <si>
    <t>Melody Ln_6262_Hyde Park Condos_Dallas_14764</t>
  </si>
  <si>
    <t>Kingsley Dr W_1520_Orchard Square_Garland_14765</t>
  </si>
  <si>
    <t>Red Sierra_6520_Chaparral_Fort Worth_14766</t>
  </si>
  <si>
    <t>Stuart_3815_Crystal Wood_Denton_14767</t>
  </si>
  <si>
    <t>Lombardy_3130_Juliana Place_Dallas_14768</t>
  </si>
  <si>
    <t>Fair Oaks Dr_7225_The Ivy_Dallas_14769</t>
  </si>
  <si>
    <t>Webbs Chapel_9765_Chapel Brook_Dallas_14770</t>
  </si>
  <si>
    <t>Eastchase Pkwy_1901_Chase_Fort Worth_14771</t>
  </si>
  <si>
    <t>Pandora Dr_13100_Pace's Cove_Dallas_14772</t>
  </si>
  <si>
    <t>Callaston Ln_5925_Cherry Hill_Fort Worth_14774</t>
  </si>
  <si>
    <t>Hulen Bend Blvd_6500_The Lofts on Hulen_Fort Worth_14775</t>
  </si>
  <si>
    <t>Hidalgo Dr_3410_Chapel Creek_Dallas_14776</t>
  </si>
  <si>
    <t>Meadowbrook Dr_5720_Spanish Village_Fort Worth_14777</t>
  </si>
  <si>
    <t>Knoll Trl_15820_Kensington Square I &amp; II_Dallas_14778</t>
  </si>
  <si>
    <t>Central Expwy N_10843_Advenir at Foxmoor_Dallas_14779</t>
  </si>
  <si>
    <t>Tyler S_3800_Carousel Court_Dallas_14780</t>
  </si>
  <si>
    <t>Hulen S_6047_Chesapeake_Fort Worth_14782</t>
  </si>
  <si>
    <t>Fall Meadow_3210_Denton North_Denton_14784</t>
  </si>
  <si>
    <t>Preston Rd_17878_Park On Preston_Dallas_14785</t>
  </si>
  <si>
    <t>Walnut W_3820_Kent_Garland_14786</t>
  </si>
  <si>
    <t>Lake Ave_4503_Casa Blanca I_Dallas_14787</t>
  </si>
  <si>
    <t>Lake Ave_4619_Casa Blanca II_Dallas_14788</t>
  </si>
  <si>
    <t>La Palma Dr_8900_Chisholm Trail TH_Fort Worth_14789</t>
  </si>
  <si>
    <t>River Park Dr_3301_Vieux Coulee_Fort Worth_14791</t>
  </si>
  <si>
    <t>Brentwood Stair_5108_Devonwood_Fort Worth_14792</t>
  </si>
  <si>
    <t>Glenbrook Dr S_1839_Park Ridge Community_Garland_14793</t>
  </si>
  <si>
    <t>WestCreek_6100_Cinnamon Tree_Fort Worth_14794</t>
  </si>
  <si>
    <t>Miller Ave_4600_Nueva Vista Apts_Fort Worth_14795</t>
  </si>
  <si>
    <t>Medalist Cir S_900_Park Springs TH_Plano_14796</t>
  </si>
  <si>
    <t>Bachman Dr_2807_Bachman Place_Dallas_14797</t>
  </si>
  <si>
    <t>Bahama Dr_2540_Bahama Glen_Dallas_14798</t>
  </si>
  <si>
    <t>Blackwell St_5827_Park Vali Hai_Dallas_14800</t>
  </si>
  <si>
    <t>Hulen Bend Blvd_6351_Coffee Creek_Fort Worth_14801</t>
  </si>
  <si>
    <t>Colorado Blvd_2700_The Ridge at North Texas_Denton_14802</t>
  </si>
  <si>
    <t>Garrison Rd_3150_Kensington Park_Corinth_14803</t>
  </si>
  <si>
    <t>Fox Ave W_1020_Basswood Manor_Lewisville_14804</t>
  </si>
  <si>
    <t>Round Grove Rd E_195_Colonial Village at Oak Bend_Lewisville_14805</t>
  </si>
  <si>
    <t>Texas Blvd N_218_Eagle's Landing Condo Apts_Denton_14807</t>
  </si>
  <si>
    <t>Karen Cir_6051_Colony On The Green_Fort Worth_14808</t>
  </si>
  <si>
    <t>Buckner Blvd N_2777_Buckner Park_Dallas_14809</t>
  </si>
  <si>
    <t>McCallum Blvd_7780_The Gables on McCallum_Dallas_14810</t>
  </si>
  <si>
    <t>Joyce Ln_3400_Kingswood_Denton_14811</t>
  </si>
  <si>
    <t>Colorado Blvd_1939_Colorado Court_Denton_14812</t>
  </si>
  <si>
    <t>Dallas_1200_La Colina_Denton_14816</t>
  </si>
  <si>
    <t>Westridge Ln_6109_Commons at Ridglea_Fort Worth_14817</t>
  </si>
  <si>
    <t>Kingsley W_1901_Parkside_Garland_14819</t>
  </si>
  <si>
    <t>Linda Dr_3302_Andora_Dallas_14820</t>
  </si>
  <si>
    <t>Edgewood Terrace S_501_Edgewood Oaks_Fort Worth_14821</t>
  </si>
  <si>
    <t>Larga Dr_9494_Chapel Oaks_Dallas_14825</t>
  </si>
  <si>
    <t>Parkwood Blvd_3200_The Wellington at Willow Bend_Plano_14826</t>
  </si>
  <si>
    <t>La Plaza_8597_La Plaza_White Settlement_14829</t>
  </si>
  <si>
    <t>Ralph St_400_The Legacy_White Settlement_14830</t>
  </si>
  <si>
    <t>Gallery Dr_18383_The Gallery_Dallas_14832</t>
  </si>
  <si>
    <t>Hallmark Dr S_7125_Emerald Trails_Fort Worth_14833</t>
  </si>
  <si>
    <t>Pineland_5811_Pinebranch_Dallas_14834</t>
  </si>
  <si>
    <t>Teasley Ln_2007_La Prairie_Denton_14836</t>
  </si>
  <si>
    <t>Normandale W_2925_Point West_Fort Worth_14837</t>
  </si>
  <si>
    <t>Throckmorton_2607_Chevelle_Dallas_14840</t>
  </si>
  <si>
    <t>Polo Club Dr S_3386_The Polo Club_Fort Worth_14841</t>
  </si>
  <si>
    <t>Vista Way_125_Lakeview_Benbrook_14842</t>
  </si>
  <si>
    <t>Melody Ln_6517_Garden Ridge_Dallas_14843</t>
  </si>
  <si>
    <t>Heights_807_Hidden Valley Estates_Fort Worth_14844</t>
  </si>
  <si>
    <t>Lancaster Ave E_5200_Lancaster_Fort Worth_14845</t>
  </si>
  <si>
    <t>Walnut W_3910_Pineview_Garland_14846</t>
  </si>
  <si>
    <t>Nursery Rd N_730_Casa del Sol_Irving_14847</t>
  </si>
  <si>
    <t>Ruddell N_1920_Fairways at University_Denton_14848</t>
  </si>
  <si>
    <t>Players Club_2525_Players Club_Dallas_14850</t>
  </si>
  <si>
    <t>Vail_17811_Gardens at Vail_Dallas_14851</t>
  </si>
  <si>
    <t>Bridge_5801_Lincoln Meadow_Fort Worth_14852</t>
  </si>
  <si>
    <t>Highland Hills_6271_Highland Park Apts_Dallas_14853</t>
  </si>
  <si>
    <t>Boca Raton_5401_Falcon Ridge_Fort Worth_14854</t>
  </si>
  <si>
    <t>Lovers Ln_6044_Plaza On Lovers Lane_Dallas_14855</t>
  </si>
  <si>
    <t>Normandale S_9001_The Falls_Fort Worth_14857</t>
  </si>
  <si>
    <t>Teasly Ln_1721_Londonderry Oaks_Denton_14858</t>
  </si>
  <si>
    <t>Barnes Dr S_245_Garland Gardens_Garland_14859</t>
  </si>
  <si>
    <t>Brentwood Stair Rd_8200_Fireside at Eastchase_Fort Worth_14861</t>
  </si>
  <si>
    <t>Southwestern Blvd_8203_The Gate_Dallas_14862</t>
  </si>
  <si>
    <t>Audra Ln_400_Mack Park_Denton_14863</t>
  </si>
  <si>
    <t>Stone Canyon_10588_Pointe at Stone Canyon_Dallas_14864</t>
  </si>
  <si>
    <t>Calmont_8225_Manitoba_Fort Worth_14866</t>
  </si>
  <si>
    <t>Cloverleaf Ln_1900_Cloverleaf_Irving_14867</t>
  </si>
  <si>
    <t>Oakland Hills Dr_6050_The Lodge_Fort Worth_14868</t>
  </si>
  <si>
    <t>Overton Ridge Blvd_5301_Marina Club_Fort Worth_14869</t>
  </si>
  <si>
    <t>Webb Chapel_3130_Cluster_Dallas_14870</t>
  </si>
  <si>
    <t>Park Place Ave_2306_Forest Park Tower_Fort Worth_14871</t>
  </si>
  <si>
    <t>Martin Rd_5741_Post Legacy_Plano_14873</t>
  </si>
  <si>
    <t>Westminister_1810_Forest Ridge_Denton_14874</t>
  </si>
  <si>
    <t>Meadowbrook Gardens Dr_2324_Escalante Park_Fort Worth_14875</t>
  </si>
  <si>
    <t>Hildring Dr E_5054_Fountains_Fort Worth_14876</t>
  </si>
  <si>
    <t>Windhaven_6201_Windhaven Park_Plano_14878</t>
  </si>
  <si>
    <t>Hidden Creek Pkwy_328_Fountains of Burleson_Burleson_14879</t>
  </si>
  <si>
    <t>Coles Manor Place_4829_Birchwood_Dallas_14882</t>
  </si>
  <si>
    <t>Walden Ave_5074_Fountains Square_Fort Worth_14884</t>
  </si>
  <si>
    <t>Randol Mill_9001_Mill Valley_Fort Worth_14885</t>
  </si>
  <si>
    <t>Congress Ave_4321_Braes Brook_Dallas_14888</t>
  </si>
  <si>
    <t>CF Hawn Fwy_13700_Bridle Path_Dallas_14889</t>
  </si>
  <si>
    <t>Lancaster E_4761_La Hacienda_Fort Worth_14890</t>
  </si>
  <si>
    <t>Shoaf Dr_1954_Britain Way_Irving_14891</t>
  </si>
  <si>
    <t>Carroll Blvd S_524_Gazebo_Denton_14892</t>
  </si>
  <si>
    <t>Marvin D. Love Fwy_8081_Brandon Mill_Dallas_14893</t>
  </si>
  <si>
    <t>Bailey Ave N_154_Monticello_Fort Worth_14894</t>
  </si>
  <si>
    <t>Lake Ave_4710_Brandywine_Dallas_14896</t>
  </si>
  <si>
    <t>Saint Donovan_180_Monticello Crossroads_Fort Worth_14897</t>
  </si>
  <si>
    <t>Nursery Rd S_831_Brentwood_Irving_14899</t>
  </si>
  <si>
    <t>Bellaire S_5608_Greenwood Creek_Benbrook_14900</t>
  </si>
  <si>
    <t>Emerald Crest Dr_7924_Saddle Creek_White Settlement_14902</t>
  </si>
  <si>
    <t>Boca Raton Blvd_5901_Oak Hollow_Fort Worth_14903</t>
  </si>
  <si>
    <t>Teasly Ln_1810_Oak Meadows_Denton_14904</t>
  </si>
  <si>
    <t>Merrick St_2658_Taj Mahal_Fort Worth_14905</t>
  </si>
  <si>
    <t>8th Ave_550_Harris Gardens_Fort Worth_14906</t>
  </si>
  <si>
    <t>Perry St_1126_Congress_Irving_14907</t>
  </si>
  <si>
    <t>Hulen Bend_6401_Township on Hulen Bend_Fort Worth_14908</t>
  </si>
  <si>
    <t>S Fwy_2900_Morning Side_Fort Worth_14909</t>
  </si>
  <si>
    <t>Altoona Dr_4170_Windsor TH_Dallas_14910</t>
  </si>
  <si>
    <t>820 Loop SW_4151_Fountain's Corner_Fort Worth_14911</t>
  </si>
  <si>
    <t>Alcott_4828_Continental House_Dallas_14912</t>
  </si>
  <si>
    <t>Bonnie Brae St S_200_University Courtyard_Denton_14913</t>
  </si>
  <si>
    <t>Ederville_7301_Valencia Palms_Fort Worth_14915</t>
  </si>
  <si>
    <t>Hulen S_6625_Valhalla_Fort Worth_14916</t>
  </si>
  <si>
    <t>Vega Dr_6351_Oakwood_Fort Worth_14917</t>
  </si>
  <si>
    <t>Esters_3303_Windtree_Irving_14918</t>
  </si>
  <si>
    <t>Meadow Brook_8651_The Place at Vanderbilt_Fort Worth_14919</t>
  </si>
  <si>
    <t>Barbara Rd_4600_Hidden Oaks_River Oaks_14920</t>
  </si>
  <si>
    <t>Elm St_3311_Continental Lofts_Dallas_14921</t>
  </si>
  <si>
    <t>Chickering Rd_6869_Oakwood Estates I &amp; II_Fort Worth_14922</t>
  </si>
  <si>
    <t>Vickery W_7100_The Monterrey_Fort Worth_14923</t>
  </si>
  <si>
    <t>Boca Raton_5817_Villa Del Rio_Fort Worth_14924</t>
  </si>
  <si>
    <t>Ebo St_151_Windtree_Kaufman_14926</t>
  </si>
  <si>
    <t>Village St E_1700_Village East_Denton_14927</t>
  </si>
  <si>
    <t>Normandale W_3101_The Hills_Fort Worth_14928</t>
  </si>
  <si>
    <t>Collett Little Rd_5201_Villas by the Lake_Fort Worth_14929</t>
  </si>
  <si>
    <t>Marvin D. Love Fwy_7878_The Corners_Dallas_14930</t>
  </si>
  <si>
    <t>Coury_917_Oakwood Terrace_Everman_14931</t>
  </si>
  <si>
    <t>Las Vegas Trl_2821_Warren House_Fort Worth_14932</t>
  </si>
  <si>
    <t>Valley Meadow_3120_Cornerstone Chase_Dallas_14933</t>
  </si>
  <si>
    <t>Calmont Ave_8701_Warren Terrace_Fort Worth_14934</t>
  </si>
  <si>
    <t>35 IH S E_2411_Pace's Crossing_Denton_14935</t>
  </si>
  <si>
    <t>Londonderry_900_Holly Hills_Denton_14936</t>
  </si>
  <si>
    <t>Rock Island_1330_Country Brook_Irving_14937</t>
  </si>
  <si>
    <t>Las Vegas Trl_2819_Warwick_Fort Worth_14938</t>
  </si>
  <si>
    <t>Spencer Rd_2100_Waterford at Spencer Oaks_Denton_14939</t>
  </si>
  <si>
    <t>Walton Ave #101_2819_Wedgewood_Fort Worth_14941</t>
  </si>
  <si>
    <t>Renzel Blvd_3501_Palm House_Fort Worth_14942</t>
  </si>
  <si>
    <t>Wellesley_4727_Wells Point_Fort Worth_14944</t>
  </si>
  <si>
    <t>Chaucer_7251_Bella Vista_Dallas_14945</t>
  </si>
  <si>
    <t>Locust St N_3232_Cooper Glen_Denton_14946</t>
  </si>
  <si>
    <t>Las Vegas Trl_3000_West Point Pines_Fort Worth_14948</t>
  </si>
  <si>
    <t>Tallow Wind Trl_7415_Hulen Gardens_Fort Worth_14949</t>
  </si>
  <si>
    <t>Pleasant Run Rd_3947_Wood Wind Condominiums_Irving_14951</t>
  </si>
  <si>
    <t>Gunnison Trl_2900_Westchase_Fort Worth_14952</t>
  </si>
  <si>
    <t>River Walk Dr_5644_Copper Crossing I &amp; II_Benbrook_14953</t>
  </si>
  <si>
    <t>Belt Line Rd N_4060_Woodchase Condos_Irving_14955</t>
  </si>
  <si>
    <t>Dixon Cir_3872_Southdale Apts II_Dallas_14956</t>
  </si>
  <si>
    <t>Hills Ave S_3481_Westcliff Manor_Fort Worth_14958</t>
  </si>
  <si>
    <t>Wellesley_4720_Hulen Hills I_Fort Worth_14959</t>
  </si>
  <si>
    <t>Dale Ln_801_Parkdale_Fort Worth_14960</t>
  </si>
  <si>
    <t>Woodhollow Dr_4424_Woodhollow_Dallas_14961</t>
  </si>
  <si>
    <t>Westcreek Ct N_5961_Westcreek Court TH_Fort Worth_14962</t>
  </si>
  <si>
    <t>Wellesley Ave_4720_Hulen Hills II_Fort Worth_14963</t>
  </si>
  <si>
    <t>Hercules_708_Cornerstone_Denton_14964</t>
  </si>
  <si>
    <t>Jim Miller Rd S_202_Asante_Dallas_14965</t>
  </si>
  <si>
    <t>Cliffridge Ln_2933_Western Hills_Fort Worth_14966</t>
  </si>
  <si>
    <t>Coronado Dr_301_Coronado North_Denton_14968</t>
  </si>
  <si>
    <t>Rogers Rd_1701_Park Lane (demolished)_Fort Worth_14969</t>
  </si>
  <si>
    <t>John Rd W_1615_Villas At Montierra I_Dallas_14970</t>
  </si>
  <si>
    <t>Coronado Dr_113_Coronado Villas_Denton_14971</t>
  </si>
  <si>
    <t>Avril Ct N_8841_Westridge_Fort Worth_14973</t>
  </si>
  <si>
    <t>Northgate W_3541_Woodland Hills_Irving_14974</t>
  </si>
  <si>
    <t>Wonder Dr_5250_Granbury Hills_Fort Worth_14975</t>
  </si>
  <si>
    <t>Royal Ln_5608_Country Bend_Benbrook_14976</t>
  </si>
  <si>
    <t>Brentwood Stair Rd_4500_Quail Ridge_Fort Worth_14977</t>
  </si>
  <si>
    <t>Calmont Ave_8021_Westview Terrace_Fort Worth_14978</t>
  </si>
  <si>
    <t>Eldridge St_3602_Hulen Park Place TH_Fort Worth_14979</t>
  </si>
  <si>
    <t>West Northgate_3725_Woodland Ridge I_Irving_14980</t>
  </si>
  <si>
    <t>McKinney E_1606_Country Park_Denton_14981</t>
  </si>
  <si>
    <t>Hulen Place_4212_Hulen Place_Fort Worth_14982</t>
  </si>
  <si>
    <t>Brockbank_9859_Woodland Village_Dallas_14983</t>
  </si>
  <si>
    <t>Morriss Rd_4100_Timber Ridge I &amp; II_Flower Mound_14984</t>
  </si>
  <si>
    <t>Old Benbrook_4200_Westwind_Fort Worth_14986</t>
  </si>
  <si>
    <t>Altamesa_2515_Railridge_Fort Worth_14987</t>
  </si>
  <si>
    <t>Block Dr_4023_Estelle Creek-Woodmeade_Irving_14988</t>
  </si>
  <si>
    <t>Normandale N_9200_Country Place_Fort Worth_14989</t>
  </si>
  <si>
    <t>Hunter Park Cir_3236_Hunter Park_Fort Worth_14990</t>
  </si>
  <si>
    <t>Sam Bass Blvd_1710_Westwind_Denton_14991</t>
  </si>
  <si>
    <t>Riverpark Dr_3201_Courtyard at River Park_Fort Worth_14992</t>
  </si>
  <si>
    <t>Calmont_6760_Courtyard on Calmont_Fort Worth_14993</t>
  </si>
  <si>
    <t>Rochelle Rd W_3429_Woodside Villas_Irving_14994</t>
  </si>
  <si>
    <t>River Ranch Blvd_4850_Hunter's Ridge_Fort Worth_14995</t>
  </si>
  <si>
    <t>Las Vegas Trl_3254_Sierra Hermosa_Fort Worth_14996</t>
  </si>
  <si>
    <t>Parkridge Ct_2501_Park Ridge_Fort Worth_14997</t>
  </si>
  <si>
    <t>Bernard St_1407_Ramsgate_Denton_14998</t>
  </si>
  <si>
    <t>Cedarplaza_3304_Woodtrail_Dallas_14999</t>
  </si>
  <si>
    <t>35 IH E S_500_Coventry_Denton_15001</t>
  </si>
  <si>
    <t>Overton Ridge Blvd_5101_Hunters Green_Fort Worth_15002</t>
  </si>
  <si>
    <t>McKinney Ave_2808_Post Worthington_Dallas_15003</t>
  </si>
  <si>
    <t>Boca Raton_6000_Park Terrace_Fort Worth_15004</t>
  </si>
  <si>
    <t>Bryant Irvin_5200_Coventry at Cityview_Fort Worth_15005</t>
  </si>
  <si>
    <t>Handley Dr_2121_Regency Oaks_Fort Worth_15006</t>
  </si>
  <si>
    <t>Finbro_6218_Creek Hollow_Fort Worth_15007</t>
  </si>
  <si>
    <t>Creek W_6776_Dakota Ridge_Fort Worth_15009</t>
  </si>
  <si>
    <t>Bennett Ave_2014_Wyndham Gardens_Dallas_15010</t>
  </si>
  <si>
    <t>Overton Ridge_5701_Remington Hill_Fort Worth_15011</t>
  </si>
  <si>
    <t>Willow Creek_3327_Tanner Place_Irving_15012</t>
  </si>
  <si>
    <t>John T. White_7050_Whisperwoods_Fort Worth_15013</t>
  </si>
  <si>
    <t>Peavy Rd_2970_Casa Bella_Dallas_15014</t>
  </si>
  <si>
    <t>Camp Bowie_3320_Residences of Museum Place_Fort Worth_15015</t>
  </si>
  <si>
    <t>Westmount_1441_Westmount Place Condos_Dallas_15016</t>
  </si>
  <si>
    <t>Willow Ridge_1001_White Lake Hills_Fort Worth_15017</t>
  </si>
  <si>
    <t>Ridgemar Blvd_2300_Park Villas I_Fort Worth_15018</t>
  </si>
  <si>
    <t>Druid Hills_4115_Westridge_Dallas_15019</t>
  </si>
  <si>
    <t>Dale Ln Ct_9211_The Ridge_White Settlement_15021</t>
  </si>
  <si>
    <t>Crowley_7251_Park West_Fort Worth_15022</t>
  </si>
  <si>
    <t>Cole Ave_3700_Marquis at West Village_Dallas_15023</t>
  </si>
  <si>
    <t>Dallas Dr_1300_Ridgecrest_Denton_15025</t>
  </si>
  <si>
    <t>Nursery Rd N_1306_Westwind_Irving_15026</t>
  </si>
  <si>
    <t>Ridgecrest Trl_6055_Ridgecrest at Hulen Bend_Fort Worth_15027</t>
  </si>
  <si>
    <t>Spruce Valley Ln_3064_Westwood_Dallas_15028</t>
  </si>
  <si>
    <t>Highland Village_400_Courtyards_Mesquite_15030</t>
  </si>
  <si>
    <t>Ridgemar Plaza_2409_Ridgemont_Fort Worth_15031</t>
  </si>
  <si>
    <t>Webb Chapel_2631_Westwood_Dallas_15032</t>
  </si>
  <si>
    <t>Northgate Dr W_4310_Westwood Village_Irving_15033</t>
  </si>
  <si>
    <t>Woodhollow_4302_Pebble Cove_Dallas_15035</t>
  </si>
  <si>
    <t>Wheatland Rd W_443_Wheatland Terrace_Dallas_15036</t>
  </si>
  <si>
    <t>Ridgmar Blvd_2323_Willowick_Fort Worth_15041</t>
  </si>
  <si>
    <t>Boca Raton Blvd_5816_Willows at Woodhaven_Fort Worth_15043</t>
  </si>
  <si>
    <t>Sappington Place_3101_Parkside_Fort Worth_15044</t>
  </si>
  <si>
    <t>Taxco Rd_2200_Ridgmar Manor_Fort Worth_15045</t>
  </si>
  <si>
    <t>Sumter Dr_3232_Big Block I_Dallas_15046</t>
  </si>
  <si>
    <t>Aden Rd_2001_Park Plaza_Fort Worth_15047</t>
  </si>
  <si>
    <t>Las Vegas_3064_Wilshire West_Fort Worth_15048</t>
  </si>
  <si>
    <t>Shady Grove W_1407_Willowbend_Irving_15049</t>
  </si>
  <si>
    <t>Ridgmar Plaza_2324_Renaissance Two_Fort Worth_15050</t>
  </si>
  <si>
    <t>Oakhurst Scenic Dr_952_Parkview Village_Fort Worth_15051</t>
  </si>
  <si>
    <t>Ridgmar Blvd_2508_Ridgmar Square_Fort Worth_15053</t>
  </si>
  <si>
    <t>Duchess_191_McKinney Park_Denton_15054</t>
  </si>
  <si>
    <t>Ridgmar Blvd_2201_Renaissance Gardens_Fort Worth_15055</t>
  </si>
  <si>
    <t>Westmount Ave_510_Telstar_Dallas_15056</t>
  </si>
  <si>
    <t>Renzel Blvd_3500_Wind Rush_Fort Worth_15057</t>
  </si>
  <si>
    <t>Pennsylvania Ave_250_Pennsylvania Place_Fort Worth_15058</t>
  </si>
  <si>
    <t>Bellaire S_5707_River Glen_Benbrook_15059</t>
  </si>
  <si>
    <t>Windsor Dr E_521_Windsor Village_Denton_15060</t>
  </si>
  <si>
    <t>Pleasant Run_4299_Vineyard_Irving_15063</t>
  </si>
  <si>
    <t>Cotswold Hills Dr_5600_Windtree_Fort Worth_15064</t>
  </si>
  <si>
    <t>Las Vegas Trl_2840_El Rancho Escondido_Fort Worth_15065</t>
  </si>
  <si>
    <t>RiveRd Ct_3309_River Park_Fort Worth_15066</t>
  </si>
  <si>
    <t>Boca Raton_5400_Hillside View Apts_Fort Worth_15067</t>
  </si>
  <si>
    <t>Gaston_5923_Verandahs at White Rock_Dallas_15068</t>
  </si>
  <si>
    <t>Rockbrook Dr_2201_Rockbrook Village_Lewisville_15071</t>
  </si>
  <si>
    <t>Cole Ave_2803_Post Vintage_Dallas_15072</t>
  </si>
  <si>
    <t>Teasley Ln_1408_Woodhill_Denton_15073</t>
  </si>
  <si>
    <t>Sandy Ln_1525_Sandy Oaks_Fort Worth_15074</t>
  </si>
  <si>
    <t>Pershing Ave_6200_The Place at Westover Hills_Fort Worth_15075</t>
  </si>
  <si>
    <t>Ledbetter Dr E_1130_Terrace Hills_Dallas_15076</t>
  </si>
  <si>
    <t>Ederville Rd_8551_The Woods Of Eastchase_Fort Worth_15077</t>
  </si>
  <si>
    <t>Belmont_5619_Vickory Tower at Belmont_Dallas_15078</t>
  </si>
  <si>
    <t>Normandale N_9201_Woodhill_Fort Worth_15079</t>
  </si>
  <si>
    <t>Kingswood Dr_7501_The Savoy_Fort Worth_15080</t>
  </si>
  <si>
    <t>Weiler Blvd_1404_Woodlake_Fort Worth_15081</t>
  </si>
  <si>
    <t>Webb Chapel Extension_3435_Victorian_Dallas_15083</t>
  </si>
  <si>
    <t>Morrison_1401_Sahara Palms_Fort Worth_15085</t>
  </si>
  <si>
    <t>Calmont_8300_Serrano_Fort Worth_15086</t>
  </si>
  <si>
    <t>Las Vegas Trl_2800_Miramonte_Fort Worth_15088</t>
  </si>
  <si>
    <t>John T. White_7040_The Woodlands_Fort Worth_15093</t>
  </si>
  <si>
    <t>John T. White_8515_Silver Leaf Villas_Fort Worth_15099</t>
  </si>
  <si>
    <t>Rochelle W_1000_Waterford Court_Irving_15102</t>
  </si>
  <si>
    <t>Glen Garden Dr_1212_La Acienda Gardens_Fort Worth_15103</t>
  </si>
  <si>
    <t>Royal Ln_2838_Spanish Gardens_Dallas_15104</t>
  </si>
  <si>
    <t>Marvin D. Love Fwy_5301_Way_Dallas_15105</t>
  </si>
  <si>
    <t>Seminary E_1200_South Gate Manor_Fort Worth_15106</t>
  </si>
  <si>
    <t>Wheatland W_1301_Southwinds_Dallas_15107</t>
  </si>
  <si>
    <t>820 Loop E_500_Woodridge_Fort Worth_15108</t>
  </si>
  <si>
    <t>Pioneer W_2851_Pioneer House_Irving_15109</t>
  </si>
  <si>
    <t>Wedglea Dr_2511_The Indigo_Dallas_15110</t>
  </si>
  <si>
    <t>Thornhill E_100_South Plaza_Fort Worth_15111</t>
  </si>
  <si>
    <t>Airport Fwy W_1551_Spanish Haven_Irving_15112</t>
  </si>
  <si>
    <t>Hulen S_5500_Southern Oaks_Fort Worth_15113</t>
  </si>
  <si>
    <t>Boca Raton_5950_Woodstock_Fort Worth_15114</t>
  </si>
  <si>
    <t>Country Club Rd N_3604_Spanish Oaks_Irving_15116</t>
  </si>
  <si>
    <t>Overton Rd E_3550_Village Oaks_Dallas_15117</t>
  </si>
  <si>
    <t>Jim Miller Rd N_1441_Pleasant Grove_Dallas_15118</t>
  </si>
  <si>
    <t>Ferguson Rd_7803_Spring Gardens_Dallas_15120</t>
  </si>
  <si>
    <t>Bridge_6051_Woodstone_Fort Worth_15121</t>
  </si>
  <si>
    <t>Martin_1712_Southgate Glen_Weatherford_15122</t>
  </si>
  <si>
    <t>Buckner N_2703_Spring Hollow_Dallas_15124</t>
  </si>
  <si>
    <t>Throckmorton_2612_Village Square_Dallas_15125</t>
  </si>
  <si>
    <t>Woodway Dr_6201_Woodway on the Greene_Fort Worth_15126</t>
  </si>
  <si>
    <t>Berry E_2201_A la Primavera_Fort Worth_15127</t>
  </si>
  <si>
    <t>Edmonds Ln_1002_Village West I &amp; II_Lewisville_15128</t>
  </si>
  <si>
    <t>Saint Juliet St_3200_Spring Glen_Fort Worth_15129</t>
  </si>
  <si>
    <t>Legendary Ln_3604_Springridge_Dallas_15130</t>
  </si>
  <si>
    <t>Hamilton Ave_3100_Spring Hill_Fort Worth_15131</t>
  </si>
  <si>
    <t>Cedar Springs Rd_3604_Marquis on Cedar Springs_Dallas_15133</t>
  </si>
  <si>
    <t>Cedar Springs_4810_Springs_Dallas_15135</t>
  </si>
  <si>
    <t>Ederville_7501_Steeplechase_Fort Worth_15136</t>
  </si>
  <si>
    <t>University Village Dr_400_University Village_Richardson_15137</t>
  </si>
  <si>
    <t>La Vista Dr_7425_Park Glen_Dallas_15138</t>
  </si>
  <si>
    <t>Ridgmar Plaza_2200_Steppes_Fort Worth_15140</t>
  </si>
  <si>
    <t>Park Sq Dr_2957_Park Grove Square_Irving_15141</t>
  </si>
  <si>
    <t>Ohio Dr_2501_Valencia_Plano_15142</t>
  </si>
  <si>
    <t>Oakland Hills_6001_Sterling Pointe_Fort Worth_15144</t>
  </si>
  <si>
    <t>Saint Augustine N_1198_St. Augustine_Dallas_15145</t>
  </si>
  <si>
    <t>Country Day Ln_4250_Country Day Apts_Fort Worth_15147</t>
  </si>
  <si>
    <t>Lancaster E_5009_Stratton Royale_Fort Worth_15148</t>
  </si>
  <si>
    <t>Stag Rd_3130_Villas of Sorrento_Dallas_15149</t>
  </si>
  <si>
    <t>Chapel Creek Dr_3211_Casa Place II_Dallas_15150</t>
  </si>
  <si>
    <t>Summit Dr_9500_Summit On The Ridge_Benbrook_15151</t>
  </si>
  <si>
    <t>Dallas Dr_1030_Camino Del Sol_Denton_15152</t>
  </si>
  <si>
    <t>S Fwy_6608_Sun Ridge_Fort Worth_15154</t>
  </si>
  <si>
    <t>Lancaster Ave E_4925_Sunrise_Fort Worth_15155</t>
  </si>
  <si>
    <t>Irving Blvd E_1516_Brittany Place_Irving_15156</t>
  </si>
  <si>
    <t>Community_2610_Primavera_Dallas_15158</t>
  </si>
  <si>
    <t>Dennis Rd_11457_Northaven Park_Dallas_15159</t>
  </si>
  <si>
    <t>Chapel Creek Dr_3303_Casa Place I_Dallas_15161</t>
  </si>
  <si>
    <t>Gus Thomasson Rd_4300_Princeton_Mesquite_15162</t>
  </si>
  <si>
    <t>Sycamore School Rd_2920_Sycamore Trace_Fort Worth_15163</t>
  </si>
  <si>
    <t>Fair Oaks Ave_7319_Vickery Creek_Dallas_15166</t>
  </si>
  <si>
    <t>Starlight Rd_9709_Starlight_Dallas_15168</t>
  </si>
  <si>
    <t>Stone Canyon Rd_10702_Viewpoint &amp; Woodbridge_Dallas_15169</t>
  </si>
  <si>
    <t>Douglas Ave_2800_Stepping Stone_Dallas_15172</t>
  </si>
  <si>
    <t>Clydedale Dr_2911_Villas Del Lago_Dallas_15173</t>
  </si>
  <si>
    <t>Westmoreland S_7575_Park Village_Dallas_15175</t>
  </si>
  <si>
    <t>Pioneer W_4600_Lakeview Apts_Irving_15177</t>
  </si>
  <si>
    <t>Link Dr_803_Red Bird Village_Duncanville_15178</t>
  </si>
  <si>
    <t>Community Dr_2833_Parkside Place_Dallas_15182</t>
  </si>
  <si>
    <t>Military Pkwy_8008_Parkway Garden-Norvell Garden_Dallas_15183</t>
  </si>
  <si>
    <t>Walnut Hill Ln_3503_San Simeon_Irving_15184</t>
  </si>
  <si>
    <t>Lyte St_1607_Magnolia Station_Dallas_15187</t>
  </si>
  <si>
    <t>Irby Ln N_400_Parkwood_Irving_15188</t>
  </si>
  <si>
    <t>Shore N_4323_Reserve at Las Brisas I_Irving_15189</t>
  </si>
  <si>
    <t>Norwalk_3132_Big Block II_Dallas_15191</t>
  </si>
  <si>
    <t>Bowser Ave_4406_Manhattan_Dallas_15194</t>
  </si>
  <si>
    <t>Brockbank_9505_Santa Fe_Dallas_15195</t>
  </si>
  <si>
    <t>Oradell_3102_El Sol Del Lago_Dallas_15198</t>
  </si>
  <si>
    <t>Greenway Blvd_7700_Pavilion Townplace_Dallas_15199</t>
  </si>
  <si>
    <t>Highland Dr_501_The Marquis at Vista Ridge_Lewisville_15200</t>
  </si>
  <si>
    <t>William Brewster_2200_Pebblebrook_Irving_15203</t>
  </si>
  <si>
    <t>Irving Heights Dr_1609_Meadowbrook Heights_North Irving_15205</t>
  </si>
  <si>
    <t>Irving Heights Dr N_230-409_Heights_Irving_15206</t>
  </si>
  <si>
    <t>Kendale_3001_Pecan Tree_Dallas_15208</t>
  </si>
  <si>
    <t>Kiest Blvd W_4542_Kimball Square_Dallas_15210</t>
  </si>
  <si>
    <t>Grauwyler E_811_Kings Manor_Irving_15211</t>
  </si>
  <si>
    <t>Illinois E_2625_Kings Square_Dallas_15212</t>
  </si>
  <si>
    <t>Balch Springs Rd_3212_Autumn Run_Balch Springs_15213</t>
  </si>
  <si>
    <t>Polk S_3299_Landmark_Dallas_15214</t>
  </si>
  <si>
    <t>Hilltop_932_Pecan Village_Irving_15215</t>
  </si>
  <si>
    <t>Fordham_3410_Hemingway House_Dallas_15216</t>
  </si>
  <si>
    <t>Duncanville Rd_4753_Heritage Square_Dallas_15217</t>
  </si>
  <si>
    <t>Leigh Ann Dr_7938_Leigh Ann_Dallas_15219</t>
  </si>
  <si>
    <t>Hickory Tree Rd_1602_Hickory Tree_Mesquite_15220</t>
  </si>
  <si>
    <t>Empire Central_2203_Ko Ko_Dallas_15222</t>
  </si>
  <si>
    <t>Vista Ridge Mall Dr E_650_Limestone Ranch_Lewisville_15223</t>
  </si>
  <si>
    <t>RL Thornton Fwy E_7777_La Arboleda_Dallas_15224</t>
  </si>
  <si>
    <t>John Rd W_1721_Villas At Montierra II (Azalea Court)_Dallas_15225</t>
  </si>
  <si>
    <t>Mariposa_4303_La Costa_Irving_15226</t>
  </si>
  <si>
    <t>Northaven_2775_Sierra Vista_Dallas_15227</t>
  </si>
  <si>
    <t>Rainier St_4447_Avalon Villas_Irving_15228</t>
  </si>
  <si>
    <t>Pinehurst Ln_1901_Country Club Mesquite_Mesquite_15229</t>
  </si>
  <si>
    <t>Bahama_2538_Oakwood_Dallas_15230</t>
  </si>
  <si>
    <t>Cockrell Hill Rd S_2704_Highland Road Village_Dallas_15231</t>
  </si>
  <si>
    <t>Irving Blvd W_2119_Highland Oaks Village_Irving_15233</t>
  </si>
  <si>
    <t>Highland Park Ct_91_Highland Park_Irving_15234</t>
  </si>
  <si>
    <t>Webb Chapel_9825_Chase Place_Dallas_15235</t>
  </si>
  <si>
    <t>Ledbetter W_4791_Smith Creek_Dallas_15236</t>
  </si>
  <si>
    <t>Peavy Rd_1254_Lake Chateau_Dallas_15237</t>
  </si>
  <si>
    <t>Wadsworth_4950_Oakwood Place_Dallas_15242</t>
  </si>
  <si>
    <t>Highland Rd_2359_The Highlands_Dallas_15243</t>
  </si>
  <si>
    <t>80 Hwy E_2735_Oakwood Village_Mesquite_15244</t>
  </si>
  <si>
    <t>Finley Rd_2504_Finley Terrace_Irving_15245</t>
  </si>
  <si>
    <t>Wheatland Rd W_1005_Crystal Creek_Dallas_15246</t>
  </si>
  <si>
    <t>Ledbetter Dr E_3035_Oasis Park_Dallas_15247</t>
  </si>
  <si>
    <t>Oates Dr_1805_Oates Creek_Mesquite_15249</t>
  </si>
  <si>
    <t>Sumter_3219_Big Block III_Dallas_15250</t>
  </si>
  <si>
    <t>Redman Ave_1144_Somerset Park_Mesquite_15252</t>
  </si>
  <si>
    <t>Dixon Ave_3727_Southdale_Dallas_15253</t>
  </si>
  <si>
    <t>Prichard Ln_2910_Hillside_Dallas_15254</t>
  </si>
  <si>
    <t>Park Ln_8317_Acacia Village_Dallas_15256</t>
  </si>
  <si>
    <t>Colorado W_2732_Mill Run_Dallas_15257</t>
  </si>
  <si>
    <t>6th St W_430_Imperial Courtyard_Irving_15259</t>
  </si>
  <si>
    <t>Military Pkwy_9710_Holly Park_Dallas_15260</t>
  </si>
  <si>
    <t>Metker_707_Metker Place_Irving_15264</t>
  </si>
  <si>
    <t>Forest Park_5720_Inwood on the Park_Dallas_15265</t>
  </si>
  <si>
    <t>Argentia_1910_Parks at Wynnewood_Dallas_15266</t>
  </si>
  <si>
    <t>Coombs Creek Dr_2520_Park Creek Manor_Dallas_15268</t>
  </si>
  <si>
    <t>Mockingbird Ln E_5331_The Lofts at Mockingbird Station_Dallas_15269</t>
  </si>
  <si>
    <t>Brockbank_9501_Regal Villas_Dallas_15271</t>
  </si>
  <si>
    <t>Moulin Rouge_1251_Moulin Rouge_Dallas_15272</t>
  </si>
  <si>
    <t>Mountain Valley Ln_5875_Mountain Valley_Dallas_15273</t>
  </si>
  <si>
    <t>Preakness Ln_5324_Mountain View_Dallas_15274</t>
  </si>
  <si>
    <t>Metker_1005_Irving Place_Irving_15276</t>
  </si>
  <si>
    <t>Esters Rd_1400_Foxborough_Irving_15277</t>
  </si>
  <si>
    <t>Rock Island Rd_2700_Island West_Irving_15278</t>
  </si>
  <si>
    <t>Atlantic_1930_Courtyards at Emery Park_Dallas_15279</t>
  </si>
  <si>
    <t>Villa Cliff_7802_Enchanted Hills_Dallas_15281</t>
  </si>
  <si>
    <t>Hartsdale_1239_French Colony_Dallas_15284</t>
  </si>
  <si>
    <t>Amherst Dr_1121_Amherst_Bedford_15286</t>
  </si>
  <si>
    <t>Industrial Blvd S_311_Shadow Creek_Euless_15287</t>
  </si>
  <si>
    <t>Belt Line Rd N_4003_Glen Arbor_Irving_15288</t>
  </si>
  <si>
    <t>Mayfield Rd_2901_Mission Mayfield Downs_Grand Prairie_15289</t>
  </si>
  <si>
    <t>Arkansas Ln E_701_Blue Bonnet TH_Arlington_15290</t>
  </si>
  <si>
    <t>Union Bower W_200_Garden Gate_Irving_15291</t>
  </si>
  <si>
    <t>Waverly_3638_Brookridge-Parks Villas_Arlington_15292</t>
  </si>
  <si>
    <t>Park Blvd_1400_Dove Park_Grapevine_15293</t>
  </si>
  <si>
    <t>White Ave_1904_Brookwood Fourplexes_Mckinney_15297</t>
  </si>
  <si>
    <t>Regency Ct_1601_Eagle Crest_Arlington_15298</t>
  </si>
  <si>
    <t>Peach St_930_Collins Creek_Arlington_15300</t>
  </si>
  <si>
    <t>Evergreen_3791_Evergreen Condos_Irving_15306</t>
  </si>
  <si>
    <t>Grauwyler W_2700_Executive_Irving_15308</t>
  </si>
  <si>
    <t>Calais Way_2108_Springfield at Ballpark Way_Arlington_15309</t>
  </si>
  <si>
    <t>Turner Ave_255_Elizabeth Gardens_Roanoke_15310</t>
  </si>
  <si>
    <t>Sam Calloway_5750_Calloway Place_River Oaks_15311</t>
  </si>
  <si>
    <t>Emerald Hills Way_8341_Emerald Park_North Richland Hills_15312</t>
  </si>
  <si>
    <t>Plymouth N_704-718_Sonoma_Dallas_15313</t>
  </si>
  <si>
    <t>Villa Dr_1001_Concord House_Euless_15315</t>
  </si>
  <si>
    <t>12 Loop S_7203_Grove Village_Dallas_15316</t>
  </si>
  <si>
    <t>Maplewood Ave_7500_Emerald Run_North Richland Hills_15317</t>
  </si>
  <si>
    <t>Highland Rd_2149_Crestwood_Dallas_15318</t>
  </si>
  <si>
    <t>Park Dr_306_Concord Terrace_Euless_15320</t>
  </si>
  <si>
    <t>Bissonnet_11555_Catalina_Houston_15322</t>
  </si>
  <si>
    <t>Cooper Sq Cir_812_Cooper Park_Arlington_15323</t>
  </si>
  <si>
    <t>Centreport Dr_3999_Camden Centreport_Fort Worth_15324</t>
  </si>
  <si>
    <t>Rd Six Flags W_521_Cooper Ridge_Arlington_15326</t>
  </si>
  <si>
    <t>Harwood_2400_Copper Canyon_Bedford_15328</t>
  </si>
  <si>
    <t>Westmoreland Rd S_7550_Harbors-Plum Tree_Dallas_15329</t>
  </si>
  <si>
    <t>Golden Creek Ln_2710_Copper Chase_Arlington_15330</t>
  </si>
  <si>
    <t>Ridgecrest Cir_500_Camelot Square_Saginaw_15331</t>
  </si>
  <si>
    <t>Bedford Rd_3000_Copper Hill_Bedford_15332</t>
  </si>
  <si>
    <t>Fair Oaks Blvd_301_The Lodge at Main_Euless_15333</t>
  </si>
  <si>
    <t>Peavy Rd_2815_Dalton Place_Dallas_15335</t>
  </si>
  <si>
    <t>Merrill N_800_Fairmeadows_Duncanville_15336</t>
  </si>
  <si>
    <t>Benge Dr_806_Campus Walk_Arlington_15337</t>
  </si>
  <si>
    <t>Denton Hwy_4040_Cornerstone_Haltom City_15338</t>
  </si>
  <si>
    <t>Summit_515_Campus West_Arlington_15339</t>
  </si>
  <si>
    <t>Arkansas Ln W_1801_Springfield Crossing_Arlington_15340</t>
  </si>
  <si>
    <t>3rd St E_110_Coronado_Arlington_15341</t>
  </si>
  <si>
    <t>Westview Terrace_1727_Fielder Crossing Condos_Arlington_15342</t>
  </si>
  <si>
    <t>Pioneer W_1409_Danvilla_Irving_15344</t>
  </si>
  <si>
    <t>Fielder S_3601_Fielders Glen_Arlington_15345</t>
  </si>
  <si>
    <t>Dickey Rd_513_Cottonwood Square_Grand Prairie_15346</t>
  </si>
  <si>
    <t>Jones Dr_1600_Carriage Hill-Carriage Park_Arlington_15347</t>
  </si>
  <si>
    <t>Saint Francis_3550_Deer Creek_Dallas_15348</t>
  </si>
  <si>
    <t>Sotogrande Blvd_1401_Westdale Hills Firestone_Euless_15349</t>
  </si>
  <si>
    <t>Forest Oaks_2408_Forest Oaks_Arlington_15350</t>
  </si>
  <si>
    <t>Oak St S_415_Aquarius_Arlington_15352</t>
  </si>
  <si>
    <t>Mustang Dr_2913_The Courtyards at Mustang_Grapevine_15353</t>
  </si>
  <si>
    <t>Forest Park Cir_1552_Forest Park Apts_Bedford_15354</t>
  </si>
  <si>
    <t>Nursery Rd N_1204_Demasiado_Irving_15356</t>
  </si>
  <si>
    <t>Willowcrest Dr_3325_Appian Way_North Richland Hills_15357</t>
  </si>
  <si>
    <t>Baker Blvd_6324_Country View_Haltom City_15358</t>
  </si>
  <si>
    <t>Denton Dr_4735_Rio Vista (Demolished)_Dallas_15359</t>
  </si>
  <si>
    <t>Oak Creek Ln_1611_Oak Creek Apts_Bedford_15361</t>
  </si>
  <si>
    <t>Beltline S_531_Carrier Arms_Grand Prairie_15364</t>
  </si>
  <si>
    <t>Ferguson Rd_7229_White Rock Hills TH_Dallas_15365</t>
  </si>
  <si>
    <t>Bolton Boone Dr_2600_Courtyards at Kirnwood_Desoto_15366</t>
  </si>
  <si>
    <t>McDonald N_3300_Creek Point_McKinney_15368</t>
  </si>
  <si>
    <t>Fuller Wiser_1002_Arbors of Euless_Euless_15371</t>
  </si>
  <si>
    <t>San Francisco Ct_1500_Cascades_Arlington_15372</t>
  </si>
  <si>
    <t>Douglas_3109_Cheville Apts_Dallas_15373</t>
  </si>
  <si>
    <t>Hickory_7275_Foxhaven_Frisco_15374</t>
  </si>
  <si>
    <t>Central Dr_805_Hampton's At Central_Bedford_15375</t>
  </si>
  <si>
    <t>Wintergreen W_212_Creekwood_Desoto_15376</t>
  </si>
  <si>
    <t>Woodside_2885_Drexel Grand_Dallas_15377</t>
  </si>
  <si>
    <t>Honeysuckle Way_1111_Arlington Oaks_Arlington_15378</t>
  </si>
  <si>
    <t>121 Hwy_2452_Harwood Hills_Bedford_15380</t>
  </si>
  <si>
    <t>Abram W_815_Catalina_Arlington_15381</t>
  </si>
  <si>
    <t>Randol Mill Rd W_2601_Arlington Villa_Arlington_15382</t>
  </si>
  <si>
    <t>Nasa Pkwy_1315_Regatta I_Houston_15383</t>
  </si>
  <si>
    <t>Commerce_525_Crestwood AH_Azle_15384</t>
  </si>
  <si>
    <t>Hightower Dr_6889_The Abbey at Hightower_North Richland Hills_15385</t>
  </si>
  <si>
    <t>Fountains Dr_3419_Fountains of Rosenberg_Rosenberg_15386</t>
  </si>
  <si>
    <t>Holly Brook_2606_Cedar Bend_Arlington_15387</t>
  </si>
  <si>
    <t>Ridge Run Rd_2300_Heather Glen TH_Arlington_15388</t>
  </si>
  <si>
    <t>Harriett_2215_Arlington Village_Arlington_15389</t>
  </si>
  <si>
    <t>Gannon_3913_Eagle Pointe_Dallas_15390</t>
  </si>
  <si>
    <t>Polk Dr_724_Cypress Chase_Arlington_15391</t>
  </si>
  <si>
    <t>Washington Dr_707_Oak Creek_Arlington_15392</t>
  </si>
  <si>
    <t>Sherry_1609_Garden Park_Arlington_15393</t>
  </si>
  <si>
    <t>Green Oaks Ct_501_Cedar Creek_Arlington_15394</t>
  </si>
  <si>
    <t>Abram W_1020_Heather Way_Arlington_15395</t>
  </si>
  <si>
    <t>Haverwood_4909_Mission Gleneagles-Creekside_Dallas_15396</t>
  </si>
  <si>
    <t>Shadybrook Dr_1948_Gardens of Bedford_Bedford_15397</t>
  </si>
  <si>
    <t>Warren Pkwy_8404_Cypress Lake at Stonebriar_Frisco_15398</t>
  </si>
  <si>
    <t>Adams Dr_5501_The Heritage Apts_Haltom City_15399</t>
  </si>
  <si>
    <t>Ash Park #29_3210_Ash Park_Richland Hills_15400</t>
  </si>
  <si>
    <t>Irish Dr #A_7808_Davis Plaza_North Richland Hills_15402</t>
  </si>
  <si>
    <t>Fielder Rd S_3550_Ashford Park TH_Arlington_15403</t>
  </si>
  <si>
    <t>Statler Blvd_14300_Gateways at Centerport_Fort Worth_15405</t>
  </si>
  <si>
    <t>Linda Vista Ave_901_CJ Heritage_Arlington_15406</t>
  </si>
  <si>
    <t>Dayton_2029_Dayton Square_Haltom City_15407</t>
  </si>
  <si>
    <t>Ashcroft Ln_2305_Aspen Court_Arlington_15408</t>
  </si>
  <si>
    <t>Cedar Point_2020_Cedar Point_Arlington_15409</t>
  </si>
  <si>
    <t>Del Prado Dr_928_Del Prado at Texas Star_Euless_15410</t>
  </si>
  <si>
    <t>Bedford Rd_328_Gentry's Walk_Bedford_15411</t>
  </si>
  <si>
    <t>Coopers Corner Dr_2019_Hidden Hollow_Arlington_15412</t>
  </si>
  <si>
    <t>Timberline Dr_611_Cedar Ridge at Hurst_Hurst_15413</t>
  </si>
  <si>
    <t>Knoll Crest_2082_Cedar Ridge TH_Arlington_15414</t>
  </si>
  <si>
    <t>5th St W_316_O'Connor Place (Demolished)_Arlington_15417</t>
  </si>
  <si>
    <t>Center S_3005_Center Place_Arlington_15418</t>
  </si>
  <si>
    <t>Glenview_6100_Diamond Loch_North Richland Hills_15419</t>
  </si>
  <si>
    <t>Pecan St E_745_Glen Rose Park_Hurst_15420</t>
  </si>
  <si>
    <t>Glenview_6525_Diamond Ridge_North Richland Hills_15421</t>
  </si>
  <si>
    <t>Pioneer Pkwy W_600_Arroyo Park TH_Arlington_15422</t>
  </si>
  <si>
    <t>Washington Dr_743_Maddison Creek_Arlington_15423</t>
  </si>
  <si>
    <t>Tarrant Rd W_1750_Grand Manor_Grand Prairie_15424</t>
  </si>
  <si>
    <t>Chimney Meadow_14609_Centre Oaks_Fort Worth_15425</t>
  </si>
  <si>
    <t>Statler Ct_14301_Centreport Landing_Fort Worth_15426</t>
  </si>
  <si>
    <t>Harwood E_105_Charter Oaks_Euless_15427</t>
  </si>
  <si>
    <t>Medical Center Dr_3191_Fairways at Wilson Creek_McKinney_15428</t>
  </si>
  <si>
    <t>Thomason Cir_2505_Madera Brookside_Arlington_15429</t>
  </si>
  <si>
    <t>Fair Oaks Dr_2308_Landmark at Heritage Fields_Arlington_15430</t>
  </si>
  <si>
    <t>Marsh Ln_2300_Westbridge_Carrollton_15431</t>
  </si>
  <si>
    <t>Cherry Dr_1508_Cherry Circle I_Arlington_15433</t>
  </si>
  <si>
    <t>Broadway Ave_5151_Haltom Oaks_Haltom City_15434</t>
  </si>
  <si>
    <t>Washington Dr_715_Hampton Hills_Arlington_15435</t>
  </si>
  <si>
    <t>Remington Dr_2014_Cimmarron Crossing_Arlington_15436</t>
  </si>
  <si>
    <t>Ash Ln W_905_Aspen Oaks_Euless_15437</t>
  </si>
  <si>
    <t>Plano Pkwy W_6601_Prestonwood Hills_Plano_15438</t>
  </si>
  <si>
    <t>Collins S_2910_Aspen Woods_Arlington_15441</t>
  </si>
  <si>
    <t>Portland St_3565_Garden Park_Irving_15442</t>
  </si>
  <si>
    <t>Rd to Six Flags W_903_Clover Hill_Arlington_15443</t>
  </si>
  <si>
    <t>Grauwyler W_2656_Garden Plaza_Irving_15444</t>
  </si>
  <si>
    <t>Springlake Pkwy_5201_Club at Springlake_Haltom City_15445</t>
  </si>
  <si>
    <t>Timberoaks Dr_1021_Azlewood_Azle_15447</t>
  </si>
  <si>
    <t>80 Hwy E_901_Mission Ranch_Mesquite_15448</t>
  </si>
  <si>
    <t>Stoneleigh Ct_1615_Cobblestone_Arlington_15449</t>
  </si>
  <si>
    <t>Samuell Blvd_4049_Tripoint Square_Mesquite_15450</t>
  </si>
  <si>
    <t>Peach St_1000_Creekside I &amp; II_Arlington_15452</t>
  </si>
  <si>
    <t>Johnson_904_Collins Court_Arlington_15453</t>
  </si>
  <si>
    <t>Airport Fwy W_1415_Embassy_Irving_15454</t>
  </si>
  <si>
    <t>Garden Shadow Ln_723_Rogers Landing_Arlington_15455</t>
  </si>
  <si>
    <t>Knoll Trl_15550_Villas of Bent Trails_Dallas_15457</t>
  </si>
  <si>
    <t>Weber St_4301_Northwood_Fort Worth_15458</t>
  </si>
  <si>
    <t>Tish Cir_500_Northwood Place_Arlington_15459</t>
  </si>
  <si>
    <t>Johnson Ave_904_Rosewood_Arlington_15460</t>
  </si>
  <si>
    <t>Great SW Pkwy_717_Parkway Villas_Grand Prairie_15463</t>
  </si>
  <si>
    <t>Martha St_306_Royal Terrace_Euless_15464</t>
  </si>
  <si>
    <t>Sandpiper_507_Norwood Village_Arlington_15465</t>
  </si>
  <si>
    <t>Medical Ave_1201_Villas of Mission Bend_Plano_15466</t>
  </si>
  <si>
    <t>Running Brook_1519_Running Brook_Arlington_15467</t>
  </si>
  <si>
    <t>Preston Rd_6900_The Villas of Preston Creek_Plano_15468</t>
  </si>
  <si>
    <t>Frankford_7421_AMLI at Frankford_Dallas_15469</t>
  </si>
  <si>
    <t>Stonewood Dr_6301_Villas of Spring Creek I_Plano_15470</t>
  </si>
  <si>
    <t>Timberglen_3637_Tuscany Square_Dallas_15471</t>
  </si>
  <si>
    <t>Rosemeade Pkwy_4343_4343 at the Parkway_Dallas_15472</t>
  </si>
  <si>
    <t>Oak Creek Ln_1800_Oak Creek_Bedford_15473</t>
  </si>
  <si>
    <t>Harwood E_500_Bear Creek Villas_Euless_15474</t>
  </si>
  <si>
    <t>Terminal Rd_1215_Sabine Place_Fort Worth_15475</t>
  </si>
  <si>
    <t>Cooper N_1315_St. Charles Place_Arlington_15476</t>
  </si>
  <si>
    <t>Shadybrook_3526-A_Bedford Hills_Bedford_15477</t>
  </si>
  <si>
    <t>Timberglen_3565_Village on Timberglen_Dallas_15478</t>
  </si>
  <si>
    <t>Main St N_1350_Oak Park I &amp; II_Euless_15479</t>
  </si>
  <si>
    <t>Bear Creek Pkwy_1500_Sandstone at Bear Creek_Euless_15480</t>
  </si>
  <si>
    <t>Pecan Bend_400_The Brownstones_Bedford_15481</t>
  </si>
  <si>
    <t>Sandshell Dr_5701_The Grove at Sandshell Drive_Fort Worth_15482</t>
  </si>
  <si>
    <t>Oak St N_901_Oak Square_Arlington_15483</t>
  </si>
  <si>
    <t>Leisure Dr_11515_The Solaris_Dallas_15484</t>
  </si>
  <si>
    <t>Savannah Club_5030_The Laurels of Sendera_Arlington_15486</t>
  </si>
  <si>
    <t>Fuller St_501_Sawyers Mill_Arlington_15487</t>
  </si>
  <si>
    <t>Woodard Way_708_The Crestmont_Arlington_15488</t>
  </si>
  <si>
    <t>Tharp St_818_Bel Aire_Arlington_15489</t>
  </si>
  <si>
    <t>Sigmond Dr_4924_Oak Chase_Arlington_15490</t>
  </si>
  <si>
    <t>Walnut W_2710_Sierra Springs_Garland_15491</t>
  </si>
  <si>
    <t>Bethany_544_Bethany_Allen_15493</t>
  </si>
  <si>
    <t>Sam Calloway_5901_Second Dimension_Fort Worth_15494</t>
  </si>
  <si>
    <t>Bear Creek Pkwy_2121_Oakmont of Bear Creek_Euless_15495</t>
  </si>
  <si>
    <t>Brown Trl_601_Sequoia Bend_Hurst_15496</t>
  </si>
  <si>
    <t>Bowen Rd N_505_Bowen I &amp; II_Arlington_15497</t>
  </si>
  <si>
    <t>Wiscasset Dr_1415_Brandon Oaks_Arlington_15499</t>
  </si>
  <si>
    <t>Terlingua_2008_Brazos Park_Arlington_15501</t>
  </si>
  <si>
    <t>Booth Calloway Rd_200_Hamilton Villas_Hurst_15502</t>
  </si>
  <si>
    <t>Harwood_3800_Oakwood Condominiums_Bedford_15503</t>
  </si>
  <si>
    <t>Big Sur_1705_Breckenridge_Arlington_15504</t>
  </si>
  <si>
    <t>Cooper S_2020_Shadow Brook_Arlington_15505</t>
  </si>
  <si>
    <t>Abram E_2420_Regal Commons_Arlington_15506</t>
  </si>
  <si>
    <t>Shiloh_1414_Waterford on the Meadow_Plano_15507</t>
  </si>
  <si>
    <t>Camino Verdes Blvd_5223_Palos Verde TH_Arlington_15509</t>
  </si>
  <si>
    <t>Madison Dr_2225-2227_Shadow Tree Condominium_Arlington_15510</t>
  </si>
  <si>
    <t>SE Pkwy_820_Shady Creek_Azle_15512</t>
  </si>
  <si>
    <t>Shady Ln_1400_Shenandoah Village_Bedford_15515</t>
  </si>
  <si>
    <t>Whitestone_5000_Waters Edge_Plano_15516</t>
  </si>
  <si>
    <t>Lakeview Pkwy_5501_Waters Edge Villas_Rowlett_15517</t>
  </si>
  <si>
    <t>Waterview Pkwy_2800_Waterview Park_Richardson_15518</t>
  </si>
  <si>
    <t>Jupiter S_301_Wyndsor Court_Allen_15519</t>
  </si>
  <si>
    <t>Shady Ln_1401_Waters Park AH_Bedford_15520</t>
  </si>
  <si>
    <t>Park Row E_3100_Park Lane_Arlington_15521</t>
  </si>
  <si>
    <t>White Ave_2301_Park On The Creek_McKinney_15522</t>
  </si>
  <si>
    <t>Wesley_2003_Windemere_Arlington_15523</t>
  </si>
  <si>
    <t>Arcadia St_621_Park Place_Hurst_15524</t>
  </si>
  <si>
    <t>Park Row E_3025_Winding Oaks_Arlington_15525</t>
  </si>
  <si>
    <t>Park Row E_3201_Park Row East_Arlington_15527</t>
  </si>
  <si>
    <t>Precinct Line Rd_555_Parkside_Hurst_15528</t>
  </si>
  <si>
    <t>Park Sq Dr_4019_Park Square_Arlington_15529</t>
  </si>
  <si>
    <t>Park Vista Rd_6728_Park Vista TH_Watauga_15530</t>
  </si>
  <si>
    <t>Treepoint_6601_Parks at Tree Point_Arlington_15531</t>
  </si>
  <si>
    <t>Millview_1122_Parkside TH_Arlington_15532</t>
  </si>
  <si>
    <t>Pkwy Ln_1541_Parkway East TH_Arlington_15533</t>
  </si>
  <si>
    <t>Pioneer Pkwy W_300_English Village TH_Arlington_15535</t>
  </si>
  <si>
    <t>Center W_713_Parkwood Plaza TH_Duncanville_15536</t>
  </si>
  <si>
    <t>Central Dr_2500_Pecan Creek_Bedford_15538</t>
  </si>
  <si>
    <t>Benge Dr_907_Peppermill_Arlington_15540</t>
  </si>
  <si>
    <t>Fossil Creek Blvd_5333_Hidden Lakes_Haltom City_15541</t>
  </si>
  <si>
    <t>Washington Dr_744_Hidden Valley_Arlington_15542</t>
  </si>
  <si>
    <t>Bedford Euless W_825_Hurst Gardens_Hurst_15543</t>
  </si>
  <si>
    <t>Brent Dr_605_Winding Oaks_Arlington_15544</t>
  </si>
  <si>
    <t>Booth Calloway N_300_Hurst Manor_Hurst_15545</t>
  </si>
  <si>
    <t>Clark Rd S_139_High Pointe Village I_Cedar Hill_15546</t>
  </si>
  <si>
    <t>Indian Creek_2712_Indian Creek_Arlington_15547</t>
  </si>
  <si>
    <t>Indian Creek Dr_302_Indian Creek Duplexes_Trophy Club_15549</t>
  </si>
  <si>
    <t>American Blvd_4701_Crest Oasis_Euless_15550</t>
  </si>
  <si>
    <t>Jane Ln_3001_Jane Lane_Haltom City_15551</t>
  </si>
  <si>
    <t>Precinct Line Rd_445_Hurst Estates_Hurst_15552</t>
  </si>
  <si>
    <t>Cora St_407_Key Largo_Arlington_15554</t>
  </si>
  <si>
    <t>Vine_306_Hillside Village_Euless_15555</t>
  </si>
  <si>
    <t>Carter Dr_1676_L'Atrium on the Creek_Arlington_15556</t>
  </si>
  <si>
    <t>Hilltop Dr_1030_Hilltop_Grapevine_15557</t>
  </si>
  <si>
    <t>New York_1707_La Joya_Arlington_15558</t>
  </si>
  <si>
    <t>Center S_3200_The Carlyle_Arlington_15559</t>
  </si>
  <si>
    <t>Brown Blvd_2500_Lake O' The Woods_Arlington_15561</t>
  </si>
  <si>
    <t>Blodgett_3525_University Courtyard_Houston_15562</t>
  </si>
  <si>
    <t>Mustang_2950_Lakes of Williamsberg_Grapevine_15564</t>
  </si>
  <si>
    <t>Mitchell St W_1000_Pinewoods_Arlington_15565</t>
  </si>
  <si>
    <t>Dudley Cir_504_Olympic Club_Arlington_15566</t>
  </si>
  <si>
    <t>Pioneer Pkwy W_200_Matlock Place_Arlington_15567</t>
  </si>
  <si>
    <t>Pioneer Pkwy E_2021_Place on the Park_Arlington_15568</t>
  </si>
  <si>
    <t>Plantation Oaks_1500_The Vineyards at Trophy Club_Trophy Club_15569</t>
  </si>
  <si>
    <t>Randol Mill Rd E_700_Plantation Place &amp; Court_Arlington_15570</t>
  </si>
  <si>
    <t>Booth Calloway_612_Plantation West_Hurst_15571</t>
  </si>
  <si>
    <t>Dewberry Blvd_1508_Bel-Air Place_Lancaster_15572</t>
  </si>
  <si>
    <t>Troy Ln_5928_Pleasant Ridge Villas_Arlington_15573</t>
  </si>
  <si>
    <t>Gibbons_1020_Brentwood_Arlington_15574</t>
  </si>
  <si>
    <t>Fielder Rd N_408_The Village_Arlington_15575</t>
  </si>
  <si>
    <t>Lamar Ave E_505_The Pointe of North Arlington_Arlington_15576</t>
  </si>
  <si>
    <t>Benton Dr_505_Lansbrook at Twin Creeks_Allen_15577</t>
  </si>
  <si>
    <t>Trinity Blvd_13950_Post Oak Place_Euless_15578</t>
  </si>
  <si>
    <t>Bedford Rd_531_Linbrook_Bedford_15579</t>
  </si>
  <si>
    <t>Daja Ln_1325_Prairie Estates_Grand Prairie_15580</t>
  </si>
  <si>
    <t>Linda Vista Ave_711_Linda Vista_Arlington_15582</t>
  </si>
  <si>
    <t>Freetown Rd_313_Prairie Ridge_Grand Prairie_15584</t>
  </si>
  <si>
    <t>Industrial Park Blvd_6424_Hilltop_North Richland Hills_15585</t>
  </si>
  <si>
    <t>Presidents Corner_2201_Presidents Corner_Arlington_15586</t>
  </si>
  <si>
    <t>Quorum Dr_350_Quorum TH_Trophy Club_15587</t>
  </si>
  <si>
    <t>Sylvan Dr_1500_Hunter Chase_Hurst_15588</t>
  </si>
  <si>
    <t>Hialeah Park_101_Saginaw Crossings_Saginaw_15590</t>
  </si>
  <si>
    <t>Airport Cir_2507_Regency_Arlington_15591</t>
  </si>
  <si>
    <t>Stratton_2311_Huntington Meadows_Arlington_15592</t>
  </si>
  <si>
    <t>Brown Trl_503_Regency Place_Hurst_15593</t>
  </si>
  <si>
    <t>Mustang Dr_3037_Regional Place_Grapevine_15594</t>
  </si>
  <si>
    <t>Ashford Ln_903_Remington Meadows_Arlington_15595</t>
  </si>
  <si>
    <t>Forest Ln_9940_Wellington Place_Dallas_15597</t>
  </si>
  <si>
    <t>Skillman_6820_White Rock Trail_Dallas_15598</t>
  </si>
  <si>
    <t>Mustang Dr_2805_Ridge Crest_Grapevine_15599</t>
  </si>
  <si>
    <t>Brentford Place_711_River Oaks_Arlington_15601</t>
  </si>
  <si>
    <t>Furrs Ave_2604_The Rochester_Arlington_15603</t>
  </si>
  <si>
    <t>Trinity Cir_711_Bella Vista_Arlington_15604</t>
  </si>
  <si>
    <t>Brown Blvd_812_Summer Oaks_Arlington_15606</t>
  </si>
  <si>
    <t>Centreport_3900_Summer's Landing_Fort Worth_15607</t>
  </si>
  <si>
    <t>Shady Oaks Manor_6555_Summit On The Lake_Fort Worth_15608</t>
  </si>
  <si>
    <t>Summit Ave_416_Summit Plaza_Arlington_15609</t>
  </si>
  <si>
    <t>Randy Snow_2015_Sunset Point_Arlington_15611</t>
  </si>
  <si>
    <t>14th St E_3535_Windsor Place TH_Plano_15612</t>
  </si>
  <si>
    <t>Shorewood Dr_1924_Shorewood Park TH_Grapevine_15613</t>
  </si>
  <si>
    <t>Paces Trl_4912_The Trails_Arlington_15614</t>
  </si>
  <si>
    <t>Waldemar_4812_Waldemar_Haltom City_15615</t>
  </si>
  <si>
    <t>Bellaire Dr_601_Sutton Square_Hurst_15616</t>
  </si>
  <si>
    <t>Abram E_2015_Tanglewood_Arlington_15619</t>
  </si>
  <si>
    <t>Ashley Park_2253_Ashley Park TH_Plano_15620</t>
  </si>
  <si>
    <t>Burney_2500_Walnut Ridge_Arlington_15621</t>
  </si>
  <si>
    <t>Spring Valley W_732_Ashley Place_Richardson_15623</t>
  </si>
  <si>
    <t>Tealcove Dr W_6400_Tealwood_Kennedale_15624</t>
  </si>
  <si>
    <t>Waterbury Place_2201_Waterbury Place TH_Arlington_15626</t>
  </si>
  <si>
    <t>Tarrant Rd W_417_Terrace View_Grand Prairie_15628</t>
  </si>
  <si>
    <t>Silverwood_1135_Silverwood_Arlington_15630</t>
  </si>
  <si>
    <t>Rigsbee S_1370_Woodlands of Plano_Plano_15631</t>
  </si>
  <si>
    <t>Airport Fwy W_1881_Bandera Ranch_Euless_15633</t>
  </si>
  <si>
    <t>Skyline Cir_201_Spanish Villas_Grand Prairie_15634</t>
  </si>
  <si>
    <t>Woodmeadow Pkwy_11321_Villa Jolla_Dallas_15635</t>
  </si>
  <si>
    <t>Elite Cir_1405_Timber Ridge_Arlington_15636</t>
  </si>
  <si>
    <t>Timberline_3501_Timberline Condos_Grapevine_15637</t>
  </si>
  <si>
    <t>Bumpas_703_Woodside Village_Mckinney_15638</t>
  </si>
  <si>
    <t>NW Hwy E_10765_Autumn Creek_Dallas_15642</t>
  </si>
  <si>
    <t>Tennis Dr_1325_Toscana Villas_Bedford_15643</t>
  </si>
  <si>
    <t>Wickersham_9607_Del Rey Village_Dallas_15644</t>
  </si>
  <si>
    <t>Brookgreen_14018_Las Terrazas_Dallas_15645</t>
  </si>
  <si>
    <t>Pecan St E_365_Wellesly Park_Hurst_15646</t>
  </si>
  <si>
    <t>Lovers Ln E_6603_La Vita on Lovers Lane_Dallas_15647</t>
  </si>
  <si>
    <t>Greenville Ave N_315_Maple Trail_Allen_15648</t>
  </si>
  <si>
    <t>Ichabod Cir_3903_Sleepy Hollow_Arlington_15650</t>
  </si>
  <si>
    <t>Virginia W_1620_Westwood_McKinney_15651</t>
  </si>
  <si>
    <t>Bent Tree Forest Cir_15935_Bear Creek_Dallas_15652</t>
  </si>
  <si>
    <t>9th St N_1600_Turtle Cove_Midlothian_15653</t>
  </si>
  <si>
    <t>Dove Loop Rd_1713_Marina Del Rey_Grapevine_15654</t>
  </si>
  <si>
    <t>Sanford St E_808_Collins Park_Arlington_15655</t>
  </si>
  <si>
    <t>Cooper S_2005_Casa Serena_Arlington_15656</t>
  </si>
  <si>
    <t>Wynn Joyce Rd_1601_Wyngate TH_Garland_15657</t>
  </si>
  <si>
    <t>NW 33rd St_3144_Marine Park_Fort Worth_15658</t>
  </si>
  <si>
    <t>Airport Fwy_700_Sonterra_Hurst_15659</t>
  </si>
  <si>
    <t>Bent Tree Forest Cir_16000_Bent Oaks_Dallas_15660</t>
  </si>
  <si>
    <t>Wembley Cir_600_Wexford TH_Duncanville_15662</t>
  </si>
  <si>
    <t>Causley Ave_603_South Campus_Arlington_15664</t>
  </si>
  <si>
    <t>Brown Blvd_2403_Woodbridge TH_Arlington_15665</t>
  </si>
  <si>
    <t>Bellaire_600_Whispering Run_Hurst_15666</t>
  </si>
  <si>
    <t>Lawrence Rd_2717_Woodcreek_Arlington_15668</t>
  </si>
  <si>
    <t>Deuce Dr_1224_Wimbledon Court_Arlington_15669</t>
  </si>
  <si>
    <t>Bear Creek_200_The Palisades at Bear Creek_Euless_15670</t>
  </si>
  <si>
    <t>College St_1527_Woodcrest_Arlington_15671</t>
  </si>
  <si>
    <t>Sojourn_4500_Bent Tree Park_Addison_15672</t>
  </si>
  <si>
    <t>Wimbledon Oaks_1802_Wimbledon Oaks_Arlington_15673</t>
  </si>
  <si>
    <t>Woodland Park Blvd_4046_Woodland Park_Arlington_15675</t>
  </si>
  <si>
    <t>Berry Trl_15215_Berry Trail_Dallas_15676</t>
  </si>
  <si>
    <t>Lynnwood Dr_2601_Woodland West_Arlington_15677</t>
  </si>
  <si>
    <t>Springcrest Dr_2007_Springcrest_Arlington_15678</t>
  </si>
  <si>
    <t>5th St NE_325_Willow Wood_Grand Prairie_15679</t>
  </si>
  <si>
    <t>Lynnwood_2800_Woodlands of Arlington_Arlington_15680</t>
  </si>
  <si>
    <t>Southwestern Blvd_8749_The Bluffs_Dallas_15681</t>
  </si>
  <si>
    <t>Higgins Ln_1909_Springdale_Haltom City_15682</t>
  </si>
  <si>
    <t>Center N_812_Willow Wood North_Arlington_15683</t>
  </si>
  <si>
    <t>Central Dr_2700_Woods of Bedford_Bedford_15684</t>
  </si>
  <si>
    <t>Park Springs_2024_Willows II_Arlington_15685</t>
  </si>
  <si>
    <t>Washington Cir_712_Woodstock_Arlington_15687</t>
  </si>
  <si>
    <t>Cooper S_1605_Woodwind_Arlington_15688</t>
  </si>
  <si>
    <t>Carrier Pkwy S_3001_Wymberly Crossing_Grand Prairie_15689</t>
  </si>
  <si>
    <t>Grand Ct_711_Maverick_Arlington_15690</t>
  </si>
  <si>
    <t>Warrior Trl W_702_Wymberly Pointe_Grand Prairie_15691</t>
  </si>
  <si>
    <t>Townbluff_2821_Laurel Ridge_Plano_15693</t>
  </si>
  <si>
    <t>Cooper S_5620_Twenty Oaks_Arlington_15694</t>
  </si>
  <si>
    <t>Mill Crossing Place_1000_Landmark at Ridgewood Preserve_Arlington_15695</t>
  </si>
  <si>
    <t>360 Hwy N_2825_St. Laurent_Grand Prairie_15696</t>
  </si>
  <si>
    <t>Del Paso St_917_Mission Pointe Club_Euless_15697</t>
  </si>
  <si>
    <t>Forty Cir N_2506_Misty Hollow_Arlington_15698</t>
  </si>
  <si>
    <t>Del Paso_605_Bear Creek_Euless_15699</t>
  </si>
  <si>
    <t>Center S_805_Meadow Creek_Arlington_15700</t>
  </si>
  <si>
    <t>Weyland Dr_1598_Two Thousand Oaks_North Richland Hills_15701</t>
  </si>
  <si>
    <t>Silber_7001_Sterling Crest_Arlington_15702</t>
  </si>
  <si>
    <t>Monterrey Blvd_1400_Westdale Hills Muirfield Village_Euless_15703</t>
  </si>
  <si>
    <t>Wanda Way_125_Valley Creek_Hurst_15704</t>
  </si>
  <si>
    <t>Carrier Pkwy S_2421_Williamsburg_Grand Prairie_15705</t>
  </si>
  <si>
    <t>Summer Tree Ln_2513_Valleytree_Arlington_15707</t>
  </si>
  <si>
    <t>Hills Dr N_3501_North Hills Crest_Haltom City_15709</t>
  </si>
  <si>
    <t>Saginaw Blvd N_681_Williamsburg Village_Saginaw_15710</t>
  </si>
  <si>
    <t>Pipeline_3015_Vickery Square_Euless_15711</t>
  </si>
  <si>
    <t>Booth Calloway Rd_3817_North Hills Place_Richland Hills_15712</t>
  </si>
  <si>
    <t>Lincoln Dr_2011_Manchester Park_Arlington_15713</t>
  </si>
  <si>
    <t>Ash Ln W_1050_Willow Ridge TH_Euless_15716</t>
  </si>
  <si>
    <t>Villa Del Mar Ave_5203_Villa Del Mar_Arlington_15717</t>
  </si>
  <si>
    <t>Lincoln Dr_2109_Forest Hills_Arlington_15718</t>
  </si>
  <si>
    <t>Harwood_7913_The Arts Apts_North Richland Hills_15720</t>
  </si>
  <si>
    <t>Fuller Wiser_1800_Village Green at Bear Creek_Euless_15722</t>
  </si>
  <si>
    <t>Cavender Dr_1233_M &amp; M Gardens_Hurst_15723</t>
  </si>
  <si>
    <t>Manchester_100_Manchester_Euless_15726</t>
  </si>
  <si>
    <t>Post Oak Blvd_3808_The Village on Post Oak_Euless_15727</t>
  </si>
  <si>
    <t>Sandshell Blvd_6700_The Abbey at Fossil Creek_Fort Worth_15728</t>
  </si>
  <si>
    <t>Bluegrove N_1500_Meadows_Lancaster_15729</t>
  </si>
  <si>
    <t>Virginia Pkwy_7101_Villas at Stonebridge Ranch_McKinney_15730</t>
  </si>
  <si>
    <t>Citrus Ln_2300_Villas of Lime Tree_Arlington_15732</t>
  </si>
  <si>
    <t>Creekside Dr_3000_Villas of Marine Creek_Fort Worth_15733</t>
  </si>
  <si>
    <t>Center N_900_Dillon Apts_Arlington_15734</t>
  </si>
  <si>
    <t>Alexander N_631_Vista Ridge_Duncanville_15736</t>
  </si>
  <si>
    <t>Pioneer Pkwy E_400_Waterdance I &amp; II_Arlington_15737</t>
  </si>
  <si>
    <t>Park Place Blvd_2000_Cottages at Bedford_Bedford_15738</t>
  </si>
  <si>
    <t>Glenview Dr_6228_Waterford on the Green_North Richland Hills_15739</t>
  </si>
  <si>
    <t>Fuller Wiser Rd_2250_Stone Bridge at Bear Creek_Euless_15740</t>
  </si>
  <si>
    <t>Madison Dr_2121_Stone Canyon_Arlington_15741</t>
  </si>
  <si>
    <t>Randol Mill E_900_Waterford I &amp; II_Arlington_15742</t>
  </si>
  <si>
    <t>Arkansas Ln E_600_Stone Ridge_Arlington_15743</t>
  </si>
  <si>
    <t>Randy Snow_1908_Summer Brook_Arlington_15747</t>
  </si>
  <si>
    <t>Elizabeth Ln W_8037_Broadmoor_Fort Worth_15751</t>
  </si>
  <si>
    <t>Canyon St_8300_Bellfort Pines_Houston_15755</t>
  </si>
  <si>
    <t>Commerce St W_6611_Las Villas de Leon_San Antonio_15756</t>
  </si>
  <si>
    <t>Junction Hwy_2300_The Meadows_Kerrville_15757</t>
  </si>
  <si>
    <t>Springs Ln_289_The Springs_Dripping Springs_15758</t>
  </si>
  <si>
    <t>Rialto Dr_7601_AMLI Lantana Hills_Austin_15759</t>
  </si>
  <si>
    <t>Parmer Ln W_10101_Riverton at Davis Springs_Austin_15760</t>
  </si>
  <si>
    <t>Sotogrande Blvd_1401_Westdale Hills Doral_Euless_15761</t>
  </si>
  <si>
    <t>Sotogrande Blvd_1401_Westdale Hills Sawgrass_Euless_15762</t>
  </si>
  <si>
    <t>Sotogrande Blvd_1401_Westdale Hills Pinehurst_Euless_15763</t>
  </si>
  <si>
    <t>Sotogrande Blvd_1401_Westdale Hills Oakmont_Euless_15764</t>
  </si>
  <si>
    <t>Sotogrande Blvd_1401_Westdale Hills Crooked Stick_Euless_15765</t>
  </si>
  <si>
    <t>Sotogrande Blvd_1401_Westdale Hills Bonaventure_Euless_15766</t>
  </si>
  <si>
    <t>Hausman Rd W_8302_Montecito_San Antonio_15768</t>
  </si>
  <si>
    <t>Smokey Mountain Dr_708_Summit Apts_Kerrville_15769</t>
  </si>
  <si>
    <t>Brian Dr_516_North Ridge Village Duplex Apts_Kerrville_15770</t>
  </si>
  <si>
    <t>Park Ln Dr_100_Park Lane Apts_Kerrville_15771</t>
  </si>
  <si>
    <t>Westheimer_9235_The Westheimer Park_Houston_15772</t>
  </si>
  <si>
    <t>Mason Rd S_3903_Ashley House_Katy_15774</t>
  </si>
  <si>
    <t>Lakeline Blvd S_2000_Lodge At Lakeline Village_Austin_15775</t>
  </si>
  <si>
    <t>620 FM N_9715_Escalon at Canyon Creek_Austin_15776</t>
  </si>
  <si>
    <t>Little Texas Ln_401_Regency Park_Austin_15777</t>
  </si>
  <si>
    <t>Military Dr SE_3007_Villas Of Costa Dorada_San Antonio_15778</t>
  </si>
  <si>
    <t>Lamar St W_500_Lamar Plaza_McKinney_15779</t>
  </si>
  <si>
    <t>Meyer Forest Dr_9550_Meyer Park Lakeside (II)_Houston_15783</t>
  </si>
  <si>
    <t>Greens Rd_6060_Green Pines_Humble_15784</t>
  </si>
  <si>
    <t>Vista Dr_3101_The Club of the Brazos_Rosenberg_15785</t>
  </si>
  <si>
    <t>Broadway S_2901_Churchill Place_La Porte_15787</t>
  </si>
  <si>
    <t>Oates Dr_3720_Summit Point_Mesquite_15788</t>
  </si>
  <si>
    <t>Runnels St_2115_Marquis Downtown Lofts_Houston_15791</t>
  </si>
  <si>
    <t>Cranford #1_1938_Pecan Pointe TH_Garland_15792</t>
  </si>
  <si>
    <t>Dove Rd_500_Dove Creek Villas_Grapevine_15793</t>
  </si>
  <si>
    <t>El Mundo Dr_8383_San Melia_Houston_15794</t>
  </si>
  <si>
    <t>Sabo Rd_12055_Mirabella_Houston_15795</t>
  </si>
  <si>
    <t>Philippine St_14333_Park at Woodwind Lakes_Houston_15796</t>
  </si>
  <si>
    <t>Bammel Houston Rd N_10155_Park at Fallbrook_Houston_15797</t>
  </si>
  <si>
    <t>Aeropark_5350_Timber Ridge I_Houston_15798</t>
  </si>
  <si>
    <t>Decker_6304_TH of Bay Forest_Baytown_15799</t>
  </si>
  <si>
    <t>Tanner Park Ct_10950_Almeda Park_Houston_15800</t>
  </si>
  <si>
    <t>518 FM E_2901_Coronado_League City_15801</t>
  </si>
  <si>
    <t>Tiffany Cir_101_Tiffany Square_Terrell_15802</t>
  </si>
  <si>
    <t>Amesbury_5350_The Green in the Village II_Dallas_15803</t>
  </si>
  <si>
    <t>Lauder Ln_16500_Courtyards at Campbell_Dallas_15806</t>
  </si>
  <si>
    <t>Hillburn_2603_Hillburn Hills_Dallas_15807</t>
  </si>
  <si>
    <t>Senior Creek Dr_815_The Primrose at Johnson Creek_Arlington_15808</t>
  </si>
  <si>
    <t>Hampton Rd S_2999_Primrose Oaks_Dallas_15810</t>
  </si>
  <si>
    <t>Chattanooga Place_1716_Rosemont at Arlington Park_Dallas_15811</t>
  </si>
  <si>
    <t>Commerce_3221_Futura Lofts_Dallas_15812</t>
  </si>
  <si>
    <t>Chaha Rd_4605_Lake Colony Apts_Garland_15814</t>
  </si>
  <si>
    <t>Sierra Springs Dr_1400_Meadows Of Bedford II_Bedford_15815</t>
  </si>
  <si>
    <t>Plaza Pkwy_6600_Ridgmar Crossroads_Fort Worth_15816</t>
  </si>
  <si>
    <t>Ridgmar Blvd_2300_Park Villas II_Fort Worth_15817</t>
  </si>
  <si>
    <t>Irving Heights S_731_Oakway Manor_Irving_15818</t>
  </si>
  <si>
    <t>Noel Rd_13330_Verona TH_Dallas_15819</t>
  </si>
  <si>
    <t>Richmond Ave_15155_Villas at West Oaks_Houston_15820</t>
  </si>
  <si>
    <t>Augusta Dr_2912_Greenway Patio Homes_Denton_15821</t>
  </si>
  <si>
    <t>Gilbert Ave_4203_Las Brisas_Dallas_15823</t>
  </si>
  <si>
    <t>Gilbert Ave_4020_LCA Condominiums_Dallas_15825</t>
  </si>
  <si>
    <t>Richmond Ave_12025_Camden Oak Crest_Houston_15826</t>
  </si>
  <si>
    <t>Lina St_18950_Tivoli_Dallas_15827</t>
  </si>
  <si>
    <t>Lakeline Blvd N_3000_Lakeline_Leander_15829</t>
  </si>
  <si>
    <t>Lakeline Blvd S_2201_Lakeline Villas_Cedar Park_15830</t>
  </si>
  <si>
    <t>Brodie Ln_8600_Ridgeview_Austin_15831</t>
  </si>
  <si>
    <t>Beechnut St_14551_Matthew Ridge_Houston_15833</t>
  </si>
  <si>
    <t>Old Orchard Ln N_401_The Remington_Lewisville_15834</t>
  </si>
  <si>
    <t>35 IH S_10505_Stonegate_Austin_15835</t>
  </si>
  <si>
    <t>Cypress Creek Rd E_400_Cedar Park TH_Cedar Park_15837</t>
  </si>
  <si>
    <t>Buttercup Creek Blvd_403_Buttercup Creek_Cedar Park_15838</t>
  </si>
  <si>
    <t>AW Grimes Blvd_1401_Red Hills Villas_Round Rock_15839</t>
  </si>
  <si>
    <t>Argonne Forest Trl_11600-A_Ranchstone Garden Homes_Austin_15840</t>
  </si>
  <si>
    <t>Yellow Sage_16500_Heatherwilde Park_Pflugerville_15841</t>
  </si>
  <si>
    <t>Forest Creek Dr_3300_Forest Creek TH_Round Rock_15842</t>
  </si>
  <si>
    <t>Addicks Clodine_3443_City Parc at West Oaks_Houston_15844</t>
  </si>
  <si>
    <t>Post Oak Blvd_1200_1200 Post Oak_Houston_15845</t>
  </si>
  <si>
    <t>Tidwell W_2303_Fountains at Tidwell_Houston_15848</t>
  </si>
  <si>
    <t>Heatherwilde Blvd_19600_Westchester Woods_Pflugerville_15851</t>
  </si>
  <si>
    <t>Ohio Dr_6400_Camden Legacy Creek_Plano_15853</t>
  </si>
  <si>
    <t>Augusta_1901_Tuscany Court_Houston_15854</t>
  </si>
  <si>
    <t>Travis W_111_Robert E. Lee_San Antonio_15856</t>
  </si>
  <si>
    <t>Perrin Central_3787_San Mateo_San Antonio_15857</t>
  </si>
  <si>
    <t>Beckleymeade_801_Rosemont at Timber Creek_Dallas_15859</t>
  </si>
  <si>
    <t>Ledbetter E_3015_Rosemont of Oak Hollow_Dallas_15860</t>
  </si>
  <si>
    <t>Allen St_2610_Gables State Thomas Ravello_Dallas_15862</t>
  </si>
  <si>
    <t>Fernherst Rd W_23405_Millstone_Katy_15864</t>
  </si>
  <si>
    <t>W Rd_11501_Sugar Creek_Houston_15865</t>
  </si>
  <si>
    <t>Imperial Valley Dr_16101_Brittmore_Houston_15867</t>
  </si>
  <si>
    <t>State St_3010_Manchester State Thomas II Brownstones_Dallas_15868</t>
  </si>
  <si>
    <t>State St_3010_Manchester State Thomas III Flats_Dallas_15869</t>
  </si>
  <si>
    <t>Bernard St_425_Oaks Of Denton_Denton_15870</t>
  </si>
  <si>
    <t>Legendary Dr_13021_Villas at Stone Oak Ranch_Austin_15871</t>
  </si>
  <si>
    <t>Slaughter Ln W_1215_Iron Rock Ranch_Austin_15874</t>
  </si>
  <si>
    <t>Country View Ln_2401_Country Lane Seniors Community_McKinney_15875</t>
  </si>
  <si>
    <t>Grapevine Mills Pkwy_3601_Mustang Ridge at Grapevine Ranch_Grapevine_15876</t>
  </si>
  <si>
    <t>Live Oak_2801_Marquis at Texas Street_Dallas_15877</t>
  </si>
  <si>
    <t>Gaston Ave_5005_Upper E-Paree_Dallas_15878</t>
  </si>
  <si>
    <t>Gaston Ave_5405_Upper E-Silver Sands_Dallas_15880</t>
  </si>
  <si>
    <t>Red River_3301_Red River_Austin_15881</t>
  </si>
  <si>
    <t>Throckmorton St_2808_Gardens Cambridge Apts_Dallas_15882</t>
  </si>
  <si>
    <t>Beacon N_711_Upper E-Beacon Hill_Dallas_15884</t>
  </si>
  <si>
    <t>Gaston Ave_5435_Upper E-Kaluha_Dallas_15885</t>
  </si>
  <si>
    <t>Gaston Ave_5307_Upper E-The Strand_Dallas_15886</t>
  </si>
  <si>
    <t>Live Oak_5119_Upper E-Coral Gates_Dallas_15887</t>
  </si>
  <si>
    <t>Gaston Ave_6127_Upper E-Buckingham_Dallas_15892</t>
  </si>
  <si>
    <t>Gaston Ave_5619_Upper E-Casa Villa_Dallas_15893</t>
  </si>
  <si>
    <t>Gaston Ave_5707_Upper E-Driftwood_Dallas_15894</t>
  </si>
  <si>
    <t>Gaston Ave_5625_Upper E-Pink Adobe_Dallas_15895</t>
  </si>
  <si>
    <t>Eldridge Pkwy_2250_Marquis on Eldridge Parkway_Houston_15896</t>
  </si>
  <si>
    <t>Briery Dr_2800_Village Creek TH_Fort Worth_15897</t>
  </si>
  <si>
    <t>Town E Blvd N_645_Alexis Town East_Mesquite_15898</t>
  </si>
  <si>
    <t>Lillian Miller Pkwy_2525_Sterling House on the Parkway_Denton_15899</t>
  </si>
  <si>
    <t>Emerald Hills Way_8500_Horizon Bay North Richland Hills_North Richland Hills_15900</t>
  </si>
  <si>
    <t>6th St W_503_Vista Del Lago_Irving_15901</t>
  </si>
  <si>
    <t>Fossil Creek Blvd_5350_The Ranch at Fossil Creek_Haltom City_15902</t>
  </si>
  <si>
    <t>Love Dr_6445_Tuscan Villas_Irving_15903</t>
  </si>
  <si>
    <t>Parish Ln_150_Watermark_Roanoke_15904</t>
  </si>
  <si>
    <t>Hudson Crossing_3250_The Villas of El Dorado_McKinney_15905</t>
  </si>
  <si>
    <t>Polk S_801_DeSoto Ranch_Desoto_15906</t>
  </si>
  <si>
    <t>Lamar Blvd N_12007_On the Green_Austin_15907</t>
  </si>
  <si>
    <t>Custer Rd_2305_Regency at Stonebridge Ranch_McKinney_15908</t>
  </si>
  <si>
    <t>Gracy Farms Ln_2320_Stoneleigh at Gracy Farms_Austin_15909</t>
  </si>
  <si>
    <t>620 FM S_3400_Falconhead_Austin_15910</t>
  </si>
  <si>
    <t>Clarkridge_6968_Ridge Parc I_Dallas_15911</t>
  </si>
  <si>
    <t>Parmer Ln W_11300_Silverado at Brushy Creek_Cedar Park_15912</t>
  </si>
  <si>
    <t>Slaughter Ln E_333_Stonecreek Ranch_Austin_15913</t>
  </si>
  <si>
    <t>Dessau Rd_12041_The Villas of Bristol Heights_Austin_15914</t>
  </si>
  <si>
    <t>Manor Rd_2408_Sandstone I &amp; II_Austin_15915</t>
  </si>
  <si>
    <t>Research Forest Dr_8101_Whispering Pines Ranch_The Woodlands_15917</t>
  </si>
  <si>
    <t>Berry St S E_2450_Cobb Park_Fort Worth_15918</t>
  </si>
  <si>
    <t>Bosque Ln_200_Bosque River_Stephenville_15919</t>
  </si>
  <si>
    <t>Lillian S_301_Lillian II_Stephenville_15920</t>
  </si>
  <si>
    <t>McNeill W_1490_Lillian I_Stephenville_15922</t>
  </si>
  <si>
    <t>Washington W_1133_College View_Stephenville_15923</t>
  </si>
  <si>
    <t>Tarleton St W_2251_Stephenville West_Stephenville_15924</t>
  </si>
  <si>
    <t>Lillian St S_949_Auburn Place_Stephenville_15926</t>
  </si>
  <si>
    <t>Lillian St N_880_College Point II_Stephenville_15927</t>
  </si>
  <si>
    <t>Lingleville W_2251_Oak Tree_Stephenville_15928</t>
  </si>
  <si>
    <t>Lingleville W_1650_Oak Tree East_Stephenville_15929</t>
  </si>
  <si>
    <t>NW Loop_2249_Tarleton Arms_Stephenville_15931</t>
  </si>
  <si>
    <t>Coleman Blvd_8850_The Plaza at Frisco Square I_Frisco_15932</t>
  </si>
  <si>
    <t>Throckmorton St_333_Sundance West_Fort Worth_15935</t>
  </si>
  <si>
    <t>Philippine_15000_The Bellagio_Houston_15936</t>
  </si>
  <si>
    <t>Westhollow Dr_2600_Wynhaven at West Oaks_Houston_15937</t>
  </si>
  <si>
    <t>4th St W_222_Sanger Lofts_Fort Worth_15939</t>
  </si>
  <si>
    <t>Town E N_700_The Waterford at Mesquite_Mesquite_15940</t>
  </si>
  <si>
    <t>Barton Hills Dr_1200_Barton Hills-Park Place_Austin_15941</t>
  </si>
  <si>
    <t>Northgate Crossing Blvd_26325_The Park at Northgate_Spring_15942</t>
  </si>
  <si>
    <t>Berkman Dr_5820_Berkman Court_Austin_15945</t>
  </si>
  <si>
    <t>Cameron Rd_7247_Westheimer Hills_Austin_15947</t>
  </si>
  <si>
    <t>Sweeney Cir_5800_Westheimer Place_Austin_15948</t>
  </si>
  <si>
    <t>52nd St E_1200_Westheimer Trace_Austin_15950</t>
  </si>
  <si>
    <t>City Place Blvd W_2901_The Bryson at City Place_Dallas_15951</t>
  </si>
  <si>
    <t>Daffodil Dr_6009_Daffodil_Austin_15954</t>
  </si>
  <si>
    <t>Ohio Dr_6100_La Costa_Plano_15956</t>
  </si>
  <si>
    <t>Cedar Bend Dr_2015_Champions Crossing_Austin_15957</t>
  </si>
  <si>
    <t>Hyatt Resort Dr_9931_The Lodge at Westover Hills_San Antonio_15958</t>
  </si>
  <si>
    <t>Lake Vista_8301_Stablewood Farms_San Antonio_15959</t>
  </si>
  <si>
    <t>Repsdorph Rd N_2555_Regatta Bay_Seabrook_15960</t>
  </si>
  <si>
    <t>Dulles Ave_1025_Shadowbrooke_Stafford_15961</t>
  </si>
  <si>
    <t>Eldridge Pkwy N_10000_The Trails at Eldridge Parkway_Houston_15962</t>
  </si>
  <si>
    <t>Buckingham E_535_The Bristol at Buckingham_Richardson_15963</t>
  </si>
  <si>
    <t>Congress Ave S_7201_Circle S AH_Austin_15964</t>
  </si>
  <si>
    <t>Westpark Dr_11212_Alta Royal Oaks_Houston_15965</t>
  </si>
  <si>
    <t>Dallas St_914_Humble Tower_Houston_15966</t>
  </si>
  <si>
    <t>Roosevelt Ave_3135_La Posada Del Rey_San Antonio_15967</t>
  </si>
  <si>
    <t>Ingram Rd_5803_Legacy at Science Park_San Antonio_15968</t>
  </si>
  <si>
    <t>O'Connor Rd_13842_Legacy on O'Connor Road_San Antonio_15969</t>
  </si>
  <si>
    <t>Fairway Dr_4230_Cambria at Coyote Ridge_Carrollton_15970</t>
  </si>
  <si>
    <t>Duncanville Rd_1531_Mariposa Villas_Dallas_15971</t>
  </si>
  <si>
    <t>Centrepark Dr_10221_The Lodge at Spring Shadows I_Houston_15973</t>
  </si>
  <si>
    <t>Allendale_4800_Concord at Allendale_Houston_15974</t>
  </si>
  <si>
    <t>Woodward St_701_Blunn Creek_Austin_15985</t>
  </si>
  <si>
    <t>Montopolis Dr_1601_Riverside Meadows_Austin_15986</t>
  </si>
  <si>
    <t>1460 FM_2700_Chandler Creek_Round Rock_15987</t>
  </si>
  <si>
    <t>Rio Grande_404_404 Rio Grande at West 5th_Austin_15988</t>
  </si>
  <si>
    <t>McKinney Ave_3324_The Marquis on McKinney_Dallas_15989</t>
  </si>
  <si>
    <t>Jupiter Rd S_325_Mission Eagle Pointe_Allen_15990</t>
  </si>
  <si>
    <t>Bennett_1910_Bennett Lofts_Dallas_15991</t>
  </si>
  <si>
    <t>121 SH Bypass_351_Villas of Vista Ridge_Lewisville_15992</t>
  </si>
  <si>
    <t>McKinney E_3500_Rosemont at Pecan Creek_Denton_15995</t>
  </si>
  <si>
    <t>Biering Ln_10950_The Ridge at Bandera_San Antonio_15996</t>
  </si>
  <si>
    <t>Craddock Ave_101-109_Bishop's Square_San Marcos_15997</t>
  </si>
  <si>
    <t>W Rd_13333_Copper Springs_Houston_16000</t>
  </si>
  <si>
    <t>Jefferson Blvd W_2727_Cantera Crossing_Dallas_16001</t>
  </si>
  <si>
    <t>Lexington Blvd_16900_The Terrace at First Colony_Sugar Land_16002</t>
  </si>
  <si>
    <t>Ledbetter Dr E_2755_Oasis_Dallas_16003</t>
  </si>
  <si>
    <t>Ledbetter Dr E_2805_Oasis Gardens_Dallas_16004</t>
  </si>
  <si>
    <t>Via Ventura_4804_Central Park_Mesquite_16005</t>
  </si>
  <si>
    <t>Rue Marielyne St_6300_Sierra Royale_San Antonio_16006</t>
  </si>
  <si>
    <t>Tumbleweed Trl_8401_Oak Timbers I_White Settlement_16007</t>
  </si>
  <si>
    <t>Buffalo Speedway_5151_The Terrace at West University_Houston_16008</t>
  </si>
  <si>
    <t>Gessner S_10965_Concord at Williamcrest_Houston_16009</t>
  </si>
  <si>
    <t>Arapaho E_2000_The Block_Richardson_16010</t>
  </si>
  <si>
    <t>Shady Brook Ln_6852_Urbano at Midtown_Dallas_16011</t>
  </si>
  <si>
    <t>Pecan Ridge Dr_1301-1364_Pecan Ridge_Midlothian_16012</t>
  </si>
  <si>
    <t>Walter Stephenson Rd_900_The Lofts at Pecan Ridge_Midlothian_16014</t>
  </si>
  <si>
    <t>Amanda Ln-Pandora_11333-13200_Montecito Creek_Dallas_16017</t>
  </si>
  <si>
    <t>Ridgeway Dr E_100_Ridgeway Village_Midlothian_16018</t>
  </si>
  <si>
    <t>Maple Ave_5225_5225 Maple Avenue_Dallas_16019</t>
  </si>
  <si>
    <t>Lakeside Dr_155_Blue Lake Villas I_Waxahachie_16021</t>
  </si>
  <si>
    <t>Valley Ridge Rd W_1400_Toscana at Valley Ridge_Lewisville_16022</t>
  </si>
  <si>
    <t>Coit Rd_12271_Town Village North_Dallas_16024</t>
  </si>
  <si>
    <t>Horne St_4714_Lincoln Terrace_Fort Worth_16025</t>
  </si>
  <si>
    <t>Garden Brook_8734_Garden Brook_San Antonio_16026</t>
  </si>
  <si>
    <t>Thousand Oaks Dr_3110_White Rock_San Antonio_16028</t>
  </si>
  <si>
    <t>Pleasanton Rd_814_Villa de Amistad_San Antonio_16029</t>
  </si>
  <si>
    <t>Davis Blvd_8009_The Villas On Bear Creek_North Richland Hills_16031</t>
  </si>
  <si>
    <t>Sanford St E_971_The Claremont_Arlington_16032</t>
  </si>
  <si>
    <t>Granbury Cutoff Rd_6300_Evergreen at Hulen Bend_Fort Worth_16033</t>
  </si>
  <si>
    <t>Berry St E_4700_Villas of Eastwood Terrace_Fort Worth_16034</t>
  </si>
  <si>
    <t>Ave A_4000_Villa Del Rey_Austin_16036</t>
  </si>
  <si>
    <t>Ave A_4200_Fiesta Place_Austin_16037</t>
  </si>
  <si>
    <t>Oakmont Blvd_7301_The Verandas at Cityview_Fort Worth_16039</t>
  </si>
  <si>
    <t>Wurzbach Rd_3703_Eagle Ridge_San Antonio_16040</t>
  </si>
  <si>
    <t>Houston St E_4611_Outspan TH_San Antonio_16041</t>
  </si>
  <si>
    <t>Greenglen Dr_11710_Greensbrook Manor_Houston_16043</t>
  </si>
  <si>
    <t>Heatherwilde Blvd N_16701_Rosemont at Heather Bend_Pflugerville_16045</t>
  </si>
  <si>
    <t>Borough Park Dr_25455_The Falls at Borough Park_Spring_16046</t>
  </si>
  <si>
    <t>Commercial Center Blvd_2855_The Lakes at Cinco Ranch_Katy_16047</t>
  </si>
  <si>
    <t>Stagecoach Trl S_300_Stone Brook Senior Community_San Marcos_16048</t>
  </si>
  <si>
    <t>Stoneport Dr_220_Rosemont at Pemberton Hill_Dallas_16049</t>
  </si>
  <si>
    <t>Dessau Rd_12001_The Park at Walnut Creek_Austin_16050</t>
  </si>
  <si>
    <t>Normandale N_9001_Bent Tree_Fort Worth_16051</t>
  </si>
  <si>
    <t>Marvin D. Love Fwy_7905_Cedar Ridge_Dallas_16052</t>
  </si>
  <si>
    <t>Normandale St S_9051_Oak Village_Fort Worth_16053</t>
  </si>
  <si>
    <t>Kirkstall Dr_300_The Park at Kirkstall_Houston_16054</t>
  </si>
  <si>
    <t>45 IH N_15596_The Dominion at the Woodlands_Conroe_16055</t>
  </si>
  <si>
    <t>Riverside Dr S_3500_Autumn Chase_Fort Worth_16056</t>
  </si>
  <si>
    <t>Nuckols Crossing Rd_4600_Woodway Village_Austin_16064</t>
  </si>
  <si>
    <t>Southern Oaks_3303_Rosemont at Cedar Crest_Dallas_16065</t>
  </si>
  <si>
    <t>Clark Rd_8125_Rosemont at Bluff Ridge_Dallas_16066</t>
  </si>
  <si>
    <t>Westmoreland Rd S_8410_Rosemont at Hickory Trace_Dallas_16068</t>
  </si>
  <si>
    <t>Stassney Ln E_5901_Villas of Cordoba_Austin_16069</t>
  </si>
  <si>
    <t>Ridgecrest Rd_6318_Santa Fe Trails_Dallas_16070</t>
  </si>
  <si>
    <t>Lynn St W_807_The Castile_Austin_16071</t>
  </si>
  <si>
    <t>Main St_1309_The Davis Building_Dallas_16073</t>
  </si>
  <si>
    <t>Lynn St W_1301_Austin Tuscany_Austin_16075</t>
  </si>
  <si>
    <t>Lamar Place_709_Villages at Lamar V_Austin_16076</t>
  </si>
  <si>
    <t>Lamar Place_702_Villages at Lamar IV_Austin_16077</t>
  </si>
  <si>
    <t>Burns St_6309_Villages at Lamar I_Austin_16078</t>
  </si>
  <si>
    <t>Burns St_6408_Villages at Lamar III_Austin_16079</t>
  </si>
  <si>
    <t>Romeria_902_Chelsea Palms_Austin_16080</t>
  </si>
  <si>
    <t>Shirley Ave_6505_Villages at Lamar II_Austin_16081</t>
  </si>
  <si>
    <t>Pleasant Run Rd W_2531_Villas of Lancaster_Lancaster_16086</t>
  </si>
  <si>
    <t>Dietrich_4619_Madison on Dietrich_San Antonio_16087</t>
  </si>
  <si>
    <t>Sage Rd_2345_Montierra_Houston_16088</t>
  </si>
  <si>
    <t>Barker Cypress_12500_Broadstone Coles Crossing_Cypress_16089</t>
  </si>
  <si>
    <t>Galloway Ave N_1540_Heather Creek_Mesquite_16090</t>
  </si>
  <si>
    <t>Marine Creek Pkwy_4450_Meridian_Fort Worth_16091</t>
  </si>
  <si>
    <t>Normandale S_8713_Normandale Place_Fort Worth_16092</t>
  </si>
  <si>
    <t>Louisiana_3210_Calais at Courtlandt Square_Houston_16093</t>
  </si>
  <si>
    <t>Studemont_600_Windsor at Siena_Houston_16094</t>
  </si>
  <si>
    <t>Eldridge Pkwy_2020_San Brisas_Houston_16096</t>
  </si>
  <si>
    <t>Ranch Dr_305_Mission Rock Ridge_Arlington_16097</t>
  </si>
  <si>
    <t>MacArthur Blvd_2701_Estancia at Vista Ridge_Lewisville_16098</t>
  </si>
  <si>
    <t>Indian Run Dr_1152_Marbella Villas at Indian Creek_Carrollton_16099</t>
  </si>
  <si>
    <t>Provincial_21550_Vineyards_Katy_16100</t>
  </si>
  <si>
    <t>Augusta_2660_The Augusta_Houston_16101</t>
  </si>
  <si>
    <t>Champion Grandview Way_6500_Gables Grandview_Austin_16102</t>
  </si>
  <si>
    <t>360 SH_1401_The Stoneleigh at Bear Creek_Euless_16103</t>
  </si>
  <si>
    <t>Rosewood Dr_6250_Regency at North Richland Hills_North Richland Hills_16104</t>
  </si>
  <si>
    <t>Oak Rd_2850_The Reserve at Tranquility Lake_Pearland_16105</t>
  </si>
  <si>
    <t>MacGregor Way_2380_Century Hermann Park_Houston_16106</t>
  </si>
  <si>
    <t>Mesa Dr_15116_Park at Stone Creek_Humble_16107</t>
  </si>
  <si>
    <t>William Cannon Dr E_2302_Spring Valley_Austin_16108</t>
  </si>
  <si>
    <t>Pioneer Pkwy W_602_Royal Oaks Manor_Grand Prairie_16109</t>
  </si>
  <si>
    <t>Park Grove Dr_600_The Villas of Park Grove_Katy_16110</t>
  </si>
  <si>
    <t>Spencer Hwy_1620_Windsor Gardens_South Houston_16111</t>
  </si>
  <si>
    <t>Walton Walker Blvd W_526_Ridgecrest Terrace_Dallas_16112</t>
  </si>
  <si>
    <t>Teri Rd_1700_Woodway Square_Austin_16113</t>
  </si>
  <si>
    <t>Hamilton S_1700_Las Villas de Merida_San Antonio_16114</t>
  </si>
  <si>
    <t>1960 FM W_5007_The Lexington at Champions_Houston_16115</t>
  </si>
  <si>
    <t>6 Hwy N_9125_Villa Toscana_Houston_16116</t>
  </si>
  <si>
    <t>Westpark_10575_The Retreat at Westpark_Houston_16117</t>
  </si>
  <si>
    <t>McCue_3363_Broadstone Uptown Lofts_Houston_16118</t>
  </si>
  <si>
    <t>Central Park Ln_2400_Eastmark at Wolf Pen_College Station_16119</t>
  </si>
  <si>
    <t>SW Pkwy_503_Madison Pointe_College Station_16120</t>
  </si>
  <si>
    <t>Holleman Dr_1800_The Enclave_College Station_16121</t>
  </si>
  <si>
    <t>SW Pkwy_1600_Cedar Ridge at College Station_College Station_16122</t>
  </si>
  <si>
    <t>Dartmouth St_1907_Huntington_College Station_16123</t>
  </si>
  <si>
    <t>Harvey Rd_1501_Plantation Oaks_College Station_16124</t>
  </si>
  <si>
    <t>University Oaks Blvd_401_The Gables_College Station_16125</t>
  </si>
  <si>
    <t>Anderson Dr_401_Scandia Apts_College Station_16126</t>
  </si>
  <si>
    <t>Holleman Dr_1601_Tower Park_College Station_16128</t>
  </si>
  <si>
    <t>Dartmouth Dr_2250_The Ridge_College Station_16129</t>
  </si>
  <si>
    <t>Harvey Rd_811_Sundance_College Station_16131</t>
  </si>
  <si>
    <t>Parkwood Blvd_7001_Legacy Village I &amp; II_Plano_16132</t>
  </si>
  <si>
    <t>Industrial Dr_5700_Ranchview TH_Greenville_16133</t>
  </si>
  <si>
    <t>Cooks Ln_1600_Windsong Apts_Fort Worth_16134</t>
  </si>
  <si>
    <t>Texas St_600_Lone Star_Denton_16135</t>
  </si>
  <si>
    <t>Country View Ln_2491_Grand Texan_McKinney_16136</t>
  </si>
  <si>
    <t>Zang Blvd N_1409_Grand Estates at Founders Park_Dallas_16137</t>
  </si>
  <si>
    <t>Westpark_9510_Clover on the Ridge_Benbrook_16138</t>
  </si>
  <si>
    <t>Westridge Ave_3601_Ridglea Village_Fort Worth_16139</t>
  </si>
  <si>
    <t>Deen Rd_3601_Residences of Diamond Hill_Fort Worth_16140</t>
  </si>
  <si>
    <t>Westmoreland Dr S_6010_Woods of Five Mile Creek_Dallas_16141</t>
  </si>
  <si>
    <t>Westpark_16170_Laurel Point Apts_Houston_16142</t>
  </si>
  <si>
    <t>Broadway St_9720_Southwind_Pearland_16143</t>
  </si>
  <si>
    <t>Lakeview Haven_6833_Copperwood Ranch_Houston_16144</t>
  </si>
  <si>
    <t>Mason Rd_2495_Camden Downs at Cinco Ranch_Katy_16145</t>
  </si>
  <si>
    <t>Fuqua_11144_Settlers Ranch_Houston_16146</t>
  </si>
  <si>
    <t>Westheimer_9100_Camden Piney Point_Houston_16147</t>
  </si>
  <si>
    <t>Fairmont Pkwy_3663_Parkway Seniors_Pasadena_16148</t>
  </si>
  <si>
    <t>Huffmeister Rd_12035_Windsor Cypress Apts_Cypress_16149</t>
  </si>
  <si>
    <t>Smith St_2222_2222 Smith Street_Houston_16150</t>
  </si>
  <si>
    <t>Hemphill Park_2810_Villas on Guadalupe_Austin_16151</t>
  </si>
  <si>
    <t>Pleasant Valley Rd S_1109_Town Lake at Austin_Austin_16152</t>
  </si>
  <si>
    <t>Montopolis Dr_2201_Towne Vista_Austin_16154</t>
  </si>
  <si>
    <t>Collins Creek Dr_2800_Rosemont at Oak Valley_Austin_16155</t>
  </si>
  <si>
    <t>Waters Edge Dr_8611_Gates of Capernum_San Antonio_16156</t>
  </si>
  <si>
    <t>23rd St W_900_NF_Austin_16157</t>
  </si>
  <si>
    <t>35 IH N_1610_University Heights San Marcos_San Marcos_16158</t>
  </si>
  <si>
    <t>Ledbetter E_423_Flats of Five Mile Creek_Dallas_16159</t>
  </si>
  <si>
    <t>Overton Ridge Rd_5501_Overton Park TH_Fort Worth_16160</t>
  </si>
  <si>
    <t>16 Hwy S_10127_Rosemont at Palo Alto_San Antonio_16161</t>
  </si>
  <si>
    <t>Country Club Dr_7920_Woodbridge Villas_Sachse_16162</t>
  </si>
  <si>
    <t>Hermann Museum Cir_1_The Esplanade at Hermann Museum Circle_Houston_16163</t>
  </si>
  <si>
    <t>W Rd_14811_Club at Copperleaf_Houston_16165</t>
  </si>
  <si>
    <t>Estancia Cir_5515_Estancia TH_Dallas_16167</t>
  </si>
  <si>
    <t>Winsome Ln_6030_Bella Capri_Houston_16168</t>
  </si>
  <si>
    <t>Vera Cruz_1003_Olivares Senior Community_San Antonio_16169</t>
  </si>
  <si>
    <t>Inwood Park Dr_7050_Inwood Terrace_Houston_16171</t>
  </si>
  <si>
    <t>Washington St E_1001_Riverwalk TH_Stephenville_16172</t>
  </si>
  <si>
    <t>Belt Line Rd E_1204_Primrose at Cedar Hill_Cedar Hill_16175</t>
  </si>
  <si>
    <t>Yale St_5673_Yale Village_Houston_16176</t>
  </si>
  <si>
    <t>Barberry Dr_4141_King's Row_Houston_16177</t>
  </si>
  <si>
    <t>Bammel Houston Rd N_9955_Saddlewood_Houston_16178</t>
  </si>
  <si>
    <t>Sagebrush Trl_1400_Wilshire Manor_Euless_16180</t>
  </si>
  <si>
    <t>Marion Pugh_400_Stadium View_College Station_16181</t>
  </si>
  <si>
    <t>University Dr E_1400_Primrose at Sequoia Park_Denton_16182</t>
  </si>
  <si>
    <t>Dunvale Rd_3030_Alanza Brook_Houston_16183</t>
  </si>
  <si>
    <t>Stagecoach Trl S_250_Savannah Club_San Marcos_16184</t>
  </si>
  <si>
    <t>Watson Rd S_2500_Gateway Park_Arlington_16185</t>
  </si>
  <si>
    <t>Calmont Ave_8000_Hill Villa Retirement Community_Fort Worth_16186</t>
  </si>
  <si>
    <t>Greens Rd_838_Collingwood Gardens_Houston_16192</t>
  </si>
  <si>
    <t>Military Pkwy_9850_Prairie Commons_Dallas_16193</t>
  </si>
  <si>
    <t>Grandys Ln_1070_Summit Ridge Apts_Lewisville_16196</t>
  </si>
  <si>
    <t>Henderson Ave_2525_Easton_Dallas_16197</t>
  </si>
  <si>
    <t>Oxford St_404_Camden Heights_Houston_16198</t>
  </si>
  <si>
    <t>Pruitt Rd_301_Camden Spring Creek_Spring_16200</t>
  </si>
  <si>
    <t>Lakes at 610 Dr_9111_Villas at Coronado_Houston_16201</t>
  </si>
  <si>
    <t>Cheryl Dr W_330_Chaminade (TBD)_San Antonio_16204</t>
  </si>
  <si>
    <t>Commerce E_3144_Center Park_San Antonio_16205</t>
  </si>
  <si>
    <t>Sunshine E_342_Cabana_San Antonio_16206</t>
  </si>
  <si>
    <t>Fredericksburg Rd_2909_Apts Northwest_San Antonio_16207</t>
  </si>
  <si>
    <t>Howard St_509_Aurora_San Antonio_16208</t>
  </si>
  <si>
    <t>Spring Branch_6542_Babcock North Fourplex Homes_San Antonio_16209</t>
  </si>
  <si>
    <t>Gardina St_1318_Gardina Court_San Antonio_16210</t>
  </si>
  <si>
    <t>Hein Rd N_4438_Brighton Terrace_San Antonio_16211</t>
  </si>
  <si>
    <t>Woodbury Dr_2803_Amber Square_San Antonio_16213</t>
  </si>
  <si>
    <t>Upland_1514_Antioch Village_San Antonio_16214</t>
  </si>
  <si>
    <t>Hutchins Place W_555_Aristocrat_San Antonio_16215</t>
  </si>
  <si>
    <t>Deerwood_207_Austin Woods_San Antonio_16216</t>
  </si>
  <si>
    <t>Nacogdoches Rd_2618_Bella Claire_San Antonio_16217</t>
  </si>
  <si>
    <t>Bentwood Dr_116_Boerne TH_Boerne_16218</t>
  </si>
  <si>
    <t>Exeter Rd_515_Berrendo Square_San Antonio_16219</t>
  </si>
  <si>
    <t>Briarbend Dr_349_Briarbend_New Braunfels_16220</t>
  </si>
  <si>
    <t>Churchill Estates_14121_Churchill Estates_San Antonio_16223</t>
  </si>
  <si>
    <t>Springdale_1050_Springdale Estates_Austin_16224</t>
  </si>
  <si>
    <t>Bickers St_3260_Mabel Meshack White Manor_Dallas_16225</t>
  </si>
  <si>
    <t>Westwood Loop_10809_Laurel Canyon I_San Antonio_16226</t>
  </si>
  <si>
    <t>Morning Star Blvd_6399_Estancia at Morning Star_The Colony_16227</t>
  </si>
  <si>
    <t>Davis St W_4599_Vistas at Pinnacle Park_Dallas_16228</t>
  </si>
  <si>
    <t>Vista Dr N_311_Park at North Vista_Houston_16229</t>
  </si>
  <si>
    <t>Airtex Blvd_333_Kimberly Pointe_Houston_16230</t>
  </si>
  <si>
    <t>Amherst Cir W_5419_West Amherst Apts_Dallas_16231</t>
  </si>
  <si>
    <t>Quail Creek_3500_Providence Place I_Denton_16232</t>
  </si>
  <si>
    <t>Lavaca St_201_AMLI Downtown_Austin_16233</t>
  </si>
  <si>
    <t>Horal Dr_1980_Westpond_San Antonio_16234</t>
  </si>
  <si>
    <t>31st E_311_Voyageurs_Austin_16235</t>
  </si>
  <si>
    <t>Farrah Ln_1000_The Preserve at Colony Lakes_Stafford_16236</t>
  </si>
  <si>
    <t>Legacy Park Dr_10802_The Bellmeade_Houston_16237</t>
  </si>
  <si>
    <t>Gulf Pointe Dr_11881_Montelago_Houston_16238</t>
  </si>
  <si>
    <t>Enterprise Dr_150_The Grand Reserve_McKinney_16239</t>
  </si>
  <si>
    <t>Falcon River Way_6504_Falcon Lakes_Arlington_16240</t>
  </si>
  <si>
    <t>Matlock Rd_3251_Spyglass_Mansfield_16241</t>
  </si>
  <si>
    <t>Beachview_1121_The Trails at White Rock_Dallas_16243</t>
  </si>
  <si>
    <t>Reading Rd_5525_Reading Park Apts_Rosenberg_16244</t>
  </si>
  <si>
    <t>Park Row Dr_15335_Carrington Park_Houston_16245</t>
  </si>
  <si>
    <t>Old Walters Rd_12203_Shadow Ridge_Houston_16246</t>
  </si>
  <si>
    <t>Lincoln St_313_University Square_College Station_16247</t>
  </si>
  <si>
    <t>Plainsman Ln_3535_Quail Hollow_Bryan_16250</t>
  </si>
  <si>
    <t>Sage Rd_3000_3000 Sage_Houston_16251</t>
  </si>
  <si>
    <t>Providence_3301_The Oaks_Bryan_16252</t>
  </si>
  <si>
    <t>Longmire Dr_2701_Pepper Tree_College Station_16253</t>
  </si>
  <si>
    <t>Harvey Mitchell Pkwy S_2101_Doux Chene_College Station_16254</t>
  </si>
  <si>
    <t>Holleman Dr E_301_Arbors at Wolf Pen Creek_College Station_16255</t>
  </si>
  <si>
    <t>Peak St N_1333_Vue Live Oak_Dallas_16259</t>
  </si>
  <si>
    <t>SW Pkwy_1700_Arbor Square_College Station_16260</t>
  </si>
  <si>
    <t>SW Pkwy_401_Parkway Circle_College Station_16262</t>
  </si>
  <si>
    <t>Barthelow Dr_1301_Redstone_College Station_16263</t>
  </si>
  <si>
    <t>Welsh St_2401_Brazos Point_College Station_16266</t>
  </si>
  <si>
    <t>Anderson St_1601_Anderson Place_College Station_16267</t>
  </si>
  <si>
    <t>Lincoln Dr_401_East Gate_College Station_16268</t>
  </si>
  <si>
    <t>Marion Pugh_800_Meadows Point_College Station_16270</t>
  </si>
  <si>
    <t>Texas Ave_3002_Navarro_College Station_16271</t>
  </si>
  <si>
    <t>Harvey Rd_1001_Sausalito_College Station_16272</t>
  </si>
  <si>
    <t>Yellowhouse Cir # B_1806_Hunters Point_College Station_16273</t>
  </si>
  <si>
    <t>Green Crest Dr_3530_City Parc II at West Oaks_Houston_16274</t>
  </si>
  <si>
    <t>Wenda_4700_Cullen Park_Houston_16275</t>
  </si>
  <si>
    <t>SW Pkwy_1101_The Colony_College Station_16276</t>
  </si>
  <si>
    <t>Luther St W_1101_The Heights at Luther Street_College Station_16277</t>
  </si>
  <si>
    <t>George Bush Dr_1700_University Terrace_College Station_16279</t>
  </si>
  <si>
    <t>Broadmoor Dr_2301_Riverstone_Bryan_16280</t>
  </si>
  <si>
    <t>29th St E_3902_Willow Oaks_Bryan_16281</t>
  </si>
  <si>
    <t>Luther St W_601_The District on Luther_College Station_16285</t>
  </si>
  <si>
    <t>Cherry St_503_The Villas of Cherry Hollow_College Station_16287</t>
  </si>
  <si>
    <t>Carter Creek Pkwy_4475_Royal Oaks Gardens_Bryan_16288</t>
  </si>
  <si>
    <t>College Main St_4302_College Main_Bryan_16289</t>
  </si>
  <si>
    <t>29th St E_3130_The Grove_Bryan_16290</t>
  </si>
  <si>
    <t>Kingsland Blvd_21101_Kingsland Ranch_Katy_16292</t>
  </si>
  <si>
    <t>Wellborn Rd_3645_Reveille Ranch_Bryan_16293</t>
  </si>
  <si>
    <t>620 FM N_9807_Avendaro at Canyon Creek_Austin_16294</t>
  </si>
  <si>
    <t>Lakeline Blvd S_2101_Cypress Creek at Lakeline_Cedar Park_16295</t>
  </si>
  <si>
    <t>Villa Maria Rd E_3130_Wood Trail_Bryan_16296</t>
  </si>
  <si>
    <t>Wellborn Rd_3625_Saddlewood Club_Bryan_16297</t>
  </si>
  <si>
    <t>Harvey Rd_1201_Briarwood_College Station_16298</t>
  </si>
  <si>
    <t>S Pkwy_400_Crossing Place_College Station_16300</t>
  </si>
  <si>
    <t>Central Park Ln_2500_Windsor Pointe_College Station_16301</t>
  </si>
  <si>
    <t>Stasney_401_Casa Del Sol_College Station_16302</t>
  </si>
  <si>
    <t>University Oaks #23_904_Cripple Creek Condos_College Station_16304</t>
  </si>
  <si>
    <t>Holleman #33_1501_The Lexington_College Station_16305</t>
  </si>
  <si>
    <t>Cartwright Rd W_500_Stoneleigh on Cartwright_Balch Springs_16306</t>
  </si>
  <si>
    <t>Verde Dr #A_1005_Forest Creek_Bryan_16307</t>
  </si>
  <si>
    <t>College Main_3902_Country Place_Bryan_16308</t>
  </si>
  <si>
    <t>Hollowhill Dr_1512_College Edge_Bryan_16309</t>
  </si>
  <si>
    <t>SW Pkwy_603_Renaissance Park_College Station_16310</t>
  </si>
  <si>
    <t>9th Ave N_3700_The Veranda_Texas City_16311</t>
  </si>
  <si>
    <t>Redmond Dr_309_Meridian_College Station_16312</t>
  </si>
  <si>
    <t>Westridge Ct_1210_Oak Forest_Bryan_16313</t>
  </si>
  <si>
    <t>SW Pkwy_502_Willowick_College Station_16314</t>
  </si>
  <si>
    <t>Saint Elmo E_4601_King Fisher Creek_Austin_16315</t>
  </si>
  <si>
    <t>Spring Loop_801_Laurel Ridge_College Station_16316</t>
  </si>
  <si>
    <t>Holleman Dr_117_The Gateway at College Station_College Station_16317</t>
  </si>
  <si>
    <t>Villa Maria Rd W_999_West University Gardens_Bryan_16321</t>
  </si>
  <si>
    <t>Holleman Dr W_2001_TheZone at College Station_College Station_16322</t>
  </si>
  <si>
    <t>31st St #110 E_500_Bryan Manor_Bryan_16323</t>
  </si>
  <si>
    <t>Wellborn Rd_4151_Aggie Station_Bryan_16324</t>
  </si>
  <si>
    <t>W Rd_411_Fallbrook Ranch_Houston_16326</t>
  </si>
  <si>
    <t>Houston School Rd N_1605_Rosemont of Lancaster_Lancaster_16327</t>
  </si>
  <si>
    <t>Oxbow_1101_Cooper's Crossing_Irving_16329</t>
  </si>
  <si>
    <t>Whitestone W (1431 FM)_1301_Ranch at Cedar Park_Cedar Park_16330</t>
  </si>
  <si>
    <t>Holland Lake Dr_1650_Residences at Holland Lake_Weatherford_16331</t>
  </si>
  <si>
    <t>Holly Oaks Ln_2129_Residences at Holly Oaks I_Weatherford_16332</t>
  </si>
  <si>
    <t>Continental Dr_350_Mira Vista Ranch_Lewisville_16342</t>
  </si>
  <si>
    <t>Willoughby Blvd_8328_Willoughby Park_Dallas_16343</t>
  </si>
  <si>
    <t>410 Loop NW_4235_South Point Oaks_San Antonio_16344</t>
  </si>
  <si>
    <t>Clay Rd_10800_Broadstone Westway Park_Houston_16347</t>
  </si>
  <si>
    <t>Bareley Ln_10770_Oak Grove_Houston_16349</t>
  </si>
  <si>
    <t>Park View Dr S_18600_Reserve by the Lake_Houston_16350</t>
  </si>
  <si>
    <t>Memorial Dr_15200_The Village on Memorial_Houston_16351</t>
  </si>
  <si>
    <t>Mayfield Rd E_2002_Rosemont at Mayfield Villas_Arlington_16352</t>
  </si>
  <si>
    <t>360 Hwy W N_1991_Lost Creek_Grand Prairie_16353</t>
  </si>
  <si>
    <t>Mortier Dr_100_Villas of Rock Prairie_College Station_16354</t>
  </si>
  <si>
    <t>Airline Dr_1410B_Airline Apts_College Station_16356</t>
  </si>
  <si>
    <t>Harvey Mitchell Pkwy S_1331_Walden Pond Apts_Bryan_16382</t>
  </si>
  <si>
    <t>Colgate Dr_950_University Commons I &amp; II_College Station_16386</t>
  </si>
  <si>
    <t>Murdeaux Ln S_125_Sphinx at Murdeaux Villas_Dallas_16388</t>
  </si>
  <si>
    <t>Briar Forest_14515_Marquis on Briarforest_Houston_16390</t>
  </si>
  <si>
    <t>Harvey Rd_401_Campus View I_College Station_16392</t>
  </si>
  <si>
    <t>Harvey Rd_401_Campus View II_College Station_16396</t>
  </si>
  <si>
    <t>Congress S_6300_SoCo Apts_Austin_16399</t>
  </si>
  <si>
    <t>820 Loop NE_575_The Boulders_Hurst_16400</t>
  </si>
  <si>
    <t>Parkview Dr S_18108_Vizcaya at Park Harbor_Houston_16401</t>
  </si>
  <si>
    <t>Texana Dr_5202_The San Miguel_San Antonio_16403</t>
  </si>
  <si>
    <t>Ingram Rd_7700_Legacy at Crown Meadows_San Antonio_16405</t>
  </si>
  <si>
    <t>Overton Rd W_220_Madison Point_Dallas_16408</t>
  </si>
  <si>
    <t>Atwood Ct_200_Cypress View Villas_Weatherford_16411</t>
  </si>
  <si>
    <t>Gessner_6620_The Franklin_Houston_16412</t>
  </si>
  <si>
    <t>Tidwell_2000_Heatherbrook_Houston_16413</t>
  </si>
  <si>
    <t>Antoine Dr_2056_Lovett Manor_Houston_16414</t>
  </si>
  <si>
    <t>Oak W_2601_Uptown Apts_Denton_16418</t>
  </si>
  <si>
    <t>Chandra Ln_7901_Sycamore Center Villas_Fort Worth_16421</t>
  </si>
  <si>
    <t>Clearwood Dr_9465_Clearwood Villas_Houston_16422</t>
  </si>
  <si>
    <t>Braeswood N_4620_The Halstead Midrise_Houston_16423</t>
  </si>
  <si>
    <t>Marion Rd_11505_The Trails of Sanger_Sanger_16424</t>
  </si>
  <si>
    <t>Annex Ave_1002_1002 Annex_Dallas_16429</t>
  </si>
  <si>
    <t>Barker Cypress Rd_1760_Abbey at Barker Cypress_Houston_16430</t>
  </si>
  <si>
    <t>John Rd W_2605_Rosemont at Ash Creek_Dallas_16437</t>
  </si>
  <si>
    <t>Old Hickory Trl_8501_Providence on the Park_Dallas_16441</t>
  </si>
  <si>
    <t>New Territory Blvd_5555_Broadstone New Territory II_Sugar Land_16455</t>
  </si>
  <si>
    <t>Dunlap_6601_Sterling Point_Houston_16456</t>
  </si>
  <si>
    <t>Bryant Irvin Rd N_4900_Summit View-Valley View_Fort Worth_16457</t>
  </si>
  <si>
    <t>Hutchins Place W_535_Hutchins Palms_San Antonio_16458</t>
  </si>
  <si>
    <t>Bellows Falls Ln_14951_Sierra at Fall Creek_Humble_16459</t>
  </si>
  <si>
    <t>Martin Luther King Jr Blvd_7526_Normas Plaza_Houston_16460</t>
  </si>
  <si>
    <t>Fuqua St W_4855_Peninsula Park_Houston_16461</t>
  </si>
  <si>
    <t>Melanie Trl_1302-1406_Sierra Breeze_Midlothian_16462</t>
  </si>
  <si>
    <t>Quail Blvd_9971_A Country Place_Austin_16470</t>
  </si>
  <si>
    <t>Huisache Ave_1231_Braunfels Place_New Braunfels_16474</t>
  </si>
  <si>
    <t>Mission Grande_1327_Rancho Sierra_San Antonio_16475</t>
  </si>
  <si>
    <t>Wayside Dr N_9550_North Forest Trails_Houston_16477</t>
  </si>
  <si>
    <t>Old Pearsall Rd_6300_Rosemont at Millers Pond_San Antonio_16479</t>
  </si>
  <si>
    <t>Airport Blvd W_15000_Reserve At Woodbridge_Houston_16486</t>
  </si>
  <si>
    <t>Voss Rd_15270_Pebble Creek Ranch_Sugar Land_16487</t>
  </si>
  <si>
    <t>Fitzhugh Ave N_2819_Vue Fitzhugh_Dallas_16490</t>
  </si>
  <si>
    <t>Western Center Blvd_2600_Ironwood Crossing_Fort Worth_16491</t>
  </si>
  <si>
    <t>Cedar Springs Rd_2215_The Ashton_Dallas_16494</t>
  </si>
  <si>
    <t>River Bend Dr_121_Mariposa at River Bend Apts_Georgetown_16509</t>
  </si>
  <si>
    <t>Midcrown Dr_5414_Midcrown Senior Pavilion_San Antonio_16510</t>
  </si>
  <si>
    <t>Quail Creek_3700_Providence Place II_Denton_16511</t>
  </si>
  <si>
    <t>Old Decatur Rd_4307_Providence Village at Marine Creek_Fort Worth_16512</t>
  </si>
  <si>
    <t>Fredericksberg Rd_2803_Primrose at Monticello Park_San Antonio_16513</t>
  </si>
  <si>
    <t>Vance Jackson Rd_12436_Vistas of Vance Jackson_San Antonio_16514</t>
  </si>
  <si>
    <t>Frio St N_400_Palacio del Sol I &amp; II_San Antonio_16515</t>
  </si>
  <si>
    <t>1604 Loop W N_8603_Springs at Bandera_San Antonio_16517</t>
  </si>
  <si>
    <t>Landa St_176_Landmark Gardens_New Braunfels_16518</t>
  </si>
  <si>
    <t>Hollow Dr N_8103_Villa de San Antonio_San Antonio_16519</t>
  </si>
  <si>
    <t>Judson Rd_15302_The Villages at Lost Creek_San Antonio_16520</t>
  </si>
  <si>
    <t>Micron Dr_8200_Meadowood Apts_San Antonio_16521</t>
  </si>
  <si>
    <t>Labor St_300_Refugio Place_San Antonio_16522</t>
  </si>
  <si>
    <t>Alpha Rd_5301_Village on the Green_Dallas_16524</t>
  </si>
  <si>
    <t>Spectrum One_4330_Broadstone Colonnade_San Antonio_16525</t>
  </si>
  <si>
    <t>1604 Loop E N_215_The Montecristo_San Antonio_16526</t>
  </si>
  <si>
    <t>Encino Commons Blvd_21302_Encino Canyon_San Antonio_16528</t>
  </si>
  <si>
    <t>Grand Ave Pkwy_1525_Riverhorse Ranch II_Pflugerville_16529</t>
  </si>
  <si>
    <t>Guadalupe St W_4600_Triangle I-Residences_Austin_16530</t>
  </si>
  <si>
    <t>Travis Hills Dr_8818_Hudson Miramont_Austin_16531</t>
  </si>
  <si>
    <t>Barton Creek Blvd_2500_Querencia Barton Creek_Austin_16532</t>
  </si>
  <si>
    <t>Grove Blvd_1881_Grove Place_Austin_16534</t>
  </si>
  <si>
    <t>Oak Springs Dr_3001_Oak Spring Villas Elderly Apts_Austin_16536</t>
  </si>
  <si>
    <t>Pat Booker Rd_7828_The Heritage Apts_San Antonio_16537</t>
  </si>
  <si>
    <t>Bagdad Rd S_2702_Cedar Ridge II_Leander_16538</t>
  </si>
  <si>
    <t>Post Rd_1647_The Outpost San Marcos_San Marcos_16540</t>
  </si>
  <si>
    <t>Capital of Texas Hwy N_4700_Nalle Woods_Austin_16541</t>
  </si>
  <si>
    <t>Saint Elmo Rd E_4503-4509_Rosemont at Williamson Creek_Austin_16542</t>
  </si>
  <si>
    <t>Century Park Blvd_2900_The Park at Summers Grove_Austin_16543</t>
  </si>
  <si>
    <t>Brodie Ln_8515_The Villages of Bella Vista_Austin_16544</t>
  </si>
  <si>
    <t>Bray Central Dr_705_Auberry at Twin Creeks_Allen_16545</t>
  </si>
  <si>
    <t>Independence Pkwy_600_Evergreen at Plano_Plano_16546</t>
  </si>
  <si>
    <t>Ross Ave_1001_Jefferson At 1001 Ross_Dallas_16547</t>
  </si>
  <si>
    <t>Vista Ridge Mall Dr E_625_Sequoia Bluffs at Vista Ridge_Lewisville_16548</t>
  </si>
  <si>
    <t>NW Dr_5651_Evergreen at Mesquite_Mesquite_16549</t>
  </si>
  <si>
    <t>Ridge Rd_1389_Rockwall Commons_Rockwall_16550</t>
  </si>
  <si>
    <t>Bacara Ln_6000_Artisan at Rush Creek_Arlington_16551</t>
  </si>
  <si>
    <t>Preakness Ln_5480_Artisan Ridge_Dallas_16552</t>
  </si>
  <si>
    <t>Masters Dr N_1180_The Masters Apts_Dallas_16554</t>
  </si>
  <si>
    <t>Meadow St_4722_Rosemont at Meadow Lane_Dallas_16555</t>
  </si>
  <si>
    <t>Delafield Ln_4101_Sphinx at Delafield Villas_Dallas_16556</t>
  </si>
  <si>
    <t>Stemmons Fwy N_7200_Pegasus Villas_Dallas_16557</t>
  </si>
  <si>
    <t>Kinsey Dr_4411_Bridges on Kinsey_Tyler_16558</t>
  </si>
  <si>
    <t>Walton Rd_3220_Southwest Pines_Tyler_16559</t>
  </si>
  <si>
    <t>Blackburn St_3003_The Mondrian City Place_Dallas_16560</t>
  </si>
  <si>
    <t>McKinnon St_2820_Trianon by Windsor_Dallas_16561</t>
  </si>
  <si>
    <t>Lakeside Dr_155_Blue Lake Villas II_Waxahachie_16563</t>
  </si>
  <si>
    <t>Canton St_2320_Camden Farmers Market II_Dallas_16565</t>
  </si>
  <si>
    <t>Bardin Rd W_3033_Indigo Pointe_Grand Prairie_16566</t>
  </si>
  <si>
    <t>Huffines Blvd_4700_Terraces of Marine Creek_Fort Worth_16567</t>
  </si>
  <si>
    <t>Corn Valley Rd_2305_Mountain Creek Retirement Living_Grand Prairie_16568</t>
  </si>
  <si>
    <t>Robinson Rd_1920_Oak Timbers Grand Prairie_Grand Prairie_16569</t>
  </si>
  <si>
    <t>Carrier Pkwy S_1104_Wright Senior Apts_Grand Prairie_16570</t>
  </si>
  <si>
    <t>Royal Ln E_635_Mission at La Villita_Irving_16571</t>
  </si>
  <si>
    <t>Deseo_6604_Landings at La Villita_Irving_16572</t>
  </si>
  <si>
    <t>Coleman Blvd_8843_The Plaza at Frisco Square II_Frisco_16576</t>
  </si>
  <si>
    <t>Cockrell Hill N_1411_Churchill at Pinnacle Park_Dallas_16577</t>
  </si>
  <si>
    <t>Winter Park Dr_6350_Franklin Park at Hometown_North Richland Hills_16583</t>
  </si>
  <si>
    <t>Ross Ave_800_Jefferson at West End Station_Dallas_16587</t>
  </si>
  <si>
    <t>Main St_1415_Third Rail Lofts-Gulf States Bldg_Dallas_16588</t>
  </si>
  <si>
    <t>McKinney Ave_3839_Gables West Village_Dallas_16589</t>
  </si>
  <si>
    <t>Hardy Oak Blvd_21739_Club at Stone Oak_San Antonio_16590</t>
  </si>
  <si>
    <t>Akard St N_300_Mosaic_Dallas_16591</t>
  </si>
  <si>
    <t>Wind River Ln_2820_Dogwood Estates_Denton_16594</t>
  </si>
  <si>
    <t>Woodstone_4950_Stonehouse Valley Apts_San Antonio_16596</t>
  </si>
  <si>
    <t>Crestway St_8355_Converse Ranch_San Antonio_16598</t>
  </si>
  <si>
    <t>Military Dr SW_5350_Champion Homes at Port Royal_San Antonio_16599</t>
  </si>
  <si>
    <t>Zarzamora_2022_Charles A. Gonzales Senior Community_San Antonio_16600</t>
  </si>
  <si>
    <t>W.W. White Rd S_2819_Costa Cadiz_San Antonio_16601</t>
  </si>
  <si>
    <t>Landa St_144_The Landmark Lofts_New Braunfels_16603</t>
  </si>
  <si>
    <t>Pleasant Run Rd E_1000_Legacy of Cedar Hill II_Cedar Hill_16604</t>
  </si>
  <si>
    <t>Sycamore School Rd_3801_The Park at Sycamore School Apts_Fort Worth_16605</t>
  </si>
  <si>
    <t>Bentley Dr_8004_The Meadows at Bentley Drive_San Antonio_16606</t>
  </si>
  <si>
    <t>Tomar Dr_500_Western Hills Apts_San Antonio_16607</t>
  </si>
  <si>
    <t>Browder St_222_Dallas Power &amp; Light Buildings_Dallas_16609</t>
  </si>
  <si>
    <t>UTSA Blvd_6802_The Outpost San Antonio_San Antonio_16610</t>
  </si>
  <si>
    <t>Westpark View Dr_1501_Stone Villas_Fort Worth_16611</t>
  </si>
  <si>
    <t>Pacific Dr_4901_Addison Park Apts_Arlington_16613</t>
  </si>
  <si>
    <t>Forest Hill Dr_7415_Villas of Forest Hill_Fort Worth_16615</t>
  </si>
  <si>
    <t>Colorado St_101_The Ashton_Austin_16620</t>
  </si>
  <si>
    <t>General McMullen N_411_Bexar Creek_San Antonio_16622</t>
  </si>
  <si>
    <t>6th St E_2011-2121_Villas on Sixth_Austin_16623</t>
  </si>
  <si>
    <t>Woodward St_2000_Cityview at the Park_Austin_16624</t>
  </si>
  <si>
    <t>Sandra Muraida Way_115_Gables Park Plaza_Austin_16625</t>
  </si>
  <si>
    <t>Lamar Blvd N_300_300 N. Lamar_Austin_16626</t>
  </si>
  <si>
    <t>San Marcos St_1000_Robertson Hill_Austin_16627</t>
  </si>
  <si>
    <t>Mueller Blvd_4600_Mosaic at Mueller_Austin_16628</t>
  </si>
  <si>
    <t>290 US Hwy E_9345_Rosemont at Hidden Creek_Austin_16629</t>
  </si>
  <si>
    <t>Acme Rd S_535_Rosemont at Bethel Place_San Antonio_16631</t>
  </si>
  <si>
    <t>Emerald Ash_102_Rosemont at University Park_San Antonio_16632</t>
  </si>
  <si>
    <t>Eisenhauer Rd_5100_Costa Biscaya_San Antonio_16633</t>
  </si>
  <si>
    <t>Riverside Dr_647_Champion Homes at Mission del Rio_San Antonio_16634</t>
  </si>
  <si>
    <t>Potranco Rd_8330_Willow Bend_San Antonio_16637</t>
  </si>
  <si>
    <t>Westwood Loop_10809_Laurel Canyon II_San Antonio_16639</t>
  </si>
  <si>
    <t>Westwood Loop_10809_Laurel Canyon III_San Antonio_16640</t>
  </si>
  <si>
    <t>360 Hwy S_4940_Prairie Ranch_Grand Prairie_16647</t>
  </si>
  <si>
    <t>Las Colinas Blvd E_350_Canal Side Lofts_Irving_16649</t>
  </si>
  <si>
    <t>Tarrant Pkwy N_5551_Aventine Apts_Fort Worth_16651</t>
  </si>
  <si>
    <t>123 Hwy S_NF_Oak Meadows_Seguin_16652</t>
  </si>
  <si>
    <t>Timber Oaks Ln_700_Timber Oaks Apts_Grand Prairie_16653</t>
  </si>
  <si>
    <t>Sunshine Dr W_1527_Tigoni Villas Apts_San Antonio_16656</t>
  </si>
  <si>
    <t>Lake Carolyn Pkwy_1050_Windsor at Las Colinas_Irving_16657</t>
  </si>
  <si>
    <t>Lake Carolyn Pkwy_692_The Mandalay on the Lake_Irving_16658</t>
  </si>
  <si>
    <t>Culebra_NF_Mira Vista_San Antonio_16662</t>
  </si>
  <si>
    <t>Garden Park Dr_935_The Lofts at Watters Creek I_Allen_16664</t>
  </si>
  <si>
    <t>Huebner Rd_7101_Villas of Leon Valley_San Antonio_16665</t>
  </si>
  <si>
    <t>Blanco Rd W_14500_Walker Ranch_San Antonio_16666</t>
  </si>
  <si>
    <t>Houston St N_2500_The Cirque_Dallas_16672</t>
  </si>
  <si>
    <t>McKinney Ave_3636_Gables 3636 McKinney_Dallas_16673</t>
  </si>
  <si>
    <t>Shady Shores Dr_6303_Preserve at Pecan Creek_Denton_16674</t>
  </si>
  <si>
    <t>Stone Oak Pkwy_20614_Estates at Canyon Ridge_San Antonio_16676</t>
  </si>
  <si>
    <t>Capital of Texas Hwy N_3500_Gables Westlake_Austin_16678</t>
  </si>
  <si>
    <t>Finfeather Rd_3150_The Presidio_Bryan_16681</t>
  </si>
  <si>
    <t>Roaring Springs Rd N_101_Villages of Hawks Creek_Fort Worth_16683</t>
  </si>
  <si>
    <t>Greenville Ave_1811_Vue Greenville_Dallas_16685</t>
  </si>
  <si>
    <t>Saint Joseph's Pkwy_301_Camden City Centre I_Houston_16686</t>
  </si>
  <si>
    <t>Villa Maria_2505_Crestview Unity_Bryan_16688</t>
  </si>
  <si>
    <t>Greenville Ave_1701_Post Eastside_Richardson_16689</t>
  </si>
  <si>
    <t>Kings Crossing Dr_2807_Westminster House at Kingwood Village Estates_Kingwood_16690</t>
  </si>
  <si>
    <t>Hirschfield_3030_Timber Run Apts_Spring_16691</t>
  </si>
  <si>
    <t>1960 FM_12700_Carrington Place_Houston_16693</t>
  </si>
  <si>
    <t>Old Bammel Houston Rd N_10335_Primrose at Heritage Park_Houston_16694</t>
  </si>
  <si>
    <t>2nd St_NF_The Fountains_Sweeny_16700</t>
  </si>
  <si>
    <t>Northpines Dr_435_Kingwood Senior Village_Kingwood_16719</t>
  </si>
  <si>
    <t>Riva Row_2203_Boardwalk at Town Center Apts I_The Woodlands_16720</t>
  </si>
  <si>
    <t>Lake Woodlands Dr_6900_Sterling Ridge Estates_The Woodlands_16721</t>
  </si>
  <si>
    <t>Tangle Brush Dr_3300_Tangle Brush Villa_The Woodlands_16722</t>
  </si>
  <si>
    <t>45 IH N_229_Stone Ridge I_Conroe_16723</t>
  </si>
  <si>
    <t>105 Hwy W_19788_Montgomery Trace_Montgomery_16724</t>
  </si>
  <si>
    <t>Eastex Fwy (Hwy 59)_23461_Montgomery Pines Apts_Porter_16725</t>
  </si>
  <si>
    <t>Katy Gaston Rd_2101_Willow Lake II_Katy_16755</t>
  </si>
  <si>
    <t>Kirkwood Dr S_12221_Meadows Place Senior Village_Stafford_16756</t>
  </si>
  <si>
    <t>Fondren Rd_14001_Willow Park_Missouri City_16757</t>
  </si>
  <si>
    <t>45 IH_2700_Windsor Estates II_Texas City_16759</t>
  </si>
  <si>
    <t>Longmire Rd_1840_Landmark of Conroe_Conroe_16760</t>
  </si>
  <si>
    <t>Texas Ave_902_Sweeny Manor Apts_Sweeny_16807</t>
  </si>
  <si>
    <t>Texaco Ave W_180_Magnolia Manor TH_West Columbia_16809</t>
  </si>
  <si>
    <t>Skinner St_1102_Freeport Oaks Apts_Freeport_16811</t>
  </si>
  <si>
    <t>Ave J N_1001_Freeport Meadows_Freeport_16812</t>
  </si>
  <si>
    <t>Henderson Rd W_300_Country Lane Apts_Angleton_16815</t>
  </si>
  <si>
    <t>Henderson Rd W_1749_Northside Senior Citizen Apts_Angleton_16816</t>
  </si>
  <si>
    <t>Henderson Rd W_1753_Northside Plaza Apts_Angleton_16817</t>
  </si>
  <si>
    <t>Old Alvin Rd_1710_Oakbridge Apts_Pearland_16818</t>
  </si>
  <si>
    <t>Oyster Creek_130_American Apts_Lake Jackson_16819</t>
  </si>
  <si>
    <t>Wildwood Park Rd_22155_The Reserve at River Park West_Richmond_16821</t>
  </si>
  <si>
    <t>Brand Ln_1020_Silverbrooke_Stafford_16839</t>
  </si>
  <si>
    <t>22nd St N_2602_Ashton Park III_Texas City_16840</t>
  </si>
  <si>
    <t>Jones Dr_7400_Island Bay Resorts II_Galveston_16844</t>
  </si>
  <si>
    <t>Magnolia Ave_3401_Village at Morningstar I_Texas City_16845</t>
  </si>
  <si>
    <t>Hobbs Rd_600_Maplewood Crossing_League City_16846</t>
  </si>
  <si>
    <t>61st St_2810_Holland House Apts_Galveston_16847</t>
  </si>
  <si>
    <t>Wilson Rd_901_Heritage at Hooper Hill_Conroe_16848</t>
  </si>
  <si>
    <t>Windmill Lakes Blvd_10181_Longboat Key_Houston_16866</t>
  </si>
  <si>
    <t>Sam Houston Pkwy E S_7909_Sweetwater Point_Houston_16867</t>
  </si>
  <si>
    <t>Bayside_330_Windsail Bay I_La Porte_16869</t>
  </si>
  <si>
    <t>Silverleaf Rd_300_Windmill Run_Sweeny_16870</t>
  </si>
  <si>
    <t>Broadway_9900_St. Andrews II_Pearland_16896</t>
  </si>
  <si>
    <t>County Rd 90_2414_Summer Wind Apts_Pearland_16897</t>
  </si>
  <si>
    <t>Oak Rd_2920_Tranquility Bay I &amp; II_Pearland_16898</t>
  </si>
  <si>
    <t>That Way St_514_Edgewater_Lake Jackson_16900</t>
  </si>
  <si>
    <t>County Rd 94_3800_Cobblestone Park I_Manvel_16901</t>
  </si>
  <si>
    <t>Cullen Blvd_10010_Lansborough Apts_Houston_16917</t>
  </si>
  <si>
    <t>Cove View Blvd_3433_Club of the Isle_Galveston_16931</t>
  </si>
  <si>
    <t>Buccaneer_16415_Bay Crest Village (Bay Place II)_Houston_16936</t>
  </si>
  <si>
    <t>Cypress Point Dr_2815_Plantation at Quail Valley_Missouri City_16937</t>
  </si>
  <si>
    <t>Bay Area Blvd W_2801_Baybrook Village I_Webster_16939</t>
  </si>
  <si>
    <t>Adoue St E_1100_Morgan Oaks_Alvin_16940</t>
  </si>
  <si>
    <t>Lakeview_140_Olde Oaks_Clute_16941</t>
  </si>
  <si>
    <t>El Camino Real_16302_The Hamptons II_Houston_16943</t>
  </si>
  <si>
    <t>Bay Area Blvd_1243_Village South Apts_Houston_16944</t>
  </si>
  <si>
    <t>6 Hwy_8010_Lively Oaks Apts_Hitchcock_16959</t>
  </si>
  <si>
    <t>Broadway St_8601_Broadway Square-Section 3-I_Houston_16962</t>
  </si>
  <si>
    <t>Shaver S_3633_West Point Village_Pasadena_16963</t>
  </si>
  <si>
    <t>Edgebrook Dr E_103_Edgebrook II_Houston_16964</t>
  </si>
  <si>
    <t>Garland Dr_100_Lake Jackson Manor_Lake Jackson_16966</t>
  </si>
  <si>
    <t>Garth Rd_6033_Rosemont at Baytown_Baytown_16968</t>
  </si>
  <si>
    <t>City Park Central Ln_11800_Stonebridge at City Park_Houston_16969</t>
  </si>
  <si>
    <t>City Park Central Ln_11900_Ranch at City Park_Houston_16970</t>
  </si>
  <si>
    <t>Pineloch_696_Green Oaks II_Webster_16971</t>
  </si>
  <si>
    <t>Dickinson Rd_1277_Stonegate at Alvin_Alvin_16972</t>
  </si>
  <si>
    <t>Crenshaw Rd_5045_The Broadwater_Pasadena_16975</t>
  </si>
  <si>
    <t>Charleston Park_16_Oaks of Charleston Apts (B)_Houston_16977</t>
  </si>
  <si>
    <t>MacGregor Way N_3629_MacGregor Gardens_Houston_16979</t>
  </si>
  <si>
    <t>Scott St_5250_WALIPP Seniors Residence_Houston_16980</t>
  </si>
  <si>
    <t>Cullen Blvd_4600_Cullen Oaks I_Houston_16981</t>
  </si>
  <si>
    <t>Cullen Blvd_4600_Cullen Oaks II_Houston_16982</t>
  </si>
  <si>
    <t>Boynton_3230_Willow Glen Homes_Houston_16984</t>
  </si>
  <si>
    <t>Cherrybrook Ln_2627_Evangeline Booth Garden_Pasadena_16985</t>
  </si>
  <si>
    <t>Sam Houston Pkwy S E_2122_Primrose at Pasadena_Pasadena_16986</t>
  </si>
  <si>
    <t>Airport Blvd W_8100_The Crossings at Bradford Place I_Houston_16987</t>
  </si>
  <si>
    <t>Braeswood N_4620_The Halstead Tower_Houston_16988</t>
  </si>
  <si>
    <t>Braesvalley Dr_5454_Nob Hill North_Houston_16990</t>
  </si>
  <si>
    <t>Fondren Rd_9000_Brickhaven III_Houston_16991</t>
  </si>
  <si>
    <t>Brompton_7300_Camden Vanderbilt II_Houston_16992</t>
  </si>
  <si>
    <t>El Paseo_1885_UT Houston_Houston_16993</t>
  </si>
  <si>
    <t>Airport Blvd W_8030-8040_The Crossings at Jackson Square_Houston_16995</t>
  </si>
  <si>
    <t>Stafford Rd_12660_Madison on the Meadows_Stafford_16996</t>
  </si>
  <si>
    <t>Allen Genoa S_101_Ashton Place I Apts_South Houston_16997</t>
  </si>
  <si>
    <t>Park Place_8351_Villa del Mar_Houston_16999</t>
  </si>
  <si>
    <t>Del Rio_6401_Catalina Village I_Houston_17000</t>
  </si>
  <si>
    <t>Dixie Rd_3560_Catalina Village II_Houston_17001</t>
  </si>
  <si>
    <t>Corporate Dr_7825_The Lodge II_Houston_17002</t>
  </si>
  <si>
    <t>Sam Houston Pkwy S W_9501_Casa Del Sol_Houston_17003</t>
  </si>
  <si>
    <t>Westward_5612-5621_Chateau Carmel_Houston_17004</t>
  </si>
  <si>
    <t>Rollingbrook Dr_619_Stonebrook II_Baytown_17006</t>
  </si>
  <si>
    <t>Knowlton Rd_1220_Shady Creek_Baytown_17007</t>
  </si>
  <si>
    <t>Sam Houston Pkwy S W_8565_Little Nell_Houston_17008</t>
  </si>
  <si>
    <t>Cambridge_8450_Scotland Yard II_Houston_17010</t>
  </si>
  <si>
    <t>Live Oak_5519_Riverside Terrace Apts_Houston_17012</t>
  </si>
  <si>
    <t>Hermann Park Ct_1_The Lofts at Hermann Park_Houston_17013</t>
  </si>
  <si>
    <t>Hermann Museum Cir_3_The Amalfi at Hermann Park_Houston_17014</t>
  </si>
  <si>
    <t>Scott St_7210_South Union Place_Houston_17015</t>
  </si>
  <si>
    <t>Scott St_7245_Scott Street TH_Houston_17016</t>
  </si>
  <si>
    <t>Alice St_3360_Parkside Point_Houston_17018</t>
  </si>
  <si>
    <t>Almeda Rd_5925_Montage at Mosaic_Houston_17019</t>
  </si>
  <si>
    <t>Market St_9701_Sun East 55+_Jacinto City_17022</t>
  </si>
  <si>
    <t>Ferness Ln_15255_Sterling Green Village_Channelview_17023</t>
  </si>
  <si>
    <t>Gessner S_6005_Carlingford III_Houston_17024</t>
  </si>
  <si>
    <t>Dunlap St_6500_Milagro Plaza_Houston_17027</t>
  </si>
  <si>
    <t>Fondren_10800_Fondren Court South_Houston_17034</t>
  </si>
  <si>
    <t>Gray Ridge_15255_The Vinings at West Oaks II_Houston_17035</t>
  </si>
  <si>
    <t>Witter_1022_Gayle Villa Apts_Pasadena_17036</t>
  </si>
  <si>
    <t>Memorial Dr_5201_Bayou on the Bend Apts_Houston_17037</t>
  </si>
  <si>
    <t>Cummins St_3833_Camden Plaza_Houston_17038</t>
  </si>
  <si>
    <t>Town Park Dr_9950_Town Park TH_Houston_17040</t>
  </si>
  <si>
    <t>Colony Dr_8181_The Riveraine Apts_Houston_17042</t>
  </si>
  <si>
    <t>Dallas W_2221_AMLI City Vista_Houston_17045</t>
  </si>
  <si>
    <t>Bailey_1520_Victory Apts_Houston_17048</t>
  </si>
  <si>
    <t>Meadowglen_9851_Madison Park of Westchase II_Houston_17051</t>
  </si>
  <si>
    <t>San Felipe_6363_The Fairmont on San Felipe_Houston_17052</t>
  </si>
  <si>
    <t>Allen Pkwy_2121_AMLI 2121_Houston_17055</t>
  </si>
  <si>
    <t>Main_812_Main, 812 Lofts (On Hold)_Houston_17057</t>
  </si>
  <si>
    <t>Main_917_Kirby Lofts Condo Apts_Houston_17058</t>
  </si>
  <si>
    <t>Revere_3206_Gables Upper Kirby_Houston_17062</t>
  </si>
  <si>
    <t>Kirby_2800_Gables West Ave_Houston_17064</t>
  </si>
  <si>
    <t>Travis St_2700_Camden Travis Street_Houston_17068</t>
  </si>
  <si>
    <t>Synott Rd_2727_Villas at Westheimer_Houston_17071</t>
  </si>
  <si>
    <t>Oxford Park Dr_12430_Mandalay at Shadowlake_Houston_17072</t>
  </si>
  <si>
    <t>Riverway Dr_7_7 Riverway_Houston_17073</t>
  </si>
  <si>
    <t>Augusta_1600_Village Park of Tanglewood_Houston_17074</t>
  </si>
  <si>
    <t>Old Katy Rd_7105_The Cheval_Houston_17079</t>
  </si>
  <si>
    <t>Alabama W_1715_West Alabama, 1715 (on hold)_Houston_17081</t>
  </si>
  <si>
    <t>Richmond Ave_3616_Metropole Tower_Houston_17083</t>
  </si>
  <si>
    <t>Richmond Ave_3616_Metropole Mid-Rise_Houston_17084</t>
  </si>
  <si>
    <t>Airline Dr_5105_Primrose Casabella_Houston_17085</t>
  </si>
  <si>
    <t>Berry Rd_310_Oak Arbor TH_Houston_17086</t>
  </si>
  <si>
    <t>Beauchamp_2807_Beauchamp Apts_Houston_17088</t>
  </si>
  <si>
    <t>Shadowbriar Dr_2840_Estancia at Shadowlake_Houston_17090</t>
  </si>
  <si>
    <t>Richmond Ave_12360_Lodge at Shadowlake II_Houston_17091</t>
  </si>
  <si>
    <t>Valley Forge_10550_La Fontaine Apts_Houston_17092</t>
  </si>
  <si>
    <t>McCue_2323_Dominion Post Oak_Houston_17094</t>
  </si>
  <si>
    <t>Olympia Dr_11201_Westchase Ranch II_Houston_17095</t>
  </si>
  <si>
    <t>Lazy Hollow Dr_2501_Westpoint-Creekside I_Houston_17096</t>
  </si>
  <si>
    <t>Old Farm Rd_2525_The Reserve Old Farm I_Houston_17097</t>
  </si>
  <si>
    <t>18th St W_2727_Broadstone West 18th_Houston_17100</t>
  </si>
  <si>
    <t>Normandy_101_Magnolia Estates_Houston_17101</t>
  </si>
  <si>
    <t>Old Katy Rd_6950_Old Katy Rd, 6950 (on hold)_Houston_17102</t>
  </si>
  <si>
    <t>Briarhurst Dr_2900_Trafalgar West I_Houston_17103</t>
  </si>
  <si>
    <t>Bering Dr_824_Tuscany Villas_Houston_17105</t>
  </si>
  <si>
    <t>Winsome Ln_6102_Oxford on Greenridge II_Houston_17106</t>
  </si>
  <si>
    <t>Winsome Ln_6121_Oxford on Greenridge III_Houston_17107</t>
  </si>
  <si>
    <t>Bennington_6767_Emerald Bay_Houston_17110</t>
  </si>
  <si>
    <t>Sam Houston Pkwy N E_6160_Stone Park I_Houston_17112</t>
  </si>
  <si>
    <t>Little York W_7740_Wynhaven at Hollister_Houston_17113</t>
  </si>
  <si>
    <t>Wilshire Place_7550_Beverly Wilshire_Houston_17114</t>
  </si>
  <si>
    <t>Little York Rd W_3111_Little York Villas_Houston_17115</t>
  </si>
  <si>
    <t>Seminar Dr_535_Breckenridge at CityView I_Houston_17122</t>
  </si>
  <si>
    <t>Benmar Dr_301-355_CityView Place I_Houston_17123</t>
  </si>
  <si>
    <t>Greens Pkwy_1303_Bristol Apts_Houston_17124</t>
  </si>
  <si>
    <t>Sherwood Ln_4600_Ensbrook Le Moyne Apts_Houston_17126</t>
  </si>
  <si>
    <t>Castlebridge Dr_12400_The Manor at Jersey Village_Houston_17127</t>
  </si>
  <si>
    <t>Little York W_790_Lincoln Park Apts_Houston_17128</t>
  </si>
  <si>
    <t>Shepherd Dr N_7450_Mayfair Park_Houston_17129</t>
  </si>
  <si>
    <t>Main St N_6900_Bayview_Baytown_17130</t>
  </si>
  <si>
    <t>Atascocita Shores Dr_19780_Lake Forest_Humble_17131</t>
  </si>
  <si>
    <t>2100 FM Rd_25000_Huffman Hollow_Huffman_17132</t>
  </si>
  <si>
    <t>Saums Rd_20300_Providence Place I_Katy_17133</t>
  </si>
  <si>
    <t>Irvington_10120_Villa del Sol Apts_Houston_17135</t>
  </si>
  <si>
    <t>Aldine Bender_131_Primrose del Sol_Houston_17137</t>
  </si>
  <si>
    <t>Chisholm Trl_18204_Chisholm Trail_Houston_17138</t>
  </si>
  <si>
    <t>Vickery Dr_15165_Northland Woods_Houston_17139</t>
  </si>
  <si>
    <t>Foxbrick Ln_7150_Villas at Foxbrick_Humble_17141</t>
  </si>
  <si>
    <t>J.M. Hester_9850_Humble Memorial Gardens_Humble_17142</t>
  </si>
  <si>
    <t>1960 FM W_9390_Park at Humble_Humble_17144</t>
  </si>
  <si>
    <t>Spring Cypress_7215_Stoneleigh on Spring Cypress_Spring_17145</t>
  </si>
  <si>
    <t>Spring Cypress_10810_Stoneleigh Cypress Pointe_Tomball_17146</t>
  </si>
  <si>
    <t>Huffmeister_10451_Pinnacle Apts_Houston_17147</t>
  </si>
  <si>
    <t>Aldine Bender Rd_5335_Timber Ridge II_Houston_17148</t>
  </si>
  <si>
    <t>Mills_9100_Wellington Park_Houston_17150</t>
  </si>
  <si>
    <t>Gessner N_12330_The Lighthouse at Willowbrook_Houston_17151</t>
  </si>
  <si>
    <t>School St_517_The Village_Tomball_17153</t>
  </si>
  <si>
    <t>Veterans Memorial_11201_Champion TH on the Green_Houston_17154</t>
  </si>
  <si>
    <t>Cornerstone Park Dr_3133_Cornerstone Village Apts_Houston_17157</t>
  </si>
  <si>
    <t>Louetta Rd_1601_Louetta Village_Spring_17158</t>
  </si>
  <si>
    <t>Louetta Rd_5015_The Villages at Louetta_Spring_17160</t>
  </si>
  <si>
    <t>W Rd_9404_Watermarke Apts_Houston_17161</t>
  </si>
  <si>
    <t>Woerner Rd_300_Lakebridge I_Houston_17162</t>
  </si>
  <si>
    <t>Westfield Place_18200_Retreat at Cypress Station_Houston_17163</t>
  </si>
  <si>
    <t>Meadowglen Ln_11805_Camden Royal Oaks I_Houston_17166</t>
  </si>
  <si>
    <t>Park Ridge Ct_2501_The Berkeley_Fort Worth_17168</t>
  </si>
  <si>
    <t>Vista Ridge Mall Dr E_160_Broadstone Vista Ridge_Lewisville_17170</t>
  </si>
  <si>
    <t>Reagan St_2626_IMT Seville Uptown_Dallas_17171</t>
  </si>
  <si>
    <t>W Rd_13330_Estancia San Miguel_Houston_17172</t>
  </si>
  <si>
    <t>Fossil Creek_3701_Fairmont at Fossil Creek_Fort Worth_17173</t>
  </si>
  <si>
    <t>22nd St_709_The Quarters at Sterling House_Austin_17175</t>
  </si>
  <si>
    <t>Rio Grande St_2707_The Quarters at Cameron House_Austin_17176</t>
  </si>
  <si>
    <t>Nueces St_2700_The Quarters at Montgomery House_Austin_17177</t>
  </si>
  <si>
    <t>Rio Grande St_2215_The Quarters at Bandera House_Austin_17178</t>
  </si>
  <si>
    <t>Nueces_2300_The Quarters at Nueces House_Austin_17179</t>
  </si>
  <si>
    <t>22nd St W_714_The Quarters at Grayson House_Austin_17180</t>
  </si>
  <si>
    <t>Guadalupe St_2815_The Venue on Guadalupe_Austin_17181</t>
  </si>
  <si>
    <t>League City Pkwy_1750_Ravello at Tuscan Lakes_League City_17182</t>
  </si>
  <si>
    <t>Johns Rd_825_The Carrington Place I_Boerne_17183</t>
  </si>
  <si>
    <t>Johns Rd_825_The Carrington Place II_Boerne_17184</t>
  </si>
  <si>
    <t>Canal St_2821_Canal Street Apts_Houston_17185</t>
  </si>
  <si>
    <t>El Campo Ave_4928_Whisperwind Apts_Fort Worth_17186</t>
  </si>
  <si>
    <t>Richmond Ave_3660_36Sixty_Houston_17187</t>
  </si>
  <si>
    <t>Redland Rd_18979_The Oaks of Redland_San Antonio_17188</t>
  </si>
  <si>
    <t>Sumner St_6900_Austin Ranch I-Trails_The Colony_17189</t>
  </si>
  <si>
    <t>Sumner St_6900_Austin Ranch II-Plaza_The Colony_17190</t>
  </si>
  <si>
    <t>Sumner St_6900_Austin Ranch III-Gardens_The Colony_17191</t>
  </si>
  <si>
    <t>Sumner St_6900_Austin Ranch IV-Parks_The Colony_17192</t>
  </si>
  <si>
    <t>Gembler Rd_535_Artisan at Willow Springs_San Antonio_17193</t>
  </si>
  <si>
    <t>Babcock Rd_6623_Artisan on the Bluff_San Antonio_17194</t>
  </si>
  <si>
    <t>Bentley Dr_8004_The Meadows at Bentley Drive_San Antonio_17195</t>
  </si>
  <si>
    <t>Marshall Cross_1803_Champion Homes at Marshall Meadows_San Antonio_17196</t>
  </si>
  <si>
    <t>Clark Ave_4622_Whitefield Place Apts_San Antonio_17197</t>
  </si>
  <si>
    <t>Camp Wisdom Rd E_330_Rosemont at Mission Trails_Dallas_17198</t>
  </si>
  <si>
    <t>Scyene Rd_9901_Rosemont at Sierra Vista_Dallas_17199</t>
  </si>
  <si>
    <t>1464 FM_14231_The Landmark of Sugarland I_Sugar Land_17200</t>
  </si>
  <si>
    <t>Rayford Rd_425_The Landmark at Woodlands I_Spring_17201</t>
  </si>
  <si>
    <t>Shiloh Rd_8702_Shiloh Village_Dallas_17202</t>
  </si>
  <si>
    <t>McGowen St_306_CityPlace Midtown_Houston_17203</t>
  </si>
  <si>
    <t>Ardmore_7373_Avanti Cityside_Houston_17204</t>
  </si>
  <si>
    <t>820 Loop S W_500_Constellation Ranch_Fort Worth_17205</t>
  </si>
  <si>
    <t>Johanna Rd_1715_Johanna Square Apts_Houston_17206</t>
  </si>
  <si>
    <t>1605 Loop W N_8910_Hidden Lake I_San Antonio_17207</t>
  </si>
  <si>
    <t>Eldridge Pkwy_1255_San Paloma_Houston_17208</t>
  </si>
  <si>
    <t>Canal St_2104_Canal Place Apts_Houston_17209</t>
  </si>
  <si>
    <t>Hickory Tree Rd_3211_Villas of Hickory Estates_Balch Springs_17210</t>
  </si>
  <si>
    <t>Main St_1800_Mercantile Place-The Merc_Dallas_17211</t>
  </si>
  <si>
    <t>Ervay N_300_Gables Republic Tower_Dallas_17214</t>
  </si>
  <si>
    <t>Cole Ave_2707_Gables Villa Rosa I_Dallas_17215</t>
  </si>
  <si>
    <t>Cedar Springs_2650_Gables Villa Rosa II_Dallas_17216</t>
  </si>
  <si>
    <t>Sam Houston Pkwy E S_3525_Alta Gardens_Houston_17218</t>
  </si>
  <si>
    <t>Sylvester_4525_Town Club One Apts_Dallas_17219</t>
  </si>
  <si>
    <t>Old Spanish Trl_2950_Equinox_Houston_17220</t>
  </si>
  <si>
    <t>Frazier St S_1200_Park at Piney Woods_Conroe_17221</t>
  </si>
  <si>
    <t>3rd St W_421_AMLI Second Street Tower_Austin_17222</t>
  </si>
  <si>
    <t>Pine Lake Dr_9757_Villas at Bunker Hill_Houston_17223</t>
  </si>
  <si>
    <t>Performance Dr_2301_The Venue_Richardson_17224</t>
  </si>
  <si>
    <t>Sadler Dr_1250_Cabana Beach_San Marcos_17225</t>
  </si>
  <si>
    <t>Copperfield Dr_3780_Signature Park_Bryan_17226</t>
  </si>
  <si>
    <t>Converse Center St_301_Town Square_Converse_17227</t>
  </si>
  <si>
    <t>River Fern Ave_305_Parkside at Firewheel_Garland_17229</t>
  </si>
  <si>
    <t>Sigma Rd_4000_Prairie Crossing_Farmers Branch_17230</t>
  </si>
  <si>
    <t>Bishop Rd_7560_Northside at Legacy_Plano_17231</t>
  </si>
  <si>
    <t>Virginia Dr W_8004_West Virginia Park_Dallas_17232</t>
  </si>
  <si>
    <t>Old Hickory Trl_1626_Hickory Manor_Desoto_17233</t>
  </si>
  <si>
    <t>Belt Line Rd_202_Primrose at Park Place_Garland_17234</t>
  </si>
  <si>
    <t>Garden Ridge Blvd S_415_Evergreen at Lewisville_Lewisville_17235</t>
  </si>
  <si>
    <t>Hickory St E_1224_Renaissance Courts TH_Denton_17236</t>
  </si>
  <si>
    <t>Adelaide St S_1300_Oak Ridge_Terrell_17238</t>
  </si>
  <si>
    <t>Lake Houston Pkwy S_5300_Uvalde Ranch_Houston_17239</t>
  </si>
  <si>
    <t>Almazan Dr_3627_Castle Place_Dallas_17240</t>
  </si>
  <si>
    <t>Hidalgo Dr_3434_Town Place Apts_Dallas_17241</t>
  </si>
  <si>
    <t>Henderson_170_Henderson Place_Midlothian_17242</t>
  </si>
  <si>
    <t>Luella Blvd_3701_Seville Place_La Porte_17244</t>
  </si>
  <si>
    <t>Sam Houston Pkwy E N_8440_Chalet at Fall Creek_Humble_17245</t>
  </si>
  <si>
    <t>Terrell Ave E_300_Oak Timbers Fort Worth_Fort Worth_17246</t>
  </si>
  <si>
    <t>McKinney Ave_3839_Gables West Village I_Dallas_17247</t>
  </si>
  <si>
    <t>Mason Rd_7115_Camden Lakemont_Richmond_17248</t>
  </si>
  <si>
    <t>Town Center Blvd_7404_Brazos Ranch_Rosenberg_17249</t>
  </si>
  <si>
    <t>Memorial Dr_5201_Bayou on the Bend_Houston_17250</t>
  </si>
  <si>
    <t>Waters Rd_300_Hidden Creek_Allen_17252</t>
  </si>
  <si>
    <t>Oakmoor Pkwy_11900_Oakmoor AH_Houston_17253</t>
  </si>
  <si>
    <t>NW Hwy W_3850_The Élan at Bluffview_Dallas_17255</t>
  </si>
  <si>
    <t>Barker Cypress_2931_Landmark at Barker Cypress_Houston_17256</t>
  </si>
  <si>
    <t>College Park Dr_3600_Pine Creek Ranch_The Woodlands_17257</t>
  </si>
  <si>
    <t>Donnelly Cir_4701_Hulen Heights_Fort Worth_17258</t>
  </si>
  <si>
    <t>5th St W_801_The Monarch by Windsor_Austin_17261</t>
  </si>
  <si>
    <t>Lamar Blvd S_300_Cole Apts_Austin_17262</t>
  </si>
  <si>
    <t>Riverside Dr E_127_The Crescent_Austin_17265</t>
  </si>
  <si>
    <t>Dunlap Dr_12800_Willow Ridge_Houston_17266</t>
  </si>
  <si>
    <t>Wintergreen Rd E_400_Arbors on Wintergreen_Desoto_17268</t>
  </si>
  <si>
    <t>John Rd W_2519-2563_Primrose Park Villas_Dallas_17269</t>
  </si>
  <si>
    <t>Washington Ave N_2000_Roseland Gardens_Dallas_17270</t>
  </si>
  <si>
    <t>Highland Rd_2100_Primrose at Highland Meadows_Dallas_17271</t>
  </si>
  <si>
    <t>Malloy Bridge Rd E_600_Villas of Seagoville Apts_Seagoville_17272</t>
  </si>
  <si>
    <t>Lake Carolyn Pkwy_851_Bella Casita_Irving_17273</t>
  </si>
  <si>
    <t>La Frontera Blvd_2601_La Frontera Square_Round Rock_17274</t>
  </si>
  <si>
    <t>Hackberry N_618_W.C. White Apts_San Antonio_17275</t>
  </si>
  <si>
    <t>Metric Blvd_12430_Broadstone Crossing_Austin_17279</t>
  </si>
  <si>
    <t>Witter St_1123_Town Square Apts_Pasadena_17281</t>
  </si>
  <si>
    <t>Town Center Ln_251_Arthouse Apts_Keller_17282</t>
  </si>
  <si>
    <t>Spring Cypress Rd_7303_Stoneleigh on the Lake_Cypress_17283</t>
  </si>
  <si>
    <t>Old Spanish Trl_1333_Domain at Kirby_Houston_17284</t>
  </si>
  <si>
    <t>Crescent Plaza_1725_The Eclipse_Houston_17285</t>
  </si>
  <si>
    <t>Vista del Norte_13000_Villas of Vista del Norte_San Antonio_17286</t>
  </si>
  <si>
    <t>Timber View_3379_Deer Creek_San Antonio_17288</t>
  </si>
  <si>
    <t>Wurzbach Rd_7026_Woodland Ridge_San Antonio_17289</t>
  </si>
  <si>
    <t>Explorer St_4827_Springfield Manor Ph_San Antonio_17290</t>
  </si>
  <si>
    <t>O'Connor Rd_13656_Villa De Valencia_San Antonio_17291</t>
  </si>
  <si>
    <t>Blanco Rd_5347_Meadow Run_San Antonio_17292</t>
  </si>
  <si>
    <t>1604 Loop W N_8910_Hidden Lake II_San Antonio_17293</t>
  </si>
  <si>
    <t>Gessner S_2401_Ventura Lofts_Houston_17294</t>
  </si>
  <si>
    <t>Yarrow Blvd_7423_Artisan at Mission Creek_San Antonio_17295</t>
  </si>
  <si>
    <t>Landa St_860_Landa Place_New Braunfels_17296</t>
  </si>
  <si>
    <t>Stratton Ave_716_Stratton Oaks Apts_Seguin_17297</t>
  </si>
  <si>
    <t>Rigsby Ave_1303_Rosemont at Highland Park_San Antonio_17298</t>
  </si>
  <si>
    <t>90 Hwy W_6303_Costa Valencia_San Antonio_17300</t>
  </si>
  <si>
    <t>Military Dr W_9914_The Haven at Westover Hills_San Antonio_17301</t>
  </si>
  <si>
    <t>Stassney E_501_Austin City Lights_Austin_17302</t>
  </si>
  <si>
    <t>620 FM N_9501_Colonial Grand at Canyon Creek_Austin_17303</t>
  </si>
  <si>
    <t>Plateau Vista Blvd_1800_Colonial Grand at Round Rock_Round Rock_17304</t>
  </si>
  <si>
    <t>Olmos Creek Dr_2914_Bella Madera_San Antonio_17305</t>
  </si>
  <si>
    <t>Callaghan Rd_7575_Mission Oaks_San Antonio_17306</t>
  </si>
  <si>
    <t>Colonial Grand Pkwy_3001_Colonial Grand at Silverado_Cedar Park_17307</t>
  </si>
  <si>
    <t>1604 Loop N E_11801_The Villages at Kitty Hawk_Universal City_17308</t>
  </si>
  <si>
    <t>Bandera Rd_9603_Camden Braun Station_San Antonio_17309</t>
  </si>
  <si>
    <t>Sunrise Canyon_501_Sunrise Canyon_Universal City_17310</t>
  </si>
  <si>
    <t>Sycamore School Rd_5400_Sunset Pointe_Fort Worth_17311</t>
  </si>
  <si>
    <t>New Braunfels Ave S_6639_Primrose at Mission Hills_San Antonio_17314</t>
  </si>
  <si>
    <t>Castroville Rd_2525_La Providencia_San Antonio_17315</t>
  </si>
  <si>
    <t>Gentleman Dr_820_Westchester_San Antonio_17316</t>
  </si>
  <si>
    <t>Hunter Rd_2600_Mariposa at Hunter Road_San Marcos_17317</t>
  </si>
  <si>
    <t>35 IH S_10701_Onion Creek Luxury Apts_Austin_17318</t>
  </si>
  <si>
    <t>Slaughter Ln W_420_Waterstone_Austin_17319</t>
  </si>
  <si>
    <t>Center Lake Dr_12800_Bella Sarah Apts_Austin_17324</t>
  </si>
  <si>
    <t>Hunters Chase Dr_12215_Dakota Springs_Austin_17326</t>
  </si>
  <si>
    <t>Courtenay St_9012_Venue at Home Town NRH_North Richland Hills_17327</t>
  </si>
  <si>
    <t>Galleria Dr_5005_Broadstone Parkway_Farmers Branch_17328</t>
  </si>
  <si>
    <t>Business Center Dr_2200_Waterford Place at Shadow Creek Ranch_Pearland_17329</t>
  </si>
  <si>
    <t>Ridgecroft_15895_Ridgemont Heights_Houston_17330</t>
  </si>
  <si>
    <t>Wilcrest Dr_9520_The Pinnacle on Wilcrest_Houston_17331</t>
  </si>
  <si>
    <t>McKinney_1400_One Park Place_Houston_17332</t>
  </si>
  <si>
    <t>Church St S_1105_Wesleyan Retirement Homes_Georgetown_17333</t>
  </si>
  <si>
    <t>Hemphill St_12301_Worthington Point Apts_Fort Worth_17334</t>
  </si>
  <si>
    <t>Jensen St_7320_Redwood Heights_Houston_17335</t>
  </si>
  <si>
    <t>Winkler Dr_8625_Villas on Winkler Senior Homes_Houston_17338</t>
  </si>
  <si>
    <t>Saint Augustine Dr N_2222_St. Augustine Estates Apts_Dallas_17340</t>
  </si>
  <si>
    <t>Cockrell Hill Rd_3110_Sphinx at Luxar Villas_Dallas_17341</t>
  </si>
  <si>
    <t>Seagler Rd_3003_Portico at West 8, I_Houston_17342</t>
  </si>
  <si>
    <t>Richmond_2300_Alexan Upper Kirby_Houston_17343</t>
  </si>
  <si>
    <t>Westheimer Rd_2001_The Westheimer_Houston_17344</t>
  </si>
  <si>
    <t>Elser St_3300_Fulton Village Apts_Houston_17345</t>
  </si>
  <si>
    <t>Railroad St_2101_San Gabriel Senior Village_Georgetown_17346</t>
  </si>
  <si>
    <t>Atascocita Rd_230_Atascocita Pines Apts_Humble_17347</t>
  </si>
  <si>
    <t>Calmont Ave_8124_Cambridge Court_Fort Worth_17348</t>
  </si>
  <si>
    <t>Tidwell_9110_Commons of Grace Senior Estates_Houston_17349</t>
  </si>
  <si>
    <t>Kobayashi Rd S_901_Baypointe_Webster_17350</t>
  </si>
  <si>
    <t>Texas Ave W_500_Baybrook Park Retirement Center_Webster_17351</t>
  </si>
  <si>
    <t>Village Fair Dr_5151_Providence at Village Fair_Dallas_17353</t>
  </si>
  <si>
    <t>Hampton N_3030_Rosemont at Lakewest_Dallas_17354</t>
  </si>
  <si>
    <t>Alemeda St_2950_Alameda Villas_Fort Worth_17355</t>
  </si>
  <si>
    <t>Shore N_4323_Reserve at Las Brisas II_Irving_17356</t>
  </si>
  <si>
    <t>1959 FM_711_Kensington Place_Houston_17357</t>
  </si>
  <si>
    <t>Sublett Rd_1200_Rush Creek_Arlington_17358</t>
  </si>
  <si>
    <t>Oak Moor Dr_2700_Providence at Prairie Oaks Apts_Arlington_17359</t>
  </si>
  <si>
    <t>Post Oak Blvd_3888_Post Oak East_Euless_17361</t>
  </si>
  <si>
    <t>Anken Dr_2501_Pleasant Hill Apts_Austin_17362</t>
  </si>
  <si>
    <t>Antoine Dr_5950_Pepper Tree Manor_Houston_17364</t>
  </si>
  <si>
    <t>Tumbleweed Trl_8301_Oak Timbers II_White Settlement_17365</t>
  </si>
  <si>
    <t>Fonmeadow St_14603_Oak Tree Manor_Houston_17366</t>
  </si>
  <si>
    <t>Jim Miller Rd N_378_Pleasant Village_Dallas_17367</t>
  </si>
  <si>
    <t>Mockingbird Ln W_1893_Providence Mockingbird_Dallas_17370</t>
  </si>
  <si>
    <t>Westview Blvd_1900_The Lakes at Westview I_Conroe_17371</t>
  </si>
  <si>
    <t>Cutten Rd_15727_Vintage Park_Houston_17373</t>
  </si>
  <si>
    <t>Briar Forest Dr_13202_Briar Forest Lofts_Houston_17374</t>
  </si>
  <si>
    <t>Preston Trace Blvd_8660_Preston Trace Apts_Frisco_17375</t>
  </si>
  <si>
    <t>Perryton_2515_Potters House at Primrose_Dallas_17376</t>
  </si>
  <si>
    <t>Shepherd Ln_4317_Spring Oaks Apts_Balch Springs_17377</t>
  </si>
  <si>
    <t>Simpson Stuart Rd_3111-3131_Champion TH at Pecan Grove_Dallas_17380</t>
  </si>
  <si>
    <t>Hatcher St_4900_Frazier Court_Dallas_17381</t>
  </si>
  <si>
    <t>Tower Ridge Dr_2560_Tower Ridge Apts_Corinth_17382</t>
  </si>
  <si>
    <t>Sandy Point_1828_Forest Park Apts_Bryan_17383</t>
  </si>
  <si>
    <t>1960 FM_11100_Fairlake Cove Apts_Huffman_17384</t>
  </si>
  <si>
    <t>Bourland Rd_501_Evergreen at Keller_Keller_17385</t>
  </si>
  <si>
    <t>6th St E_513_Briarwood Apts_Kaufman_17387</t>
  </si>
  <si>
    <t>Research Blvd_8600_Autumn Chase Austin_Austin_17388</t>
  </si>
  <si>
    <t>Harvey Ln_1161_Elm Ridge Apts_Austin_17389</t>
  </si>
  <si>
    <t>Decker Ln_8000_Eagles Landing Apts_Austin_17390</t>
  </si>
  <si>
    <t>Parks School House Rd_200_Park Manor_Waxahachie_17391</t>
  </si>
  <si>
    <t>Ewing Ave_1201_Sphinx at Reese Court_Dallas_17392</t>
  </si>
  <si>
    <t>Bickers St_3020_Lakeview TH_Dallas_17393</t>
  </si>
  <si>
    <t>Webberville Rd_1950_Heritage Pointe_Austin_17394</t>
  </si>
  <si>
    <t>SW Fwy_4100_Metro Greenway_Houston_17395</t>
  </si>
  <si>
    <t>Alden Bridge_6203_Conservatory at Alden Bridge_The Woodlands_17396</t>
  </si>
  <si>
    <t>University Ln E_5902_Windsor House_Dallas_17397</t>
  </si>
  <si>
    <t>Coit Rd_9300_Kia Ora Park Apts_Plano_17398</t>
  </si>
  <si>
    <t>Spruce Valley Ln_2970_Windsor Forest_Dallas_17400</t>
  </si>
  <si>
    <t>Stonebrook Pkwy_7450_Parkview in Frisco_Frisco_17402</t>
  </si>
  <si>
    <t>Park Place Blvd_8363_Casa Bella Apts_Houston_17403</t>
  </si>
  <si>
    <t>Beach St N_10501_City Parc at Keller_Keller_17404</t>
  </si>
  <si>
    <t>Post Oak Blvd_1111_Uptown Post Oak_Houston_17405</t>
  </si>
  <si>
    <t>NW Fwy_25222_Greystar Cypress Village_Cypress_17406</t>
  </si>
  <si>
    <t>Westheimer_4410_Millennium High Street_Houston_17407</t>
  </si>
  <si>
    <t>Santa Rosa Ave N_100_The Vistana_San Antonio_17408</t>
  </si>
  <si>
    <t>Inspiration Dr_1531_Alta Design District_Dallas_17409</t>
  </si>
  <si>
    <t>Monterra Blvd_8301_Monterra Village I_Fort Worth_17410</t>
  </si>
  <si>
    <t>Rayford Rd_425_The Landmark at Woodlands II_Spring_17413</t>
  </si>
  <si>
    <t>Bluff St E_701_Lincoln Trinity Bluff_Fort Worth_17414</t>
  </si>
  <si>
    <t>Bowie St W_2855_GrandMarc at Westberry Place_Fort Worth_17415</t>
  </si>
  <si>
    <t>Collin McKinney Pkwy_7951_Times Square at Craig Ranch_McKinney_17416</t>
  </si>
  <si>
    <t>Mason Creek Dr_222_Mason Park Apts_Katy_17417</t>
  </si>
  <si>
    <t>Lakeline Blvd_11001_The Crossings at Lakeline_Cedar Park_17418</t>
  </si>
  <si>
    <t>Louis Henna Blvd W (Texas 45)_1100_La Frontera Apts-Frontera Vista_Round Rock_17419</t>
  </si>
  <si>
    <t>Sam Houston Pkwy N E_4822_Lafayette Village_Houston_17420</t>
  </si>
  <si>
    <t>NW Fwy_15301_Stonehaven AH_Houston_17421</t>
  </si>
  <si>
    <t>Steepleway Blvd_12424_The Meadowlands_Houston_17422</t>
  </si>
  <si>
    <t>W Rd_503_Waterside Court_Houston_17423</t>
  </si>
  <si>
    <t>Rainey St_43_Legacy on the Lake_Austin_17424</t>
  </si>
  <si>
    <t>Abram St W_1051_Midtown UTA_Arlington_17425</t>
  </si>
  <si>
    <t>University Oaks_501_The Cambridge at College Station_College Station_17426</t>
  </si>
  <si>
    <t>Rio Grande_2704_Rio West_Austin_17427</t>
  </si>
  <si>
    <t>Sawyer Heights_2424_Sawyer Heights Lofts_Houston_17428</t>
  </si>
  <si>
    <t>Cockrell Hill N_1310_Pinnacle Ridge Apts_Dallas_17429</t>
  </si>
  <si>
    <t>71 Hwy W_12531_Windsor at Bee Cave_Bee Cave_17430</t>
  </si>
  <si>
    <t>Mansfield Hwy_5151_Magnolia at Village Creek Apts_Fort Worth_17431</t>
  </si>
  <si>
    <t>Azle Ave_5600_Lindbergh Parc Senior Apts_Fort Worth_17432</t>
  </si>
  <si>
    <t>820 Loop E_6100_Amelia Parc_Fort Worth_17433</t>
  </si>
  <si>
    <t>620 FM N_13730_The Remington_Austin_17434</t>
  </si>
  <si>
    <t>Fitzhugh Ave N_2707_Fitzhugh Urban Flats_Dallas_17435</t>
  </si>
  <si>
    <t>Longmire Dr_2300_Longmire House Apts_College Station_17436</t>
  </si>
  <si>
    <t>McKinney Ave_1900_1900 McKinney_Dallas_17437</t>
  </si>
  <si>
    <t>Indiana St_2901_Broadstone Ambrose_Dallas_17438</t>
  </si>
  <si>
    <t>Teravista Pkwy_401_Melograno at Teravista_Round Rock_17439</t>
  </si>
  <si>
    <t>Leora Ln N_701_Lakeside 121_Lewisville_17440</t>
  </si>
  <si>
    <t>Morrell Ave_811_Ewing Villas_Dallas_17441</t>
  </si>
  <si>
    <t>Village Gardens_1300_Eagle Lake Gardens_Azle_17442</t>
  </si>
  <si>
    <t>Chaparral Rd_351_Chaparral TH_Allen_17445</t>
  </si>
  <si>
    <t>Shady Oaks Manor Dr_6225_Wildwood Branch_Fort Worth_17446</t>
  </si>
  <si>
    <t>Simpson Stuart Rd_3245_Homes of Persimmon_Dallas_17447</t>
  </si>
  <si>
    <t>Jacocks Ln_2100_Times Square on the Hill_Fort Worth_17448</t>
  </si>
  <si>
    <t>Wycliff Ave_2929_2929 Wycliff_Dallas_17449</t>
  </si>
  <si>
    <t>Meadowview Ct_151_Meadowview TH_Terrell_17450</t>
  </si>
  <si>
    <t>Washington Ave N_2021_Roseland TH &amp; Estates_Dallas_17451</t>
  </si>
  <si>
    <t>May Rd Cir_1488_May Road Apts_Seagoville_17452</t>
  </si>
  <si>
    <t>Sweetwater Dr_202_Fox Hollow TH_Weatherford_17453</t>
  </si>
  <si>
    <t>Bolton Boone Dr_2400_Primrose Park at Rolling Hills_Desoto_17454</t>
  </si>
  <si>
    <t>Shady Shore Rd_401_Shady Shores Apts_Lake Dallas_17455</t>
  </si>
  <si>
    <t>Pioneer Blvd W_2800_Oak Park Apts_Irving_17456</t>
  </si>
  <si>
    <t>Guadalupe Ave_3120_Columbia Luxar TH_Dallas_17457</t>
  </si>
  <si>
    <t>S Blvd_1811-1821_Edgewood Manor_Dallas_17458</t>
  </si>
  <si>
    <t>Oates Dr_1725_LBJ Garden Villas_Mesquite_17459</t>
  </si>
  <si>
    <t>2578 FM_260_Terrell Senior Terraces I_Terrell_17460</t>
  </si>
  <si>
    <t>Remington Cir_1151_Shenandoah TH_Burleson_17461</t>
  </si>
  <si>
    <t>Cooper St N_1215_Avalon Apts_Arlington_17462</t>
  </si>
  <si>
    <t>Las Bresas_201_Azle Village_Azle_17463</t>
  </si>
  <si>
    <t>Buckner Blvd N_2700_Bella Vista Park_Dallas_17464</t>
  </si>
  <si>
    <t>Prairie Creek_1190_Prairie Creek Manor_Dallas_17465</t>
  </si>
  <si>
    <t>Chase Oaks Blvd_7100_Plaza at Chase Oaks_Plano_17466</t>
  </si>
  <si>
    <t>Sartain Dr_8201_Cobblestone Manor_Fort Worth_17467</t>
  </si>
  <si>
    <t>San Villa Dr_6148_Shady Oaks Manor Apts_Fort Worth_17468</t>
  </si>
  <si>
    <t>Langwick Dr_955_Langwick Senior Residences_Houston_17469</t>
  </si>
  <si>
    <t>Montgomery Rd W_9922_Parkway Ranch I_Houston_17470</t>
  </si>
  <si>
    <t>Cedar Dr_1017_Cedar Drive Village_La Marque_17471</t>
  </si>
  <si>
    <t>Reed Rd_2889_Mariposa at Reed Road_Houston_17472</t>
  </si>
  <si>
    <t>Birdsong Dr_1000_Birdsong Place Villas_Baytown_17473</t>
  </si>
  <si>
    <t>Burgoyne Rd_7510_Tanglewood at Voss West_Houston_17474</t>
  </si>
  <si>
    <t>Frazier St N_2213_Oak Creek_Conroe_17475</t>
  </si>
  <si>
    <t>Dell Dale St_930_Sheldon Ranch_Channelview_17476</t>
  </si>
  <si>
    <t>Perry Rd_13350_Orchard Park at Willowbrook_Houston_17477</t>
  </si>
  <si>
    <t>Wilson Rd_625_Countryside Village_Humble_17478</t>
  </si>
  <si>
    <t>Haley St_410 &amp; 500_Royal Oaks Apts_Irving_17479</t>
  </si>
  <si>
    <t>Forum Dr S_2650_The Forum at Grand Prairie_Grand Prairie_17480</t>
  </si>
  <si>
    <t>Park Row_3023_Eban Village I &amp; II_Dallas_17481</t>
  </si>
  <si>
    <t>Rifle Gap Rd_3200_Post Sierra at Frisco Bridges I_Frisco_17483</t>
  </si>
  <si>
    <t>Rifle Gap Rd_NF_Post Sierra at Frisco Bridges II_Frisco_17484</t>
  </si>
  <si>
    <t>Main St S_925_925 Main_Grapevine_17486</t>
  </si>
  <si>
    <t>Hatcher St_4700-4900_Wahoo Frazier TH_Dallas_17489</t>
  </si>
  <si>
    <t>Windsor Ct_100_Terrell Senior Terraces II_Terrell_17490</t>
  </si>
  <si>
    <t>Park Ln_8066_The Heights at Park Lane Tower_Dallas_17491</t>
  </si>
  <si>
    <t>Park Ln_8066_The Heights at Park Lane Flats_Dallas_17492</t>
  </si>
  <si>
    <t>Park Ln_8066_The Heights at Park Lane Lofts_Dallas_17493</t>
  </si>
  <si>
    <t>Voss Rd S_2301_Tanglewood at Voss East_Houston_17494</t>
  </si>
  <si>
    <t>Weslayan St_3333_33 ThirtyThree_Houston_17496</t>
  </si>
  <si>
    <t>Dunlavy St_4310_Fairmont Museum District_Houston_17497</t>
  </si>
  <si>
    <t>Hospital Dr_1200_Town Square Apts_Angleton_17498</t>
  </si>
  <si>
    <t>Stone Lake Dr_2651_Stone Lake_Grand Prairie_17499</t>
  </si>
  <si>
    <t>Lebanon Rd_6805_La Valencia at Starwood_Frisco_17500</t>
  </si>
  <si>
    <t>35 IH S_8515_The Cottages_Austin_17501</t>
  </si>
  <si>
    <t>Howard Ln E_NF_Criterion at Harris Ridge_Austin_17502</t>
  </si>
  <si>
    <t>Eastwood_114-117_John Goldberg Senior Apts_Houston_17503</t>
  </si>
  <si>
    <t>Cypresswood Dr_9889_The Lakes at Cypresswood_Houston_17504</t>
  </si>
  <si>
    <t>Montfair Blvd_10851_Alexan Sterling Ridge_The Woodlands_17506</t>
  </si>
  <si>
    <t>Enclave Pkwy_1602_The Abbey at Eldridge II_Houston_17508</t>
  </si>
  <si>
    <t>Fallsview Ln_13131_ARIUM Briar Forest II_Houston_17509</t>
  </si>
  <si>
    <t>Werner St_5401_Redstone Apts_Houston_17510</t>
  </si>
  <si>
    <t>McKinney Ranch Pkwy_6653_Soho Parkway_McKinney_17511</t>
  </si>
  <si>
    <t>Queensbury Ln_12808_The Lofts CityCentre_Houston_17513</t>
  </si>
  <si>
    <t>Sam Houston Pkwy_800_The Lofts at CityCentre II_Houston_17514</t>
  </si>
  <si>
    <t>Exchange Pkwy E_505_The Heights at Allen Station_Allen_17515</t>
  </si>
  <si>
    <t>Sandshell Blvd_7001_Belterra Apts_Fort Worth_17516</t>
  </si>
  <si>
    <t>Loggins Dr_710_Loggins Court_West Columbia_17517</t>
  </si>
  <si>
    <t>Basse Rd E_300_Artessa at Quarry Village_San Antonio_17518</t>
  </si>
  <si>
    <t>Houston Center Blvd W_12655_Camden Whispering Oaks_Houston_17519</t>
  </si>
  <si>
    <t>Space Center Blvd_11400_Clearpoint Crossing Residences_Houston_17520</t>
  </si>
  <si>
    <t>Domain Dr_11400_Residences at the Domain_Austin_17521</t>
  </si>
  <si>
    <t>Domain Dr_11011_Villages at the Domain_Austin_17522</t>
  </si>
  <si>
    <t>Krenek Tap Rd_819_Terrace Pines AH_College Station_17523</t>
  </si>
  <si>
    <t>35 IH N_21393_Saddle Creek Apts_Kyle_17524</t>
  </si>
  <si>
    <t>First St S_9401_Southpark Ranch_Austin_17525</t>
  </si>
  <si>
    <t>Bishop St N_1409_Bishop's Corner_San Marcos_17526</t>
  </si>
  <si>
    <t>Lockhill Rd_6298_Providence Estates TH_San Antonio_17527</t>
  </si>
  <si>
    <t>Frio St N_810 &amp; 910_Vista Verde Apts_San Antonio_17528</t>
  </si>
  <si>
    <t>Humble Westfield Rd (1960 FM)_9494_Bellaterra at Deerbrook_Humble_17529</t>
  </si>
  <si>
    <t>Onion Creek Pkwy_1901_Colonial Grand at Onion Creek_Austin_17530</t>
  </si>
  <si>
    <t>1626 FM_NF_Colonial Grand at Cityway I_Austin_17531</t>
  </si>
  <si>
    <t>Schroeder Rd_5938-6004_The Villas_Houston_17532</t>
  </si>
  <si>
    <t>Belfort W_13100_Milan_Houston_17533</t>
  </si>
  <si>
    <t>Medical District Dr_2222_Colonial Reserve at Medical District_Dallas_17534</t>
  </si>
  <si>
    <t>McKinnon St_2728_Glass House by Windsor_Dallas_17535</t>
  </si>
  <si>
    <t>Gross Rd_900_Magnolia At Mesquite Creek_Mesquite_17536</t>
  </si>
  <si>
    <t>Loyola Ln_6200_Park Place at Loyola_Austin_17537</t>
  </si>
  <si>
    <t>Park Row_20100_Lancaster Apts_Katy_17538</t>
  </si>
  <si>
    <t>Westheimer Rd_2929_The Belle Meade at River Oaks_Houston_17539</t>
  </si>
  <si>
    <t>Braeswood Blvd N_3838_Braeswood Place_Houston_17540</t>
  </si>
  <si>
    <t>Towne Crossing Blvd_1601_Towne Crossing_Mansfield_17541</t>
  </si>
  <si>
    <t>Towne Crossing Blvd_1751_Cedar Point TH_Mansfield_17542</t>
  </si>
  <si>
    <t>Towne Crossing Blvd_1701_Falls at Towne Crossing_Mansfield_17543</t>
  </si>
  <si>
    <t>Washington Ave_3990_The Core Apts_Houston_17544</t>
  </si>
  <si>
    <t>Premier Dr_3401_The Waterford at Plano_Plano_17545</t>
  </si>
  <si>
    <t>Eldorado Pkwy W_4690_Haven at Eldorado_McKinney_17547</t>
  </si>
  <si>
    <t>Barker Cypress Rd_1895_Newport on the Lake_Houston_17548</t>
  </si>
  <si>
    <t>Eldridge Pkwy N_875_Broadstone Memorial_Houston_17549</t>
  </si>
  <si>
    <t>Copperfield Pkwy_1501_Crescent Pointe_College Station_17550</t>
  </si>
  <si>
    <t>Granbury Rd_6850_Cumberland on Granbury_Fort Worth_17551</t>
  </si>
  <si>
    <t>Fabra St_518_Terraces at Cibolo_Boerne_17553</t>
  </si>
  <si>
    <t>Crowley Rd_8500_Home Towne at Matador Ranch_Fort Worth_17554</t>
  </si>
  <si>
    <t>Lovers Ln_6044_Grand Reserve_Dallas_17555</t>
  </si>
  <si>
    <t>Braesmain Dr_8333_Alexan Main Street_Houston_17556</t>
  </si>
  <si>
    <t>Space Center Blvd_19220_Village on the Lake II_Houston_17557</t>
  </si>
  <si>
    <t>Four Point Dr_11350_Tintara at Canyon Creek II_Austin_17559</t>
  </si>
  <si>
    <t>Sarah Deel Dr_501_The Landings at Clear Lake_Webster_17560</t>
  </si>
  <si>
    <t>Sam Houston Pkwy E N_8330_Cascade at Fall Creek_Humble_17561</t>
  </si>
  <si>
    <t>Sienna Springs Blvd_8787_Century Sienna Plantation_Missouri City_17562</t>
  </si>
  <si>
    <t>Louisiana Ave_1455_Sorrento at Tuscan Lakes (I &amp; II)_League City_17563</t>
  </si>
  <si>
    <t>League City Pkwy E_1450_Amalfi at Tuscan Lakes_League City_17564</t>
  </si>
  <si>
    <t>Independence Pkwy_9100_Sequoia Courtney Manor_Plano_17566</t>
  </si>
  <si>
    <t>Oak St_902_Whispering Oaks_Houston_17568</t>
  </si>
  <si>
    <t>Oak St_838_Tiffany Oaks_Houston_17569</t>
  </si>
  <si>
    <t>Wildwood Park Rd_21811_The Villas at River Park West_Richmond_17570</t>
  </si>
  <si>
    <t>San Felipe_6464_Gables 6464_Houston_17571</t>
  </si>
  <si>
    <t>Shady Brook Ln_6541_Westside in the Village_Dallas_17572</t>
  </si>
  <si>
    <t>Elm St_555_The Depot Apts_Fort Worth_17573</t>
  </si>
  <si>
    <t>Memorial Dr_NF_Asbury at River Oaks_Houston_17574</t>
  </si>
  <si>
    <t>W Rd_8989_Tiburon_Houston_17577</t>
  </si>
  <si>
    <t>Great Hills Trl_9306_Village Park at the Arboretum_Austin_17578</t>
  </si>
  <si>
    <t>Woodbury St_1920_Cambridge Tower_Houston_17579</t>
  </si>
  <si>
    <t>Gray St_NF_Post Midtown Square III_Houston_17580</t>
  </si>
  <si>
    <t>Cleveland_901_Camden City Centre II_Houston_17581</t>
  </si>
  <si>
    <t>Dunlavy St_4310_Fairmont Museum District II_Houston_17582</t>
  </si>
  <si>
    <t>Fannin St_5353_Venue Museum District_Houston_17584</t>
  </si>
  <si>
    <t>San Felipe_6464_Gables 6464, II &amp; III_Houston_17586</t>
  </si>
  <si>
    <t>Cutten Rd_15500_San Cierra_Houston_17589</t>
  </si>
  <si>
    <t>Wfield Place Dr_18203_Stoneleigh Cypress Station_Houston_17591</t>
  </si>
  <si>
    <t>Shady Brook Ln_6550_The Dakota in the Village_Dallas_17592</t>
  </si>
  <si>
    <t>The Lakes Blvd_13838_Villas Tech Ridge_Pflugerville_17594</t>
  </si>
  <si>
    <t>Grant Rd_9611_Wynhaven at Willowbrook_Houston_17596</t>
  </si>
  <si>
    <t>Huffmeister Rd_14600_Carrington Park at Huffmeister_Cypress_17597</t>
  </si>
  <si>
    <t>Sommerall Dr_6777_Alexan Sommerall_Houston_17598</t>
  </si>
  <si>
    <t>Barker Cypress_7202_Carrington at Barker Cypress_Houston_17599</t>
  </si>
  <si>
    <t>Little York Rd W_12410_Camden Yorktown_Houston_17600</t>
  </si>
  <si>
    <t>Mason Rd S_2005_Oak Park Trails_Katy_17601</t>
  </si>
  <si>
    <t>Mason Rd S_5303_Legends at Cinco Ranch_Katy_17602</t>
  </si>
  <si>
    <t>Tuckerton Dr_15511_Landmark at Cypress Falls_Houston_17603</t>
  </si>
  <si>
    <t>WestView Blvd_NF_WestView Conroe Tract II (on hold)_Conroe_17604</t>
  </si>
  <si>
    <t>Orem Dr W_2201_Landmark at City Park_Houston_17605</t>
  </si>
  <si>
    <t>Greens Rd_6200_Autumn Pines_Humble_17606</t>
  </si>
  <si>
    <t>Mansions View Dr_15000_Regency at Woodland_Conroe_17607</t>
  </si>
  <si>
    <t>Magnolia Cove Dr_4855_Harbor View at Kings Harbor_Kingwood_17608</t>
  </si>
  <si>
    <t>League City Pkwy E_2800_The Haven at South Shore_League City_17609</t>
  </si>
  <si>
    <t>Sylvanfield Blvd_4522_NorthChase Village_Houston_17610</t>
  </si>
  <si>
    <t>Sylvanfield Blvd_4521_North Chase Village II (on hold)_Houston_17611</t>
  </si>
  <si>
    <t>Maple Ave_6401_Southwestern Medical Park_Dallas_17612</t>
  </si>
  <si>
    <t>Main St_3200_3200 Main Lofts_Dallas_17613</t>
  </si>
  <si>
    <t>Fry Rd S_3306_Retreat at Cinco Ranch_Katy_17615</t>
  </si>
  <si>
    <t>Chelsea Place_16303_The Retreat at Chelsea Park_Selma_17616</t>
  </si>
  <si>
    <t>Magnolia Cove Dr_4920_Kings Cove_Kingwood_17617</t>
  </si>
  <si>
    <t>Parmer Ln W_12820_Altea at Silverado_Cedar Park_17618</t>
  </si>
  <si>
    <t>Discovery Blvd_900_Arboleda_Cedar Park_17619</t>
  </si>
  <si>
    <t>Cypress Creek Rd_350_Regal Canyon_Cedar Park_17620</t>
  </si>
  <si>
    <t>1960 FM Rd W_3455_Knightsbridge_Humble_17621</t>
  </si>
  <si>
    <t>Harvey Mitchell Dr_1300_2818 Place_College Station_17622</t>
  </si>
  <si>
    <t>Magnolia St_3505_Village at Morningstar II_Texas City_17623</t>
  </si>
  <si>
    <t>Marbach Rd_8797_Polo Club_San Antonio_17624</t>
  </si>
  <si>
    <t>Dessau Rd_12000_Marquis at Canyon Ridge_Austin_17630</t>
  </si>
  <si>
    <t>Braeswood Blvd N_4550_The Meritage_Houston_17635</t>
  </si>
  <si>
    <t>Cevallos St E_301_Cevallos Lofts_San Antonio_17636</t>
  </si>
  <si>
    <t>Ashley Rd E_321_Las Bougainvilleas (on hold)_San Antonio_17637</t>
  </si>
  <si>
    <t>O'Connor Rd N_1111_Huntington Chase_Irving_17638</t>
  </si>
  <si>
    <t>Chimney Rock Rd_323_The Arbors on Chimney Rock_Tyler_17639</t>
  </si>
  <si>
    <t>1325 FM_15905_Raceway Crossing Apts_Austin_17640</t>
  </si>
  <si>
    <t>Indian Dr_510_Indian Creek_Waxahachie_17643</t>
  </si>
  <si>
    <t>Brown St_2200_Bridgepoint_Waxahachie_17644</t>
  </si>
  <si>
    <t>Old Bullard Rd_5415_The Establishment_Tyler_17645</t>
  </si>
  <si>
    <t>Old Bullard Rd_5105_Bullard Crossing_Tyler_17646</t>
  </si>
  <si>
    <t>Old Bullard Rd_5621_Bullard Creek_Tyler_17647</t>
  </si>
  <si>
    <t>Shiloh Rd_2400_Hidden Springs Apts_Tyler_17648</t>
  </si>
  <si>
    <t>Broadway Ave S_2713_Plantation Pines_Tyler_17649</t>
  </si>
  <si>
    <t>323 N Loop W_2202_Town Parc at Tyler_Tyler_17650</t>
  </si>
  <si>
    <t>Holly Tree Dr_5207_Autum Glen_Tyler_17651</t>
  </si>
  <si>
    <t>Shiloh Rd_701_The Hudson_Tyler_17652</t>
  </si>
  <si>
    <t>Rice Rd_1600_Dovetree_Tyler_17653</t>
  </si>
  <si>
    <t>Chimney Rock_323_Cambridge Oaks Duplexes_Tyler_17654</t>
  </si>
  <si>
    <t>Kinsey Dr_4901_Quail Creek_Tyler_17655</t>
  </si>
  <si>
    <t>Grande Blvd_1505_Grande Hill Estates_Tyler_17656</t>
  </si>
  <si>
    <t>Thistle Dr_4920_Chelsea Creek Apts_Tyler_17657</t>
  </si>
  <si>
    <t>Towne Park Dr_3110_Villas of Pine Ridge_Tyler_17658</t>
  </si>
  <si>
    <t>Hogan Dr_4055_The Mansions at the Cascades_Tyler_17659</t>
  </si>
  <si>
    <t>Chimney Rock_322_Tanglewood Place_Tyler_17660</t>
  </si>
  <si>
    <t>Sweetbriar Ln_5100_Hunter's Glen_Tyler_17661</t>
  </si>
  <si>
    <t>Shiloh Rd_1909_Wood Trail Apts_Tyler_17662</t>
  </si>
  <si>
    <t>Sybil Ln_1909_Royal Crest_Tyler_17663</t>
  </si>
  <si>
    <t>Aldine Bender Rd_5015_Costa Rialto_Houston_17664</t>
  </si>
  <si>
    <t>Shiloh Rd_2911_Park At Shiloh Apts_Tyler_17665</t>
  </si>
  <si>
    <t>Spectrum Dr_15750_Allegro Addison Circle_Addison_17666</t>
  </si>
  <si>
    <t>Claremont Dr_3030_Arioso Apts &amp; Toccata Casitas_Grand Prairie_17668</t>
  </si>
  <si>
    <t>Varsity Dr_3400_Varsity Place_Tyler_17670</t>
  </si>
  <si>
    <t>Old Omen Rd_3088_The Cambridge at Tyler_Tyler_17671</t>
  </si>
  <si>
    <t>Old Bullard Rd_6003_Salado Apts_Tyler_17672</t>
  </si>
  <si>
    <t>Varsity Dr_3333_University Pines_Tyler_17673</t>
  </si>
  <si>
    <t>Old Grande Blvd_400_The Woodlands_Tyler_17674</t>
  </si>
  <si>
    <t>New Laredo Hwy_7139_Alhambra Senior AH_San Antonio_17675</t>
  </si>
  <si>
    <t>McKinney Ave_3930_The Monterey Uptown_Dallas_17678</t>
  </si>
  <si>
    <t>Berry_605_Oxford Place_Houston_17679</t>
  </si>
  <si>
    <t>Gulf Pointe Dr_11666_Carrington Park at Gulf Pointe_Houston_17680</t>
  </si>
  <si>
    <t>W Rd_9500_Villas at West Road_Houston_17681</t>
  </si>
  <si>
    <t>71 Hwy E_3950_The Lodge at Lost Pines_Bastrop_17682</t>
  </si>
  <si>
    <t>Military Dr_7979_Candleridge Apts_San Antonio_17684</t>
  </si>
  <si>
    <t>Main St_1407_Third Rail Lofts-1407 Main_Dallas_17685</t>
  </si>
  <si>
    <t>Houston St N_2345_The Vista_Dallas_17687</t>
  </si>
  <si>
    <t>Slocum St_1403_Trinity Lofts_Dallas_17688</t>
  </si>
  <si>
    <t>Bowser Ave_4733_Gables Highland Park Brownstones_Dallas_17689</t>
  </si>
  <si>
    <t>Business Center Dr_2020_The Villas at Shadow Creek Ranch_Pearland_17690</t>
  </si>
  <si>
    <t>Briargrove Ln_3900_Vail Quarters_Dallas_17691</t>
  </si>
  <si>
    <t>Lake Carolyn Pkwy_1001_Delante_Irving_17692</t>
  </si>
  <si>
    <t>Tranquilo_6411_AMLI at La Villita_Irving_17693</t>
  </si>
  <si>
    <t>Almeda Rd_9000_Fountains at Almeda_Houston_17694</t>
  </si>
  <si>
    <t>Sheridan Cir_6501-6555_Peppertree Acres_Fort Worth_17695</t>
  </si>
  <si>
    <t>Shaver Rd S_3271_The Villas at Shaver_Pasadena_17696</t>
  </si>
  <si>
    <t>Huntington Estates Dr_10888_HomeTowne on Bellfort_Houston_17697</t>
  </si>
  <si>
    <t>Deseo_6727_Lincoln Lakeside_Irving_17698</t>
  </si>
  <si>
    <t>Tarrant Pkwy N_500_Grand Estates at Keller_Keller_17699</t>
  </si>
  <si>
    <t>Golden Triangle Blvd_5001_Enclave on Golden Triangle_Keller_17700</t>
  </si>
  <si>
    <t>121 SH S_2241_Alta Vista Ridge_Lewisville_17701</t>
  </si>
  <si>
    <t>Colony Blvd S_5620_Sonoma Grande at The Legends_The Colony_17702</t>
  </si>
  <si>
    <t>Daniel Rd_5760_Acqua_Plano_17703</t>
  </si>
  <si>
    <t>Independence Pkwy_10200_Estancia at Ridgeview Ranch II_Plano_17704</t>
  </si>
  <si>
    <t>Coit Rd_9600_Riachi at One21_Plano_17705</t>
  </si>
  <si>
    <t>Prairie Ranch Dr_4950_Prairie Ranch Apts_Grand Prairie_17706</t>
  </si>
  <si>
    <t>Mira Lago Blvd_1580_Laguna Vista at Mercer Crossing_Farmers Branch_17707</t>
  </si>
  <si>
    <t>Keller Springs Rd_2925_Spicewood Crossing_Carrollton_17708</t>
  </si>
  <si>
    <t>Bishop Rd_7008_Lakeside at Legacy Village III_Plano_17709</t>
  </si>
  <si>
    <t>Bishop Rd_7008_Lakeside at Legacy Village IV_Plano_17710</t>
  </si>
  <si>
    <t>Ryan Dr S_200_Red Oak Town Village I_Red Oak_17711</t>
  </si>
  <si>
    <t>Western Center Blvd_2650_Indigo Pointe at Western Center_Fort Worth_17712</t>
  </si>
  <si>
    <t>Grapevine Mills Pkwy_3900_Camden Riverwalk I, The Vistas_Grapevine_17713</t>
  </si>
  <si>
    <t>Copper Grove Blvd_15050_Villas at Huffmeister_Houston_17714</t>
  </si>
  <si>
    <t>Pease St_5000_Jefferson Square Apts_Houston_17715</t>
  </si>
  <si>
    <t>Ray White Rd_8625_Republic Park Vista_Fort Worth_17716</t>
  </si>
  <si>
    <t>Hollow Tree Ln_101_Republic Hollow Tree_Houston_17717</t>
  </si>
  <si>
    <t>River Pointe Dr_201_The RiverWood Apts_Conroe_17718</t>
  </si>
  <si>
    <t>Reed Rd_2910_Cypress Creek at Reed Rd_Houston_17719</t>
  </si>
  <si>
    <t>Timber Forest Dr_19030_Wentworth Senior Housing_Atascocita_17720</t>
  </si>
  <si>
    <t>Dickinson Ave_2402_Oak Tree Village_League City_17721</t>
  </si>
  <si>
    <t>Glenwood Dr_4305_Glenwood Trails_Deer Park_17722</t>
  </si>
  <si>
    <t>Mustang Rd_3075_The Melbourne Senior Apts_Alvin_17723</t>
  </si>
  <si>
    <t>Sam Houston Pkwy W S_10014_Hometowne at Missouri City_Missouri City_17724</t>
  </si>
  <si>
    <t>Hurst Blvd W_901_Villas on Calloway Creek_Hurst_17725</t>
  </si>
  <si>
    <t>Bell Ave N_816_Bellmere Apts_Denton_17726</t>
  </si>
  <si>
    <t>Eagle Dr_603_Eagle's Nest_Denton_17727</t>
  </si>
  <si>
    <t>Ryliecrest Dr_11209_Peachtree Senior Living_Balch Springs_17729</t>
  </si>
  <si>
    <t>Mira Lago Blvd_11701_Evergreen at Farmers Branch_Farmers Branch_17730</t>
  </si>
  <si>
    <t>Eastland St_5500_Residences at Eastland_Fort Worth_17731</t>
  </si>
  <si>
    <t>Cedar Springs_4242_NF_Dallas_17732</t>
  </si>
  <si>
    <t>Verde Dr_201_The Gibraltar_Clute_17733</t>
  </si>
  <si>
    <t>Bell Ave_2421_Foxfire Apts_Denton_17734</t>
  </si>
  <si>
    <t>Gray St_3154_Zion Village_Houston_17736</t>
  </si>
  <si>
    <t>Parkwood Ave W_1423_Gardens at Friendswood Lakes_Friendswood_17737</t>
  </si>
  <si>
    <t>Bluffs Landing Way_3201_Bluffs Landing Senior Village_Round Rock_17738</t>
  </si>
  <si>
    <t>2001 FM_401_Tuscany Park_Buda_17740</t>
  </si>
  <si>
    <t>517 FM W_901_Jordan Cove_League City_17741</t>
  </si>
  <si>
    <t>Sign St_7736_Westbury Village Homes_Missouri City_17742</t>
  </si>
  <si>
    <t>Clearwater Paseo_401_Paseo de Paz_Kerrville_17743</t>
  </si>
  <si>
    <t>Durango W_5635_West Durango Plaza_San Antonio_17744</t>
  </si>
  <si>
    <t>35th St SW_934_West End Baptist Manor Apts_San Antonio_17745</t>
  </si>
  <si>
    <t>Nash St_NF_Mansions at Briar Creek (on hold)_Bryan_17746</t>
  </si>
  <si>
    <t>Dessau Rd_12435_Harris Branch AH_Austin_17747</t>
  </si>
  <si>
    <t>Ventura Dr_2414_Plaza Ventura_Austin_17748</t>
  </si>
  <si>
    <t>Shaver Rd S_4415_Windshire Apts_Houston_17750</t>
  </si>
  <si>
    <t>1464 FM_14231_The Landmark of Sugarland II_Sugar Land_17751</t>
  </si>
  <si>
    <t>Yale St_2125_2125 Yale_Houston_17752</t>
  </si>
  <si>
    <t>Gessner Rd N_12020_Costa Vizcaya_Houston_17753</t>
  </si>
  <si>
    <t>University Dr S_3517_Edge 55_Fort Worth_17754</t>
  </si>
  <si>
    <t>646 FM_555_Greystar at Beacon Lakes_League City_17757</t>
  </si>
  <si>
    <t>Braeswood Blvd N_4650_Sedona Apts_Houston_17760</t>
  </si>
  <si>
    <t>Town and Country Blvd_811_Domain at City Centre_Houston_17764</t>
  </si>
  <si>
    <t>Bull Creek Rd_4330_Post West Austin_Austin_17766</t>
  </si>
  <si>
    <t>Lamar Blvd S_1500_Post South Lamar_Austin_17767</t>
  </si>
  <si>
    <t>360 SH N_400_Mansions at Mansfield_Mansfield_17769</t>
  </si>
  <si>
    <t>Pressler St_507_Gables Pressler_Austin_17771</t>
  </si>
  <si>
    <t>Bissonnet St_1717_Ashby Highrise_Houston_17773</t>
  </si>
  <si>
    <t>Northgate Blvd_9210_Serena Park Apts_Austin_17774</t>
  </si>
  <si>
    <t>Guadalupe St_401_Gables Republic Park Apts_Austin_17777</t>
  </si>
  <si>
    <t>Blanco_19615_The Reflection Apts_San Antonio_17780</t>
  </si>
  <si>
    <t>Austin Hwy_1320_Legacy Heights_San Antonio_17783</t>
  </si>
  <si>
    <t>Vance Jackson Rd_14200_Presidio at the Landmark_San Antonio_17784</t>
  </si>
  <si>
    <t>1960 FM W_11950_Mansions at Hastings Green_Houston_17785</t>
  </si>
  <si>
    <t>Stassney Ln E_625_Platinum Southside_Austin_17786</t>
  </si>
  <si>
    <t>35 IH N_3400_Riverside Apts at East Avenue Town Center_Austin_17788</t>
  </si>
  <si>
    <t>Grand Ave Pkwy_1720_Broadstone Grand Avenue_Pflugerville_17792</t>
  </si>
  <si>
    <t>Shadow Creek Pkwy_11900_Alexan Shadow Creek Ranch_Pearland_17793</t>
  </si>
  <si>
    <t>Birnamwood Blvd_20919_Mansions at Turkey Creek_Humble_17794</t>
  </si>
  <si>
    <t>Manchaca Rd_10601_Remington Hills_Austin_17795</t>
  </si>
  <si>
    <t>Sam Houston Pkwy E N_9702_Alexan Eagle Creek_Humble_17797</t>
  </si>
  <si>
    <t>1960 FM W_9915_Idlewilde Apts_Houston_17798</t>
  </si>
  <si>
    <t>Prue Rd_6674_Hillstone at Prue Road_San Antonio_17799</t>
  </si>
  <si>
    <t>Independence Pkwy_440_Franklin Park at Canyon Creek_Plano_17800</t>
  </si>
  <si>
    <t>Sunrise_2800_City North at Sunrise Ranch_Round Rock_17801</t>
  </si>
  <si>
    <t>Washam Dr_NF_Sierra Ridge Apts_Georgetown_17802</t>
  </si>
  <si>
    <t>3009 FM_501_Waterford Ridge_Schertz_17803</t>
  </si>
  <si>
    <t>Eucalyptus St_101_The Residence at Lake Jackson_Lake Jackson_17805</t>
  </si>
  <si>
    <t>Vance Jackson St_12330_Boulder Creek_San Antonio_17806</t>
  </si>
  <si>
    <t>Frazer St N @ Dallas St W_NF_West Fork Apts_Conroe_17807</t>
  </si>
  <si>
    <t>Riverside Dr N_6101_Avington Park Apts_Fort Worth_17809</t>
  </si>
  <si>
    <t>Kuykendahl Rd_24215_Augusta Meadows_Tomball_17810</t>
  </si>
  <si>
    <t>151 Hwy_9531_Stone Ranch at Westover Hills_San Antonio_17811</t>
  </si>
  <si>
    <t>Mueschke Rd_14144_Grand Cypress_Cypress_17813</t>
  </si>
  <si>
    <t>Southdown Trace Trl_10600_Regency Park_Houston_17815</t>
  </si>
  <si>
    <t>Sundance Pkwy_2056_Villas at Sundance_New Braunfels_17818</t>
  </si>
  <si>
    <t>Rio Grande St_2101_21 Rio_Austin_17819</t>
  </si>
  <si>
    <t>Riverside Dr E_222_Riverside Square Apts_Austin_17821</t>
  </si>
  <si>
    <t>Sawdust Rd_2495_The Abbey on Lake Wyndemere_The Woodlands_17823</t>
  </si>
  <si>
    <t>Amberglen Blvd_9001_Camden Amber Oaks I_Austin_17825</t>
  </si>
  <si>
    <t>6 Hwy N_9140_The Falls at Copper Lake_Houston_17828</t>
  </si>
  <si>
    <t>Esperanza Crossing_3001_Domain Parkside_Austin_17831</t>
  </si>
  <si>
    <t>River Bend Dr_120_Cypress Creek at River Bend_Georgetown_17832</t>
  </si>
  <si>
    <t>Walker St W_1751_Broadstone Walker Commons_League City_17833</t>
  </si>
  <si>
    <t>Decker Rd_7510_Piedmont Apts_Baytown_17834</t>
  </si>
  <si>
    <t>Post Oak Blvd_2929_The Hampton at Post Oak_Houston_17835</t>
  </si>
  <si>
    <t>Westpark Dr_14906_Wynhaven at Towne West_Houston_17836</t>
  </si>
  <si>
    <t>9th St E_NF_Skyline Lofts (on hold)_Austin_17839</t>
  </si>
  <si>
    <t>78 Hwy_NF_Seguin Town Center_Seguin_17840</t>
  </si>
  <si>
    <t>Stonelake Blvd_10011_Circle at Stonelake_Austin_17842</t>
  </si>
  <si>
    <t>Fairhaven_8727_Highland Park Senior Living Apts_San Antonio_17843</t>
  </si>
  <si>
    <t>MidLn St_2121_2121 Midlane_Houston_17844</t>
  </si>
  <si>
    <t>Holly Oaks Ln_2113_Residences at Holly Oaks II_Weatherford_17845</t>
  </si>
  <si>
    <t>Cypresswood Dr_9844_Villas at Cypresswood_Houston_17846</t>
  </si>
  <si>
    <t>Dalworth St_2377_Vista Verde_Grand Prairie_17847</t>
  </si>
  <si>
    <t>Ferguson Dr_300_Lotus Village_Austin_17848</t>
  </si>
  <si>
    <t>NF_NF_Leander Apt Complex (On Hold)_Leander_17850</t>
  </si>
  <si>
    <t>Mission Park Dr_19002_Deseo at Grand Mission_Richmond_17853</t>
  </si>
  <si>
    <t>Somerset Rd_9323_Costa Mirada_San Antonio_17854</t>
  </si>
  <si>
    <t>New Braunfels Ave S_6222_Costa Almadena_San Antonio_17855</t>
  </si>
  <si>
    <t>Pleasanton Rd_1707_Union Pines Apts_San Antonio_17857</t>
  </si>
  <si>
    <t>Hackberry_4622_SA Union Park Apts_San Antonio_17858</t>
  </si>
  <si>
    <t>Dean Panill Dr W_4363_Wurzbach Manor_San Antonio_17859</t>
  </si>
  <si>
    <t>Binz Engleman Rd_3644_Artisan at Salado Creek_San Antonio_17860</t>
  </si>
  <si>
    <t>Zarzamora St S_1938_San Juan Square_San Antonio_17861</t>
  </si>
  <si>
    <t>Binz Engelman_3714_Artisan at Salado Falls_San Antonio_17862</t>
  </si>
  <si>
    <t>Medina Base Dr_5800_Homestead_San Antonio_17863</t>
  </si>
  <si>
    <t>Vera Cruz_2101_Villa de San Alfonso_San Antonio_17864</t>
  </si>
  <si>
    <t>Commerce W_4243_Lago Vista Village_San Antonio_17865</t>
  </si>
  <si>
    <t>Goldfield_4848_Park on Goldfield_San Antonio_17866</t>
  </si>
  <si>
    <t>Babcock Rd_140_Babcock Villa Apts_San Antonio_17867</t>
  </si>
  <si>
    <t>Camino Real_3503_Nueces Bend and Frio Crossing_San Antonio_17868</t>
  </si>
  <si>
    <t>1604 Loop N W_1297_Westcreek TH_San Antonio_17869</t>
  </si>
  <si>
    <t>General McMullen Dr N_537_McMullen Square_San Antonio_17871</t>
  </si>
  <si>
    <t>Ben White Blvd W_1212_Skyline Terrace_Austin_17872</t>
  </si>
  <si>
    <t>Frontier Valley Dr_1805_Santora Villas_Austin_17873</t>
  </si>
  <si>
    <t>Janis Dr E_501_Shady Oaks Apts_Georgetown_17874</t>
  </si>
  <si>
    <t>Dessau Rd_15711_Cambridge Villas Apts_Pflugerville_17875</t>
  </si>
  <si>
    <t>Grand Ave Pkwy_500_HomeTowne at Picadilly_Pflugerville_17876</t>
  </si>
  <si>
    <t>Richard Rd_24011_Park at Woodland Springs_Spring_17877</t>
  </si>
  <si>
    <t>Mueller Blvd_4640_Mosaic at Mueller II_Austin_17878</t>
  </si>
  <si>
    <t>Skyline Rd_1350_The Homes of Mountain Creek_Dallas_17882</t>
  </si>
  <si>
    <t>Goliad St S_316_Evergreen at Rockwall_Rockwall_17883</t>
  </si>
  <si>
    <t>Thomas St SW_321_Crestmoor Park West_Burleson_17884</t>
  </si>
  <si>
    <t>Alsbury NE_755_Alsbury Villas_Burleson_17885</t>
  </si>
  <si>
    <t>Samuels Ave_1120_Pavilion at Samuels_Fort Worth_17886</t>
  </si>
  <si>
    <t>Old Decator Rd_7201_Enclave at Parkview Apts_Fort Worth_17887</t>
  </si>
  <si>
    <t>Verde Dr_101_Costa Verde_Clute_17890</t>
  </si>
  <si>
    <t>Silverdale Dr_1300_Lodge at Silverdale_Conroe_17891</t>
  </si>
  <si>
    <t>336 Loop E N_219_Woodside Manor_Conroe_17892</t>
  </si>
  <si>
    <t>Cherry St S_2627_HomeTowne at Tomball_Tomball_17893</t>
  </si>
  <si>
    <t>Gulf Fwy_6311_Brays Crossing_Houston_17894</t>
  </si>
  <si>
    <t>Hafer Rd_17217_Costa Ibiza_Houston_17896</t>
  </si>
  <si>
    <t>Partners Way_23473_Porter Plaza Apts_Porter_17899</t>
  </si>
  <si>
    <t>Rebecca Ln_200_Emerald Park Apts_Bryan_17900</t>
  </si>
  <si>
    <t>Camp Bullis Rd_6522_Vista Ridge_San Antonio_17901</t>
  </si>
  <si>
    <t>San Marcos St S_1901_Artisan at Creekside_San Antonio_17902</t>
  </si>
  <si>
    <t>Broadway St_1800_The 1800_San Antonio_17903</t>
  </si>
  <si>
    <t>Vance Jackson_14111_Palomino_San Antonio_17904</t>
  </si>
  <si>
    <t>Vista Ln_4100_Bridgewood Ranch I_Kaufman_17905</t>
  </si>
  <si>
    <t>Slaughter Ln E_810_Residences at Onion Creek_Austin_17907</t>
  </si>
  <si>
    <t>Sadler Dr_1350_Vantage at San Marcos_San Marcos_17908</t>
  </si>
  <si>
    <t>McDermott St_201_The Waterfront at Deer Park_Deer Park_17909</t>
  </si>
  <si>
    <t>Katy Fwy_7777_Alexan Silber_Houston_17911</t>
  </si>
  <si>
    <t>McNeil Dr_9900_Alexan Ribelin Ranch_Austin_17912</t>
  </si>
  <si>
    <t>Trimble Ave - Robert S. Light Blvd_1250_Vantage at Buda_Buda_17913</t>
  </si>
  <si>
    <t>Old Denton Rd_8100_Bella Vista_Fort Worth_17915</t>
  </si>
  <si>
    <t>Rogers Rd_1700-1800_Colonial Park Apts_Fort Worth_17917</t>
  </si>
  <si>
    <t>Pleasant Run Rd E_207_DeSoto Town Center Apts_Desoto_17918</t>
  </si>
  <si>
    <t>Cornell Ln_690_Colony Townhouse Apts II_Waxahachie_17922</t>
  </si>
  <si>
    <t>Parkwood_3198_Cool Springs at Frisco Bridges_Frisco_17923</t>
  </si>
  <si>
    <t>Pearland Pkwy_11575_Park Avenue at Boulder Creek_Houston_17924</t>
  </si>
  <si>
    <t>Riverside Dr_2502_Lakeside Villas of Grand Prairie_Grand Prairie_17926</t>
  </si>
  <si>
    <t>Beach St N_8660_Watervue AH_Fort Worth_17927</t>
  </si>
  <si>
    <t>Woodbridge Pkwy_600_Broadstone Woodbridge_Wylie_17928</t>
  </si>
  <si>
    <t>10 IH &amp; 1604 Loop_NF_Landmark Mixed-Use Development_San Antonio_17930</t>
  </si>
  <si>
    <t>45 Hwy_NF_Wildflower Commons Apts_Austin_17931</t>
  </si>
  <si>
    <t>Blanco St - Baylor St_NF_Baylor Condos and The Castle (On Hold)_Austin_17932</t>
  </si>
  <si>
    <t>UTSA Blvd_5803_Broadstone Ranch_San Antonio_17935</t>
  </si>
  <si>
    <t>1604 Loop W N_1703_Costa Bella_San Antonio_17937</t>
  </si>
  <si>
    <t>Villita St_120_Hollyhills Condo Development_San Antonio_17938</t>
  </si>
  <si>
    <t>La Cantera Pkwy_17101_The Residences at Eilan_San Antonio_17941</t>
  </si>
  <si>
    <t>Samuels Ave_520_Lincoln Park at Trinity Bluff Midrise_Fort Worth_17942</t>
  </si>
  <si>
    <t>Dominion Park Dr_200_The Trails at Dominion Park_Houston_17945</t>
  </si>
  <si>
    <t>Dominion Park Dr_211_The Grove_Houston_17946</t>
  </si>
  <si>
    <t>Bens Branch Dr_2727_Town Center II_Kingwood_17947</t>
  </si>
  <si>
    <t>Slaughter Ln W_811_Camden Shadow Brook I_Austin_17948</t>
  </si>
  <si>
    <t>Dartmouth St_2518_Heritage at Dartmouth_College Station_17949</t>
  </si>
  <si>
    <t>Grace Cir_1212_Grace TH_Ennis_17950</t>
  </si>
  <si>
    <t>Burnett E_1000_Creekside Terrace_Ennis_17951</t>
  </si>
  <si>
    <t>Floyd St_2001_Breckenridge Village_Ennis_17952</t>
  </si>
  <si>
    <t>Overton Rd E_2836_People El Shaddai Village_Dallas_17955</t>
  </si>
  <si>
    <t>Easter St_3119_St. James Manor_Dallas_17957</t>
  </si>
  <si>
    <t>1093 FM_20900_The Residences at Cinco Ranch_Richmond_17958</t>
  </si>
  <si>
    <t>Woodland Hills Dr-Lockwood_NF_Residences at Woodland Hills_Humble_17959</t>
  </si>
  <si>
    <t>Northpines Dr_200_Alta Kingwood_Kingwood_17960</t>
  </si>
  <si>
    <t>Napoli Dr_13801_Palazzo at Cypresswood_Houston_17962</t>
  </si>
  <si>
    <t>Lake Carolyn Pkwy_800_Alta Lakeshore Lofts I &amp; II_Irving_17963</t>
  </si>
  <si>
    <t>Cypresswood Dr_8215_Conservatory at Champion Forest_Spring_17966</t>
  </si>
  <si>
    <t>Clay St_NF_Clay Street Lofts (on hold)_San Antonio_17968</t>
  </si>
  <si>
    <t>Sam Houston Pkwy N E_6200_Stone Park II_Houston_17970</t>
  </si>
  <si>
    <t>Hillcroft St_13960_The Crossings at Hillcroft_Houston_17971</t>
  </si>
  <si>
    <t>College Park Dr_3720_Plantation Apts at The Woodlands I_The Woodlands_17972</t>
  </si>
  <si>
    <t>Gessner Rd N_12331_The Tradewinds at Willowbrook_Houston_17973</t>
  </si>
  <si>
    <t>Grand Harbor Dr_24757_Camden Grand Harbor_Katy_17974</t>
  </si>
  <si>
    <t>Northpointe Blvd_11743_Camden Northpointe_Tomball_17975</t>
  </si>
  <si>
    <t>Talavera Pkwy_130_Legends on the Green_San Antonio_17976</t>
  </si>
  <si>
    <t>Shavano Ranch Dr_17239_Ranch at Shavano Park_San Antonio_17977</t>
  </si>
  <si>
    <t>Hamilton Wolfe_5623_Villas at Medical Center_San Antonio_17978</t>
  </si>
  <si>
    <t>5th St E_NF_Block One Condos (on hold)_Austin_17980</t>
  </si>
  <si>
    <t>Westinghouse Rd_NF_Westinghouse Pointe_Georgetown_17981</t>
  </si>
  <si>
    <t>35 IH_NF_Rhya Mixed-Use _San Antonio_17982</t>
  </si>
  <si>
    <t>Rollingbrook Dr_2700_Wyndham Park_Baytown_17986</t>
  </si>
  <si>
    <t>Bee Caves Pkwy_12601_Galleria_Austin_17987</t>
  </si>
  <si>
    <t>Belmont Ave_5222_Alta Henderson_Dallas_17988</t>
  </si>
  <si>
    <t>3rd Ave N_520_Heritage Square Apts_Texas City_17990</t>
  </si>
  <si>
    <t>Revere St_2727_La Maison at River Oaks_Houston_17991</t>
  </si>
  <si>
    <t>Collin McKinney Pkwy_5201_Heights at Lake Forest (On Hold)_McKinney_17993</t>
  </si>
  <si>
    <t>Benge Dr_930_Maverick Place_Arlington_17998</t>
  </si>
  <si>
    <t>Collins St N_NF_The Viridian Apts (all phases)_Arlington_17999</t>
  </si>
  <si>
    <t>360 SH N_370_Dolce Living at Mansfield I_Mansfield_18003</t>
  </si>
  <si>
    <t>360 SH N_370_Dolce Living at Mansfield II_Mansfield_18004</t>
  </si>
  <si>
    <t>Heritage Pkwy S_NF_Dolce Living at Mansfield III_Mansfield_18005</t>
  </si>
  <si>
    <t>Babcock Rd_6710_Hacienda del Sol_San Antonio_18006</t>
  </si>
  <si>
    <t>78 FM_9205_Waterford Park_Converse_18007</t>
  </si>
  <si>
    <t>County Line Rd W_1360_Waterford Place_New Braunfels_18008</t>
  </si>
  <si>
    <t>Northaven Rd_2800_Northaven Terrace_Dallas_18010</t>
  </si>
  <si>
    <t>Skyline Dr_2000_Skyway Villas_McKinney_18011</t>
  </si>
  <si>
    <t>Pearl W_1705_Granbury Heights Apt_Granbury_18013</t>
  </si>
  <si>
    <t>377 Hwy E_916_The Estates on Lake Granbury_Granbury_18014</t>
  </si>
  <si>
    <t>Panama Ct_800_Lakeshore Apts_Granbury_18016</t>
  </si>
  <si>
    <t>Brooklyn Ave_550_Rex Apts (Redevelopment-on hold)_San Antonio_18017</t>
  </si>
  <si>
    <t>Meadows Dr N_1201_Granbury Meadows_Granbury_18018</t>
  </si>
  <si>
    <t>Charterhouse Cir_959_Charterhouse at Lake Pointe_Granbury_18019</t>
  </si>
  <si>
    <t>2nd St E_1525_Bromley Apts_Granbury_18020</t>
  </si>
  <si>
    <t>Lipan Dr_1017_Oaks of Granbury_Granbury_18021</t>
  </si>
  <si>
    <t>Walnut Hill Ln_NF_Lake Highlands Town Center Apts_Dallas_18022</t>
  </si>
  <si>
    <t>Huffines Blvd_4025_The Residences at the Collection_Carrollton_18023</t>
  </si>
  <si>
    <t>Fairway Dr_6118_Fairway Village_Austin_18025</t>
  </si>
  <si>
    <t>287 Hwy Bypass W_1301_Cambridge Court_Waxahachie_18027</t>
  </si>
  <si>
    <t>Martin Luther King Blvd W_706_Cityville at Pearl_Austin_18028</t>
  </si>
  <si>
    <t>Anderson Mill Rd_NF_Villagio Mixed-Use_Austin_18029</t>
  </si>
  <si>
    <t>969 FM_NF_Villa Muse Mixed-Use (On Hold)_Austin_18030</t>
  </si>
  <si>
    <t>Caseta Dr_15059_West Oaks Seniors_Houston_18032</t>
  </si>
  <si>
    <t>25th St W_910_Galileo at 25th Condominiums_Austin_18034</t>
  </si>
  <si>
    <t>71 SH W_8600_Estancia Apts_Austin_18035</t>
  </si>
  <si>
    <t>Congress Ave S_4276_South Urban Lofts_Austin_18036</t>
  </si>
  <si>
    <t>Riverside Dr E_6201_Rivermont Place Apts_Austin_18037</t>
  </si>
  <si>
    <t>W Ave_3822_Walnut Manor_San Antonio_18038</t>
  </si>
  <si>
    <t>William DeHaes_3753_Woodland Ridge II_Irving_18039</t>
  </si>
  <si>
    <t>W Ave_3747_West Avenue Apts_San Antonio_18040</t>
  </si>
  <si>
    <t>Gault Ln_8222_Ridgecrest Apts_San Antonio_18041</t>
  </si>
  <si>
    <t>Grissom Rd_6201_The Barcelona Lofts I_San Antonio_18042</t>
  </si>
  <si>
    <t>Memorial Ct_3131_Memorial by Windsor_Houston_18043</t>
  </si>
  <si>
    <t>Kimble St_8018_Nueva Vida_Houston_18044</t>
  </si>
  <si>
    <t>Newman Rd_301_Highland Manor_La Marque_18045</t>
  </si>
  <si>
    <t>Blue Star St_300-400_Big Tex Grain Redevelopment_San Antonio_18046</t>
  </si>
  <si>
    <t>Convict Hill Rd_7000_Quarry Hill_Austin_18048</t>
  </si>
  <si>
    <t>Galloway Ave N_4731_Cedars Apts_Mesquite_18049</t>
  </si>
  <si>
    <t>Marshall Dr E_1201_Donna Lynn Apts_Grand Prairie_18050</t>
  </si>
  <si>
    <t>Garrett Ave N_1820_Garrett Gables_Dallas_18051</t>
  </si>
  <si>
    <t>Willoughby Blvd_8502_South Port II_Dallas_18054</t>
  </si>
  <si>
    <t>Clarkwood Rd_6855_Ridge Parc II_Dallas_18080</t>
  </si>
  <si>
    <t>Stafford Rd_12700_The Retreat at Stafford_Stafford_18082</t>
  </si>
  <si>
    <t>Basse Rd_1838_Westminster Square_San Antonio_18086</t>
  </si>
  <si>
    <t>Wurzbach Rd_5800_Christian Village Retirement_San Antonio_18087</t>
  </si>
  <si>
    <t>Timberwilde_8911_Hereford Apts_San Antonio_18088</t>
  </si>
  <si>
    <t>Trinity St S_120_Sacred Heart Villa_San Antonio_18090</t>
  </si>
  <si>
    <t>Shakespeare St_2410_Rice Village Apts (on hold)_Houston_18093</t>
  </si>
  <si>
    <t>Quick Hill Rd_3701_Broadstone Travesia_Round Rock_18094</t>
  </si>
  <si>
    <t>Hall St N_1707_The ICON at Ross_Dallas_18098</t>
  </si>
  <si>
    <t>Lago Vista W_11601_Portofino at Mercer Crossing_Farmers Branch_18099</t>
  </si>
  <si>
    <t>Highland Dr_455_Evergreen at Vista Ridge_Lewisville_18100</t>
  </si>
  <si>
    <t>Eldorado Pkwy_6000_Alta Cobb Hill_Frisco_18102</t>
  </si>
  <si>
    <t>Emily Rd_13259_Autumn Brook_Dallas_18104</t>
  </si>
  <si>
    <t>Cedar Springs Rd_1700_Gables Park 17_Dallas_18106</t>
  </si>
  <si>
    <t>Alabama St_2305_Gables Upper Kirby III_Houston_18107</t>
  </si>
  <si>
    <t>Falcon Park Dr_1111_Broadstone Grand Parkway_Katy_18108</t>
  </si>
  <si>
    <t>Osborn Ln_2728_Mid Towne_Bryan_18109</t>
  </si>
  <si>
    <t>Ingram Rd_10402_Monterrey Village_San Antonio_18110</t>
  </si>
  <si>
    <t>Traders Rd_2100_Woodland Park at Greenville_Greenville_18112</t>
  </si>
  <si>
    <t>Norwood St_929_The Lofts at West 7th_Fort Worth_18113</t>
  </si>
  <si>
    <t>Amarra Dr_NF_Stratus Amarra_Austin_18117</t>
  </si>
  <si>
    <t>Saint Johns W_810_Midtown Commons at Crestview Station_Austin_18118</t>
  </si>
  <si>
    <t>Hunters Terrace_1200_Lakes of Tour 18 (on hold)_Humble_18119</t>
  </si>
  <si>
    <t>Post Oak Blvd_NF_Hanover BLVD Place_Houston_18120</t>
  </si>
  <si>
    <t>1431 FM_NF_Cedar Park Town Center Mixed-Use_Cedar Park_18121</t>
  </si>
  <si>
    <t>Lemmon Ave_3223_Cityville Katy Trail_Dallas_18128</t>
  </si>
  <si>
    <t>Wheeler St_3600_Cityville Oak Park I_Dallas_18129</t>
  </si>
  <si>
    <t>Travertine Ln_5960_AMLI at Fossil Lake_Fort Worth_18130</t>
  </si>
  <si>
    <t>Cookscreek Place_2706_Cooks Creek Place Apts_Farmers Branch_18131</t>
  </si>
  <si>
    <t>Indian Run Dr_1220_Wind Dance Apts_Carrollton_18132</t>
  </si>
  <si>
    <t>Palm Village Blvd_1901_Hunter's Cove (I, II &amp; II)_Bay City_18133</t>
  </si>
  <si>
    <t>Bernard St_2322_Gables Upper Kirby II_Houston_18134</t>
  </si>
  <si>
    <t>Highland Dr_201_Arbors of Taylor Apts_Taylor_18135</t>
  </si>
  <si>
    <t>Sloan St_405_Burnett Place_Taylor_18136</t>
  </si>
  <si>
    <t>45th St E_609_Siesta Place_Austin_18137</t>
  </si>
  <si>
    <t>Lamar Ave N_6010_Central Park II_Austin_18138</t>
  </si>
  <si>
    <t>Legacy Oaks Pkwy_5501_Legacy Oaks_Schertz_18139</t>
  </si>
  <si>
    <t>Military Dr SE_3903_La Hacienda_San Antonio_18140</t>
  </si>
  <si>
    <t>Austin Hwy_1111_The 1111_San Antonio_18141</t>
  </si>
  <si>
    <t>Ella Blvd_16350_Stoneleigh Ella Crossing_Houston_18142</t>
  </si>
  <si>
    <t>Kenswick Dr_19800_Stoneleigh on Kenswick_Humble_18144</t>
  </si>
  <si>
    <t>Blanco Rd_15150_Haven at Blanco_San Antonio_18145</t>
  </si>
  <si>
    <t>Woodson Park Dr_14633_Camden Woodson Park_Houston_18146</t>
  </si>
  <si>
    <t>Old Spanish Trl_2950_Equinox II_Houston_18147</t>
  </si>
  <si>
    <t>Almeda Rd_NF_Chenevert (on hold)_Houston_18149</t>
  </si>
  <si>
    <t>Hunter Terrace_NF_Hunter Terrace Apts (delayed)_Houston_18150</t>
  </si>
  <si>
    <t>Sam Houston Pkwy S W_8018_Park 8 Residential Tower I_Houston_18151</t>
  </si>
  <si>
    <t>336 Loop W N_3300_Hawthorne Ridge_Conroe_18152</t>
  </si>
  <si>
    <t>336 Loop W N_2951_The Retreat at Country Club_Conroe_18153</t>
  </si>
  <si>
    <t>Bellfort W_14402_West End Ranch_Sugar Land_18154</t>
  </si>
  <si>
    <t>34th St N_2211_Mansions at Moses Lake_Texas City_18155</t>
  </si>
  <si>
    <t>John King Blvd S_1650_The Mansions of Rockwall_Rockwall_18156</t>
  </si>
  <si>
    <t>Southwestern Blvd_8910_The Avery on Southwestern_Dallas_18158</t>
  </si>
  <si>
    <t>Brick Row_744_Brick Row Urban Village_Richardson_18159</t>
  </si>
  <si>
    <t>Manor Rd_5908_Windsor Park Low-Income Housing_Austin_18160</t>
  </si>
  <si>
    <t>5th St W_1611_Gables 5th Street Commons_Austin_18162</t>
  </si>
  <si>
    <t>Amberglen Blvd_8901_Camden Amber Oaks II_Austin_18163</t>
  </si>
  <si>
    <t>Via La Cantera_6215_The Residences at La Cantera_San Antonio_18167</t>
  </si>
  <si>
    <t>Chase Hill Blvd_15949_High View Place_San Antonio_18168</t>
  </si>
  <si>
    <t>Voss Rd S_2525_Broadstone 2525_Houston_18169</t>
  </si>
  <si>
    <t>Post Oak Park Dr_1875_Gables Post Oak_Houston_18170</t>
  </si>
  <si>
    <t>Kings Park_15911_Regatta III_Houston_18171</t>
  </si>
  <si>
    <t>Cable Ranch Rd_1538_Sequoia Cable Ranch_San Antonio_18173</t>
  </si>
  <si>
    <t>Memorial Ln_8401_Tribeca_Plano_18175</t>
  </si>
  <si>
    <t>Pruitt Rd_201_Alexan Woods_Spring_18177</t>
  </si>
  <si>
    <t>Jones Maltsberger Rd_12511_Remington Ranch_San Antonio_18178</t>
  </si>
  <si>
    <t>Saums Rd_20400_Providence Place II_Katy_18179</t>
  </si>
  <si>
    <t>Rocky Falls Rd_1930_Rocky Falls Apts_Richmond_18180</t>
  </si>
  <si>
    <t>Michael Dr_9417_Veraison Village_Fort Worth_18181</t>
  </si>
  <si>
    <t>Greenville Ave_11911_The District at Greenville_Dallas_18183</t>
  </si>
  <si>
    <t>Lullwater Dr_8501_Churchill Estates at Lake Highlands_Dallas_18184</t>
  </si>
  <si>
    <t>Union Station Pkwy_880_Hebron 121 Station IA-West Indies Village_Lewisville_18185</t>
  </si>
  <si>
    <t>Cedar Springs_5128_Miramonte Villas_Dallas_18186</t>
  </si>
  <si>
    <t>Babcock Rd_13903_The Reserve at UTSA_San Antonio_18187</t>
  </si>
  <si>
    <t>Colonial Lakes Dr_2900_The Reserve at Colonial Lakes_Missouri City_18188</t>
  </si>
  <si>
    <t>Scotland_4200_Gables Memorial Hills_Houston_18189</t>
  </si>
  <si>
    <t>Colony Lake Estates Dr_630_Lakeland Estates_Stafford_18190</t>
  </si>
  <si>
    <t>Centrepark Dr_10221_The Lodge at Spring Shadows II_Houston_18191</t>
  </si>
  <si>
    <t>Water St_200_ARIUM Edgewater_Webster_18192</t>
  </si>
  <si>
    <t>Fry Rd_13130_Camden Cypress Creek_Cypress_18193</t>
  </si>
  <si>
    <t>County Rd 94_3800_Cobblestone Park II_Manvel_18194</t>
  </si>
  <si>
    <t>Fountains Ln_200_The Fountains of Conroe_Conroe_18195</t>
  </si>
  <si>
    <t>528 FM_1799_The Gardens at Challenger Park_Webster_18196</t>
  </si>
  <si>
    <t>Forest Center Dr_300_Villas of Kingwood_Porter_18197</t>
  </si>
  <si>
    <t>Lawrence Rd_1225_Summer Brooke_Kemah_18199</t>
  </si>
  <si>
    <t>Cutten Rd_13313_Carrington at Champion Forest_Houston_18200</t>
  </si>
  <si>
    <t>N Fwy_16112_Wynhaven at Cypress Station_Houston_18201</t>
  </si>
  <si>
    <t>Research Forest Dr_10333_Laurelwoode_Magnolia_18202</t>
  </si>
  <si>
    <t>Panther Creek Pkwy_9415_Camden Panther Creek_Frisco_18203</t>
  </si>
  <si>
    <t>Slaughter Ln W_751_Camden Shadow Brook II_Austin_18204</t>
  </si>
  <si>
    <t>Wells Branch Pkwy_1630_Colonial Grand at Wells Branch_Austin_18205</t>
  </si>
  <si>
    <t>Brushy Creek Rd_1101_Camden Brushy Creek_Cedar Park_18206</t>
  </si>
  <si>
    <t>Inman Dr_201_Forum at Denton Station_Denton_18207</t>
  </si>
  <si>
    <t>McCabe Rd_711_Preserve at Taylor Bayou_La Porte_18208</t>
  </si>
  <si>
    <t>Point Lookout Dr_18101_Voyager at the Space Center_Houston_18210</t>
  </si>
  <si>
    <t>Roxbury Dr_6202_Alta Roxbury_San Antonio_18211</t>
  </si>
  <si>
    <t>Lebanon Rd_2355_Lebanon Ridge_Frisco_18212</t>
  </si>
  <si>
    <t>Gran Via_340_Escena Las Colinas_Irving_18214</t>
  </si>
  <si>
    <t>River Ridge Pkwy E_1101_University Heights San Marcos II_San Marcos_18216</t>
  </si>
  <si>
    <t>Joe Wilson Rd N_720_Legacy of Cedar Hill III_Cedar Hill_18217</t>
  </si>
  <si>
    <t>Sayle St_4101_Sayle Village_Greenville_18218</t>
  </si>
  <si>
    <t>Pearland Pkwy_NF_Park Avenue at Boulder Creek II_Houston_18219</t>
  </si>
  <si>
    <t>Quorum Dr_15777_15777 Quorum_Addison_18220</t>
  </si>
  <si>
    <t>1st St S_10001_The Estates at Southpark Meadows_Austin_18221</t>
  </si>
  <si>
    <t>1st St S_10101_The Terraces at Southpark Meadows_Austin_18222</t>
  </si>
  <si>
    <t>Main St_1808_Mercantile Place-The Element_Dallas_18223</t>
  </si>
  <si>
    <t>Dessau Rd_12101_Century Parmer Place_Austin_18224</t>
  </si>
  <si>
    <t>Center St_3801_Providence Town Square_Deer Park_18225</t>
  </si>
  <si>
    <t>Cinco Village Center Blvd_24001_The Solana at Cinco Ranch_Katy_18226</t>
  </si>
  <si>
    <t>Eldorado W_902_Lakeside Manor_Little Elm_18230</t>
  </si>
  <si>
    <t>Newcastle Dr_5454_The Marquis at Bellaire_Houston_18231</t>
  </si>
  <si>
    <t>Rio Grande_2222_The Quarters at Karnes House_Austin_18232</t>
  </si>
  <si>
    <t>Cesar Chavez W_NF_Gables Park Plaza II_Austin_18233</t>
  </si>
  <si>
    <t>Grissom Rd_6201_The Barcelona Lofts II_San Antonio_18234</t>
  </si>
  <si>
    <t>Legendary Ln_3783_Rosa Vista Apts_Dallas_18235</t>
  </si>
  <si>
    <t>Macarthur Blvd S_119_MacArthur Square_Irving_18236</t>
  </si>
  <si>
    <t>Franz Rd_22777_The Grand Parkway_Katy_18239</t>
  </si>
  <si>
    <t>Holleman Dr E_614_The Lofts at Wolf Pen Creek_College Station_18240</t>
  </si>
  <si>
    <t>Medina Base Dr_7714-1_Lackland City Apts_San Antonio_18241</t>
  </si>
  <si>
    <t>Cesar Chavez W_600_Project Green Senior Living_Austin_18242</t>
  </si>
  <si>
    <t>Cesar Chavez W_600_Project Green Apt Towers_Austin_18243</t>
  </si>
  <si>
    <t>Cesar Chavez W_600_Project Green Condo Towers_Austin_18244</t>
  </si>
  <si>
    <t>Guadalupe St S_1001_Sundance Square_Lockhart_18245</t>
  </si>
  <si>
    <t>Bennet Ave_2500_The Belmont Apts_Dallas_18249</t>
  </si>
  <si>
    <t>Ridge Rd_4700_Phillips at Mckinney Ranch_McKinney_18250</t>
  </si>
  <si>
    <t>5th St N_351_Oaks 5th Street Crossing_Garland_18251</t>
  </si>
  <si>
    <t>Carlisle St_2525_Gables Uptown Trail_Dallas_18252</t>
  </si>
  <si>
    <t>15th St_1013_15th &amp; I_Plano_18253</t>
  </si>
  <si>
    <t>35 IH S_8000_Alexan Legacy Oaks_Austin_18255</t>
  </si>
  <si>
    <t>1604 Loop W N_403_Franklin Park at Sonterra_San Antonio_18256</t>
  </si>
  <si>
    <t>Broadway_NF_Franklin Park at Alamo Heights_San Antonio_18257</t>
  </si>
  <si>
    <t>Oltorf E_501_District at SoCo_Austin_18258</t>
  </si>
  <si>
    <t>John King Blvd S_1470_The Mansions of Rockwall Active Adult Living_Rockwall_18259</t>
  </si>
  <si>
    <t>Tribeca Ln_4700_The Encore_Plano_18260</t>
  </si>
  <si>
    <t>Cornell Ln_691_Colony Townhouse Apts I_Waxahachie_18261</t>
  </si>
  <si>
    <t>Oak Lawn Ave_1551_Camden Design District_Dallas_18262</t>
  </si>
  <si>
    <t>Raceway Dr_13861_Dry Creek Ranch_Northlake_18263</t>
  </si>
  <si>
    <t>Broadway St_11200_The Residences at Pearland Town Center II_Pearland_18264</t>
  </si>
  <si>
    <t>Broadway St_11200_The Residences at Pearland Town Center I_Pearland_18266</t>
  </si>
  <si>
    <t>Harry Wurzbach Rd_3819_Village at Oakwell Farms_San Antonio_18267</t>
  </si>
  <si>
    <t>Garden Park Dr_935_The Lofts at Watters Creek II_Allen_18268</t>
  </si>
  <si>
    <t>Oak Grove Rd_1021_Woodmont AH_Fort Worth_18269</t>
  </si>
  <si>
    <t>Broadway Ave S_2720_The Timbers on Broadway_Tyler_18270</t>
  </si>
  <si>
    <t>Braeswood N_2900_Archstone Toscano West University_Houston_18271</t>
  </si>
  <si>
    <t>Detroit St_8406_Sterling Square_Houston_18272</t>
  </si>
  <si>
    <t>22nd St_2500_House 2500_Austin_18274</t>
  </si>
  <si>
    <t>Pendleton_4050_Park Hudson Place_Bryan_18275</t>
  </si>
  <si>
    <t>Pendleton_4150_Park Hudson Place II_Bryan_18276</t>
  </si>
  <si>
    <t>College Park Dr_3720_Plantation Apts at The Woodlands II_The Woodlands_18277</t>
  </si>
  <si>
    <t>Slaughter Ln W_3621_Ranch House_Austin_18278</t>
  </si>
  <si>
    <t>Town Center Dr_1225_Mansions at Stone Hill_Pflugerville_18279</t>
  </si>
  <si>
    <t>Pecan St (1825 FM)_NF_Pflugerville Town Square Apts_Pflugerville_18280</t>
  </si>
  <si>
    <t>Longview St_2505_Circle West Campus_Austin_18281</t>
  </si>
  <si>
    <t>1626 FM_NF_Colonial Grand at Cityway II_Austin_18282</t>
  </si>
  <si>
    <t>Cabela's Dr_1300 Blk_Provident Buda_Buda_18284</t>
  </si>
  <si>
    <t>Firecracker Dr_1255_The Huntington_Buda_18285</t>
  </si>
  <si>
    <t>967 RR N_590_Creekside Villas Senior Village_Buda_18286</t>
  </si>
  <si>
    <t>Cullen Blvd_NF_TownePlace Reserve_Pearland_18287</t>
  </si>
  <si>
    <t>Abner Jackson Blvd_294_Jackson Village Retirement Center_Lake Jackson_18288</t>
  </si>
  <si>
    <t>Sakowitz St_2424_2424 Sakowitz_Houston_18289</t>
  </si>
  <si>
    <t>Wayside Dr N_7447_HomeTowne on Wayside_Houston_18290</t>
  </si>
  <si>
    <t>290 Hwy W_8800_Fox Hill Apts_Austin_18291</t>
  </si>
  <si>
    <t>Hasler Blvd N_NF_Fairwood Commons_Bastrop_18292</t>
  </si>
  <si>
    <t>1604 Loop N W_1907_Reed Road Apts (on hold)_San Antonio_18293</t>
  </si>
  <si>
    <t>Dolphin Rd_4645_Carpenter's Point_Dallas_18294</t>
  </si>
  <si>
    <t>Bickers St_2696_Village at Lakewest I &amp; II_Dallas_18295</t>
  </si>
  <si>
    <t>Raiford Rd_1100_Villas on Raiford_Carrollton_18297</t>
  </si>
  <si>
    <t>Josey Ln N_2105_Lakeview at Josey Ranch_Carrollton_18298</t>
  </si>
  <si>
    <t>MacArthur Blvd S_418_Heritage Crossing_Irving_18300</t>
  </si>
  <si>
    <t>Fran Way_201_Fiji Senior Villas_Dallas_18301</t>
  </si>
  <si>
    <t>Morningstar Blvd_6245_Evergreen at Morningstar_The Colony_18302</t>
  </si>
  <si>
    <t>Round Grove Rd W_940_Crest Manor_Lewisville_18303</t>
  </si>
  <si>
    <t>Ray White Rd_8729_Heritage Park Vista_Keller_18304</t>
  </si>
  <si>
    <t>Watermark Blvd_100_The Point at Waterview_Granbury_18306</t>
  </si>
  <si>
    <t>Wheeler_NF_Cityville Oak Park II_Dallas_18307</t>
  </si>
  <si>
    <t>Haskell Ave N_NF_Cityville CityPlace_Dallas_18308</t>
  </si>
  <si>
    <t>1431 FM (Whitestone Blvd E)_NF_Landmark of Cedar Park_Cedar Park_18309</t>
  </si>
  <si>
    <t>Town Center Blvd_NF_Brazos Ranch Apts II (on hold)_Rosenberg_18310</t>
  </si>
  <si>
    <t>TC Jester_14723_Northgate Oaks_Houston_18311</t>
  </si>
  <si>
    <t>Overton Ridge Blvd_6301_Vantage at Cityview_Fort Worth_18312</t>
  </si>
  <si>
    <t>Garden Ridge Blvd N_901_Franklin Park at Lewisville_Lewisville_18313</t>
  </si>
  <si>
    <t>Swenson Farms Blvd_413_Adaigo Swenson Farms_Pflugerville_18317</t>
  </si>
  <si>
    <t>AW Grimes N_1301_Century Palm Valley_Round Rock_18318</t>
  </si>
  <si>
    <t>2222 FM_7201_Alexan Vistas_Austin_18319</t>
  </si>
  <si>
    <t>Klatten Hoff Dr_150_Alexan Star Ranch_Hutto_18320</t>
  </si>
  <si>
    <t>Harvey Mitchell Pkwy_1350_Parkway Place_College Station_18321</t>
  </si>
  <si>
    <t>Royal Ln_2825_Plantation Royal Apts_Dallas_18322</t>
  </si>
  <si>
    <t>Anderson Mill Rd_8601_IMT Anderson Mill_Austin_18323</t>
  </si>
  <si>
    <t>Eucalyptus St_NF_The Residence at Lake Jackson II_Lake Jackson_18324</t>
  </si>
  <si>
    <t>1093 FM_23600_Palms at Cinco Ranch_Richmond_18325</t>
  </si>
  <si>
    <t>Vance Jackson_16631_The Haven at The Rim_San Antonio_18326</t>
  </si>
  <si>
    <t>Rogers Rd_5547_Verde Culebra_San Antonio_18327</t>
  </si>
  <si>
    <t>Evans Rd_1202_Mission Hills_San Antonio_18328</t>
  </si>
  <si>
    <t>Bandera Rd_1955_The Mirabella_San Antonio_18329</t>
  </si>
  <si>
    <t>Brookhaven Club Dr_3850_Savoye (Vitruvian Park I)_Addison_18332</t>
  </si>
  <si>
    <t>Bozeman Dr_5765_Parkside at Legacy_Plano_18333</t>
  </si>
  <si>
    <t>La Vista Dr_7425_Lakewood Flats_Dallas_18336</t>
  </si>
  <si>
    <t>Sam Houston Pkwy W_NF_Park 8 Residential Tower II_Houston_18337</t>
  </si>
  <si>
    <t>Sam Houston Pkwy W_NF_Park 8 Residential Tower III_Houston_18338</t>
  </si>
  <si>
    <t>21st St W_908_NF_Austin_18339</t>
  </si>
  <si>
    <t>Wellborn Rd_3803_Z Islander_Bryan_18340</t>
  </si>
  <si>
    <t>Maple Ave_5959_The Southwestern_Dallas_18341</t>
  </si>
  <si>
    <t>Toomey Rd_1717_Coldwater_Austin_18342</t>
  </si>
  <si>
    <t>Cresta Avenida_20202_Belleza at Cresta Bella_San Antonio_18343</t>
  </si>
  <si>
    <t>Somerset Rd_1404_Somerset Rd Apts_San Antonio_18344</t>
  </si>
  <si>
    <t>Devine Rd_NF_Devine Condominiums_San Antonio_18345</t>
  </si>
  <si>
    <t>Seagler Rd_3003_Portico at West 8, II_Houston_18346</t>
  </si>
  <si>
    <t>Independence Pkwy_10200_Estancia at Ridgeview Ranch I_Plano_18347</t>
  </si>
  <si>
    <t>Howell St_2717_AMLI Quadrangle_Dallas_18348</t>
  </si>
  <si>
    <t>Ross Ave_2611_The Arts Apts_Dallas_18350</t>
  </si>
  <si>
    <t>Medical Center Dr_7555_Costa Mariposa_Texas City_18351</t>
  </si>
  <si>
    <t>Virginia Pkwy_8690_Greenhaven_McKinney_18353</t>
  </si>
  <si>
    <t>Wintergreen Rd W_431_Bridgemoor at DeSoto_Desoto_18358</t>
  </si>
  <si>
    <t>Grassmere Ln_1920_The Retreat at Stonebridge Ranch_McKinney_18360</t>
  </si>
  <si>
    <t>Jackson Keller Rd_1602_Elan Gardens_San Antonio_18362</t>
  </si>
  <si>
    <t>Cobia Dr_700_Verona at the Reserve_Katy_18363</t>
  </si>
  <si>
    <t>Red Bluff Rd_8300_Preserve at Baywood_Pasadena_18364</t>
  </si>
  <si>
    <t>Studemont St_1400_Verde Studemont_Houston_18365</t>
  </si>
  <si>
    <t>Nassau Bay_NF_Space Center Plaza Apts_Houston_18366</t>
  </si>
  <si>
    <t>288 Hwy_NF_WaterLights District Mixed Use_Pearland_18367</t>
  </si>
  <si>
    <t>Riverside Dr E_1900_South Shore District_Austin_18368</t>
  </si>
  <si>
    <t>1825 FM (Pecan St)_NF_Pacana Mixed Use aka Pecan Street Plaza_Pflugerville_18369</t>
  </si>
  <si>
    <t>79 US_NF_The Crossings of Carmel Creek_Hutto_18370</t>
  </si>
  <si>
    <t>Austin Ave N_103_Two Rivers_Georgetown_18371</t>
  </si>
  <si>
    <t>337 Block Loop_2500-2600_Stone Canyons_New Braunfels_18372</t>
  </si>
  <si>
    <t>Avery Ranch Rd_NF_Pearson Place Apts_Austin_18373</t>
  </si>
  <si>
    <t>Slaughter Ln_NF_Goodnight Ranch Mixed Use_Austin_18374</t>
  </si>
  <si>
    <t>Lamar Blvd N_5400_Camden Lamar Heights_Austin_18375</t>
  </si>
  <si>
    <t>Cumberland Dr_NF_South First &amp; Cumberland Condos_Austin_18376</t>
  </si>
  <si>
    <t>Manderville Ln_NF_Midtown Park_Dallas_18377</t>
  </si>
  <si>
    <t>337 Block Loop_2500-2600_Estates at Stone Crossing Condos_New Braunfels_18378</t>
  </si>
  <si>
    <t>Huebner Rd_8646_Chancellor Huebner Road Apts_San Antonio_18379</t>
  </si>
  <si>
    <t>Kittyhawk Rd_7461_Vantage at Kitty Hawk_Converse_18380</t>
  </si>
  <si>
    <t>Lone Star Blvd_600_Lone Star Brewery Redevelopment_San Antonio_18381</t>
  </si>
  <si>
    <t>Barker Cypress Rd_10880_Waterford Place at Riata Ranch_Cypress_18382</t>
  </si>
  <si>
    <t>Rogers Rd_1701_Gallery 1701_Fort Worth_18383</t>
  </si>
  <si>
    <t>Holley Pkwy_2001_Copper Ridge_Roanoke_18384</t>
  </si>
  <si>
    <t>Atascocita Rd_3918_Woodland Hills_Humble_18385</t>
  </si>
  <si>
    <t>Old Denton Rd_6415_The Haven at Western Center_Fort Worth_18386</t>
  </si>
  <si>
    <t>Boat Club Dr_8201_Villa Lago_Fort Worth_18387</t>
  </si>
  <si>
    <t>Scenic Vista Dr_1200_Westpoint at Scenic Vista_Fort Worth_18388</t>
  </si>
  <si>
    <t>Medical District Dr_2140_21 Forty Medical District_Dallas_18389</t>
  </si>
  <si>
    <t>Valley View Ln_7373_Alexan City North_Dallas_18390</t>
  </si>
  <si>
    <t>Anderson Mill Rd_11908_Amberley Ridge_Austin_18391</t>
  </si>
  <si>
    <t>Crystal Falls Pkwy_202_Crystal Falls Village_Leander_18392</t>
  </si>
  <si>
    <t>Waterway Ave_1_The Millennium Waterway_The Woodlands_18393</t>
  </si>
  <si>
    <t>Lakeline Blvd S_1905_Lakeline Oaks_Cedar Park_18394</t>
  </si>
  <si>
    <t>Lakeline Blvd N_1500_Highland Estates_Cedar Park_18395</t>
  </si>
  <si>
    <t>Lamar Sq Dr_1330_The Willows_Austin_18396</t>
  </si>
  <si>
    <t>Lake Creek Pkwy N_9725_Platinum Lakeline_Austin_18397</t>
  </si>
  <si>
    <t>Huebner Rd_10422_The Preserve on Fredericksburg_San Antonio_18398</t>
  </si>
  <si>
    <t>Burnett St_NF_Hardy Yards Redevelopment_Houston_18399</t>
  </si>
  <si>
    <t>Cockrell Hill Rd N_NF_Pinnacle Ridge Apts II_Dallas_18400</t>
  </si>
  <si>
    <t>Madison Ave S_801_Notre Dame Court Senior Housing_Dallas_18401</t>
  </si>
  <si>
    <t>Las Colinas Blvd W_301_Monterra at Las Colinas_Irving_18404</t>
  </si>
  <si>
    <t>Fleming Dr_12000_Timber Ridge II_Houston_18405</t>
  </si>
  <si>
    <t>361 Hwy S_1400_Legends at Lowe's Farm_Mansfield_18406</t>
  </si>
  <si>
    <t>Centre Station Dr_14301_Broadstone Centreport_Fort Worth_18407</t>
  </si>
  <si>
    <t>SMU Blvd_5609_The Shelby_Dallas_18408</t>
  </si>
  <si>
    <t>SMU Blvd_5600_The BLVD_Dallas_18409</t>
  </si>
  <si>
    <t>Central Expwy N_9837_Glen at Preston Hollow Apts_Dallas_18411</t>
  </si>
  <si>
    <t>Uptown Blvd_NF_Forestar Uptown Cedar Hill_Cedar Hill_18412</t>
  </si>
  <si>
    <t>Congress Ave S_3809_Berkshire SoCo_Austin_18414</t>
  </si>
  <si>
    <t>Red River_901_Red River Flats_Austin_18415</t>
  </si>
  <si>
    <t>Addison Rd_17671_ALARA Villages of Addison_Dallas_18417</t>
  </si>
  <si>
    <t>Roosevelt Ave_2914_San Jose Apts_San Antonio_18419</t>
  </si>
  <si>
    <t>11th St_12200_Santa Fe Plaza_Santa Fe_18420</t>
  </si>
  <si>
    <t>Clearwater Paseo_451_Gardens at Clearwater_Kerrville_18421</t>
  </si>
  <si>
    <t>517 FM_1100 Blk_Mariposa at Bay Colony_League City_18422</t>
  </si>
  <si>
    <t>11th St_12402_Heritage Crossing_Santa Fe_18424</t>
  </si>
  <si>
    <t>Main St_1903_Horizon Meadows_La Marque_18425</t>
  </si>
  <si>
    <t>Ella Blvd_16354_Mariposa at Ella Boulevard_Houston_18426</t>
  </si>
  <si>
    <t>Sam Houston Pkwy N_9835_Sierra Meadows_Humble_18428</t>
  </si>
  <si>
    <t>Little York Rd W_19501_Trebah Village_Katy_18431</t>
  </si>
  <si>
    <t>Mason Rd N_2243_Mason Senior AH_Katy_18432</t>
  </si>
  <si>
    <t>Grapevine Mills Pkwy_3800_Camden Riverwalk II, The Estates_Grapevine_18433</t>
  </si>
  <si>
    <t>Bandera Hwy_1343_Rio Verde_Kerrville_18434</t>
  </si>
  <si>
    <t>Chimney Rock_8850_The Villages at Meyerland I_Houston_18435</t>
  </si>
  <si>
    <t>Chimney Rock_8950_The Villages at Meyerland III_Houston_18436</t>
  </si>
  <si>
    <t>Fallbrook Dr_11707_Mansions at Hastings Green Senior Housing_Houston_18437</t>
  </si>
  <si>
    <t>Little York Rd W_3230_Chelsea Senior Community_Houston_18438</t>
  </si>
  <si>
    <t>Santos St_401_HemisView Village_San Antonio_18440</t>
  </si>
  <si>
    <t>Foster Rd N_5121_Montabella Pointe_San Antonio_18441</t>
  </si>
  <si>
    <t>Aquarena Springs Dr_1980_The Courts at Riverbend_San Marcos_18442</t>
  </si>
  <si>
    <t>Hunter Rd_1951_Purgatory Creek_San Marcos_18443</t>
  </si>
  <si>
    <t>Post Rd_1800_Encino Pointe_San Marcos_18444</t>
  </si>
  <si>
    <t>Berkman Dr_3801_Wildflower Terrace Senior Apts_Austin_18447</t>
  </si>
  <si>
    <t>Saint Augustine Dr N_2300_Crestshire Village_Dallas_18448</t>
  </si>
  <si>
    <t>Mayfield Rd W_600_Belleza Senior Apts_Arlington_18451</t>
  </si>
  <si>
    <t>Basswood Blvd_3600_Alta Fossil Creek_Fort Worth_18454</t>
  </si>
  <si>
    <t>Hi Line Dr_1900_Alta 1900 Lofts_Dallas_18455</t>
  </si>
  <si>
    <t>Sam Houston Pkwy N E_6464_Alta Crossing_Houston_18456</t>
  </si>
  <si>
    <t>Sam Houston Pkwy E N_10373_Alta Pine Forest_Humble_18457</t>
  </si>
  <si>
    <t>Town &amp; Country Blvd_5250_Broadstone Stonebriar_Frisco_18458</t>
  </si>
  <si>
    <t>Leora Ln_650_Bella Madera at Lake Lewisville_Lewisville_18459</t>
  </si>
  <si>
    <t>Polk St S_821_Huntington Ridge_Desoto_18460</t>
  </si>
  <si>
    <t>Greenside Dr_851_The Pradera_Richardson_18461</t>
  </si>
  <si>
    <t>Bilsky Bay Dr_10600_Republic Deer Creek_Fort Worth_18462</t>
  </si>
  <si>
    <t>Parker Rd_NF_Castle Hills Apts _The Colony_18463</t>
  </si>
  <si>
    <t>Addison Rd_15900_The Lofts at Addison Place_Addison_18464</t>
  </si>
  <si>
    <t>Center Ridge Dr_701_Bella Springs at Tech Ridge_Austin_18468</t>
  </si>
  <si>
    <t>Philippine St_14651_Kensington Crossings_Houston_18469</t>
  </si>
  <si>
    <t>Gessner S_6525_Carlingford I_Houston_18470</t>
  </si>
  <si>
    <t>Highmeadow Dr_7600_The Ava_Houston_18471</t>
  </si>
  <si>
    <t>Post Oak Rd N_1255_North Post Oak Lofts_Houston_18472</t>
  </si>
  <si>
    <t>McCreary Rd_NF_Evergreen at Wylie_Wylie_18473</t>
  </si>
  <si>
    <t>Lake Robbins Dr_2323_The Village at The Woodlands Waterway_Spring_18474</t>
  </si>
  <si>
    <t>Dugas Rd_8838_The Falls at Westover Hills_San Antonio_18475</t>
  </si>
  <si>
    <t>Eckhert Rd_6418_The Abbey at Grande Oaks_San Antonio_18476</t>
  </si>
  <si>
    <t>1488 FM_541_Foundations at Woodland_Conroe_18477</t>
  </si>
  <si>
    <t>1488 FM_545_Regency in the Forest_Conroe_18478</t>
  </si>
  <si>
    <t>Overlook Pkwy_25675_The Estates at Lookout Canyon_San Antonio_18479</t>
  </si>
  <si>
    <t>Wilderness Oak_24345_The Mansions at Canyon Springs_San Antonio_18480</t>
  </si>
  <si>
    <t>Bulverde Dr_22800_The Mansions at TPC_San Antonio_18481</t>
  </si>
  <si>
    <t>TPC Pkwy (Cibolo Canyon)_5505_Towers at TPC_San Antonio_18483</t>
  </si>
  <si>
    <t>Babcock Rd_18385_The Estates at Crown Ridge_San Antonio_18484</t>
  </si>
  <si>
    <t>Winterfield Dr_605_The Mansions at Star Ranch Country Club_Hutto_18485</t>
  </si>
  <si>
    <t>Collin McKinney Pkwy_2580_The Estates of McKinney_McKinney_18486</t>
  </si>
  <si>
    <t>Lovers Ln W_1500_Tuscany Square_Arlington_18488</t>
  </si>
  <si>
    <t>Riverside Dr E_1620_AMLI South Shore_Austin_18489</t>
  </si>
  <si>
    <t>2243 Old W_11450_Leander Station Senior Village_Leander_18490</t>
  </si>
  <si>
    <t>Santa Fe_1513_Country Oaks_Weatherford_18491</t>
  </si>
  <si>
    <t>Magnolia St_108_Parkside_Mansfield_18492</t>
  </si>
  <si>
    <t>Pioneer Dr W_4002-4004_Pioneer Court_Irving_18493</t>
  </si>
  <si>
    <t>Martin Luther King Jr Blvd E_2906_M Station_Austin_18494</t>
  </si>
  <si>
    <t>Cleveland St_1201_Gateway at Denton_Denton_18497</t>
  </si>
  <si>
    <t>Yorktown Crossing Pkwy_15903_Yorktown Crossing_Houston_18498</t>
  </si>
  <si>
    <t>McDonald Rd_3700_Cedar Trails_Tyler_18499</t>
  </si>
  <si>
    <t>Calloway Rd_2801_Deerwood_Tyler_18500</t>
  </si>
  <si>
    <t>Paluxy Dr_5058_StoneBrook_Tyler_18501</t>
  </si>
  <si>
    <t>Cumberland Rd W_2051_Cumberland Place_Tyler_18503</t>
  </si>
  <si>
    <t>Joe Ramsey Blvd_4900_Solarium_Greenville_18505</t>
  </si>
  <si>
    <t>Old Omen Rd_4350_Summerwood_Tyler_18506</t>
  </si>
  <si>
    <t>CR 272 (Adam Henry Rd)_2851_The Reserve_Tyler_18507</t>
  </si>
  <si>
    <t>Chadwick Pkwy_13900_Chadwick Apts_Northlake_18508</t>
  </si>
  <si>
    <t>Cromwell Dr_4925_Vantage at Plum Creek_Kyle_18509</t>
  </si>
  <si>
    <t>Presidio Vista Dr_2301_The Wyatt at Presidio Junction_Fort Worth_18510</t>
  </si>
  <si>
    <t>Presidio Vista Dr_2332_Presidio Junction Apts II_Fort Worth_18511</t>
  </si>
  <si>
    <t>323 Loop SE S_2611_Aspen Place_Tyler_18513</t>
  </si>
  <si>
    <t>323 Loop SE S_2601_Fox Run_Tyler_18514</t>
  </si>
  <si>
    <t>Paluxy_4400_Kensington Place_Tyler_18515</t>
  </si>
  <si>
    <t>Troup Hwy (Hwy 110)_4400_River Oaks_Tyler_18516</t>
  </si>
  <si>
    <t>Cedar Springs_4533_The Dylan Residences_Dallas_18518</t>
  </si>
  <si>
    <t>Old Denton Rd_8828_Riverside Villas_Fort Worth_18519</t>
  </si>
  <si>
    <t>Shady Shores Rd_6503_The Lodge at Pecan Creek_Denton_18523</t>
  </si>
  <si>
    <t>Old Angleton Rd_1218_Casa Brazoria_Clute_18528</t>
  </si>
  <si>
    <t>Calaveras St S_2404_San Juan Square II_San Antonio_18530</t>
  </si>
  <si>
    <t>Four Seasons Ln_1500_Four Seasons at Clear Creek_Fort Worth_18532</t>
  </si>
  <si>
    <t>Masch Branch Rd_4821_Estate Villas at Krum_Krum_18535</t>
  </si>
  <si>
    <t>Burnet Rd_5350_AMLI 5350_Austin_18536</t>
  </si>
  <si>
    <t>AW Grimes Blvd S_300_Colonial Grand at Ashton Oaks_Round Rock_18537</t>
  </si>
  <si>
    <t>University Blvd_1700_Fairway Knoll at Teravista_Round Rock_18538</t>
  </si>
  <si>
    <t>Hidden Valley Dr_901_Las Brisas_Round Rock_18539</t>
  </si>
  <si>
    <t>620 RR N_15510_The Park at Brushy Creek_Austin_18540</t>
  </si>
  <si>
    <t>Greenhill Dr_610_The Trails at Crystal Park_Round Rock_18541</t>
  </si>
  <si>
    <t>Walnut St_1900_Walnut Ridge_Bastrop_18542</t>
  </si>
  <si>
    <t>Bitters Rd W_1440_Escalante_San Antonio_18544</t>
  </si>
  <si>
    <t>Galicia Ln_1160_Hacienda del Sol_Dallas_18545</t>
  </si>
  <si>
    <t>121 SH_NF_Verona Villas_Carrollton_18547</t>
  </si>
  <si>
    <t>Crow Ln_6212_The Retreat at North Bluff_Austin_18549</t>
  </si>
  <si>
    <t>UTSA Blvd_6676_Avalon Place_San Antonio_18551</t>
  </si>
  <si>
    <t>Harvey Mitchell Pkwy_1725_The Woodlands of College Station_College Station_18555</t>
  </si>
  <si>
    <t>Randol Mill Rd_8472_Mill Stone_Fort Worth_18556</t>
  </si>
  <si>
    <t>Tennessee St S_1200_Merritt Homes_McKinney_18557</t>
  </si>
  <si>
    <t>Chase Oaks Blvd_7112_Tuscany Villas at Chase Oaks_Plano_18558</t>
  </si>
  <si>
    <t>Patrol Way_6712_Magnolia Trace_Dallas_18559</t>
  </si>
  <si>
    <t>Mustang Dr_3101_Village on the Creek_Grapevine_18561</t>
  </si>
  <si>
    <t>Katy Fort Bend Rd_2150_The Marquis at Katy_Katy_18562</t>
  </si>
  <si>
    <t>Sam Houston Pkwy E N_7800_ARIUM Fall Creek_Humble_18564</t>
  </si>
  <si>
    <t>Pecan St S_1225_Johnson Creek Crossing_Arlington_18565</t>
  </si>
  <si>
    <t>Vitruvian Way_3850_Savoye Squared (Vitruvian Park II)_Addison_18566</t>
  </si>
  <si>
    <t>Tomball Pkwy_19401_The Discovery at Mandolin_Houston_18567</t>
  </si>
  <si>
    <t>Business Center Dr_2526_The Discovery at Shadow Creek Ranch_Pearland_18568</t>
  </si>
  <si>
    <t>Midpark Rd_8550_Midpark Towers_Dallas_18570</t>
  </si>
  <si>
    <t>Yager Ln E_305_ARIUM Tech Ridge_Austin_18571</t>
  </si>
  <si>
    <t>Samuels Ave_520_Lincoln Park at Trinity Bluff TH_Fort Worth_18572</t>
  </si>
  <si>
    <t>Cinco Terrace Dr_24333_Park at Cinco Ranch_Katy_18573</t>
  </si>
  <si>
    <t>Vistacourt Dr_350_Gateway_Plano_18575</t>
  </si>
  <si>
    <t>Alsbury Blvd SW_1350_Encore Alsbury_Burleson_18576</t>
  </si>
  <si>
    <t>N St_350_The Sanctuary Lofts_San Marcos_18577</t>
  </si>
  <si>
    <t>Park Central Dr_1701_Parkview Legends_McKinney_18578</t>
  </si>
  <si>
    <t>Village Way_705_Cotton Crossing_New Braunfels_18579</t>
  </si>
  <si>
    <t>Huisache Ave_1231_Braunfels Place_New Braunfels_18581</t>
  </si>
  <si>
    <t>Huebner Rd_7838_Boardwalk Med Center_San Antonio_18585</t>
  </si>
  <si>
    <t>39th St SW_339_Casitas de Villa Corona Senior Housing_San Antonio_18586</t>
  </si>
  <si>
    <t>34th St W_880_The Orchard at Garden Oaks_Houston_18589</t>
  </si>
  <si>
    <t>Sam Houston Pkwy W S_7950.5_Floral Gardens_Houston_18592</t>
  </si>
  <si>
    <t>Irvington Blvd_4004_Avenue Terrace_Houston_18593</t>
  </si>
  <si>
    <t>Northline Dr_7211_Northline AH_Houston_18594</t>
  </si>
  <si>
    <t>Beechnut St_13650_Campanile on Eldridge_Houston_18595</t>
  </si>
  <si>
    <t>Minnesota St_9590_Sterling Court Senior Residences_Houston_18596</t>
  </si>
  <si>
    <t>W Rd_19015_Greenhouse Village_Cypress_18597</t>
  </si>
  <si>
    <t>Scott St_11409_South Acres Ranch II_Houston_18598</t>
  </si>
  <si>
    <t>Brownstone Place_2800_Pearland Senior Village_Pearland_18600</t>
  </si>
  <si>
    <t>Lakeside Cir_889_Hebron 121 Station II- Tuscan Village_Lewisville_18604</t>
  </si>
  <si>
    <t>Lakeside Cir_889_Hebron 121 Station III-Southern Coastal Village_Lewisville_18605</t>
  </si>
  <si>
    <t>Lakecrest View Dr_17807_The Lakeview Lofts_Cypress_18606</t>
  </si>
  <si>
    <t>Barker-Clodine Rd_529_Carroll at Green Trails_Houston_18608</t>
  </si>
  <si>
    <t>Westheimer Rd_13099_Waterford on Westheimer_Houston_18609</t>
  </si>
  <si>
    <t>12 RR_1818_Dakota Ranch_San Marcos_18610</t>
  </si>
  <si>
    <t>Babcock Rd_14333_Villas at Babcock_San Antonio_18611</t>
  </si>
  <si>
    <t>Katy Fort Bend Rd_1550_Grand Villas_Katy_18612</t>
  </si>
  <si>
    <t>Egret Bay Blvd S_1800_Grand Villas at Tuscan Lakes_League City_18613</t>
  </si>
  <si>
    <t>Chenevert St_3603_Midtown Grove_Houston_18614</t>
  </si>
  <si>
    <t>Harvey Mitchell Pkwy_1711_Campus Village at College Station_College Station_18616</t>
  </si>
  <si>
    <t>Oakenwald St E_390_Zang Triangle_Dallas_18617</t>
  </si>
  <si>
    <t>Dallas St W_2900_2900 West Dallas_Houston_18618</t>
  </si>
  <si>
    <t>Bee St_NF_Pike St Apts_Farmers Branch_18619</t>
  </si>
  <si>
    <t>Delaware St S_NF_Delaware Street TH_Irving_18620</t>
  </si>
  <si>
    <t>Kiest Blvd E_2906_MF Housing Development at Cedar Glen I_Dallas_18621</t>
  </si>
  <si>
    <t>Kiest Blvd E_2908_MF Housing Development at Cedar Glen II_Dallas_18622</t>
  </si>
  <si>
    <t>Pinnacle Park Blvd_1150_Taylors Farm_Dallas_18623</t>
  </si>
  <si>
    <t>156 FM S_700_Estate Villas of Justin_Justin_18624</t>
  </si>
  <si>
    <t>Oak St W_1221_Sterling Fry Street_Denton_18625</t>
  </si>
  <si>
    <t>Corinth Dr S_2010_The Boulevard Corinth_Corinth_18626</t>
  </si>
  <si>
    <t>Broadway Dr_4200_Park Central at Flower Mound_Flower Mound_18627</t>
  </si>
  <si>
    <t>Fort Worth Dr_701_The Grove at Denton_Denton_18628</t>
  </si>
  <si>
    <t>Hebron Pkwy E_1701_Colonial Grand at Hebron_Carrollton_18629</t>
  </si>
  <si>
    <t>Frazier N_2455_Skytop_Conroe_18630</t>
  </si>
  <si>
    <t>Culebra Rd_11727_Carmel Canyon_San Antonio_18633</t>
  </si>
  <si>
    <t>Fort Worth Ave_2522_Avalon at Kessler Park_Dallas_18634</t>
  </si>
  <si>
    <t>Fort Worth Ave_2300_The Orleans at La Reunion_Dallas_18635</t>
  </si>
  <si>
    <t>Fort Worth Ave_2201_Courtyards at La Reunion_Dallas_18636</t>
  </si>
  <si>
    <t>Shadow Creek Pkwy_12400_Carroll at Shadow Creek Ranch_Pearland_18638</t>
  </si>
  <si>
    <t>67 Hwy E_250_Bella Ruscello_Duncanville_18639</t>
  </si>
  <si>
    <t>Alamo Ranch Pkwy_11585_Alamo Ranch_San Antonio_18640</t>
  </si>
  <si>
    <t>Gaylord Dr_9870_The Fountains at Memorial City_Houston_18641</t>
  </si>
  <si>
    <t>Mason Rd S_NF_Legends at Cinco Ranch II_Katy_18642</t>
  </si>
  <si>
    <t>Mill St_1701_Copper Beech_San Marcos_18644</t>
  </si>
  <si>
    <t>Hillcrest Ln_155_San Gabriel Crossing_Liberty Hill_18646</t>
  </si>
  <si>
    <t>Fountain View Dr_2930_Fountain Spring_Houston_18648</t>
  </si>
  <si>
    <t>Vitruvian Way_3900_Fiori (Vitruvian Park III)_Addison_18649</t>
  </si>
  <si>
    <t>287 Hwy Bypass W_1250_Hunter's Cove_Waxahachie_18650</t>
  </si>
  <si>
    <t>Canfield St_3800_Twelve Canfield Place_Houston_18652</t>
  </si>
  <si>
    <t>Southmore Blvd_2412_Southmore Gardens_Houston_18653</t>
  </si>
  <si>
    <t>Glade Rd W_400_Glade Corners_Grapevine_18654</t>
  </si>
  <si>
    <t>Sumner St_6900_Austin Ranch V-Blvd_The Colony_18655</t>
  </si>
  <si>
    <t>Fayridge Dr_14155_Cypress Creek at Fayridge Drive_Houston_18656</t>
  </si>
  <si>
    <t>90 Hwy_11511_Cypress Gardens_Houston_18657</t>
  </si>
  <si>
    <t>Montgomery Rd W_10000 Blk_Parkway Ranch II_Houston_18658</t>
  </si>
  <si>
    <t>Webster St_2100_Zion Gardens_Houston_18659</t>
  </si>
  <si>
    <t>Southdown Trace Trl_10603_Tarrington Court_Houston_18661</t>
  </si>
  <si>
    <t>Sheldon Rd_975_Pine Trail Homes_Channelview_18662</t>
  </si>
  <si>
    <t>Scott St_11409_South Acres Ranch I_Houston_18663</t>
  </si>
  <si>
    <t>Meadow St_1541_Campus Park_Denton_18665</t>
  </si>
  <si>
    <t>Clark Rd S_201_High Pointe Village II_Cedar Hill_18666</t>
  </si>
  <si>
    <t>Ryan Dr S_200_Red Oak Town Village II_Red Oak_18667</t>
  </si>
  <si>
    <t>Alabama St W_219_Skylane Midtown_Houston_18668</t>
  </si>
  <si>
    <t>.5 Tidwell Rd W_1305-2225_The Enclave_Houston_18669</t>
  </si>
  <si>
    <t>Kimberely Ln_14222_The Nottingham Village II_Houston_18670</t>
  </si>
  <si>
    <t>Stonewood Dr_6301_Villas of Spring Creek II_Plano_18671</t>
  </si>
  <si>
    <t>Amesbury Dr_5025_Amesbury Apts_Dallas_18672</t>
  </si>
  <si>
    <t>71st St_2311_Coastal Breeze_Galveston_18673</t>
  </si>
  <si>
    <t>Frisco Sq Blvd_6255_The Residences at Frisco Square-The Boulevard_Frisco_18674</t>
  </si>
  <si>
    <t>Gramercy St_2600_Broadstone Gramercy (2600)_Houston_18675</t>
  </si>
  <si>
    <t>Gramercy St_2601_Broadstone Gramercy (2601)_Houston_18676</t>
  </si>
  <si>
    <t>Millbend Dr S_2500_The Woodlands Lodge_The Woodlands_18677</t>
  </si>
  <si>
    <t>Baker Rd W_2200_Lynn at Country Club_Baytown_18678</t>
  </si>
  <si>
    <t>Emmet Hutto Blvd_3717_The Villas at Rollingbrook_Baytown_18679</t>
  </si>
  <si>
    <t>52nd St_2120_Oakglen_Dallas_18680</t>
  </si>
  <si>
    <t>Blanco Rd_5211-5231_Santa Fe Square Manor_San Antonio_18681</t>
  </si>
  <si>
    <t>Orem Dr W_6105_Corinthian Village_Houston_18683</t>
  </si>
  <si>
    <t>Northpark Plaza Dr_150_Discovery at Kingwood_Kingwood_18684</t>
  </si>
  <si>
    <t>Escena Blvd_6401_AMLI at Escena_Irving_18686</t>
  </si>
  <si>
    <t>Hi Line Dr_1400_1400 Hi Line_Dallas_18687</t>
  </si>
  <si>
    <t>White Settlement Rd_2385_Meadow Vista_Weatherford_18688</t>
  </si>
  <si>
    <t>Castle Dr_1802_HomeTowne at Garland_Garland_18689</t>
  </si>
  <si>
    <t>Rogers Rd_1818_The Villas in Westover Hills_San Antonio_18691</t>
  </si>
  <si>
    <t>Ave A_503_CAN Plant Residences at Pearl_San Antonio_18692</t>
  </si>
  <si>
    <t>Cleveland St_905_Midtown Denton_Denton_18694</t>
  </si>
  <si>
    <t>1st St S_3715_Oak Meadows_Austin_18695</t>
  </si>
  <si>
    <t>Ame Dr_401_Gardens of Denton_Denton_18696</t>
  </si>
  <si>
    <t>Main St_4640_Midtown Terrace Suites_Houston_18698</t>
  </si>
  <si>
    <t>Murray Farm Rd_344_Colonial Grand at Fairview_Fairview_18700</t>
  </si>
  <si>
    <t>Wilson Rd_4775_Carrington at Park Lakes_Humble_18701</t>
  </si>
  <si>
    <t>Old Holzwarth Rd_2111_Waterstone_Spring_18702</t>
  </si>
  <si>
    <t>Crescent Plaza Dr_1755_The Domain at Eldridge_Houston_18703</t>
  </si>
  <si>
    <t>Congress St_1414_1414 Congress_Houston_18704</t>
  </si>
  <si>
    <t>1st St S_11001_Colonial Grand at Double Creek_Austin_18705</t>
  </si>
  <si>
    <t>Weaver Dr_4222_Royal North_Houston_18706</t>
  </si>
  <si>
    <t>Valley Pkwy S_2436_Cypress_Lewisville_18707</t>
  </si>
  <si>
    <t>Burke Rd_3400_Hampshire Court_Pasadena_18708</t>
  </si>
  <si>
    <t>McCue Rd_2525_Millennium Uptown_Houston_18709</t>
  </si>
  <si>
    <t>Gray St W_1340_Hanover West Gray_Houston_18710</t>
  </si>
  <si>
    <t>Gray St W_1916_Graybelle_Houston_18711</t>
  </si>
  <si>
    <t>Kirby Dr_2800_Gables West Ave II_Houston_18712</t>
  </si>
  <si>
    <t>Kirby Dr_NF_Gables West Ave III_Houston_18713</t>
  </si>
  <si>
    <t>Arbor Hills Way_NF_Austin Ranch VI-Oaks_The Colony_18714</t>
  </si>
  <si>
    <t>Kuykendahl Rd_15331_Cypresswood Estates_Houston_18715</t>
  </si>
  <si>
    <t>Dallas Pkwy_15605_Allegro Addison Circle II_Addison_18716</t>
  </si>
  <si>
    <t>Riverside Dr E_1300_RiverView_Austin_18718</t>
  </si>
  <si>
    <t>Waterloo City Ln_2223_Lakeshore Pearl_Austin_18719</t>
  </si>
  <si>
    <t>Deerbrook Park Blvd_19777_Deerbrook Place_Humble_18720</t>
  </si>
  <si>
    <t>Stone Oak Pkwy_20659_The Abbey at Stone Oak_San Antonio_18721</t>
  </si>
  <si>
    <t>Richmond Ave_510_Post Richmond Avenue_Houston_18722</t>
  </si>
  <si>
    <t>Sunnyvale St_4836_Sunrise Village_Dallas_18723</t>
  </si>
  <si>
    <t>Noel Rd_14145_San Raphael II_Dallas_18724</t>
  </si>
  <si>
    <t>1604 Loop N W_3010_Camden Westover Hills_San Antonio_18726</t>
  </si>
  <si>
    <t>College Park Dr_4400_The Retreat at The Woodlands_The Woodlands_18727</t>
  </si>
  <si>
    <t>Chenevert St N_15_City View Lofts_Houston_18728</t>
  </si>
  <si>
    <t>Market Center Blvd_1955_Avant_Dallas_18729</t>
  </si>
  <si>
    <t>Sovereign Rd_14500_Broadstone Centreport II_Fort Worth_18730</t>
  </si>
  <si>
    <t>UTA Blvd_1001_Campus Edge on UTA Blvd_Arlington_18731</t>
  </si>
  <si>
    <t>5th St_1000_Corazon Apts_Austin_18732</t>
  </si>
  <si>
    <t>Lamar Blvd S_2700_Lamar-Manchaca Apts_Austin_18733</t>
  </si>
  <si>
    <t>Harmon Ave_3400_University Park Apts_Austin_18734</t>
  </si>
  <si>
    <t>Flores St S_1401_Steel House Lofts_San Antonio_18735</t>
  </si>
  <si>
    <t>Main St S_1011_UNION at Carrollton Square_Carrollton_18736</t>
  </si>
  <si>
    <t>Maint St S_NF_UNION at Carrollton Square II_Carrollton_18737</t>
  </si>
  <si>
    <t>Broadway St_1915_Mosaic on Broadway_San Antonio_18738</t>
  </si>
  <si>
    <t>Cutten Rd_15500_San Antigua_Houston_18739</t>
  </si>
  <si>
    <t>Custer Rd S_4101_Discovery at Rowlett Creek_McKinney_18740</t>
  </si>
  <si>
    <t>Boyd Dr_401_Stoneledge_Grapevine_18741</t>
  </si>
  <si>
    <t>Buffalo Spdwy_10201_The Connection at Buffalo Pointe_Houston_18742</t>
  </si>
  <si>
    <t>1488 FM_245_The Mansions Woodland_Conroe_18743</t>
  </si>
  <si>
    <t>Rand St_5518_Lockwood Landing III_Houston_18744</t>
  </si>
  <si>
    <t>Rand St_5431_Lockwood Landing IV_Houston_18745</t>
  </si>
  <si>
    <t>Shepherd Dr S_3100 blk_Shepherd Alabama Apts_Houston_18746</t>
  </si>
  <si>
    <t>Richmond Ave_3788_Pearl Greenway_Houston_18747</t>
  </si>
  <si>
    <t>Carlisle St_3030_The Taylor_Dallas_18748</t>
  </si>
  <si>
    <t>Lamar Blvd S_1000_Greystar Lamar Plaza Mixed Use_Austin_18749</t>
  </si>
  <si>
    <t>LBJ Fwy_4801-4825_Greystar Galleria Lofts_Farmers Branch_18750</t>
  </si>
  <si>
    <t>Lamar Blvd S_1219_Gibson Flats_Austin_18751</t>
  </si>
  <si>
    <t>McNeil Dr_9415_Promesa_Austin_18752</t>
  </si>
  <si>
    <t>Hackberry Rd_NF_Cypress Waters Apts_Coppell_18753</t>
  </si>
  <si>
    <t>Brazos St_301_The Whitley_Austin_18754</t>
  </si>
  <si>
    <t>Evans Rd_1234_Evans Ranch_San Antonio_18756</t>
  </si>
  <si>
    <t>Borgfeld Rd_1222_Merritt Lakeside_Schertz_18757</t>
  </si>
  <si>
    <t>Potranco Rd_7727_Westover Oaks_San Antonio_18758</t>
  </si>
  <si>
    <t>151 SH_8615_Tacara Westover Hills_San Antonio_18759</t>
  </si>
  <si>
    <t>281 US Hwy N_NF_Tacara Stone Oak_San Antonio_18760</t>
  </si>
  <si>
    <t>Rogers Rd_2210_Slate Creek at Westover Hills_San Antonio_18761</t>
  </si>
  <si>
    <t>Cheryl Dr W_330_Woodlawn Ranch_San Antonio_18762</t>
  </si>
  <si>
    <t>Leal St_600_The Terrace at Haven for Hope_San Antonio_18763</t>
  </si>
  <si>
    <t>Cromwell Dr_4850_The Overlook at Plum Creek_Kyle_18764</t>
  </si>
  <si>
    <t>Lakes at 610 Dr_8811_Lakes at 610_Houston_18765</t>
  </si>
  <si>
    <t>Meadowglen Ln_11805_Camden Royal Oaks II_Houston_18766</t>
  </si>
  <si>
    <t>Wenda St_4647_Magnolia Place_Houston_18767</t>
  </si>
  <si>
    <t>Marion Pugh Dr_801_U Club TH on Marion Pugh_College Station_18768</t>
  </si>
  <si>
    <t>Dunstan Rd_2455_Ashton Rice Village_Houston_18769</t>
  </si>
  <si>
    <t>Sienna Ranch Rd_6303_Watermark at Sienna Plantation_Missouri City_18770</t>
  </si>
  <si>
    <t>Hardrock Rd_2515_Chateau at Wildbriar Lake_Irving_18771</t>
  </si>
  <si>
    <t>Hickory St_8625_Old Hickory Square at Frisco_Frisco_18772</t>
  </si>
  <si>
    <t>Wonderview Ln_NF_Wonderview Senior Apts_Dallas_18773</t>
  </si>
  <si>
    <t>Bell Ave S_214_Victoria Station_Denton_18774</t>
  </si>
  <si>
    <t>Bowens Crossing St_8711_The Villages at Bowens Crossing_San Antonio_18775</t>
  </si>
  <si>
    <t>Woodlake Pkwy (78 FM)_7027_Republic Woodlake_San Antonio_18776</t>
  </si>
  <si>
    <t>Turtle Rock Rd_12800_Villages at Turtle Rock_Austin_18777</t>
  </si>
  <si>
    <t>San Felipe St_5740_Gables Tanglewood_Houston_18778</t>
  </si>
  <si>
    <t>Park Place Blvd_100_Waterford at Summer Park_Rosenberg_18779</t>
  </si>
  <si>
    <t>Oak Grove Ave_NF_Uptown Lemmon Avenue_Dallas_18780</t>
  </si>
  <si>
    <t>Arena Dr_NF_South Shore-Town Lake 1B_Austin_18781</t>
  </si>
  <si>
    <t>Williams_510_Bluebird_Baytown_18782</t>
  </si>
  <si>
    <t>Church St_2101_2101 Church Street Apts_Galveston_18783</t>
  </si>
  <si>
    <t>Rainey St_47_SkyHouse Austin_Austin_18784</t>
  </si>
  <si>
    <t>Main St N_3610_Main Street Commons_Taylor_18785</t>
  </si>
  <si>
    <t>Washington Ave_2411_24Eleven Washington_Houston_18786</t>
  </si>
  <si>
    <t>Grapevine Mills Blvd N_3225_Terrawood_Grapevine_18787</t>
  </si>
  <si>
    <t>Cabelas Dr_1480_Silverado Crossing_Buda_18788</t>
  </si>
  <si>
    <t>Reading Rd_NF_Brazos Senior Village_Rosenberg_18789</t>
  </si>
  <si>
    <t>Greensmark_1580_Faith Village_Houston_18790</t>
  </si>
  <si>
    <t>Hall St N_3535_Belmont Village Turtle Creek_Dallas_18791</t>
  </si>
  <si>
    <t>Davis St W_1836_Alta West Davis_Dallas_18792</t>
  </si>
  <si>
    <t>Travis St_4500_Travis Street Plaza_Houston_18793</t>
  </si>
  <si>
    <t>Queenston Blvd_6700_Queenston Manor_Houston_18794</t>
  </si>
  <si>
    <t>Shining Sumac Ave_NF_Mariposa at FM 529_Houston_18795</t>
  </si>
  <si>
    <t>Weslayan St_2801_2801 Weslayan_Houston_18796</t>
  </si>
  <si>
    <t>Richmond Ave_5455_Elan at Avenue R_Houston_18797</t>
  </si>
  <si>
    <t>Brownway St_5250_Sage West_Houston_18798</t>
  </si>
  <si>
    <t>Block Cutten Rd_15700_Vintage Apts 4_Houston_18799</t>
  </si>
  <si>
    <t>Hidalgo St_NF_WaterWall Place_Houston_18800</t>
  </si>
  <si>
    <t>Smith St_3101_Pearl Midtown_Houston_18801</t>
  </si>
  <si>
    <t>Dallas St W_1616_Broadstone West Dallas_Houston_18803</t>
  </si>
  <si>
    <t>Westpark Dr_10801_Orchard at Westchase_Houston_18804</t>
  </si>
  <si>
    <t>Tanglewilde St_2630_Alta Woodlake Square_Houston_18805</t>
  </si>
  <si>
    <t>Rusk St_1111_Texaco Bldg Conversion_Houston_18806</t>
  </si>
  <si>
    <t>Mason Rd S_6855_Waterstone at Cinco Ranch_Katy_18807</t>
  </si>
  <si>
    <t>Richmond Ave_1301_The Muse_Houston_18808</t>
  </si>
  <si>
    <t>Partnership Way_NF_Williamsburg Apts I_Katy_18809</t>
  </si>
  <si>
    <t>Block Gray St_1400-1500_Milhaus Midtown_Houston_18810</t>
  </si>
  <si>
    <t>Anders Ln_NF_Phillips Kemah_Kemah_18811</t>
  </si>
  <si>
    <t>Katy Ranch Rd_24929_Watermark at Katy Ranch_Katy_18812</t>
  </si>
  <si>
    <t>Broadway St_12501_The Avenues at Shadow Creek Ranch_Pearland_18813</t>
  </si>
  <si>
    <t>Imperial Blvd_NF_Imperial Sugar Land_Sugar Land_18814</t>
  </si>
  <si>
    <t>Wilson St_2602_Flats on Wilson_Austin_18815</t>
  </si>
  <si>
    <t>Congress Ave S_4367_Flats on South Congress_Austin_18816</t>
  </si>
  <si>
    <t>Lamar Blvd N_5210_Flats on Lamar_Austin_18817</t>
  </si>
  <si>
    <t>Barton Springs Rd_NF_Sterzing and Barton Springs Apts_Austin_18818</t>
  </si>
  <si>
    <t>Lamar Blvd S_NF_Hanover South Lamar_Austin_18819</t>
  </si>
  <si>
    <t>Flores St S_1010_The Viceroy_San Antonio_18820</t>
  </si>
  <si>
    <t>Summercrest Blvd NW_1320_Dolce Living Burleson_Burleson_18821</t>
  </si>
  <si>
    <t>Monterra Blvd_8301_Monterra Village II_Fort Worth_18822</t>
  </si>
  <si>
    <t>Eagle Dr_919_33 North_Denton_18823</t>
  </si>
  <si>
    <t>Lancaster Ave W_2920_The Lancaster_Fort Worth_18824</t>
  </si>
  <si>
    <t>Currie St_1020_White Buffalo_Fort Worth_18825</t>
  </si>
  <si>
    <t>Custer Pkwy_3650_Alta Creekside_Richardson_18826</t>
  </si>
  <si>
    <t>Skyline Dr_NF_Platinum Skyline_McKinney_18827</t>
  </si>
  <si>
    <t>Ave of the Stars_3150_Ablon at Frisco Bridges_Frisco_18828</t>
  </si>
  <si>
    <t>Las Colinas Blvd_5349-5373_Lakepointe at Las Colinas_Irving_18829</t>
  </si>
  <si>
    <t>Greenbriar St_4100_District at Greenbriar_Houston_18830</t>
  </si>
  <si>
    <t>Maple Ave_6008_The EON at Maple_Dallas_18831</t>
  </si>
  <si>
    <t>Commerce_1810_Mercantile Place-The Continental_Dallas_18832</t>
  </si>
  <si>
    <t>Jackson St_1900_Atmos Lofts_Dallas_18833</t>
  </si>
  <si>
    <t>John Q Hammons Dr_7755_AMLI at the Ballpark_Frisco_18835</t>
  </si>
  <si>
    <t>Renfro St E_444_Reserve at Village Creek_Burleson_18836</t>
  </si>
  <si>
    <t>Star Rd N_3551_Evergreen at Richardson_Richardson_18837</t>
  </si>
  <si>
    <t>Triangle Blvd_4616_The Lofts at the Triangle_Austin_18838</t>
  </si>
  <si>
    <t>Guadalupe St W_4600_Triangle II-Residences_Austin_18839</t>
  </si>
  <si>
    <t>151 SH_12105_Westover Springs_San Antonio_18840</t>
  </si>
  <si>
    <t>Dallas St E_1300_Tanglewood_Mansfield_18841</t>
  </si>
  <si>
    <t>35 IH S_7700_Ladera Hill Country_Austin_18843</t>
  </si>
  <si>
    <t>Craddock Ave_512_The Retreat at San Marcos_San Marcos_18844</t>
  </si>
  <si>
    <t>Reading Rd_7145_Dolce Living at Rosenberg_Rosenberg_18845</t>
  </si>
  <si>
    <t>26th St W_510_GrandMarc Austin_Austin_18846</t>
  </si>
  <si>
    <t>1488 FM Rd_5402_Landmark of Magnolia_Magnolia_18847</t>
  </si>
  <si>
    <t>Nagle St_501_Normandy Square_College Station_18848</t>
  </si>
  <si>
    <t>Parliament St_11903_Sir Winston Villas_San Antonio_18851</t>
  </si>
  <si>
    <t>NW Hwy W_401_Lincoln Las Colinas_Irving_18852</t>
  </si>
  <si>
    <t>Forest Park Rd_5940_Alexan Medical District_Dallas_18854</t>
  </si>
  <si>
    <t>University Blvd E_5920_The Standard_Dallas_18855</t>
  </si>
  <si>
    <t>Lakeline Blvd_NF_Lakeline East_Cedar Park_18856</t>
  </si>
  <si>
    <t>Huebner Rd_8638_Arden Park_San Antonio_18857</t>
  </si>
  <si>
    <t>Sonterra Blvd E_600_Siena on Sonterra_San Antonio_18858</t>
  </si>
  <si>
    <t>Spring Green Blvd_10441_Lakeside Villas at Cinco Ranch_Katy_18859</t>
  </si>
  <si>
    <t>Post Oak Blvd_3100_Broadstone Post Oak_Houston_18860</t>
  </si>
  <si>
    <t>Blackburn St_2990_Allure_Dallas_18861</t>
  </si>
  <si>
    <t>Southwestern Blvd_8749_The Bluffs-Redevelopment_Dallas_18862</t>
  </si>
  <si>
    <t>Forest Park Blvd_3120_LoftVue_Fort Worth_18863</t>
  </si>
  <si>
    <t>University Dr_3201_The Vue on University Drive_Fort Worth_18864</t>
  </si>
  <si>
    <t>Carlisle St_3003_3003 Carlisle_Dallas_18865</t>
  </si>
  <si>
    <t>Harry Hines Blvd_2711_Alamo Manhattan Victory_Dallas_18866</t>
  </si>
  <si>
    <t>Manchaca Rd_4013_Woods at Manchaca_Austin_18867</t>
  </si>
  <si>
    <t>Heights Blvd_145_Alta Heights_Houston_18868</t>
  </si>
  <si>
    <t>Lake Carolyn Pkwy_850_Alexan Urban Center_Irving_18869</t>
  </si>
  <si>
    <t>Yellow Jacket Ln W_970_Sonoma Court_Rockwall_18871</t>
  </si>
  <si>
    <t>Carrollton Pkwy_1440_The Mansions at Sunset Ridge_Carrollton_18876</t>
  </si>
  <si>
    <t>El Dorado Blvd W_220_Villas at El Dorado_Friendswood_18877</t>
  </si>
  <si>
    <t>Holzwarth Rd_NF_The Belvedere at Springwoods Village_Spring_18878</t>
  </si>
  <si>
    <t>11th St E_807_Eleven_Austin_18879</t>
  </si>
  <si>
    <t>21st St W_911_21Pearl_Austin_18880</t>
  </si>
  <si>
    <t>Estate Hill Dr_22202_The Springs at Stone Oak Village_San Antonio_18881</t>
  </si>
  <si>
    <t>Old Denton Rd_13100 Blk_Overlook Ranch_Fort Worth_18884</t>
  </si>
  <si>
    <t>Saint Johns W_NF_Midtown Commons II_Austin_18885</t>
  </si>
  <si>
    <t>Pinnacle Park Blvd_NF_Hillside West Seniors Community_Dallas_18893</t>
  </si>
  <si>
    <t>Bowie St_311_3 Eleven Bowie_Austin_18894</t>
  </si>
  <si>
    <t>Central Expwy N_4030_The Residences at Cityplace_Dallas_18897</t>
  </si>
  <si>
    <t>Gruene Rd_NF_Ranch at the Guadalupe_New Braunfels_18898</t>
  </si>
  <si>
    <t>Bissonnet St_7400_Le Promenade_Houston_18902</t>
  </si>
  <si>
    <t>Dallas St W_3233_The Sovereign_Houston_18903</t>
  </si>
  <si>
    <t>TC Jester Blvd_230_The District at Washington_Houston_18904</t>
  </si>
  <si>
    <t>Houston St_2400_The Arpeggio Victory Park_Dallas_18910</t>
  </si>
  <si>
    <t>Solon Place Way_1000_Solon Place_Waxahachie_18911</t>
  </si>
  <si>
    <t>Barker Cypress Rd_12515_Watermark at Grand Cypress_Cypress_18916</t>
  </si>
  <si>
    <t>Law St_3810_Alexan West University_Houston_18917</t>
  </si>
  <si>
    <t>Las Palmas_3237_Willowick Court Redevelopment_Houston_18918</t>
  </si>
  <si>
    <t>Greenville Ave N_NF_GreenVUE_Richardson_18919</t>
  </si>
  <si>
    <t>Lake Ridge Rd_NF_Pine Prairie I_Lewisville_18920</t>
  </si>
  <si>
    <t>Lake Ridge Rd_NF_Pine Prairie II_Lewisville_18921</t>
  </si>
  <si>
    <t>Eldridge Pkwy N_770_Broadstone Energy Corridor_Houston_18922</t>
  </si>
  <si>
    <t>Widnhaven Pkwy_5200_Platinum Castle Hills_Lewisville_18923</t>
  </si>
  <si>
    <t>Main Ave_1415_Tobin Lofts_San Antonio_18927</t>
  </si>
  <si>
    <t>Fairmount St_4110_Forty One Ten Fairmount_Dallas_18928</t>
  </si>
  <si>
    <t>Addison Cir_5001_NF_Addison_60000</t>
  </si>
  <si>
    <t>Greenville Ave S_1451_NF_Allen_60001</t>
  </si>
  <si>
    <t>Benge Dr_816_Heritage-Cj Apt_Arlington_60002</t>
  </si>
  <si>
    <t>Bowen Rd_435_Bowen Square Apts_Arlington_60003</t>
  </si>
  <si>
    <t>Causley_604_Oxford_Arlington_60004</t>
  </si>
  <si>
    <t>3rd St E_111_Center Chase Apts_Arlington_60005</t>
  </si>
  <si>
    <t>Abram St E_2015_Tanglewood Apts_Arlington_60006</t>
  </si>
  <si>
    <t>Abrams E_3232_Silver Belle Apts_Arlington_60007</t>
  </si>
  <si>
    <t>Arkansas Ln E_1010_The Arbors of Arlington_Arlington_60008</t>
  </si>
  <si>
    <t>Park Row E_2411_South Park Apts_Arlington_60009</t>
  </si>
  <si>
    <t>Park Row Dr E_2407_SouthPark Apts_Arlington_60010</t>
  </si>
  <si>
    <t>Third St E_201_Center Chase Apts_Arlington_60011</t>
  </si>
  <si>
    <t>Melrose_1900_Melrose Duplexes_Arlington_60012</t>
  </si>
  <si>
    <t>Oak Manor_2401_NF_Arlington_60013</t>
  </si>
  <si>
    <t>Pioneer Pkwy W_1014_Olive Branch Apts_Arlington_60014</t>
  </si>
  <si>
    <t>Randol Mill Rd W_1736_Wilshire Manor_Arlington_60015</t>
  </si>
  <si>
    <t>Ridge Run Rd_2233_NF_Arlington_60016</t>
  </si>
  <si>
    <t>Center St S_1001_Center Court Apts_Arlington_60017</t>
  </si>
  <si>
    <t>Cooper St S_5200_NF_Arlington_60018</t>
  </si>
  <si>
    <t>Arkansas Ln W_1029_Arbor Terrace_Arlington_60019</t>
  </si>
  <si>
    <t>Boyd Rd_133_Reata West MultiFamily Development_Azle_60020</t>
  </si>
  <si>
    <t>Boston Ave_3510_Boston Apts_Benbrook_60021</t>
  </si>
  <si>
    <t>Cox St_1801_New Orleans of Carrolton_Carrollton_60022</t>
  </si>
  <si>
    <t>Josey Ln S_1920_Fox creek _Carrollton_60023</t>
  </si>
  <si>
    <t>Westcourt Dr_101_Northridge Court Apts_Cleburne_60024</t>
  </si>
  <si>
    <t>Woodard Ave_1661_Cleburne Terrace Apts_Cleburne_60025</t>
  </si>
  <si>
    <t>Woodard Ave_815_The Arbors of Cleburne_Cleburne_60026</t>
  </si>
  <si>
    <t>3218 FM_3301_Bradford Place Apts_Commerce_60027</t>
  </si>
  <si>
    <t>Live Oak_2231_Vinca Apts_Commerce_60028</t>
  </si>
  <si>
    <t>Live Oak St_2224_Ponderosa Apts_Commerce_60029</t>
  </si>
  <si>
    <t>Washington_2309_Regency Square Apts_Commerce_60030</t>
  </si>
  <si>
    <t>Westgate Dr_2458_Village Apts_Commerce_60031</t>
  </si>
  <si>
    <t>Centennial Place_108_Centennial Place_Crowley_60032</t>
  </si>
  <si>
    <t>Kennedy Dr @ Edison Ln_200_Centennial Place_Crowley_60033</t>
  </si>
  <si>
    <t>52nd St_2607_Oak Glen Apts_Dallas_60034</t>
  </si>
  <si>
    <t>52nd St_2121_Rose Garden_Dallas_60035</t>
  </si>
  <si>
    <t>Amanda Ln_11330_Montecito Creek_Dallas_60036</t>
  </si>
  <si>
    <t>Audelia Rd_12111_NF_Dallas_60037</t>
  </si>
  <si>
    <t>Bonnie View Rd_3823_Bonnie View Apts_Dallas_60038</t>
  </si>
  <si>
    <t>Bonnie View Rd_5821_Highland Hills Apts_Dallas_60039</t>
  </si>
  <si>
    <t>Budtime_10223_NF_Dallas_60040</t>
  </si>
  <si>
    <t>Cedar Springs Rd_4625_Marrakesh &amp; Versailles_Dallas_60041</t>
  </si>
  <si>
    <t>Chapel Creek Dr_3232_Courtney Place Apts_Dallas_60042</t>
  </si>
  <si>
    <t>Chaucer_7575_NF_Dallas_60043</t>
  </si>
  <si>
    <t>Colorado Blvd_2620_Las palmas_Dallas_60044</t>
  </si>
  <si>
    <t>8th St E_321_NF_Dallas_60045</t>
  </si>
  <si>
    <t>RL Thornton Fwy E_7751_La Arboleda_Dallas_60046</t>
  </si>
  <si>
    <t>UNIVERSITY Dr E_5907_Spanish Trace Apts_Dallas_60047</t>
  </si>
  <si>
    <t>Fair Oaks Ave_7502_Sundance Apts_Dallas_60048</t>
  </si>
  <si>
    <t>Fawn Valley Dr_3504_Mesa Ridge_Dallas_60049</t>
  </si>
  <si>
    <t>Ferguson_7323_Cambridge Square Apts_Dallas_60050</t>
  </si>
  <si>
    <t>Ferguson Rd_7621_Casa Nueva Apts_Dallas_60051</t>
  </si>
  <si>
    <t>Forest Ln_9920_Village Oaks Condos_Dallas_60052</t>
  </si>
  <si>
    <t>Hartford_4328_Hartford Apts_Dallas_60053</t>
  </si>
  <si>
    <t>Highland Hills Dr_5850_Highland Hills Apts_Dallas_60054</t>
  </si>
  <si>
    <t>Hillcrest Rd_12660_The Williamsburg_Dallas_60055</t>
  </si>
  <si>
    <t>Horizon Pkwy N_4300_NF_Dallas_60056</t>
  </si>
  <si>
    <t>NW Hwy E_10425_NF_Dallas_60057</t>
  </si>
  <si>
    <t>John Rd W_2800_NF_Dallas_60058</t>
  </si>
  <si>
    <t>Kings Rd_2787_Kings Quarter_Dallas_60059</t>
  </si>
  <si>
    <t>Kings Rd_3102_Piazza Siena_Dallas_60060</t>
  </si>
  <si>
    <t>Kingsley Dr_9707_Highland House_Dallas_60061</t>
  </si>
  <si>
    <t>Lake Highlands Dr E_11115_NF_Dallas_60062</t>
  </si>
  <si>
    <t>Live Oak St_4207_NF_Dallas_60063</t>
  </si>
  <si>
    <t>Luther Ln_5909_The Shelton_Dallas_60064</t>
  </si>
  <si>
    <t>Mccallum Blvd_7220_NF_Dallas_60065</t>
  </si>
  <si>
    <t>Mccallum Blvd_7740_McCallum Glen_Dallas_60066</t>
  </si>
  <si>
    <t>Melody Ln_6347_Santa Fe Trails_Dallas_60067</t>
  </si>
  <si>
    <t>Montfort_14735_Biltmore_Dallas_60068</t>
  </si>
  <si>
    <t>Mt. Raineer_3621_Indian Ridge Apts_Dallas_60069</t>
  </si>
  <si>
    <t>Akard St N_318_Mosaic_Dallas_60070</t>
  </si>
  <si>
    <t>Buckner Blvd N_2714_Timber Park Apts_Dallas_60071</t>
  </si>
  <si>
    <t>Fitzhugh Ave N_2021_N Fitzhugh Apts_Dallas_60072</t>
  </si>
  <si>
    <t>Garrett Ave N_1919_Villa Garrett_Dallas_60073</t>
  </si>
  <si>
    <t>Gilpin Rd N_312_Indian Ridge Apts_Dallas_60074</t>
  </si>
  <si>
    <t>Marsalis Ave N_929_Marsalis Apts_Dallas_60075</t>
  </si>
  <si>
    <t>Plymouth N_640_Northills_Dallas_60076</t>
  </si>
  <si>
    <t>Plymouth Rd N_1305_NF_Dallas_60077</t>
  </si>
  <si>
    <t>NF_NF_Walnut Gardens_Dallas_60078</t>
  </si>
  <si>
    <t>Nogales Dr_3514_Arawak and Granada_Dallas_60079</t>
  </si>
  <si>
    <t>Norwalk_3203_Brooks AH_Dallas_60080</t>
  </si>
  <si>
    <t>Norwalk Ave_3131-3233_Big block_Dallas_60081</t>
  </si>
  <si>
    <t>Norwalk Ave_3233_Norwalk_Dallas_60082</t>
  </si>
  <si>
    <t>Peterson Ln_5423_Peterson Place Apts_Dallas_60083</t>
  </si>
  <si>
    <t>Remond Dr_2928_Remond Cliff Plaza_Dallas_60084</t>
  </si>
  <si>
    <t>Royal Ln_10062_Country Squire_Dallas_60085</t>
  </si>
  <si>
    <t>Barry Ave S_1315_Barrymore Apts_Dallas_60086</t>
  </si>
  <si>
    <t>Cockrell Hill Rd S_4105_Timber Rock Apts_Dallas_60087</t>
  </si>
  <si>
    <t>Hampton Rd S_5000_Hampton Terrace_Dallas_60088</t>
  </si>
  <si>
    <t>Lancaster S_4810_Frances Place_Dallas_60089</t>
  </si>
  <si>
    <t>Polk St S_3425-435_Catalina Court_Dallas_60090</t>
  </si>
  <si>
    <t>Vernon Ave S_3211_Biscayne_Dallas_60091</t>
  </si>
  <si>
    <t>Vernon Ave S_3311_Kiest Park Estates_Dallas_60092</t>
  </si>
  <si>
    <t>Vernon Ave S_3233-3321_Vernon Oaks-Kiest Park Estates_Dallas_60093</t>
  </si>
  <si>
    <t>Shadybrook Ln_6727_Park Vali Hai_Dallas_60094</t>
  </si>
  <si>
    <t>Southland_2202_Palms of Dallas_Dallas_60095</t>
  </si>
  <si>
    <t>Spring Valley_8376_Landmark on the valley_Dallas_60096</t>
  </si>
  <si>
    <t>Springvalley Rd_8360_Brookbend Village_Dallas_60097</t>
  </si>
  <si>
    <t>SPRINGWOOD Ln_3103_Boulder Ridge Apts_Dallas_60098</t>
  </si>
  <si>
    <t>Stevens Forest Dr_1818_Chateau Crete_Dallas_60099</t>
  </si>
  <si>
    <t>Summerwood Cir_9823_NF_Dallas_60100</t>
  </si>
  <si>
    <t>Timberglen Rd_4651_Jefferson at Timberglen_Dallas_60101</t>
  </si>
  <si>
    <t>Timberline Dr_9640_Northwest Crossing_Dallas_60102</t>
  </si>
  <si>
    <t>Vantage Point Dr_9000_Saint Andrews Apts II_Dallas_60103</t>
  </si>
  <si>
    <t>Davis St W_2105_Acorn Tree_Dallas_60104</t>
  </si>
  <si>
    <t>Kiest Blvd W_950_Fredricksburg Apts_Dallas_60105</t>
  </si>
  <si>
    <t>Ledbetter Dr W_2107_Westridge_Dallas_60106</t>
  </si>
  <si>
    <t>Wheatland Rd W_919_Crystal Creek_Dallas_60107</t>
  </si>
  <si>
    <t>Walnut Hill Ln_10850_Principals only Listings_Dallas_60108</t>
  </si>
  <si>
    <t>Webb Chapel Extension_3131_Chapel court_Dallas_60109</t>
  </si>
  <si>
    <t>Welborn St_3111_NF_Dallas_60110</t>
  </si>
  <si>
    <t>Westmount Ave_1248_Mill Run Apts_Dallas_60111</t>
  </si>
  <si>
    <t>Bonnie View_3827_Bonnie View Apts_Dallas _60112</t>
  </si>
  <si>
    <t>Royal Ln _10028_Kingsborough TH_Dallas _60113</t>
  </si>
  <si>
    <t>Coronado_201_Country Place_Denton_60114</t>
  </si>
  <si>
    <t>Fort Worth Dr_701_Former Home Depot_Denton_60115</t>
  </si>
  <si>
    <t>Londonderry_501_NF_Denton_60116</t>
  </si>
  <si>
    <t>Bell Ave N_2211-2221_Oaklawn Gardens_Denton_60117</t>
  </si>
  <si>
    <t>288 Loop N_307_Singing Oaks_Denton_60118</t>
  </si>
  <si>
    <t>Mayhill S_2601_Pecan Creek_Denton_60119</t>
  </si>
  <si>
    <t>Scripture St_1310_NF_Denton_60120</t>
  </si>
  <si>
    <t>Soledad Dr_5401_Strip Centers in DFW Metroplex_Denton_60121</t>
  </si>
  <si>
    <t>Hickory St W_2211_Hunt Club Apts_Denton_60122</t>
  </si>
  <si>
    <t>Oak St W_1616_NF_Denton_60123</t>
  </si>
  <si>
    <t>Prairie St W_2626_Prairie Hollow_Denton_60124</t>
  </si>
  <si>
    <t>45 IH N _901_Bluebonnet Place_Ennis_60125</t>
  </si>
  <si>
    <t>Biloxi Dr_1001_Townhouse Apts_Ennis_60126</t>
  </si>
  <si>
    <t>Lake Bardwell Dr_1600_Oak Timbers_Ennis_60127</t>
  </si>
  <si>
    <t>Yorkstown Dr_2300_The Willows Apts_Ennis_60128</t>
  </si>
  <si>
    <t>Bear Creek Pkwy_1300_NF_Euless_60129</t>
  </si>
  <si>
    <t>Del Paso_601_Twin Bridge Apts_Euless_60130</t>
  </si>
  <si>
    <t>Norman Dr_304_Southwest Apts_Euless_60131</t>
  </si>
  <si>
    <t>Michael Dr_9301_NF_Everman_60132</t>
  </si>
  <si>
    <t>Michael Dr_9301_Varaison Village Apts_Everman_60133</t>
  </si>
  <si>
    <t>Beaty St_5500_Beaty St. Apts_Fort Worth_60134</t>
  </si>
  <si>
    <t>Ben Day Murrin Rd_5130_Benbrook_Fort Worth_60135</t>
  </si>
  <si>
    <t>Boca Raton Blvd_5416_Hillside View_Fort Worth_60136</t>
  </si>
  <si>
    <t>Bryant Irvin Rd_5255_NF_Fort Worth_60137</t>
  </si>
  <si>
    <t>Calmont Ave_8222_Calmont Villas_Fort Worth_60138</t>
  </si>
  <si>
    <t>Cardinal Wood Ct_6136_NF_Fort Worth_60139</t>
  </si>
  <si>
    <t>Robert St E_1701_Pilgrim Valley Manor_Fort Worth_60140</t>
  </si>
  <si>
    <t>Rosedale E_5320_Ala Casa Apts_Fort Worth_60141</t>
  </si>
  <si>
    <t>Rosedale E_5308_NF_Fort Worth_60142</t>
  </si>
  <si>
    <t>Seminary Dr E_1350_Spanish Gate Apts_Fort Worth_60143</t>
  </si>
  <si>
    <t>Escalante Ave_2333_NF_Fort Worth_60144</t>
  </si>
  <si>
    <t>Handley St_2120_Handley Oaks_Fort Worth_60145</t>
  </si>
  <si>
    <t>Heatherbend_3400_Windsor Park_Fort Worth_60146</t>
  </si>
  <si>
    <t>King George Dr_525_Oaks Apts_Fort Worth_60147</t>
  </si>
  <si>
    <t>Lackland Rd_3223_Lackland Court_Fort Worth_60148</t>
  </si>
  <si>
    <t>Mccurdy St_2400_Park Terrace_Fort Worth_60149</t>
  </si>
  <si>
    <t>Michael Dr_9413_Veraison Village_Fort Worth_60150</t>
  </si>
  <si>
    <t>Milburn St_6025_Cumberland at Ridglea_Fort Worth_60151</t>
  </si>
  <si>
    <t>Normandale St N_8700_Normandale Manor_Fort Worth_60152</t>
  </si>
  <si>
    <t>Oakland Hills_5931_Woodhaven Crossroads_Fort Worth_60153</t>
  </si>
  <si>
    <t>Old Decatur Rd_7001_NF_Fort Worth_60154</t>
  </si>
  <si>
    <t>Parker Henderson Rd_5400_Indian Creek_Fort Worth_60155</t>
  </si>
  <si>
    <t>River Park_3300_Riverpark_Fort Worth_60156</t>
  </si>
  <si>
    <t>Cravens Rd S_4225_Summer Lakes Estates_Fort Worth_60157</t>
  </si>
  <si>
    <t>Normandale St S_8901_NF_Fort Worth_60158</t>
  </si>
  <si>
    <t>Riverside Dr S_2601_NF_Fort Worth_60159</t>
  </si>
  <si>
    <t>7th St W_411_The Neil P. at Burnett Park_Fort Worth_60160</t>
  </si>
  <si>
    <t>Fort Worth W_NF_NF_Fort Worth_60161</t>
  </si>
  <si>
    <t>Weiler_1445_Weiler TH_Fort Worth_60162</t>
  </si>
  <si>
    <t>Wellesley Ave_4700-4724_Hulen Hills Apts_Fort Worth_60163</t>
  </si>
  <si>
    <t>Western Center Blvd_3440_The Club at Fossil Creek_Fort Worth_60164</t>
  </si>
  <si>
    <t>Chaha Rd_4412_NF_Garland_60165</t>
  </si>
  <si>
    <t>Colonel Dr_1245_NF_Garland_60166</t>
  </si>
  <si>
    <t>La Prada Dr_801_NF_Garland_60167</t>
  </si>
  <si>
    <t>Buckingham Rd W_3520_Buckingham Court_Garland_60168</t>
  </si>
  <si>
    <t>Glenn Heights_NF_Glenn Heights Duplex_Glenn Heights_60169</t>
  </si>
  <si>
    <t>Pearl St W_1201_Spanish Oaks Apts_Granbury_60170</t>
  </si>
  <si>
    <t>Dickey Rd_575_Cottonwood Park_Grand Prairie_60171</t>
  </si>
  <si>
    <t>Doreen_2337_Investment Property_Grand Prairie_60172</t>
  </si>
  <si>
    <t>Duncan Perry_NF_NF_Grand Prairie_60173</t>
  </si>
  <si>
    <t>Small Hill Rd_403_Greenhill Apts_Grand Prairie_60174</t>
  </si>
  <si>
    <t>Dickey W_511_Village on the Park_Grand Prairie_60175</t>
  </si>
  <si>
    <t>Anderson Gibson Rd_2650_Grapevine Diamond Condominums_Greenville_60176</t>
  </si>
  <si>
    <t>30 IH_6011_Lakeway Apts_Greenville_60177</t>
  </si>
  <si>
    <t>Jack Finney Blvd_6775_Chalet_Greenville_60178</t>
  </si>
  <si>
    <t>Jack Finney Blvd_6115_Chalet AH_Greenville_60179</t>
  </si>
  <si>
    <t>Joe Ramsey Blvd_5015_Galleria Apts_Greenville_60180</t>
  </si>
  <si>
    <t>Moulton St_4701_Town East Apts_Greenville_60181</t>
  </si>
  <si>
    <t>Joe Ramsey Blvd N_1600_Arbors Apts_Greenville_60182</t>
  </si>
  <si>
    <t>Sayle St_4701_Sayle Gardens Apts_Greenville_60183</t>
  </si>
  <si>
    <t>StoNewall St_6002_Spanish Trace Apts_Greenville_60184</t>
  </si>
  <si>
    <t>Waldemar_4816_Villages of Savannah_Haltom City_60185</t>
  </si>
  <si>
    <t>Cavender Dr_1232_Cavender Manor_Hurst_60186</t>
  </si>
  <si>
    <t>Hurst E_450_Aspen Square Apts_Hurst_60187</t>
  </si>
  <si>
    <t>Norwood Dr_825_Manchester Apts_Hurst_60188</t>
  </si>
  <si>
    <t>Brown Dr_310_Villas Apts_Irving_60189</t>
  </si>
  <si>
    <t>Airport Fwy E_215_America Best Value Inn &amp; Suites_Irving_60190</t>
  </si>
  <si>
    <t>Grauwyler Rd E_801_Kings Manor_Irving_60191</t>
  </si>
  <si>
    <t>Grauwyler Rd E_136_Spanish Trace_Irving_60192</t>
  </si>
  <si>
    <t>Britain Rd N_720_NF_Irving_60193</t>
  </si>
  <si>
    <t>Macarthur Blvd N_9937_NF_Irving_60194</t>
  </si>
  <si>
    <t>Nursery Rd N_1010_Jamestown Colony House_Irving_60195</t>
  </si>
  <si>
    <t>Story Rd N_4000_NF_Irving_60196</t>
  </si>
  <si>
    <t>Nursey Rd N_1025_NF_Irving_60197</t>
  </si>
  <si>
    <t>Pioneer Dr E_1013_Texan_Irving_60198</t>
  </si>
  <si>
    <t>Rock Island_1900_Irving Oaks Apts_Irving_60199</t>
  </si>
  <si>
    <t>Northgate Dr W_3102_NF_Irving_60200</t>
  </si>
  <si>
    <t>Northgate Dr W_3703_NF_Irving_60201</t>
  </si>
  <si>
    <t>Northgate Dr W_4500_NF_Irving_60202</t>
  </si>
  <si>
    <t>Pioneer Dr W_2701_NF_Irving_60203</t>
  </si>
  <si>
    <t>Pioneer Dr W_4500_NF_Irving_60204</t>
  </si>
  <si>
    <t>Pioneer Dr W_3200_Spanish Chase Apts_Irving_60205</t>
  </si>
  <si>
    <t>Pioneer Dr W_722_Tree Country Apts_Irving_60206</t>
  </si>
  <si>
    <t>Walnut Hill Ln W_3101_NF_Irving_60207</t>
  </si>
  <si>
    <t>Walnut Hill Ln W_3501_San Simeon_Irving_60208</t>
  </si>
  <si>
    <t>Willow Creek Dr_3315_Tanner Place Apts_Irving_60209</t>
  </si>
  <si>
    <t>Keller Pkwy_1870_Crosstimbers Office Park_Keller_60210</t>
  </si>
  <si>
    <t>Keller Pkwy_1745_Villages of Tuscany Residences_Keller_60211</t>
  </si>
  <si>
    <t>274 Hwy_18630_The Hamlins @ Cedar Creek_Kemp_60212</t>
  </si>
  <si>
    <t>Masch Branch Rd_4891_Estate Villas_Krum_60213</t>
  </si>
  <si>
    <t>Water's Edge_500_Luxury Senior Living Facility_Lake Dallas_60214</t>
  </si>
  <si>
    <t>Armstrong Ln_331_Grand Heritage Estates_Lavon_60215</t>
  </si>
  <si>
    <t>Charles St S_1090_St. Charles Place_Lewisville_60216</t>
  </si>
  <si>
    <t>Windhaven Pkwy_2500_Amaranth @544_Lewisville_60217</t>
  </si>
  <si>
    <t>36 SH N_370_NF_Mansfield_60218</t>
  </si>
  <si>
    <t>Custer NE_1_Stonebridge_McKinney_60219</t>
  </si>
  <si>
    <t>Virginia Pkwy_5701_Village of Stone Brooke_McKinney_60220</t>
  </si>
  <si>
    <t>Baker Dr_1802_Baker Square_Mesquite_60221</t>
  </si>
  <si>
    <t>80 US Hwy E_2707_Oakwood Village Apts_Mesquite_60222</t>
  </si>
  <si>
    <t>Hillcrest St_2119_NF_Mesquite_60223</t>
  </si>
  <si>
    <t>Eastridge Dr_721_Timber Oaks Apts_Midlothian_60224</t>
  </si>
  <si>
    <t>26 Blvd_9101_Venue at Hometown_North Richland Hills_60225</t>
  </si>
  <si>
    <t>Thousand Oaks Dr_8435_NF_North Richland Hills_60226</t>
  </si>
  <si>
    <t>Green Tee Dr_3206_Shady Valley Square_Pantego_60227</t>
  </si>
  <si>
    <t>Parker Rd W_4800_Sunrise Of Plano Apts_Plano_60228</t>
  </si>
  <si>
    <t>Spring Creek Pkwy W_1940_Cottonwood Estates_Plano_60229</t>
  </si>
  <si>
    <t>Red Oak Rd W_407_Red Oak Portfolio_Red Oak_60230</t>
  </si>
  <si>
    <t>Cavalier Dr_1400_NF_Richardson_60231</t>
  </si>
  <si>
    <t>Greenside Dr_951_NF_Richardson_60232</t>
  </si>
  <si>
    <t>Star Rd N_3500_NF_Richardson_60233</t>
  </si>
  <si>
    <t>Park Place_6505_Richland Place Apts_Richland Hills_60234</t>
  </si>
  <si>
    <t>Lake Meadows_108_Rockwall Condos_Rockwall_60235</t>
  </si>
  <si>
    <t>Chiesa Rd_7400_Chiesa Estates-Hillcrest_Rowlett_60236</t>
  </si>
  <si>
    <t>Lilian N_805_University Village_Stephenville_60237</t>
  </si>
  <si>
    <t>Bluebonnet W_100_Bluebonnet_Stephenville_60238</t>
  </si>
  <si>
    <t>Swan St W_1400_Royal ManorApts_Stephenville_60239</t>
  </si>
  <si>
    <t>Colquitt Rd_1451_Country Club Manor_Terrell_60240</t>
  </si>
  <si>
    <t>Lovers Ln_100_Virginia Anne Apts_Terrell_60241</t>
  </si>
  <si>
    <t>Mineral Wells St_1001_Texas Apts_Terrell_60242</t>
  </si>
  <si>
    <t>Moore Ave W_2390_Terrell Crossing-Parcel 71_Terrell_60243</t>
  </si>
  <si>
    <t>Cascades Ct_3351_Cascades Lake Towers_Tyler_60244</t>
  </si>
  <si>
    <t>Hogan Dr_4141_NF_Tyler_60245</t>
  </si>
  <si>
    <t>Hollytree Dr_6100_NF_Tyler_60246</t>
  </si>
  <si>
    <t>Old Bullard Rd_3900_NF_Tyler_60247</t>
  </si>
  <si>
    <t>Old Jacksonville Hwy_5348_NF_Tyler_60248</t>
  </si>
  <si>
    <t>Old Omen Rd_4200_NF_Tyler_60249</t>
  </si>
  <si>
    <t>Broadway S_5315_The Village on Broadway_Tyler_60250</t>
  </si>
  <si>
    <t>Shiloh Rd_1717_NF_Tyler_60251</t>
  </si>
  <si>
    <t>Erwin W_2500_Tyler Affordable Living_Tyler_60252</t>
  </si>
  <si>
    <t>Houston St_501_NF_Waxahachie_60253</t>
  </si>
  <si>
    <t>Nandina Way_804_NF_Waxahachie_60254</t>
  </si>
  <si>
    <t>35 IH E S_803_Knights Inn and Suites_Waxahachie_60255</t>
  </si>
  <si>
    <t>Holly Oaks Rd_NF_Holly Oaks Apts_Weatherford_60256</t>
  </si>
  <si>
    <t>Holly Oaks Rd_2101_Residences at Holly Oaks_Weatherford_60257</t>
  </si>
  <si>
    <t>Jameson St_1121_Jameson Street Apts_Weatherford_60258</t>
  </si>
  <si>
    <t>Marilyn St_2216_Parker County Properties_Weatherford_60259</t>
  </si>
  <si>
    <t>Santa Fe Dr_711_Santa Fe Apts_Weatherford_60260</t>
  </si>
  <si>
    <t>Tin Top Rd_2024_Weatherford Town Center Senior Apts_Weatherford_60261</t>
  </si>
  <si>
    <t>Trails Pl_1_Trails Place TH_Wylie_60262</t>
  </si>
  <si>
    <t>Meadow Dr_211_Country Villa Apts_Castroville_60263</t>
  </si>
  <si>
    <t>Friendship Ln_1019_Highland Oaks_Fredericksburg_60264</t>
  </si>
  <si>
    <t>Ave U_2805_Encinito Apts_Hondo_60265</t>
  </si>
  <si>
    <t>Walnut St_155_Blossom Duplexes_Blossom_60267</t>
  </si>
  <si>
    <t>Pecan S_607_Patman Switch_Hughes Springs_60268</t>
  </si>
  <si>
    <t>7th St_635_Westgate Apts_Paris_60269</t>
  </si>
  <si>
    <t>Clarksville_3125_Spanish Oaks_Paris_60270</t>
  </si>
  <si>
    <t>Cherry E_2193_Cherry Street_Paris_60271</t>
  </si>
  <si>
    <t>Lamar Ave_2526_The Regency Apts_Paris_60272</t>
  </si>
  <si>
    <t>Helm Ln_311_Quail Ridge_Sulphur Springs_60273</t>
  </si>
  <si>
    <t>Helm Ln_309_Quail Ridge-Green Tree Apts_Sulphur Springs_60274</t>
  </si>
  <si>
    <t>38.5 St_1230_Silver Ridge Apts_Austin_60275</t>
  </si>
  <si>
    <t>Above Stratford Place_3144_NF_Austin_60276</t>
  </si>
  <si>
    <t>BIRMINGHAM Dr_8750_SECTION 8 PACKAGE_Austin_60277</t>
  </si>
  <si>
    <t>Brownie Dr_10100_NF_Austin_60278</t>
  </si>
  <si>
    <t>Congress Ave_2020_NF_Austin_60279</t>
  </si>
  <si>
    <t>Cougar Dr_5704_Heatherwood_Austin_60280</t>
  </si>
  <si>
    <t>Crossing Place_NF_NF_Austin_60281</t>
  </si>
  <si>
    <t>Cuernavaca_1900_Lake Austin Package_Austin_60282</t>
  </si>
  <si>
    <t>Cypress Creek Rd_NF_NF_Austin_60283</t>
  </si>
  <si>
    <t>40th St E_910_Turnberry_Austin_60285</t>
  </si>
  <si>
    <t>Elmont_2101_Barcelona and Metropolitan Apts_Austin_60286</t>
  </si>
  <si>
    <t>Fairfield Dr_833_Summer Wind Condominiums_Austin_60287</t>
  </si>
  <si>
    <t>620 FM N and Boulder Ln_8801 &amp; 10320_Sonterra_Austin_60288</t>
  </si>
  <si>
    <t>Goodwin Ave_3706_Grant Villas Apts_Austin_60289</t>
  </si>
  <si>
    <t>Hudson Bend Rd_6409_Sanctuary @ Hudson Harbor_Austin_60290</t>
  </si>
  <si>
    <t>Jollyville Rd_11604_NF_Austin_60291</t>
  </si>
  <si>
    <t>Lavaca St_1701_NF_Austin_60292</t>
  </si>
  <si>
    <t>Leon St_2510_NF_Austin_60293</t>
  </si>
  <si>
    <t>Manor Rd_3300_Kensington_Austin_60294</t>
  </si>
  <si>
    <t>Manor Rd_2401_Sea Breeze Apts_Austin_60295</t>
  </si>
  <si>
    <t>Mesa Dr_5815_NF_Austin_60296</t>
  </si>
  <si>
    <t>62 FM N_9715_NF_Austin_60297</t>
  </si>
  <si>
    <t>183 Hwy N_13145_Balcones Ranch_Austin_60298</t>
  </si>
  <si>
    <t>Pearl St_2501_NF_Austin_60299</t>
  </si>
  <si>
    <t>Reinli St_1106_The Legacy Apts_Austin_60300</t>
  </si>
  <si>
    <t>Rio Grande St_2728_NF_Austin_60301</t>
  </si>
  <si>
    <t>Rutland Dr_1727_NF_Austin_60302</t>
  </si>
  <si>
    <t>Salado_2616_Texan West Campus_Austin_60303</t>
  </si>
  <si>
    <t>Springdale Rd_554_Springdale Gardens_Austin_60304</t>
  </si>
  <si>
    <t>Tandem Blvd_14318_NF_Austin_60305</t>
  </si>
  <si>
    <t>Teri Rd_4703_NF_Austin_60306</t>
  </si>
  <si>
    <t>22.5 St W_904_Vintage West Campus_Austin_60307</t>
  </si>
  <si>
    <t>22nd St W_900_Pearl 22_Austin_60308</t>
  </si>
  <si>
    <t>25th St W_708_NF_Austin_60309</t>
  </si>
  <si>
    <t>3rd St W_800_NF_Austin_60310</t>
  </si>
  <si>
    <t>5th St W_1316_NF_Austin_60311</t>
  </si>
  <si>
    <t>Wells Branch Pkwy_2801_IMT Wells Branch_Austin_60312</t>
  </si>
  <si>
    <t>Wickersham_1515_Longhorn Landing_Austin_60313</t>
  </si>
  <si>
    <t>Bowman Dr E_101_Bowman's Walk_Round Rock_60314</t>
  </si>
  <si>
    <t>Aquarena Springs_1623_Spring West-Post Road Place_San Marcos_60315</t>
  </si>
  <si>
    <t>Aquarena Springs Dr_1850_Villagio Student Apts_San Marcos_60316</t>
  </si>
  <si>
    <t>Old Post Rd_1637_Mosscliff Apts_San Marcos_60317</t>
  </si>
  <si>
    <t>Walnut Hill_940_Mistletoe Hill Duplexes_Burleson_60318</t>
  </si>
  <si>
    <t>Buffalo Gap_2400_Highland Oaks Apts_Abilene_60319</t>
  </si>
  <si>
    <t>Cedar Run Rd_3500_Indian Run_Abilene_60320</t>
  </si>
  <si>
    <t>Curry Ln_3501_Windsor Place_Abilene_60321</t>
  </si>
  <si>
    <t>Denton St_1948_Cedar Creek Apts_Abilene_60322</t>
  </si>
  <si>
    <t>277 Hwy_5249_Mill Creek_Abilene_60323</t>
  </si>
  <si>
    <t>Justice Way_1000_Country Place Apts_Abilene_60324</t>
  </si>
  <si>
    <t>Musken Rd_1111_Riatta Ranch_Abilene_60325</t>
  </si>
  <si>
    <t>3rd N_3201_Landmark Properties_Abilene_60326</t>
  </si>
  <si>
    <t>Willis N_2410_Willow Park_Abilene_60327</t>
  </si>
  <si>
    <t>Nonesuch Rd_2601_Fairmont Apts_Abilene_60328</t>
  </si>
  <si>
    <t>Nonesuch Rd_2500_Pine Meadows Apts_Abilene_60329</t>
  </si>
  <si>
    <t>25th St S_2800_Bent Tree Apts_Abilene_60330</t>
  </si>
  <si>
    <t>Clack St S_1000_Pebble Creek_Abilene_60331</t>
  </si>
  <si>
    <t>Leggett S_610_The Chaparral_Abilene_60332</t>
  </si>
  <si>
    <t>SW Dr_2701_Royale Orleans Apts_Abilene_60333</t>
  </si>
  <si>
    <t>Texas Ave_5450_Hunter's Ridge_Abilene_60334</t>
  </si>
  <si>
    <t>Lookout Ridge Blvd_201_Lookout Ridge Apts_Harker Heights_60335</t>
  </si>
  <si>
    <t>Cunningham Rd_2710_The Bridgemoor At Killeen_Killeen_60336</t>
  </si>
  <si>
    <t>18th St N_1105_Willowwood Apts_Killeen_60337</t>
  </si>
  <si>
    <t>Twin Creek Dr N_1001_Remington_Killeen_60338</t>
  </si>
  <si>
    <t>440 Old FM Rd_1121_Ashton Park_Killeen_60339</t>
  </si>
  <si>
    <t>Terrace Dr_1701_Terrace Heights Apts_Killeen_60340</t>
  </si>
  <si>
    <t>Trimmier Rd_2700_Stone Creek Apts_Killeen_60341</t>
  </si>
  <si>
    <t>Westfield Blvd_463_Pecan Pointe_Killeen_60342</t>
  </si>
  <si>
    <t>Antelope Trl_3007_WESTGATE Apts_Temple_60343</t>
  </si>
  <si>
    <t>Fryers Creek &amp; 5th St S_400 &amp; 2115_C&amp;C Apts_Temple_60344</t>
  </si>
  <si>
    <t>Marlandwood Rd_1810_The Village Apts_Temple_60345</t>
  </si>
  <si>
    <t>39th St S_2602_The Glen_Temple_60346</t>
  </si>
  <si>
    <t>Thornton Ln_3320_Holly Oaks_Temple_60347</t>
  </si>
  <si>
    <t>Adams Ave W_4102_The Bluffs_Temple_60348</t>
  </si>
  <si>
    <t>Elm Ave W_620_Temple Gardens Apts_Temple_60349</t>
  </si>
  <si>
    <t>Woodbridge Blvd_202_Woodbridge Crossing_Temple_60350</t>
  </si>
  <si>
    <t>Ransom Rd E_203_Bayshore and Rockport_Aransas Pass_60351</t>
  </si>
  <si>
    <t>McMullen_2001_Windy Shores_Aransas Pass_60352</t>
  </si>
  <si>
    <t>Saint Mary's St N_4000_Imperial Apts_Beeville_60353</t>
  </si>
  <si>
    <t>Barry St_802_Woodbury Apts_Corpus Christi_60354</t>
  </si>
  <si>
    <t>Cimarron Blvd_3701_Lipes Apts_Corpus Christi_60355</t>
  </si>
  <si>
    <t>Corona Dr_4502_Embassy House_Corpus Christi_60356</t>
  </si>
  <si>
    <t>Ennis Joslin Rd_1701_Alta Bayside_Corpus Christi_60357</t>
  </si>
  <si>
    <t>Everhart Rd_6730_Valhalla Aparmtnets_Corpus Christi_60358</t>
  </si>
  <si>
    <t>Hancock_522_Bay Vista_Corpus Christi_60359</t>
  </si>
  <si>
    <t>Kostoryz_4625_Gaslight Apts_Corpus Christi_60360</t>
  </si>
  <si>
    <t>Ocean Dr_4222_Resort By The Sea Apts_Corpus Christi_60361</t>
  </si>
  <si>
    <t>Patti Dr_6533_Gulf Breeze_Corpus Christi_60362</t>
  </si>
  <si>
    <t>Alameda St S_3401_Cathedral of the Palms_Corpus Christi_60363</t>
  </si>
  <si>
    <t>Alameda St S_5525_Islander Village_Corpus Christi_60364</t>
  </si>
  <si>
    <t>Saratoga Blvd_5701_Reserve at Saratoga_Corpus Christi_60365</t>
  </si>
  <si>
    <t>Schanen Blvd_4040_The Park Apts_Corpus Christi_60366</t>
  </si>
  <si>
    <t>Weber Rd_5901_Paradise Bay_Corpus Christi_60367</t>
  </si>
  <si>
    <t>Whitecap Blvd_14721_Beach Club Condominiums_Corpus Christi_60368</t>
  </si>
  <si>
    <t>Williams Dr_5701_Arrowsmith Apts_Corpus Christi_60369</t>
  </si>
  <si>
    <t>Wood River Dr_4021_Wood River_Corpus Christi_60370</t>
  </si>
  <si>
    <t>Wooldridge Rd_5757_The Oasis_Corpus Christi_60371</t>
  </si>
  <si>
    <t>Caesar St E_1201_Kingsville Pointe_Kingsville_60372</t>
  </si>
  <si>
    <t>Brahma S_2901_Bordeaux Apts_Kingsville_60373</t>
  </si>
  <si>
    <t>Corral Ave W_1100_University Square_Kingsville_60374</t>
  </si>
  <si>
    <t>Corral St W_1300_NF_Kingsville_60375</t>
  </si>
  <si>
    <t>Cimmarron_1617_Sun Valley Apts_Portland_60376</t>
  </si>
  <si>
    <t>College Hills Blvd_2431_Arroyo Square Apts_San Angelo_60377</t>
  </si>
  <si>
    <t>Glenna Dr_329_West Gate Villa Apts_San Angelo_60378</t>
  </si>
  <si>
    <t>Lincoln_1818_University Park Apts_San Angelo_60379</t>
  </si>
  <si>
    <t>Millbrook Dr_3426_College Hills West_San Angelo_60380</t>
  </si>
  <si>
    <t>Raney St_1929_Windmill Apts_San Angelo_60381</t>
  </si>
  <si>
    <t>Smith Blvd_555_Willow Run_San Angelo_60382</t>
  </si>
  <si>
    <t>Sunset Dr_2901_Newport Village_San Angelo_60383</t>
  </si>
  <si>
    <t>Shepherd W_101_Angelina House_Lufkin_60385</t>
  </si>
  <si>
    <t>University N_2614_Woodforest_Nacogdoches_60386</t>
  </si>
  <si>
    <t>Starr_1710_Chevy Chase Apts_Nacogdoches_60387</t>
  </si>
  <si>
    <t>Corsicana St E_900_Athena Gardens_Athens_60388</t>
  </si>
  <si>
    <t>Fordall W_900_Point North_Henderson_60389</t>
  </si>
  <si>
    <t>Canada St_701 &amp; 645_Little Creek Apts_Jacksonville_60390</t>
  </si>
  <si>
    <t>Jackson St N_1011_Sweet Union Apts_Jacksonville_60391</t>
  </si>
  <si>
    <t>Danville Rd S_1000_Stoneridge Apts_Kilgore_60392</t>
  </si>
  <si>
    <t>Bill Owens Pkwy_2801_Hunters Crossing_Longview_60393</t>
  </si>
  <si>
    <t>Hawkins Pkwy E_115_Longfellow Arms_Longview_60394</t>
  </si>
  <si>
    <t>Hawkins Pkwy E_110_Summer Green_Longview_60395</t>
  </si>
  <si>
    <t>Eden Dr_203_WILLIAM TELL Apts_Longview_60396</t>
  </si>
  <si>
    <t>Lake Lamond_300_Autumnwood_Longview_60397</t>
  </si>
  <si>
    <t>McCann Rd_2900_Mill Park_Longview_60398</t>
  </si>
  <si>
    <t>Eastman Rd N_2500_North Huntington Hills Apts_Longview_60399</t>
  </si>
  <si>
    <t>259 Hwy N_3401_The Reserve_Longview_60400</t>
  </si>
  <si>
    <t>Pine Tree Rd_803_Longview Multi Family Group_Longview_60401</t>
  </si>
  <si>
    <t>Green St S_717_Village South_Longview_60402</t>
  </si>
  <si>
    <t>Scenic Dr_502_Penwood Apts_Longview_60403</t>
  </si>
  <si>
    <t>Thelma Dr_100-115_Pine Tree Duplexes_Longview_60404</t>
  </si>
  <si>
    <t>Avalon Ave W_600_The Tree House Apts_Longview_60405</t>
  </si>
  <si>
    <t>Hawkins Pkwy W_301_Misty Ridge_Longview_60406</t>
  </si>
  <si>
    <t>Victory Rd_2800_Oak Manor Apts_Marshall_60407</t>
  </si>
  <si>
    <t>Pinecrest Dr W_2107_Seven Keys Apts_Marshall_60408</t>
  </si>
  <si>
    <t>Sugar Ln_1020_Timbercrest Apts_Palestine_60409</t>
  </si>
  <si>
    <t>Sugar Ln_1010_Whispering Pines_Palestine_60410</t>
  </si>
  <si>
    <t>Airline Rd E_3207_Stratford Place_Victoria_60411</t>
  </si>
  <si>
    <t>Colorado E_1810_Carriage Park_Victoria_60412</t>
  </si>
  <si>
    <t>Fillmore Ave_607_Sage Creek_Victoria_60413</t>
  </si>
  <si>
    <t>Ben Jordan St N_2107_Town Park Apts_Victoria_60414</t>
  </si>
  <si>
    <t>Sam Houston_2008_Fox Run Apts_Victoria_60415</t>
  </si>
  <si>
    <t>Sam Houston Dr_1906_Mosswood_Victoria_60416</t>
  </si>
  <si>
    <t>Victoria Station Dr_1701_Victoria Station Apts_Victoria_60417</t>
  </si>
  <si>
    <t>Mckinney S_604_NF_Mexia_60418</t>
  </si>
  <si>
    <t>3rd S_2513_University Woods I &amp; II_Waco_60419</t>
  </si>
  <si>
    <t>Austin Ave_400_Former Regis-St. Elizabeth_Waco_60420</t>
  </si>
  <si>
    <t>Bagby Ave_5210_The Residence at Central Texas Marketplace_Waco_60421</t>
  </si>
  <si>
    <t>China Spring Rd_9900_The Riviera Apts_Waco_60422</t>
  </si>
  <si>
    <t>Daughtry Ave_1704_Legacy Point Condominiums_Waco_60423</t>
  </si>
  <si>
    <t>Hawthorne Dr_5100_Ashton Oaks Apts_Waco_60424</t>
  </si>
  <si>
    <t>Hodde Dr_4722_Moderno Vivo Apts_Waco_60425</t>
  </si>
  <si>
    <t>Lake Shore Dr_1600_Lakeshore North_Waco_60426</t>
  </si>
  <si>
    <t>Hewitt Dr N_620_Four Seasons_Waco_60427</t>
  </si>
  <si>
    <t>Hewitt Dr N_509_Meadow Park_Waco_60428</t>
  </si>
  <si>
    <t>Valley Mills Dr N_1001_Valley Terrace Apts_Waco_60429</t>
  </si>
  <si>
    <t>Neil Dr_728_Villa Victoria_Waco_60430</t>
  </si>
  <si>
    <t>Owen Ln_410_Baxter Crossing_Waco_60431</t>
  </si>
  <si>
    <t>Owen Ln_416_Fleetwood Square_Waco_60432</t>
  </si>
  <si>
    <t>Primrose Dr_1800_Arlington Farms_Waco_60433</t>
  </si>
  <si>
    <t>Rambler Dr_800_Oaktree Apts_Waco_60434</t>
  </si>
  <si>
    <t>Richland Dr_344_Landmark Apts_Waco_60436</t>
  </si>
  <si>
    <t>Richter_1901_Southwind Apts_Waco_60437</t>
  </si>
  <si>
    <t>21st St S_2425_Blair's Cove Apts_Waco_60438</t>
  </si>
  <si>
    <t>4th St S_219_Behrens Lofts_Waco_60439</t>
  </si>
  <si>
    <t>Sanger_7301_Madeira Apts_Waco_60440</t>
  </si>
  <si>
    <t>Sanger Ave_5101_Sandstone Apts_Waco_60441</t>
  </si>
  <si>
    <t>Sanger Ave_4801_Towne Oaks_Waco_60442</t>
  </si>
  <si>
    <t>Spring St_1601_Former Pecan Gardens_Waco_60443</t>
  </si>
  <si>
    <t>Brookview W_3426_Brookview Hills Apts_Waco_60444</t>
  </si>
  <si>
    <t>Western Oaks Dr_1500_Woodway Park Condominiums_Waco_60445</t>
  </si>
  <si>
    <t>Westview Dr_700_NF_Waco_60446</t>
  </si>
  <si>
    <t>1960 FM E_7840_NF_Atascocita_60447</t>
  </si>
  <si>
    <t>Northwood_1300_Lakeview Terrace_Baytown_60448</t>
  </si>
  <si>
    <t>Northwood Dr_813_Bay Pointe Apts_Baytown_60449</t>
  </si>
  <si>
    <t>Finfeather Rd_3200_Avalon Apts_Bryan_60450</t>
  </si>
  <si>
    <t>Hollow Hill Dr_1512_Autumn Woods_Bryan_60451</t>
  </si>
  <si>
    <t>Lynn St_208_Costa Mesa Residences_Bryan_60452</t>
  </si>
  <si>
    <t>Silver Spur Cir_2903_Forest Creek_Bryan_60453</t>
  </si>
  <si>
    <t>Hackberry_202_Oak Park_Clute_60454</t>
  </si>
  <si>
    <t>Dartmouth_1903_Park Side Villas_College Station_60455</t>
  </si>
  <si>
    <t>SW Pkwy_205_Copper Creek Apts_College Station_60456</t>
  </si>
  <si>
    <t>517 FM_5301_Green River TH_Dickinson_60457</t>
  </si>
  <si>
    <t>517 Hwy_5425_Wise Investments_Dickinson_60458</t>
  </si>
  <si>
    <t>37th St_705_NF_Galveston_60459</t>
  </si>
  <si>
    <t>Moody Ave_302_Moody Plaza_Galveston_60460</t>
  </si>
  <si>
    <t>Autumn Wood_805_New Apts_Houston_60461</t>
  </si>
  <si>
    <t>BARRINGER_647_NF_Houston_60462</t>
  </si>
  <si>
    <t>Birdwood_9600_Spring Creek Apt_Houston_60463</t>
  </si>
  <si>
    <t>Bissonnet_9800_Houston Bayou Apt_Houston_60464</t>
  </si>
  <si>
    <t>Braeswood Park_2255_Braeswood Park_Houston_60465</t>
  </si>
  <si>
    <t>Breen_5705_NF_Houston_60466</t>
  </si>
  <si>
    <t>Cedar Post_1207_CEDAR BRANCH_Houston_60467</t>
  </si>
  <si>
    <t>Chenevert_21_NF_Houston_60468</t>
  </si>
  <si>
    <t>Clarke Springs Dr_15706_Clarke Springs_Houston_60469</t>
  </si>
  <si>
    <t>Cotillion Dr_16000_Siena Villas Condominiums_Houston_60470</t>
  </si>
  <si>
    <t>Houston Rd E_7600_NF_Houston_60471</t>
  </si>
  <si>
    <t>El Camino Real_16401_NF_Houston_60472</t>
  </si>
  <si>
    <t>Gessner Rd S_8200_NF_Houston_60473</t>
  </si>
  <si>
    <t>Green Plaza Dr_1141_Walnut Creek Apts_Houston_60474</t>
  </si>
  <si>
    <t>Hammerly Blvd_8797_Hammerly Oaks_houston_60475</t>
  </si>
  <si>
    <t>10 IH_46300_Bank Financed Apts_Houston_60476</t>
  </si>
  <si>
    <t>45 IH S @ Cullen_3815_University Park_Houston_60477</t>
  </si>
  <si>
    <t>Kuykendahl Rd_13110_The Vanderbilt_Houston_60478</t>
  </si>
  <si>
    <t>Lucore_10200_Deerwood in the Park_Houston_60479</t>
  </si>
  <si>
    <t>Memorial Ct_3300_The Quarters at Memorial_Houston_60480</t>
  </si>
  <si>
    <t>Memorial Dr_5292_Park Memorial_Houston_60481</t>
  </si>
  <si>
    <t>Mesa_1111_Garden Apts_Houston_60482</t>
  </si>
  <si>
    <t>Shepherd Dr N_3405_Garden Oaks Condos_Houston_60483</t>
  </si>
  <si>
    <t>Nathaniel_9220_Indigo Falls_Houston_60484</t>
  </si>
  <si>
    <t>Plaza Verde Dr_202-218_North Village Green Condos_HOUSTON_60485</t>
  </si>
  <si>
    <t>Ranchester_6200_Hamilton Court_Houston_60486</t>
  </si>
  <si>
    <t>Rolido Dr_2801_Rolido Parque_Houston_60487</t>
  </si>
  <si>
    <t>Rookin_6500_Windsor Place Care Center_Houston_60488</t>
  </si>
  <si>
    <t>Gessner S_7415_Summerfield Apts_Houston_60489</t>
  </si>
  <si>
    <t>Green Dr S_12601_NF_Houston_60490</t>
  </si>
  <si>
    <t>Saint Joseph Pkwy_801_Former Days Inn-vacant_Houston_60491</t>
  </si>
  <si>
    <t>Scott St_7006_Southlawn Palms_Houston_60492</t>
  </si>
  <si>
    <t>Houston SE_123_NF_Houston_60493</t>
  </si>
  <si>
    <t>Space Center Blvd_16200_Retreat of Clear Lake_Houston_60494</t>
  </si>
  <si>
    <t>Sunnyside St_200_La Casita_Houston_60495</t>
  </si>
  <si>
    <t>SW Fwy_6910_ARENA GARDENS_Houston_60496</t>
  </si>
  <si>
    <t>Texas Ave_1114_Downtown Houston_Houston_60497</t>
  </si>
  <si>
    <t>Ticonderoga_13016_Ticonderoga Pines_Houston_60498</t>
  </si>
  <si>
    <t>Tierwester_7812_Tierwester Village Apts_Houston_60499</t>
  </si>
  <si>
    <t>Town Park Dr_8721_NF_Houston_60500</t>
  </si>
  <si>
    <t>Travis_2100_Central Square Plaza_Houston_60501</t>
  </si>
  <si>
    <t>Alabama St W_1701_NF_Houston_60502</t>
  </si>
  <si>
    <t>Little York W_3434_Oak Villa Apts_Houston_60503</t>
  </si>
  <si>
    <t>Walker St_1121_Melrose Building_Houston_60504</t>
  </si>
  <si>
    <t>White Oak Dr_2222_NF_Houston_60505</t>
  </si>
  <si>
    <t>Windrush_1_NF_Houston_60506</t>
  </si>
  <si>
    <t>Windwater Dr_9757_The Windwater at Windmill Lakes_houston_60507</t>
  </si>
  <si>
    <t>Wirt Rd_7000_Residences_Houston_60508</t>
  </si>
  <si>
    <t>El Camino Real_16201_Chateaux Dijon_Houston_60509</t>
  </si>
  <si>
    <t>Grand Colony Dr_5906_Greenhouse Villas_Katy_60510</t>
  </si>
  <si>
    <t>Kingsland_21077_Westbrooke Apts_Katy_60511</t>
  </si>
  <si>
    <t>Havenbrook Dr_3415_Oaks of Kingwood I_Kingwood_60512</t>
  </si>
  <si>
    <t>Johnson N_106_Shady Oaks Apts_Pasadena_60513</t>
  </si>
  <si>
    <t>Richey S_407_Compton Court_Pasadena_60514</t>
  </si>
  <si>
    <t>Valley Ranch Crossing Dr_21899_The Villas at Valley Ranch_Porter_60515</t>
  </si>
  <si>
    <t>Emmett F Lowery Expwy_8601_Oaks at Texas City AH_Texas City_60516</t>
  </si>
  <si>
    <t>Lovett_1159_NF_Tomball_60517</t>
  </si>
  <si>
    <t>Ave F_5001_Baybrook_Bay City_60518</t>
  </si>
  <si>
    <t>Baywood Dr_1700_Baywood Square_Bay City_60519</t>
  </si>
  <si>
    <t>Hamman_2300_Wildwood Apts_Bay City_60520</t>
  </si>
  <si>
    <t>Hamman Rd_1909_Riverway Apts_Bay City_60521</t>
  </si>
  <si>
    <t>Waring E_704_Brookhollow_Dayton_60522</t>
  </si>
  <si>
    <t>Nasa Pkwy_4011_The Lighthouse at 4011_El Lago_60523</t>
  </si>
  <si>
    <t>Brazos Dr_1440_Brazos Apts_Huntsville_60524</t>
  </si>
  <si>
    <t>20th St_2002_Huntsville Apts_Huntsville_60525</t>
  </si>
  <si>
    <t>Bobby K Marks Dr_2209_Cornerstone_Huntsville_60526</t>
  </si>
  <si>
    <t>45 IH_1301_Texas Apt Complex_Huntsville_60527</t>
  </si>
  <si>
    <t>Josey St_1235_Woodcreek_Huntsville_60528</t>
  </si>
  <si>
    <t>Lake Rd_2450_Huntsville Apt Complexes_Huntsville_60529</t>
  </si>
  <si>
    <t>High Point St_23242_NF_Prairie View_60530</t>
  </si>
  <si>
    <t>Ave F_2001_Greenbriar_Wharton_60531</t>
  </si>
  <si>
    <t>Stadium Rd_1823_Mill Creek_Wharton_60532</t>
  </si>
  <si>
    <t>802 FM_2700_La Mansion_Brownsville_60533</t>
  </si>
  <si>
    <t>Parades Line Rd_605_Brandywyne Apts_Brownsville_60534</t>
  </si>
  <si>
    <t>Washington E_1802-1804_Casa Granda Apts_Harlingen_60536</t>
  </si>
  <si>
    <t>Glasscock St_4402_Somerset Apts_Harlingen_60537</t>
  </si>
  <si>
    <t>Haine Dr_2901_Sierra_Harlingen_60538</t>
  </si>
  <si>
    <t>Morgan Blvd_1410_Spring Creek_Harlingen_60539</t>
  </si>
  <si>
    <t>499 Loop S_902_Oak Terrace_Harlingen_60540</t>
  </si>
  <si>
    <t>Sam Houston_1501_Palm Terrace Apts_Harlingen_60541</t>
  </si>
  <si>
    <t>Bales Rd_700_Plaza Royale Apts_McAllen_60542</t>
  </si>
  <si>
    <t>Bicentennial Blvd_3601_Vintage Square_McAllen_60543</t>
  </si>
  <si>
    <t>Eighth E_3101_Greens Pointe Apts_McAllen_60544</t>
  </si>
  <si>
    <t>Quamasia E_121_Villas de Nolana_McAllen_60545</t>
  </si>
  <si>
    <t>I Rd N_2501_Clocktower Village_McAllen_60546</t>
  </si>
  <si>
    <t>2nd St N_1101_Tamarack Apts_McAllen_60547</t>
  </si>
  <si>
    <t>Main St N_4210_Paradise Village Apts_McAllen_60548</t>
  </si>
  <si>
    <t>Second St N_1901_Tamarack Apts_McAllen_60549</t>
  </si>
  <si>
    <t>Nolana Ave_1200_Nolana Apts_McAllen_60550</t>
  </si>
  <si>
    <t>Tamarack Ave_1600_El Camino Real Apts_McAllen_60551</t>
  </si>
  <si>
    <t>Plantation Grove Blvd_3807_Las Misiones Apts_Mission_60552</t>
  </si>
  <si>
    <t>Oak Hollow_20502_Stone Oak TH_Harlingen_60553</t>
  </si>
  <si>
    <t>Veterans Blvd N_1925_Holly AH_Eagle Pass_60554</t>
  </si>
  <si>
    <t>Cherokee Trl_120_Krystal Plex Apts_Texarkana_60555</t>
  </si>
  <si>
    <t>College Dr_1023_The Woodlands_Texarkana_60556</t>
  </si>
  <si>
    <t>Kennedy Ln_2605_Forest Point Apts_Texarkana_60557</t>
  </si>
  <si>
    <t>Richmond Rd_5911_Legacy at Pleasant Grove_Texarkana_60558</t>
  </si>
  <si>
    <t>Richmond Rd_1915_Three Fountains Apts_Texarkana_60559</t>
  </si>
  <si>
    <t>Westlawn Dr_425_Westlawn Apts_Texarkana_60560</t>
  </si>
  <si>
    <t>32nd St R_1601_NF_Wichita Falls_60561</t>
  </si>
  <si>
    <t>Airport Dr_901_NF_Wichita Falls_60562</t>
  </si>
  <si>
    <t>Archer City Hwy_1501_NF_Wichita Falls_60563</t>
  </si>
  <si>
    <t>Barnett Rd_4516_NF_Wichita Falls_60564</t>
  </si>
  <si>
    <t>Barnett Rd_4540_NF_Wichita Falls_60565</t>
  </si>
  <si>
    <t>Barnett Rd_4835_NF_Wichita Falls_60566</t>
  </si>
  <si>
    <t>Barnett Rd_3919_Wellington on the lake_Wichita Falls_60567</t>
  </si>
  <si>
    <t>Brookdale Dr_4800_Parkway Villas_Wichita Falls_60568</t>
  </si>
  <si>
    <t>Cedar Elm_4201_French Quarter Apts_Wichita Falls_60569</t>
  </si>
  <si>
    <t>Central Fwy_5635_NF_Wichita Falls_60570</t>
  </si>
  <si>
    <t>Central Fwy N_5601_Northpark Village Apts_Wichita Falls_60571</t>
  </si>
  <si>
    <t>Johnson Rd_4806_Westmoreland Park Apts_Wichita Falls_60572</t>
  </si>
  <si>
    <t>Kemp Blvd_3001_NF_Wichita Falls_60573</t>
  </si>
  <si>
    <t>Lake Park Dr_5005_NF_Wichita Falls_60574</t>
  </si>
  <si>
    <t>Maplewood Ave_4515_NF_Wichita Falls_60575</t>
  </si>
  <si>
    <t>Nunneley Place_1510_Lincoln Heights Apts_Wichita Falls_60576</t>
  </si>
  <si>
    <t>Pearlie Dr_1701_Sheppard's Edge Apts_Wichita Falls_60577</t>
  </si>
  <si>
    <t>Professional Dr_5228_NF_Wichita Falls_60578</t>
  </si>
  <si>
    <t>Professional Dr_5282_NF_Wichita Falls_60579</t>
  </si>
  <si>
    <t>Professional Dr_5300_NF_Wichita Falls_60580</t>
  </si>
  <si>
    <t>Professional Dr_5500_NF_Wichita Falls_60581</t>
  </si>
  <si>
    <t>Redwood Ave_1001_NF_Wichita Falls_60582</t>
  </si>
  <si>
    <t>Ridgeway_1200_NF_Wichita Falls_60583</t>
  </si>
  <si>
    <t>Santa Fe St_2010 &amp; 2020_The Highlander &amp; Santa Fe Village_Wichita Falls_60584</t>
  </si>
  <si>
    <t>Seabury Dr_4200_NF_Wichita Falls_60585</t>
  </si>
  <si>
    <t>SW Pkwy_2612_The Elms_Wichita Falls_60586</t>
  </si>
  <si>
    <t>Taft Blvd_4011_NF_Wichita Falls_60587</t>
  </si>
  <si>
    <t>Taft Blvd_4021_NF_Wichita Falls_60588</t>
  </si>
  <si>
    <t>Taft Blvd_4700_Colony Park Apts_Wichita Falls_60589</t>
  </si>
  <si>
    <t>Taft Blvd_4709_Southern Oaks_Wichita Falls_60590</t>
  </si>
  <si>
    <t>Taft Blvd_5021_Stone Creek Ranch_Wichita Falls_60591</t>
  </si>
  <si>
    <t>Tower Dr A_5210_Fountaingate AH_Wichita Falls_60592</t>
  </si>
  <si>
    <t>Trout St_1520_Casa Manana_Wichita Falls_60593</t>
  </si>
  <si>
    <t>Rathgeber Rd W_1727_Parkstone Senior Village_Wichita Falls_60594</t>
  </si>
  <si>
    <t>Weeks Park Ln_4100_NF_Wichita Falls_60595</t>
  </si>
  <si>
    <t>Second St NE_3001_Spanish Trace Apts_Mineral Wells_60596</t>
  </si>
  <si>
    <t>Bell St_1524_Bell Plaza_Amarillo_60597</t>
  </si>
  <si>
    <t>Bell St_1550_Brighton Court_Amarillo_60598</t>
  </si>
  <si>
    <t>Plum Creek_6600_Quail Creek Aparments_Amarillo_60599</t>
  </si>
  <si>
    <t>Polk St S_724_Loft Conversion Opportunity_Amarillo_60600</t>
  </si>
  <si>
    <t>Williams St S_1212_Amarillo Gardens_Amarillo_60601</t>
  </si>
  <si>
    <t>Blake Ave_6302_Arden Ridge Apts_Amarillo_60602</t>
  </si>
  <si>
    <t>Paramount Terrace_4210_Paramount Terrace_Amarillo_60603</t>
  </si>
  <si>
    <t>Bell S_5601_Red Oak Ranch Apts_Amarillo_60604</t>
  </si>
  <si>
    <t>Bell S_3920_The Crossings at Bell_Amarillo_60605</t>
  </si>
  <si>
    <t>Coulter St S_3420_Chasewood Apts_Amarillo_60606</t>
  </si>
  <si>
    <t>Virginia St S_4515_The Lighthouse_Amarillo_60607</t>
  </si>
  <si>
    <t>Western S_3318_Heritage House Apts_Amarillo_60608</t>
  </si>
  <si>
    <t>27th Ave W_3100_Colonial Arms-Jamestown_Amarillo_60609</t>
  </si>
  <si>
    <t>27th Ave W_3003_Greenbriar Terrace Apts_Amarillo_60610</t>
  </si>
  <si>
    <t>51st St W_4301_Westbridge Square_Amarillo_60611</t>
  </si>
  <si>
    <t>Cottonwood Ln_10_Cimarron Apts_Canyon_60612</t>
  </si>
  <si>
    <t>Maddox S_1301_Jasmine Apts_Dumas_60613</t>
  </si>
  <si>
    <t>6th St E_1425_Ponderosa_Big Spring_60614</t>
  </si>
  <si>
    <t>Bromley Place_3200_Vantage at Midland_Midland_60615</t>
  </si>
  <si>
    <t>Midland Dr N_3101_CORNERSTONE Apts_Midland_60616</t>
  </si>
  <si>
    <t>Midland Dr N_1902_Hunters Glen Apts_Midland_60617</t>
  </si>
  <si>
    <t>Midland Dr N_3001_Quail Hollow Apts_Midland_60618</t>
  </si>
  <si>
    <t>Tremont_5216_Treemont Apts_Midland_60619</t>
  </si>
  <si>
    <t>Andrews Hwy_9100_Sunset_Odessa_60620</t>
  </si>
  <si>
    <t>50th St E_4100_Windchase Apts_Odessa_60621</t>
  </si>
  <si>
    <t>8th St E_2735_Southgate_Odessa_60622</t>
  </si>
  <si>
    <t>Texas St N_4560_LaPromesa Apts_Odessa_60623</t>
  </si>
  <si>
    <t>Oakwood Dr_4600_Peppertree and Spanish Oaks Apts_Odessa_60624</t>
  </si>
  <si>
    <t>Rocky Ln Rd_2201_Sunchase Apts_Odessa_60625</t>
  </si>
  <si>
    <t>Tanglewood Ln_5050_The Woodlands of Odessa_Odessa_60626</t>
  </si>
  <si>
    <t>Alto Rey Ave_6938_Park Ridge Apts_El Paso_60627</t>
  </si>
  <si>
    <t>Argonaut St_213_Argonaut Heights_El Paso_60628</t>
  </si>
  <si>
    <t>Desert Pass St_200_Legends of El Paso_El Paso_60629</t>
  </si>
  <si>
    <t>Dyer St_9550_Raintree Village Apts_El Paso_60630</t>
  </si>
  <si>
    <t>Fairbanks Dr_5205_Rushfair Villa_El Paso_60631</t>
  </si>
  <si>
    <t>Hercules_4554_Athen's Gate_El Paso_60632</t>
  </si>
  <si>
    <t>Magruder_1500_Mountain View at Southgate_El Paso_60633</t>
  </si>
  <si>
    <t>McCombs St_9960_Autumn Manor Apts_El Paso_60634</t>
  </si>
  <si>
    <t>Morehead Ave_2500-2624_Mountain Shadow_El Paso_60635</t>
  </si>
  <si>
    <t>Lee Trevino N_1750_Fairway View Estates_El Paso_60636</t>
  </si>
  <si>
    <t>Rubin Ct_500_Las Lomas_El Paso_60637</t>
  </si>
  <si>
    <t>Belvidere S_200_Legends of el Paso_El Paso_60638</t>
  </si>
  <si>
    <t>Mesa HillS Dr S_601_Ryan's Mill_El Paso_60639</t>
  </si>
  <si>
    <t>Mesa Hills Dr S_415_The Tuscany at Mesa Hills_El Paso_60640</t>
  </si>
  <si>
    <t>Mesa Hills Dr S_734_West Town Apts_El Paso_60641</t>
  </si>
  <si>
    <t>Schuster Ave_300_Williamsburg Apt Group_El Paso_60642</t>
  </si>
  <si>
    <t>Shadow Mountain_345_The Crest of Shadow Mountain_El Paso_60643</t>
  </si>
  <si>
    <t>Shadow Mountain Dr_272_Coronado Hills Resort_El Paso_60644</t>
  </si>
  <si>
    <t>Trawood Dr_2990_The Wind Tree Apts_El Paso_60645</t>
  </si>
  <si>
    <t>Viscount Blvd_7900_Arbor Vista_El Paso_60646</t>
  </si>
  <si>
    <t>Vista Del Sol_10701_Ridgemar Apts_El Paso_60647</t>
  </si>
  <si>
    <t>Zion St_3334_Mountain Plaza_El Paso_60648</t>
  </si>
  <si>
    <t>Jon Cunningham Blvd_4495_North Hills Village_El Paso_60649</t>
  </si>
  <si>
    <t>Will Ruth_5757_Mountain Vista_El Paso_60650</t>
  </si>
  <si>
    <t>Medical Dr_150_The Woodland_Boerne_60651</t>
  </si>
  <si>
    <t>Bandera Hwy_1300_River Hills_Kerrville_60652</t>
  </si>
  <si>
    <t>306 FM_520_La Sierra Apts_New Braunfels_60653</t>
  </si>
  <si>
    <t>Alamo_105_The Gibbs Building_San Antonio_60654</t>
  </si>
  <si>
    <t>Commerce E_3735_NF_San Antonio_60655</t>
  </si>
  <si>
    <t>Grayson E_819_Grayson Terrace_San Antonio_60656</t>
  </si>
  <si>
    <t>1604 Loop N E_13101_Hawthorn Suites-San Antonio NE_San Antonio_60657</t>
  </si>
  <si>
    <t>Everest St_335_Dijon West Apts_San Antonio_60658</t>
  </si>
  <si>
    <t>Expo Blvd_11327_Four Oaks Tower_San Antonio_60659</t>
  </si>
  <si>
    <t>Hillcrest_2822_Hillcrest II_San Antonio_60660</t>
  </si>
  <si>
    <t>Hillcrest Dr_2903_Hillcrest Apts_San Antonio_60661</t>
  </si>
  <si>
    <t>10 IH W_6945_Alegria Del Sol_San Antonio_60662</t>
  </si>
  <si>
    <t>Montrose_436_Montrose II_San Antonio_60663</t>
  </si>
  <si>
    <t>Pkwy Dr_4407_Parkway Apts_San Antonio_60664</t>
  </si>
  <si>
    <t>Rowley Rd_5455_La Normandie Condominium Project_San Antonio_60665</t>
  </si>
  <si>
    <t>Vance Jackson Rd_12205_NF_San Antonio_60666</t>
  </si>
  <si>
    <t>Vanderheck Blvd_116_Sunset Ridge_San Antonio_60667</t>
  </si>
  <si>
    <t>Wildflower_5042_Regency Manor Apts_San Antonio_60668</t>
  </si>
  <si>
    <t>La Cantera Pkwy_16985_NF_San Antonio_60669</t>
  </si>
  <si>
    <t>123 Hwy Bypass N_3063_The Ranch at State Hwy. 123_Seguin_60670</t>
  </si>
  <si>
    <t>Corner Stone Ct_1605_Cypress Bend_Beaumont_60671</t>
  </si>
  <si>
    <t>Dowlen Rd_520_Greentree Village_Beaumont_60672</t>
  </si>
  <si>
    <t>Folsom_5550_Regency Place_Beaumont_60674</t>
  </si>
  <si>
    <t>French Rd_3155_French Road_Beaumont_60675</t>
  </si>
  <si>
    <t>10 IH N_125_Timberlake Courts_Beaumont_60676</t>
  </si>
  <si>
    <t>Lexington Dr_6550_Towne Oaks_Beaumont_60677</t>
  </si>
  <si>
    <t>Longfellow_1215_Longfellow_Beaumont_60678</t>
  </si>
  <si>
    <t>Major Dr N_4215_West End Lodge_Beaumont_60679</t>
  </si>
  <si>
    <t>Old Dowlen Rd_4165_The Pointe Apts_Beaumont_60680</t>
  </si>
  <si>
    <t>Prutzman_6550_Lancaster Cornwall_Beaumont_60681</t>
  </si>
  <si>
    <t>4th St S_4365_Maple Housing Of Beaumont_Beaumont_60682</t>
  </si>
  <si>
    <t>Saxe_1280_Cardinal Square_Beaumont_60683</t>
  </si>
  <si>
    <t>Sweetgum Ln_2570_Colonnade Apts_Beaumont_60684</t>
  </si>
  <si>
    <t>Gulfway_5305_Amber_Groves_60685</t>
  </si>
  <si>
    <t>Gulfway Dr_5307_Beverly Place_Groves_60686</t>
  </si>
  <si>
    <t>Gulfway Dr_5401_Vincent Park Apts_Groves_60687</t>
  </si>
  <si>
    <t>31st St_2575_Spurlock North_Nederland_60688</t>
  </si>
  <si>
    <t>Ave B_1003_Chateau Nederland_Nederland_60689</t>
  </si>
  <si>
    <t>Nederland Ave_2900_The Avenue_Nederland_60690</t>
  </si>
  <si>
    <t>MacArthur Dr_3000_Sussex Apts_Orange_60691</t>
  </si>
  <si>
    <t>Meeks Rd_4750_International Village_Orange_60692</t>
  </si>
  <si>
    <t>Meeks N_3819_Chivas Square_Orange_60693</t>
  </si>
  <si>
    <t>Ridgemont Dr_3333_Autumn Park Apts_Orange_60694</t>
  </si>
  <si>
    <t>Austin_440_Historic Landmark_Port Arthur_60695</t>
  </si>
  <si>
    <t>Main Ave_1600_Poole Avenue AH_Port Arthur_60696</t>
  </si>
  <si>
    <t>Normandy St_3500_Brittany Place Apts_Port Arthur_60697</t>
  </si>
  <si>
    <t>Poole Ave_1401_Poole Avenue Apts_Port Arthur_60698</t>
  </si>
  <si>
    <t>Ridgewood Dr_877_Las Brisas_Port Neches_60699</t>
  </si>
  <si>
    <t>22nd St_5817_Twin Oaks_Lubbock_60700</t>
  </si>
  <si>
    <t>24th St_5802_Chaparral Apts_Lubbock_60701</t>
  </si>
  <si>
    <t>27th St_1617_Park Tower Apts_Lubbock_60702</t>
  </si>
  <si>
    <t>34th St_2102_Wellington_Lubbock_60703</t>
  </si>
  <si>
    <t>3rd St_2717_Sierra Crossing_Lubbock_60704</t>
  </si>
  <si>
    <t>44th St_2701_Gatewood Apts_Lubbock_60705</t>
  </si>
  <si>
    <t>44th St_2400_Magnolia Court Apts_Lubbock_60706</t>
  </si>
  <si>
    <t>45th St_2401_Park Terrace_Lubbock_60707</t>
  </si>
  <si>
    <t>4th St_5710_Meridian Park Apts_Lubbock_60708</t>
  </si>
  <si>
    <t>4th St_5525_Pine Grove Villas_lubbock_60709</t>
  </si>
  <si>
    <t>50th St_4602_Lubbock Square Apts_Lubbock_60710</t>
  </si>
  <si>
    <t>50th St_3508_Town Plaza_Lubbock_60711</t>
  </si>
  <si>
    <t>66th St_5720_Farrar West Apts_Lubbock_60712</t>
  </si>
  <si>
    <t>66th St_5402_Woodcrest_Lubbock_60713</t>
  </si>
  <si>
    <t>70th St_2310_Texas Apt Complex_Lubbock_60714</t>
  </si>
  <si>
    <t>71st St_4501_The Wyndham_Lubbock_60715</t>
  </si>
  <si>
    <t>82nd St_6703_Dakota Arms_Lubbock_60716</t>
  </si>
  <si>
    <t>82nd St_4421_Willow Hill_Lubbock_60717</t>
  </si>
  <si>
    <t>Aberdeen Ave_5310_NF_Lubbock_60718</t>
  </si>
  <si>
    <t>Albany Ave_6402_Metropolitan Apts_Lubbock_60719</t>
  </si>
  <si>
    <t>Ave U_8217_Preserve at Prairie Point_Lubbock_60720</t>
  </si>
  <si>
    <t>Belmont Ave N_602_Lynnwood TH_Lubbock_60721</t>
  </si>
  <si>
    <t>28th St E_1017_Ranch Oak Apts (North &amp; South)_Lubbock_60722</t>
  </si>
  <si>
    <t>Glenna Goodacre Blvd_2400_The Centre_Lubbock_60723</t>
  </si>
  <si>
    <t>Glenna Goodacre Blvd_2300_The Suites_Lubbock_60724</t>
  </si>
  <si>
    <t>Indiana_223_The Edge_Lubbock_60725</t>
  </si>
  <si>
    <t>Indiana Ave_201_College Pointe Apts_Lubbock_60726</t>
  </si>
  <si>
    <t>Indiana Ave_6201_Del Estrado Townhome Apts_Lubbock_60727</t>
  </si>
  <si>
    <t>Indiana Dr_7906_NF_Lubbock_60728</t>
  </si>
  <si>
    <t>La Salle Ave_2104_La Salle_Lubbock_60729</t>
  </si>
  <si>
    <t>Brentwood Ave N_308_Village TH_Lubbock_60730</t>
  </si>
  <si>
    <t>Frankford Ave S_1002_Jefferson Commons Texas Tech_Lubbock_60731</t>
  </si>
  <si>
    <t>289 Loop S_3001_White Plaza Apts_Lubbock_60732</t>
  </si>
  <si>
    <t>University_1001_University Plaza Apts_Lubbock_60733</t>
  </si>
  <si>
    <t>289 Loop W_2302_Innsbruck West_Lubbock_60734</t>
  </si>
  <si>
    <t>289 Loop W_5351_Metropolitan Apts_Lubbock_60735</t>
  </si>
  <si>
    <t>Ave J_1215_Green-Cobb Buildings_Lubbock _60736</t>
  </si>
  <si>
    <t>4th St_4901_Stratford Place_Lubbock _60737</t>
  </si>
  <si>
    <t>Country Club Dr_7550_Lago del Mar_Laredo_60738</t>
  </si>
  <si>
    <t>rancho viejo Dr_604_Rancho Viejo Apts_Laredo_60739</t>
  </si>
  <si>
    <t>TEXOMA Pkwy_3800_Creekmore Apts_Denison_60740</t>
  </si>
  <si>
    <t>LaSalle Dr_1600_Diamond Place Apts_Sherman_60741</t>
  </si>
  <si>
    <t>1417 FM N_3301_Post Oak Crossing Apts_Sherman_60742</t>
  </si>
  <si>
    <t>Northridge_3031_Normandy Manor Apts_Sherman_60743</t>
  </si>
  <si>
    <t>Northridge Dr_3013_Normandy Manor_Sherman_60744</t>
  </si>
  <si>
    <t>Rex Cruise_3114_Turtle Creek Village Apts_Sherman_60745</t>
  </si>
  <si>
    <t>Taylor_1925_Highland Park Village_Sherman_60746</t>
  </si>
  <si>
    <t>Travis St Sherman S_915_Southgate Apts_Sherman_60747</t>
  </si>
  <si>
    <t>Taylor W_1200_Arrow Wood_Sherman_60748</t>
  </si>
  <si>
    <t>Taylor St W_2300_Hunnington_Sherman_60749</t>
  </si>
  <si>
    <t>Washington St W_1800_Ridgeview AH_Sherman_60750</t>
  </si>
  <si>
    <t>Good Shepherd Dr_1700_Brownwood Apts Package_Brownwood_60751</t>
  </si>
  <si>
    <t>Waco St_928_Andrea Gardens Apt Complex_Colorado City_60752</t>
  </si>
  <si>
    <t>Sadosa St W_600_Eastland Village Apts_Eastland_60753</t>
  </si>
  <si>
    <t>Ave O_3900_Western Crest &amp; Windridge Apts_Snyder_60754</t>
  </si>
  <si>
    <t>Hovley Ln E_NF_Canterra_Palm Desert_60755</t>
  </si>
  <si>
    <t>Balsam Way S_4601_Monterey_Littleton_60756</t>
  </si>
  <si>
    <t>Community Center Dr_11625_Stone Mountain_Northglenn_60757</t>
  </si>
  <si>
    <t>Middlebrook Rd_4000_Middlebrook Farms_Orlando_60758</t>
  </si>
  <si>
    <t>42nd St N_13702_Sterling North Campus_Tampa_60759</t>
  </si>
  <si>
    <t>Waters Ave W_3501_San Marin_Tampa_60760</t>
  </si>
  <si>
    <t>New Stonecastle Terrace_2015_Stonecastle_Winter Park_60761</t>
  </si>
  <si>
    <t>Lake Dr_2482_Holly Tree_Waldorf_60762</t>
  </si>
  <si>
    <t>Kelso Dunes Rd_1350_Adobe Ranch_Henderson_60763</t>
  </si>
  <si>
    <t>Tropicana Ave E_5325_Majestic Heights_Las Vegas_60764</t>
  </si>
  <si>
    <t>Tamarus St_5050_Sonterra_Las Vegas_60765</t>
  </si>
  <si>
    <t>Topaz St_4775_Toscana Villas_Las Vegas_60766</t>
  </si>
  <si>
    <t>81st St E_9303_Estancia_Tulsa_60767</t>
  </si>
  <si>
    <t>Mingo Rd S_7705_Sonoma Grande_Tulsa_60768</t>
  </si>
  <si>
    <t>Bethel Church Rd_4215_Ravenwood Hills_Columbia_60769</t>
  </si>
  <si>
    <t>River Terrace Rd_20900_River Road Terrace_Petersburg_60770</t>
  </si>
  <si>
    <t>3rd St W_155_Alpha Delta Apts_Arlington_90001</t>
  </si>
  <si>
    <t>Starlinda Ct_615_NF_Arlington_90010</t>
  </si>
  <si>
    <t>Charlotte_2409-2413_Scholars Inn_Denton_90100</t>
  </si>
  <si>
    <t>Charlotte St_2422-2428 _Charlotte Place Apts_Denton_90101</t>
  </si>
  <si>
    <t>Eagle Dr_1112-1116_The Village Apts_Denton_90102</t>
  </si>
  <si>
    <t>Fallmeadow CT_612_NF_Denton_90103</t>
  </si>
  <si>
    <t>Fallmeadow St_3211_NF_Denton_90104</t>
  </si>
  <si>
    <t>Fulton_425_Cabernet Apts_Denton_90105</t>
  </si>
  <si>
    <t>Hercules Ln_709_Crystalwood Apts_Denton_90106</t>
  </si>
  <si>
    <t>Louise St_2425_The Arbor_Denton_90107</t>
  </si>
  <si>
    <t>Palmwood PI_1100_Palmwood Apts_Denton_90108</t>
  </si>
  <si>
    <t>Stuart Rd_3817-3827_Crystalwood Apts_Denton_90109</t>
  </si>
  <si>
    <t>Demoye_418_NF_Aubrey_90011</t>
  </si>
  <si>
    <t>Vine_1127_NF_Denton_90110</t>
  </si>
  <si>
    <t>Vine St_902_Vineyard Apts_Denton_90111</t>
  </si>
  <si>
    <t>Belt Line Rd E_510_Cottonwood Apts_Desoto_90112</t>
  </si>
  <si>
    <t>Hampton N_518_Hampton Gardens Apts_Desoto_90113</t>
  </si>
  <si>
    <t>Cardinal E_1303-1701_NF_Ennis_90114</t>
  </si>
  <si>
    <t>Alexander Ln E_505_Emerald Gardens_Euless_90115</t>
  </si>
  <si>
    <t>Birchman Ave_5504 &amp; 5508_Birchman Plaza_Fort Worth_90116</t>
  </si>
  <si>
    <t>Boca Raton Blvd_5514-5634_Boca Club Condos_Fort Worth_90117</t>
  </si>
  <si>
    <t>Bonnie Dr_3737_NF_Fort Worth_90118</t>
  </si>
  <si>
    <t>Byers Ave_4538_CHAPARRAL Apts_Fort Worth_90119</t>
  </si>
  <si>
    <t>Main St_517_Azle Creek Apts_Azle_90012</t>
  </si>
  <si>
    <t>Chapin Rd_7700_Chapin Road Apts_Fort Worth_90120</t>
  </si>
  <si>
    <t>Houston St N_2304_NF_Fort Worth_90121</t>
  </si>
  <si>
    <t>Inverness Ave_5101_NF_Fort Worth_90122</t>
  </si>
  <si>
    <t>Lake Como Dr_3200_Forest Apts_Fort Worth_90123</t>
  </si>
  <si>
    <t>Lariat Ln_718_NF_Fort Worth_90124</t>
  </si>
  <si>
    <t>Locke Ave_4805_West Apts_Fort Worth_90125</t>
  </si>
  <si>
    <t>McLean_3021-3017-3013_Flamingo Apts_Fort Worth_90126</t>
  </si>
  <si>
    <t>Monticello Rd_701_NF_Fort Worth_90127</t>
  </si>
  <si>
    <t>New York Ave_200_NF_Fort Worth_90128</t>
  </si>
  <si>
    <t>Normandy Rd_6528_Courtyard Villa Apts_Fort Worth_90129</t>
  </si>
  <si>
    <t>Elam Rd_12904_Pioneer Crossing TH_Balch Springs_90013</t>
  </si>
  <si>
    <t>Purington Ave_2735_NF_Fort Worth_90130</t>
  </si>
  <si>
    <t>Saint Louis Ave_1701_NF_Fort Worth_90131</t>
  </si>
  <si>
    <t>Trail Lake Dr_6766_NF_Fort Worth_90132</t>
  </si>
  <si>
    <t>Tucker E_1410_NF_Fort Worth_90133</t>
  </si>
  <si>
    <t>Tulsa Way_3858_NF_Fort Worth_90134</t>
  </si>
  <si>
    <t>Seawall Blvd_7000_The Dawn Condominiums_Galveston_90135</t>
  </si>
  <si>
    <t>Beltline Rd N_1601-1605_Creekview Apts_Garland_90136</t>
  </si>
  <si>
    <t>Buckingham W_701_Hampton Court Condominiums_Garland_90137</t>
  </si>
  <si>
    <t>Chaha_4560_Faulkner Point_Garland_90138</t>
  </si>
  <si>
    <t>Courtenay Pl_832_Bradfield Creek TH_Garland_90139</t>
  </si>
  <si>
    <t>Fannidelia Dr _1404_The Meadows_Carrollton_90014</t>
  </si>
  <si>
    <t>Rita Dr_305-307 _NF_Garland_90140</t>
  </si>
  <si>
    <t>Crawford Ct_1520_The Reserve at Lake Granbury_Granbury_90141</t>
  </si>
  <si>
    <t>Kemah Ct_5607_NF_Granbury_90142</t>
  </si>
  <si>
    <t>14th St SE_1810_NF_Grand Prairie_90143</t>
  </si>
  <si>
    <t>Center St _8112_Raintree Apts_Grand Prairie_90144</t>
  </si>
  <si>
    <t>Worth St E_421_Contessa Apts_Grapevine_90145</t>
  </si>
  <si>
    <t>Bernice St_1901_Sandstone Apts_Haltom City_90146</t>
  </si>
  <si>
    <t>Harmon_122_Hurst Inn_Hurst_90147</t>
  </si>
  <si>
    <t>Chamberlain_903-921_Chamberlain Complex_Irving_90148</t>
  </si>
  <si>
    <t>French St_951_Chalet Apts_Irving_90149</t>
  </si>
  <si>
    <t>Jackson Cir_2201_NF_Carrollton_90015</t>
  </si>
  <si>
    <t>Highland Park Ct_130-149_Highland Park Court Apts_Irving_90150</t>
  </si>
  <si>
    <t>Riverview Dr_2232_NF_Irving_90151</t>
  </si>
  <si>
    <t>Rogers Rd N_618_Tuscan Court Apts_Irving_90152</t>
  </si>
  <si>
    <t>Rolston Rd_301-319_Irving Court_Irving_90153</t>
  </si>
  <si>
    <t>Story Rd S_325_Granada Terrace-Rishi Village_Irving_90154</t>
  </si>
  <si>
    <t>Greenville _225_NF_Joshua_90155</t>
  </si>
  <si>
    <t>Jefferson St S_400_Jefferson Street Apts_Kaufman_90156</t>
  </si>
  <si>
    <t>Britton St W_115_NF_Krum_90157</t>
  </si>
  <si>
    <t>Masch Branch Rd_4892_Midwest Apts_Krum_90158</t>
  </si>
  <si>
    <t>Westridge Ave_1207_Westridge Apts_Lancaster_90159</t>
  </si>
  <si>
    <t>Keller Springs Rd_2800_NF_Carrollton_90016</t>
  </si>
  <si>
    <t>Main St_370_Lewisvilla Apts_Lewisville_90160</t>
  </si>
  <si>
    <t>Main St_210_Elmwood Apts_Little Elm_90161</t>
  </si>
  <si>
    <t>1585 FM_1114_FM 1585 Shopping Center_Lubbock _90162</t>
  </si>
  <si>
    <t>Virginia Pkwy_2520_Twelve Oaks Apts_McKinney_90163</t>
  </si>
  <si>
    <t>Elm St  W_2521_Casa Paradise_Phoenix_90164</t>
  </si>
  <si>
    <t>F Ave_1509 - 1531_Plano Apts_Plano_90165</t>
  </si>
  <si>
    <t>100 Hwy_1506_Treasure Island Village_Port Isabel_90166</t>
  </si>
  <si>
    <t>6th St N_609_NF_Princeton_90167</t>
  </si>
  <si>
    <t>Hazelwood Dr E_500_Hazelwood Apts_Princeton_90168</t>
  </si>
  <si>
    <t>Methodist N_600_Steel Dust II_Red Oak_90169</t>
  </si>
  <si>
    <t>Ridgedale Dr_2416_NF_Carrollton_90017</t>
  </si>
  <si>
    <t>SH N_106_Hawk's Landing_Red Oak_90170</t>
  </si>
  <si>
    <t>Bowser Rd_116_Bowser Road Apts_Richardson_90171</t>
  </si>
  <si>
    <t>Bowser Rd S_100_Fairfield Apts_Richardson_90172</t>
  </si>
  <si>
    <t>Candlewood Pl_331-333_NF_Richardson_90173</t>
  </si>
  <si>
    <t>Foxboro Dr_3204_NF_Richardson_90174</t>
  </si>
  <si>
    <t>Hilltop Ave_306_Richardson Duplex_Richardson_90175</t>
  </si>
  <si>
    <t>Royal Crest Dr_609_NF_Richardson_90176</t>
  </si>
  <si>
    <t>Royal Crest Dr_628_NF_Richardson_90177</t>
  </si>
  <si>
    <t>Saint Paul Ct_817-819_NF_Richardson_90178</t>
  </si>
  <si>
    <t>Towne House Ln_412_Woodhaven Duplex_Richardson_90179</t>
  </si>
  <si>
    <t>School Rd_1310_Lynn Villa_Carrollton_90018</t>
  </si>
  <si>
    <t>Hardisty_6731_Plaza Apts_Richland Hills_90180</t>
  </si>
  <si>
    <t>Laura Ann Ct_6600-6623_Laura Ann Court Duplexes_Richland Hills_90181</t>
  </si>
  <si>
    <t>Park Pl Dr_6605_Richland Chateau_Richland Hills_90182</t>
  </si>
  <si>
    <t>Reeves St_6626_Robinwood Apts_Richland Hills_90183</t>
  </si>
  <si>
    <t>Rufe Snow D_3101_Richland Chateau_Richland Hills_90184</t>
  </si>
  <si>
    <t>Brocks_6157-61-63_NF_River Oaks_90185</t>
  </si>
  <si>
    <t>Cody Ct_940_NF_River Oaks_90186</t>
  </si>
  <si>
    <t>Roberts Cut Off_420_The Park at River Oaks_River Oaks_90187</t>
  </si>
  <si>
    <t>Lake Meadows_101_Bent Creek Condos_Rockwall_90188</t>
  </si>
  <si>
    <t>Ranger Dr_5412-5414_Lakeview Duplex_Rockwall_90189</t>
  </si>
  <si>
    <t>Cedar St_315_Cedars_Cedar Hill_90019</t>
  </si>
  <si>
    <t>Alissa Dr_6200-6700_Lakeview Meadow Estates_Rowlett_90190</t>
  </si>
  <si>
    <t>Amherst Dr_7406_NF_Rowlett_90191</t>
  </si>
  <si>
    <t>Knights Bridge_3914_NF_Rowlett_90192</t>
  </si>
  <si>
    <t>Rutgers Cir_7400_College Park Duplex_Rowlett_90193</t>
  </si>
  <si>
    <t>Stanford St_2610_NF_Rowlett_90194</t>
  </si>
  <si>
    <t>6th St_3116_NF_Sachse_90195</t>
  </si>
  <si>
    <t>78 SH_6408_NF_Sachse_90196</t>
  </si>
  <si>
    <t>Brookview Ct_5510_Brookview Ct Fourplex_Sachse_90197</t>
  </si>
  <si>
    <t>Jewel St_3624-3630_NF_Sachse_90198</t>
  </si>
  <si>
    <t>Murphy Rd_6340_Hilltop Meadows_Sachse_90199</t>
  </si>
  <si>
    <t>Benge Dr_716_Benge Oaks Apts_Arlington_90002</t>
  </si>
  <si>
    <t>Hickerson St_312_Hickerson Place Apts_Cedar Hill_90020</t>
  </si>
  <si>
    <t>White Rock St_805_NF_Saginaw_90200</t>
  </si>
  <si>
    <t>36th St SW_915_LaGuna Apts_San Antonio_90201</t>
  </si>
  <si>
    <t>Glendora Ave_6910_Glendora Apts_San Antonio_90202</t>
  </si>
  <si>
    <t>Grayson St E_831_Marshann Apts_San Antonio_90203</t>
  </si>
  <si>
    <t>Natalen Ave_451_Natalen Square Apts_San Antonio_90204</t>
  </si>
  <si>
    <t>Ben Hogan_139_Stephenville 4 Plexes_Stephenville_90205</t>
  </si>
  <si>
    <t>Long_1380_NF_Stephenville_90206</t>
  </si>
  <si>
    <t>Houston St_907_Inverness_Terrell_90207</t>
  </si>
  <si>
    <t>Alamo St W_301_NF_Terrell_90208</t>
  </si>
  <si>
    <t>Brin E_301_NF_Terrell_90209</t>
  </si>
  <si>
    <t>Lemons St_706_Lemon Duplexes_Cedar Hill_90021</t>
  </si>
  <si>
    <t>College St E_409_NF_Terrell_90210</t>
  </si>
  <si>
    <t>Frances Ave_1805_NF_Terrell_90211</t>
  </si>
  <si>
    <t>Frances N_904_NF_Terrell_90212</t>
  </si>
  <si>
    <t>Lovers Ln_200_Royal Oaks TH_Terrell_90213</t>
  </si>
  <si>
    <t>Virginia N_700_NF_Terrell_90214</t>
  </si>
  <si>
    <t>Houston St W_620_Villa Milano Apts_Tyler_90215</t>
  </si>
  <si>
    <t>75 Hwy N_500_Hackberry Park Apts_Van Alstyne_90216</t>
  </si>
  <si>
    <t>Azalea Trl_816_NF_Waxahachie_90217</t>
  </si>
  <si>
    <t>Hibiscus Way_803_Hibiscus Court TH_Waxahachie_90218</t>
  </si>
  <si>
    <t>Rogers N_518_Colonial Manor_Waxahachie_90219</t>
  </si>
  <si>
    <t>Caddo St S_605_NF_Cleburne_90022</t>
  </si>
  <si>
    <t>Vine St_1011_1011 Vine St Apts_Weatherford_90220</t>
  </si>
  <si>
    <t>Cambridge Cir_8040_NF_White Settlement_90221</t>
  </si>
  <si>
    <t>Lariat Ln_714_NF_White Settlement_90222</t>
  </si>
  <si>
    <t>Redbud Ln_301_NF_Wilmer_90223</t>
  </si>
  <si>
    <t>Brown St W_103_NF_Wylie_90224</t>
  </si>
  <si>
    <t>Samuel Blvd Apt 5 E_218_Meadowridge_Coppell_90023</t>
  </si>
  <si>
    <t>8th St E_308_El Nina_Dallas_90024</t>
  </si>
  <si>
    <t>8th St W_324_Bishop Arts District_Dallas_90025</t>
  </si>
  <si>
    <t>9th St E_409_El Ricardo_Dallas_90026</t>
  </si>
  <si>
    <t>Ave G W_700_Prairie Crossing Apts_Dallas_90027</t>
  </si>
  <si>
    <t>Bennett Ave_1715_NF_Dallas_90028</t>
  </si>
  <si>
    <t>Bowser_4429_NF_Dallas_90029</t>
  </si>
  <si>
    <t>Knoll Crest Dr_2103_Cedar Ridge Condominiums II_Arlington_90003</t>
  </si>
  <si>
    <t>Bruton Rd_9855_Starr of Dallas Apts_Dallas_90030</t>
  </si>
  <si>
    <t>Bryan St_5217_NF_Dallas_90031</t>
  </si>
  <si>
    <t>Carroll_1501_NF_Dallas_90032</t>
  </si>
  <si>
    <t>Cole Ave_2808_NF_Dallas_90033</t>
  </si>
  <si>
    <t>Cole Ave_4136_Studio Village TH_Dallas_90034</t>
  </si>
  <si>
    <t>Columbia Ave_4602_El Cielo Apts_Dallas_90035</t>
  </si>
  <si>
    <t>Columbia Ave_5114-5124_Columbia House Apts_Dallas_90036</t>
  </si>
  <si>
    <t>Columbia Ave_5315_Belvedere_Dallas_90037</t>
  </si>
  <si>
    <t>Congress Ave_4300_Hartford Apts_Dallas_90038</t>
  </si>
  <si>
    <t>Creek Cove DR_144_Creek Cove Villas_Dallas_90039</t>
  </si>
  <si>
    <t>Mc Queary St_504-524_NF_Arlington_90004</t>
  </si>
  <si>
    <t>Diceman Ave_1106_NF_Dallas_90040</t>
  </si>
  <si>
    <t>Elsbeth St_600_NF_Dallas_90041</t>
  </si>
  <si>
    <t>Ewing Ave N_405_Park Place_Dallas_90042</t>
  </si>
  <si>
    <t>Fairmount St_4633_Fairmount Gardens Apts_Dallas_90043</t>
  </si>
  <si>
    <t>Ferguson_7827_Park Highlands_Dallas_90044</t>
  </si>
  <si>
    <t>Fitzhugh ave N_1826-1830_1826 &amp; 1830 N Fitzhugh Apts_Dallas_90045</t>
  </si>
  <si>
    <t>Fitzhugh Ave N_2212_2212 Fitzhugh Apts_Dallas_90046</t>
  </si>
  <si>
    <t>Fitzhugh N_1728_Bonaventure Apts_Dallas_90047</t>
  </si>
  <si>
    <t>Forest Ln_9254_Trinity Forest Condos_Dallas_90048</t>
  </si>
  <si>
    <t>Garrett St_1407_NF_Dallas_90049</t>
  </si>
  <si>
    <t>Medlin Dr_2505_Medlin Square_Arlington_90005</t>
  </si>
  <si>
    <t>Gaston Ave_4320_NF_Dallas_90050</t>
  </si>
  <si>
    <t>Gaston Ave_4912_Gaston Apts_Dallas_90051</t>
  </si>
  <si>
    <t>Gaston Ave_5921_Blue Sky Apts_Dallas_90052</t>
  </si>
  <si>
    <t>Gaston Ave_4948-4950_Ventura Apts_Dallas_90053</t>
  </si>
  <si>
    <t>Grigsby_1625_Grigsby Place Apts_Dallas_90054</t>
  </si>
  <si>
    <t>Hall N_4014 &amp; 4018_NF_Dallas_90055</t>
  </si>
  <si>
    <t>Hudson St_5708_NF_Dallas_90056</t>
  </si>
  <si>
    <t>Illinois Ave E_333_Illinois Garden_Dallas_90057</t>
  </si>
  <si>
    <t>Illinois Ave W_2803_Oakridge_Dallas_90058</t>
  </si>
  <si>
    <t>Junius St_5119_NF_Dallas_90059</t>
  </si>
  <si>
    <t>Mitchell St E_304_Mitchell Street Apts_Arlington_90006</t>
  </si>
  <si>
    <t>Kiest Blvd E_3811_Kiest Terrace_Dallas_90060</t>
  </si>
  <si>
    <t>Kiest Blvd E_3808_Kiest Villas_Dallas_90061</t>
  </si>
  <si>
    <t>Lafayette St_4406_NF_Dallas_90062</t>
  </si>
  <si>
    <t>Lindell Ave_5613_Lindell Ave Condos_Dallas_90064</t>
  </si>
  <si>
    <t>Live Oak St_5027_Ambassador_Dallas_90065</t>
  </si>
  <si>
    <t>Main St_4100-4104_NF_Dallas_90066</t>
  </si>
  <si>
    <t>Marsalis N_926_Townview Apts_Dallas_90067</t>
  </si>
  <si>
    <t>Mather Ct_3955_Chiquita Apts_Dallas_90068</t>
  </si>
  <si>
    <t>McCommas_5815_NF_Dallas_90069</t>
  </si>
  <si>
    <t>Oak St N_406_North Oak Lofts_Arlington_90007</t>
  </si>
  <si>
    <t>Melody Ln_6050_Tealwood Condos_Dallas_90070</t>
  </si>
  <si>
    <t>Moser_2100-2110_Fig Tree Apts_Dallas_90071</t>
  </si>
  <si>
    <t>Munger Ave_225_NF_Dallas_90072</t>
  </si>
  <si>
    <t>Navajo Dr_3326_Jamestown_Dallas_90073</t>
  </si>
  <si>
    <t>Peyton Dr_13934-14030_Northwood Hills Apts_Dallas_90074</t>
  </si>
  <si>
    <t>Pine St_3628_Berry Square Apts_Dallas_90075</t>
  </si>
  <si>
    <t>Prospect Ave_5829_NF_Dallas_90076</t>
  </si>
  <si>
    <t>Rawlins St_3720_Mirasol Court_Dallas_90077</t>
  </si>
  <si>
    <t>Reagan_2806_The Delano_Dallas_90078</t>
  </si>
  <si>
    <t>Ricksaw Dr_3660_NF_Dallas_90079</t>
  </si>
  <si>
    <t>Park Row Dr W_300_Park Ridge TH_Arlington_90008</t>
  </si>
  <si>
    <t>Robert B. Cullum Blvd_2310_Delta Plaza Apts_Dallas_90080</t>
  </si>
  <si>
    <t>Ronnie Dr_7650_NF_Dallas_90081</t>
  </si>
  <si>
    <t>Ruidosa Ave_2910_NF_Dallas_90082</t>
  </si>
  <si>
    <t>San Jacinto St_3219_Bryan Place Apts_Dallas_90083</t>
  </si>
  <si>
    <t>San Jacinto St_4407_San Jacinto Place_Dallas_90084</t>
  </si>
  <si>
    <t>Sidney St_3919_Ciudad del Sol_Dallas_90085</t>
  </si>
  <si>
    <t>Skillman St_8110_NF_Dallas_90086</t>
  </si>
  <si>
    <t>Throckmorton St_2801_NF_Dallas_90087</t>
  </si>
  <si>
    <t>Walnut St_9801_Richland Trace Condo_Dallas_90088</t>
  </si>
  <si>
    <t>Williamstown Dr_5840_NF_Dallas_90089</t>
  </si>
  <si>
    <t>Park Row E_2405_Coach Light Apts_Arlington_90009</t>
  </si>
  <si>
    <t>Worth St_5203_NF_Dallas_90090</t>
  </si>
  <si>
    <t>Young St_1775_Downtown Lofts-TH_Dallas_90091</t>
  </si>
  <si>
    <t>Halsell St_1304_Atrium Garden Apts_Decatur_90092</t>
  </si>
  <si>
    <t>Austin St N_115_NF_Denton_90093</t>
  </si>
  <si>
    <t>Ave F_224_224 Ave F Apts_DENTON_90094</t>
  </si>
  <si>
    <t>Ave G_223-305_Grace I &amp; II_Denton_90095</t>
  </si>
  <si>
    <t>Bell Ave N_1116_NF_Denton_90096</t>
  </si>
  <si>
    <t>Bernard St_2406-2416_Bernard St. Duplexes_Denton_90097</t>
  </si>
  <si>
    <t>Bonnie Brae St Apt A S_121_Bonnie Green Apts_Denton_90098</t>
  </si>
  <si>
    <t>Bryan St_410_NF_Denton_90099</t>
  </si>
  <si>
    <t>Existing Folder Names</t>
  </si>
  <si>
    <t>Quail Dr_12725_Quail Oaks_Balch Springs_13907</t>
  </si>
  <si>
    <t>Lamar Blvd N_12820_Villages of Sage Creek_Austin_15930</t>
  </si>
  <si>
    <t>Lamar Blvd N_12820_Villages of Sage Creek_Austin</t>
  </si>
  <si>
    <t>Lookout Hollow Cir_16505_Lookout Hollow_Selma_18584</t>
  </si>
  <si>
    <t>Lookout Hollow Cir_16505_Lookout Hollow_Selma</t>
  </si>
  <si>
    <t>Stop</t>
  </si>
  <si>
    <t>Note:</t>
  </si>
  <si>
    <t>Include Subfolders</t>
  </si>
  <si>
    <t>E:\Download\Sonam Docs</t>
  </si>
  <si>
    <t>E:\Download\Sonam Docs\Marksheets - Certificates</t>
  </si>
  <si>
    <t>Marksheets - Certificates</t>
  </si>
  <si>
    <t>E:\Download\Sonam Docs\Sonam Docs</t>
  </si>
  <si>
    <t>Sonam Docs</t>
  </si>
  <si>
    <t>E:\Download\Sonam Docs\Sonam Docs\Marksheets - Certificates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</si>
</sst>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1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ACACA"/>
      </left>
      <right style="thin">
        <color rgb="FFCACACA"/>
      </right>
      <top/>
      <bottom style="thin">
        <color rgb="FFCACACA"/>
      </bottom>
      <diagonal/>
    </border>
    <border>
      <left style="thin">
        <color rgb="FFCACACA"/>
      </left>
      <right style="thin">
        <color rgb="FFCACACA"/>
      </right>
      <top style="thin">
        <color rgb="FFCACACA"/>
      </top>
      <bottom style="thin">
        <color rgb="FFCACACA"/>
      </bottom>
      <diagonal/>
    </border>
    <border>
      <left style="thin">
        <color rgb="FFCACACA"/>
      </left>
      <right style="thin">
        <color rgb="FFCACACA"/>
      </right>
      <top style="thin">
        <color rgb="FFCACACA"/>
      </top>
      <bottom style="medium">
        <color rgb="FF00000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</borders>
  <cellStyleXfs count="4">
    <xf numFmtId="0" fontId="0" fillId="0" borderId="0"/>
    <xf numFmtId="0" fontId="1" fillId="0" borderId="1" applyNumberFormat="0" applyFont="0" applyFill="0" applyAlignment="0">
      <alignment horizontal="left" wrapText="1"/>
    </xf>
    <xf numFmtId="0" fontId="9" fillId="12" borderId="7" applyNumberFormat="0" applyAlignment="0" applyProtection="0"/>
    <xf numFmtId="0" fontId="12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Font="1" applyAlignment="1">
      <alignment horizontal="center"/>
    </xf>
    <xf numFmtId="1" fontId="2" fillId="2" borderId="1" xfId="1" applyNumberFormat="1" applyFont="1" applyFill="1" applyBorder="1" applyAlignment="1">
      <alignment horizontal="left" wrapText="1"/>
    </xf>
    <xf numFmtId="1" fontId="2" fillId="3" borderId="1" xfId="1" applyNumberFormat="1" applyFont="1" applyFill="1" applyBorder="1" applyAlignment="1">
      <alignment horizontal="center" wrapText="1"/>
    </xf>
    <xf numFmtId="1" fontId="3" fillId="2" borderId="1" xfId="1" applyNumberFormat="1" applyFont="1" applyFill="1" applyBorder="1" applyAlignment="1">
      <alignment horizontal="left" wrapText="1"/>
    </xf>
    <xf numFmtId="0" fontId="0" fillId="2" borderId="2" xfId="0" applyFont="1" applyFill="1" applyBorder="1" applyAlignment="1">
      <alignment vertical="top"/>
    </xf>
    <xf numFmtId="0" fontId="0" fillId="3" borderId="2" xfId="0" applyFont="1" applyFill="1" applyBorder="1" applyAlignment="1">
      <alignment horizontal="center" vertical="top"/>
    </xf>
    <xf numFmtId="0" fontId="0" fillId="2" borderId="3" xfId="0" applyFont="1" applyFill="1" applyBorder="1" applyAlignment="1">
      <alignment vertical="top"/>
    </xf>
    <xf numFmtId="0" fontId="0" fillId="4" borderId="2" xfId="0" applyFont="1" applyFill="1" applyBorder="1" applyAlignment="1">
      <alignment vertical="top"/>
    </xf>
    <xf numFmtId="0" fontId="0" fillId="3" borderId="1" xfId="0" applyFont="1" applyFill="1" applyBorder="1" applyAlignment="1">
      <alignment horizontal="center" vertical="top"/>
    </xf>
    <xf numFmtId="0" fontId="0" fillId="2" borderId="1" xfId="0" applyFont="1" applyFill="1" applyBorder="1" applyAlignment="1">
      <alignment vertical="top"/>
    </xf>
    <xf numFmtId="0" fontId="0" fillId="4" borderId="1" xfId="0" applyFont="1" applyFill="1" applyBorder="1" applyAlignment="1">
      <alignment vertical="top"/>
    </xf>
    <xf numFmtId="0" fontId="0" fillId="3" borderId="3" xfId="0" applyFont="1" applyFill="1" applyBorder="1" applyAlignment="1">
      <alignment horizontal="center" vertical="top"/>
    </xf>
    <xf numFmtId="0" fontId="0" fillId="4" borderId="3" xfId="0" applyFont="1" applyFill="1" applyBorder="1" applyAlignment="1">
      <alignment vertical="top"/>
    </xf>
    <xf numFmtId="0" fontId="4" fillId="2" borderId="2" xfId="1" applyFont="1" applyFill="1" applyBorder="1" applyAlignment="1">
      <alignment horizontal="left"/>
    </xf>
    <xf numFmtId="0" fontId="4" fillId="3" borderId="1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left"/>
    </xf>
    <xf numFmtId="0" fontId="4" fillId="4" borderId="1" xfId="1" applyFont="1" applyFill="1" applyBorder="1" applyAlignment="1">
      <alignment horizontal="left"/>
    </xf>
    <xf numFmtId="0" fontId="4" fillId="3" borderId="3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left"/>
    </xf>
    <xf numFmtId="0" fontId="4" fillId="4" borderId="3" xfId="1" applyFont="1" applyFill="1" applyBorder="1" applyAlignment="1">
      <alignment horizontal="left"/>
    </xf>
    <xf numFmtId="0" fontId="0" fillId="5" borderId="3" xfId="0" applyFont="1" applyFill="1" applyBorder="1" applyAlignment="1">
      <alignment vertical="top"/>
    </xf>
    <xf numFmtId="0" fontId="0" fillId="2" borderId="0" xfId="0" applyFont="1" applyFill="1" applyBorder="1" applyAlignment="1">
      <alignment vertical="top"/>
    </xf>
    <xf numFmtId="0" fontId="0" fillId="3" borderId="0" xfId="0" applyFont="1" applyFill="1" applyBorder="1" applyAlignment="1">
      <alignment horizontal="center" vertical="top"/>
    </xf>
    <xf numFmtId="0" fontId="0" fillId="4" borderId="0" xfId="0" applyFont="1" applyFill="1" applyBorder="1" applyAlignment="1">
      <alignment vertical="top"/>
    </xf>
    <xf numFmtId="0" fontId="0" fillId="0" borderId="3" xfId="0" applyFont="1" applyBorder="1" applyAlignment="1">
      <alignment vertical="top"/>
    </xf>
    <xf numFmtId="0" fontId="0" fillId="2" borderId="4" xfId="0" applyFont="1" applyFill="1" applyBorder="1" applyAlignment="1">
      <alignment vertical="top"/>
    </xf>
    <xf numFmtId="0" fontId="0" fillId="3" borderId="4" xfId="0" applyFont="1" applyFill="1" applyBorder="1" applyAlignment="1">
      <alignment horizontal="center" vertical="top"/>
    </xf>
    <xf numFmtId="0" fontId="0" fillId="4" borderId="4" xfId="0" applyFont="1" applyFill="1" applyBorder="1" applyAlignment="1">
      <alignment vertical="top"/>
    </xf>
    <xf numFmtId="1" fontId="4" fillId="2" borderId="3" xfId="1" applyNumberFormat="1" applyFont="1" applyFill="1" applyBorder="1" applyAlignment="1">
      <alignment horizontal="left"/>
    </xf>
    <xf numFmtId="0" fontId="4" fillId="5" borderId="1" xfId="1" applyFont="1" applyFill="1" applyBorder="1" applyAlignment="1">
      <alignment horizontal="left"/>
    </xf>
    <xf numFmtId="1" fontId="4" fillId="2" borderId="1" xfId="1" applyNumberFormat="1" applyFont="1" applyFill="1" applyBorder="1" applyAlignment="1">
      <alignment horizontal="left"/>
    </xf>
    <xf numFmtId="1" fontId="2" fillId="3" borderId="1" xfId="1" applyNumberFormat="1" applyFont="1" applyFill="1" applyBorder="1" applyAlignment="1">
      <alignment horizontal="center"/>
    </xf>
    <xf numFmtId="1" fontId="2" fillId="4" borderId="1" xfId="1" applyNumberFormat="1" applyFont="1" applyFill="1" applyBorder="1" applyAlignment="1">
      <alignment horizontal="left"/>
    </xf>
    <xf numFmtId="0" fontId="0" fillId="5" borderId="1" xfId="0" applyFont="1" applyFill="1" applyBorder="1" applyAlignment="1">
      <alignment vertical="top"/>
    </xf>
    <xf numFmtId="0" fontId="0" fillId="5" borderId="3" xfId="0" applyFont="1" applyFill="1" applyBorder="1" applyAlignment="1">
      <alignment horizontal="center" vertical="top"/>
    </xf>
    <xf numFmtId="0" fontId="0" fillId="2" borderId="3" xfId="1" applyFont="1" applyFill="1" applyBorder="1" applyAlignment="1">
      <alignment horizontal="left" vertical="top"/>
    </xf>
    <xf numFmtId="1" fontId="2" fillId="2" borderId="3" xfId="1" applyNumberFormat="1" applyFont="1" applyFill="1" applyBorder="1" applyAlignment="1">
      <alignment horizontal="left"/>
    </xf>
    <xf numFmtId="1" fontId="2" fillId="3" borderId="3" xfId="1" applyNumberFormat="1" applyFont="1" applyFill="1" applyBorder="1" applyAlignment="1">
      <alignment horizontal="center"/>
    </xf>
    <xf numFmtId="1" fontId="2" fillId="4" borderId="3" xfId="1" applyNumberFormat="1" applyFont="1" applyFill="1" applyBorder="1" applyAlignment="1">
      <alignment horizontal="left"/>
    </xf>
    <xf numFmtId="0" fontId="0" fillId="3" borderId="3" xfId="1" applyFont="1" applyFill="1" applyBorder="1" applyAlignment="1">
      <alignment horizontal="center" vertical="top"/>
    </xf>
    <xf numFmtId="0" fontId="0" fillId="4" borderId="3" xfId="1" applyFont="1" applyFill="1" applyBorder="1" applyAlignment="1">
      <alignment horizontal="left" vertical="top"/>
    </xf>
    <xf numFmtId="0" fontId="0" fillId="6" borderId="3" xfId="0" applyFont="1" applyFill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1" fontId="2" fillId="2" borderId="1" xfId="1" applyNumberFormat="1" applyFont="1" applyFill="1" applyBorder="1" applyAlignment="1">
      <alignment horizontal="left"/>
    </xf>
    <xf numFmtId="12" fontId="0" fillId="3" borderId="3" xfId="0" applyNumberFormat="1" applyFont="1" applyFill="1" applyBorder="1" applyAlignment="1">
      <alignment horizontal="center" vertical="top"/>
    </xf>
    <xf numFmtId="0" fontId="5" fillId="2" borderId="3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center"/>
    </xf>
    <xf numFmtId="0" fontId="5" fillId="4" borderId="3" xfId="1" applyFont="1" applyFill="1" applyBorder="1" applyAlignment="1">
      <alignment horizontal="left"/>
    </xf>
    <xf numFmtId="0" fontId="6" fillId="4" borderId="3" xfId="1" applyFont="1" applyFill="1" applyBorder="1" applyAlignment="1">
      <alignment horizontal="left"/>
    </xf>
    <xf numFmtId="0" fontId="3" fillId="2" borderId="3" xfId="1" applyFont="1" applyFill="1" applyBorder="1" applyAlignment="1">
      <alignment horizontal="left"/>
    </xf>
    <xf numFmtId="0" fontId="6" fillId="2" borderId="3" xfId="1" applyFont="1" applyFill="1" applyBorder="1" applyAlignment="1">
      <alignment horizontal="left"/>
    </xf>
    <xf numFmtId="1" fontId="4" fillId="3" borderId="3" xfId="1" applyNumberFormat="1" applyFont="1" applyFill="1" applyBorder="1" applyAlignment="1">
      <alignment horizontal="center"/>
    </xf>
    <xf numFmtId="1" fontId="4" fillId="4" borderId="3" xfId="1" applyNumberFormat="1" applyFont="1" applyFill="1" applyBorder="1" applyAlignment="1">
      <alignment horizontal="left"/>
    </xf>
    <xf numFmtId="0" fontId="4" fillId="6" borderId="3" xfId="1" applyFont="1" applyFill="1" applyBorder="1" applyAlignment="1">
      <alignment horizontal="left"/>
    </xf>
    <xf numFmtId="0" fontId="3" fillId="4" borderId="3" xfId="1" applyFont="1" applyFill="1" applyBorder="1" applyAlignment="1">
      <alignment horizontal="left"/>
    </xf>
    <xf numFmtId="6" fontId="0" fillId="2" borderId="3" xfId="1" applyNumberFormat="1" applyFont="1" applyFill="1" applyBorder="1" applyAlignment="1">
      <alignment horizontal="left" vertical="top"/>
    </xf>
    <xf numFmtId="1" fontId="4" fillId="6" borderId="3" xfId="1" applyNumberFormat="1" applyFont="1" applyFill="1" applyBorder="1" applyAlignment="1">
      <alignment horizontal="left"/>
    </xf>
    <xf numFmtId="0" fontId="3" fillId="2" borderId="1" xfId="1" applyFont="1" applyFill="1" applyBorder="1" applyAlignment="1">
      <alignment horizontal="left"/>
    </xf>
    <xf numFmtId="0" fontId="6" fillId="2" borderId="1" xfId="1" applyFont="1" applyFill="1" applyBorder="1" applyAlignment="1">
      <alignment horizontal="left"/>
    </xf>
    <xf numFmtId="0" fontId="6" fillId="4" borderId="1" xfId="1" applyFont="1" applyFill="1" applyBorder="1" applyAlignment="1">
      <alignment horizontal="left"/>
    </xf>
    <xf numFmtId="1" fontId="4" fillId="3" borderId="1" xfId="1" applyNumberFormat="1" applyFont="1" applyFill="1" applyBorder="1" applyAlignment="1">
      <alignment horizontal="center"/>
    </xf>
    <xf numFmtId="1" fontId="2" fillId="5" borderId="3" xfId="1" applyNumberFormat="1" applyFont="1" applyFill="1" applyBorder="1" applyAlignment="1">
      <alignment horizontal="left"/>
    </xf>
    <xf numFmtId="0" fontId="4" fillId="2" borderId="4" xfId="1" applyFont="1" applyFill="1" applyBorder="1" applyAlignment="1">
      <alignment horizontal="left"/>
    </xf>
    <xf numFmtId="0" fontId="4" fillId="3" borderId="4" xfId="1" applyFont="1" applyFill="1" applyBorder="1" applyAlignment="1">
      <alignment horizontal="center"/>
    </xf>
    <xf numFmtId="0" fontId="4" fillId="4" borderId="4" xfId="1" applyFont="1" applyFill="1" applyBorder="1" applyAlignment="1">
      <alignment horizontal="left"/>
    </xf>
    <xf numFmtId="1" fontId="4" fillId="4" borderId="1" xfId="1" applyNumberFormat="1" applyFont="1" applyFill="1" applyBorder="1" applyAlignment="1">
      <alignment horizontal="left"/>
    </xf>
    <xf numFmtId="1" fontId="2" fillId="5" borderId="1" xfId="1" applyNumberFormat="1" applyFont="1" applyFill="1" applyBorder="1" applyAlignment="1">
      <alignment horizontal="left"/>
    </xf>
    <xf numFmtId="0" fontId="0" fillId="2" borderId="1" xfId="1" applyFont="1" applyFill="1" applyBorder="1" applyAlignment="1">
      <alignment horizontal="left" vertical="top"/>
    </xf>
    <xf numFmtId="0" fontId="0" fillId="3" borderId="1" xfId="1" applyFont="1" applyFill="1" applyBorder="1" applyAlignment="1">
      <alignment horizontal="center" vertical="top"/>
    </xf>
    <xf numFmtId="0" fontId="0" fillId="4" borderId="1" xfId="1" applyFont="1" applyFill="1" applyBorder="1" applyAlignment="1">
      <alignment horizontal="left" vertical="top"/>
    </xf>
    <xf numFmtId="0" fontId="7" fillId="4" borderId="1" xfId="1" applyFont="1" applyFill="1" applyBorder="1" applyAlignment="1">
      <alignment horizontal="left"/>
    </xf>
    <xf numFmtId="0" fontId="4" fillId="6" borderId="1" xfId="1" applyFont="1" applyFill="1" applyBorder="1" applyAlignment="1">
      <alignment horizontal="left"/>
    </xf>
    <xf numFmtId="0" fontId="4" fillId="0" borderId="1" xfId="1" applyFont="1" applyAlignment="1">
      <alignment horizontal="left"/>
    </xf>
    <xf numFmtId="0" fontId="4" fillId="7" borderId="1" xfId="1" applyFont="1" applyFill="1" applyBorder="1" applyAlignment="1">
      <alignment horizontal="left"/>
    </xf>
    <xf numFmtId="1" fontId="4" fillId="7" borderId="1" xfId="1" applyNumberFormat="1" applyFont="1" applyFill="1" applyBorder="1" applyAlignment="1">
      <alignment horizontal="left"/>
    </xf>
    <xf numFmtId="1" fontId="4" fillId="7" borderId="3" xfId="1" applyNumberFormat="1" applyFont="1" applyFill="1" applyBorder="1" applyAlignment="1">
      <alignment horizontal="left"/>
    </xf>
    <xf numFmtId="0" fontId="4" fillId="7" borderId="3" xfId="1" applyFont="1" applyFill="1" applyBorder="1" applyAlignment="1">
      <alignment horizontal="left"/>
    </xf>
    <xf numFmtId="1" fontId="4" fillId="7" borderId="1" xfId="1" applyNumberFormat="1" applyFont="1" applyFill="1" applyBorder="1" applyAlignment="1">
      <alignment horizontal="left" wrapText="1"/>
    </xf>
    <xf numFmtId="0" fontId="4" fillId="7" borderId="3" xfId="1" applyFont="1" applyFill="1" applyBorder="1" applyAlignment="1">
      <alignment horizontal="left" vertical="center"/>
    </xf>
    <xf numFmtId="1" fontId="4" fillId="7" borderId="0" xfId="1" applyNumberFormat="1" applyFont="1" applyFill="1" applyBorder="1" applyAlignment="1">
      <alignment horizontal="left"/>
    </xf>
    <xf numFmtId="0" fontId="4" fillId="7" borderId="0" xfId="1" applyFont="1" applyFill="1" applyBorder="1" applyAlignment="1">
      <alignment horizontal="left"/>
    </xf>
    <xf numFmtId="0" fontId="0" fillId="9" borderId="5" xfId="0" applyFont="1" applyFill="1" applyBorder="1"/>
    <xf numFmtId="0" fontId="8" fillId="8" borderId="6" xfId="0" applyFont="1" applyFill="1" applyBorder="1"/>
    <xf numFmtId="0" fontId="0" fillId="4" borderId="3" xfId="0" applyFont="1" applyFill="1" applyBorder="1" applyAlignment="1"/>
    <xf numFmtId="0" fontId="0" fillId="10" borderId="5" xfId="0" applyFont="1" applyFill="1" applyBorder="1"/>
    <xf numFmtId="0" fontId="0" fillId="11" borderId="0" xfId="0" applyFont="1" applyFill="1" applyAlignment="1">
      <alignment horizontal="center"/>
    </xf>
    <xf numFmtId="0" fontId="0" fillId="0" borderId="0" xfId="0" applyNumberFormat="1"/>
    <xf numFmtId="0" fontId="0" fillId="0" borderId="5" xfId="0" applyFont="1" applyBorder="1" applyAlignment="1">
      <alignment horizontal="center"/>
    </xf>
    <xf numFmtId="0" fontId="0" fillId="9" borderId="0" xfId="0" applyFont="1" applyFill="1" applyBorder="1"/>
    <xf numFmtId="0" fontId="4" fillId="0" borderId="5" xfId="1" applyFont="1" applyBorder="1" applyAlignment="1">
      <alignment horizontal="left"/>
    </xf>
    <xf numFmtId="0" fontId="0" fillId="9" borderId="1" xfId="0" applyFont="1" applyFill="1" applyBorder="1"/>
    <xf numFmtId="0" fontId="0" fillId="10" borderId="1" xfId="0" applyFont="1" applyFill="1" applyBorder="1"/>
    <xf numFmtId="0" fontId="0" fillId="10" borderId="0" xfId="0" applyFont="1" applyFill="1" applyBorder="1"/>
    <xf numFmtId="0" fontId="0" fillId="11" borderId="5" xfId="0" applyFont="1" applyFill="1" applyBorder="1" applyAlignment="1">
      <alignment horizontal="center"/>
    </xf>
    <xf numFmtId="0" fontId="4" fillId="0" borderId="0" xfId="1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11" borderId="0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9" fillId="12" borderId="7" xfId="2" applyFont="1"/>
    <xf numFmtId="0" fontId="9" fillId="12" borderId="10" xfId="2" applyFont="1" applyBorder="1"/>
    <xf numFmtId="0" fontId="11" fillId="12" borderId="1" xfId="2" applyFont="1" applyBorder="1" applyAlignment="1"/>
    <xf numFmtId="0" fontId="12" fillId="0" borderId="0" xfId="3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13" borderId="1" xfId="1" applyFont="1" applyFill="1" applyBorder="1" applyAlignment="1">
      <alignment horizontal="left"/>
    </xf>
    <xf numFmtId="0" fontId="0" fillId="13" borderId="3" xfId="0" applyFont="1" applyFill="1" applyBorder="1" applyAlignment="1">
      <alignment vertical="top"/>
    </xf>
    <xf numFmtId="0" fontId="4" fillId="0" borderId="1" xfId="1" applyFont="1" applyBorder="1" applyAlignment="1">
      <alignment horizontal="left"/>
    </xf>
    <xf numFmtId="0" fontId="0" fillId="6" borderId="3" xfId="0" applyFont="1" applyFill="1" applyBorder="1" applyAlignment="1">
      <alignment vertical="top"/>
    </xf>
    <xf numFmtId="0" fontId="0" fillId="6" borderId="0" xfId="0" applyFont="1" applyFill="1" applyAlignment="1">
      <alignment horizontal="center"/>
    </xf>
    <xf numFmtId="0" fontId="0" fillId="14" borderId="0" xfId="0" applyFont="1" applyFill="1" applyAlignment="1">
      <alignment horizontal="center"/>
    </xf>
    <xf numFmtId="0" fontId="4" fillId="14" borderId="3" xfId="1" applyFont="1" applyFill="1" applyBorder="1" applyAlignment="1">
      <alignment horizontal="left"/>
    </xf>
    <xf numFmtId="0" fontId="4" fillId="14" borderId="3" xfId="1" applyFont="1" applyFill="1" applyBorder="1" applyAlignment="1">
      <alignment horizontal="center"/>
    </xf>
    <xf numFmtId="0" fontId="0" fillId="14" borderId="0" xfId="0" applyFill="1"/>
    <xf numFmtId="0" fontId="12" fillId="14" borderId="0" xfId="3" applyFill="1"/>
    <xf numFmtId="0" fontId="0" fillId="14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ill="1"/>
    <xf numFmtId="0" fontId="12" fillId="3" borderId="0" xfId="3" applyFill="1"/>
    <xf numFmtId="0" fontId="0" fillId="3" borderId="0" xfId="0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7" borderId="3" xfId="0" applyFont="1" applyFill="1" applyBorder="1" applyAlignment="1">
      <alignment vertical="top"/>
    </xf>
    <xf numFmtId="0" fontId="0" fillId="7" borderId="3" xfId="0" applyFont="1" applyFill="1" applyBorder="1" applyAlignment="1">
      <alignment horizontal="center" vertical="top"/>
    </xf>
    <xf numFmtId="0" fontId="0" fillId="7" borderId="0" xfId="0" applyFill="1"/>
    <xf numFmtId="0" fontId="12" fillId="7" borderId="0" xfId="3" applyFill="1"/>
    <xf numFmtId="0" fontId="0" fillId="7" borderId="0" xfId="0" applyFill="1" applyAlignment="1">
      <alignment horizontal="center"/>
    </xf>
    <xf numFmtId="0" fontId="0" fillId="14" borderId="3" xfId="0" applyFont="1" applyFill="1" applyBorder="1" applyAlignment="1">
      <alignment vertical="top"/>
    </xf>
    <xf numFmtId="0" fontId="0" fillId="14" borderId="3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15" borderId="0" xfId="0" applyFont="1" applyFill="1" applyAlignment="1">
      <alignment horizontal="center"/>
    </xf>
    <xf numFmtId="0" fontId="4" fillId="15" borderId="3" xfId="1" applyFont="1" applyFill="1" applyBorder="1" applyAlignment="1">
      <alignment horizontal="left"/>
    </xf>
    <xf numFmtId="0" fontId="4" fillId="15" borderId="3" xfId="1" applyFont="1" applyFill="1" applyBorder="1" applyAlignment="1">
      <alignment horizontal="center"/>
    </xf>
    <xf numFmtId="0" fontId="0" fillId="15" borderId="0" xfId="0" applyFill="1"/>
    <xf numFmtId="0" fontId="12" fillId="15" borderId="0" xfId="3" applyFill="1"/>
    <xf numFmtId="0" fontId="0" fillId="15" borderId="0" xfId="0" applyFill="1" applyAlignment="1">
      <alignment horizontal="center"/>
    </xf>
    <xf numFmtId="0" fontId="0" fillId="16" borderId="0" xfId="0" applyFont="1" applyFill="1" applyAlignment="1">
      <alignment horizontal="center"/>
    </xf>
    <xf numFmtId="0" fontId="0" fillId="16" borderId="3" xfId="0" applyFont="1" applyFill="1" applyBorder="1" applyAlignment="1">
      <alignment vertical="top"/>
    </xf>
    <xf numFmtId="0" fontId="0" fillId="16" borderId="3" xfId="0" applyFont="1" applyFill="1" applyBorder="1" applyAlignment="1">
      <alignment horizontal="center" vertical="top"/>
    </xf>
    <xf numFmtId="0" fontId="0" fillId="16" borderId="0" xfId="0" applyFill="1"/>
    <xf numFmtId="0" fontId="12" fillId="16" borderId="0" xfId="3" applyFill="1"/>
    <xf numFmtId="0" fontId="0" fillId="16" borderId="0" xfId="0" applyFill="1" applyAlignment="1">
      <alignment horizontal="center"/>
    </xf>
    <xf numFmtId="0" fontId="11" fillId="12" borderId="8" xfId="2" applyFont="1" applyBorder="1" applyAlignment="1">
      <alignment horizontal="left"/>
    </xf>
    <xf numFmtId="0" fontId="11" fillId="12" borderId="9" xfId="2" applyFont="1" applyBorder="1" applyAlignment="1">
      <alignment horizontal="left"/>
    </xf>
    <xf numFmtId="0" fontId="11" fillId="12" borderId="11" xfId="2" applyFont="1" applyBorder="1" applyAlignment="1">
      <alignment horizontal="left"/>
    </xf>
    <xf numFmtId="0" fontId="11" fillId="12" borderId="7" xfId="2" applyFont="1"/>
    <xf numFmtId="0" fontId="9" fillId="12" borderId="7" xfId="2"/>
    <xf numFmtId="0" fontId="11" fillId="12" borderId="7" xfId="2" applyFont="1" applyAlignment="1">
      <alignment horizontal="center"/>
    </xf>
  </cellXfs>
  <cellStyles count="4">
    <cellStyle name="Border Style" xfId="1"/>
    <cellStyle name="Hyperlink" xfId="3" builtinId="8"/>
    <cellStyle name="Normal" xfId="0" builtinId="0"/>
    <cellStyle name="Output" xfId="2" builtinId="21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BDDD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1775460</xdr:colOff>
          <xdr:row>2</xdr:row>
          <xdr:rowOff>7620</xdr:rowOff>
        </xdr:from>
        <xdr:to>
          <xdr:col>1</xdr:col>
          <xdr:colOff>2956560</xdr:colOff>
          <xdr:row>4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2</xdr:row>
          <xdr:rowOff>7620</xdr:rowOff>
        </xdr:from>
        <xdr:to>
          <xdr:col>1</xdr:col>
          <xdr:colOff>1371600</xdr:colOff>
          <xdr:row>4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C:\Users\Vibhor\Desktop\Ali Breeze\MF\Austin\Hart Ln_7201_Acacia Cliffs_Austin_00223\Profile_OC__18-01-2013_Hart Ln_7201_Acacia Cliffs_Austin_00223.pdf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2</xdr:row>
          <xdr:rowOff>0</xdr:rowOff>
        </xdr:from>
        <xdr:to>
          <xdr:col>3</xdr:col>
          <xdr:colOff>114300</xdr:colOff>
          <xdr:row>4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Sub 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518160</xdr:colOff>
          <xdr:row>1</xdr:row>
          <xdr:rowOff>182880</xdr:rowOff>
        </xdr:from>
        <xdr:to>
          <xdr:col>4</xdr:col>
          <xdr:colOff>640080</xdr:colOff>
          <xdr:row>4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Hyperlinks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1905000</xdr:colOff>
          <xdr:row>2</xdr:row>
          <xdr:rowOff>0</xdr:rowOff>
        </xdr:from>
        <xdr:to>
          <xdr:col>2</xdr:col>
          <xdr:colOff>7620</xdr:colOff>
          <xdr:row>4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2</xdr:row>
          <xdr:rowOff>7620</xdr:rowOff>
        </xdr:from>
        <xdr:to>
          <xdr:col>1</xdr:col>
          <xdr:colOff>1371600</xdr:colOff>
          <xdr:row>4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Path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1:L2236" insertRowShift="1" totalsRowShown="0">
  <sortState ref="A2:K2236">
    <sortCondition ref="K1:K2236"/>
  </sortState>
  <tableColumns count="12">
    <tableColumn id="7" name="Folder_ID"/>
    <tableColumn id="1" name="Folder Path"/>
    <tableColumn id="2" name="Folder Name"/>
    <tableColumn id="3" name="Street Name"/>
    <tableColumn id="4" name=" Street Number"/>
    <tableColumn id="5" name=" Complex"/>
    <tableColumn id="6" name=" City"/>
    <tableColumn id="10" name="St Name;St No;City" dataDxfId="4">
      <calculatedColumnFormula>I2&amp;E2&amp;G2</calculatedColumnFormula>
    </tableColumn>
    <tableColumn id="9" name="Street 1 Word" dataDxfId="3">
      <calculatedColumnFormula>IFERROR(LEFT(D2,FIND(" ",D2)-1),D2)</calculatedColumnFormula>
    </tableColumn>
    <tableColumn id="8" name="Flags" dataDxfId="2">
      <calculatedColumnFormula>IFERROR(INDEX('All Folders'!$A:$A,MATCH(H2,'All Folders'!$G:$G,0),1),"¶")</calculatedColumnFormula>
    </tableColumn>
    <tableColumn id="11" name="Column1" dataDxfId="1"/>
    <tableColumn id="12" name="Column2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B10:C61" insertRowShift="1" totalsRowShown="0">
  <autoFilter ref="B10:C61"/>
  <tableColumns count="2">
    <tableColumn id="1" name="Folder Path"/>
    <tableColumn id="2" name="Folder Na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601"/>
  <sheetViews>
    <sheetView zoomScaleNormal="100" workbookViewId="0">
      <pane ySplit="1" topLeftCell="A2" activePane="bottomLeft" state="frozen"/>
      <selection pane="bottomLeft" activeCell="H13" sqref="H13"/>
    </sheetView>
  </sheetViews>
  <sheetFormatPr defaultRowHeight="14.4" x14ac:dyDescent="0.3"/>
  <cols>
    <col min="1" max="1" width="11.5546875" customWidth="1"/>
    <col min="2" max="2" width="20.5546875" customWidth="1"/>
    <col min="3" max="3" width="11.109375" customWidth="1"/>
    <col min="4" max="4" width="20" customWidth="1"/>
    <col min="5" max="5" width="14.109375" customWidth="1"/>
    <col min="6" max="6" width="9.44140625" hidden="1" customWidth="1"/>
    <col min="7" max="7" width="21.109375" hidden="1" customWidth="1"/>
    <col min="8" max="8" width="29.6640625" customWidth="1"/>
    <col min="9" max="9" width="22.33203125" customWidth="1"/>
    <col min="10" max="10" width="26.5546875" customWidth="1"/>
    <col min="11" max="11" width="13" customWidth="1"/>
    <col min="12" max="12" width="6.33203125" style="104" customWidth="1"/>
    <col min="13" max="13" width="15.44140625" customWidth="1"/>
    <col min="14" max="14" width="16.33203125" customWidth="1"/>
  </cols>
  <sheetData>
    <row r="1" spans="1:18" ht="30" x14ac:dyDescent="0.25">
      <c r="A1" s="1" t="s">
        <v>0</v>
      </c>
      <c r="B1" s="2" t="s">
        <v>1</v>
      </c>
      <c r="C1" s="3" t="s">
        <v>2</v>
      </c>
      <c r="D1" s="4" t="s">
        <v>3</v>
      </c>
      <c r="E1" s="84" t="s">
        <v>4</v>
      </c>
      <c r="F1" s="83" t="s">
        <v>22230</v>
      </c>
      <c r="G1" s="83" t="s">
        <v>22228</v>
      </c>
      <c r="H1" t="s">
        <v>22231</v>
      </c>
      <c r="I1" t="s">
        <v>39457</v>
      </c>
      <c r="J1" t="s">
        <v>22250</v>
      </c>
      <c r="K1" t="s">
        <v>22251</v>
      </c>
      <c r="L1" s="105" t="s">
        <v>19766</v>
      </c>
      <c r="M1" t="s">
        <v>22290</v>
      </c>
      <c r="N1" s="1" t="s">
        <v>30857</v>
      </c>
    </row>
    <row r="2" spans="1:18" ht="15" x14ac:dyDescent="0.25">
      <c r="A2" s="1">
        <v>1</v>
      </c>
      <c r="B2" s="5" t="s">
        <v>5</v>
      </c>
      <c r="C2" s="6">
        <v>1212</v>
      </c>
      <c r="D2" s="7" t="s">
        <v>6</v>
      </c>
      <c r="E2" s="8" t="s">
        <v>7</v>
      </c>
      <c r="F2" t="str">
        <f t="shared" ref="F2:F65" si="0">IFERROR(LEFT(B2,FIND(" ",B2)-1),B2)</f>
        <v>Westheimer</v>
      </c>
      <c r="G2" t="str">
        <f t="shared" ref="G2:G65" si="1">F2&amp;C2&amp;E2</f>
        <v>Westheimer1212Austin</v>
      </c>
      <c r="H2" t="s">
        <v>30860</v>
      </c>
      <c r="I2" t="s">
        <v>22297</v>
      </c>
      <c r="J2" t="str">
        <f t="shared" ref="J2:J65" si="2">IF(L2="TX",Folder_Path,Folder_Path&amp;"\State_"&amp;L2)</f>
        <v>E:\PropInv\MF</v>
      </c>
      <c r="K2" s="103" t="str">
        <f>HYPERLINK("E:\PropInv\MF\Austin\Westheimer_1212_Canyon Villas I_Austin_00001","Westheimer_1212_Canyon Villas I_Austin_00001" )</f>
        <v>Westheimer_1212_Canyon Villas I_Austin_00001</v>
      </c>
      <c r="L2" s="104" t="s">
        <v>22253</v>
      </c>
      <c r="M2" s="103" t="str">
        <f t="shared" ref="M2:M65" si="3">HYPERLINK("http://oconnordata.com/mlink/modules/profile/index.cfm?action=profile&amp;prop_id="&amp;A2)</f>
        <v>http://oconnordata.com/mlink/modules/profile/index.cfm?action=profile&amp;prop_id=1</v>
      </c>
      <c r="N2" s="1" t="str">
        <f t="shared" ref="N2:N65" si="4">IF(LEN(A2)=1,"0000"&amp;A2,IF(LEN(A2)=2,"000"&amp;A2,IF(LEN(A2)=3,"00"&amp;A2,IF(LEN(A2)=4,"0"&amp;A2,IF(LEN(A2)=5,IF(LEFT(A2,1)="3",A2+30000,A2))))))</f>
        <v>00001</v>
      </c>
      <c r="R2" t="str">
        <f>IFERROR(INDEX('Existing Folders'!J:J,MATCH(H2,'Existing Folders'!Q:Q,0)),"")</f>
        <v/>
      </c>
    </row>
    <row r="3" spans="1:18" ht="15" x14ac:dyDescent="0.25">
      <c r="A3" s="1">
        <v>2</v>
      </c>
      <c r="B3" s="5" t="s">
        <v>8</v>
      </c>
      <c r="C3" s="9">
        <v>4009</v>
      </c>
      <c r="D3" s="10" t="s">
        <v>9</v>
      </c>
      <c r="E3" s="11" t="s">
        <v>7</v>
      </c>
      <c r="F3" t="str">
        <f t="shared" si="0"/>
        <v>Victory</v>
      </c>
      <c r="G3" t="str">
        <f t="shared" si="1"/>
        <v>Victory4009Austin</v>
      </c>
      <c r="H3" t="s">
        <v>30861</v>
      </c>
      <c r="I3" t="s">
        <v>22298</v>
      </c>
      <c r="J3" t="str">
        <f t="shared" si="2"/>
        <v>E:\PropInv\MF</v>
      </c>
      <c r="K3" s="103" t="str">
        <f>HYPERLINK("E:\PropInv\MF\Austin\Victory Dr_4009_Mission James Place_Austin_00002","Victory Dr_4009_Mission James Place_Austin_00002" )</f>
        <v>Victory Dr_4009_Mission James Place_Austin_00002</v>
      </c>
      <c r="L3" s="104" t="s">
        <v>22253</v>
      </c>
      <c r="M3" s="103" t="str">
        <f t="shared" si="3"/>
        <v>http://oconnordata.com/mlink/modules/profile/index.cfm?action=profile&amp;prop_id=2</v>
      </c>
      <c r="N3" s="1" t="str">
        <f t="shared" si="4"/>
        <v>00002</v>
      </c>
    </row>
    <row r="4" spans="1:18" ht="15" x14ac:dyDescent="0.25">
      <c r="A4" s="1">
        <v>3</v>
      </c>
      <c r="B4" s="5" t="s">
        <v>10</v>
      </c>
      <c r="C4" s="9">
        <v>10707</v>
      </c>
      <c r="D4" s="10" t="s">
        <v>11</v>
      </c>
      <c r="E4" s="11" t="s">
        <v>7</v>
      </c>
      <c r="F4" t="str">
        <f t="shared" si="0"/>
        <v>Lake</v>
      </c>
      <c r="G4" t="str">
        <f t="shared" si="1"/>
        <v>Lake10707Austin</v>
      </c>
      <c r="H4" t="s">
        <v>30862</v>
      </c>
      <c r="I4" t="s">
        <v>22299</v>
      </c>
      <c r="J4" t="str">
        <f t="shared" si="2"/>
        <v>E:\PropInv\MF</v>
      </c>
      <c r="K4" s="103" t="str">
        <f>HYPERLINK("E:\PropInv\MF\Austin\Lake Creek Pkwy_10707_Parkside at Lake Creek_Austin_00003","Lake Creek Pkwy_10707_Parkside at Lake Creek_Austin_00003" )</f>
        <v>Lake Creek Pkwy_10707_Parkside at Lake Creek_Austin_00003</v>
      </c>
      <c r="L4" s="104" t="s">
        <v>22253</v>
      </c>
      <c r="M4" s="103" t="str">
        <f t="shared" si="3"/>
        <v>http://oconnordata.com/mlink/modules/profile/index.cfm?action=profile&amp;prop_id=3</v>
      </c>
      <c r="N4" s="1" t="str">
        <f t="shared" si="4"/>
        <v>00003</v>
      </c>
    </row>
    <row r="5" spans="1:18" ht="15" x14ac:dyDescent="0.25">
      <c r="A5" s="1">
        <v>4</v>
      </c>
      <c r="B5" s="5" t="s">
        <v>12</v>
      </c>
      <c r="C5" s="12">
        <v>9219</v>
      </c>
      <c r="D5" s="7" t="s">
        <v>13</v>
      </c>
      <c r="E5" s="13" t="s">
        <v>7</v>
      </c>
      <c r="F5" t="str">
        <f t="shared" si="0"/>
        <v>Anderson</v>
      </c>
      <c r="G5" t="str">
        <f t="shared" si="1"/>
        <v>Anderson9219Austin</v>
      </c>
      <c r="H5" t="s">
        <v>30863</v>
      </c>
      <c r="I5" t="s">
        <v>22300</v>
      </c>
      <c r="J5" t="str">
        <f t="shared" si="2"/>
        <v>E:\PropInv\MF</v>
      </c>
      <c r="K5" s="103" t="str">
        <f>HYPERLINK("E:\PropInv\MF\Austin\Anderson Mill Rd_9219_Anderson Oaks_Austin_00004","Anderson Mill Rd_9219_Anderson Oaks_Austin_00004" )</f>
        <v>Anderson Mill Rd_9219_Anderson Oaks_Austin_00004</v>
      </c>
      <c r="L5" s="104" t="s">
        <v>22253</v>
      </c>
      <c r="M5" s="103" t="str">
        <f t="shared" si="3"/>
        <v>http://oconnordata.com/mlink/modules/profile/index.cfm?action=profile&amp;prop_id=4</v>
      </c>
      <c r="N5" s="1" t="str">
        <f t="shared" si="4"/>
        <v>00004</v>
      </c>
    </row>
    <row r="6" spans="1:18" ht="15" x14ac:dyDescent="0.25">
      <c r="A6" s="1">
        <v>5</v>
      </c>
      <c r="B6" s="5" t="s">
        <v>14</v>
      </c>
      <c r="C6" s="12">
        <v>302</v>
      </c>
      <c r="D6" s="7" t="s">
        <v>15</v>
      </c>
      <c r="E6" s="13" t="s">
        <v>16</v>
      </c>
      <c r="F6" t="str">
        <f t="shared" si="0"/>
        <v>Apple</v>
      </c>
      <c r="G6" t="str">
        <f t="shared" si="1"/>
        <v>Apple302Georgetown</v>
      </c>
      <c r="H6" t="s">
        <v>30864</v>
      </c>
      <c r="I6" t="s">
        <v>22301</v>
      </c>
      <c r="J6" t="str">
        <f t="shared" si="2"/>
        <v>E:\PropInv\MF</v>
      </c>
      <c r="K6" s="103" t="str">
        <f>HYPERLINK("E:\PropInv\MF\Georgetown\Apple Creek Dr_302_Apple Creek_Georgetown_00005","Apple Creek Dr_302_Apple Creek_Georgetown_00005" )</f>
        <v>Apple Creek Dr_302_Apple Creek_Georgetown_00005</v>
      </c>
      <c r="L6" s="104" t="s">
        <v>22253</v>
      </c>
      <c r="M6" s="103" t="str">
        <f t="shared" si="3"/>
        <v>http://oconnordata.com/mlink/modules/profile/index.cfm?action=profile&amp;prop_id=5</v>
      </c>
      <c r="N6" s="1" t="str">
        <f t="shared" si="4"/>
        <v>00005</v>
      </c>
    </row>
    <row r="7" spans="1:18" ht="15" x14ac:dyDescent="0.25">
      <c r="A7" s="1">
        <v>6</v>
      </c>
      <c r="B7" s="5" t="s">
        <v>17</v>
      </c>
      <c r="C7" s="9">
        <v>1501</v>
      </c>
      <c r="D7" s="10" t="s">
        <v>15</v>
      </c>
      <c r="E7" s="11" t="s">
        <v>18</v>
      </c>
      <c r="F7" t="str">
        <f t="shared" si="0"/>
        <v>Lawnmont</v>
      </c>
      <c r="G7" t="str">
        <f t="shared" si="1"/>
        <v>Lawnmont1501Round Rock</v>
      </c>
      <c r="H7" t="s">
        <v>30865</v>
      </c>
      <c r="I7" t="s">
        <v>22302</v>
      </c>
      <c r="J7" t="str">
        <f t="shared" si="2"/>
        <v>E:\PropInv\MF</v>
      </c>
      <c r="K7" s="103" t="str">
        <f>HYPERLINK("E:\PropInv\MF\Round Rock\Lawnmont Dr_1501_Apple Creek_Round Rock_00006","Lawnmont Dr_1501_Apple Creek_Round Rock_00006" )</f>
        <v>Lawnmont Dr_1501_Apple Creek_Round Rock_00006</v>
      </c>
      <c r="L7" s="104" t="s">
        <v>22253</v>
      </c>
      <c r="M7" s="103" t="str">
        <f t="shared" si="3"/>
        <v>http://oconnordata.com/mlink/modules/profile/index.cfm?action=profile&amp;prop_id=6</v>
      </c>
      <c r="N7" s="1" t="str">
        <f t="shared" si="4"/>
        <v>00006</v>
      </c>
    </row>
    <row r="8" spans="1:18" ht="15" x14ac:dyDescent="0.25">
      <c r="A8" s="1">
        <v>7</v>
      </c>
      <c r="B8" s="5" t="s">
        <v>19</v>
      </c>
      <c r="C8" s="12">
        <v>1500</v>
      </c>
      <c r="D8" s="7" t="s">
        <v>20</v>
      </c>
      <c r="E8" s="13" t="s">
        <v>7</v>
      </c>
      <c r="F8" t="str">
        <f t="shared" si="0"/>
        <v>Royal</v>
      </c>
      <c r="G8" t="str">
        <f t="shared" si="1"/>
        <v>Royal1500Austin</v>
      </c>
      <c r="H8" t="s">
        <v>30866</v>
      </c>
      <c r="I8" t="s">
        <v>22303</v>
      </c>
      <c r="J8" t="str">
        <f t="shared" si="2"/>
        <v>E:\PropInv\MF</v>
      </c>
      <c r="K8" s="103" t="str">
        <f>HYPERLINK("E:\PropInv\MF\Austin\Royal Crest Dr_1500_The Arbor_Austin_00007","Royal Crest Dr_1500_The Arbor_Austin_00007" )</f>
        <v>Royal Crest Dr_1500_The Arbor_Austin_00007</v>
      </c>
      <c r="L8" s="104" t="s">
        <v>22253</v>
      </c>
      <c r="M8" s="103" t="str">
        <f t="shared" si="3"/>
        <v>http://oconnordata.com/mlink/modules/profile/index.cfm?action=profile&amp;prop_id=7</v>
      </c>
      <c r="N8" s="1" t="str">
        <f t="shared" si="4"/>
        <v>00007</v>
      </c>
    </row>
    <row r="9" spans="1:18" ht="15" x14ac:dyDescent="0.25">
      <c r="A9" s="1">
        <v>8</v>
      </c>
      <c r="B9" s="5" t="s">
        <v>21</v>
      </c>
      <c r="C9" s="9">
        <v>1831</v>
      </c>
      <c r="D9" s="10" t="s">
        <v>22</v>
      </c>
      <c r="E9" s="11" t="s">
        <v>7</v>
      </c>
      <c r="F9" t="str">
        <f t="shared" si="0"/>
        <v>Wells</v>
      </c>
      <c r="G9" t="str">
        <f t="shared" si="1"/>
        <v>Wells1831Austin</v>
      </c>
      <c r="H9" t="s">
        <v>30867</v>
      </c>
      <c r="I9" t="s">
        <v>22304</v>
      </c>
      <c r="J9" t="str">
        <f t="shared" si="2"/>
        <v>E:\PropInv\MF</v>
      </c>
      <c r="K9" s="103" t="str">
        <f>HYPERLINK("E:\PropInv\MF\Austin\Wells Branch Pkwy_1831_Arbors of Wells Branch_Austin_00008","Wells Branch Pkwy_1831_Arbors of Wells Branch_Austin_00008" )</f>
        <v>Wells Branch Pkwy_1831_Arbors of Wells Branch_Austin_00008</v>
      </c>
      <c r="L9" s="104" t="s">
        <v>22253</v>
      </c>
      <c r="M9" s="103" t="str">
        <f t="shared" si="3"/>
        <v>http://oconnordata.com/mlink/modules/profile/index.cfm?action=profile&amp;prop_id=8</v>
      </c>
      <c r="N9" s="1" t="str">
        <f t="shared" si="4"/>
        <v>00008</v>
      </c>
    </row>
    <row r="10" spans="1:18" ht="15" x14ac:dyDescent="0.25">
      <c r="A10" s="1">
        <v>9</v>
      </c>
      <c r="B10" s="5" t="s">
        <v>23</v>
      </c>
      <c r="C10" s="12">
        <v>1003</v>
      </c>
      <c r="D10" s="7" t="s">
        <v>24</v>
      </c>
      <c r="E10" s="13" t="s">
        <v>7</v>
      </c>
      <c r="F10" t="str">
        <f t="shared" si="0"/>
        <v>Justin</v>
      </c>
      <c r="G10" t="str">
        <f t="shared" si="1"/>
        <v>Justin1003Austin</v>
      </c>
      <c r="H10" t="s">
        <v>30868</v>
      </c>
      <c r="I10" t="s">
        <v>22305</v>
      </c>
      <c r="J10" t="str">
        <f t="shared" si="2"/>
        <v>E:\PropInv\MF</v>
      </c>
      <c r="K10" s="103" t="str">
        <f>HYPERLINK("E:\PropInv\MF\Austin\Justin Ln_1003_Argosy at Crestview_Austin_00009","Justin Ln_1003_Argosy at Crestview_Austin_00009" )</f>
        <v>Justin Ln_1003_Argosy at Crestview_Austin_00009</v>
      </c>
      <c r="L10" s="104" t="s">
        <v>22253</v>
      </c>
      <c r="M10" s="103" t="str">
        <f t="shared" si="3"/>
        <v>http://oconnordata.com/mlink/modules/profile/index.cfm?action=profile&amp;prop_id=9</v>
      </c>
      <c r="N10" s="1" t="str">
        <f t="shared" si="4"/>
        <v>00009</v>
      </c>
    </row>
    <row r="11" spans="1:18" ht="15" x14ac:dyDescent="0.25">
      <c r="A11" s="1">
        <v>10</v>
      </c>
      <c r="B11" s="5" t="s">
        <v>25</v>
      </c>
      <c r="C11" s="12">
        <v>7117</v>
      </c>
      <c r="D11" s="7" t="s">
        <v>26</v>
      </c>
      <c r="E11" s="13" t="s">
        <v>7</v>
      </c>
      <c r="F11" t="str">
        <f t="shared" si="0"/>
        <v>Wood</v>
      </c>
      <c r="G11" t="str">
        <f t="shared" si="1"/>
        <v>Wood7117Austin</v>
      </c>
      <c r="H11" t="s">
        <v>30869</v>
      </c>
      <c r="I11" t="s">
        <v>22306</v>
      </c>
      <c r="J11" t="str">
        <f t="shared" si="2"/>
        <v>E:\PropInv\MF</v>
      </c>
      <c r="K11" s="103" t="str">
        <f>HYPERLINK("E:\PropInv\MF\Austin\Wood Hollow Dr_7117_Westdale Pointe_Austin_00010","Wood Hollow Dr_7117_Westdale Pointe_Austin_00010" )</f>
        <v>Wood Hollow Dr_7117_Westdale Pointe_Austin_00010</v>
      </c>
      <c r="L11" s="104" t="s">
        <v>22253</v>
      </c>
      <c r="M11" s="103" t="str">
        <f t="shared" si="3"/>
        <v>http://oconnordata.com/mlink/modules/profile/index.cfm?action=profile&amp;prop_id=10</v>
      </c>
      <c r="N11" s="1" t="str">
        <f t="shared" si="4"/>
        <v>00010</v>
      </c>
    </row>
    <row r="12" spans="1:18" ht="15" x14ac:dyDescent="0.25">
      <c r="A12" s="1">
        <v>11</v>
      </c>
      <c r="B12" s="14" t="s">
        <v>27</v>
      </c>
      <c r="C12" s="15">
        <v>2124</v>
      </c>
      <c r="D12" s="16" t="s">
        <v>28</v>
      </c>
      <c r="E12" s="17" t="s">
        <v>7</v>
      </c>
      <c r="F12" t="str">
        <f t="shared" si="0"/>
        <v>Burton</v>
      </c>
      <c r="G12" t="str">
        <f t="shared" si="1"/>
        <v>Burton2124Austin</v>
      </c>
      <c r="H12" t="s">
        <v>30870</v>
      </c>
      <c r="I12" t="s">
        <v>22307</v>
      </c>
      <c r="J12" t="str">
        <f t="shared" si="2"/>
        <v>E:\PropInv\MF</v>
      </c>
      <c r="K12" s="103" t="str">
        <f>HYPERLINK("E:\PropInv\MF\Austin\Burton Dr_2124_Tollgate Creek Condominiums_Austin_00011","Burton Dr_2124_Tollgate Creek Condominiums_Austin_00011" )</f>
        <v>Burton Dr_2124_Tollgate Creek Condominiums_Austin_00011</v>
      </c>
      <c r="L12" s="104" t="s">
        <v>22253</v>
      </c>
      <c r="M12" s="103" t="str">
        <f t="shared" si="3"/>
        <v>http://oconnordata.com/mlink/modules/profile/index.cfm?action=profile&amp;prop_id=11</v>
      </c>
      <c r="N12" s="1" t="str">
        <f t="shared" si="4"/>
        <v>00011</v>
      </c>
    </row>
    <row r="13" spans="1:18" ht="15" x14ac:dyDescent="0.25">
      <c r="A13" s="1">
        <v>12</v>
      </c>
      <c r="B13" s="14" t="s">
        <v>29</v>
      </c>
      <c r="C13" s="18">
        <v>2450</v>
      </c>
      <c r="D13" s="19" t="s">
        <v>30</v>
      </c>
      <c r="E13" s="20" t="s">
        <v>7</v>
      </c>
      <c r="F13" t="str">
        <f t="shared" si="0"/>
        <v>Ashdale</v>
      </c>
      <c r="G13" t="str">
        <f t="shared" si="1"/>
        <v>Ashdale2450Austin</v>
      </c>
      <c r="H13" t="s">
        <v>30871</v>
      </c>
      <c r="I13" t="s">
        <v>22308</v>
      </c>
      <c r="J13" t="str">
        <f t="shared" si="2"/>
        <v>E:\PropInv\MF</v>
      </c>
      <c r="K13" s="103" t="str">
        <f>HYPERLINK("E:\PropInv\MF\Austin\Ashdale Dr_2450_Ashdale Gardens_Austin_00012","Ashdale Dr_2450_Ashdale Gardens_Austin_00012" )</f>
        <v>Ashdale Dr_2450_Ashdale Gardens_Austin_00012</v>
      </c>
      <c r="L13" s="104" t="s">
        <v>22253</v>
      </c>
      <c r="M13" s="103" t="str">
        <f t="shared" si="3"/>
        <v>http://oconnordata.com/mlink/modules/profile/index.cfm?action=profile&amp;prop_id=12</v>
      </c>
      <c r="N13" s="1" t="str">
        <f t="shared" si="4"/>
        <v>00012</v>
      </c>
    </row>
    <row r="14" spans="1:18" ht="15" x14ac:dyDescent="0.25">
      <c r="A14" s="1">
        <v>13</v>
      </c>
      <c r="B14" s="5" t="s">
        <v>31</v>
      </c>
      <c r="C14" s="9">
        <v>2408</v>
      </c>
      <c r="D14" s="10" t="s">
        <v>32</v>
      </c>
      <c r="E14" s="11" t="s">
        <v>7</v>
      </c>
      <c r="F14" t="str">
        <f t="shared" si="0"/>
        <v>Leon</v>
      </c>
      <c r="G14" t="str">
        <f t="shared" si="1"/>
        <v>Leon2408Austin</v>
      </c>
      <c r="H14" t="s">
        <v>30872</v>
      </c>
      <c r="I14" t="s">
        <v>22309</v>
      </c>
      <c r="J14" t="str">
        <f t="shared" si="2"/>
        <v>E:\PropInv\MF</v>
      </c>
      <c r="K14" s="103" t="str">
        <f>HYPERLINK("E:\PropInv\MF\Austin\Leon St_2408_Lone Star Lofts_Austin_00013","Leon St_2408_Lone Star Lofts_Austin_00013" )</f>
        <v>Leon St_2408_Lone Star Lofts_Austin_00013</v>
      </c>
      <c r="L14" s="104" t="s">
        <v>22253</v>
      </c>
      <c r="M14" s="103" t="str">
        <f t="shared" si="3"/>
        <v>http://oconnordata.com/mlink/modules/profile/index.cfm?action=profile&amp;prop_id=13</v>
      </c>
      <c r="N14" s="1" t="str">
        <f t="shared" si="4"/>
        <v>00013</v>
      </c>
    </row>
    <row r="15" spans="1:18" ht="15" x14ac:dyDescent="0.25">
      <c r="A15" s="1">
        <v>14</v>
      </c>
      <c r="B15" s="5" t="s">
        <v>33</v>
      </c>
      <c r="C15" s="12">
        <v>8527</v>
      </c>
      <c r="D15" s="7" t="s">
        <v>34</v>
      </c>
      <c r="E15" s="13" t="s">
        <v>7</v>
      </c>
      <c r="F15" t="str">
        <f t="shared" si="0"/>
        <v>Capital</v>
      </c>
      <c r="G15" t="str">
        <f t="shared" si="1"/>
        <v>Capital8527Austin</v>
      </c>
      <c r="H15" t="s">
        <v>30873</v>
      </c>
      <c r="I15" t="s">
        <v>22310</v>
      </c>
      <c r="J15" t="str">
        <f t="shared" si="2"/>
        <v>E:\PropInv\MF</v>
      </c>
      <c r="K15" s="103" t="str">
        <f>HYPERLINK("E:\PropInv\MF\Austin\Capital of Texas Hwy N_8527_The Falls on Bull Creek_Austin_00014","Capital of Texas Hwy N_8527_The Falls on Bull Creek_Austin_00014" )</f>
        <v>Capital of Texas Hwy N_8527_The Falls on Bull Creek_Austin_00014</v>
      </c>
      <c r="L15" s="104" t="s">
        <v>22253</v>
      </c>
      <c r="M15" s="103" t="str">
        <f t="shared" si="3"/>
        <v>http://oconnordata.com/mlink/modules/profile/index.cfm?action=profile&amp;prop_id=14</v>
      </c>
      <c r="N15" s="1" t="str">
        <f t="shared" si="4"/>
        <v>00014</v>
      </c>
    </row>
    <row r="16" spans="1:18" ht="15" x14ac:dyDescent="0.25">
      <c r="A16" s="1">
        <v>15</v>
      </c>
      <c r="B16" s="7" t="s">
        <v>35</v>
      </c>
      <c r="C16" s="12">
        <v>12425</v>
      </c>
      <c r="D16" s="7" t="s">
        <v>36</v>
      </c>
      <c r="E16" s="13" t="s">
        <v>7</v>
      </c>
      <c r="F16" t="str">
        <f t="shared" si="0"/>
        <v>Mellow</v>
      </c>
      <c r="G16" t="str">
        <f t="shared" si="1"/>
        <v>Mellow12425Austin</v>
      </c>
      <c r="H16" t="s">
        <v>30874</v>
      </c>
      <c r="I16" t="s">
        <v>22311</v>
      </c>
      <c r="J16" t="str">
        <f t="shared" si="2"/>
        <v>E:\PropInv\MF</v>
      </c>
      <c r="K16" s="103" t="str">
        <f>HYPERLINK("E:\PropInv\MF\Austin\Mellow Meadow Dr_12425_Audubon Square_Austin_00015","Mellow Meadow Dr_12425_Audubon Square_Austin_00015" )</f>
        <v>Mellow Meadow Dr_12425_Audubon Square_Austin_00015</v>
      </c>
      <c r="L16" s="104" t="s">
        <v>22253</v>
      </c>
      <c r="M16" s="103" t="str">
        <f t="shared" si="3"/>
        <v>http://oconnordata.com/mlink/modules/profile/index.cfm?action=profile&amp;prop_id=15</v>
      </c>
      <c r="N16" s="1" t="str">
        <f t="shared" si="4"/>
        <v>00015</v>
      </c>
    </row>
    <row r="17" spans="1:14" ht="15" x14ac:dyDescent="0.25">
      <c r="A17" s="1">
        <v>16</v>
      </c>
      <c r="B17" s="7" t="s">
        <v>37</v>
      </c>
      <c r="C17" s="12">
        <v>7401</v>
      </c>
      <c r="D17" s="7" t="s">
        <v>38</v>
      </c>
      <c r="E17" s="13" t="s">
        <v>7</v>
      </c>
      <c r="F17" t="str">
        <f t="shared" si="0"/>
        <v>Lamar</v>
      </c>
      <c r="G17" t="str">
        <f t="shared" si="1"/>
        <v>Lamar7401Austin</v>
      </c>
      <c r="H17" t="s">
        <v>30875</v>
      </c>
      <c r="I17" t="s">
        <v>22312</v>
      </c>
      <c r="J17" t="str">
        <f t="shared" si="2"/>
        <v>E:\PropInv\MF</v>
      </c>
      <c r="K17" s="103" t="str">
        <f>HYPERLINK("E:\PropInv\MF\Austin\Lamar Blvd N_7401_Austin Gardens_Austin_00016","Lamar Blvd N_7401_Austin Gardens_Austin_00016" )</f>
        <v>Lamar Blvd N_7401_Austin Gardens_Austin_00016</v>
      </c>
      <c r="L17" s="104" t="s">
        <v>22253</v>
      </c>
      <c r="M17" s="103" t="str">
        <f t="shared" si="3"/>
        <v>http://oconnordata.com/mlink/modules/profile/index.cfm?action=profile&amp;prop_id=16</v>
      </c>
      <c r="N17" s="1" t="str">
        <f t="shared" si="4"/>
        <v>00016</v>
      </c>
    </row>
    <row r="18" spans="1:14" ht="15" x14ac:dyDescent="0.25">
      <c r="A18" s="1">
        <v>17</v>
      </c>
      <c r="B18" s="7" t="s">
        <v>39</v>
      </c>
      <c r="C18" s="12">
        <v>10610</v>
      </c>
      <c r="D18" s="7" t="s">
        <v>40</v>
      </c>
      <c r="E18" s="13" t="s">
        <v>7</v>
      </c>
      <c r="F18" t="str">
        <f t="shared" si="0"/>
        <v>Morado</v>
      </c>
      <c r="G18" t="str">
        <f t="shared" si="1"/>
        <v>Morado10610Austin</v>
      </c>
      <c r="H18" t="s">
        <v>30876</v>
      </c>
      <c r="I18" t="s">
        <v>22313</v>
      </c>
      <c r="J18" t="str">
        <f t="shared" si="2"/>
        <v>E:\PropInv\MF</v>
      </c>
      <c r="K18" s="103" t="str">
        <f>HYPERLINK("E:\PropInv\MF\Austin\Morado Cir_10610_Great Hills_Austin_00017","Morado Cir_10610_Great Hills_Austin_00017" )</f>
        <v>Morado Cir_10610_Great Hills_Austin_00017</v>
      </c>
      <c r="L18" s="104" t="s">
        <v>22253</v>
      </c>
      <c r="M18" s="103" t="str">
        <f t="shared" si="3"/>
        <v>http://oconnordata.com/mlink/modules/profile/index.cfm?action=profile&amp;prop_id=17</v>
      </c>
      <c r="N18" s="1" t="str">
        <f t="shared" si="4"/>
        <v>00017</v>
      </c>
    </row>
    <row r="19" spans="1:14" ht="15" x14ac:dyDescent="0.25">
      <c r="A19" s="1">
        <v>18</v>
      </c>
      <c r="B19" s="7" t="s">
        <v>41</v>
      </c>
      <c r="C19" s="12">
        <v>4821</v>
      </c>
      <c r="D19" s="7" t="s">
        <v>42</v>
      </c>
      <c r="E19" s="13" t="s">
        <v>7</v>
      </c>
      <c r="F19" t="str">
        <f t="shared" si="0"/>
        <v>Riverside</v>
      </c>
      <c r="G19" t="str">
        <f t="shared" si="1"/>
        <v>Riverside4821Austin</v>
      </c>
      <c r="H19" t="s">
        <v>30877</v>
      </c>
      <c r="I19" t="s">
        <v>22314</v>
      </c>
      <c r="J19" t="str">
        <f t="shared" si="2"/>
        <v>E:\PropInv\MF</v>
      </c>
      <c r="K19" s="103" t="str">
        <f>HYPERLINK("E:\PropInv\MF\Austin\Riverside Dr E_4821_Hillside Place_Austin_00018","Riverside Dr E_4821_Hillside Place_Austin_00018" )</f>
        <v>Riverside Dr E_4821_Hillside Place_Austin_00018</v>
      </c>
      <c r="L19" s="104" t="s">
        <v>22253</v>
      </c>
      <c r="M19" s="103" t="str">
        <f t="shared" si="3"/>
        <v>http://oconnordata.com/mlink/modules/profile/index.cfm?action=profile&amp;prop_id=18</v>
      </c>
      <c r="N19" s="1" t="str">
        <f t="shared" si="4"/>
        <v>00018</v>
      </c>
    </row>
    <row r="20" spans="1:14" ht="15" x14ac:dyDescent="0.25">
      <c r="A20" s="1">
        <v>19</v>
      </c>
      <c r="B20" s="7" t="s">
        <v>43</v>
      </c>
      <c r="C20" s="12">
        <v>400</v>
      </c>
      <c r="D20" s="7" t="s">
        <v>44</v>
      </c>
      <c r="E20" s="13" t="s">
        <v>7</v>
      </c>
      <c r="F20" t="str">
        <f t="shared" si="0"/>
        <v>Anderson</v>
      </c>
      <c r="G20" t="str">
        <f t="shared" si="1"/>
        <v>Anderson400Austin</v>
      </c>
      <c r="H20" t="s">
        <v>30878</v>
      </c>
      <c r="I20" t="s">
        <v>22315</v>
      </c>
      <c r="J20" t="str">
        <f t="shared" si="2"/>
        <v>E:\PropInv\MF</v>
      </c>
      <c r="K20" s="103" t="str">
        <f>HYPERLINK("E:\PropInv\MF\Austin\Anderson Ln W_400_Austin Parke_Austin_00019","Anderson Ln W_400_Austin Parke_Austin_00019" )</f>
        <v>Anderson Ln W_400_Austin Parke_Austin_00019</v>
      </c>
      <c r="L20" s="104" t="s">
        <v>22253</v>
      </c>
      <c r="M20" s="103" t="str">
        <f t="shared" si="3"/>
        <v>http://oconnordata.com/mlink/modules/profile/index.cfm?action=profile&amp;prop_id=19</v>
      </c>
      <c r="N20" s="1" t="str">
        <f t="shared" si="4"/>
        <v>00019</v>
      </c>
    </row>
    <row r="21" spans="1:14" ht="15" x14ac:dyDescent="0.25">
      <c r="A21" s="1">
        <v>20</v>
      </c>
      <c r="B21" s="7" t="s">
        <v>19</v>
      </c>
      <c r="C21" s="12">
        <v>1600</v>
      </c>
      <c r="D21" s="7" t="s">
        <v>45</v>
      </c>
      <c r="E21" s="13" t="s">
        <v>7</v>
      </c>
      <c r="F21" t="str">
        <f t="shared" si="0"/>
        <v>Royal</v>
      </c>
      <c r="G21" t="str">
        <f t="shared" si="1"/>
        <v>Royal1600Austin</v>
      </c>
      <c r="H21" t="s">
        <v>30879</v>
      </c>
      <c r="I21" t="s">
        <v>22316</v>
      </c>
      <c r="J21" t="str">
        <f t="shared" si="2"/>
        <v>E:\PropInv\MF</v>
      </c>
      <c r="K21" s="103" t="str">
        <f>HYPERLINK("E:\PropInv\MF\Austin\Royal Crest Dr_1600_Autumn Hills_Austin_00020","Royal Crest Dr_1600_Autumn Hills_Austin_00020" )</f>
        <v>Royal Crest Dr_1600_Autumn Hills_Austin_00020</v>
      </c>
      <c r="L21" s="104" t="s">
        <v>22253</v>
      </c>
      <c r="M21" s="103" t="str">
        <f t="shared" si="3"/>
        <v>http://oconnordata.com/mlink/modules/profile/index.cfm?action=profile&amp;prop_id=20</v>
      </c>
      <c r="N21" s="1" t="str">
        <f t="shared" si="4"/>
        <v>00020</v>
      </c>
    </row>
    <row r="22" spans="1:14" x14ac:dyDescent="0.3">
      <c r="A22" s="1">
        <v>21</v>
      </c>
      <c r="B22" s="7" t="s">
        <v>46</v>
      </c>
      <c r="C22" s="12">
        <v>9218</v>
      </c>
      <c r="D22" s="7" t="s">
        <v>46</v>
      </c>
      <c r="E22" s="13" t="s">
        <v>7</v>
      </c>
      <c r="F22" t="str">
        <f t="shared" si="0"/>
        <v>Balcones</v>
      </c>
      <c r="G22" t="str">
        <f t="shared" si="1"/>
        <v>Balcones9218Austin</v>
      </c>
      <c r="H22" t="s">
        <v>30880</v>
      </c>
      <c r="I22" t="s">
        <v>22317</v>
      </c>
      <c r="J22" t="str">
        <f t="shared" si="2"/>
        <v>E:\PropInv\MF</v>
      </c>
      <c r="K22" s="103" t="str">
        <f>HYPERLINK("E:\PropInv\MF\Austin\Balcones Club_9218_Balcones Club_Austin_00021","Balcones Club_9218_Balcones Club_Austin_00021" )</f>
        <v>Balcones Club_9218_Balcones Club_Austin_00021</v>
      </c>
      <c r="L22" s="104" t="s">
        <v>22253</v>
      </c>
      <c r="M22" s="103" t="str">
        <f t="shared" si="3"/>
        <v>http://oconnordata.com/mlink/modules/profile/index.cfm?action=profile&amp;prop_id=21</v>
      </c>
      <c r="N22" s="1" t="str">
        <f t="shared" si="4"/>
        <v>00021</v>
      </c>
    </row>
    <row r="23" spans="1:14" x14ac:dyDescent="0.3">
      <c r="A23" s="1">
        <v>22</v>
      </c>
      <c r="B23" s="7" t="s">
        <v>47</v>
      </c>
      <c r="C23" s="12">
        <v>11215</v>
      </c>
      <c r="D23" s="7" t="s">
        <v>48</v>
      </c>
      <c r="E23" s="13" t="s">
        <v>7</v>
      </c>
      <c r="F23" t="str">
        <f t="shared" si="0"/>
        <v>Research</v>
      </c>
      <c r="G23" t="str">
        <f t="shared" si="1"/>
        <v>Research11215Austin</v>
      </c>
      <c r="H23" t="s">
        <v>30881</v>
      </c>
      <c r="I23" t="s">
        <v>22318</v>
      </c>
      <c r="J23" t="str">
        <f t="shared" si="2"/>
        <v>E:\PropInv\MF</v>
      </c>
      <c r="K23" s="103" t="str">
        <f>HYPERLINK("E:\PropInv\MF\Austin\Research Blvd_11215_Balcones Woods_Austin_00022","Research Blvd_11215_Balcones Woods_Austin_00022" )</f>
        <v>Research Blvd_11215_Balcones Woods_Austin_00022</v>
      </c>
      <c r="L23" s="104" t="s">
        <v>22253</v>
      </c>
      <c r="M23" s="103" t="str">
        <f t="shared" si="3"/>
        <v>http://oconnordata.com/mlink/modules/profile/index.cfm?action=profile&amp;prop_id=22</v>
      </c>
      <c r="N23" s="1" t="str">
        <f t="shared" si="4"/>
        <v>00022</v>
      </c>
    </row>
    <row r="24" spans="1:14" x14ac:dyDescent="0.3">
      <c r="A24" s="1">
        <v>23</v>
      </c>
      <c r="B24" s="7" t="s">
        <v>49</v>
      </c>
      <c r="C24" s="12">
        <v>1005</v>
      </c>
      <c r="D24" s="7" t="s">
        <v>50</v>
      </c>
      <c r="E24" s="13" t="s">
        <v>7</v>
      </c>
      <c r="F24" t="str">
        <f t="shared" si="0"/>
        <v>Stassney</v>
      </c>
      <c r="G24" t="str">
        <f t="shared" si="1"/>
        <v>Stassney1005Austin</v>
      </c>
      <c r="H24" t="s">
        <v>30882</v>
      </c>
      <c r="I24" t="s">
        <v>22319</v>
      </c>
      <c r="J24" t="str">
        <f t="shared" si="2"/>
        <v>E:\PropInv\MF</v>
      </c>
      <c r="K24" s="103" t="str">
        <f>HYPERLINK("E:\PropInv\MF\Austin\Stassney Ln W_1005_Ironstone_Austin_00023","Stassney Ln W_1005_Ironstone_Austin_00023" )</f>
        <v>Stassney Ln W_1005_Ironstone_Austin_00023</v>
      </c>
      <c r="L24" s="104" t="s">
        <v>22253</v>
      </c>
      <c r="M24" s="103" t="str">
        <f t="shared" si="3"/>
        <v>http://oconnordata.com/mlink/modules/profile/index.cfm?action=profile&amp;prop_id=23</v>
      </c>
      <c r="N24" s="1" t="str">
        <f t="shared" si="4"/>
        <v>00023</v>
      </c>
    </row>
    <row r="25" spans="1:14" x14ac:dyDescent="0.3">
      <c r="A25" s="1">
        <v>24</v>
      </c>
      <c r="B25" s="7" t="s">
        <v>51</v>
      </c>
      <c r="C25" s="12">
        <v>2800</v>
      </c>
      <c r="D25" s="7" t="s">
        <v>52</v>
      </c>
      <c r="E25" s="13" t="s">
        <v>7</v>
      </c>
      <c r="F25" t="str">
        <f t="shared" si="0"/>
        <v>Bartons</v>
      </c>
      <c r="G25" t="str">
        <f t="shared" si="1"/>
        <v>Bartons2800Austin</v>
      </c>
      <c r="H25" t="s">
        <v>30883</v>
      </c>
      <c r="I25" t="s">
        <v>22320</v>
      </c>
      <c r="J25" t="str">
        <f t="shared" si="2"/>
        <v>E:\PropInv\MF</v>
      </c>
      <c r="K25" s="103" t="str">
        <f>HYPERLINK("E:\PropInv\MF\Austin\Bartons Bluff Ln_2800_Barton Creek Landing_Austin_00024","Bartons Bluff Ln_2800_Barton Creek Landing_Austin_00024" )</f>
        <v>Bartons Bluff Ln_2800_Barton Creek Landing_Austin_00024</v>
      </c>
      <c r="L25" s="104" t="s">
        <v>22253</v>
      </c>
      <c r="M25" s="103" t="str">
        <f t="shared" si="3"/>
        <v>http://oconnordata.com/mlink/modules/profile/index.cfm?action=profile&amp;prop_id=24</v>
      </c>
      <c r="N25" s="1" t="str">
        <f t="shared" si="4"/>
        <v>00024</v>
      </c>
    </row>
    <row r="26" spans="1:14" x14ac:dyDescent="0.3">
      <c r="A26" s="1">
        <v>26</v>
      </c>
      <c r="B26" s="7" t="s">
        <v>53</v>
      </c>
      <c r="C26" s="12">
        <v>2121</v>
      </c>
      <c r="D26" s="7" t="s">
        <v>54</v>
      </c>
      <c r="E26" s="13" t="s">
        <v>7</v>
      </c>
      <c r="F26" t="str">
        <f t="shared" si="0"/>
        <v>Dickson</v>
      </c>
      <c r="G26" t="str">
        <f t="shared" si="1"/>
        <v>Dickson2121Austin</v>
      </c>
      <c r="H26" t="s">
        <v>30884</v>
      </c>
      <c r="I26" t="s">
        <v>22321</v>
      </c>
      <c r="J26" t="str">
        <f t="shared" si="2"/>
        <v>E:\PropInv\MF</v>
      </c>
      <c r="K26" s="103" t="str">
        <f>HYPERLINK("E:\PropInv\MF\Austin\Dickson Dr_2121_Barton's Mill_Austin_00026","Dickson Dr_2121_Barton's Mill_Austin_00026" )</f>
        <v>Dickson Dr_2121_Barton's Mill_Austin_00026</v>
      </c>
      <c r="L26" s="104" t="s">
        <v>22253</v>
      </c>
      <c r="M26" s="103" t="str">
        <f t="shared" si="3"/>
        <v>http://oconnordata.com/mlink/modules/profile/index.cfm?action=profile&amp;prop_id=26</v>
      </c>
      <c r="N26" s="1" t="str">
        <f t="shared" si="4"/>
        <v>00026</v>
      </c>
    </row>
    <row r="27" spans="1:14" x14ac:dyDescent="0.3">
      <c r="A27" s="97">
        <v>27</v>
      </c>
      <c r="B27" s="7" t="s">
        <v>55</v>
      </c>
      <c r="C27" s="12">
        <v>2611</v>
      </c>
      <c r="D27" s="7" t="s">
        <v>56</v>
      </c>
      <c r="E27" s="13" t="s">
        <v>7</v>
      </c>
      <c r="F27" t="str">
        <f t="shared" si="0"/>
        <v>Bee</v>
      </c>
      <c r="G27" t="str">
        <f t="shared" si="1"/>
        <v>Bee2611Austin</v>
      </c>
      <c r="H27" t="s">
        <v>30885</v>
      </c>
      <c r="I27" t="s">
        <v>22322</v>
      </c>
      <c r="J27" t="str">
        <f t="shared" si="2"/>
        <v>E:\PropInv\MF</v>
      </c>
      <c r="K27" s="103" t="str">
        <f>HYPERLINK("E:\PropInv\MF\Austin\Bee Caves Rd_2611_Windsor at Barton Creek_Austin_00027","Bee Caves Rd_2611_Windsor at Barton Creek_Austin_00027" )</f>
        <v>Bee Caves Rd_2611_Windsor at Barton Creek_Austin_00027</v>
      </c>
      <c r="L27" s="104" t="s">
        <v>22253</v>
      </c>
      <c r="M27" s="103" t="str">
        <f t="shared" si="3"/>
        <v>http://oconnordata.com/mlink/modules/profile/index.cfm?action=profile&amp;prop_id=27</v>
      </c>
      <c r="N27" s="1" t="str">
        <f t="shared" si="4"/>
        <v>00027</v>
      </c>
    </row>
    <row r="28" spans="1:14" x14ac:dyDescent="0.3">
      <c r="A28" s="1">
        <v>28</v>
      </c>
      <c r="B28" s="7" t="s">
        <v>57</v>
      </c>
      <c r="C28" s="12">
        <v>8405</v>
      </c>
      <c r="D28" s="7" t="s">
        <v>58</v>
      </c>
      <c r="E28" s="13" t="s">
        <v>7</v>
      </c>
      <c r="F28" t="str">
        <f t="shared" si="0"/>
        <v>Bent</v>
      </c>
      <c r="G28" t="str">
        <f t="shared" si="1"/>
        <v>Bent8405Austin</v>
      </c>
      <c r="H28" t="s">
        <v>30886</v>
      </c>
      <c r="I28" t="s">
        <v>22323</v>
      </c>
      <c r="J28" t="str">
        <f t="shared" si="2"/>
        <v>E:\PropInv\MF</v>
      </c>
      <c r="K28" s="103" t="str">
        <f>HYPERLINK("E:\PropInv\MF\Austin\Bent Tree Rd_8405_Bent Tree_Austin_00028","Bent Tree Rd_8405_Bent Tree_Austin_00028" )</f>
        <v>Bent Tree Rd_8405_Bent Tree_Austin_00028</v>
      </c>
      <c r="L28" s="104" t="s">
        <v>22253</v>
      </c>
      <c r="M28" s="103" t="str">
        <f t="shared" si="3"/>
        <v>http://oconnordata.com/mlink/modules/profile/index.cfm?action=profile&amp;prop_id=28</v>
      </c>
      <c r="N28" s="1" t="str">
        <f t="shared" si="4"/>
        <v>00028</v>
      </c>
    </row>
    <row r="29" spans="1:14" x14ac:dyDescent="0.3">
      <c r="A29" s="1">
        <v>29</v>
      </c>
      <c r="B29" s="7" t="s">
        <v>59</v>
      </c>
      <c r="C29" s="12">
        <v>2419</v>
      </c>
      <c r="D29" s="7" t="s">
        <v>60</v>
      </c>
      <c r="E29" s="13" t="s">
        <v>61</v>
      </c>
      <c r="F29" t="str">
        <f t="shared" si="0"/>
        <v>Cardinal</v>
      </c>
      <c r="G29" t="str">
        <f t="shared" si="1"/>
        <v>Cardinal2419Del Valle</v>
      </c>
      <c r="H29" t="s">
        <v>30887</v>
      </c>
      <c r="I29" t="s">
        <v>22324</v>
      </c>
      <c r="J29" t="str">
        <f t="shared" si="2"/>
        <v>E:\PropInv\MF</v>
      </c>
      <c r="K29" s="103" t="str">
        <f>HYPERLINK("E:\PropInv\MF\Del Valle\Cardinal Loop_2419_Bergstrom Arms (Demolished)_Del Valle_00029","Cardinal Loop_2419_Bergstrom Arms (Demolished)_Del Valle_00029" )</f>
        <v>Cardinal Loop_2419_Bergstrom Arms (Demolished)_Del Valle_00029</v>
      </c>
      <c r="L29" s="104" t="s">
        <v>22253</v>
      </c>
      <c r="M29" s="103" t="str">
        <f t="shared" si="3"/>
        <v>http://oconnordata.com/mlink/modules/profile/index.cfm?action=profile&amp;prop_id=29</v>
      </c>
      <c r="N29" s="1" t="str">
        <f t="shared" si="4"/>
        <v>00029</v>
      </c>
    </row>
    <row r="30" spans="1:14" x14ac:dyDescent="0.3">
      <c r="A30" s="1">
        <v>30</v>
      </c>
      <c r="B30" s="7" t="s">
        <v>62</v>
      </c>
      <c r="C30" s="12">
        <v>2215</v>
      </c>
      <c r="D30" s="7" t="s">
        <v>63</v>
      </c>
      <c r="E30" s="13" t="s">
        <v>7</v>
      </c>
      <c r="F30" t="str">
        <f t="shared" si="0"/>
        <v>Town</v>
      </c>
      <c r="G30" t="str">
        <f t="shared" si="1"/>
        <v>Town2215Austin</v>
      </c>
      <c r="H30" t="s">
        <v>30888</v>
      </c>
      <c r="I30" t="s">
        <v>22325</v>
      </c>
      <c r="J30" t="str">
        <f t="shared" si="2"/>
        <v>E:\PropInv\MF</v>
      </c>
      <c r="K30" s="103" t="str">
        <f>HYPERLINK("E:\PropInv\MF\Austin\Town Lake Cir_2215_Vista Lago_Austin_00030","Town Lake Cir_2215_Vista Lago_Austin_00030" )</f>
        <v>Town Lake Cir_2215_Vista Lago_Austin_00030</v>
      </c>
      <c r="L30" s="104" t="s">
        <v>22253</v>
      </c>
      <c r="M30" s="103" t="str">
        <f t="shared" si="3"/>
        <v>http://oconnordata.com/mlink/modules/profile/index.cfm?action=profile&amp;prop_id=30</v>
      </c>
      <c r="N30" s="1" t="str">
        <f t="shared" si="4"/>
        <v>00030</v>
      </c>
    </row>
    <row r="31" spans="1:14" x14ac:dyDescent="0.3">
      <c r="A31" s="1">
        <v>31</v>
      </c>
      <c r="B31" s="7" t="s">
        <v>64</v>
      </c>
      <c r="C31" s="12">
        <v>101</v>
      </c>
      <c r="D31" s="7" t="s">
        <v>65</v>
      </c>
      <c r="E31" s="13" t="s">
        <v>18</v>
      </c>
      <c r="F31" t="str">
        <f t="shared" si="0"/>
        <v>Bowman</v>
      </c>
      <c r="G31" t="str">
        <f t="shared" si="1"/>
        <v>Bowman101Round Rock</v>
      </c>
      <c r="H31" t="s">
        <v>30889</v>
      </c>
      <c r="I31" t="s">
        <v>22326</v>
      </c>
      <c r="J31" t="str">
        <f t="shared" si="2"/>
        <v>E:\PropInv\MF</v>
      </c>
      <c r="K31" s="103" t="str">
        <f>HYPERLINK("E:\PropInv\MF\Round Rock\Bowman Dr W_101_Bowmans Walk_Round Rock_00031","Bowman Dr W_101_Bowmans Walk_Round Rock_00031" )</f>
        <v>Bowman Dr W_101_Bowmans Walk_Round Rock_00031</v>
      </c>
      <c r="L31" s="104" t="s">
        <v>22253</v>
      </c>
      <c r="M31" s="103" t="str">
        <f t="shared" si="3"/>
        <v>http://oconnordata.com/mlink/modules/profile/index.cfm?action=profile&amp;prop_id=31</v>
      </c>
      <c r="N31" s="1" t="str">
        <f t="shared" si="4"/>
        <v>00031</v>
      </c>
    </row>
    <row r="32" spans="1:14" x14ac:dyDescent="0.3">
      <c r="A32" s="1">
        <v>32</v>
      </c>
      <c r="B32" s="7" t="s">
        <v>27</v>
      </c>
      <c r="C32" s="12">
        <v>1845</v>
      </c>
      <c r="D32" s="7" t="s">
        <v>66</v>
      </c>
      <c r="E32" s="13" t="s">
        <v>7</v>
      </c>
      <c r="F32" t="str">
        <f t="shared" si="0"/>
        <v>Burton</v>
      </c>
      <c r="G32" t="str">
        <f t="shared" si="1"/>
        <v>Burton1845Austin</v>
      </c>
      <c r="H32" t="s">
        <v>30890</v>
      </c>
      <c r="I32" t="s">
        <v>22327</v>
      </c>
      <c r="J32" t="str">
        <f t="shared" si="2"/>
        <v>E:\PropInv\MF</v>
      </c>
      <c r="K32" s="103" t="str">
        <f>HYPERLINK("E:\PropInv\MF\Austin\Burton Dr_1845_LaFayette Landing_Austin_00032","Burton Dr_1845_LaFayette Landing_Austin_00032" )</f>
        <v>Burton Dr_1845_LaFayette Landing_Austin_00032</v>
      </c>
      <c r="L32" s="104" t="s">
        <v>22253</v>
      </c>
      <c r="M32" s="103" t="str">
        <f t="shared" si="3"/>
        <v>http://oconnordata.com/mlink/modules/profile/index.cfm?action=profile&amp;prop_id=32</v>
      </c>
      <c r="N32" s="1" t="str">
        <f t="shared" si="4"/>
        <v>00032</v>
      </c>
    </row>
    <row r="33" spans="1:14" x14ac:dyDescent="0.3">
      <c r="A33" s="1">
        <v>33</v>
      </c>
      <c r="B33" s="7" t="s">
        <v>67</v>
      </c>
      <c r="C33" s="12">
        <v>6001</v>
      </c>
      <c r="D33" s="7" t="s">
        <v>68</v>
      </c>
      <c r="E33" s="13" t="s">
        <v>7</v>
      </c>
      <c r="F33" t="str">
        <f t="shared" si="0"/>
        <v>Shepherd</v>
      </c>
      <c r="G33" t="str">
        <f t="shared" si="1"/>
        <v>Shepherd6001Austin</v>
      </c>
      <c r="H33" t="s">
        <v>30891</v>
      </c>
      <c r="I33" t="s">
        <v>22328</v>
      </c>
      <c r="J33" t="str">
        <f t="shared" si="2"/>
        <v>E:\PropInv\MF</v>
      </c>
      <c r="K33" s="103" t="str">
        <f>HYPERLINK("E:\PropInv\MF\Austin\Shepherd Mountain Cove_6001_Bridgehead_Austin_00033","Shepherd Mountain Cove_6001_Bridgehead_Austin_00033" )</f>
        <v>Shepherd Mountain Cove_6001_Bridgehead_Austin_00033</v>
      </c>
      <c r="L33" s="104" t="s">
        <v>22253</v>
      </c>
      <c r="M33" s="103" t="str">
        <f t="shared" si="3"/>
        <v>http://oconnordata.com/mlink/modules/profile/index.cfm?action=profile&amp;prop_id=33</v>
      </c>
      <c r="N33" s="1" t="str">
        <f t="shared" si="4"/>
        <v>00033</v>
      </c>
    </row>
    <row r="34" spans="1:14" x14ac:dyDescent="0.3">
      <c r="A34" s="1">
        <v>34</v>
      </c>
      <c r="B34" s="7" t="s">
        <v>69</v>
      </c>
      <c r="C34" s="12">
        <v>1910</v>
      </c>
      <c r="D34" s="7" t="s">
        <v>70</v>
      </c>
      <c r="E34" s="13" t="s">
        <v>7</v>
      </c>
      <c r="F34" t="str">
        <f t="shared" si="0"/>
        <v>Willow</v>
      </c>
      <c r="G34" t="str">
        <f t="shared" si="1"/>
        <v>Willow1910Austin</v>
      </c>
      <c r="H34" t="s">
        <v>30892</v>
      </c>
      <c r="I34" t="s">
        <v>22329</v>
      </c>
      <c r="J34" t="str">
        <f t="shared" si="2"/>
        <v>E:\PropInv\MF</v>
      </c>
      <c r="K34" s="103" t="str">
        <f>HYPERLINK("E:\PropInv\MF\Austin\Willow Creek Dr_1910_Point South_Austin_00034","Willow Creek Dr_1910_Point South_Austin_00034" )</f>
        <v>Willow Creek Dr_1910_Point South_Austin_00034</v>
      </c>
      <c r="L34" s="104" t="s">
        <v>22253</v>
      </c>
      <c r="M34" s="103" t="str">
        <f t="shared" si="3"/>
        <v>http://oconnordata.com/mlink/modules/profile/index.cfm?action=profile&amp;prop_id=34</v>
      </c>
      <c r="N34" s="1" t="str">
        <f t="shared" si="4"/>
        <v>00034</v>
      </c>
    </row>
    <row r="35" spans="1:14" x14ac:dyDescent="0.3">
      <c r="A35" s="1">
        <v>35</v>
      </c>
      <c r="B35" s="7" t="s">
        <v>71</v>
      </c>
      <c r="C35" s="12">
        <v>2336</v>
      </c>
      <c r="D35" s="7" t="s">
        <v>72</v>
      </c>
      <c r="E35" s="13" t="s">
        <v>7</v>
      </c>
      <c r="F35" t="str">
        <f t="shared" si="0"/>
        <v>Douglas</v>
      </c>
      <c r="G35" t="str">
        <f t="shared" si="1"/>
        <v>Douglas2336Austin</v>
      </c>
      <c r="H35" t="s">
        <v>30893</v>
      </c>
      <c r="I35" t="s">
        <v>22330</v>
      </c>
      <c r="J35" t="str">
        <f t="shared" si="2"/>
        <v>E:\PropInv\MF</v>
      </c>
      <c r="K35" s="103" t="str">
        <f>HYPERLINK("E:\PropInv\MF\Austin\Douglas St_2336_Bristol Square_Austin_00035","Douglas St_2336_Bristol Square_Austin_00035" )</f>
        <v>Douglas St_2336_Bristol Square_Austin_00035</v>
      </c>
      <c r="L35" s="104" t="s">
        <v>22253</v>
      </c>
      <c r="M35" s="103" t="str">
        <f t="shared" si="3"/>
        <v>http://oconnordata.com/mlink/modules/profile/index.cfm?action=profile&amp;prop_id=35</v>
      </c>
      <c r="N35" s="1" t="str">
        <f t="shared" si="4"/>
        <v>00035</v>
      </c>
    </row>
    <row r="36" spans="1:14" x14ac:dyDescent="0.3">
      <c r="A36" s="1">
        <v>36</v>
      </c>
      <c r="B36" s="7" t="s">
        <v>73</v>
      </c>
      <c r="C36" s="12">
        <v>10300</v>
      </c>
      <c r="D36" s="7" t="s">
        <v>74</v>
      </c>
      <c r="E36" s="13" t="s">
        <v>7</v>
      </c>
      <c r="F36" t="str">
        <f t="shared" si="0"/>
        <v>Golden</v>
      </c>
      <c r="G36" t="str">
        <f t="shared" si="1"/>
        <v>Golden10300Austin</v>
      </c>
      <c r="H36" t="s">
        <v>30894</v>
      </c>
      <c r="I36" t="s">
        <v>22331</v>
      </c>
      <c r="J36" t="str">
        <f t="shared" si="2"/>
        <v>E:\PropInv\MF</v>
      </c>
      <c r="K36" s="103" t="str">
        <f>HYPERLINK("E:\PropInv\MF\Austin\Golden Meadow Dr_10300_Brook Meadow Village_Austin_00036","Golden Meadow Dr_10300_Brook Meadow Village_Austin_00036" )</f>
        <v>Golden Meadow Dr_10300_Brook Meadow Village_Austin_00036</v>
      </c>
      <c r="L36" s="104" t="s">
        <v>22253</v>
      </c>
      <c r="M36" s="103" t="str">
        <f t="shared" si="3"/>
        <v>http://oconnordata.com/mlink/modules/profile/index.cfm?action=profile&amp;prop_id=36</v>
      </c>
      <c r="N36" s="1" t="str">
        <f t="shared" si="4"/>
        <v>00036</v>
      </c>
    </row>
    <row r="37" spans="1:14" x14ac:dyDescent="0.3">
      <c r="A37" s="1">
        <v>37</v>
      </c>
      <c r="B37" s="7" t="s">
        <v>75</v>
      </c>
      <c r="C37" s="12">
        <v>1824</v>
      </c>
      <c r="D37" s="7" t="s">
        <v>76</v>
      </c>
      <c r="E37" s="13" t="s">
        <v>7</v>
      </c>
      <c r="F37" t="str">
        <f t="shared" si="0"/>
        <v>35</v>
      </c>
      <c r="G37" t="str">
        <f t="shared" si="1"/>
        <v>351824Austin</v>
      </c>
      <c r="H37" t="s">
        <v>30895</v>
      </c>
      <c r="I37" t="s">
        <v>22332</v>
      </c>
      <c r="J37" t="str">
        <f t="shared" si="2"/>
        <v>E:\PropInv\MF</v>
      </c>
      <c r="K37" s="103" t="str">
        <f>HYPERLINK("E:\PropInv\MF\Austin\35 IH S_1824_The Brook in Travis Heights_Austin_00037","35 IH S_1824_The Brook in Travis Heights_Austin_00037" )</f>
        <v>35 IH S_1824_The Brook in Travis Heights_Austin_00037</v>
      </c>
      <c r="L37" s="104" t="s">
        <v>22253</v>
      </c>
      <c r="M37" s="103" t="str">
        <f t="shared" si="3"/>
        <v>http://oconnordata.com/mlink/modules/profile/index.cfm?action=profile&amp;prop_id=37</v>
      </c>
      <c r="N37" s="1" t="str">
        <f t="shared" si="4"/>
        <v>00037</v>
      </c>
    </row>
    <row r="38" spans="1:14" x14ac:dyDescent="0.3">
      <c r="A38" s="1">
        <v>38</v>
      </c>
      <c r="B38" s="7" t="s">
        <v>37</v>
      </c>
      <c r="C38" s="12">
        <v>5106</v>
      </c>
      <c r="D38" s="7" t="s">
        <v>77</v>
      </c>
      <c r="E38" s="13" t="s">
        <v>7</v>
      </c>
      <c r="F38" t="str">
        <f t="shared" si="0"/>
        <v>Lamar</v>
      </c>
      <c r="G38" t="str">
        <f t="shared" si="1"/>
        <v>Lamar5106Austin</v>
      </c>
      <c r="H38" t="s">
        <v>30896</v>
      </c>
      <c r="I38" t="s">
        <v>22333</v>
      </c>
      <c r="J38" t="str">
        <f t="shared" si="2"/>
        <v>E:\PropInv\MF</v>
      </c>
      <c r="K38" s="103" t="str">
        <f>HYPERLINK("E:\PropInv\MF\Austin\Lamar Blvd N_5106_Brownstone Park_Austin_00038","Lamar Blvd N_5106_Brownstone Park_Austin_00038" )</f>
        <v>Lamar Blvd N_5106_Brownstone Park_Austin_00038</v>
      </c>
      <c r="L38" s="104" t="s">
        <v>22253</v>
      </c>
      <c r="M38" s="103" t="str">
        <f t="shared" si="3"/>
        <v>http://oconnordata.com/mlink/modules/profile/index.cfm?action=profile&amp;prop_id=38</v>
      </c>
      <c r="N38" s="1" t="str">
        <f t="shared" si="4"/>
        <v>00038</v>
      </c>
    </row>
    <row r="39" spans="1:14" x14ac:dyDescent="0.3">
      <c r="A39" s="1">
        <v>39</v>
      </c>
      <c r="B39" s="7" t="s">
        <v>78</v>
      </c>
      <c r="C39" s="12">
        <v>1101</v>
      </c>
      <c r="D39" s="7" t="s">
        <v>79</v>
      </c>
      <c r="E39" s="13" t="s">
        <v>18</v>
      </c>
      <c r="F39" t="str">
        <f t="shared" si="0"/>
        <v>Sam</v>
      </c>
      <c r="G39" t="str">
        <f t="shared" si="1"/>
        <v>Sam1101Round Rock</v>
      </c>
      <c r="H39" t="s">
        <v>30897</v>
      </c>
      <c r="I39" t="s">
        <v>22334</v>
      </c>
      <c r="J39" t="str">
        <f t="shared" si="2"/>
        <v>E:\PropInv\MF</v>
      </c>
      <c r="K39" s="103" t="str">
        <f>HYPERLINK("E:\PropInv\MF\Round Rock\Sam Bass Cir_1101_Brushy Creek Village_Round Rock_00039","Sam Bass Cir_1101_Brushy Creek Village_Round Rock_00039" )</f>
        <v>Sam Bass Cir_1101_Brushy Creek Village_Round Rock_00039</v>
      </c>
      <c r="L39" s="104" t="s">
        <v>22253</v>
      </c>
      <c r="M39" s="103" t="str">
        <f t="shared" si="3"/>
        <v>http://oconnordata.com/mlink/modules/profile/index.cfm?action=profile&amp;prop_id=39</v>
      </c>
      <c r="N39" s="1" t="str">
        <f t="shared" si="4"/>
        <v>00039</v>
      </c>
    </row>
    <row r="40" spans="1:14" x14ac:dyDescent="0.3">
      <c r="A40" s="1">
        <v>40</v>
      </c>
      <c r="B40" s="7" t="s">
        <v>80</v>
      </c>
      <c r="C40" s="12">
        <v>13005</v>
      </c>
      <c r="D40" s="7" t="s">
        <v>81</v>
      </c>
      <c r="E40" s="13" t="s">
        <v>7</v>
      </c>
      <c r="F40" t="str">
        <f t="shared" si="0"/>
        <v>Heinemann</v>
      </c>
      <c r="G40" t="str">
        <f t="shared" si="1"/>
        <v>Heinemann13005Austin</v>
      </c>
      <c r="H40" t="s">
        <v>30898</v>
      </c>
      <c r="I40" t="s">
        <v>22335</v>
      </c>
      <c r="J40" t="str">
        <f t="shared" si="2"/>
        <v>E:\PropInv\MF</v>
      </c>
      <c r="K40" s="103" t="str">
        <f>HYPERLINK("E:\PropInv\MF\Austin\Heinemann Dr_13005_Laurel Ridge_Austin_00040","Heinemann Dr_13005_Laurel Ridge_Austin_00040" )</f>
        <v>Heinemann Dr_13005_Laurel Ridge_Austin_00040</v>
      </c>
      <c r="L40" s="104" t="s">
        <v>22253</v>
      </c>
      <c r="M40" s="103" t="str">
        <f t="shared" si="3"/>
        <v>http://oconnordata.com/mlink/modules/profile/index.cfm?action=profile&amp;prop_id=40</v>
      </c>
      <c r="N40" s="1" t="str">
        <f t="shared" si="4"/>
        <v>00040</v>
      </c>
    </row>
    <row r="41" spans="1:14" x14ac:dyDescent="0.3">
      <c r="A41" s="1">
        <v>41</v>
      </c>
      <c r="B41" s="7" t="s">
        <v>82</v>
      </c>
      <c r="C41" s="12">
        <v>5700</v>
      </c>
      <c r="D41" s="7" t="s">
        <v>83</v>
      </c>
      <c r="E41" s="13" t="s">
        <v>7</v>
      </c>
      <c r="F41" t="str">
        <f t="shared" si="0"/>
        <v>Cameron</v>
      </c>
      <c r="G41" t="str">
        <f t="shared" si="1"/>
        <v>Cameron5700Austin</v>
      </c>
      <c r="H41" t="s">
        <v>30899</v>
      </c>
      <c r="I41" t="s">
        <v>22336</v>
      </c>
      <c r="J41" t="str">
        <f t="shared" si="2"/>
        <v>E:\PropInv\MF</v>
      </c>
      <c r="K41" s="103" t="str">
        <f>HYPERLINK("E:\PropInv\MF\Austin\Cameron Rd_5700_Cameron Greens_Austin_00041","Cameron Rd_5700_Cameron Greens_Austin_00041" )</f>
        <v>Cameron Rd_5700_Cameron Greens_Austin_00041</v>
      </c>
      <c r="L41" s="104" t="s">
        <v>22253</v>
      </c>
      <c r="M41" s="103" t="str">
        <f t="shared" si="3"/>
        <v>http://oconnordata.com/mlink/modules/profile/index.cfm?action=profile&amp;prop_id=41</v>
      </c>
      <c r="N41" s="1" t="str">
        <f t="shared" si="4"/>
        <v>00041</v>
      </c>
    </row>
    <row r="42" spans="1:14" x14ac:dyDescent="0.3">
      <c r="A42" s="1">
        <v>42</v>
      </c>
      <c r="B42" s="7" t="s">
        <v>84</v>
      </c>
      <c r="C42" s="12">
        <v>2810</v>
      </c>
      <c r="D42" s="7" t="s">
        <v>85</v>
      </c>
      <c r="E42" s="13" t="s">
        <v>7</v>
      </c>
      <c r="F42" t="str">
        <f t="shared" si="0"/>
        <v>Salado</v>
      </c>
      <c r="G42" t="str">
        <f t="shared" si="1"/>
        <v>Salado2810Austin</v>
      </c>
      <c r="H42" t="s">
        <v>30900</v>
      </c>
      <c r="I42" t="s">
        <v>22337</v>
      </c>
      <c r="J42" t="str">
        <f t="shared" si="2"/>
        <v>E:\PropInv\MF</v>
      </c>
      <c r="K42" s="103" t="str">
        <f>HYPERLINK("E:\PropInv\MF\Austin\Salado St_2810_Camino Real_Austin_00042","Salado St_2810_Camino Real_Austin_00042" )</f>
        <v>Salado St_2810_Camino Real_Austin_00042</v>
      </c>
      <c r="L42" s="104" t="s">
        <v>22253</v>
      </c>
      <c r="M42" s="103" t="str">
        <f t="shared" si="3"/>
        <v>http://oconnordata.com/mlink/modules/profile/index.cfm?action=profile&amp;prop_id=42</v>
      </c>
      <c r="N42" s="1" t="str">
        <f t="shared" si="4"/>
        <v>00042</v>
      </c>
    </row>
    <row r="43" spans="1:14" x14ac:dyDescent="0.3">
      <c r="A43" s="1">
        <v>43</v>
      </c>
      <c r="B43" s="7" t="s">
        <v>19</v>
      </c>
      <c r="C43" s="12">
        <v>1601</v>
      </c>
      <c r="D43" s="7" t="s">
        <v>86</v>
      </c>
      <c r="E43" s="13" t="s">
        <v>7</v>
      </c>
      <c r="F43" t="str">
        <f t="shared" si="0"/>
        <v>Royal</v>
      </c>
      <c r="G43" t="str">
        <f t="shared" si="1"/>
        <v>Royal1601Austin</v>
      </c>
      <c r="H43" t="s">
        <v>30901</v>
      </c>
      <c r="I43" t="s">
        <v>22338</v>
      </c>
      <c r="J43" t="str">
        <f t="shared" si="2"/>
        <v>E:\PropInv\MF</v>
      </c>
      <c r="K43" s="103" t="str">
        <f>HYPERLINK("E:\PropInv\MF\Austin\Royal Crest Dr_1601_Canyon Oaks_Austin_00043","Royal Crest Dr_1601_Canyon Oaks_Austin_00043" )</f>
        <v>Royal Crest Dr_1601_Canyon Oaks_Austin_00043</v>
      </c>
      <c r="L43" s="104" t="s">
        <v>22253</v>
      </c>
      <c r="M43" s="103" t="str">
        <f t="shared" si="3"/>
        <v>http://oconnordata.com/mlink/modules/profile/index.cfm?action=profile&amp;prop_id=43</v>
      </c>
      <c r="N43" s="1" t="str">
        <f t="shared" si="4"/>
        <v>00043</v>
      </c>
    </row>
    <row r="44" spans="1:14" x14ac:dyDescent="0.3">
      <c r="A44" s="1">
        <v>44</v>
      </c>
      <c r="B44" s="7" t="s">
        <v>87</v>
      </c>
      <c r="C44" s="12">
        <v>11316</v>
      </c>
      <c r="D44" s="7" t="s">
        <v>88</v>
      </c>
      <c r="E44" s="13" t="s">
        <v>7</v>
      </c>
      <c r="F44" t="str">
        <f t="shared" si="0"/>
        <v>Jollyville</v>
      </c>
      <c r="G44" t="str">
        <f t="shared" si="1"/>
        <v>Jollyville11316Austin</v>
      </c>
      <c r="H44" t="s">
        <v>30902</v>
      </c>
      <c r="I44" t="s">
        <v>22339</v>
      </c>
      <c r="J44" t="str">
        <f t="shared" si="2"/>
        <v>E:\PropInv\MF</v>
      </c>
      <c r="K44" s="103" t="str">
        <f>HYPERLINK("E:\PropInv\MF\Austin\Jollyville Rd_11316_Canyon Creek_Austin_00044","Jollyville Rd_11316_Canyon Creek_Austin_00044" )</f>
        <v>Jollyville Rd_11316_Canyon Creek_Austin_00044</v>
      </c>
      <c r="L44" s="104" t="s">
        <v>22253</v>
      </c>
      <c r="M44" s="103" t="str">
        <f t="shared" si="3"/>
        <v>http://oconnordata.com/mlink/modules/profile/index.cfm?action=profile&amp;prop_id=44</v>
      </c>
      <c r="N44" s="1" t="str">
        <f t="shared" si="4"/>
        <v>00044</v>
      </c>
    </row>
    <row r="45" spans="1:14" x14ac:dyDescent="0.3">
      <c r="A45" s="1">
        <v>45</v>
      </c>
      <c r="B45" s="7" t="s">
        <v>89</v>
      </c>
      <c r="C45" s="12">
        <v>7020</v>
      </c>
      <c r="D45" s="7" t="s">
        <v>90</v>
      </c>
      <c r="E45" s="13" t="s">
        <v>7</v>
      </c>
      <c r="F45" t="str">
        <f t="shared" si="0"/>
        <v>Grand</v>
      </c>
      <c r="G45" t="str">
        <f t="shared" si="1"/>
        <v>Grand7020Austin</v>
      </c>
      <c r="H45" t="s">
        <v>30903</v>
      </c>
      <c r="I45" t="s">
        <v>22340</v>
      </c>
      <c r="J45" t="str">
        <f t="shared" si="2"/>
        <v>E:\PropInv\MF</v>
      </c>
      <c r="K45" s="103" t="str">
        <f>HYPERLINK("E:\PropInv\MF\Austin\Grand Canyon Dr_7020_Westheimer Regency_Austin_00045","Grand Canyon Dr_7020_Westheimer Regency_Austin_00045" )</f>
        <v>Grand Canyon Dr_7020_Westheimer Regency_Austin_00045</v>
      </c>
      <c r="L45" s="104" t="s">
        <v>22253</v>
      </c>
      <c r="M45" s="103" t="str">
        <f t="shared" si="3"/>
        <v>http://oconnordata.com/mlink/modules/profile/index.cfm?action=profile&amp;prop_id=45</v>
      </c>
      <c r="N45" s="1" t="str">
        <f t="shared" si="4"/>
        <v>00045</v>
      </c>
    </row>
    <row r="46" spans="1:14" x14ac:dyDescent="0.3">
      <c r="A46" s="1">
        <v>46</v>
      </c>
      <c r="B46" s="7" t="s">
        <v>91</v>
      </c>
      <c r="C46" s="12">
        <v>1221</v>
      </c>
      <c r="D46" s="7" t="s">
        <v>92</v>
      </c>
      <c r="E46" s="13" t="s">
        <v>7</v>
      </c>
      <c r="F46" t="str">
        <f t="shared" si="0"/>
        <v>Algarita</v>
      </c>
      <c r="G46" t="str">
        <f t="shared" si="1"/>
        <v>Algarita1221Austin</v>
      </c>
      <c r="H46" t="s">
        <v>30904</v>
      </c>
      <c r="I46" t="s">
        <v>22341</v>
      </c>
      <c r="J46" t="str">
        <f t="shared" si="2"/>
        <v>E:\PropInv\MF</v>
      </c>
      <c r="K46" s="103" t="str">
        <f>HYPERLINK("E:\PropInv\MF\Austin\Algarita Ave_1221_Cascades_Austin_00046","Algarita Ave_1221_Cascades_Austin_00046" )</f>
        <v>Algarita Ave_1221_Cascades_Austin_00046</v>
      </c>
      <c r="L46" s="104" t="s">
        <v>22253</v>
      </c>
      <c r="M46" s="103" t="str">
        <f t="shared" si="3"/>
        <v>http://oconnordata.com/mlink/modules/profile/index.cfm?action=profile&amp;prop_id=46</v>
      </c>
      <c r="N46" s="1" t="str">
        <f t="shared" si="4"/>
        <v>00046</v>
      </c>
    </row>
    <row r="47" spans="1:14" x14ac:dyDescent="0.3">
      <c r="A47" s="1">
        <v>47</v>
      </c>
      <c r="B47" s="7" t="s">
        <v>93</v>
      </c>
      <c r="C47" s="12">
        <v>7001</v>
      </c>
      <c r="D47" s="7" t="s">
        <v>94</v>
      </c>
      <c r="E47" s="13" t="s">
        <v>7</v>
      </c>
      <c r="F47" t="str">
        <f t="shared" si="0"/>
        <v>Congress</v>
      </c>
      <c r="G47" t="str">
        <f t="shared" si="1"/>
        <v>Congress7001Austin</v>
      </c>
      <c r="H47" t="s">
        <v>30905</v>
      </c>
      <c r="I47" t="s">
        <v>22342</v>
      </c>
      <c r="J47" t="str">
        <f t="shared" si="2"/>
        <v>E:\PropInv\MF</v>
      </c>
      <c r="K47" s="103" t="str">
        <f>HYPERLINK("E:\PropInv\MF\Austin\Congress Ave S_7001_Centennial Place_Austin_00047","Congress Ave S_7001_Centennial Place_Austin_00047" )</f>
        <v>Congress Ave S_7001_Centennial Place_Austin_00047</v>
      </c>
      <c r="L47" s="104" t="s">
        <v>22253</v>
      </c>
      <c r="M47" s="103" t="str">
        <f t="shared" si="3"/>
        <v>http://oconnordata.com/mlink/modules/profile/index.cfm?action=profile&amp;prop_id=47</v>
      </c>
      <c r="N47" s="1" t="str">
        <f t="shared" si="4"/>
        <v>00047</v>
      </c>
    </row>
    <row r="48" spans="1:14" x14ac:dyDescent="0.3">
      <c r="A48" s="1">
        <v>48</v>
      </c>
      <c r="B48" s="7" t="s">
        <v>95</v>
      </c>
      <c r="C48" s="12">
        <v>3401</v>
      </c>
      <c r="D48" s="7" t="s">
        <v>96</v>
      </c>
      <c r="E48" s="13" t="s">
        <v>7</v>
      </c>
      <c r="F48" t="str">
        <f t="shared" si="0"/>
        <v>Red</v>
      </c>
      <c r="G48" t="str">
        <f t="shared" si="1"/>
        <v>Red3401Austin</v>
      </c>
      <c r="H48" t="s">
        <v>30906</v>
      </c>
      <c r="I48" t="s">
        <v>22343</v>
      </c>
      <c r="J48" t="str">
        <f t="shared" si="2"/>
        <v>E:\PropInv\MF</v>
      </c>
      <c r="K48" s="103" t="str">
        <f>HYPERLINK("E:\PropInv\MF\Austin\Red River St_3401_Century Square_Austin_00048","Red River St_3401_Century Square_Austin_00048" )</f>
        <v>Red River St_3401_Century Square_Austin_00048</v>
      </c>
      <c r="L48" s="104" t="s">
        <v>22253</v>
      </c>
      <c r="M48" s="103" t="str">
        <f t="shared" si="3"/>
        <v>http://oconnordata.com/mlink/modules/profile/index.cfm?action=profile&amp;prop_id=48</v>
      </c>
      <c r="N48" s="1" t="str">
        <f t="shared" si="4"/>
        <v>00048</v>
      </c>
    </row>
    <row r="49" spans="1:14" x14ac:dyDescent="0.3">
      <c r="A49" s="1">
        <v>50</v>
      </c>
      <c r="B49" s="7" t="s">
        <v>97</v>
      </c>
      <c r="C49" s="12">
        <v>11282</v>
      </c>
      <c r="D49" s="7" t="s">
        <v>98</v>
      </c>
      <c r="E49" s="13" t="s">
        <v>7</v>
      </c>
      <c r="F49" t="str">
        <f t="shared" si="0"/>
        <v>Taylor</v>
      </c>
      <c r="G49" t="str">
        <f t="shared" si="1"/>
        <v>Taylor11282Austin</v>
      </c>
      <c r="H49" t="s">
        <v>30907</v>
      </c>
      <c r="I49" t="s">
        <v>22344</v>
      </c>
      <c r="J49" t="str">
        <f t="shared" si="2"/>
        <v>E:\PropInv\MF</v>
      </c>
      <c r="K49" s="103" t="str">
        <f>HYPERLINK("E:\PropInv\MF\Austin\Taylor Draper Ln_11282_Channings Mark_Austin_00050","Taylor Draper Ln_11282_Channings Mark_Austin_00050" )</f>
        <v>Taylor Draper Ln_11282_Channings Mark_Austin_00050</v>
      </c>
      <c r="L49" s="104" t="s">
        <v>22253</v>
      </c>
      <c r="M49" s="103" t="str">
        <f t="shared" si="3"/>
        <v>http://oconnordata.com/mlink/modules/profile/index.cfm?action=profile&amp;prop_id=50</v>
      </c>
      <c r="N49" s="1" t="str">
        <f t="shared" si="4"/>
        <v>00050</v>
      </c>
    </row>
    <row r="50" spans="1:14" x14ac:dyDescent="0.3">
      <c r="A50" s="1">
        <v>51</v>
      </c>
      <c r="B50" s="7" t="s">
        <v>21</v>
      </c>
      <c r="C50" s="12">
        <v>1801</v>
      </c>
      <c r="D50" s="7" t="s">
        <v>99</v>
      </c>
      <c r="E50" s="13" t="s">
        <v>7</v>
      </c>
      <c r="F50" t="str">
        <f t="shared" si="0"/>
        <v>Wells</v>
      </c>
      <c r="G50" t="str">
        <f t="shared" si="1"/>
        <v>Wells1801Austin</v>
      </c>
      <c r="H50" t="s">
        <v>30908</v>
      </c>
      <c r="I50" t="s">
        <v>22345</v>
      </c>
      <c r="J50" t="str">
        <f t="shared" si="2"/>
        <v>E:\PropInv\MF</v>
      </c>
      <c r="K50" s="103" t="str">
        <f>HYPERLINK("E:\PropInv\MF\Austin\Wells Branch Pkwy_1801_Chardonnay_Austin_00051","Wells Branch Pkwy_1801_Chardonnay_Austin_00051" )</f>
        <v>Wells Branch Pkwy_1801_Chardonnay_Austin_00051</v>
      </c>
      <c r="L50" s="104" t="s">
        <v>22253</v>
      </c>
      <c r="M50" s="103" t="str">
        <f t="shared" si="3"/>
        <v>http://oconnordata.com/mlink/modules/profile/index.cfm?action=profile&amp;prop_id=51</v>
      </c>
      <c r="N50" s="1" t="str">
        <f t="shared" si="4"/>
        <v>00051</v>
      </c>
    </row>
    <row r="51" spans="1:14" x14ac:dyDescent="0.3">
      <c r="A51" s="1">
        <v>52</v>
      </c>
      <c r="B51" s="7" t="s">
        <v>100</v>
      </c>
      <c r="C51" s="12">
        <v>8028</v>
      </c>
      <c r="D51" s="7" t="s">
        <v>101</v>
      </c>
      <c r="E51" s="13" t="s">
        <v>7</v>
      </c>
      <c r="F51" t="str">
        <f t="shared" si="0"/>
        <v>Gessner</v>
      </c>
      <c r="G51" t="str">
        <f t="shared" si="1"/>
        <v>Gessner8028Austin</v>
      </c>
      <c r="H51" t="s">
        <v>30909</v>
      </c>
      <c r="I51" t="s">
        <v>22346</v>
      </c>
      <c r="J51" t="str">
        <f t="shared" si="2"/>
        <v>E:\PropInv\MF</v>
      </c>
      <c r="K51" s="103" t="str">
        <f>HYPERLINK("E:\PropInv\MF\Austin\Gessner Dr_8028_Chase Village_Austin_00052","Gessner Dr_8028_Chase Village_Austin_00052" )</f>
        <v>Gessner Dr_8028_Chase Village_Austin_00052</v>
      </c>
      <c r="L51" s="104" t="s">
        <v>22253</v>
      </c>
      <c r="M51" s="103" t="str">
        <f t="shared" si="3"/>
        <v>http://oconnordata.com/mlink/modules/profile/index.cfm?action=profile&amp;prop_id=52</v>
      </c>
      <c r="N51" s="1" t="str">
        <f t="shared" si="4"/>
        <v>00052</v>
      </c>
    </row>
    <row r="52" spans="1:14" x14ac:dyDescent="0.3">
      <c r="A52" s="1">
        <v>54</v>
      </c>
      <c r="B52" s="7" t="s">
        <v>102</v>
      </c>
      <c r="C52" s="12">
        <v>1521</v>
      </c>
      <c r="D52" s="7" t="s">
        <v>103</v>
      </c>
      <c r="E52" s="13" t="s">
        <v>7</v>
      </c>
      <c r="F52" t="str">
        <f t="shared" si="0"/>
        <v>Reagan</v>
      </c>
      <c r="G52" t="str">
        <f t="shared" si="1"/>
        <v>Reagan1521Austin</v>
      </c>
      <c r="H52" t="s">
        <v>30910</v>
      </c>
      <c r="I52" t="s">
        <v>22347</v>
      </c>
      <c r="J52" t="str">
        <f t="shared" si="2"/>
        <v>E:\PropInv\MF</v>
      </c>
      <c r="K52" s="103" t="str">
        <f>HYPERLINK("E:\PropInv\MF\Austin\Reagan Hill Dr_1521_Austin Pacifica_Austin_00054","Reagan Hill Dr_1521_Austin Pacifica_Austin_00054" )</f>
        <v>Reagan Hill Dr_1521_Austin Pacifica_Austin_00054</v>
      </c>
      <c r="L52" s="104" t="s">
        <v>22253</v>
      </c>
      <c r="M52" s="103" t="str">
        <f t="shared" si="3"/>
        <v>http://oconnordata.com/mlink/modules/profile/index.cfm?action=profile&amp;prop_id=54</v>
      </c>
      <c r="N52" s="1" t="str">
        <f t="shared" si="4"/>
        <v>00054</v>
      </c>
    </row>
    <row r="53" spans="1:14" x14ac:dyDescent="0.3">
      <c r="A53" s="1">
        <v>55</v>
      </c>
      <c r="B53" s="7" t="s">
        <v>49</v>
      </c>
      <c r="C53" s="12">
        <v>2048</v>
      </c>
      <c r="D53" s="7" t="s">
        <v>104</v>
      </c>
      <c r="E53" s="13" t="s">
        <v>7</v>
      </c>
      <c r="F53" t="str">
        <f t="shared" si="0"/>
        <v>Stassney</v>
      </c>
      <c r="G53" t="str">
        <f t="shared" si="1"/>
        <v>Stassney2048Austin</v>
      </c>
      <c r="H53" t="s">
        <v>30911</v>
      </c>
      <c r="I53" t="s">
        <v>22348</v>
      </c>
      <c r="J53" t="str">
        <f t="shared" si="2"/>
        <v>E:\PropInv\MF</v>
      </c>
      <c r="K53" s="103" t="str">
        <f>HYPERLINK("E:\PropInv\MF\Austin\Stassney Ln W_2048_Cherry Creek Crossing_Austin_00055","Stassney Ln W_2048_Cherry Creek Crossing_Austin_00055" )</f>
        <v>Stassney Ln W_2048_Cherry Creek Crossing_Austin_00055</v>
      </c>
      <c r="L53" s="104" t="s">
        <v>22253</v>
      </c>
      <c r="M53" s="103" t="str">
        <f t="shared" si="3"/>
        <v>http://oconnordata.com/mlink/modules/profile/index.cfm?action=profile&amp;prop_id=55</v>
      </c>
      <c r="N53" s="1" t="str">
        <f t="shared" si="4"/>
        <v>00055</v>
      </c>
    </row>
    <row r="54" spans="1:14" x14ac:dyDescent="0.3">
      <c r="A54" s="1">
        <v>56</v>
      </c>
      <c r="B54" s="7" t="s">
        <v>105</v>
      </c>
      <c r="C54" s="12">
        <v>12300</v>
      </c>
      <c r="D54" s="7" t="s">
        <v>106</v>
      </c>
      <c r="E54" s="13" t="s">
        <v>7</v>
      </c>
      <c r="F54" t="str">
        <f t="shared" si="0"/>
        <v>Hymeadow</v>
      </c>
      <c r="G54" t="str">
        <f t="shared" si="1"/>
        <v>Hymeadow12300Austin</v>
      </c>
      <c r="H54" t="s">
        <v>30912</v>
      </c>
      <c r="I54" t="s">
        <v>22349</v>
      </c>
      <c r="J54" t="str">
        <f t="shared" si="2"/>
        <v>E:\PropInv\MF</v>
      </c>
      <c r="K54" s="103" t="str">
        <f>HYPERLINK("E:\PropInv\MF\Austin\Hymeadow Dr_12300_Chesapeake_Austin_00056","Hymeadow Dr_12300_Chesapeake_Austin_00056" )</f>
        <v>Hymeadow Dr_12300_Chesapeake_Austin_00056</v>
      </c>
      <c r="L54" s="104" t="s">
        <v>22253</v>
      </c>
      <c r="M54" s="103" t="str">
        <f t="shared" si="3"/>
        <v>http://oconnordata.com/mlink/modules/profile/index.cfm?action=profile&amp;prop_id=56</v>
      </c>
      <c r="N54" s="1" t="str">
        <f t="shared" si="4"/>
        <v>00056</v>
      </c>
    </row>
    <row r="55" spans="1:14" x14ac:dyDescent="0.3">
      <c r="A55" s="1">
        <v>57</v>
      </c>
      <c r="B55" s="7" t="s">
        <v>107</v>
      </c>
      <c r="C55" s="12">
        <v>2121</v>
      </c>
      <c r="D55" s="7" t="s">
        <v>108</v>
      </c>
      <c r="E55" s="13" t="s">
        <v>7</v>
      </c>
      <c r="F55" t="str">
        <f t="shared" si="0"/>
        <v>William</v>
      </c>
      <c r="G55" t="str">
        <f t="shared" si="1"/>
        <v>William2121Austin</v>
      </c>
      <c r="H55" t="s">
        <v>30913</v>
      </c>
      <c r="I55" t="s">
        <v>22350</v>
      </c>
      <c r="J55" t="str">
        <f t="shared" si="2"/>
        <v>E:\PropInv\MF</v>
      </c>
      <c r="K55" s="103" t="str">
        <f>HYPERLINK("E:\PropInv\MF\Austin\William Cannon Dr W_2121_Cheshire Gardens_Austin_00057","William Cannon Dr W_2121_Cheshire Gardens_Austin_00057" )</f>
        <v>William Cannon Dr W_2121_Cheshire Gardens_Austin_00057</v>
      </c>
      <c r="L55" s="104" t="s">
        <v>22253</v>
      </c>
      <c r="M55" s="103" t="str">
        <f t="shared" si="3"/>
        <v>http://oconnordata.com/mlink/modules/profile/index.cfm?action=profile&amp;prop_id=57</v>
      </c>
      <c r="N55" s="1" t="str">
        <f t="shared" si="4"/>
        <v>00057</v>
      </c>
    </row>
    <row r="56" spans="1:14" x14ac:dyDescent="0.3">
      <c r="A56" s="1">
        <v>58</v>
      </c>
      <c r="B56" s="7" t="s">
        <v>109</v>
      </c>
      <c r="C56" s="12">
        <v>7581</v>
      </c>
      <c r="D56" s="7" t="s">
        <v>110</v>
      </c>
      <c r="E56" s="13" t="s">
        <v>7</v>
      </c>
      <c r="F56" t="str">
        <f t="shared" si="0"/>
        <v>Chevy</v>
      </c>
      <c r="G56" t="str">
        <f t="shared" si="1"/>
        <v>Chevy7581Austin</v>
      </c>
      <c r="H56" t="s">
        <v>30914</v>
      </c>
      <c r="I56" t="s">
        <v>22351</v>
      </c>
      <c r="J56" t="str">
        <f t="shared" si="2"/>
        <v>E:\PropInv\MF</v>
      </c>
      <c r="K56" s="103" t="str">
        <f>HYPERLINK("E:\PropInv\MF\Austin\Chevy Chase Dr_7581_Chevy Chase_Austin_00058","Chevy Chase Dr_7581_Chevy Chase_Austin_00058" )</f>
        <v>Chevy Chase Dr_7581_Chevy Chase_Austin_00058</v>
      </c>
      <c r="L56" s="104" t="s">
        <v>22253</v>
      </c>
      <c r="M56" s="103" t="str">
        <f t="shared" si="3"/>
        <v>http://oconnordata.com/mlink/modules/profile/index.cfm?action=profile&amp;prop_id=58</v>
      </c>
      <c r="N56" s="1" t="str">
        <f t="shared" si="4"/>
        <v>00058</v>
      </c>
    </row>
    <row r="57" spans="1:14" x14ac:dyDescent="0.3">
      <c r="A57" s="1">
        <v>59</v>
      </c>
      <c r="B57" s="7" t="s">
        <v>111</v>
      </c>
      <c r="C57" s="12">
        <v>2504</v>
      </c>
      <c r="D57" s="7" t="s">
        <v>112</v>
      </c>
      <c r="E57" s="13" t="s">
        <v>7</v>
      </c>
      <c r="F57" t="str">
        <f t="shared" si="0"/>
        <v>Huntwick</v>
      </c>
      <c r="G57" t="str">
        <f t="shared" si="1"/>
        <v>Huntwick2504Austin</v>
      </c>
      <c r="H57" t="s">
        <v>30915</v>
      </c>
      <c r="I57" t="s">
        <v>22352</v>
      </c>
      <c r="J57" t="str">
        <f t="shared" si="2"/>
        <v>E:\PropInv\MF</v>
      </c>
      <c r="K57" s="103" t="str">
        <f>HYPERLINK("E:\PropInv\MF\Austin\Huntwick_2504_Chevy Chase Downs_Austin_00059","Huntwick_2504_Chevy Chase Downs_Austin_00059" )</f>
        <v>Huntwick_2504_Chevy Chase Downs_Austin_00059</v>
      </c>
      <c r="L57" s="104" t="s">
        <v>22253</v>
      </c>
      <c r="M57" s="103" t="str">
        <f t="shared" si="3"/>
        <v>http://oconnordata.com/mlink/modules/profile/index.cfm?action=profile&amp;prop_id=59</v>
      </c>
      <c r="N57" s="1" t="str">
        <f t="shared" si="4"/>
        <v>00059</v>
      </c>
    </row>
    <row r="58" spans="1:14" x14ac:dyDescent="0.3">
      <c r="A58" s="1">
        <v>60</v>
      </c>
      <c r="B58" s="7" t="s">
        <v>113</v>
      </c>
      <c r="C58" s="12">
        <v>1338</v>
      </c>
      <c r="D58" s="7" t="s">
        <v>114</v>
      </c>
      <c r="E58" s="13" t="s">
        <v>18</v>
      </c>
      <c r="F58" t="str">
        <f t="shared" si="0"/>
        <v>Christopher</v>
      </c>
      <c r="G58" t="str">
        <f t="shared" si="1"/>
        <v>Christopher1338Round Rock</v>
      </c>
      <c r="H58" t="s">
        <v>30916</v>
      </c>
      <c r="I58" t="s">
        <v>22353</v>
      </c>
      <c r="J58" t="str">
        <f t="shared" si="2"/>
        <v>E:\PropInv\MF</v>
      </c>
      <c r="K58" s="103" t="str">
        <f>HYPERLINK("E:\PropInv\MF\Round Rock\Christopher Ave_1338_Chisholm Valley Duplexes_Round Rock_00060","Christopher Ave_1338_Chisholm Valley Duplexes_Round Rock_00060" )</f>
        <v>Christopher Ave_1338_Chisholm Valley Duplexes_Round Rock_00060</v>
      </c>
      <c r="L58" s="104" t="s">
        <v>22253</v>
      </c>
      <c r="M58" s="103" t="str">
        <f t="shared" si="3"/>
        <v>http://oconnordata.com/mlink/modules/profile/index.cfm?action=profile&amp;prop_id=60</v>
      </c>
      <c r="N58" s="1" t="str">
        <f t="shared" si="4"/>
        <v>00060</v>
      </c>
    </row>
    <row r="59" spans="1:14" x14ac:dyDescent="0.3">
      <c r="A59" s="1">
        <v>61</v>
      </c>
      <c r="B59" s="7" t="s">
        <v>115</v>
      </c>
      <c r="C59" s="12">
        <v>14100</v>
      </c>
      <c r="D59" s="7" t="s">
        <v>116</v>
      </c>
      <c r="E59" s="13" t="s">
        <v>7</v>
      </c>
      <c r="F59" t="str">
        <f t="shared" si="0"/>
        <v>Thermal</v>
      </c>
      <c r="G59" t="str">
        <f t="shared" si="1"/>
        <v>Thermal14100Austin</v>
      </c>
      <c r="H59" t="s">
        <v>30917</v>
      </c>
      <c r="I59" t="s">
        <v>22354</v>
      </c>
      <c r="J59" t="str">
        <f t="shared" si="2"/>
        <v>E:\PropInv\MF</v>
      </c>
      <c r="K59" s="103" t="str">
        <f>HYPERLINK("E:\PropInv\MF\Austin\Thermal Dr_14100_Churchill Crossing_Austin_00061","Thermal Dr_14100_Churchill Crossing_Austin_00061" )</f>
        <v>Thermal Dr_14100_Churchill Crossing_Austin_00061</v>
      </c>
      <c r="L59" s="104" t="s">
        <v>22253</v>
      </c>
      <c r="M59" s="103" t="str">
        <f t="shared" si="3"/>
        <v>http://oconnordata.com/mlink/modules/profile/index.cfm?action=profile&amp;prop_id=61</v>
      </c>
      <c r="N59" s="1" t="str">
        <f t="shared" si="4"/>
        <v>00061</v>
      </c>
    </row>
    <row r="60" spans="1:14" x14ac:dyDescent="0.3">
      <c r="A60" s="1">
        <v>62</v>
      </c>
      <c r="B60" s="7" t="s">
        <v>87</v>
      </c>
      <c r="C60" s="12">
        <v>9500</v>
      </c>
      <c r="D60" s="7" t="s">
        <v>117</v>
      </c>
      <c r="E60" s="13" t="s">
        <v>7</v>
      </c>
      <c r="F60" t="str">
        <f t="shared" si="0"/>
        <v>Jollyville</v>
      </c>
      <c r="G60" t="str">
        <f t="shared" si="1"/>
        <v>Jollyville9500Austin</v>
      </c>
      <c r="H60" t="s">
        <v>30918</v>
      </c>
      <c r="I60" t="s">
        <v>22355</v>
      </c>
      <c r="J60" t="str">
        <f t="shared" si="2"/>
        <v>E:\PropInv\MF</v>
      </c>
      <c r="K60" s="103" t="str">
        <f>HYPERLINK("E:\PropInv\MF\Austin\Jollyville Rd_9500_Cimarron Crossing_Austin_00062","Jollyville Rd_9500_Cimarron Crossing_Austin_00062" )</f>
        <v>Jollyville Rd_9500_Cimarron Crossing_Austin_00062</v>
      </c>
      <c r="L60" s="104" t="s">
        <v>22253</v>
      </c>
      <c r="M60" s="103" t="str">
        <f t="shared" si="3"/>
        <v>http://oconnordata.com/mlink/modules/profile/index.cfm?action=profile&amp;prop_id=62</v>
      </c>
      <c r="N60" s="1" t="str">
        <f t="shared" si="4"/>
        <v>00062</v>
      </c>
    </row>
    <row r="61" spans="1:14" x14ac:dyDescent="0.3">
      <c r="A61" s="1">
        <v>63</v>
      </c>
      <c r="B61" s="7" t="s">
        <v>118</v>
      </c>
      <c r="C61" s="12">
        <v>3050</v>
      </c>
      <c r="D61" s="7" t="s">
        <v>119</v>
      </c>
      <c r="E61" s="13" t="s">
        <v>7</v>
      </c>
      <c r="F61" t="str">
        <f t="shared" si="0"/>
        <v>Tamarron</v>
      </c>
      <c r="G61" t="str">
        <f t="shared" si="1"/>
        <v>Tamarron3050Austin</v>
      </c>
      <c r="H61" t="s">
        <v>30919</v>
      </c>
      <c r="I61" t="s">
        <v>22356</v>
      </c>
      <c r="J61" t="str">
        <f t="shared" si="2"/>
        <v>E:\PropInv\MF</v>
      </c>
      <c r="K61" s="103" t="str">
        <f>HYPERLINK("E:\PropInv\MF\Austin\Tamarron Blvd_3050_Cliffs at Barton Creek_Austin_00063","Tamarron Blvd_3050_Cliffs at Barton Creek_Austin_00063" )</f>
        <v>Tamarron Blvd_3050_Cliffs at Barton Creek_Austin_00063</v>
      </c>
      <c r="L61" s="104" t="s">
        <v>22253</v>
      </c>
      <c r="M61" s="103" t="str">
        <f t="shared" si="3"/>
        <v>http://oconnordata.com/mlink/modules/profile/index.cfm?action=profile&amp;prop_id=63</v>
      </c>
      <c r="N61" s="1" t="str">
        <f t="shared" si="4"/>
        <v>00063</v>
      </c>
    </row>
    <row r="62" spans="1:14" x14ac:dyDescent="0.3">
      <c r="A62" s="1">
        <v>64</v>
      </c>
      <c r="B62" s="7" t="s">
        <v>120</v>
      </c>
      <c r="C62" s="12">
        <v>502</v>
      </c>
      <c r="D62" s="7" t="s">
        <v>121</v>
      </c>
      <c r="E62" s="13" t="s">
        <v>7</v>
      </c>
      <c r="F62" t="str">
        <f t="shared" si="0"/>
        <v>Longspur</v>
      </c>
      <c r="G62" t="str">
        <f t="shared" si="1"/>
        <v>Longspur502Austin</v>
      </c>
      <c r="H62" t="s">
        <v>30920</v>
      </c>
      <c r="I62" t="s">
        <v>22357</v>
      </c>
      <c r="J62" t="str">
        <f t="shared" si="2"/>
        <v>E:\PropInv\MF</v>
      </c>
      <c r="K62" s="103" t="str">
        <f>HYPERLINK("E:\PropInv\MF\Austin\Longspur Blvd W_502_Club Creek_Austin_00064","Longspur Blvd W_502_Club Creek_Austin_00064" )</f>
        <v>Longspur Blvd W_502_Club Creek_Austin_00064</v>
      </c>
      <c r="L62" s="104" t="s">
        <v>22253</v>
      </c>
      <c r="M62" s="103" t="str">
        <f t="shared" si="3"/>
        <v>http://oconnordata.com/mlink/modules/profile/index.cfm?action=profile&amp;prop_id=64</v>
      </c>
      <c r="N62" s="1" t="str">
        <f t="shared" si="4"/>
        <v>00064</v>
      </c>
    </row>
    <row r="63" spans="1:14" x14ac:dyDescent="0.3">
      <c r="A63" s="1">
        <v>66</v>
      </c>
      <c r="B63" s="7" t="s">
        <v>93</v>
      </c>
      <c r="C63" s="12">
        <v>500</v>
      </c>
      <c r="D63" s="7" t="s">
        <v>122</v>
      </c>
      <c r="E63" s="13" t="s">
        <v>7</v>
      </c>
      <c r="F63" t="str">
        <f t="shared" si="0"/>
        <v>Congress</v>
      </c>
      <c r="G63" t="str">
        <f t="shared" si="1"/>
        <v>Congress500Austin</v>
      </c>
      <c r="H63" t="s">
        <v>30921</v>
      </c>
      <c r="I63" t="s">
        <v>22358</v>
      </c>
      <c r="J63" t="str">
        <f t="shared" si="2"/>
        <v>E:\PropInv\MF</v>
      </c>
      <c r="K63" s="103" t="str">
        <f>HYPERLINK("E:\PropInv\MF\Austin\Congress Ave S_500_Congress Square_Austin_00066","Congress Ave S_500_Congress Square_Austin_00066" )</f>
        <v>Congress Ave S_500_Congress Square_Austin_00066</v>
      </c>
      <c r="L63" s="104" t="s">
        <v>22253</v>
      </c>
      <c r="M63" s="103" t="str">
        <f t="shared" si="3"/>
        <v>http://oconnordata.com/mlink/modules/profile/index.cfm?action=profile&amp;prop_id=66</v>
      </c>
      <c r="N63" s="1" t="str">
        <f t="shared" si="4"/>
        <v>00066</v>
      </c>
    </row>
    <row r="64" spans="1:14" x14ac:dyDescent="0.3">
      <c r="A64" s="1">
        <v>67</v>
      </c>
      <c r="B64" s="7" t="s">
        <v>123</v>
      </c>
      <c r="C64" s="12">
        <v>5001</v>
      </c>
      <c r="D64" s="7" t="s">
        <v>124</v>
      </c>
      <c r="E64" s="13" t="s">
        <v>7</v>
      </c>
      <c r="F64" t="str">
        <f t="shared" si="0"/>
        <v>Convict</v>
      </c>
      <c r="G64" t="str">
        <f t="shared" si="1"/>
        <v>Convict5001Austin</v>
      </c>
      <c r="H64" t="s">
        <v>30922</v>
      </c>
      <c r="I64" t="s">
        <v>22359</v>
      </c>
      <c r="J64" t="str">
        <f t="shared" si="2"/>
        <v>E:\PropInv\MF</v>
      </c>
      <c r="K64" s="103" t="str">
        <f>HYPERLINK("E:\PropInv\MF\Austin\Convict Hill Rd_5001_Convict Hill Village_Austin_00067","Convict Hill Rd_5001_Convict Hill Village_Austin_00067" )</f>
        <v>Convict Hill Rd_5001_Convict Hill Village_Austin_00067</v>
      </c>
      <c r="L64" s="104" t="s">
        <v>22253</v>
      </c>
      <c r="M64" s="103" t="str">
        <f t="shared" si="3"/>
        <v>http://oconnordata.com/mlink/modules/profile/index.cfm?action=profile&amp;prop_id=67</v>
      </c>
      <c r="N64" s="1" t="str">
        <f t="shared" si="4"/>
        <v>00067</v>
      </c>
    </row>
    <row r="65" spans="1:14" x14ac:dyDescent="0.3">
      <c r="A65" s="1">
        <v>68</v>
      </c>
      <c r="B65" s="7" t="s">
        <v>107</v>
      </c>
      <c r="C65" s="12">
        <v>739</v>
      </c>
      <c r="D65" s="7" t="s">
        <v>125</v>
      </c>
      <c r="E65" s="13" t="s">
        <v>7</v>
      </c>
      <c r="F65" t="str">
        <f t="shared" si="0"/>
        <v>William</v>
      </c>
      <c r="G65" t="str">
        <f t="shared" si="1"/>
        <v>William739Austin</v>
      </c>
      <c r="H65" t="s">
        <v>30923</v>
      </c>
      <c r="I65" t="s">
        <v>22360</v>
      </c>
      <c r="J65" t="str">
        <f t="shared" si="2"/>
        <v>E:\PropInv\MF</v>
      </c>
      <c r="K65" s="103" t="str">
        <f>HYPERLINK("E:\PropInv\MF\Austin\William Cannon Dr W_739_The Place at Coopers Hill_Austin_00068","William Cannon Dr W_739_The Place at Coopers Hill_Austin_00068" )</f>
        <v>William Cannon Dr W_739_The Place at Coopers Hill_Austin_00068</v>
      </c>
      <c r="L65" s="104" t="s">
        <v>22253</v>
      </c>
      <c r="M65" s="103" t="str">
        <f t="shared" si="3"/>
        <v>http://oconnordata.com/mlink/modules/profile/index.cfm?action=profile&amp;prop_id=68</v>
      </c>
      <c r="N65" s="1" t="str">
        <f t="shared" si="4"/>
        <v>00068</v>
      </c>
    </row>
    <row r="66" spans="1:14" x14ac:dyDescent="0.3">
      <c r="A66" s="1">
        <v>69</v>
      </c>
      <c r="B66" s="7" t="s">
        <v>37</v>
      </c>
      <c r="C66" s="12">
        <v>10000</v>
      </c>
      <c r="D66" s="7" t="s">
        <v>126</v>
      </c>
      <c r="E66" s="13" t="s">
        <v>7</v>
      </c>
      <c r="F66" t="str">
        <f t="shared" ref="F66:F129" si="5">IFERROR(LEFT(B66,FIND(" ",B66)-1),B66)</f>
        <v>Lamar</v>
      </c>
      <c r="G66" t="str">
        <f t="shared" ref="G66:G129" si="6">F66&amp;C66&amp;E66</f>
        <v>Lamar10000Austin</v>
      </c>
      <c r="H66" t="s">
        <v>30924</v>
      </c>
      <c r="I66" t="s">
        <v>22361</v>
      </c>
      <c r="J66" t="str">
        <f t="shared" ref="J66:J129" si="7">IF(L66="TX",Folder_Path,Folder_Path&amp;"\State_"&amp;L66)</f>
        <v>E:\PropInv\MF</v>
      </c>
      <c r="K66" s="103" t="str">
        <f>HYPERLINK("E:\PropInv\MF\Austin\Lamar Blvd N_10000_Copper Mill_Austin_00069","Lamar Blvd N_10000_Copper Mill_Austin_00069" )</f>
        <v>Lamar Blvd N_10000_Copper Mill_Austin_00069</v>
      </c>
      <c r="L66" s="104" t="s">
        <v>22253</v>
      </c>
      <c r="M66" s="103" t="str">
        <f t="shared" ref="M66:M129" si="8">HYPERLINK("http://oconnordata.com/mlink/modules/profile/index.cfm?action=profile&amp;prop_id="&amp;A66)</f>
        <v>http://oconnordata.com/mlink/modules/profile/index.cfm?action=profile&amp;prop_id=69</v>
      </c>
      <c r="N66" s="1" t="str">
        <f t="shared" ref="N66:N129" si="9">IF(LEN(A66)=1,"0000"&amp;A66,IF(LEN(A66)=2,"000"&amp;A66,IF(LEN(A66)=3,"00"&amp;A66,IF(LEN(A66)=4,"0"&amp;A66,IF(LEN(A66)=5,IF(LEFT(A66,1)="3",A66+30000,A66))))))</f>
        <v>00069</v>
      </c>
    </row>
    <row r="67" spans="1:14" x14ac:dyDescent="0.3">
      <c r="A67" s="1">
        <v>70</v>
      </c>
      <c r="B67" s="7" t="s">
        <v>127</v>
      </c>
      <c r="C67" s="12">
        <v>2425</v>
      </c>
      <c r="D67" s="7" t="s">
        <v>128</v>
      </c>
      <c r="E67" s="13" t="s">
        <v>7</v>
      </c>
      <c r="F67" t="str">
        <f t="shared" si="5"/>
        <v>Cromwell</v>
      </c>
      <c r="G67" t="str">
        <f t="shared" si="6"/>
        <v>Cromwell2425Austin</v>
      </c>
      <c r="H67" t="s">
        <v>30925</v>
      </c>
      <c r="I67" t="s">
        <v>22362</v>
      </c>
      <c r="J67" t="str">
        <f t="shared" si="7"/>
        <v>E:\PropInv\MF</v>
      </c>
      <c r="K67" s="103" t="str">
        <f>HYPERLINK("E:\PropInv\MF\Austin\Cromwell Cir_2425_Coppertree_Austin_00070","Cromwell Cir_2425_Coppertree_Austin_00070" )</f>
        <v>Cromwell Cir_2425_Coppertree_Austin_00070</v>
      </c>
      <c r="L67" s="104" t="s">
        <v>22253</v>
      </c>
      <c r="M67" s="103" t="str">
        <f t="shared" si="8"/>
        <v>http://oconnordata.com/mlink/modules/profile/index.cfm?action=profile&amp;prop_id=70</v>
      </c>
      <c r="N67" s="1" t="str">
        <f t="shared" si="9"/>
        <v>00070</v>
      </c>
    </row>
    <row r="68" spans="1:14" x14ac:dyDescent="0.3">
      <c r="A68" s="1">
        <v>72</v>
      </c>
      <c r="B68" s="7" t="s">
        <v>37</v>
      </c>
      <c r="C68" s="12">
        <v>8926</v>
      </c>
      <c r="D68" s="7" t="s">
        <v>129</v>
      </c>
      <c r="E68" s="13" t="s">
        <v>7</v>
      </c>
      <c r="F68" t="str">
        <f t="shared" si="5"/>
        <v>Lamar</v>
      </c>
      <c r="G68" t="str">
        <f t="shared" si="6"/>
        <v>Lamar8926Austin</v>
      </c>
      <c r="H68" t="s">
        <v>30926</v>
      </c>
      <c r="I68" t="s">
        <v>22363</v>
      </c>
      <c r="J68" t="str">
        <f t="shared" si="7"/>
        <v>E:\PropInv\MF</v>
      </c>
      <c r="K68" s="103" t="str">
        <f>HYPERLINK("E:\PropInv\MF\Austin\Lamar Blvd N_8926_Aubry Hills_Austin_00072","Lamar Blvd N_8926_Aubry Hills_Austin_00072" )</f>
        <v>Lamar Blvd N_8926_Aubry Hills_Austin_00072</v>
      </c>
      <c r="L68" s="104" t="s">
        <v>22253</v>
      </c>
      <c r="M68" s="103" t="str">
        <f t="shared" si="8"/>
        <v>http://oconnordata.com/mlink/modules/profile/index.cfm?action=profile&amp;prop_id=72</v>
      </c>
      <c r="N68" s="1" t="str">
        <f t="shared" si="9"/>
        <v>00072</v>
      </c>
    </row>
    <row r="69" spans="1:14" x14ac:dyDescent="0.3">
      <c r="A69" s="1">
        <v>73</v>
      </c>
      <c r="B69" s="7" t="s">
        <v>130</v>
      </c>
      <c r="C69" s="12">
        <v>1009</v>
      </c>
      <c r="D69" s="7" t="s">
        <v>131</v>
      </c>
      <c r="E69" s="13" t="s">
        <v>7</v>
      </c>
      <c r="F69" t="str">
        <f t="shared" si="5"/>
        <v>Grove</v>
      </c>
      <c r="G69" t="str">
        <f t="shared" si="6"/>
        <v>Grove1009Austin</v>
      </c>
      <c r="H69" t="s">
        <v>30927</v>
      </c>
      <c r="I69" t="s">
        <v>22364</v>
      </c>
      <c r="J69" t="str">
        <f t="shared" si="7"/>
        <v>E:\PropInv\MF</v>
      </c>
      <c r="K69" s="103" t="str">
        <f>HYPERLINK("E:\PropInv\MF\Austin\Grove Blvd_1009_Country Club TH_Austin_00073","Grove Blvd_1009_Country Club TH_Austin_00073" )</f>
        <v>Grove Blvd_1009_Country Club TH_Austin_00073</v>
      </c>
      <c r="L69" s="104" t="s">
        <v>22253</v>
      </c>
      <c r="M69" s="103" t="str">
        <f t="shared" si="8"/>
        <v>http://oconnordata.com/mlink/modules/profile/index.cfm?action=profile&amp;prop_id=73</v>
      </c>
      <c r="N69" s="1" t="str">
        <f t="shared" si="9"/>
        <v>00073</v>
      </c>
    </row>
    <row r="70" spans="1:14" x14ac:dyDescent="0.3">
      <c r="A70" s="1">
        <v>74</v>
      </c>
      <c r="B70" s="7" t="s">
        <v>132</v>
      </c>
      <c r="C70" s="12">
        <v>1300</v>
      </c>
      <c r="D70" s="7" t="s">
        <v>133</v>
      </c>
      <c r="E70" s="13" t="s">
        <v>18</v>
      </c>
      <c r="F70" t="str">
        <f t="shared" si="5"/>
        <v>Sunrise</v>
      </c>
      <c r="G70" t="str">
        <f t="shared" si="6"/>
        <v>Sunrise1300Round Rock</v>
      </c>
      <c r="H70" t="s">
        <v>30928</v>
      </c>
      <c r="I70" t="s">
        <v>22365</v>
      </c>
      <c r="J70" t="str">
        <f t="shared" si="7"/>
        <v>E:\PropInv\MF</v>
      </c>
      <c r="K70" s="103" t="str">
        <f>HYPERLINK("E:\PropInv\MF\Round Rock\Sunrise Rd_1300_Tramor at Autumn Park_Round Rock_00074","Sunrise Rd_1300_Tramor at Autumn Park_Round Rock_00074" )</f>
        <v>Sunrise Rd_1300_Tramor at Autumn Park_Round Rock_00074</v>
      </c>
      <c r="L70" s="104" t="s">
        <v>22253</v>
      </c>
      <c r="M70" s="103" t="str">
        <f t="shared" si="8"/>
        <v>http://oconnordata.com/mlink/modules/profile/index.cfm?action=profile&amp;prop_id=74</v>
      </c>
      <c r="N70" s="1" t="str">
        <f t="shared" si="9"/>
        <v>00074</v>
      </c>
    </row>
    <row r="71" spans="1:14" x14ac:dyDescent="0.3">
      <c r="A71" s="1">
        <v>75</v>
      </c>
      <c r="B71" s="7" t="s">
        <v>22294</v>
      </c>
      <c r="C71" s="12">
        <v>1200</v>
      </c>
      <c r="D71" s="7" t="s">
        <v>134</v>
      </c>
      <c r="E71" s="13" t="s">
        <v>7</v>
      </c>
      <c r="F71" t="str">
        <f t="shared" si="5"/>
        <v>Broadmoor</v>
      </c>
      <c r="G71" t="str">
        <f t="shared" si="6"/>
        <v>Broadmoor1200Austin</v>
      </c>
      <c r="H71" t="s">
        <v>30929</v>
      </c>
      <c r="I71" t="s">
        <v>22366</v>
      </c>
      <c r="J71" t="str">
        <f t="shared" si="7"/>
        <v>E:\PropInv\MF</v>
      </c>
      <c r="K71" s="103" t="str">
        <f>HYPERLINK("E:\PropInv\MF\Austin\Broadmoor Dr_1200_The Heritage at Hillcrest_Austin_00075","Broadmoor Dr_1200_The Heritage at Hillcrest_Austin_00075" )</f>
        <v>Broadmoor Dr_1200_The Heritage at Hillcrest_Austin_00075</v>
      </c>
      <c r="L71" s="104" t="s">
        <v>22253</v>
      </c>
      <c r="M71" s="103" t="str">
        <f t="shared" si="8"/>
        <v>http://oconnordata.com/mlink/modules/profile/index.cfm?action=profile&amp;prop_id=75</v>
      </c>
      <c r="N71" s="1" t="str">
        <f t="shared" si="9"/>
        <v>00075</v>
      </c>
    </row>
    <row r="72" spans="1:14" x14ac:dyDescent="0.3">
      <c r="A72" s="1">
        <v>77</v>
      </c>
      <c r="B72" s="7" t="s">
        <v>135</v>
      </c>
      <c r="C72" s="12">
        <v>3737</v>
      </c>
      <c r="D72" s="7" t="s">
        <v>136</v>
      </c>
      <c r="E72" s="13" t="s">
        <v>7</v>
      </c>
      <c r="F72" t="str">
        <f t="shared" si="5"/>
        <v>Keats</v>
      </c>
      <c r="G72" t="str">
        <f t="shared" si="6"/>
        <v>Keats3737Austin</v>
      </c>
      <c r="H72" t="s">
        <v>30930</v>
      </c>
      <c r="I72" t="s">
        <v>22367</v>
      </c>
      <c r="J72" t="str">
        <f t="shared" si="7"/>
        <v>E:\PropInv\MF</v>
      </c>
      <c r="K72" s="103" t="str">
        <f>HYPERLINK("E:\PropInv\MF\Austin\Keats Dr_3737_Tramor at Creek Village_Austin_00077","Keats Dr_3737_Tramor at Creek Village_Austin_00077" )</f>
        <v>Keats Dr_3737_Tramor at Creek Village_Austin_00077</v>
      </c>
      <c r="L72" s="104" t="s">
        <v>22253</v>
      </c>
      <c r="M72" s="103" t="str">
        <f t="shared" si="8"/>
        <v>http://oconnordata.com/mlink/modules/profile/index.cfm?action=profile&amp;prop_id=77</v>
      </c>
      <c r="N72" s="1" t="str">
        <f t="shared" si="9"/>
        <v>00077</v>
      </c>
    </row>
    <row r="73" spans="1:14" x14ac:dyDescent="0.3">
      <c r="A73" s="1">
        <v>78</v>
      </c>
      <c r="B73" s="7" t="s">
        <v>137</v>
      </c>
      <c r="C73" s="12">
        <v>1525</v>
      </c>
      <c r="D73" s="7" t="s">
        <v>138</v>
      </c>
      <c r="E73" s="13" t="s">
        <v>18</v>
      </c>
      <c r="F73" t="str">
        <f t="shared" si="5"/>
        <v>Palm</v>
      </c>
      <c r="G73" t="str">
        <f t="shared" si="6"/>
        <v>Palm1525Round Rock</v>
      </c>
      <c r="H73" t="s">
        <v>30931</v>
      </c>
      <c r="I73" t="s">
        <v>22368</v>
      </c>
      <c r="J73" t="str">
        <f t="shared" si="7"/>
        <v>E:\PropInv\MF</v>
      </c>
      <c r="K73" s="103" t="str">
        <f>HYPERLINK("E:\PropInv\MF\Round Rock\Palm Valley Blvd_1525_The Creek_Round Rock_00078","Palm Valley Blvd_1525_The Creek_Round Rock_00078" )</f>
        <v>Palm Valley Blvd_1525_The Creek_Round Rock_00078</v>
      </c>
      <c r="L73" s="104" t="s">
        <v>22253</v>
      </c>
      <c r="M73" s="103" t="str">
        <f t="shared" si="8"/>
        <v>http://oconnordata.com/mlink/modules/profile/index.cfm?action=profile&amp;prop_id=78</v>
      </c>
      <c r="N73" s="1" t="str">
        <f t="shared" si="9"/>
        <v>00078</v>
      </c>
    </row>
    <row r="74" spans="1:14" x14ac:dyDescent="0.3">
      <c r="A74" s="1">
        <v>79</v>
      </c>
      <c r="B74" s="7" t="s">
        <v>139</v>
      </c>
      <c r="C74" s="12">
        <v>1901</v>
      </c>
      <c r="D74" s="7" t="s">
        <v>140</v>
      </c>
      <c r="E74" s="13" t="s">
        <v>7</v>
      </c>
      <c r="F74" t="str">
        <f t="shared" si="5"/>
        <v>Anderson</v>
      </c>
      <c r="G74" t="str">
        <f t="shared" si="6"/>
        <v>Anderson1901Austin</v>
      </c>
      <c r="H74" t="s">
        <v>30932</v>
      </c>
      <c r="I74" t="s">
        <v>22369</v>
      </c>
      <c r="J74" t="str">
        <f t="shared" si="7"/>
        <v>E:\PropInv\MF</v>
      </c>
      <c r="K74" s="103" t="str">
        <f>HYPERLINK("E:\PropInv\MF\Austin\Anderson Ln E_1901_Anderson Springs_Austin_00079","Anderson Ln E_1901_Anderson Springs_Austin_00079" )</f>
        <v>Anderson Ln E_1901_Anderson Springs_Austin_00079</v>
      </c>
      <c r="L74" s="104" t="s">
        <v>22253</v>
      </c>
      <c r="M74" s="103" t="str">
        <f t="shared" si="8"/>
        <v>http://oconnordata.com/mlink/modules/profile/index.cfm?action=profile&amp;prop_id=79</v>
      </c>
      <c r="N74" s="1" t="str">
        <f t="shared" si="9"/>
        <v>00079</v>
      </c>
    </row>
    <row r="75" spans="1:14" x14ac:dyDescent="0.3">
      <c r="A75" s="1">
        <v>80</v>
      </c>
      <c r="B75" s="7" t="s">
        <v>139</v>
      </c>
      <c r="C75" s="12">
        <v>1601</v>
      </c>
      <c r="D75" s="7" t="s">
        <v>141</v>
      </c>
      <c r="E75" s="13" t="s">
        <v>7</v>
      </c>
      <c r="F75" t="str">
        <f t="shared" si="5"/>
        <v>Anderson</v>
      </c>
      <c r="G75" t="str">
        <f t="shared" si="6"/>
        <v>Anderson1601Austin</v>
      </c>
      <c r="H75" t="s">
        <v>30933</v>
      </c>
      <c r="I75" t="s">
        <v>22370</v>
      </c>
      <c r="J75" t="str">
        <f t="shared" si="7"/>
        <v>E:\PropInv\MF</v>
      </c>
      <c r="K75" s="103" t="str">
        <f>HYPERLINK("E:\PropInv\MF\Austin\Anderson Ln E_1601_Creekwood Village_Austin_00080","Anderson Ln E_1601_Creekwood Village_Austin_00080" )</f>
        <v>Anderson Ln E_1601_Creekwood Village_Austin_00080</v>
      </c>
      <c r="L75" s="104" t="s">
        <v>22253</v>
      </c>
      <c r="M75" s="103" t="str">
        <f t="shared" si="8"/>
        <v>http://oconnordata.com/mlink/modules/profile/index.cfm?action=profile&amp;prop_id=80</v>
      </c>
      <c r="N75" s="1" t="str">
        <f t="shared" si="9"/>
        <v>00080</v>
      </c>
    </row>
    <row r="76" spans="1:14" x14ac:dyDescent="0.3">
      <c r="A76" s="1">
        <v>81</v>
      </c>
      <c r="B76" s="7" t="s">
        <v>142</v>
      </c>
      <c r="C76" s="12">
        <v>10307</v>
      </c>
      <c r="D76" s="7" t="s">
        <v>143</v>
      </c>
      <c r="E76" s="13" t="s">
        <v>7</v>
      </c>
      <c r="F76" t="str">
        <f t="shared" si="5"/>
        <v>Morado</v>
      </c>
      <c r="G76" t="str">
        <f t="shared" si="6"/>
        <v>Morado10307Austin</v>
      </c>
      <c r="H76" t="s">
        <v>30934</v>
      </c>
      <c r="I76" t="s">
        <v>22371</v>
      </c>
      <c r="J76" t="str">
        <f t="shared" si="7"/>
        <v>E:\PropInv\MF</v>
      </c>
      <c r="K76" s="103" t="str">
        <f>HYPERLINK("E:\PropInv\MF\Austin\Morado Cove_10307_Madison at the Arboretum_Austin_00081","Morado Cove_10307_Madison at the Arboretum_Austin_00081" )</f>
        <v>Morado Cove_10307_Madison at the Arboretum_Austin_00081</v>
      </c>
      <c r="L76" s="104" t="s">
        <v>22253</v>
      </c>
      <c r="M76" s="103" t="str">
        <f t="shared" si="8"/>
        <v>http://oconnordata.com/mlink/modules/profile/index.cfm?action=profile&amp;prop_id=81</v>
      </c>
      <c r="N76" s="1" t="str">
        <f t="shared" si="9"/>
        <v>00081</v>
      </c>
    </row>
    <row r="77" spans="1:14" x14ac:dyDescent="0.3">
      <c r="A77" s="1">
        <v>82</v>
      </c>
      <c r="B77" s="7" t="s">
        <v>144</v>
      </c>
      <c r="C77" s="12">
        <v>11441</v>
      </c>
      <c r="D77" s="7" t="s">
        <v>145</v>
      </c>
      <c r="E77" s="13" t="s">
        <v>7</v>
      </c>
      <c r="F77" t="str">
        <f t="shared" si="5"/>
        <v>35</v>
      </c>
      <c r="G77" t="str">
        <f t="shared" si="6"/>
        <v>3511441Austin</v>
      </c>
      <c r="H77" t="s">
        <v>30935</v>
      </c>
      <c r="I77" t="s">
        <v>22372</v>
      </c>
      <c r="J77" t="str">
        <f t="shared" si="7"/>
        <v>E:\PropInv\MF</v>
      </c>
      <c r="K77" s="103" t="str">
        <f>HYPERLINK("E:\PropInv\MF\Austin\35 IH N_11441_Cricket Hollow_Austin_00082","35 IH N_11441_Cricket Hollow_Austin_00082" )</f>
        <v>35 IH N_11441_Cricket Hollow_Austin_00082</v>
      </c>
      <c r="L77" s="104" t="s">
        <v>22253</v>
      </c>
      <c r="M77" s="103" t="str">
        <f t="shared" si="8"/>
        <v>http://oconnordata.com/mlink/modules/profile/index.cfm?action=profile&amp;prop_id=82</v>
      </c>
      <c r="N77" s="1" t="str">
        <f t="shared" si="9"/>
        <v>00082</v>
      </c>
    </row>
    <row r="78" spans="1:14" x14ac:dyDescent="0.3">
      <c r="A78" s="1">
        <v>83</v>
      </c>
      <c r="B78" s="7" t="s">
        <v>146</v>
      </c>
      <c r="C78" s="12">
        <v>1124</v>
      </c>
      <c r="D78" s="7" t="s">
        <v>147</v>
      </c>
      <c r="E78" s="13" t="s">
        <v>7</v>
      </c>
      <c r="F78" t="str">
        <f t="shared" si="5"/>
        <v>Rutland</v>
      </c>
      <c r="G78" t="str">
        <f t="shared" si="6"/>
        <v>Rutland1124Austin</v>
      </c>
      <c r="H78" t="s">
        <v>30936</v>
      </c>
      <c r="I78" t="s">
        <v>22373</v>
      </c>
      <c r="J78" t="str">
        <f t="shared" si="7"/>
        <v>E:\PropInv\MF</v>
      </c>
      <c r="K78" s="103" t="str">
        <f>HYPERLINK("E:\PropInv\MF\Austin\Rutland Dr_1124_Cross Creek_Austin_00083","Rutland Dr_1124_Cross Creek_Austin_00083" )</f>
        <v>Rutland Dr_1124_Cross Creek_Austin_00083</v>
      </c>
      <c r="L78" s="104" t="s">
        <v>22253</v>
      </c>
      <c r="M78" s="103" t="str">
        <f t="shared" si="8"/>
        <v>http://oconnordata.com/mlink/modules/profile/index.cfm?action=profile&amp;prop_id=83</v>
      </c>
      <c r="N78" s="1" t="str">
        <f t="shared" si="9"/>
        <v>00083</v>
      </c>
    </row>
    <row r="79" spans="1:14" x14ac:dyDescent="0.3">
      <c r="A79" s="1">
        <v>84</v>
      </c>
      <c r="B79" s="7" t="s">
        <v>148</v>
      </c>
      <c r="C79" s="12">
        <v>8801</v>
      </c>
      <c r="D79" s="7" t="s">
        <v>149</v>
      </c>
      <c r="E79" s="13" t="s">
        <v>7</v>
      </c>
      <c r="F79" t="str">
        <f t="shared" si="5"/>
        <v>Mc</v>
      </c>
      <c r="G79" t="str">
        <f t="shared" si="6"/>
        <v>Mc8801Austin</v>
      </c>
      <c r="H79" t="s">
        <v>30937</v>
      </c>
      <c r="I79" t="s">
        <v>22374</v>
      </c>
      <c r="J79" t="str">
        <f t="shared" si="7"/>
        <v>E:\PropInv\MF</v>
      </c>
      <c r="K79" s="103" t="str">
        <f>HYPERLINK("E:\PropInv\MF\Austin\Mc Cann Dr_8801_Crossroads_Austin_00084","Mc Cann Dr_8801_Crossroads_Austin_00084" )</f>
        <v>Mc Cann Dr_8801_Crossroads_Austin_00084</v>
      </c>
      <c r="L79" s="104" t="s">
        <v>22253</v>
      </c>
      <c r="M79" s="103" t="str">
        <f t="shared" si="8"/>
        <v>http://oconnordata.com/mlink/modules/profile/index.cfm?action=profile&amp;prop_id=84</v>
      </c>
      <c r="N79" s="1" t="str">
        <f t="shared" si="9"/>
        <v>00084</v>
      </c>
    </row>
    <row r="80" spans="1:14" x14ac:dyDescent="0.3">
      <c r="A80" s="1">
        <v>85</v>
      </c>
      <c r="B80" s="7" t="s">
        <v>150</v>
      </c>
      <c r="C80" s="12">
        <v>600</v>
      </c>
      <c r="D80" s="7" t="s">
        <v>151</v>
      </c>
      <c r="E80" s="13" t="s">
        <v>18</v>
      </c>
      <c r="F80" t="str">
        <f t="shared" si="5"/>
        <v>Greenhill</v>
      </c>
      <c r="G80" t="str">
        <f t="shared" si="6"/>
        <v>Greenhill600Round Rock</v>
      </c>
      <c r="H80" t="s">
        <v>30938</v>
      </c>
      <c r="I80" t="s">
        <v>22375</v>
      </c>
      <c r="J80" t="str">
        <f t="shared" si="7"/>
        <v>E:\PropInv\MF</v>
      </c>
      <c r="K80" s="103" t="str">
        <f>HYPERLINK("E:\PropInv\MF\Round Rock\Greenhill Dr_600_Crystal Creek_Round Rock_00085","Greenhill Dr_600_Crystal Creek_Round Rock_00085" )</f>
        <v>Greenhill Dr_600_Crystal Creek_Round Rock_00085</v>
      </c>
      <c r="L80" s="104" t="s">
        <v>22253</v>
      </c>
      <c r="M80" s="103" t="str">
        <f t="shared" si="8"/>
        <v>http://oconnordata.com/mlink/modules/profile/index.cfm?action=profile&amp;prop_id=85</v>
      </c>
      <c r="N80" s="1" t="str">
        <f t="shared" si="9"/>
        <v>00085</v>
      </c>
    </row>
    <row r="81" spans="1:14" x14ac:dyDescent="0.3">
      <c r="A81" s="1">
        <v>86</v>
      </c>
      <c r="B81" s="7" t="s">
        <v>152</v>
      </c>
      <c r="C81" s="12">
        <v>3501</v>
      </c>
      <c r="D81" s="7" t="s">
        <v>153</v>
      </c>
      <c r="E81" s="13" t="s">
        <v>7</v>
      </c>
      <c r="F81" t="str">
        <f t="shared" si="5"/>
        <v>1st</v>
      </c>
      <c r="G81" t="str">
        <f t="shared" si="6"/>
        <v>1st3501Austin</v>
      </c>
      <c r="H81" t="s">
        <v>30939</v>
      </c>
      <c r="I81" t="s">
        <v>22376</v>
      </c>
      <c r="J81" t="str">
        <f t="shared" si="7"/>
        <v>E:\PropInv\MF</v>
      </c>
      <c r="K81" s="103" t="str">
        <f>HYPERLINK("E:\PropInv\MF\Austin\1st St S_3501_Hillcrest Oaks_Austin_00086","1st St S_3501_Hillcrest Oaks_Austin_00086" )</f>
        <v>1st St S_3501_Hillcrest Oaks_Austin_00086</v>
      </c>
      <c r="L81" s="104" t="s">
        <v>22253</v>
      </c>
      <c r="M81" s="103" t="str">
        <f t="shared" si="8"/>
        <v>http://oconnordata.com/mlink/modules/profile/index.cfm?action=profile&amp;prop_id=86</v>
      </c>
      <c r="N81" s="1" t="str">
        <f t="shared" si="9"/>
        <v>00086</v>
      </c>
    </row>
    <row r="82" spans="1:14" x14ac:dyDescent="0.3">
      <c r="A82" s="1">
        <v>87</v>
      </c>
      <c r="B82" s="7" t="s">
        <v>154</v>
      </c>
      <c r="C82" s="12">
        <v>4305</v>
      </c>
      <c r="D82" s="7" t="s">
        <v>155</v>
      </c>
      <c r="E82" s="13" t="s">
        <v>7</v>
      </c>
      <c r="F82" t="str">
        <f t="shared" si="5"/>
        <v>Duval</v>
      </c>
      <c r="G82" t="str">
        <f t="shared" si="6"/>
        <v>Duval4305Austin</v>
      </c>
      <c r="H82" t="s">
        <v>30940</v>
      </c>
      <c r="I82" t="s">
        <v>22377</v>
      </c>
      <c r="J82" t="str">
        <f t="shared" si="7"/>
        <v>E:\PropInv\MF</v>
      </c>
      <c r="K82" s="103" t="str">
        <f>HYPERLINK("E:\PropInv\MF\Austin\Duval St_4305_Duval Villa_Austin_00087","Duval St_4305_Duval Villa_Austin_00087" )</f>
        <v>Duval St_4305_Duval Villa_Austin_00087</v>
      </c>
      <c r="L82" s="104" t="s">
        <v>22253</v>
      </c>
      <c r="M82" s="103" t="str">
        <f t="shared" si="8"/>
        <v>http://oconnordata.com/mlink/modules/profile/index.cfm?action=profile&amp;prop_id=87</v>
      </c>
      <c r="N82" s="1" t="str">
        <f t="shared" si="9"/>
        <v>00087</v>
      </c>
    </row>
    <row r="83" spans="1:14" x14ac:dyDescent="0.3">
      <c r="A83" s="1">
        <v>88</v>
      </c>
      <c r="B83" s="7" t="s">
        <v>156</v>
      </c>
      <c r="C83" s="12">
        <v>12166</v>
      </c>
      <c r="D83" s="7" t="s">
        <v>157</v>
      </c>
      <c r="E83" s="13" t="s">
        <v>7</v>
      </c>
      <c r="F83" t="str">
        <f t="shared" si="5"/>
        <v>Metric</v>
      </c>
      <c r="G83" t="str">
        <f t="shared" si="6"/>
        <v>Metric12166Austin</v>
      </c>
      <c r="H83" t="s">
        <v>30941</v>
      </c>
      <c r="I83" t="s">
        <v>22378</v>
      </c>
      <c r="J83" t="str">
        <f t="shared" si="7"/>
        <v>E:\PropInv\MF</v>
      </c>
      <c r="K83" s="103" t="str">
        <f>HYPERLINK("E:\PropInv\MF\Austin\Metric Blvd_12166_Edge Creek_Austin_00088","Metric Blvd_12166_Edge Creek_Austin_00088" )</f>
        <v>Metric Blvd_12166_Edge Creek_Austin_00088</v>
      </c>
      <c r="L83" s="104" t="s">
        <v>22253</v>
      </c>
      <c r="M83" s="103" t="str">
        <f t="shared" si="8"/>
        <v>http://oconnordata.com/mlink/modules/profile/index.cfm?action=profile&amp;prop_id=88</v>
      </c>
      <c r="N83" s="1" t="str">
        <f t="shared" si="9"/>
        <v>00088</v>
      </c>
    </row>
    <row r="84" spans="1:14" x14ac:dyDescent="0.3">
      <c r="A84" s="1">
        <v>89</v>
      </c>
      <c r="B84" s="7" t="s">
        <v>158</v>
      </c>
      <c r="C84" s="12">
        <v>1400</v>
      </c>
      <c r="D84" s="7" t="s">
        <v>159</v>
      </c>
      <c r="E84" s="13" t="s">
        <v>7</v>
      </c>
      <c r="F84" t="str">
        <f t="shared" si="5"/>
        <v>Rundberg</v>
      </c>
      <c r="G84" t="str">
        <f t="shared" si="6"/>
        <v>Rundberg1400Austin</v>
      </c>
      <c r="H84" t="s">
        <v>30942</v>
      </c>
      <c r="I84" t="s">
        <v>22379</v>
      </c>
      <c r="J84" t="str">
        <f t="shared" si="7"/>
        <v>E:\PropInv\MF</v>
      </c>
      <c r="K84" s="103" t="str">
        <f>HYPERLINK("E:\PropInv\MF\Austin\Rundberg Ln E_1400_Englebrook_Austin_00089","Rundberg Ln E_1400_Englebrook_Austin_00089" )</f>
        <v>Rundberg Ln E_1400_Englebrook_Austin_00089</v>
      </c>
      <c r="L84" s="104" t="s">
        <v>22253</v>
      </c>
      <c r="M84" s="103" t="str">
        <f t="shared" si="8"/>
        <v>http://oconnordata.com/mlink/modules/profile/index.cfm?action=profile&amp;prop_id=89</v>
      </c>
      <c r="N84" s="1" t="str">
        <f t="shared" si="9"/>
        <v>00089</v>
      </c>
    </row>
    <row r="85" spans="1:14" x14ac:dyDescent="0.3">
      <c r="A85" s="1">
        <v>90</v>
      </c>
      <c r="B85" s="7" t="s">
        <v>27</v>
      </c>
      <c r="C85" s="12">
        <v>1919</v>
      </c>
      <c r="D85" s="7" t="s">
        <v>160</v>
      </c>
      <c r="E85" s="13" t="s">
        <v>7</v>
      </c>
      <c r="F85" t="str">
        <f t="shared" si="5"/>
        <v>Burton</v>
      </c>
      <c r="G85" t="str">
        <f t="shared" si="6"/>
        <v>Burton1919Austin</v>
      </c>
      <c r="H85" t="s">
        <v>30943</v>
      </c>
      <c r="I85" t="s">
        <v>22380</v>
      </c>
      <c r="J85" t="str">
        <f t="shared" si="7"/>
        <v>E:\PropInv\MF</v>
      </c>
      <c r="K85" s="103" t="str">
        <f>HYPERLINK("E:\PropInv\MF\Austin\Burton Dr_1919_English Aire_Austin_00090","Burton Dr_1919_English Aire_Austin_00090" )</f>
        <v>Burton Dr_1919_English Aire_Austin_00090</v>
      </c>
      <c r="L85" s="104" t="s">
        <v>22253</v>
      </c>
      <c r="M85" s="103" t="str">
        <f t="shared" si="8"/>
        <v>http://oconnordata.com/mlink/modules/profile/index.cfm?action=profile&amp;prop_id=90</v>
      </c>
      <c r="N85" s="1" t="str">
        <f t="shared" si="9"/>
        <v>00090</v>
      </c>
    </row>
    <row r="86" spans="1:14" x14ac:dyDescent="0.3">
      <c r="A86" s="1">
        <v>92</v>
      </c>
      <c r="B86" s="7" t="s">
        <v>161</v>
      </c>
      <c r="C86" s="12">
        <v>1401</v>
      </c>
      <c r="D86" s="7" t="s">
        <v>162</v>
      </c>
      <c r="E86" s="13" t="s">
        <v>7</v>
      </c>
      <c r="F86" t="str">
        <f t="shared" si="5"/>
        <v>Saint</v>
      </c>
      <c r="G86" t="str">
        <f t="shared" si="6"/>
        <v>Saint1401Austin</v>
      </c>
      <c r="H86" t="s">
        <v>30944</v>
      </c>
      <c r="I86" t="s">
        <v>22381</v>
      </c>
      <c r="J86" t="str">
        <f t="shared" si="7"/>
        <v>E:\PropInv\MF</v>
      </c>
      <c r="K86" s="103" t="str">
        <f>HYPERLINK("E:\PropInv\MF\Austin\Saint Edwards Dr_1401_Forest Creek Village_Austin_00092","Saint Edwards Dr_1401_Forest Creek Village_Austin_00092" )</f>
        <v>Saint Edwards Dr_1401_Forest Creek Village_Austin_00092</v>
      </c>
      <c r="L86" s="104" t="s">
        <v>22253</v>
      </c>
      <c r="M86" s="103" t="str">
        <f t="shared" si="8"/>
        <v>http://oconnordata.com/mlink/modules/profile/index.cfm?action=profile&amp;prop_id=92</v>
      </c>
      <c r="N86" s="1" t="str">
        <f t="shared" si="9"/>
        <v>00092</v>
      </c>
    </row>
    <row r="87" spans="1:14" x14ac:dyDescent="0.3">
      <c r="A87" s="1">
        <v>93</v>
      </c>
      <c r="B87" s="7" t="s">
        <v>163</v>
      </c>
      <c r="C87" s="12">
        <v>3707</v>
      </c>
      <c r="D87" s="7" t="s">
        <v>164</v>
      </c>
      <c r="E87" s="13" t="s">
        <v>7</v>
      </c>
      <c r="F87" t="str">
        <f t="shared" si="5"/>
        <v>Manchaca</v>
      </c>
      <c r="G87" t="str">
        <f t="shared" si="6"/>
        <v>Manchaca3707Austin</v>
      </c>
      <c r="H87" t="s">
        <v>30945</v>
      </c>
      <c r="I87" t="s">
        <v>22382</v>
      </c>
      <c r="J87" t="str">
        <f t="shared" si="7"/>
        <v>E:\PropInv\MF</v>
      </c>
      <c r="K87" s="103" t="str">
        <f>HYPERLINK("E:\PropInv\MF\Austin\Manchaca Rd_3707_The Grove_Austin_00093","Manchaca Rd_3707_The Grove_Austin_00093" )</f>
        <v>Manchaca Rd_3707_The Grove_Austin_00093</v>
      </c>
      <c r="L87" s="104" t="s">
        <v>22253</v>
      </c>
      <c r="M87" s="103" t="str">
        <f t="shared" si="8"/>
        <v>http://oconnordata.com/mlink/modules/profile/index.cfm?action=profile&amp;prop_id=93</v>
      </c>
      <c r="N87" s="1" t="str">
        <f t="shared" si="9"/>
        <v>00093</v>
      </c>
    </row>
    <row r="88" spans="1:14" x14ac:dyDescent="0.3">
      <c r="A88" s="1">
        <v>94</v>
      </c>
      <c r="B88" s="7" t="s">
        <v>8</v>
      </c>
      <c r="C88" s="12">
        <v>4100</v>
      </c>
      <c r="D88" s="7" t="s">
        <v>165</v>
      </c>
      <c r="E88" s="13" t="s">
        <v>7</v>
      </c>
      <c r="F88" t="str">
        <f t="shared" si="5"/>
        <v>Victory</v>
      </c>
      <c r="G88" t="str">
        <f t="shared" si="6"/>
        <v>Victory4100Austin</v>
      </c>
      <c r="H88" t="s">
        <v>30946</v>
      </c>
      <c r="I88" t="s">
        <v>22383</v>
      </c>
      <c r="J88" t="str">
        <f t="shared" si="7"/>
        <v>E:\PropInv\MF</v>
      </c>
      <c r="K88" s="103" t="str">
        <f>HYPERLINK("E:\PropInv\MF\Austin\Victory Dr_4100_Tramor at Victory Place_Austin_00094","Victory Dr_4100_Tramor at Victory Place_Austin_00094" )</f>
        <v>Victory Dr_4100_Tramor at Victory Place_Austin_00094</v>
      </c>
      <c r="L88" s="104" t="s">
        <v>22253</v>
      </c>
      <c r="M88" s="103" t="str">
        <f t="shared" si="8"/>
        <v>http://oconnordata.com/mlink/modules/profile/index.cfm?action=profile&amp;prop_id=94</v>
      </c>
      <c r="N88" s="1" t="str">
        <f t="shared" si="9"/>
        <v>00094</v>
      </c>
    </row>
    <row r="89" spans="1:14" x14ac:dyDescent="0.3">
      <c r="A89" s="1">
        <v>95</v>
      </c>
      <c r="B89" s="7" t="s">
        <v>166</v>
      </c>
      <c r="C89" s="12">
        <v>1113</v>
      </c>
      <c r="D89" s="7" t="s">
        <v>167</v>
      </c>
      <c r="E89" s="13" t="s">
        <v>7</v>
      </c>
      <c r="F89" t="str">
        <f t="shared" si="5"/>
        <v>Banister</v>
      </c>
      <c r="G89" t="str">
        <f t="shared" si="6"/>
        <v>Banister1113Austin</v>
      </c>
      <c r="H89" t="s">
        <v>30947</v>
      </c>
      <c r="I89" t="s">
        <v>22384</v>
      </c>
      <c r="J89" t="str">
        <f t="shared" si="7"/>
        <v>E:\PropInv\MF</v>
      </c>
      <c r="K89" s="103" t="str">
        <f>HYPERLINK("E:\PropInv\MF\Austin\Banister Ln_1113_Four Park Place_Austin_00095","Banister Ln_1113_Four Park Place_Austin_00095" )</f>
        <v>Banister Ln_1113_Four Park Place_Austin_00095</v>
      </c>
      <c r="L89" s="104" t="s">
        <v>22253</v>
      </c>
      <c r="M89" s="103" t="str">
        <f t="shared" si="8"/>
        <v>http://oconnordata.com/mlink/modules/profile/index.cfm?action=profile&amp;prop_id=95</v>
      </c>
      <c r="N89" s="1" t="str">
        <f t="shared" si="9"/>
        <v>00095</v>
      </c>
    </row>
    <row r="90" spans="1:14" x14ac:dyDescent="0.3">
      <c r="A90" s="1">
        <v>96</v>
      </c>
      <c r="B90" s="7" t="s">
        <v>168</v>
      </c>
      <c r="C90" s="12">
        <v>2100</v>
      </c>
      <c r="D90" s="7" t="s">
        <v>169</v>
      </c>
      <c r="E90" s="13" t="s">
        <v>18</v>
      </c>
      <c r="F90" t="str">
        <f t="shared" si="5"/>
        <v>Willowbend</v>
      </c>
      <c r="G90" t="str">
        <f t="shared" si="6"/>
        <v>Willowbend2100Round Rock</v>
      </c>
      <c r="H90" t="s">
        <v>30948</v>
      </c>
      <c r="I90" t="s">
        <v>22385</v>
      </c>
      <c r="J90" t="str">
        <f t="shared" si="7"/>
        <v>E:\PropInv\MF</v>
      </c>
      <c r="K90" s="103" t="str">
        <f>HYPERLINK("E:\PropInv\MF\Round Rock\Willowbend Dr_2100_Foxfire_Round Rock_00096","Willowbend Dr_2100_Foxfire_Round Rock_00096" )</f>
        <v>Willowbend Dr_2100_Foxfire_Round Rock_00096</v>
      </c>
      <c r="L90" s="104" t="s">
        <v>22253</v>
      </c>
      <c r="M90" s="103" t="str">
        <f t="shared" si="8"/>
        <v>http://oconnordata.com/mlink/modules/profile/index.cfm?action=profile&amp;prop_id=96</v>
      </c>
      <c r="N90" s="1" t="str">
        <f t="shared" si="9"/>
        <v>00096</v>
      </c>
    </row>
    <row r="91" spans="1:14" x14ac:dyDescent="0.3">
      <c r="A91" s="1">
        <v>97</v>
      </c>
      <c r="B91" s="7" t="s">
        <v>17</v>
      </c>
      <c r="C91" s="12">
        <v>1500</v>
      </c>
      <c r="D91" s="7" t="s">
        <v>170</v>
      </c>
      <c r="E91" s="13" t="s">
        <v>18</v>
      </c>
      <c r="F91" t="str">
        <f t="shared" si="5"/>
        <v>Lawnmont</v>
      </c>
      <c r="G91" t="str">
        <f t="shared" si="6"/>
        <v>Lawnmont1500Round Rock</v>
      </c>
      <c r="H91" t="s">
        <v>30949</v>
      </c>
      <c r="I91" t="s">
        <v>22386</v>
      </c>
      <c r="J91" t="str">
        <f t="shared" si="7"/>
        <v>E:\PropInv\MF</v>
      </c>
      <c r="K91" s="103" t="str">
        <f>HYPERLINK("E:\PropInv\MF\Round Rock\Lawnmont Dr_1500_Gables of Round Rock_Round Rock_00097","Lawnmont Dr_1500_Gables of Round Rock_Round Rock_00097" )</f>
        <v>Lawnmont Dr_1500_Gables of Round Rock_Round Rock_00097</v>
      </c>
      <c r="L91" s="104" t="s">
        <v>22253</v>
      </c>
      <c r="M91" s="103" t="str">
        <f t="shared" si="8"/>
        <v>http://oconnordata.com/mlink/modules/profile/index.cfm?action=profile&amp;prop_id=97</v>
      </c>
      <c r="N91" s="1" t="str">
        <f t="shared" si="9"/>
        <v>00097</v>
      </c>
    </row>
    <row r="92" spans="1:14" x14ac:dyDescent="0.3">
      <c r="A92" s="1">
        <v>98</v>
      </c>
      <c r="B92" s="7" t="s">
        <v>171</v>
      </c>
      <c r="C92" s="12">
        <v>2222</v>
      </c>
      <c r="D92" s="7" t="s">
        <v>172</v>
      </c>
      <c r="E92" s="13" t="s">
        <v>7</v>
      </c>
      <c r="F92" t="str">
        <f t="shared" si="5"/>
        <v>Rio</v>
      </c>
      <c r="G92" t="str">
        <f t="shared" si="6"/>
        <v>Rio2222Austin</v>
      </c>
      <c r="H92" t="s">
        <v>30950</v>
      </c>
      <c r="I92" t="s">
        <v>22387</v>
      </c>
      <c r="J92" t="str">
        <f t="shared" si="7"/>
        <v>E:\PropInv\MF</v>
      </c>
      <c r="K92" s="103" t="str">
        <f>HYPERLINK("E:\PropInv\MF\Austin\Rio Grande St_2222_University Gardens_Austin_00098","Rio Grande St_2222_University Gardens_Austin_00098" )</f>
        <v>Rio Grande St_2222_University Gardens_Austin_00098</v>
      </c>
      <c r="L92" s="104" t="s">
        <v>22253</v>
      </c>
      <c r="M92" s="103" t="str">
        <f t="shared" si="8"/>
        <v>http://oconnordata.com/mlink/modules/profile/index.cfm?action=profile&amp;prop_id=98</v>
      </c>
      <c r="N92" s="1" t="str">
        <f t="shared" si="9"/>
        <v>00098</v>
      </c>
    </row>
    <row r="93" spans="1:14" x14ac:dyDescent="0.3">
      <c r="A93" s="1">
        <v>99</v>
      </c>
      <c r="B93" s="7" t="s">
        <v>173</v>
      </c>
      <c r="C93" s="12">
        <v>1804</v>
      </c>
      <c r="D93" s="7" t="s">
        <v>174</v>
      </c>
      <c r="E93" s="13" t="s">
        <v>7</v>
      </c>
      <c r="F93" t="str">
        <f t="shared" si="5"/>
        <v>Rundberg</v>
      </c>
      <c r="G93" t="str">
        <f t="shared" si="6"/>
        <v>Rundberg1804Austin</v>
      </c>
      <c r="H93" t="s">
        <v>30951</v>
      </c>
      <c r="I93" t="s">
        <v>22388</v>
      </c>
      <c r="J93" t="str">
        <f t="shared" si="7"/>
        <v>E:\PropInv\MF</v>
      </c>
      <c r="K93" s="103" t="str">
        <f>HYPERLINK("E:\PropInv\MF\Austin\Rundberg Ln W_1804_Gateways_Austin_00099","Rundberg Ln W_1804_Gateways_Austin_00099" )</f>
        <v>Rundberg Ln W_1804_Gateways_Austin_00099</v>
      </c>
      <c r="L93" s="104" t="s">
        <v>22253</v>
      </c>
      <c r="M93" s="103" t="str">
        <f t="shared" si="8"/>
        <v>http://oconnordata.com/mlink/modules/profile/index.cfm?action=profile&amp;prop_id=99</v>
      </c>
      <c r="N93" s="1" t="str">
        <f t="shared" si="9"/>
        <v>00099</v>
      </c>
    </row>
    <row r="94" spans="1:14" x14ac:dyDescent="0.3">
      <c r="A94" s="1">
        <v>100</v>
      </c>
      <c r="B94" s="7" t="s">
        <v>156</v>
      </c>
      <c r="C94" s="12">
        <v>11701</v>
      </c>
      <c r="D94" s="7" t="s">
        <v>175</v>
      </c>
      <c r="E94" s="13" t="s">
        <v>7</v>
      </c>
      <c r="F94" t="str">
        <f t="shared" si="5"/>
        <v>Metric</v>
      </c>
      <c r="G94" t="str">
        <f t="shared" si="6"/>
        <v>Metric11701Austin</v>
      </c>
      <c r="H94" t="s">
        <v>30952</v>
      </c>
      <c r="I94" t="s">
        <v>22389</v>
      </c>
      <c r="J94" t="str">
        <f t="shared" si="7"/>
        <v>E:\PropInv\MF</v>
      </c>
      <c r="K94" s="103" t="str">
        <f>HYPERLINK("E:\PropInv\MF\Austin\Metric Blvd_11701_Venterra at Bradford Pointe_Austin_00100","Metric Blvd_11701_Venterra at Bradford Pointe_Austin_00100" )</f>
        <v>Metric Blvd_11701_Venterra at Bradford Pointe_Austin_00100</v>
      </c>
      <c r="L94" s="104" t="s">
        <v>22253</v>
      </c>
      <c r="M94" s="103" t="str">
        <f t="shared" si="8"/>
        <v>http://oconnordata.com/mlink/modules/profile/index.cfm?action=profile&amp;prop_id=100</v>
      </c>
      <c r="N94" s="1" t="str">
        <f t="shared" si="9"/>
        <v>00100</v>
      </c>
    </row>
    <row r="95" spans="1:14" x14ac:dyDescent="0.3">
      <c r="A95" s="1">
        <v>101</v>
      </c>
      <c r="B95" s="7" t="s">
        <v>176</v>
      </c>
      <c r="C95" s="12">
        <v>209</v>
      </c>
      <c r="D95" s="7" t="s">
        <v>177</v>
      </c>
      <c r="E95" s="13" t="s">
        <v>16</v>
      </c>
      <c r="F95" t="str">
        <f t="shared" si="5"/>
        <v>Luther</v>
      </c>
      <c r="G95" t="str">
        <f t="shared" si="6"/>
        <v>Luther209Georgetown</v>
      </c>
      <c r="H95" t="s">
        <v>30953</v>
      </c>
      <c r="I95" t="s">
        <v>22390</v>
      </c>
      <c r="J95" t="str">
        <f t="shared" si="7"/>
        <v>E:\PropInv\MF</v>
      </c>
      <c r="K95" s="103" t="str">
        <f>HYPERLINK("E:\PropInv\MF\Georgetown\Luther Dr_209_Georgetown Park_Georgetown_00101","Luther Dr_209_Georgetown Park_Georgetown_00101" )</f>
        <v>Luther Dr_209_Georgetown Park_Georgetown_00101</v>
      </c>
      <c r="L95" s="104" t="s">
        <v>22253</v>
      </c>
      <c r="M95" s="103" t="str">
        <f t="shared" si="8"/>
        <v>http://oconnordata.com/mlink/modules/profile/index.cfm?action=profile&amp;prop_id=101</v>
      </c>
      <c r="N95" s="1" t="str">
        <f t="shared" si="9"/>
        <v>00101</v>
      </c>
    </row>
    <row r="96" spans="1:14" x14ac:dyDescent="0.3">
      <c r="A96" s="1">
        <v>102</v>
      </c>
      <c r="B96" s="7" t="s">
        <v>178</v>
      </c>
      <c r="C96" s="12">
        <v>8005</v>
      </c>
      <c r="D96" s="7" t="s">
        <v>179</v>
      </c>
      <c r="E96" s="13" t="s">
        <v>7</v>
      </c>
      <c r="F96" t="str">
        <f t="shared" si="5"/>
        <v>Georgian</v>
      </c>
      <c r="G96" t="str">
        <f t="shared" si="6"/>
        <v>Georgian8005Austin</v>
      </c>
      <c r="H96" t="s">
        <v>30954</v>
      </c>
      <c r="I96" t="s">
        <v>22391</v>
      </c>
      <c r="J96" t="str">
        <f t="shared" si="7"/>
        <v>E:\PropInv\MF</v>
      </c>
      <c r="K96" s="103" t="str">
        <f>HYPERLINK("E:\PropInv\MF\Austin\Georgian Dr_8005_Georgian Apts_Austin_00102","Georgian Dr_8005_Georgian Apts_Austin_00102" )</f>
        <v>Georgian Dr_8005_Georgian Apts_Austin_00102</v>
      </c>
      <c r="L96" s="104" t="s">
        <v>22253</v>
      </c>
      <c r="M96" s="103" t="str">
        <f t="shared" si="8"/>
        <v>http://oconnordata.com/mlink/modules/profile/index.cfm?action=profile&amp;prop_id=102</v>
      </c>
      <c r="N96" s="1" t="str">
        <f t="shared" si="9"/>
        <v>00102</v>
      </c>
    </row>
    <row r="97" spans="1:14" x14ac:dyDescent="0.3">
      <c r="A97" s="1">
        <v>103</v>
      </c>
      <c r="B97" s="7" t="s">
        <v>158</v>
      </c>
      <c r="C97" s="12">
        <v>1007</v>
      </c>
      <c r="D97" s="7" t="s">
        <v>180</v>
      </c>
      <c r="E97" s="13" t="s">
        <v>7</v>
      </c>
      <c r="F97" t="str">
        <f t="shared" si="5"/>
        <v>Rundberg</v>
      </c>
      <c r="G97" t="str">
        <f t="shared" si="6"/>
        <v>Rundberg1007Austin</v>
      </c>
      <c r="H97" t="s">
        <v>30955</v>
      </c>
      <c r="I97" t="s">
        <v>22392</v>
      </c>
      <c r="J97" t="str">
        <f t="shared" si="7"/>
        <v>E:\PropInv\MF</v>
      </c>
      <c r="K97" s="103" t="str">
        <f>HYPERLINK("E:\PropInv\MF\Austin\Rundberg Ln E_1007_Glen Oaks_Austin_00103","Rundberg Ln E_1007_Glen Oaks_Austin_00103" )</f>
        <v>Rundberg Ln E_1007_Glen Oaks_Austin_00103</v>
      </c>
      <c r="L97" s="104" t="s">
        <v>22253</v>
      </c>
      <c r="M97" s="103" t="str">
        <f t="shared" si="8"/>
        <v>http://oconnordata.com/mlink/modules/profile/index.cfm?action=profile&amp;prop_id=103</v>
      </c>
      <c r="N97" s="1" t="str">
        <f t="shared" si="9"/>
        <v>00103</v>
      </c>
    </row>
    <row r="98" spans="1:14" x14ac:dyDescent="0.3">
      <c r="A98" s="1">
        <v>104</v>
      </c>
      <c r="B98" s="7" t="s">
        <v>89</v>
      </c>
      <c r="C98" s="12">
        <v>7077</v>
      </c>
      <c r="D98" s="7" t="s">
        <v>181</v>
      </c>
      <c r="E98" s="13" t="s">
        <v>7</v>
      </c>
      <c r="F98" t="str">
        <f t="shared" si="5"/>
        <v>Grand</v>
      </c>
      <c r="G98" t="str">
        <f t="shared" si="6"/>
        <v>Grand7077Austin</v>
      </c>
      <c r="H98" t="s">
        <v>30956</v>
      </c>
      <c r="I98" t="s">
        <v>22393</v>
      </c>
      <c r="J98" t="str">
        <f t="shared" si="7"/>
        <v>E:\PropInv\MF</v>
      </c>
      <c r="K98" s="103" t="str">
        <f>HYPERLINK("E:\PropInv\MF\Austin\Grand Canyon Dr_7077_Canyon Villas II_Austin_00104","Grand Canyon Dr_7077_Canyon Villas II_Austin_00104" )</f>
        <v>Grand Canyon Dr_7077_Canyon Villas II_Austin_00104</v>
      </c>
      <c r="L98" s="104" t="s">
        <v>22253</v>
      </c>
      <c r="M98" s="103" t="str">
        <f t="shared" si="8"/>
        <v>http://oconnordata.com/mlink/modules/profile/index.cfm?action=profile&amp;prop_id=104</v>
      </c>
      <c r="N98" s="1" t="str">
        <f t="shared" si="9"/>
        <v>00104</v>
      </c>
    </row>
    <row r="99" spans="1:14" x14ac:dyDescent="0.3">
      <c r="A99" s="1">
        <v>105</v>
      </c>
      <c r="B99" s="7" t="s">
        <v>182</v>
      </c>
      <c r="C99" s="12">
        <v>3500</v>
      </c>
      <c r="D99" s="7" t="s">
        <v>183</v>
      </c>
      <c r="E99" s="13" t="s">
        <v>7</v>
      </c>
      <c r="F99" t="str">
        <f t="shared" si="5"/>
        <v>Greystone</v>
      </c>
      <c r="G99" t="str">
        <f t="shared" si="6"/>
        <v>Greystone3500Austin</v>
      </c>
      <c r="H99" t="s">
        <v>30957</v>
      </c>
      <c r="I99" t="s">
        <v>22394</v>
      </c>
      <c r="J99" t="str">
        <f t="shared" si="7"/>
        <v>E:\PropInv\MF</v>
      </c>
      <c r="K99" s="103" t="str">
        <f>HYPERLINK("E:\PropInv\MF\Austin\Greystone Dr_3500_Juniper Springs_Austin_00105","Greystone Dr_3500_Juniper Springs_Austin_00105" )</f>
        <v>Greystone Dr_3500_Juniper Springs_Austin_00105</v>
      </c>
      <c r="L99" s="104" t="s">
        <v>22253</v>
      </c>
      <c r="M99" s="103" t="str">
        <f t="shared" si="8"/>
        <v>http://oconnordata.com/mlink/modules/profile/index.cfm?action=profile&amp;prop_id=105</v>
      </c>
      <c r="N99" s="1" t="str">
        <f t="shared" si="9"/>
        <v>00105</v>
      </c>
    </row>
    <row r="100" spans="1:14" x14ac:dyDescent="0.3">
      <c r="A100" s="1">
        <v>106</v>
      </c>
      <c r="B100" s="19" t="s">
        <v>184</v>
      </c>
      <c r="C100" s="12">
        <v>9617</v>
      </c>
      <c r="D100" s="7" t="s">
        <v>185</v>
      </c>
      <c r="E100" s="13" t="s">
        <v>7</v>
      </c>
      <c r="F100" t="str">
        <f t="shared" si="5"/>
        <v>Great</v>
      </c>
      <c r="G100" t="str">
        <f t="shared" si="6"/>
        <v>Great9617Austin</v>
      </c>
      <c r="H100" t="s">
        <v>30958</v>
      </c>
      <c r="I100" t="s">
        <v>22395</v>
      </c>
      <c r="J100" t="str">
        <f t="shared" si="7"/>
        <v>E:\PropInv\MF</v>
      </c>
      <c r="K100" s="103" t="str">
        <f>HYPERLINK("E:\PropInv\MF\Austin\Great Hills Trl_9617_Arboretum Oaks_Austin_00106","Great Hills Trl_9617_Arboretum Oaks_Austin_00106" )</f>
        <v>Great Hills Trl_9617_Arboretum Oaks_Austin_00106</v>
      </c>
      <c r="L100" s="104" t="s">
        <v>22253</v>
      </c>
      <c r="M100" s="103" t="str">
        <f t="shared" si="8"/>
        <v>http://oconnordata.com/mlink/modules/profile/index.cfm?action=profile&amp;prop_id=106</v>
      </c>
      <c r="N100" s="1" t="str">
        <f t="shared" si="9"/>
        <v>00106</v>
      </c>
    </row>
    <row r="101" spans="1:14" x14ac:dyDescent="0.3">
      <c r="A101" s="1">
        <v>107</v>
      </c>
      <c r="B101" s="7" t="s">
        <v>186</v>
      </c>
      <c r="C101" s="12" t="s">
        <v>187</v>
      </c>
      <c r="D101" s="7" t="s">
        <v>188</v>
      </c>
      <c r="E101" s="13" t="s">
        <v>7</v>
      </c>
      <c r="F101" t="str">
        <f t="shared" si="5"/>
        <v>Reinli</v>
      </c>
      <c r="G101" t="str">
        <f t="shared" si="6"/>
        <v>Reinli1100-1106Austin</v>
      </c>
      <c r="H101" t="s">
        <v>30959</v>
      </c>
      <c r="I101" t="s">
        <v>22396</v>
      </c>
      <c r="J101" t="str">
        <f t="shared" si="7"/>
        <v>E:\PropInv\MF</v>
      </c>
      <c r="K101" s="103" t="str">
        <f>HYPERLINK("E:\PropInv\MF\Austin\Reinli St_1100-1106_The Legacy_Austin_00107","Reinli St_1100-1106_The Legacy_Austin_00107" )</f>
        <v>Reinli St_1100-1106_The Legacy_Austin_00107</v>
      </c>
      <c r="L101" s="104" t="s">
        <v>22253</v>
      </c>
      <c r="M101" s="103" t="str">
        <f t="shared" si="8"/>
        <v>http://oconnordata.com/mlink/modules/profile/index.cfm?action=profile&amp;prop_id=107</v>
      </c>
      <c r="N101" s="1" t="str">
        <f t="shared" si="9"/>
        <v>00107</v>
      </c>
    </row>
    <row r="102" spans="1:14" x14ac:dyDescent="0.3">
      <c r="A102" s="1">
        <v>108</v>
      </c>
      <c r="B102" s="7" t="s">
        <v>21</v>
      </c>
      <c r="C102" s="12">
        <v>1773</v>
      </c>
      <c r="D102" s="7" t="s">
        <v>189</v>
      </c>
      <c r="E102" s="13" t="s">
        <v>7</v>
      </c>
      <c r="F102" t="str">
        <f t="shared" si="5"/>
        <v>Wells</v>
      </c>
      <c r="G102" t="str">
        <f t="shared" si="6"/>
        <v>Wells1773Austin</v>
      </c>
      <c r="H102" t="s">
        <v>30960</v>
      </c>
      <c r="I102" t="s">
        <v>22397</v>
      </c>
      <c r="J102" t="str">
        <f t="shared" si="7"/>
        <v>E:\PropInv\MF</v>
      </c>
      <c r="K102" s="103" t="str">
        <f>HYPERLINK("E:\PropInv\MF\Austin\Wells Branch Pkwy_1773_The Hampton_Austin_00108","Wells Branch Pkwy_1773_The Hampton_Austin_00108" )</f>
        <v>Wells Branch Pkwy_1773_The Hampton_Austin_00108</v>
      </c>
      <c r="L102" s="104" t="s">
        <v>22253</v>
      </c>
      <c r="M102" s="103" t="str">
        <f t="shared" si="8"/>
        <v>http://oconnordata.com/mlink/modules/profile/index.cfm?action=profile&amp;prop_id=108</v>
      </c>
      <c r="N102" s="1" t="str">
        <f t="shared" si="9"/>
        <v>00108</v>
      </c>
    </row>
    <row r="103" spans="1:14" x14ac:dyDescent="0.3">
      <c r="A103" s="1">
        <v>109</v>
      </c>
      <c r="B103" s="7" t="s">
        <v>87</v>
      </c>
      <c r="C103" s="12">
        <v>10300</v>
      </c>
      <c r="D103" s="7" t="s">
        <v>190</v>
      </c>
      <c r="E103" s="13" t="s">
        <v>7</v>
      </c>
      <c r="F103" t="str">
        <f t="shared" si="5"/>
        <v>Jollyville</v>
      </c>
      <c r="G103" t="str">
        <f t="shared" si="6"/>
        <v>Jollyville10300Austin</v>
      </c>
      <c r="H103" t="s">
        <v>30961</v>
      </c>
      <c r="I103" t="s">
        <v>22398</v>
      </c>
      <c r="J103" t="str">
        <f t="shared" si="7"/>
        <v>E:\PropInv\MF</v>
      </c>
      <c r="K103" s="103" t="str">
        <f>HYPERLINK("E:\PropInv\MF\Austin\Jollyville Rd_10300_Hardrock Canyon I &amp; II_Austin_00109","Jollyville Rd_10300_Hardrock Canyon I &amp; II_Austin_00109" )</f>
        <v>Jollyville Rd_10300_Hardrock Canyon I &amp; II_Austin_00109</v>
      </c>
      <c r="L103" s="104" t="s">
        <v>22253</v>
      </c>
      <c r="M103" s="103" t="str">
        <f t="shared" si="8"/>
        <v>http://oconnordata.com/mlink/modules/profile/index.cfm?action=profile&amp;prop_id=109</v>
      </c>
      <c r="N103" s="1" t="str">
        <f t="shared" si="9"/>
        <v>00109</v>
      </c>
    </row>
    <row r="104" spans="1:14" x14ac:dyDescent="0.3">
      <c r="A104" s="1">
        <v>110</v>
      </c>
      <c r="B104" s="7" t="s">
        <v>191</v>
      </c>
      <c r="C104" s="12">
        <v>1730</v>
      </c>
      <c r="D104" s="7" t="s">
        <v>192</v>
      </c>
      <c r="E104" s="13" t="s">
        <v>7</v>
      </c>
      <c r="F104" t="str">
        <f t="shared" si="5"/>
        <v>Oltorf</v>
      </c>
      <c r="G104" t="str">
        <f t="shared" si="6"/>
        <v>Oltorf1730Austin</v>
      </c>
      <c r="H104" t="s">
        <v>30962</v>
      </c>
      <c r="I104" t="s">
        <v>22399</v>
      </c>
      <c r="J104" t="str">
        <f t="shared" si="7"/>
        <v>E:\PropInv\MF</v>
      </c>
      <c r="K104" s="103" t="str">
        <f>HYPERLINK("E:\PropInv\MF\Austin\Oltorf St E_1730_Harpers Creek_Austin_00110","Oltorf St E_1730_Harpers Creek_Austin_00110" )</f>
        <v>Oltorf St E_1730_Harpers Creek_Austin_00110</v>
      </c>
      <c r="L104" s="104" t="s">
        <v>22253</v>
      </c>
      <c r="M104" s="103" t="str">
        <f t="shared" si="8"/>
        <v>http://oconnordata.com/mlink/modules/profile/index.cfm?action=profile&amp;prop_id=110</v>
      </c>
      <c r="N104" s="1" t="str">
        <f t="shared" si="9"/>
        <v>00110</v>
      </c>
    </row>
    <row r="105" spans="1:14" x14ac:dyDescent="0.3">
      <c r="A105" s="1">
        <v>111</v>
      </c>
      <c r="B105" s="7" t="s">
        <v>100</v>
      </c>
      <c r="C105" s="12">
        <v>8001</v>
      </c>
      <c r="D105" s="7" t="s">
        <v>193</v>
      </c>
      <c r="E105" s="13" t="s">
        <v>7</v>
      </c>
      <c r="F105" t="str">
        <f t="shared" si="5"/>
        <v>Gessner</v>
      </c>
      <c r="G105" t="str">
        <f t="shared" si="6"/>
        <v>Gessner8001Austin</v>
      </c>
      <c r="H105" t="s">
        <v>30963</v>
      </c>
      <c r="I105" t="s">
        <v>22400</v>
      </c>
      <c r="J105" t="str">
        <f t="shared" si="7"/>
        <v>E:\PropInv\MF</v>
      </c>
      <c r="K105" s="103" t="str">
        <f>HYPERLINK("E:\PropInv\MF\Austin\Gessner Dr_8001_Haven East_Austin_00111","Gessner Dr_8001_Haven East_Austin_00111" )</f>
        <v>Gessner Dr_8001_Haven East_Austin_00111</v>
      </c>
      <c r="L105" s="104" t="s">
        <v>22253</v>
      </c>
      <c r="M105" s="103" t="str">
        <f t="shared" si="8"/>
        <v>http://oconnordata.com/mlink/modules/profile/index.cfm?action=profile&amp;prop_id=111</v>
      </c>
      <c r="N105" s="1" t="str">
        <f t="shared" si="9"/>
        <v>00111</v>
      </c>
    </row>
    <row r="106" spans="1:14" x14ac:dyDescent="0.3">
      <c r="A106" s="1">
        <v>113</v>
      </c>
      <c r="B106" s="7" t="s">
        <v>163</v>
      </c>
      <c r="C106" s="12">
        <v>3506</v>
      </c>
      <c r="D106" s="7" t="s">
        <v>194</v>
      </c>
      <c r="E106" s="13" t="s">
        <v>7</v>
      </c>
      <c r="F106" t="str">
        <f t="shared" si="5"/>
        <v>Manchaca</v>
      </c>
      <c r="G106" t="str">
        <f t="shared" si="6"/>
        <v>Manchaca3506Austin</v>
      </c>
      <c r="H106" t="s">
        <v>30964</v>
      </c>
      <c r="I106" t="s">
        <v>22401</v>
      </c>
      <c r="J106" t="str">
        <f t="shared" si="7"/>
        <v>E:\PropInv\MF</v>
      </c>
      <c r="K106" s="103" t="str">
        <f>HYPERLINK("E:\PropInv\MF\Austin\Manchaca Rd_3506_Heritage Oaks_Austin_00113","Manchaca Rd_3506_Heritage Oaks_Austin_00113" )</f>
        <v>Manchaca Rd_3506_Heritage Oaks_Austin_00113</v>
      </c>
      <c r="L106" s="104" t="s">
        <v>22253</v>
      </c>
      <c r="M106" s="103" t="str">
        <f t="shared" si="8"/>
        <v>http://oconnordata.com/mlink/modules/profile/index.cfm?action=profile&amp;prop_id=113</v>
      </c>
      <c r="N106" s="1" t="str">
        <f t="shared" si="9"/>
        <v>00113</v>
      </c>
    </row>
    <row r="107" spans="1:14" x14ac:dyDescent="0.3">
      <c r="A107" s="1">
        <v>114</v>
      </c>
      <c r="B107" s="7" t="s">
        <v>195</v>
      </c>
      <c r="C107" s="12">
        <v>9121</v>
      </c>
      <c r="D107" s="7" t="s">
        <v>196</v>
      </c>
      <c r="E107" s="13" t="s">
        <v>7</v>
      </c>
      <c r="F107" t="str">
        <f t="shared" si="5"/>
        <v>Plaza</v>
      </c>
      <c r="G107" t="str">
        <f t="shared" si="6"/>
        <v>Plaza9121Austin</v>
      </c>
      <c r="H107" t="s">
        <v>30965</v>
      </c>
      <c r="I107" t="s">
        <v>22402</v>
      </c>
      <c r="J107" t="str">
        <f t="shared" si="7"/>
        <v>E:\PropInv\MF</v>
      </c>
      <c r="K107" s="103" t="str">
        <f>HYPERLINK("E:\PropInv\MF\Austin\Plaza Dr N_9121_Heritage Plaza_Austin_00114","Plaza Dr N_9121_Heritage Plaza_Austin_00114" )</f>
        <v>Plaza Dr N_9121_Heritage Plaza_Austin_00114</v>
      </c>
      <c r="L107" s="104" t="s">
        <v>22253</v>
      </c>
      <c r="M107" s="103" t="str">
        <f t="shared" si="8"/>
        <v>http://oconnordata.com/mlink/modules/profile/index.cfm?action=profile&amp;prop_id=114</v>
      </c>
      <c r="N107" s="1" t="str">
        <f t="shared" si="9"/>
        <v>00114</v>
      </c>
    </row>
    <row r="108" spans="1:14" x14ac:dyDescent="0.3">
      <c r="A108" s="1">
        <v>115</v>
      </c>
      <c r="B108" s="7" t="s">
        <v>197</v>
      </c>
      <c r="C108" s="12">
        <v>13359</v>
      </c>
      <c r="D108" s="7" t="s">
        <v>198</v>
      </c>
      <c r="E108" s="13" t="s">
        <v>7</v>
      </c>
      <c r="F108" t="str">
        <f t="shared" si="5"/>
        <v>Pond</v>
      </c>
      <c r="G108" t="str">
        <f t="shared" si="6"/>
        <v>Pond13359Austin</v>
      </c>
      <c r="H108" t="s">
        <v>30966</v>
      </c>
      <c r="I108" t="s">
        <v>22403</v>
      </c>
      <c r="J108" t="str">
        <f t="shared" si="7"/>
        <v>E:\PropInv\MF</v>
      </c>
      <c r="K108" s="103" t="str">
        <f>HYPERLINK("E:\PropInv\MF\Austin\Pond Springs Rd_13359_Hidden Timber_Austin_00115","Pond Springs Rd_13359_Hidden Timber_Austin_00115" )</f>
        <v>Pond Springs Rd_13359_Hidden Timber_Austin_00115</v>
      </c>
      <c r="L108" s="104" t="s">
        <v>22253</v>
      </c>
      <c r="M108" s="103" t="str">
        <f t="shared" si="8"/>
        <v>http://oconnordata.com/mlink/modules/profile/index.cfm?action=profile&amp;prop_id=115</v>
      </c>
      <c r="N108" s="1" t="str">
        <f t="shared" si="9"/>
        <v>00115</v>
      </c>
    </row>
    <row r="109" spans="1:14" x14ac:dyDescent="0.3">
      <c r="A109" s="1">
        <v>116</v>
      </c>
      <c r="B109" s="7" t="s">
        <v>87</v>
      </c>
      <c r="C109" s="12">
        <v>11028</v>
      </c>
      <c r="D109" s="7" t="s">
        <v>199</v>
      </c>
      <c r="E109" s="13" t="s">
        <v>7</v>
      </c>
      <c r="F109" t="str">
        <f t="shared" si="5"/>
        <v>Jollyville</v>
      </c>
      <c r="G109" t="str">
        <f t="shared" si="6"/>
        <v>Jollyville11028Austin</v>
      </c>
      <c r="H109" t="s">
        <v>30967</v>
      </c>
      <c r="I109" t="s">
        <v>22404</v>
      </c>
      <c r="J109" t="str">
        <f t="shared" si="7"/>
        <v>E:\PropInv\MF</v>
      </c>
      <c r="K109" s="103" t="str">
        <f>HYPERLINK("E:\PropInv\MF\Austin\Jollyville Rd_11028_High Oaks I &amp; II_Austin_00116","Jollyville Rd_11028_High Oaks I &amp; II_Austin_00116" )</f>
        <v>Jollyville Rd_11028_High Oaks I &amp; II_Austin_00116</v>
      </c>
      <c r="L109" s="104" t="s">
        <v>22253</v>
      </c>
      <c r="M109" s="103" t="str">
        <f t="shared" si="8"/>
        <v>http://oconnordata.com/mlink/modules/profile/index.cfm?action=profile&amp;prop_id=116</v>
      </c>
      <c r="N109" s="1" t="str">
        <f t="shared" si="9"/>
        <v>00116</v>
      </c>
    </row>
    <row r="110" spans="1:14" x14ac:dyDescent="0.3">
      <c r="A110" s="1">
        <v>117</v>
      </c>
      <c r="B110" s="7" t="s">
        <v>200</v>
      </c>
      <c r="C110" s="12">
        <v>2400</v>
      </c>
      <c r="D110" s="7" t="s">
        <v>201</v>
      </c>
      <c r="E110" s="13" t="s">
        <v>7</v>
      </c>
      <c r="F110" t="str">
        <f t="shared" si="5"/>
        <v>Wickersham</v>
      </c>
      <c r="G110" t="str">
        <f t="shared" si="6"/>
        <v>Wickersham2400Austin</v>
      </c>
      <c r="H110" t="s">
        <v>30968</v>
      </c>
      <c r="I110" t="s">
        <v>22405</v>
      </c>
      <c r="J110" t="str">
        <f t="shared" si="7"/>
        <v>E:\PropInv\MF</v>
      </c>
      <c r="K110" s="103" t="str">
        <f>HYPERLINK("E:\PropInv\MF\Austin\Wickersham Ln_2400_High Point Village_Austin_00117","Wickersham Ln_2400_High Point Village_Austin_00117" )</f>
        <v>Wickersham Ln_2400_High Point Village_Austin_00117</v>
      </c>
      <c r="L110" s="104" t="s">
        <v>22253</v>
      </c>
      <c r="M110" s="103" t="str">
        <f t="shared" si="8"/>
        <v>http://oconnordata.com/mlink/modules/profile/index.cfm?action=profile&amp;prop_id=117</v>
      </c>
      <c r="N110" s="1" t="str">
        <f t="shared" si="9"/>
        <v>00117</v>
      </c>
    </row>
    <row r="111" spans="1:14" x14ac:dyDescent="0.3">
      <c r="A111" s="1">
        <v>118</v>
      </c>
      <c r="B111" s="7" t="s">
        <v>186</v>
      </c>
      <c r="C111" s="12">
        <v>909</v>
      </c>
      <c r="D111" s="7" t="s">
        <v>202</v>
      </c>
      <c r="E111" s="13" t="s">
        <v>7</v>
      </c>
      <c r="F111" t="str">
        <f t="shared" si="5"/>
        <v>Reinli</v>
      </c>
      <c r="G111" t="str">
        <f t="shared" si="6"/>
        <v>Reinli909Austin</v>
      </c>
      <c r="H111" t="s">
        <v>30969</v>
      </c>
      <c r="I111" t="s">
        <v>22406</v>
      </c>
      <c r="J111" t="str">
        <f t="shared" si="7"/>
        <v>E:\PropInv\MF</v>
      </c>
      <c r="K111" s="103" t="str">
        <f>HYPERLINK("E:\PropInv\MF\Austin\Reinli St_909_Highland Cove_Austin_00118","Reinli St_909_Highland Cove_Austin_00118" )</f>
        <v>Reinli St_909_Highland Cove_Austin_00118</v>
      </c>
      <c r="L111" s="104" t="s">
        <v>22253</v>
      </c>
      <c r="M111" s="103" t="str">
        <f t="shared" si="8"/>
        <v>http://oconnordata.com/mlink/modules/profile/index.cfm?action=profile&amp;prop_id=118</v>
      </c>
      <c r="N111" s="1" t="str">
        <f t="shared" si="9"/>
        <v>00118</v>
      </c>
    </row>
    <row r="112" spans="1:14" x14ac:dyDescent="0.3">
      <c r="A112" s="1">
        <v>119</v>
      </c>
      <c r="B112" s="19" t="s">
        <v>184</v>
      </c>
      <c r="C112" s="12">
        <v>9417</v>
      </c>
      <c r="D112" s="7" t="s">
        <v>203</v>
      </c>
      <c r="E112" s="13" t="s">
        <v>7</v>
      </c>
      <c r="F112" t="str">
        <f t="shared" si="5"/>
        <v>Great</v>
      </c>
      <c r="G112" t="str">
        <f t="shared" si="6"/>
        <v>Great9417Austin</v>
      </c>
      <c r="H112" t="s">
        <v>30970</v>
      </c>
      <c r="I112" t="s">
        <v>22407</v>
      </c>
      <c r="J112" t="str">
        <f t="shared" si="7"/>
        <v>E:\PropInv\MF</v>
      </c>
      <c r="K112" s="103" t="str">
        <f>HYPERLINK("E:\PropInv\MF\Austin\Great Hills Trl_9417_Tramor at the Arboretum_Austin_00119","Great Hills Trl_9417_Tramor at the Arboretum_Austin_00119" )</f>
        <v>Great Hills Trl_9417_Tramor at the Arboretum_Austin_00119</v>
      </c>
      <c r="L112" s="104" t="s">
        <v>22253</v>
      </c>
      <c r="M112" s="103" t="str">
        <f t="shared" si="8"/>
        <v>http://oconnordata.com/mlink/modules/profile/index.cfm?action=profile&amp;prop_id=119</v>
      </c>
      <c r="N112" s="1" t="str">
        <f t="shared" si="9"/>
        <v>00119</v>
      </c>
    </row>
    <row r="113" spans="1:14" x14ac:dyDescent="0.3">
      <c r="A113" s="1">
        <v>120</v>
      </c>
      <c r="B113" s="7" t="s">
        <v>200</v>
      </c>
      <c r="C113" s="12">
        <v>2310</v>
      </c>
      <c r="D113" s="7" t="s">
        <v>204</v>
      </c>
      <c r="E113" s="13" t="s">
        <v>7</v>
      </c>
      <c r="F113" t="str">
        <f t="shared" si="5"/>
        <v>Wickersham</v>
      </c>
      <c r="G113" t="str">
        <f t="shared" si="6"/>
        <v>Wickersham2310Austin</v>
      </c>
      <c r="H113" t="s">
        <v>30971</v>
      </c>
      <c r="I113" t="s">
        <v>22408</v>
      </c>
      <c r="J113" t="str">
        <f t="shared" si="7"/>
        <v>E:\PropInv\MF</v>
      </c>
      <c r="K113" s="103" t="str">
        <f>HYPERLINK("E:\PropInv\MF\Austin\Wickersham Ln_2310_Wickersham Green_Austin_00120","Wickersham Ln_2310_Wickersham Green_Austin_00120" )</f>
        <v>Wickersham Ln_2310_Wickersham Green_Austin_00120</v>
      </c>
      <c r="L113" s="104" t="s">
        <v>22253</v>
      </c>
      <c r="M113" s="103" t="str">
        <f t="shared" si="8"/>
        <v>http://oconnordata.com/mlink/modules/profile/index.cfm?action=profile&amp;prop_id=120</v>
      </c>
      <c r="N113" s="1" t="str">
        <f t="shared" si="9"/>
        <v>00120</v>
      </c>
    </row>
    <row r="114" spans="1:14" x14ac:dyDescent="0.3">
      <c r="A114" s="1">
        <v>121</v>
      </c>
      <c r="B114" s="19" t="s">
        <v>184</v>
      </c>
      <c r="C114" s="12">
        <v>9009</v>
      </c>
      <c r="D114" s="7" t="s">
        <v>205</v>
      </c>
      <c r="E114" s="13" t="s">
        <v>7</v>
      </c>
      <c r="F114" t="str">
        <f t="shared" si="5"/>
        <v>Great</v>
      </c>
      <c r="G114" t="str">
        <f t="shared" si="6"/>
        <v>Great9009Austin</v>
      </c>
      <c r="H114" t="s">
        <v>30972</v>
      </c>
      <c r="I114" t="s">
        <v>22409</v>
      </c>
      <c r="J114" t="str">
        <f t="shared" si="7"/>
        <v>E:\PropInv\MF</v>
      </c>
      <c r="K114" s="103" t="str">
        <f>HYPERLINK("E:\PropInv\MF\Austin\Great Hills Trl_9009_Tramor at the Hills_Austin_00121","Great Hills Trl_9009_Tramor at the Hills_Austin_00121" )</f>
        <v>Great Hills Trl_9009_Tramor at the Hills_Austin_00121</v>
      </c>
      <c r="L114" s="104" t="s">
        <v>22253</v>
      </c>
      <c r="M114" s="103" t="str">
        <f t="shared" si="8"/>
        <v>http://oconnordata.com/mlink/modules/profile/index.cfm?action=profile&amp;prop_id=121</v>
      </c>
      <c r="N114" s="1" t="str">
        <f t="shared" si="9"/>
        <v>00121</v>
      </c>
    </row>
    <row r="115" spans="1:14" x14ac:dyDescent="0.3">
      <c r="A115" s="97">
        <v>122</v>
      </c>
      <c r="B115" s="7" t="s">
        <v>27</v>
      </c>
      <c r="C115" s="12">
        <v>1900</v>
      </c>
      <c r="D115" s="7" t="s">
        <v>206</v>
      </c>
      <c r="E115" s="13" t="s">
        <v>7</v>
      </c>
      <c r="F115" t="str">
        <f t="shared" si="5"/>
        <v>Burton</v>
      </c>
      <c r="G115" t="str">
        <f t="shared" si="6"/>
        <v>Burton1900Austin</v>
      </c>
      <c r="H115" t="s">
        <v>30973</v>
      </c>
      <c r="I115" t="s">
        <v>22410</v>
      </c>
      <c r="J115" t="str">
        <f t="shared" si="7"/>
        <v>E:\PropInv\MF</v>
      </c>
      <c r="K115" s="103" t="str">
        <f>HYPERLINK("E:\PropInv\MF\Austin\Burton Dr_1900_Woodridge_Austin_00122","Burton Dr_1900_Woodridge_Austin_00122" )</f>
        <v>Burton Dr_1900_Woodridge_Austin_00122</v>
      </c>
      <c r="L115" s="104" t="s">
        <v>22253</v>
      </c>
      <c r="M115" s="103" t="str">
        <f t="shared" si="8"/>
        <v>http://oconnordata.com/mlink/modules/profile/index.cfm?action=profile&amp;prop_id=122</v>
      </c>
      <c r="N115" s="1" t="str">
        <f t="shared" si="9"/>
        <v>00122</v>
      </c>
    </row>
    <row r="116" spans="1:14" x14ac:dyDescent="0.3">
      <c r="A116" s="1">
        <v>123</v>
      </c>
      <c r="B116" s="7" t="s">
        <v>207</v>
      </c>
      <c r="C116" s="12">
        <v>3101</v>
      </c>
      <c r="D116" s="7" t="s">
        <v>208</v>
      </c>
      <c r="E116" s="13" t="s">
        <v>7</v>
      </c>
      <c r="F116" t="str">
        <f t="shared" si="5"/>
        <v>Shoreline</v>
      </c>
      <c r="G116" t="str">
        <f t="shared" si="6"/>
        <v>Shoreline3101Austin</v>
      </c>
      <c r="H116" t="s">
        <v>30974</v>
      </c>
      <c r="I116" t="s">
        <v>22411</v>
      </c>
      <c r="J116" t="str">
        <f t="shared" si="7"/>
        <v>E:\PropInv\MF</v>
      </c>
      <c r="K116" s="103" t="str">
        <f>HYPERLINK("E:\PropInv\MF\Austin\Shoreline Dr_3101_Hunt Club_Austin_00123","Shoreline Dr_3101_Hunt Club_Austin_00123" )</f>
        <v>Shoreline Dr_3101_Hunt Club_Austin_00123</v>
      </c>
      <c r="L116" s="104" t="s">
        <v>22253</v>
      </c>
      <c r="M116" s="103" t="str">
        <f t="shared" si="8"/>
        <v>http://oconnordata.com/mlink/modules/profile/index.cfm?action=profile&amp;prop_id=123</v>
      </c>
      <c r="N116" s="1" t="str">
        <f t="shared" si="9"/>
        <v>00123</v>
      </c>
    </row>
    <row r="117" spans="1:14" x14ac:dyDescent="0.3">
      <c r="A117" s="1">
        <v>124</v>
      </c>
      <c r="B117" s="7" t="s">
        <v>209</v>
      </c>
      <c r="C117" s="12">
        <v>12342</v>
      </c>
      <c r="D117" s="7" t="s">
        <v>210</v>
      </c>
      <c r="E117" s="13" t="s">
        <v>7</v>
      </c>
      <c r="F117" t="str">
        <f t="shared" si="5"/>
        <v>Hunters</v>
      </c>
      <c r="G117" t="str">
        <f t="shared" si="6"/>
        <v>Hunters12342Austin</v>
      </c>
      <c r="H117" t="s">
        <v>30975</v>
      </c>
      <c r="I117" t="s">
        <v>22412</v>
      </c>
      <c r="J117" t="str">
        <f t="shared" si="7"/>
        <v>E:\PropInv\MF</v>
      </c>
      <c r="K117" s="103" t="str">
        <f>HYPERLINK("E:\PropInv\MF\Austin\Hunters Chase Dr_12342_Hunter's Chase_Austin_00124","Hunters Chase Dr_12342_Hunter's Chase_Austin_00124" )</f>
        <v>Hunters Chase Dr_12342_Hunter's Chase_Austin_00124</v>
      </c>
      <c r="L117" s="104" t="s">
        <v>22253</v>
      </c>
      <c r="M117" s="103" t="str">
        <f t="shared" si="8"/>
        <v>http://oconnordata.com/mlink/modules/profile/index.cfm?action=profile&amp;prop_id=124</v>
      </c>
      <c r="N117" s="1" t="str">
        <f t="shared" si="9"/>
        <v>00124</v>
      </c>
    </row>
    <row r="118" spans="1:14" x14ac:dyDescent="0.3">
      <c r="A118" s="1">
        <v>125</v>
      </c>
      <c r="B118" s="7" t="s">
        <v>211</v>
      </c>
      <c r="C118" s="12">
        <v>2309</v>
      </c>
      <c r="D118" s="7" t="s">
        <v>212</v>
      </c>
      <c r="E118" s="13" t="s">
        <v>7</v>
      </c>
      <c r="F118" t="str">
        <f t="shared" si="5"/>
        <v>Berkeley</v>
      </c>
      <c r="G118" t="str">
        <f t="shared" si="6"/>
        <v>Berkeley2309Austin</v>
      </c>
      <c r="H118" t="s">
        <v>30976</v>
      </c>
      <c r="I118" t="s">
        <v>22413</v>
      </c>
      <c r="J118" t="str">
        <f t="shared" si="7"/>
        <v>E:\PropInv\MF</v>
      </c>
      <c r="K118" s="103" t="str">
        <f>HYPERLINK("E:\PropInv\MF\Austin\Berkeley Ave_2309_Tramor at Hunter's Glen_Austin_00125","Berkeley Ave_2309_Tramor at Hunter's Glen_Austin_00125" )</f>
        <v>Berkeley Ave_2309_Tramor at Hunter's Glen_Austin_00125</v>
      </c>
      <c r="L118" s="104" t="s">
        <v>22253</v>
      </c>
      <c r="M118" s="103" t="str">
        <f t="shared" si="8"/>
        <v>http://oconnordata.com/mlink/modules/profile/index.cfm?action=profile&amp;prop_id=125</v>
      </c>
      <c r="N118" s="1" t="str">
        <f t="shared" si="9"/>
        <v>00125</v>
      </c>
    </row>
    <row r="119" spans="1:14" x14ac:dyDescent="0.3">
      <c r="A119" s="1">
        <v>126</v>
      </c>
      <c r="B119" s="7" t="s">
        <v>75</v>
      </c>
      <c r="C119" s="12">
        <v>1500</v>
      </c>
      <c r="D119" s="7" t="s">
        <v>213</v>
      </c>
      <c r="E119" s="13" t="s">
        <v>18</v>
      </c>
      <c r="F119" t="str">
        <f t="shared" si="5"/>
        <v>35</v>
      </c>
      <c r="G119" t="str">
        <f t="shared" si="6"/>
        <v>351500Round Rock</v>
      </c>
      <c r="H119" t="s">
        <v>30977</v>
      </c>
      <c r="I119" t="s">
        <v>22414</v>
      </c>
      <c r="J119" t="str">
        <f t="shared" si="7"/>
        <v>E:\PropInv\MF</v>
      </c>
      <c r="K119" s="103" t="str">
        <f>HYPERLINK("E:\PropInv\MF\Round Rock\35 IH S_1500_Hunters Ridge_Round Rock_00126","35 IH S_1500_Hunters Ridge_Round Rock_00126" )</f>
        <v>35 IH S_1500_Hunters Ridge_Round Rock_00126</v>
      </c>
      <c r="L119" s="104" t="s">
        <v>22253</v>
      </c>
      <c r="M119" s="103" t="str">
        <f t="shared" si="8"/>
        <v>http://oconnordata.com/mlink/modules/profile/index.cfm?action=profile&amp;prop_id=126</v>
      </c>
      <c r="N119" s="1" t="str">
        <f t="shared" si="9"/>
        <v>00126</v>
      </c>
    </row>
    <row r="120" spans="1:14" x14ac:dyDescent="0.3">
      <c r="A120" s="1">
        <v>127</v>
      </c>
      <c r="B120" s="7" t="s">
        <v>214</v>
      </c>
      <c r="C120" s="12">
        <v>409</v>
      </c>
      <c r="D120" s="7" t="s">
        <v>215</v>
      </c>
      <c r="E120" s="13" t="s">
        <v>7</v>
      </c>
      <c r="F120" t="str">
        <f t="shared" si="5"/>
        <v>William</v>
      </c>
      <c r="G120" t="str">
        <f t="shared" si="6"/>
        <v>William409Austin</v>
      </c>
      <c r="H120" t="s">
        <v>30978</v>
      </c>
      <c r="I120" t="s">
        <v>22415</v>
      </c>
      <c r="J120" t="str">
        <f t="shared" si="7"/>
        <v>E:\PropInv\MF</v>
      </c>
      <c r="K120" s="103" t="str">
        <f>HYPERLINK("E:\PropInv\MF\Austin\William Cannon Dr E_409_Hunterwood_Austin_00127","William Cannon Dr E_409_Hunterwood_Austin_00127" )</f>
        <v>William Cannon Dr E_409_Hunterwood_Austin_00127</v>
      </c>
      <c r="L120" s="104" t="s">
        <v>22253</v>
      </c>
      <c r="M120" s="103" t="str">
        <f t="shared" si="8"/>
        <v>http://oconnordata.com/mlink/modules/profile/index.cfm?action=profile&amp;prop_id=127</v>
      </c>
      <c r="N120" s="1" t="str">
        <f t="shared" si="9"/>
        <v>00127</v>
      </c>
    </row>
    <row r="121" spans="1:14" x14ac:dyDescent="0.3">
      <c r="A121" s="1">
        <v>128</v>
      </c>
      <c r="B121" s="7" t="s">
        <v>216</v>
      </c>
      <c r="C121" s="12">
        <v>4413</v>
      </c>
      <c r="D121" s="7" t="s">
        <v>217</v>
      </c>
      <c r="E121" s="13" t="s">
        <v>7</v>
      </c>
      <c r="F121" t="str">
        <f t="shared" si="5"/>
        <v>Speedway</v>
      </c>
      <c r="G121" t="str">
        <f t="shared" si="6"/>
        <v>Speedway4413Austin</v>
      </c>
      <c r="H121" t="s">
        <v>30979</v>
      </c>
      <c r="I121" t="s">
        <v>22416</v>
      </c>
      <c r="J121" t="str">
        <f t="shared" si="7"/>
        <v>E:\PropInv\MF</v>
      </c>
      <c r="K121" s="103" t="str">
        <f>HYPERLINK("E:\PropInv\MF\Austin\Speedway St_4413_Hyde Park I &amp; II_Austin_00128","Speedway St_4413_Hyde Park I &amp; II_Austin_00128" )</f>
        <v>Speedway St_4413_Hyde Park I &amp; II_Austin_00128</v>
      </c>
      <c r="L121" s="104" t="s">
        <v>22253</v>
      </c>
      <c r="M121" s="103" t="str">
        <f t="shared" si="8"/>
        <v>http://oconnordata.com/mlink/modules/profile/index.cfm?action=profile&amp;prop_id=128</v>
      </c>
      <c r="N121" s="1" t="str">
        <f t="shared" si="9"/>
        <v>00128</v>
      </c>
    </row>
    <row r="122" spans="1:14" x14ac:dyDescent="0.3">
      <c r="A122" s="1">
        <v>129</v>
      </c>
      <c r="B122" s="7" t="s">
        <v>25</v>
      </c>
      <c r="C122" s="12">
        <v>7630</v>
      </c>
      <c r="D122" s="7" t="s">
        <v>218</v>
      </c>
      <c r="E122" s="13" t="s">
        <v>7</v>
      </c>
      <c r="F122" t="str">
        <f t="shared" si="5"/>
        <v>Wood</v>
      </c>
      <c r="G122" t="str">
        <f t="shared" si="6"/>
        <v>Wood7630Austin</v>
      </c>
      <c r="H122" t="s">
        <v>30980</v>
      </c>
      <c r="I122" t="s">
        <v>22417</v>
      </c>
      <c r="J122" t="str">
        <f t="shared" si="7"/>
        <v>E:\PropInv\MF</v>
      </c>
      <c r="K122" s="103" t="str">
        <f>HYPERLINK("E:\PropInv\MF\Austin\Wood Hollow Dr_7630_Westdale Creek_Austin_00129","Wood Hollow Dr_7630_Westdale Creek_Austin_00129" )</f>
        <v>Wood Hollow Dr_7630_Westdale Creek_Austin_00129</v>
      </c>
      <c r="L122" s="104" t="s">
        <v>22253</v>
      </c>
      <c r="M122" s="103" t="str">
        <f t="shared" si="8"/>
        <v>http://oconnordata.com/mlink/modules/profile/index.cfm?action=profile&amp;prop_id=129</v>
      </c>
      <c r="N122" s="1" t="str">
        <f t="shared" si="9"/>
        <v>00129</v>
      </c>
    </row>
    <row r="123" spans="1:14" x14ac:dyDescent="0.3">
      <c r="A123" s="1">
        <v>130</v>
      </c>
      <c r="B123" s="19" t="s">
        <v>219</v>
      </c>
      <c r="C123" s="12">
        <v>9811</v>
      </c>
      <c r="D123" s="19" t="s">
        <v>220</v>
      </c>
      <c r="E123" s="13" t="s">
        <v>7</v>
      </c>
      <c r="F123" t="str">
        <f t="shared" si="5"/>
        <v>Copper</v>
      </c>
      <c r="G123" t="str">
        <f t="shared" si="6"/>
        <v>Copper9811Austin</v>
      </c>
      <c r="H123" t="s">
        <v>30981</v>
      </c>
      <c r="I123" t="s">
        <v>22418</v>
      </c>
      <c r="J123" t="str">
        <f t="shared" si="7"/>
        <v>E:\PropInv\MF</v>
      </c>
      <c r="K123" s="103" t="str">
        <f>HYPERLINK("E:\PropInv\MF\Austin\Copper Creek Dr_9811_International Residence_Austin_00130","Copper Creek Dr_9811_International Residence_Austin_00130" )</f>
        <v>Copper Creek Dr_9811_International Residence_Austin_00130</v>
      </c>
      <c r="L123" s="104" t="s">
        <v>22253</v>
      </c>
      <c r="M123" s="103" t="str">
        <f t="shared" si="8"/>
        <v>http://oconnordata.com/mlink/modules/profile/index.cfm?action=profile&amp;prop_id=130</v>
      </c>
      <c r="N123" s="1" t="str">
        <f t="shared" si="9"/>
        <v>00130</v>
      </c>
    </row>
    <row r="124" spans="1:14" x14ac:dyDescent="0.3">
      <c r="A124" s="1">
        <v>131</v>
      </c>
      <c r="B124" s="7" t="s">
        <v>53</v>
      </c>
      <c r="C124" s="12">
        <v>2200</v>
      </c>
      <c r="D124" s="7" t="s">
        <v>221</v>
      </c>
      <c r="E124" s="13" t="s">
        <v>7</v>
      </c>
      <c r="F124" t="str">
        <f t="shared" si="5"/>
        <v>Dickson</v>
      </c>
      <c r="G124" t="str">
        <f t="shared" si="6"/>
        <v>Dickson2200Austin</v>
      </c>
      <c r="H124" t="s">
        <v>30982</v>
      </c>
      <c r="I124" t="s">
        <v>22419</v>
      </c>
      <c r="J124" t="str">
        <f t="shared" si="7"/>
        <v>E:\PropInv\MF</v>
      </c>
      <c r="K124" s="103" t="str">
        <f>HYPERLINK("E:\PropInv\MF\Austin\Dickson Dr_2200_Barton Court_Austin_00131","Dickson Dr_2200_Barton Court_Austin_00131" )</f>
        <v>Dickson Dr_2200_Barton Court_Austin_00131</v>
      </c>
      <c r="L124" s="104" t="s">
        <v>22253</v>
      </c>
      <c r="M124" s="103" t="str">
        <f t="shared" si="8"/>
        <v>http://oconnordata.com/mlink/modules/profile/index.cfm?action=profile&amp;prop_id=131</v>
      </c>
      <c r="N124" s="1" t="str">
        <f t="shared" si="9"/>
        <v>00131</v>
      </c>
    </row>
    <row r="125" spans="1:14" x14ac:dyDescent="0.3">
      <c r="A125" s="1">
        <v>132</v>
      </c>
      <c r="B125" s="7" t="s">
        <v>222</v>
      </c>
      <c r="C125" s="12">
        <v>1220</v>
      </c>
      <c r="D125" s="7" t="s">
        <v>223</v>
      </c>
      <c r="E125" s="13" t="s">
        <v>7</v>
      </c>
      <c r="F125" t="str">
        <f t="shared" si="5"/>
        <v>Camino</v>
      </c>
      <c r="G125" t="str">
        <f t="shared" si="6"/>
        <v>Camino1220Austin</v>
      </c>
      <c r="H125" t="s">
        <v>30983</v>
      </c>
      <c r="I125" t="s">
        <v>22420</v>
      </c>
      <c r="J125" t="str">
        <f t="shared" si="7"/>
        <v>E:\PropInv\MF</v>
      </c>
      <c r="K125" s="103" t="str">
        <f>HYPERLINK("E:\PropInv\MF\Austin\Camino La Costa_1220_Irongate_Austin_00132","Camino La Costa_1220_Irongate_Austin_00132" )</f>
        <v>Camino La Costa_1220_Irongate_Austin_00132</v>
      </c>
      <c r="L125" s="104" t="s">
        <v>22253</v>
      </c>
      <c r="M125" s="103" t="str">
        <f t="shared" si="8"/>
        <v>http://oconnordata.com/mlink/modules/profile/index.cfm?action=profile&amp;prop_id=132</v>
      </c>
      <c r="N125" s="1" t="str">
        <f t="shared" si="9"/>
        <v>00132</v>
      </c>
    </row>
    <row r="126" spans="1:14" x14ac:dyDescent="0.3">
      <c r="A126" s="1">
        <v>134</v>
      </c>
      <c r="B126" s="7" t="s">
        <v>224</v>
      </c>
      <c r="C126" s="12">
        <v>4320</v>
      </c>
      <c r="D126" s="7" t="s">
        <v>22262</v>
      </c>
      <c r="E126" s="13" t="s">
        <v>7</v>
      </c>
      <c r="F126" t="str">
        <f t="shared" si="5"/>
        <v>Bull</v>
      </c>
      <c r="G126" t="str">
        <f t="shared" si="6"/>
        <v>Bull4320Austin</v>
      </c>
      <c r="H126" t="s">
        <v>30984</v>
      </c>
      <c r="I126" t="s">
        <v>22421</v>
      </c>
      <c r="J126" t="str">
        <f t="shared" si="7"/>
        <v>E:\PropInv\MF</v>
      </c>
      <c r="K126" s="103" t="str">
        <f>HYPERLINK("E:\PropInv\MF\Austin\Bull Creek Rd_4320_Bull Creek TH_Austin_00134","Bull Creek Rd_4320_Bull Creek TH_Austin_00134" )</f>
        <v>Bull Creek Rd_4320_Bull Creek TH_Austin_00134</v>
      </c>
      <c r="L126" s="104" t="s">
        <v>22253</v>
      </c>
      <c r="M126" s="103" t="str">
        <f t="shared" si="8"/>
        <v>http://oconnordata.com/mlink/modules/profile/index.cfm?action=profile&amp;prop_id=134</v>
      </c>
      <c r="N126" s="1" t="str">
        <f t="shared" si="9"/>
        <v>00134</v>
      </c>
    </row>
    <row r="127" spans="1:14" x14ac:dyDescent="0.3">
      <c r="A127" s="1">
        <v>135</v>
      </c>
      <c r="B127" s="7" t="s">
        <v>225</v>
      </c>
      <c r="C127" s="12">
        <v>5230</v>
      </c>
      <c r="D127" s="7" t="s">
        <v>226</v>
      </c>
      <c r="E127" s="13" t="s">
        <v>7</v>
      </c>
      <c r="F127" t="str">
        <f t="shared" si="5"/>
        <v>Thunder</v>
      </c>
      <c r="G127" t="str">
        <f t="shared" si="6"/>
        <v>Thunder5230Austin</v>
      </c>
      <c r="H127" t="s">
        <v>30985</v>
      </c>
      <c r="I127" t="s">
        <v>22422</v>
      </c>
      <c r="J127" t="str">
        <f t="shared" si="7"/>
        <v>E:\PropInv\MF</v>
      </c>
      <c r="K127" s="103" t="str">
        <f>HYPERLINK("E:\PropInv\MF\Austin\Thunder Creek Rd_5230_Keystone_Austin_00135","Thunder Creek Rd_5230_Keystone_Austin_00135" )</f>
        <v>Thunder Creek Rd_5230_Keystone_Austin_00135</v>
      </c>
      <c r="L127" s="104" t="s">
        <v>22253</v>
      </c>
      <c r="M127" s="103" t="str">
        <f t="shared" si="8"/>
        <v>http://oconnordata.com/mlink/modules/profile/index.cfm?action=profile&amp;prop_id=135</v>
      </c>
      <c r="N127" s="1" t="str">
        <f t="shared" si="9"/>
        <v>00135</v>
      </c>
    </row>
    <row r="128" spans="1:14" x14ac:dyDescent="0.3">
      <c r="A128" s="1">
        <v>136</v>
      </c>
      <c r="B128" s="7" t="s">
        <v>87</v>
      </c>
      <c r="C128" s="12">
        <v>11500</v>
      </c>
      <c r="D128" s="7" t="s">
        <v>227</v>
      </c>
      <c r="E128" s="13" t="s">
        <v>7</v>
      </c>
      <c r="F128" t="str">
        <f t="shared" si="5"/>
        <v>Jollyville</v>
      </c>
      <c r="G128" t="str">
        <f t="shared" si="6"/>
        <v>Jollyville11500Austin</v>
      </c>
      <c r="H128" t="s">
        <v>30986</v>
      </c>
      <c r="I128" t="s">
        <v>22423</v>
      </c>
      <c r="J128" t="str">
        <f t="shared" si="7"/>
        <v>E:\PropInv\MF</v>
      </c>
      <c r="K128" s="103" t="str">
        <f>HYPERLINK("E:\PropInv\MF\Austin\Jollyville Rd_11500_Northland at the Arboretum_Austin_00136","Jollyville Rd_11500_Northland at the Arboretum_Austin_00136" )</f>
        <v>Jollyville Rd_11500_Northland at the Arboretum_Austin_00136</v>
      </c>
      <c r="L128" s="104" t="s">
        <v>22253</v>
      </c>
      <c r="M128" s="103" t="str">
        <f t="shared" si="8"/>
        <v>http://oconnordata.com/mlink/modules/profile/index.cfm?action=profile&amp;prop_id=136</v>
      </c>
      <c r="N128" s="1" t="str">
        <f t="shared" si="9"/>
        <v>00136</v>
      </c>
    </row>
    <row r="129" spans="1:14" x14ac:dyDescent="0.3">
      <c r="A129" s="1">
        <v>137</v>
      </c>
      <c r="B129" s="7" t="s">
        <v>228</v>
      </c>
      <c r="C129" s="12">
        <v>1201</v>
      </c>
      <c r="D129" s="7" t="s">
        <v>229</v>
      </c>
      <c r="E129" s="13" t="s">
        <v>7</v>
      </c>
      <c r="F129" t="str">
        <f t="shared" si="5"/>
        <v>Town</v>
      </c>
      <c r="G129" t="str">
        <f t="shared" si="6"/>
        <v>Town1201Austin</v>
      </c>
      <c r="H129" t="s">
        <v>30987</v>
      </c>
      <c r="I129" t="s">
        <v>22424</v>
      </c>
      <c r="J129" t="str">
        <f t="shared" si="7"/>
        <v>E:\PropInv\MF</v>
      </c>
      <c r="K129" s="103" t="str">
        <f>HYPERLINK("E:\PropInv\MF\Austin\Town Creek Dr_1201_Regatta_Austin_00137","Town Creek Dr_1201_Regatta_Austin_00137" )</f>
        <v>Town Creek Dr_1201_Regatta_Austin_00137</v>
      </c>
      <c r="L129" s="104" t="s">
        <v>22253</v>
      </c>
      <c r="M129" s="103" t="str">
        <f t="shared" si="8"/>
        <v>http://oconnordata.com/mlink/modules/profile/index.cfm?action=profile&amp;prop_id=137</v>
      </c>
      <c r="N129" s="1" t="str">
        <f t="shared" si="9"/>
        <v>00137</v>
      </c>
    </row>
    <row r="130" spans="1:14" x14ac:dyDescent="0.3">
      <c r="A130" s="1">
        <v>138</v>
      </c>
      <c r="B130" s="7" t="s">
        <v>230</v>
      </c>
      <c r="C130" s="12">
        <v>14000</v>
      </c>
      <c r="D130" s="7" t="s">
        <v>231</v>
      </c>
      <c r="E130" s="13" t="s">
        <v>7</v>
      </c>
      <c r="F130" t="str">
        <f t="shared" ref="F130:F193" si="10">IFERROR(LEFT(B130,FIND(" ",B130)-1),B130)</f>
        <v>Renaissance</v>
      </c>
      <c r="G130" t="str">
        <f t="shared" ref="G130:G193" si="11">F130&amp;C130&amp;E130</f>
        <v>Renaissance14000Austin</v>
      </c>
      <c r="H130" t="s">
        <v>30988</v>
      </c>
      <c r="I130" t="s">
        <v>22425</v>
      </c>
      <c r="J130" t="str">
        <f t="shared" ref="J130:J193" si="12">IF(L130="TX",Folder_Path,Folder_Path&amp;"\State_"&amp;L130)</f>
        <v>E:\PropInv\MF</v>
      </c>
      <c r="K130" s="103" t="str">
        <f>HYPERLINK("E:\PropInv\MF\Austin\Renaissance Ct_14000_Lakes at Renaissance Park_Austin_00138","Renaissance Ct_14000_Lakes at Renaissance Park_Austin_00138" )</f>
        <v>Renaissance Ct_14000_Lakes at Renaissance Park_Austin_00138</v>
      </c>
      <c r="L130" s="104" t="s">
        <v>22253</v>
      </c>
      <c r="M130" s="103" t="str">
        <f t="shared" ref="M130:M193" si="13">HYPERLINK("http://oconnordata.com/mlink/modules/profile/index.cfm?action=profile&amp;prop_id="&amp;A130)</f>
        <v>http://oconnordata.com/mlink/modules/profile/index.cfm?action=profile&amp;prop_id=138</v>
      </c>
      <c r="N130" s="1" t="str">
        <f t="shared" ref="N130:N193" si="14">IF(LEN(A130)=1,"0000"&amp;A130,IF(LEN(A130)=2,"000"&amp;A130,IF(LEN(A130)=3,"00"&amp;A130,IF(LEN(A130)=4,"0"&amp;A130,IF(LEN(A130)=5,IF(LEFT(A130,1)="3",A130+30000,A130))))))</f>
        <v>00138</v>
      </c>
    </row>
    <row r="131" spans="1:14" x14ac:dyDescent="0.3">
      <c r="A131" s="1">
        <v>139</v>
      </c>
      <c r="B131" s="7" t="s">
        <v>232</v>
      </c>
      <c r="C131" s="12">
        <v>1720</v>
      </c>
      <c r="D131" s="7" t="s">
        <v>233</v>
      </c>
      <c r="E131" s="13" t="s">
        <v>7</v>
      </c>
      <c r="F131" t="str">
        <f t="shared" si="10"/>
        <v>Lakeshore</v>
      </c>
      <c r="G131" t="str">
        <f t="shared" si="11"/>
        <v>Lakeshore1720Austin</v>
      </c>
      <c r="H131" t="s">
        <v>30989</v>
      </c>
      <c r="I131" t="s">
        <v>22426</v>
      </c>
      <c r="J131" t="str">
        <f t="shared" si="12"/>
        <v>E:\PropInv\MF</v>
      </c>
      <c r="K131" s="103" t="str">
        <f>HYPERLINK("E:\PropInv\MF\Austin\Lakeshore Blvd S_1720_The Lakeshore_Austin_00139","Lakeshore Blvd S_1720_The Lakeshore_Austin_00139" )</f>
        <v>Lakeshore Blvd S_1720_The Lakeshore_Austin_00139</v>
      </c>
      <c r="L131" s="104" t="s">
        <v>22253</v>
      </c>
      <c r="M131" s="103" t="str">
        <f t="shared" si="13"/>
        <v>http://oconnordata.com/mlink/modules/profile/index.cfm?action=profile&amp;prop_id=139</v>
      </c>
      <c r="N131" s="1" t="str">
        <f t="shared" si="14"/>
        <v>00139</v>
      </c>
    </row>
    <row r="132" spans="1:14" x14ac:dyDescent="0.3">
      <c r="A132" s="1">
        <v>140</v>
      </c>
      <c r="B132" s="7" t="s">
        <v>232</v>
      </c>
      <c r="C132" s="12">
        <v>2401</v>
      </c>
      <c r="D132" s="7" t="s">
        <v>234</v>
      </c>
      <c r="E132" s="13" t="s">
        <v>7</v>
      </c>
      <c r="F132" t="str">
        <f t="shared" si="10"/>
        <v>Lakeshore</v>
      </c>
      <c r="G132" t="str">
        <f t="shared" si="11"/>
        <v>Lakeshore2401Austin</v>
      </c>
      <c r="H132" t="s">
        <v>30990</v>
      </c>
      <c r="I132" t="s">
        <v>22427</v>
      </c>
      <c r="J132" t="str">
        <f t="shared" si="12"/>
        <v>E:\PropInv\MF</v>
      </c>
      <c r="K132" s="103" t="str">
        <f>HYPERLINK("E:\PropInv\MF\Austin\Lakeshore Blvd S_2401_Lakeview_Austin_00140","Lakeshore Blvd S_2401_Lakeview_Austin_00140" )</f>
        <v>Lakeshore Blvd S_2401_Lakeview_Austin_00140</v>
      </c>
      <c r="L132" s="104" t="s">
        <v>22253</v>
      </c>
      <c r="M132" s="103" t="str">
        <f t="shared" si="13"/>
        <v>http://oconnordata.com/mlink/modules/profile/index.cfm?action=profile&amp;prop_id=140</v>
      </c>
      <c r="N132" s="1" t="str">
        <f t="shared" si="14"/>
        <v>00140</v>
      </c>
    </row>
    <row r="133" spans="1:14" x14ac:dyDescent="0.3">
      <c r="A133" s="1">
        <v>141</v>
      </c>
      <c r="B133" s="21" t="s">
        <v>235</v>
      </c>
      <c r="C133" s="12">
        <v>1802</v>
      </c>
      <c r="D133" s="7" t="s">
        <v>236</v>
      </c>
      <c r="E133" s="13" t="s">
        <v>7</v>
      </c>
      <c r="F133" t="str">
        <f t="shared" si="10"/>
        <v>W</v>
      </c>
      <c r="G133" t="str">
        <f t="shared" si="11"/>
        <v>W1802Austin</v>
      </c>
      <c r="H133" t="s">
        <v>30991</v>
      </c>
      <c r="I133" t="s">
        <v>22428</v>
      </c>
      <c r="J133" t="str">
        <f t="shared" si="12"/>
        <v>E:\PropInv\MF</v>
      </c>
      <c r="K133" s="103" t="str">
        <f>HYPERLINK("E:\PropInv\MF\Austin\W Ave_1802_Lantana_Austin_00141","W Ave_1802_Lantana_Austin_00141" )</f>
        <v>W Ave_1802_Lantana_Austin_00141</v>
      </c>
      <c r="L133" s="104" t="s">
        <v>22253</v>
      </c>
      <c r="M133" s="103" t="str">
        <f t="shared" si="13"/>
        <v>http://oconnordata.com/mlink/modules/profile/index.cfm?action=profile&amp;prop_id=141</v>
      </c>
      <c r="N133" s="1" t="str">
        <f t="shared" si="14"/>
        <v>00141</v>
      </c>
    </row>
    <row r="134" spans="1:14" x14ac:dyDescent="0.3">
      <c r="A134" s="1">
        <v>142</v>
      </c>
      <c r="B134" s="7" t="s">
        <v>237</v>
      </c>
      <c r="C134" s="12">
        <v>1200</v>
      </c>
      <c r="D134" s="7" t="s">
        <v>238</v>
      </c>
      <c r="E134" s="13" t="s">
        <v>7</v>
      </c>
      <c r="F134" t="str">
        <f t="shared" si="10"/>
        <v>40th</v>
      </c>
      <c r="G134" t="str">
        <f t="shared" si="11"/>
        <v>40th1200Austin</v>
      </c>
      <c r="H134" t="s">
        <v>30992</v>
      </c>
      <c r="I134" t="s">
        <v>22429</v>
      </c>
      <c r="J134" t="str">
        <f t="shared" si="12"/>
        <v>E:\PropInv\MF</v>
      </c>
      <c r="K134" s="103" t="str">
        <f>HYPERLINK("E:\PropInv\MF\Austin\40th St W_1200_Le Med_Austin_00142","40th St W_1200_Le Med_Austin_00142" )</f>
        <v>40th St W_1200_Le Med_Austin_00142</v>
      </c>
      <c r="L134" s="104" t="s">
        <v>22253</v>
      </c>
      <c r="M134" s="103" t="str">
        <f t="shared" si="13"/>
        <v>http://oconnordata.com/mlink/modules/profile/index.cfm?action=profile&amp;prop_id=142</v>
      </c>
      <c r="N134" s="1" t="str">
        <f t="shared" si="14"/>
        <v>00142</v>
      </c>
    </row>
    <row r="135" spans="1:14" x14ac:dyDescent="0.3">
      <c r="A135" s="1">
        <v>143</v>
      </c>
      <c r="B135" s="7" t="s">
        <v>156</v>
      </c>
      <c r="C135" s="12">
        <v>11700</v>
      </c>
      <c r="D135" s="7" t="s">
        <v>239</v>
      </c>
      <c r="E135" s="13" t="s">
        <v>7</v>
      </c>
      <c r="F135" t="str">
        <f t="shared" si="10"/>
        <v>Metric</v>
      </c>
      <c r="G135" t="str">
        <f t="shared" si="11"/>
        <v>Metric11700Austin</v>
      </c>
      <c r="H135" t="s">
        <v>30993</v>
      </c>
      <c r="I135" t="s">
        <v>22430</v>
      </c>
      <c r="J135" t="str">
        <f t="shared" si="12"/>
        <v>E:\PropInv\MF</v>
      </c>
      <c r="K135" s="103" t="str">
        <f>HYPERLINK("E:\PropInv\MF\Austin\Metric Blvd_11700_Lincoln Oaks_Austin_00143","Metric Blvd_11700_Lincoln Oaks_Austin_00143" )</f>
        <v>Metric Blvd_11700_Lincoln Oaks_Austin_00143</v>
      </c>
      <c r="L135" s="104" t="s">
        <v>22253</v>
      </c>
      <c r="M135" s="103" t="str">
        <f t="shared" si="13"/>
        <v>http://oconnordata.com/mlink/modules/profile/index.cfm?action=profile&amp;prop_id=143</v>
      </c>
      <c r="N135" s="1" t="str">
        <f t="shared" si="14"/>
        <v>00143</v>
      </c>
    </row>
    <row r="136" spans="1:14" x14ac:dyDescent="0.3">
      <c r="A136" s="1">
        <v>144</v>
      </c>
      <c r="B136" s="7" t="s">
        <v>240</v>
      </c>
      <c r="C136" s="12">
        <v>6503</v>
      </c>
      <c r="D136" s="7" t="s">
        <v>241</v>
      </c>
      <c r="E136" s="13" t="s">
        <v>7</v>
      </c>
      <c r="F136" t="str">
        <f t="shared" si="10"/>
        <v>Bluff</v>
      </c>
      <c r="G136" t="str">
        <f t="shared" si="11"/>
        <v>Bluff6503Austin</v>
      </c>
      <c r="H136" t="s">
        <v>30994</v>
      </c>
      <c r="I136" t="s">
        <v>22431</v>
      </c>
      <c r="J136" t="str">
        <f t="shared" si="12"/>
        <v>E:\PropInv\MF</v>
      </c>
      <c r="K136" s="103" t="str">
        <f>HYPERLINK("E:\PropInv\MF\Austin\Bluff Springs Rd_6503_Mission Reilly Ridge_Austin_00144","Bluff Springs Rd_6503_Mission Reilly Ridge_Austin_00144" )</f>
        <v>Bluff Springs Rd_6503_Mission Reilly Ridge_Austin_00144</v>
      </c>
      <c r="L136" s="104" t="s">
        <v>22253</v>
      </c>
      <c r="M136" s="103" t="str">
        <f t="shared" si="13"/>
        <v>http://oconnordata.com/mlink/modules/profile/index.cfm?action=profile&amp;prop_id=144</v>
      </c>
      <c r="N136" s="1" t="str">
        <f t="shared" si="14"/>
        <v>00144</v>
      </c>
    </row>
    <row r="137" spans="1:14" x14ac:dyDescent="0.3">
      <c r="A137" s="1">
        <v>145</v>
      </c>
      <c r="B137" s="7" t="s">
        <v>214</v>
      </c>
      <c r="C137" s="12">
        <v>1912</v>
      </c>
      <c r="D137" s="7" t="s">
        <v>242</v>
      </c>
      <c r="E137" s="13" t="s">
        <v>7</v>
      </c>
      <c r="F137" t="str">
        <f t="shared" si="10"/>
        <v>William</v>
      </c>
      <c r="G137" t="str">
        <f t="shared" si="11"/>
        <v>William1912Austin</v>
      </c>
      <c r="H137" t="s">
        <v>30995</v>
      </c>
      <c r="I137" t="s">
        <v>22432</v>
      </c>
      <c r="J137" t="str">
        <f t="shared" si="12"/>
        <v>E:\PropInv\MF</v>
      </c>
      <c r="K137" s="103" t="str">
        <f>HYPERLINK("E:\PropInv\MF\Austin\William Cannon Dr E_1912_Logan's Mill_Austin_00145","William Cannon Dr E_1912_Logan's Mill_Austin_00145" )</f>
        <v>William Cannon Dr E_1912_Logan's Mill_Austin_00145</v>
      </c>
      <c r="L137" s="104" t="s">
        <v>22253</v>
      </c>
      <c r="M137" s="103" t="str">
        <f t="shared" si="13"/>
        <v>http://oconnordata.com/mlink/modules/profile/index.cfm?action=profile&amp;prop_id=145</v>
      </c>
      <c r="N137" s="1" t="str">
        <f t="shared" si="14"/>
        <v>00145</v>
      </c>
    </row>
    <row r="138" spans="1:14" x14ac:dyDescent="0.3">
      <c r="A138" s="1">
        <v>146</v>
      </c>
      <c r="B138" s="7" t="s">
        <v>62</v>
      </c>
      <c r="C138" s="12">
        <v>2400</v>
      </c>
      <c r="D138" s="7" t="s">
        <v>243</v>
      </c>
      <c r="E138" s="13" t="s">
        <v>7</v>
      </c>
      <c r="F138" t="str">
        <f t="shared" si="10"/>
        <v>Town</v>
      </c>
      <c r="G138" t="str">
        <f t="shared" si="11"/>
        <v>Town2400Austin</v>
      </c>
      <c r="H138" t="s">
        <v>30996</v>
      </c>
      <c r="I138" t="s">
        <v>22433</v>
      </c>
      <c r="J138" t="str">
        <f t="shared" si="12"/>
        <v>E:\PropInv\MF</v>
      </c>
      <c r="K138" s="103" t="str">
        <f>HYPERLINK("E:\PropInv\MF\Austin\Town Lake Cir_2400_London Square_Austin_00146","Town Lake Cir_2400_London Square_Austin_00146" )</f>
        <v>Town Lake Cir_2400_London Square_Austin_00146</v>
      </c>
      <c r="L138" s="104" t="s">
        <v>22253</v>
      </c>
      <c r="M138" s="103" t="str">
        <f t="shared" si="13"/>
        <v>http://oconnordata.com/mlink/modules/profile/index.cfm?action=profile&amp;prop_id=146</v>
      </c>
      <c r="N138" s="1" t="str">
        <f t="shared" si="14"/>
        <v>00146</v>
      </c>
    </row>
    <row r="139" spans="1:14" x14ac:dyDescent="0.3">
      <c r="A139" s="1">
        <v>147</v>
      </c>
      <c r="B139" s="7" t="s">
        <v>244</v>
      </c>
      <c r="C139" s="12">
        <v>401</v>
      </c>
      <c r="D139" s="7" t="s">
        <v>245</v>
      </c>
      <c r="E139" s="13" t="s">
        <v>7</v>
      </c>
      <c r="F139" t="str">
        <f t="shared" si="10"/>
        <v>Masterson</v>
      </c>
      <c r="G139" t="str">
        <f t="shared" si="11"/>
        <v>Masterson401Austin</v>
      </c>
      <c r="H139" t="s">
        <v>30997</v>
      </c>
      <c r="I139" t="s">
        <v>13670</v>
      </c>
      <c r="J139" t="str">
        <f t="shared" si="12"/>
        <v>E:\PropInv\MF</v>
      </c>
      <c r="K139" s="103" t="str">
        <f>HYPERLINK("E:\PropInv\MF\Austin\Masterson Pass_401_Longbranch_Austin_00147","Masterson Pass_401_Longbranch_Austin_00147" )</f>
        <v>Masterson Pass_401_Longbranch_Austin_00147</v>
      </c>
      <c r="L139" s="104" t="s">
        <v>22253</v>
      </c>
      <c r="M139" s="103" t="str">
        <f t="shared" si="13"/>
        <v>http://oconnordata.com/mlink/modules/profile/index.cfm?action=profile&amp;prop_id=147</v>
      </c>
      <c r="N139" s="1" t="str">
        <f t="shared" si="14"/>
        <v>00147</v>
      </c>
    </row>
    <row r="140" spans="1:14" x14ac:dyDescent="0.3">
      <c r="A140" s="1">
        <v>148</v>
      </c>
      <c r="B140" s="7" t="s">
        <v>246</v>
      </c>
      <c r="C140" s="12">
        <v>1201</v>
      </c>
      <c r="D140" s="7" t="s">
        <v>247</v>
      </c>
      <c r="E140" s="13" t="s">
        <v>18</v>
      </c>
      <c r="F140" t="str">
        <f t="shared" si="10"/>
        <v>Main</v>
      </c>
      <c r="G140" t="str">
        <f t="shared" si="11"/>
        <v>Main1201Round Rock</v>
      </c>
      <c r="H140" t="s">
        <v>30998</v>
      </c>
      <c r="I140" t="s">
        <v>22434</v>
      </c>
      <c r="J140" t="str">
        <f t="shared" si="12"/>
        <v>E:\PropInv\MF</v>
      </c>
      <c r="K140" s="103" t="str">
        <f>HYPERLINK("E:\PropInv\MF\Round Rock\Main St E_1201_Main Street Square_Round Rock_00148","Main St E_1201_Main Street Square_Round Rock_00148" )</f>
        <v>Main St E_1201_Main Street Square_Round Rock_00148</v>
      </c>
      <c r="L140" s="104" t="s">
        <v>22253</v>
      </c>
      <c r="M140" s="103" t="str">
        <f t="shared" si="13"/>
        <v>http://oconnordata.com/mlink/modules/profile/index.cfm?action=profile&amp;prop_id=148</v>
      </c>
      <c r="N140" s="1" t="str">
        <f t="shared" si="14"/>
        <v>00148</v>
      </c>
    </row>
    <row r="141" spans="1:14" x14ac:dyDescent="0.3">
      <c r="A141" s="1">
        <v>149</v>
      </c>
      <c r="B141" s="7" t="s">
        <v>37</v>
      </c>
      <c r="C141" s="12">
        <v>8600</v>
      </c>
      <c r="D141" s="7" t="s">
        <v>248</v>
      </c>
      <c r="E141" s="13" t="s">
        <v>7</v>
      </c>
      <c r="F141" t="str">
        <f t="shared" si="10"/>
        <v>Lamar</v>
      </c>
      <c r="G141" t="str">
        <f t="shared" si="11"/>
        <v>Lamar8600Austin</v>
      </c>
      <c r="H141" t="s">
        <v>30999</v>
      </c>
      <c r="I141" t="s">
        <v>22435</v>
      </c>
      <c r="J141" t="str">
        <f t="shared" si="12"/>
        <v>E:\PropInv\MF</v>
      </c>
      <c r="K141" s="103" t="str">
        <f>HYPERLINK("E:\PropInv\MF\Austin\Lamar Blvd N_8600_The Palms on Lamar_Austin_00149","Lamar Blvd N_8600_The Palms on Lamar_Austin_00149" )</f>
        <v>Lamar Blvd N_8600_The Palms on Lamar_Austin_00149</v>
      </c>
      <c r="L141" s="104" t="s">
        <v>22253</v>
      </c>
      <c r="M141" s="103" t="str">
        <f t="shared" si="13"/>
        <v>http://oconnordata.com/mlink/modules/profile/index.cfm?action=profile&amp;prop_id=149</v>
      </c>
      <c r="N141" s="1" t="str">
        <f t="shared" si="14"/>
        <v>00149</v>
      </c>
    </row>
    <row r="142" spans="1:14" x14ac:dyDescent="0.3">
      <c r="A142" s="1">
        <v>150</v>
      </c>
      <c r="B142" s="7" t="s">
        <v>249</v>
      </c>
      <c r="C142" s="12">
        <v>9500</v>
      </c>
      <c r="D142" s="7" t="s">
        <v>250</v>
      </c>
      <c r="E142" s="13" t="s">
        <v>7</v>
      </c>
      <c r="F142" t="str">
        <f t="shared" si="10"/>
        <v>Dessau</v>
      </c>
      <c r="G142" t="str">
        <f t="shared" si="11"/>
        <v>Dessau9500Austin</v>
      </c>
      <c r="H142" t="s">
        <v>31000</v>
      </c>
      <c r="I142" t="s">
        <v>22436</v>
      </c>
      <c r="J142" t="str">
        <f t="shared" si="12"/>
        <v>E:\PropInv\MF</v>
      </c>
      <c r="K142" s="103" t="str">
        <f>HYPERLINK("E:\PropInv\MF\Austin\Dessau Rd_9500_Marlborough Square_Austin_00150","Dessau Rd_9500_Marlborough Square_Austin_00150" )</f>
        <v>Dessau Rd_9500_Marlborough Square_Austin_00150</v>
      </c>
      <c r="L142" s="104" t="s">
        <v>22253</v>
      </c>
      <c r="M142" s="103" t="str">
        <f t="shared" si="13"/>
        <v>http://oconnordata.com/mlink/modules/profile/index.cfm?action=profile&amp;prop_id=150</v>
      </c>
      <c r="N142" s="1" t="str">
        <f t="shared" si="14"/>
        <v>00150</v>
      </c>
    </row>
    <row r="143" spans="1:14" x14ac:dyDescent="0.3">
      <c r="A143" s="1">
        <v>151</v>
      </c>
      <c r="B143" s="7" t="s">
        <v>156</v>
      </c>
      <c r="C143" s="12">
        <v>12330</v>
      </c>
      <c r="D143" s="7" t="s">
        <v>251</v>
      </c>
      <c r="E143" s="13" t="s">
        <v>7</v>
      </c>
      <c r="F143" t="str">
        <f t="shared" si="10"/>
        <v>Metric</v>
      </c>
      <c r="G143" t="str">
        <f t="shared" si="11"/>
        <v>Metric12330Austin</v>
      </c>
      <c r="H143" t="s">
        <v>31001</v>
      </c>
      <c r="I143" t="s">
        <v>22437</v>
      </c>
      <c r="J143" t="str">
        <f t="shared" si="12"/>
        <v>E:\PropInv\MF</v>
      </c>
      <c r="K143" s="103" t="str">
        <f>HYPERLINK("E:\PropInv\MF\Austin\Metric Blvd_12330_Venterra at Waters Edge_Austin_00151","Metric Blvd_12330_Venterra at Waters Edge_Austin_00151" )</f>
        <v>Metric Blvd_12330_Venterra at Waters Edge_Austin_00151</v>
      </c>
      <c r="L143" s="104" t="s">
        <v>22253</v>
      </c>
      <c r="M143" s="103" t="str">
        <f t="shared" si="13"/>
        <v>http://oconnordata.com/mlink/modules/profile/index.cfm?action=profile&amp;prop_id=151</v>
      </c>
      <c r="N143" s="1" t="str">
        <f t="shared" si="14"/>
        <v>00151</v>
      </c>
    </row>
    <row r="144" spans="1:14" x14ac:dyDescent="0.3">
      <c r="A144" s="1">
        <v>152</v>
      </c>
      <c r="B144" s="7" t="s">
        <v>252</v>
      </c>
      <c r="C144" s="12">
        <v>7920</v>
      </c>
      <c r="D144" s="7" t="s">
        <v>253</v>
      </c>
      <c r="E144" s="13" t="s">
        <v>7</v>
      </c>
      <c r="F144" t="str">
        <f t="shared" si="10"/>
        <v>San</v>
      </c>
      <c r="G144" t="str">
        <f t="shared" si="11"/>
        <v>San7920Austin</v>
      </c>
      <c r="H144" t="s">
        <v>31002</v>
      </c>
      <c r="I144" t="s">
        <v>22438</v>
      </c>
      <c r="J144" t="str">
        <f t="shared" si="12"/>
        <v>E:\PropInv\MF</v>
      </c>
      <c r="K144" s="103" t="str">
        <f>HYPERLINK("E:\PropInv\MF\Austin\San Felipe Blvd_7920_Marthas Vineyard_Austin_00152","San Felipe Blvd_7920_Marthas Vineyard_Austin_00152" )</f>
        <v>San Felipe Blvd_7920_Marthas Vineyard_Austin_00152</v>
      </c>
      <c r="L144" s="104" t="s">
        <v>22253</v>
      </c>
      <c r="M144" s="103" t="str">
        <f t="shared" si="13"/>
        <v>http://oconnordata.com/mlink/modules/profile/index.cfm?action=profile&amp;prop_id=152</v>
      </c>
      <c r="N144" s="1" t="str">
        <f t="shared" si="14"/>
        <v>00152</v>
      </c>
    </row>
    <row r="145" spans="1:14" x14ac:dyDescent="0.3">
      <c r="A145" s="1">
        <v>154</v>
      </c>
      <c r="B145" s="7" t="s">
        <v>35</v>
      </c>
      <c r="C145" s="12">
        <v>10507</v>
      </c>
      <c r="D145" s="7" t="s">
        <v>254</v>
      </c>
      <c r="E145" s="13" t="s">
        <v>7</v>
      </c>
      <c r="F145" t="str">
        <f t="shared" si="10"/>
        <v>Mellow</v>
      </c>
      <c r="G145" t="str">
        <f t="shared" si="11"/>
        <v>Mellow10507Austin</v>
      </c>
      <c r="H145" t="s">
        <v>31003</v>
      </c>
      <c r="I145" t="s">
        <v>22439</v>
      </c>
      <c r="J145" t="str">
        <f t="shared" si="12"/>
        <v>E:\PropInv\MF</v>
      </c>
      <c r="K145" s="103" t="str">
        <f>HYPERLINK("E:\PropInv\MF\Austin\Mellow Meadow Dr_10507_The Meadows_Austin_00154","Mellow Meadow Dr_10507_The Meadows_Austin_00154" )</f>
        <v>Mellow Meadow Dr_10507_The Meadows_Austin_00154</v>
      </c>
      <c r="L145" s="104" t="s">
        <v>22253</v>
      </c>
      <c r="M145" s="103" t="str">
        <f t="shared" si="13"/>
        <v>http://oconnordata.com/mlink/modules/profile/index.cfm?action=profile&amp;prop_id=154</v>
      </c>
      <c r="N145" s="1" t="str">
        <f t="shared" si="14"/>
        <v>00154</v>
      </c>
    </row>
    <row r="146" spans="1:14" x14ac:dyDescent="0.3">
      <c r="A146" s="1">
        <v>155</v>
      </c>
      <c r="B146" s="7" t="s">
        <v>255</v>
      </c>
      <c r="C146" s="12" t="s">
        <v>256</v>
      </c>
      <c r="D146" s="7" t="s">
        <v>257</v>
      </c>
      <c r="E146" s="13" t="s">
        <v>7</v>
      </c>
      <c r="F146" t="str">
        <f t="shared" si="10"/>
        <v>Melrose</v>
      </c>
      <c r="G146" t="str">
        <f t="shared" si="11"/>
        <v>Melrose6511-BAustin</v>
      </c>
      <c r="H146" t="s">
        <v>31004</v>
      </c>
      <c r="I146" t="s">
        <v>22440</v>
      </c>
      <c r="J146" t="str">
        <f t="shared" si="12"/>
        <v>E:\PropInv\MF</v>
      </c>
      <c r="K146" s="103" t="str">
        <f>HYPERLINK("E:\PropInv\MF\Austin\Melrose Trl_6511-B_Melrose Place_Austin_00155","Melrose Trl_6511-B_Melrose Place_Austin_00155" )</f>
        <v>Melrose Trl_6511-B_Melrose Place_Austin_00155</v>
      </c>
      <c r="L146" s="104" t="s">
        <v>22253</v>
      </c>
      <c r="M146" s="103" t="str">
        <f t="shared" si="13"/>
        <v>http://oconnordata.com/mlink/modules/profile/index.cfm?action=profile&amp;prop_id=155</v>
      </c>
      <c r="N146" s="1" t="str">
        <f t="shared" si="14"/>
        <v>00155</v>
      </c>
    </row>
    <row r="147" spans="1:14" x14ac:dyDescent="0.3">
      <c r="A147" s="1">
        <v>156</v>
      </c>
      <c r="B147" s="7" t="s">
        <v>163</v>
      </c>
      <c r="C147" s="12">
        <v>5413</v>
      </c>
      <c r="D147" s="7" t="s">
        <v>258</v>
      </c>
      <c r="E147" s="13" t="s">
        <v>7</v>
      </c>
      <c r="F147" t="str">
        <f t="shared" si="10"/>
        <v>Manchaca</v>
      </c>
      <c r="G147" t="str">
        <f t="shared" si="11"/>
        <v>Manchaca5413Austin</v>
      </c>
      <c r="H147" t="s">
        <v>31005</v>
      </c>
      <c r="I147" t="s">
        <v>22441</v>
      </c>
      <c r="J147" t="str">
        <f t="shared" si="12"/>
        <v>E:\PropInv\MF</v>
      </c>
      <c r="K147" s="103" t="str">
        <f>HYPERLINK("E:\PropInv\MF\Austin\Manchaca Rd_5413_Tramor at the Oaks_Austin_00156","Manchaca Rd_5413_Tramor at the Oaks_Austin_00156" )</f>
        <v>Manchaca Rd_5413_Tramor at the Oaks_Austin_00156</v>
      </c>
      <c r="L147" s="104" t="s">
        <v>22253</v>
      </c>
      <c r="M147" s="103" t="str">
        <f t="shared" si="13"/>
        <v>http://oconnordata.com/mlink/modules/profile/index.cfm?action=profile&amp;prop_id=156</v>
      </c>
      <c r="N147" s="1" t="str">
        <f t="shared" si="14"/>
        <v>00156</v>
      </c>
    </row>
    <row r="148" spans="1:14" x14ac:dyDescent="0.3">
      <c r="A148" s="1">
        <v>157</v>
      </c>
      <c r="B148" s="7" t="s">
        <v>259</v>
      </c>
      <c r="C148" s="12">
        <v>3201</v>
      </c>
      <c r="D148" s="7" t="s">
        <v>260</v>
      </c>
      <c r="E148" s="13" t="s">
        <v>7</v>
      </c>
      <c r="F148" t="str">
        <f t="shared" si="10"/>
        <v>Duval</v>
      </c>
      <c r="G148" t="str">
        <f t="shared" si="11"/>
        <v>Duval3201Austin</v>
      </c>
      <c r="H148" t="s">
        <v>31006</v>
      </c>
      <c r="I148" t="s">
        <v>22442</v>
      </c>
      <c r="J148" t="str">
        <f t="shared" si="12"/>
        <v>E:\PropInv\MF</v>
      </c>
      <c r="K148" s="103" t="str">
        <f>HYPERLINK("E:\PropInv\MF\Austin\Duval Rd_3201_Mesa Verde_Austin_00157","Duval Rd_3201_Mesa Verde_Austin_00157" )</f>
        <v>Duval Rd_3201_Mesa Verde_Austin_00157</v>
      </c>
      <c r="L148" s="104" t="s">
        <v>22253</v>
      </c>
      <c r="M148" s="103" t="str">
        <f t="shared" si="13"/>
        <v>http://oconnordata.com/mlink/modules/profile/index.cfm?action=profile&amp;prop_id=157</v>
      </c>
      <c r="N148" s="1" t="str">
        <f t="shared" si="14"/>
        <v>00157</v>
      </c>
    </row>
    <row r="149" spans="1:14" x14ac:dyDescent="0.3">
      <c r="A149" s="1">
        <v>158</v>
      </c>
      <c r="B149" s="7" t="s">
        <v>261</v>
      </c>
      <c r="C149" s="12">
        <v>3111</v>
      </c>
      <c r="D149" s="7" t="s">
        <v>262</v>
      </c>
      <c r="E149" s="13" t="s">
        <v>7</v>
      </c>
      <c r="F149" t="str">
        <f t="shared" si="10"/>
        <v>Parker</v>
      </c>
      <c r="G149" t="str">
        <f t="shared" si="11"/>
        <v>Parker3111Austin</v>
      </c>
      <c r="H149" t="s">
        <v>31007</v>
      </c>
      <c r="I149" t="s">
        <v>22443</v>
      </c>
      <c r="J149" t="str">
        <f t="shared" si="12"/>
        <v>E:\PropInv\MF</v>
      </c>
      <c r="K149" s="103" t="str">
        <f>HYPERLINK("E:\PropInv\MF\Austin\Parker Ln_3111_Montecito_Austin_00158","Parker Ln_3111_Montecito_Austin_00158" )</f>
        <v>Parker Ln_3111_Montecito_Austin_00158</v>
      </c>
      <c r="L149" s="104" t="s">
        <v>22253</v>
      </c>
      <c r="M149" s="103" t="str">
        <f t="shared" si="13"/>
        <v>http://oconnordata.com/mlink/modules/profile/index.cfm?action=profile&amp;prop_id=158</v>
      </c>
      <c r="N149" s="1" t="str">
        <f t="shared" si="14"/>
        <v>00158</v>
      </c>
    </row>
    <row r="150" spans="1:14" x14ac:dyDescent="0.3">
      <c r="A150" s="1">
        <v>159</v>
      </c>
      <c r="B150" s="7" t="s">
        <v>67</v>
      </c>
      <c r="C150" s="12">
        <v>6000</v>
      </c>
      <c r="D150" s="7" t="s">
        <v>263</v>
      </c>
      <c r="E150" s="13" t="s">
        <v>7</v>
      </c>
      <c r="F150" t="str">
        <f t="shared" si="10"/>
        <v>Shepherd</v>
      </c>
      <c r="G150" t="str">
        <f t="shared" si="11"/>
        <v>Shepherd6000Austin</v>
      </c>
      <c r="H150" t="s">
        <v>31008</v>
      </c>
      <c r="I150" t="s">
        <v>22444</v>
      </c>
      <c r="J150" t="str">
        <f t="shared" si="12"/>
        <v>E:\PropInv\MF</v>
      </c>
      <c r="K150" s="103" t="str">
        <f>HYPERLINK("E:\PropInv\MF\Austin\Shepherd Mountain Cove_6000_Monte Vista Condos_Austin_00159","Shepherd Mountain Cove_6000_Monte Vista Condos_Austin_00159" )</f>
        <v>Shepherd Mountain Cove_6000_Monte Vista Condos_Austin_00159</v>
      </c>
      <c r="L150" s="104" t="s">
        <v>22253</v>
      </c>
      <c r="M150" s="103" t="str">
        <f t="shared" si="13"/>
        <v>http://oconnordata.com/mlink/modules/profile/index.cfm?action=profile&amp;prop_id=159</v>
      </c>
      <c r="N150" s="1" t="str">
        <f t="shared" si="14"/>
        <v>00159</v>
      </c>
    </row>
    <row r="151" spans="1:14" x14ac:dyDescent="0.3">
      <c r="A151" s="1">
        <v>160</v>
      </c>
      <c r="B151" s="7" t="s">
        <v>173</v>
      </c>
      <c r="C151" s="12">
        <v>1930</v>
      </c>
      <c r="D151" s="7" t="s">
        <v>264</v>
      </c>
      <c r="E151" s="13" t="s">
        <v>7</v>
      </c>
      <c r="F151" t="str">
        <f t="shared" si="10"/>
        <v>Rundberg</v>
      </c>
      <c r="G151" t="str">
        <f t="shared" si="11"/>
        <v>Rundberg1930Austin</v>
      </c>
      <c r="H151" t="s">
        <v>31009</v>
      </c>
      <c r="I151" t="s">
        <v>22445</v>
      </c>
      <c r="J151" t="str">
        <f t="shared" si="12"/>
        <v>E:\PropInv\MF</v>
      </c>
      <c r="K151" s="103" t="str">
        <f>HYPERLINK("E:\PropInv\MF\Austin\Rundberg Ln W_1930_Meridian_Austin_00160","Rundberg Ln W_1930_Meridian_Austin_00160" )</f>
        <v>Rundberg Ln W_1930_Meridian_Austin_00160</v>
      </c>
      <c r="L151" s="104" t="s">
        <v>22253</v>
      </c>
      <c r="M151" s="103" t="str">
        <f t="shared" si="13"/>
        <v>http://oconnordata.com/mlink/modules/profile/index.cfm?action=profile&amp;prop_id=160</v>
      </c>
      <c r="N151" s="1" t="str">
        <f t="shared" si="14"/>
        <v>00160</v>
      </c>
    </row>
    <row r="152" spans="1:14" x14ac:dyDescent="0.3">
      <c r="A152" s="1">
        <v>161</v>
      </c>
      <c r="B152" s="7" t="s">
        <v>43</v>
      </c>
      <c r="C152" s="12">
        <v>2101</v>
      </c>
      <c r="D152" s="7" t="s">
        <v>265</v>
      </c>
      <c r="E152" s="13" t="s">
        <v>7</v>
      </c>
      <c r="F152" t="str">
        <f t="shared" si="10"/>
        <v>Anderson</v>
      </c>
      <c r="G152" t="str">
        <f t="shared" si="11"/>
        <v>Anderson2101Austin</v>
      </c>
      <c r="H152" t="s">
        <v>31010</v>
      </c>
      <c r="I152" t="s">
        <v>22446</v>
      </c>
      <c r="J152" t="str">
        <f t="shared" si="12"/>
        <v>E:\PropInv\MF</v>
      </c>
      <c r="K152" s="103" t="str">
        <f>HYPERLINK("E:\PropInv\MF\Austin\Anderson Ln W_2101_North Village_Austin_00161","Anderson Ln W_2101_North Village_Austin_00161" )</f>
        <v>Anderson Ln W_2101_North Village_Austin_00161</v>
      </c>
      <c r="L152" s="104" t="s">
        <v>22253</v>
      </c>
      <c r="M152" s="103" t="str">
        <f t="shared" si="13"/>
        <v>http://oconnordata.com/mlink/modules/profile/index.cfm?action=profile&amp;prop_id=161</v>
      </c>
      <c r="N152" s="1" t="str">
        <f t="shared" si="14"/>
        <v>00161</v>
      </c>
    </row>
    <row r="153" spans="1:14" x14ac:dyDescent="0.3">
      <c r="A153" s="1">
        <v>162</v>
      </c>
      <c r="B153" s="7" t="s">
        <v>266</v>
      </c>
      <c r="C153" s="12">
        <v>9601</v>
      </c>
      <c r="D153" s="7" t="s">
        <v>267</v>
      </c>
      <c r="E153" s="13" t="s">
        <v>7</v>
      </c>
      <c r="F153" t="str">
        <f t="shared" si="10"/>
        <v>Middle</v>
      </c>
      <c r="G153" t="str">
        <f t="shared" si="11"/>
        <v>Middle9601Austin</v>
      </c>
      <c r="H153" t="s">
        <v>31011</v>
      </c>
      <c r="I153" t="s">
        <v>22447</v>
      </c>
      <c r="J153" t="str">
        <f t="shared" si="12"/>
        <v>E:\PropInv\MF</v>
      </c>
      <c r="K153" s="103" t="str">
        <f>HYPERLINK("E:\PropInv\MF\Austin\Middle Fiskville Rd_9601_Meadowood_Austin_00162","Middle Fiskville Rd_9601_Meadowood_Austin_00162" )</f>
        <v>Middle Fiskville Rd_9601_Meadowood_Austin_00162</v>
      </c>
      <c r="L153" s="104" t="s">
        <v>22253</v>
      </c>
      <c r="M153" s="103" t="str">
        <f t="shared" si="13"/>
        <v>http://oconnordata.com/mlink/modules/profile/index.cfm?action=profile&amp;prop_id=162</v>
      </c>
      <c r="N153" s="1" t="str">
        <f t="shared" si="14"/>
        <v>00162</v>
      </c>
    </row>
    <row r="154" spans="1:14" x14ac:dyDescent="0.3">
      <c r="A154" s="1">
        <v>163</v>
      </c>
      <c r="B154" s="7" t="s">
        <v>268</v>
      </c>
      <c r="C154" s="12">
        <v>8100</v>
      </c>
      <c r="D154" s="7" t="s">
        <v>269</v>
      </c>
      <c r="E154" s="13" t="s">
        <v>7</v>
      </c>
      <c r="F154" t="str">
        <f t="shared" si="10"/>
        <v>Mopac</v>
      </c>
      <c r="G154" t="str">
        <f t="shared" si="11"/>
        <v>Mopac8100Austin</v>
      </c>
      <c r="H154" t="s">
        <v>31012</v>
      </c>
      <c r="I154" t="s">
        <v>22448</v>
      </c>
      <c r="J154" t="str">
        <f t="shared" si="12"/>
        <v>E:\PropInv\MF</v>
      </c>
      <c r="K154" s="103" t="str">
        <f>HYPERLINK("E:\PropInv\MF\Austin\Mopac Expwy N_8100_The Place at Terracina_Austin_00163","Mopac Expwy N_8100_The Place at Terracina_Austin_00163" )</f>
        <v>Mopac Expwy N_8100_The Place at Terracina_Austin_00163</v>
      </c>
      <c r="L154" s="104" t="s">
        <v>22253</v>
      </c>
      <c r="M154" s="103" t="str">
        <f t="shared" si="13"/>
        <v>http://oconnordata.com/mlink/modules/profile/index.cfm?action=profile&amp;prop_id=163</v>
      </c>
      <c r="N154" s="1" t="str">
        <f t="shared" si="14"/>
        <v>00163</v>
      </c>
    </row>
    <row r="155" spans="1:14" x14ac:dyDescent="0.3">
      <c r="A155" s="1">
        <v>164</v>
      </c>
      <c r="B155" s="7" t="s">
        <v>173</v>
      </c>
      <c r="C155" s="12">
        <v>306</v>
      </c>
      <c r="D155" s="7" t="s">
        <v>270</v>
      </c>
      <c r="E155" s="13" t="s">
        <v>7</v>
      </c>
      <c r="F155" t="str">
        <f t="shared" si="10"/>
        <v>Rundberg</v>
      </c>
      <c r="G155" t="str">
        <f t="shared" si="11"/>
        <v>Rundberg306Austin</v>
      </c>
      <c r="H155" t="s">
        <v>31013</v>
      </c>
      <c r="I155" t="s">
        <v>22449</v>
      </c>
      <c r="J155" t="str">
        <f t="shared" si="12"/>
        <v>E:\PropInv\MF</v>
      </c>
      <c r="K155" s="103" t="str">
        <f>HYPERLINK("E:\PropInv\MF\Austin\Rundberg Ln W_306_Northchase_Austin_00164","Rundberg Ln W_306_Northchase_Austin_00164" )</f>
        <v>Rundberg Ln W_306_Northchase_Austin_00164</v>
      </c>
      <c r="L155" s="104" t="s">
        <v>22253</v>
      </c>
      <c r="M155" s="103" t="str">
        <f t="shared" si="13"/>
        <v>http://oconnordata.com/mlink/modules/profile/index.cfm?action=profile&amp;prop_id=164</v>
      </c>
      <c r="N155" s="1" t="str">
        <f t="shared" si="14"/>
        <v>00164</v>
      </c>
    </row>
    <row r="156" spans="1:14" x14ac:dyDescent="0.3">
      <c r="A156" s="1">
        <v>165</v>
      </c>
      <c r="B156" s="7" t="s">
        <v>271</v>
      </c>
      <c r="C156" s="12">
        <v>2819</v>
      </c>
      <c r="D156" s="7" t="s">
        <v>272</v>
      </c>
      <c r="E156" s="13" t="s">
        <v>7</v>
      </c>
      <c r="F156" t="str">
        <f t="shared" si="10"/>
        <v>Foster</v>
      </c>
      <c r="G156" t="str">
        <f t="shared" si="11"/>
        <v>Foster2819Austin</v>
      </c>
      <c r="H156" t="s">
        <v>31014</v>
      </c>
      <c r="I156" t="s">
        <v>22450</v>
      </c>
      <c r="J156" t="str">
        <f t="shared" si="12"/>
        <v>E:\PropInv\MF</v>
      </c>
      <c r="K156" s="103" t="str">
        <f>HYPERLINK("E:\PropInv\MF\Austin\Foster Ln_2819_The Park at Allandale_Austin_00165","Foster Ln_2819_The Park at Allandale_Austin_00165" )</f>
        <v>Foster Ln_2819_The Park at Allandale_Austin_00165</v>
      </c>
      <c r="L156" s="104" t="s">
        <v>22253</v>
      </c>
      <c r="M156" s="103" t="str">
        <f t="shared" si="13"/>
        <v>http://oconnordata.com/mlink/modules/profile/index.cfm?action=profile&amp;prop_id=165</v>
      </c>
      <c r="N156" s="1" t="str">
        <f t="shared" si="14"/>
        <v>00165</v>
      </c>
    </row>
    <row r="157" spans="1:14" x14ac:dyDescent="0.3">
      <c r="A157" s="1">
        <v>166</v>
      </c>
      <c r="B157" s="7" t="s">
        <v>120</v>
      </c>
      <c r="C157" s="12">
        <v>701</v>
      </c>
      <c r="D157" s="7" t="s">
        <v>273</v>
      </c>
      <c r="E157" s="13" t="s">
        <v>7</v>
      </c>
      <c r="F157" t="str">
        <f t="shared" si="10"/>
        <v>Longspur</v>
      </c>
      <c r="G157" t="str">
        <f t="shared" si="11"/>
        <v>Longspur701Austin</v>
      </c>
      <c r="H157" t="s">
        <v>31015</v>
      </c>
      <c r="I157" t="s">
        <v>22451</v>
      </c>
      <c r="J157" t="str">
        <f t="shared" si="12"/>
        <v>E:\PropInv\MF</v>
      </c>
      <c r="K157" s="103" t="str">
        <f>HYPERLINK("E:\PropInv\MF\Austin\Longspur Blvd W_701_Longspur Crossing_Austin_00166","Longspur Blvd W_701_Longspur Crossing_Austin_00166" )</f>
        <v>Longspur Blvd W_701_Longspur Crossing_Austin_00166</v>
      </c>
      <c r="L157" s="104" t="s">
        <v>22253</v>
      </c>
      <c r="M157" s="103" t="str">
        <f t="shared" si="13"/>
        <v>http://oconnordata.com/mlink/modules/profile/index.cfm?action=profile&amp;prop_id=166</v>
      </c>
      <c r="N157" s="1" t="str">
        <f t="shared" si="14"/>
        <v>00166</v>
      </c>
    </row>
    <row r="158" spans="1:14" x14ac:dyDescent="0.3">
      <c r="A158" s="1">
        <v>167</v>
      </c>
      <c r="B158" s="7" t="s">
        <v>274</v>
      </c>
      <c r="C158" s="12">
        <v>1507</v>
      </c>
      <c r="D158" s="7" t="s">
        <v>275</v>
      </c>
      <c r="E158" s="13" t="s">
        <v>7</v>
      </c>
      <c r="F158" t="str">
        <f t="shared" si="10"/>
        <v>Houston</v>
      </c>
      <c r="G158" t="str">
        <f t="shared" si="11"/>
        <v>Houston1507Austin</v>
      </c>
      <c r="H158" t="s">
        <v>31016</v>
      </c>
      <c r="I158" t="s">
        <v>22452</v>
      </c>
      <c r="J158" t="str">
        <f t="shared" si="12"/>
        <v>E:\PropInv\MF</v>
      </c>
      <c r="K158" s="103" t="str">
        <f>HYPERLINK("E:\PropInv\MF\Austin\Houston St_1507_Oak Creek_Austin_00167","Houston St_1507_Oak Creek_Austin_00167" )</f>
        <v>Houston St_1507_Oak Creek_Austin_00167</v>
      </c>
      <c r="L158" s="104" t="s">
        <v>22253</v>
      </c>
      <c r="M158" s="103" t="str">
        <f t="shared" si="13"/>
        <v>http://oconnordata.com/mlink/modules/profile/index.cfm?action=profile&amp;prop_id=167</v>
      </c>
      <c r="N158" s="1" t="str">
        <f t="shared" si="14"/>
        <v>00167</v>
      </c>
    </row>
    <row r="159" spans="1:14" x14ac:dyDescent="0.3">
      <c r="A159" s="1">
        <v>168</v>
      </c>
      <c r="B159" s="7" t="s">
        <v>152</v>
      </c>
      <c r="C159" s="12">
        <v>3625</v>
      </c>
      <c r="D159" s="7" t="s">
        <v>276</v>
      </c>
      <c r="E159" s="13" t="s">
        <v>7</v>
      </c>
      <c r="F159" t="str">
        <f t="shared" si="10"/>
        <v>1st</v>
      </c>
      <c r="G159" t="str">
        <f t="shared" si="11"/>
        <v>1st3625Austin</v>
      </c>
      <c r="H159" t="s">
        <v>31017</v>
      </c>
      <c r="I159" t="s">
        <v>22453</v>
      </c>
      <c r="J159" t="str">
        <f t="shared" si="12"/>
        <v>E:\PropInv\MF</v>
      </c>
      <c r="K159" s="103" t="str">
        <f>HYPERLINK("E:\PropInv\MF\Austin\1st St S_3625_Oak Grove_Austin_00168","1st St S_3625_Oak Grove_Austin_00168" )</f>
        <v>1st St S_3625_Oak Grove_Austin_00168</v>
      </c>
      <c r="L159" s="104" t="s">
        <v>22253</v>
      </c>
      <c r="M159" s="103" t="str">
        <f t="shared" si="13"/>
        <v>http://oconnordata.com/mlink/modules/profile/index.cfm?action=profile&amp;prop_id=168</v>
      </c>
      <c r="N159" s="1" t="str">
        <f t="shared" si="14"/>
        <v>00168</v>
      </c>
    </row>
    <row r="160" spans="1:14" x14ac:dyDescent="0.3">
      <c r="A160" s="1">
        <v>169</v>
      </c>
      <c r="B160" s="7" t="s">
        <v>25</v>
      </c>
      <c r="C160" s="12">
        <v>7201</v>
      </c>
      <c r="D160" s="7" t="s">
        <v>277</v>
      </c>
      <c r="E160" s="13" t="s">
        <v>7</v>
      </c>
      <c r="F160" t="str">
        <f t="shared" si="10"/>
        <v>Wood</v>
      </c>
      <c r="G160" t="str">
        <f t="shared" si="11"/>
        <v>Wood7201Austin</v>
      </c>
      <c r="H160" t="s">
        <v>31018</v>
      </c>
      <c r="I160" t="s">
        <v>22454</v>
      </c>
      <c r="J160" t="str">
        <f t="shared" si="12"/>
        <v>E:\PropInv\MF</v>
      </c>
      <c r="K160" s="103" t="str">
        <f>HYPERLINK("E:\PropInv\MF\Austin\Wood Hollow Dr_7201_Oak Hollow_Austin_00169","Wood Hollow Dr_7201_Oak Hollow_Austin_00169" )</f>
        <v>Wood Hollow Dr_7201_Oak Hollow_Austin_00169</v>
      </c>
      <c r="L160" s="104" t="s">
        <v>22253</v>
      </c>
      <c r="M160" s="103" t="str">
        <f t="shared" si="13"/>
        <v>http://oconnordata.com/mlink/modules/profile/index.cfm?action=profile&amp;prop_id=169</v>
      </c>
      <c r="N160" s="1" t="str">
        <f t="shared" si="14"/>
        <v>00169</v>
      </c>
    </row>
    <row r="161" spans="1:14" x14ac:dyDescent="0.3">
      <c r="A161" s="1">
        <v>170</v>
      </c>
      <c r="B161" s="7" t="s">
        <v>278</v>
      </c>
      <c r="C161" s="12">
        <v>2317</v>
      </c>
      <c r="D161" s="7" t="s">
        <v>279</v>
      </c>
      <c r="E161" s="13" t="s">
        <v>7</v>
      </c>
      <c r="F161" t="str">
        <f t="shared" si="10"/>
        <v>Pleasant</v>
      </c>
      <c r="G161" t="str">
        <f t="shared" si="11"/>
        <v>Pleasant2317Austin</v>
      </c>
      <c r="H161" t="s">
        <v>31019</v>
      </c>
      <c r="I161" t="s">
        <v>22455</v>
      </c>
      <c r="J161" t="str">
        <f t="shared" si="12"/>
        <v>E:\PropInv\MF</v>
      </c>
      <c r="K161" s="103" t="str">
        <f>HYPERLINK("E:\PropInv\MF\Austin\Pleasant Valley Rd S_2317_Arbor Pointe_Austin_00170","Pleasant Valley Rd S_2317_Arbor Pointe_Austin_00170" )</f>
        <v>Pleasant Valley Rd S_2317_Arbor Pointe_Austin_00170</v>
      </c>
      <c r="L161" s="104" t="s">
        <v>22253</v>
      </c>
      <c r="M161" s="103" t="str">
        <f t="shared" si="13"/>
        <v>http://oconnordata.com/mlink/modules/profile/index.cfm?action=profile&amp;prop_id=170</v>
      </c>
      <c r="N161" s="1" t="str">
        <f t="shared" si="14"/>
        <v>00170</v>
      </c>
    </row>
    <row r="162" spans="1:14" x14ac:dyDescent="0.3">
      <c r="A162" s="1">
        <v>171</v>
      </c>
      <c r="B162" s="7" t="s">
        <v>154</v>
      </c>
      <c r="C162" s="12">
        <v>4505</v>
      </c>
      <c r="D162" s="7" t="s">
        <v>280</v>
      </c>
      <c r="E162" s="13" t="s">
        <v>7</v>
      </c>
      <c r="F162" t="str">
        <f t="shared" si="10"/>
        <v>Duval</v>
      </c>
      <c r="G162" t="str">
        <f t="shared" si="11"/>
        <v>Duval4505Austin</v>
      </c>
      <c r="H162" t="s">
        <v>31020</v>
      </c>
      <c r="I162" t="s">
        <v>22456</v>
      </c>
      <c r="J162" t="str">
        <f t="shared" si="12"/>
        <v>E:\PropInv\MF</v>
      </c>
      <c r="K162" s="103" t="str">
        <f>HYPERLINK("E:\PropInv\MF\Austin\Duval St_4505_Oak Park_Austin_00171","Duval St_4505_Oak Park_Austin_00171" )</f>
        <v>Duval St_4505_Oak Park_Austin_00171</v>
      </c>
      <c r="L162" s="104" t="s">
        <v>22253</v>
      </c>
      <c r="M162" s="103" t="str">
        <f t="shared" si="13"/>
        <v>http://oconnordata.com/mlink/modules/profile/index.cfm?action=profile&amp;prop_id=171</v>
      </c>
      <c r="N162" s="1" t="str">
        <f t="shared" si="14"/>
        <v>00171</v>
      </c>
    </row>
    <row r="163" spans="1:14" x14ac:dyDescent="0.3">
      <c r="A163" s="1">
        <v>172</v>
      </c>
      <c r="B163" s="7" t="s">
        <v>281</v>
      </c>
      <c r="C163" s="12">
        <v>3517</v>
      </c>
      <c r="D163" s="7" t="s">
        <v>282</v>
      </c>
      <c r="E163" s="13" t="s">
        <v>7</v>
      </c>
      <c r="F163" t="str">
        <f t="shared" si="10"/>
        <v>Hills</v>
      </c>
      <c r="G163" t="str">
        <f t="shared" si="11"/>
        <v>Hills3517Austin</v>
      </c>
      <c r="H163" t="s">
        <v>31021</v>
      </c>
      <c r="I163" t="s">
        <v>22457</v>
      </c>
      <c r="J163" t="str">
        <f t="shared" si="12"/>
        <v>E:\PropInv\MF</v>
      </c>
      <c r="K163" s="103" t="str">
        <f>HYPERLINK("E:\PropInv\MF\Austin\Hills Dr N_3517_Oak Ridge_Austin_00172","Hills Dr N_3517_Oak Ridge_Austin_00172" )</f>
        <v>Hills Dr N_3517_Oak Ridge_Austin_00172</v>
      </c>
      <c r="L163" s="104" t="s">
        <v>22253</v>
      </c>
      <c r="M163" s="103" t="str">
        <f t="shared" si="13"/>
        <v>http://oconnordata.com/mlink/modules/profile/index.cfm?action=profile&amp;prop_id=172</v>
      </c>
      <c r="N163" s="1" t="str">
        <f t="shared" si="14"/>
        <v>00172</v>
      </c>
    </row>
    <row r="164" spans="1:14" x14ac:dyDescent="0.3">
      <c r="A164" s="1">
        <v>173</v>
      </c>
      <c r="B164" s="7" t="s">
        <v>283</v>
      </c>
      <c r="C164" s="12" t="s">
        <v>284</v>
      </c>
      <c r="D164" s="7" t="s">
        <v>285</v>
      </c>
      <c r="E164" s="13" t="s">
        <v>7</v>
      </c>
      <c r="F164" t="str">
        <f t="shared" si="10"/>
        <v>Woodward</v>
      </c>
      <c r="G164" t="str">
        <f t="shared" si="11"/>
        <v>Woodward1710-1724Austin</v>
      </c>
      <c r="H164" t="s">
        <v>31022</v>
      </c>
      <c r="I164" t="s">
        <v>22458</v>
      </c>
      <c r="J164" t="str">
        <f t="shared" si="12"/>
        <v>E:\PropInv\MF</v>
      </c>
      <c r="K164" s="103" t="str">
        <f>HYPERLINK("E:\PropInv\MF\Austin\Woodward St_1710-1724_Park Lane Villas_Austin_00173","Woodward St_1710-1724_Park Lane Villas_Austin_00173" )</f>
        <v>Woodward St_1710-1724_Park Lane Villas_Austin_00173</v>
      </c>
      <c r="L164" s="104" t="s">
        <v>22253</v>
      </c>
      <c r="M164" s="103" t="str">
        <f t="shared" si="13"/>
        <v>http://oconnordata.com/mlink/modules/profile/index.cfm?action=profile&amp;prop_id=173</v>
      </c>
      <c r="N164" s="1" t="str">
        <f t="shared" si="14"/>
        <v>00173</v>
      </c>
    </row>
    <row r="165" spans="1:14" x14ac:dyDescent="0.3">
      <c r="A165" s="1">
        <v>174</v>
      </c>
      <c r="B165" s="7" t="s">
        <v>286</v>
      </c>
      <c r="C165" s="12">
        <v>5811</v>
      </c>
      <c r="D165" s="7" t="s">
        <v>287</v>
      </c>
      <c r="E165" s="13" t="s">
        <v>7</v>
      </c>
      <c r="F165" t="str">
        <f t="shared" si="10"/>
        <v>Mesa</v>
      </c>
      <c r="G165" t="str">
        <f t="shared" si="11"/>
        <v>Mesa5811Austin</v>
      </c>
      <c r="H165" t="s">
        <v>31023</v>
      </c>
      <c r="I165" t="s">
        <v>22459</v>
      </c>
      <c r="J165" t="str">
        <f t="shared" si="12"/>
        <v>E:\PropInv\MF</v>
      </c>
      <c r="K165" s="103" t="str">
        <f>HYPERLINK("E:\PropInv\MF\Austin\Mesa Dr_5811_Post Park Mesa_Austin_00174","Mesa Dr_5811_Post Park Mesa_Austin_00174" )</f>
        <v>Mesa Dr_5811_Post Park Mesa_Austin_00174</v>
      </c>
      <c r="L165" s="104" t="s">
        <v>22253</v>
      </c>
      <c r="M165" s="103" t="str">
        <f t="shared" si="13"/>
        <v>http://oconnordata.com/mlink/modules/profile/index.cfm?action=profile&amp;prop_id=174</v>
      </c>
      <c r="N165" s="1" t="str">
        <f t="shared" si="14"/>
        <v>00174</v>
      </c>
    </row>
    <row r="166" spans="1:14" x14ac:dyDescent="0.3">
      <c r="A166" s="1">
        <v>175</v>
      </c>
      <c r="B166" s="7" t="s">
        <v>259</v>
      </c>
      <c r="C166" s="12">
        <v>3220</v>
      </c>
      <c r="D166" s="7" t="s">
        <v>288</v>
      </c>
      <c r="E166" s="13" t="s">
        <v>7</v>
      </c>
      <c r="F166" t="str">
        <f t="shared" si="10"/>
        <v>Duval</v>
      </c>
      <c r="G166" t="str">
        <f t="shared" si="11"/>
        <v>Duval3220Austin</v>
      </c>
      <c r="H166" t="s">
        <v>31024</v>
      </c>
      <c r="I166" t="s">
        <v>22460</v>
      </c>
      <c r="J166" t="str">
        <f t="shared" si="12"/>
        <v>E:\PropInv\MF</v>
      </c>
      <c r="K166" s="103" t="str">
        <f>HYPERLINK("E:\PropInv\MF\Austin\Duval Rd_3220_Barrington at Park Place_Austin_00175","Duval Rd_3220_Barrington at Park Place_Austin_00175" )</f>
        <v>Duval Rd_3220_Barrington at Park Place_Austin_00175</v>
      </c>
      <c r="L166" s="104" t="s">
        <v>22253</v>
      </c>
      <c r="M166" s="103" t="str">
        <f t="shared" si="13"/>
        <v>http://oconnordata.com/mlink/modules/profile/index.cfm?action=profile&amp;prop_id=175</v>
      </c>
      <c r="N166" s="1" t="str">
        <f t="shared" si="14"/>
        <v>00175</v>
      </c>
    </row>
    <row r="167" spans="1:14" x14ac:dyDescent="0.3">
      <c r="A167" s="1">
        <v>176</v>
      </c>
      <c r="B167" s="7" t="s">
        <v>41</v>
      </c>
      <c r="C167" s="12">
        <v>1500</v>
      </c>
      <c r="D167" s="7" t="s">
        <v>289</v>
      </c>
      <c r="E167" s="13" t="s">
        <v>7</v>
      </c>
      <c r="F167" t="str">
        <f t="shared" si="10"/>
        <v>Riverside</v>
      </c>
      <c r="G167" t="str">
        <f t="shared" si="11"/>
        <v>Riverside1500Austin</v>
      </c>
      <c r="H167" t="s">
        <v>31025</v>
      </c>
      <c r="I167" t="s">
        <v>22461</v>
      </c>
      <c r="J167" t="str">
        <f t="shared" si="12"/>
        <v>E:\PropInv\MF</v>
      </c>
      <c r="K167" s="103" t="str">
        <f>HYPERLINK("E:\PropInv\MF\Austin\Riverside Dr E_1500_Breakers on the Lake_Austin_00176","Riverside Dr E_1500_Breakers on the Lake_Austin_00176" )</f>
        <v>Riverside Dr E_1500_Breakers on the Lake_Austin_00176</v>
      </c>
      <c r="L167" s="104" t="s">
        <v>22253</v>
      </c>
      <c r="M167" s="103" t="str">
        <f t="shared" si="13"/>
        <v>http://oconnordata.com/mlink/modules/profile/index.cfm?action=profile&amp;prop_id=176</v>
      </c>
      <c r="N167" s="1" t="str">
        <f t="shared" si="14"/>
        <v>00176</v>
      </c>
    </row>
    <row r="168" spans="1:14" x14ac:dyDescent="0.3">
      <c r="A168" s="1">
        <v>177</v>
      </c>
      <c r="B168" s="7" t="s">
        <v>290</v>
      </c>
      <c r="C168" s="12">
        <v>829</v>
      </c>
      <c r="D168" s="7" t="s">
        <v>291</v>
      </c>
      <c r="E168" s="13" t="s">
        <v>7</v>
      </c>
      <c r="F168" t="str">
        <f t="shared" si="10"/>
        <v>Park</v>
      </c>
      <c r="G168" t="str">
        <f t="shared" si="11"/>
        <v>Park829Austin</v>
      </c>
      <c r="H168" t="s">
        <v>31026</v>
      </c>
      <c r="I168" t="s">
        <v>22462</v>
      </c>
      <c r="J168" t="str">
        <f t="shared" si="12"/>
        <v>E:\PropInv\MF</v>
      </c>
      <c r="K168" s="103" t="str">
        <f>HYPERLINK("E:\PropInv\MF\Austin\Park Plaza Dr_829_Park Plaza_Austin_00177","Park Plaza Dr_829_Park Plaza_Austin_00177" )</f>
        <v>Park Plaza Dr_829_Park Plaza_Austin_00177</v>
      </c>
      <c r="L168" s="104" t="s">
        <v>22253</v>
      </c>
      <c r="M168" s="103" t="str">
        <f t="shared" si="13"/>
        <v>http://oconnordata.com/mlink/modules/profile/index.cfm?action=profile&amp;prop_id=177</v>
      </c>
      <c r="N168" s="1" t="str">
        <f t="shared" si="14"/>
        <v>00177</v>
      </c>
    </row>
    <row r="169" spans="1:14" x14ac:dyDescent="0.3">
      <c r="A169" s="1">
        <v>178</v>
      </c>
      <c r="B169" s="7" t="s">
        <v>35</v>
      </c>
      <c r="C169" s="12">
        <v>10616</v>
      </c>
      <c r="D169" s="7" t="s">
        <v>292</v>
      </c>
      <c r="E169" s="13" t="s">
        <v>7</v>
      </c>
      <c r="F169" t="str">
        <f t="shared" si="10"/>
        <v>Mellow</v>
      </c>
      <c r="G169" t="str">
        <f t="shared" si="11"/>
        <v>Mellow10616Austin</v>
      </c>
      <c r="H169" t="s">
        <v>31027</v>
      </c>
      <c r="I169" t="s">
        <v>22463</v>
      </c>
      <c r="J169" t="str">
        <f t="shared" si="12"/>
        <v>E:\PropInv\MF</v>
      </c>
      <c r="K169" s="103" t="str">
        <f>HYPERLINK("E:\PropInv\MF\Austin\Mellow Meadow Dr_10616_Park West Condo Apts_Austin_00178","Mellow Meadow Dr_10616_Park West Condo Apts_Austin_00178" )</f>
        <v>Mellow Meadow Dr_10616_Park West Condo Apts_Austin_00178</v>
      </c>
      <c r="L169" s="104" t="s">
        <v>22253</v>
      </c>
      <c r="M169" s="103" t="str">
        <f t="shared" si="13"/>
        <v>http://oconnordata.com/mlink/modules/profile/index.cfm?action=profile&amp;prop_id=178</v>
      </c>
      <c r="N169" s="1" t="str">
        <f t="shared" si="14"/>
        <v>00178</v>
      </c>
    </row>
    <row r="170" spans="1:14" x14ac:dyDescent="0.3">
      <c r="A170" s="1">
        <v>179</v>
      </c>
      <c r="B170" s="7" t="s">
        <v>21</v>
      </c>
      <c r="C170" s="12">
        <v>1915</v>
      </c>
      <c r="D170" s="7" t="s">
        <v>293</v>
      </c>
      <c r="E170" s="13" t="s">
        <v>7</v>
      </c>
      <c r="F170" t="str">
        <f t="shared" si="10"/>
        <v>Wells</v>
      </c>
      <c r="G170" t="str">
        <f t="shared" si="11"/>
        <v>Wells1915Austin</v>
      </c>
      <c r="H170" t="s">
        <v>31028</v>
      </c>
      <c r="I170" t="s">
        <v>22464</v>
      </c>
      <c r="J170" t="str">
        <f t="shared" si="12"/>
        <v>E:\PropInv\MF</v>
      </c>
      <c r="K170" s="103" t="str">
        <f>HYPERLINK("E:\PropInv\MF\Austin\Wells Branch Pkwy_1915_Park at Wells Branch_Austin_00179","Wells Branch Pkwy_1915_Park at Wells Branch_Austin_00179" )</f>
        <v>Wells Branch Pkwy_1915_Park at Wells Branch_Austin_00179</v>
      </c>
      <c r="L170" s="104" t="s">
        <v>22253</v>
      </c>
      <c r="M170" s="103" t="str">
        <f t="shared" si="13"/>
        <v>http://oconnordata.com/mlink/modules/profile/index.cfm?action=profile&amp;prop_id=179</v>
      </c>
      <c r="N170" s="1" t="str">
        <f t="shared" si="14"/>
        <v>00179</v>
      </c>
    </row>
    <row r="171" spans="1:14" x14ac:dyDescent="0.3">
      <c r="A171" s="1">
        <v>180</v>
      </c>
      <c r="B171" s="7" t="s">
        <v>278</v>
      </c>
      <c r="C171" s="12">
        <v>1300</v>
      </c>
      <c r="D171" s="7" t="s">
        <v>294</v>
      </c>
      <c r="E171" s="13" t="s">
        <v>7</v>
      </c>
      <c r="F171" t="str">
        <f t="shared" si="10"/>
        <v>Pleasant</v>
      </c>
      <c r="G171" t="str">
        <f t="shared" si="11"/>
        <v>Pleasant1300Austin</v>
      </c>
      <c r="H171" t="s">
        <v>31029</v>
      </c>
      <c r="I171" t="s">
        <v>22465</v>
      </c>
      <c r="J171" t="str">
        <f t="shared" si="12"/>
        <v>E:\PropInv\MF</v>
      </c>
      <c r="K171" s="103" t="str">
        <f>HYPERLINK("E:\PropInv\MF\Austin\Pleasant Valley Rd S_1300_The Park_Austin_00180","Pleasant Valley Rd S_1300_The Park_Austin_00180" )</f>
        <v>Pleasant Valley Rd S_1300_The Park_Austin_00180</v>
      </c>
      <c r="L171" s="104" t="s">
        <v>22253</v>
      </c>
      <c r="M171" s="103" t="str">
        <f t="shared" si="13"/>
        <v>http://oconnordata.com/mlink/modules/profile/index.cfm?action=profile&amp;prop_id=180</v>
      </c>
      <c r="N171" s="1" t="str">
        <f t="shared" si="14"/>
        <v>00180</v>
      </c>
    </row>
    <row r="172" spans="1:14" x14ac:dyDescent="0.3">
      <c r="A172" s="1">
        <v>181</v>
      </c>
      <c r="B172" s="7" t="s">
        <v>295</v>
      </c>
      <c r="C172" s="12">
        <v>2207</v>
      </c>
      <c r="D172" s="7" t="s">
        <v>296</v>
      </c>
      <c r="E172" s="13" t="s">
        <v>7</v>
      </c>
      <c r="F172" t="str">
        <f t="shared" si="10"/>
        <v>5th</v>
      </c>
      <c r="G172" t="str">
        <f t="shared" si="11"/>
        <v>5th2207Austin</v>
      </c>
      <c r="H172" t="s">
        <v>31030</v>
      </c>
      <c r="I172" t="s">
        <v>22466</v>
      </c>
      <c r="J172" t="str">
        <f t="shared" si="12"/>
        <v>E:\PropInv\MF</v>
      </c>
      <c r="K172" s="103" t="str">
        <f>HYPERLINK("E:\PropInv\MF\Austin\5th St S_2207_Pastures_Austin_00181","5th St S_2207_Pastures_Austin_00181" )</f>
        <v>5th St S_2207_Pastures_Austin_00181</v>
      </c>
      <c r="L172" s="104" t="s">
        <v>22253</v>
      </c>
      <c r="M172" s="103" t="str">
        <f t="shared" si="13"/>
        <v>http://oconnordata.com/mlink/modules/profile/index.cfm?action=profile&amp;prop_id=181</v>
      </c>
      <c r="N172" s="1" t="str">
        <f t="shared" si="14"/>
        <v>00181</v>
      </c>
    </row>
    <row r="173" spans="1:14" x14ac:dyDescent="0.3">
      <c r="A173" s="1">
        <v>182</v>
      </c>
      <c r="B173" s="7" t="s">
        <v>195</v>
      </c>
      <c r="C173" s="12">
        <v>8805</v>
      </c>
      <c r="D173" s="7" t="s">
        <v>297</v>
      </c>
      <c r="E173" s="13" t="s">
        <v>7</v>
      </c>
      <c r="F173" t="str">
        <f t="shared" si="10"/>
        <v>Plaza</v>
      </c>
      <c r="G173" t="str">
        <f t="shared" si="11"/>
        <v>Plaza8805Austin</v>
      </c>
      <c r="H173" t="s">
        <v>31031</v>
      </c>
      <c r="I173" t="s">
        <v>22467</v>
      </c>
      <c r="J173" t="str">
        <f t="shared" si="12"/>
        <v>E:\PropInv\MF</v>
      </c>
      <c r="K173" s="103" t="str">
        <f>HYPERLINK("E:\PropInv\MF\Austin\Plaza Dr N_8805_Pebble Creek I &amp; II_Austin_00182","Plaza Dr N_8805_Pebble Creek I &amp; II_Austin_00182" )</f>
        <v>Plaza Dr N_8805_Pebble Creek I &amp; II_Austin_00182</v>
      </c>
      <c r="L173" s="104" t="s">
        <v>22253</v>
      </c>
      <c r="M173" s="103" t="str">
        <f t="shared" si="13"/>
        <v>http://oconnordata.com/mlink/modules/profile/index.cfm?action=profile&amp;prop_id=182</v>
      </c>
      <c r="N173" s="1" t="str">
        <f t="shared" si="14"/>
        <v>00182</v>
      </c>
    </row>
    <row r="174" spans="1:14" x14ac:dyDescent="0.3">
      <c r="A174" s="1">
        <v>183</v>
      </c>
      <c r="B174" s="7" t="s">
        <v>37</v>
      </c>
      <c r="C174" s="12">
        <v>5200</v>
      </c>
      <c r="D174" s="7" t="s">
        <v>298</v>
      </c>
      <c r="E174" s="13" t="s">
        <v>7</v>
      </c>
      <c r="F174" t="str">
        <f t="shared" si="10"/>
        <v>Lamar</v>
      </c>
      <c r="G174" t="str">
        <f t="shared" si="11"/>
        <v>Lamar5200Austin</v>
      </c>
      <c r="H174" t="s">
        <v>31032</v>
      </c>
      <c r="I174" t="s">
        <v>22468</v>
      </c>
      <c r="J174" t="str">
        <f t="shared" si="12"/>
        <v>E:\PropInv\MF</v>
      </c>
      <c r="K174" s="103" t="str">
        <f>HYPERLINK("E:\PropInv\MF\Austin\Lamar Blvd N_5200_Pecan Grove_Austin_00183","Lamar Blvd N_5200_Pecan Grove_Austin_00183" )</f>
        <v>Lamar Blvd N_5200_Pecan Grove_Austin_00183</v>
      </c>
      <c r="L174" s="104" t="s">
        <v>22253</v>
      </c>
      <c r="M174" s="103" t="str">
        <f t="shared" si="13"/>
        <v>http://oconnordata.com/mlink/modules/profile/index.cfm?action=profile&amp;prop_id=183</v>
      </c>
      <c r="N174" s="1" t="str">
        <f t="shared" si="14"/>
        <v>00183</v>
      </c>
    </row>
    <row r="175" spans="1:14" x14ac:dyDescent="0.3">
      <c r="A175" s="1">
        <v>184</v>
      </c>
      <c r="B175" s="7" t="s">
        <v>299</v>
      </c>
      <c r="C175" s="12">
        <v>7227</v>
      </c>
      <c r="D175" s="7" t="s">
        <v>300</v>
      </c>
      <c r="E175" s="13" t="s">
        <v>7</v>
      </c>
      <c r="F175" t="str">
        <f t="shared" si="10"/>
        <v>290</v>
      </c>
      <c r="G175" t="str">
        <f t="shared" si="11"/>
        <v>2907227Austin</v>
      </c>
      <c r="H175" t="s">
        <v>31033</v>
      </c>
      <c r="I175" t="s">
        <v>22469</v>
      </c>
      <c r="J175" t="str">
        <f t="shared" si="12"/>
        <v>E:\PropInv\MF</v>
      </c>
      <c r="K175" s="103" t="str">
        <f>HYPERLINK("E:\PropInv\MF\Austin\290 Hwy E_7227_Penbrook Club_Austin_00184","290 Hwy E_7227_Penbrook Club_Austin_00184" )</f>
        <v>290 Hwy E_7227_Penbrook Club_Austin_00184</v>
      </c>
      <c r="L175" s="104" t="s">
        <v>22253</v>
      </c>
      <c r="M175" s="103" t="str">
        <f t="shared" si="13"/>
        <v>http://oconnordata.com/mlink/modules/profile/index.cfm?action=profile&amp;prop_id=184</v>
      </c>
      <c r="N175" s="1" t="str">
        <f t="shared" si="14"/>
        <v>00184</v>
      </c>
    </row>
    <row r="176" spans="1:14" x14ac:dyDescent="0.3">
      <c r="A176" s="1">
        <v>185</v>
      </c>
      <c r="B176" s="7" t="s">
        <v>144</v>
      </c>
      <c r="C176" s="12">
        <v>8800</v>
      </c>
      <c r="D176" s="7" t="s">
        <v>301</v>
      </c>
      <c r="E176" s="13" t="s">
        <v>7</v>
      </c>
      <c r="F176" t="str">
        <f t="shared" si="10"/>
        <v>35</v>
      </c>
      <c r="G176" t="str">
        <f t="shared" si="11"/>
        <v>358800Austin</v>
      </c>
      <c r="H176" t="s">
        <v>31034</v>
      </c>
      <c r="I176" t="s">
        <v>22470</v>
      </c>
      <c r="J176" t="str">
        <f t="shared" si="12"/>
        <v>E:\PropInv\MF</v>
      </c>
      <c r="K176" s="103" t="str">
        <f>HYPERLINK("E:\PropInv\MF\Austin\35 IH N_8800_Solano_Austin_00185","35 IH N_8800_Solano_Austin_00185" )</f>
        <v>35 IH N_8800_Solano_Austin_00185</v>
      </c>
      <c r="L176" s="104" t="s">
        <v>22253</v>
      </c>
      <c r="M176" s="103" t="str">
        <f t="shared" si="13"/>
        <v>http://oconnordata.com/mlink/modules/profile/index.cfm?action=profile&amp;prop_id=185</v>
      </c>
      <c r="N176" s="1" t="str">
        <f t="shared" si="14"/>
        <v>00185</v>
      </c>
    </row>
    <row r="177" spans="1:14" x14ac:dyDescent="0.3">
      <c r="A177" s="1">
        <v>186</v>
      </c>
      <c r="B177" s="7" t="s">
        <v>302</v>
      </c>
      <c r="C177" s="12">
        <v>2601</v>
      </c>
      <c r="D177" s="7" t="s">
        <v>303</v>
      </c>
      <c r="E177" s="13" t="s">
        <v>7</v>
      </c>
      <c r="F177" t="str">
        <f t="shared" si="10"/>
        <v>Penny</v>
      </c>
      <c r="G177" t="str">
        <f t="shared" si="11"/>
        <v>Penny2601Austin</v>
      </c>
      <c r="H177" t="s">
        <v>31035</v>
      </c>
      <c r="I177" t="s">
        <v>22471</v>
      </c>
      <c r="J177" t="str">
        <f t="shared" si="12"/>
        <v>E:\PropInv\MF</v>
      </c>
      <c r="K177" s="103" t="str">
        <f>HYPERLINK("E:\PropInv\MF\Austin\Penny Ln_2601_Abbey Road_Austin_00186","Penny Ln_2601_Abbey Road_Austin_00186" )</f>
        <v>Penny Ln_2601_Abbey Road_Austin_00186</v>
      </c>
      <c r="L177" s="104" t="s">
        <v>22253</v>
      </c>
      <c r="M177" s="103" t="str">
        <f t="shared" si="13"/>
        <v>http://oconnordata.com/mlink/modules/profile/index.cfm?action=profile&amp;prop_id=186</v>
      </c>
      <c r="N177" s="1" t="str">
        <f t="shared" si="14"/>
        <v>00186</v>
      </c>
    </row>
    <row r="178" spans="1:14" x14ac:dyDescent="0.3">
      <c r="A178" s="1">
        <v>187</v>
      </c>
      <c r="B178" s="7" t="s">
        <v>200</v>
      </c>
      <c r="C178" s="12">
        <v>2207</v>
      </c>
      <c r="D178" s="7" t="s">
        <v>304</v>
      </c>
      <c r="E178" s="13" t="s">
        <v>7</v>
      </c>
      <c r="F178" t="str">
        <f t="shared" si="10"/>
        <v>Wickersham</v>
      </c>
      <c r="G178" t="str">
        <f t="shared" si="11"/>
        <v>Wickersham2207Austin</v>
      </c>
      <c r="H178" t="s">
        <v>31036</v>
      </c>
      <c r="I178" t="s">
        <v>22472</v>
      </c>
      <c r="J178" t="str">
        <f t="shared" si="12"/>
        <v>E:\PropInv\MF</v>
      </c>
      <c r="K178" s="103" t="str">
        <f>HYPERLINK("E:\PropInv\MF\Austin\Wickersham Ln_2207_Pinto Creek_Austin_00187","Wickersham Ln_2207_Pinto Creek_Austin_00187" )</f>
        <v>Wickersham Ln_2207_Pinto Creek_Austin_00187</v>
      </c>
      <c r="L178" s="104" t="s">
        <v>22253</v>
      </c>
      <c r="M178" s="103" t="str">
        <f t="shared" si="13"/>
        <v>http://oconnordata.com/mlink/modules/profile/index.cfm?action=profile&amp;prop_id=187</v>
      </c>
      <c r="N178" s="1" t="str">
        <f t="shared" si="14"/>
        <v>00187</v>
      </c>
    </row>
    <row r="179" spans="1:14" x14ac:dyDescent="0.3">
      <c r="A179" s="1">
        <v>188</v>
      </c>
      <c r="B179" s="7" t="s">
        <v>127</v>
      </c>
      <c r="C179" s="12">
        <v>2430</v>
      </c>
      <c r="D179" s="7" t="s">
        <v>305</v>
      </c>
      <c r="E179" s="13" t="s">
        <v>7</v>
      </c>
      <c r="F179" t="str">
        <f t="shared" si="10"/>
        <v>Cromwell</v>
      </c>
      <c r="G179" t="str">
        <f t="shared" si="11"/>
        <v>Cromwell2430Austin</v>
      </c>
      <c r="H179" t="s">
        <v>31037</v>
      </c>
      <c r="I179" t="s">
        <v>22473</v>
      </c>
      <c r="J179" t="str">
        <f t="shared" si="12"/>
        <v>E:\PropInv\MF</v>
      </c>
      <c r="K179" s="103" t="str">
        <f>HYPERLINK("E:\PropInv\MF\Austin\Cromwell Cir_2430_Lexington Hills_Austin_00188","Cromwell Cir_2430_Lexington Hills_Austin_00188" )</f>
        <v>Cromwell Cir_2430_Lexington Hills_Austin_00188</v>
      </c>
      <c r="L179" s="104" t="s">
        <v>22253</v>
      </c>
      <c r="M179" s="103" t="str">
        <f t="shared" si="13"/>
        <v>http://oconnordata.com/mlink/modules/profile/index.cfm?action=profile&amp;prop_id=188</v>
      </c>
      <c r="N179" s="1" t="str">
        <f t="shared" si="14"/>
        <v>00188</v>
      </c>
    </row>
    <row r="180" spans="1:14" x14ac:dyDescent="0.3">
      <c r="A180" s="1">
        <v>189</v>
      </c>
      <c r="B180" s="7" t="s">
        <v>278</v>
      </c>
      <c r="C180" s="12">
        <v>2200</v>
      </c>
      <c r="D180" s="7" t="s">
        <v>306</v>
      </c>
      <c r="E180" s="13" t="s">
        <v>7</v>
      </c>
      <c r="F180" t="str">
        <f t="shared" si="10"/>
        <v>Pleasant</v>
      </c>
      <c r="G180" t="str">
        <f t="shared" si="11"/>
        <v>Pleasant2200Austin</v>
      </c>
      <c r="H180" t="s">
        <v>31038</v>
      </c>
      <c r="I180" t="s">
        <v>22474</v>
      </c>
      <c r="J180" t="str">
        <f t="shared" si="12"/>
        <v>E:\PropInv\MF</v>
      </c>
      <c r="K180" s="103" t="str">
        <f>HYPERLINK("E:\PropInv\MF\Austin\Pleasant Valley Rd S_2200_Metropolis_Austin_00189","Pleasant Valley Rd S_2200_Metropolis_Austin_00189" )</f>
        <v>Pleasant Valley Rd S_2200_Metropolis_Austin_00189</v>
      </c>
      <c r="L180" s="104" t="s">
        <v>22253</v>
      </c>
      <c r="M180" s="103" t="str">
        <f t="shared" si="13"/>
        <v>http://oconnordata.com/mlink/modules/profile/index.cfm?action=profile&amp;prop_id=189</v>
      </c>
      <c r="N180" s="1" t="str">
        <f t="shared" si="14"/>
        <v>00189</v>
      </c>
    </row>
    <row r="181" spans="1:14" x14ac:dyDescent="0.3">
      <c r="A181" s="1">
        <v>190</v>
      </c>
      <c r="B181" s="7" t="s">
        <v>307</v>
      </c>
      <c r="C181" s="12">
        <v>8519</v>
      </c>
      <c r="D181" s="7" t="s">
        <v>308</v>
      </c>
      <c r="E181" s="13" t="s">
        <v>7</v>
      </c>
      <c r="F181" t="str">
        <f t="shared" si="10"/>
        <v>Cahill</v>
      </c>
      <c r="G181" t="str">
        <f t="shared" si="11"/>
        <v>Cahill8519Austin</v>
      </c>
      <c r="H181" t="s">
        <v>31039</v>
      </c>
      <c r="I181" t="s">
        <v>22475</v>
      </c>
      <c r="J181" t="str">
        <f t="shared" si="12"/>
        <v>E:\PropInv\MF</v>
      </c>
      <c r="K181" s="103" t="str">
        <f>HYPERLINK("E:\PropInv\MF\Austin\Cahill Dr_8519_Polo Club_Austin_00190","Cahill Dr_8519_Polo Club_Austin_00190" )</f>
        <v>Cahill Dr_8519_Polo Club_Austin_00190</v>
      </c>
      <c r="L181" s="104" t="s">
        <v>22253</v>
      </c>
      <c r="M181" s="103" t="str">
        <f t="shared" si="13"/>
        <v>http://oconnordata.com/mlink/modules/profile/index.cfm?action=profile&amp;prop_id=190</v>
      </c>
      <c r="N181" s="1" t="str">
        <f t="shared" si="14"/>
        <v>00190</v>
      </c>
    </row>
    <row r="182" spans="1:14" x14ac:dyDescent="0.3">
      <c r="A182" s="1">
        <v>191</v>
      </c>
      <c r="B182" s="7" t="s">
        <v>299</v>
      </c>
      <c r="C182" s="12">
        <v>6855</v>
      </c>
      <c r="D182" s="7" t="s">
        <v>309</v>
      </c>
      <c r="E182" s="13" t="s">
        <v>7</v>
      </c>
      <c r="F182" t="str">
        <f t="shared" si="10"/>
        <v>290</v>
      </c>
      <c r="G182" t="str">
        <f t="shared" si="11"/>
        <v>2906855Austin</v>
      </c>
      <c r="H182" t="s">
        <v>31040</v>
      </c>
      <c r="I182" t="s">
        <v>22476</v>
      </c>
      <c r="J182" t="str">
        <f t="shared" si="12"/>
        <v>E:\PropInv\MF</v>
      </c>
      <c r="K182" s="103" t="str">
        <f>HYPERLINK("E:\PropInv\MF\Austin\290 Hwy E_6855_Capitol Village_Austin_00191","290 Hwy E_6855_Capitol Village_Austin_00191" )</f>
        <v>290 Hwy E_6855_Capitol Village_Austin_00191</v>
      </c>
      <c r="L182" s="104" t="s">
        <v>22253</v>
      </c>
      <c r="M182" s="103" t="str">
        <f t="shared" si="13"/>
        <v>http://oconnordata.com/mlink/modules/profile/index.cfm?action=profile&amp;prop_id=191</v>
      </c>
      <c r="N182" s="1" t="str">
        <f t="shared" si="14"/>
        <v>00191</v>
      </c>
    </row>
    <row r="183" spans="1:14" x14ac:dyDescent="0.3">
      <c r="A183" s="1">
        <v>192</v>
      </c>
      <c r="B183" s="7" t="s">
        <v>310</v>
      </c>
      <c r="C183" s="12">
        <v>9001</v>
      </c>
      <c r="D183" s="7" t="s">
        <v>311</v>
      </c>
      <c r="E183" s="13" t="s">
        <v>7</v>
      </c>
      <c r="F183" t="str">
        <f t="shared" si="10"/>
        <v>Northgate</v>
      </c>
      <c r="G183" t="str">
        <f t="shared" si="11"/>
        <v>Northgate9001Austin</v>
      </c>
      <c r="H183" t="s">
        <v>31041</v>
      </c>
      <c r="I183" t="s">
        <v>22477</v>
      </c>
      <c r="J183" t="str">
        <f t="shared" si="12"/>
        <v>E:\PropInv\MF</v>
      </c>
      <c r="K183" s="103" t="str">
        <f>HYPERLINK("E:\PropInv\MF\Austin\Northgate Blvd_9001_Avalon Palms II_Austin_00192","Northgate Blvd_9001_Avalon Palms II_Austin_00192" )</f>
        <v>Northgate Blvd_9001_Avalon Palms II_Austin_00192</v>
      </c>
      <c r="L183" s="104" t="s">
        <v>22253</v>
      </c>
      <c r="M183" s="103" t="str">
        <f t="shared" si="13"/>
        <v>http://oconnordata.com/mlink/modules/profile/index.cfm?action=profile&amp;prop_id=192</v>
      </c>
      <c r="N183" s="1" t="str">
        <f t="shared" si="14"/>
        <v>00192</v>
      </c>
    </row>
    <row r="184" spans="1:14" x14ac:dyDescent="0.3">
      <c r="A184" s="1">
        <v>193</v>
      </c>
      <c r="B184" s="7" t="s">
        <v>312</v>
      </c>
      <c r="C184" s="12">
        <v>4411</v>
      </c>
      <c r="D184" s="7" t="s">
        <v>313</v>
      </c>
      <c r="E184" s="13" t="s">
        <v>7</v>
      </c>
      <c r="F184" t="str">
        <f t="shared" si="10"/>
        <v>Airport</v>
      </c>
      <c r="G184" t="str">
        <f t="shared" si="11"/>
        <v>Airport4411Austin</v>
      </c>
      <c r="H184" t="s">
        <v>31042</v>
      </c>
      <c r="I184" t="s">
        <v>22478</v>
      </c>
      <c r="J184" t="str">
        <f t="shared" si="12"/>
        <v>E:\PropInv\MF</v>
      </c>
      <c r="K184" s="103" t="str">
        <f>HYPERLINK("E:\PropInv\MF\Austin\Airport Blvd_4411_The Princeton_Austin_00193","Airport Blvd_4411_The Princeton_Austin_00193" )</f>
        <v>Airport Blvd_4411_The Princeton_Austin_00193</v>
      </c>
      <c r="L184" s="104" t="s">
        <v>22253</v>
      </c>
      <c r="M184" s="103" t="str">
        <f t="shared" si="13"/>
        <v>http://oconnordata.com/mlink/modules/profile/index.cfm?action=profile&amp;prop_id=193</v>
      </c>
      <c r="N184" s="1" t="str">
        <f t="shared" si="14"/>
        <v>00193</v>
      </c>
    </row>
    <row r="185" spans="1:14" x14ac:dyDescent="0.3">
      <c r="A185" s="1">
        <v>194</v>
      </c>
      <c r="B185" s="7" t="s">
        <v>314</v>
      </c>
      <c r="C185" s="12">
        <v>2250</v>
      </c>
      <c r="D185" s="7" t="s">
        <v>315</v>
      </c>
      <c r="E185" s="13" t="s">
        <v>7</v>
      </c>
      <c r="F185" t="str">
        <f t="shared" si="10"/>
        <v>Ridgepoint</v>
      </c>
      <c r="G185" t="str">
        <f t="shared" si="11"/>
        <v>Ridgepoint2250Austin</v>
      </c>
      <c r="H185" t="s">
        <v>31043</v>
      </c>
      <c r="I185" t="s">
        <v>22479</v>
      </c>
      <c r="J185" t="str">
        <f t="shared" si="12"/>
        <v>E:\PropInv\MF</v>
      </c>
      <c r="K185" s="103" t="str">
        <f>HYPERLINK("E:\PropInv\MF\Austin\Ridgepoint Dr_2250_Promontory Point_Austin_00194","Ridgepoint Dr_2250_Promontory Point_Austin_00194" )</f>
        <v>Ridgepoint Dr_2250_Promontory Point_Austin_00194</v>
      </c>
      <c r="L185" s="104" t="s">
        <v>22253</v>
      </c>
      <c r="M185" s="103" t="str">
        <f t="shared" si="13"/>
        <v>http://oconnordata.com/mlink/modules/profile/index.cfm?action=profile&amp;prop_id=194</v>
      </c>
      <c r="N185" s="1" t="str">
        <f t="shared" si="14"/>
        <v>00194</v>
      </c>
    </row>
    <row r="186" spans="1:14" x14ac:dyDescent="0.3">
      <c r="A186" s="1">
        <v>195</v>
      </c>
      <c r="B186" s="7" t="s">
        <v>316</v>
      </c>
      <c r="C186" s="12">
        <v>14300</v>
      </c>
      <c r="D186" s="7" t="s">
        <v>317</v>
      </c>
      <c r="E186" s="13" t="s">
        <v>7</v>
      </c>
      <c r="F186" t="str">
        <f t="shared" si="10"/>
        <v>Tandem</v>
      </c>
      <c r="G186" t="str">
        <f t="shared" si="11"/>
        <v>Tandem14300Austin</v>
      </c>
      <c r="H186" t="s">
        <v>31044</v>
      </c>
      <c r="I186" t="s">
        <v>22480</v>
      </c>
      <c r="J186" t="str">
        <f t="shared" si="12"/>
        <v>E:\PropInv\MF</v>
      </c>
      <c r="K186" s="103" t="str">
        <f>HYPERLINK("E:\PropInv\MF\Austin\Tandem Blvd_14300_The Cottages at Wells Branch_Austin_00195","Tandem Blvd_14300_The Cottages at Wells Branch_Austin_00195" )</f>
        <v>Tandem Blvd_14300_The Cottages at Wells Branch_Austin_00195</v>
      </c>
      <c r="L186" s="104" t="s">
        <v>22253</v>
      </c>
      <c r="M186" s="103" t="str">
        <f t="shared" si="13"/>
        <v>http://oconnordata.com/mlink/modules/profile/index.cfm?action=profile&amp;prop_id=195</v>
      </c>
      <c r="N186" s="1" t="str">
        <f t="shared" si="14"/>
        <v>00195</v>
      </c>
    </row>
    <row r="187" spans="1:14" x14ac:dyDescent="0.3">
      <c r="A187" s="1">
        <v>196</v>
      </c>
      <c r="B187" s="7" t="s">
        <v>318</v>
      </c>
      <c r="C187" s="12">
        <v>1200</v>
      </c>
      <c r="D187" s="7" t="s">
        <v>319</v>
      </c>
      <c r="E187" s="13" t="s">
        <v>7</v>
      </c>
      <c r="F187" t="str">
        <f t="shared" si="10"/>
        <v>Mearns</v>
      </c>
      <c r="G187" t="str">
        <f t="shared" si="11"/>
        <v>Mearns1200Austin</v>
      </c>
      <c r="H187" t="s">
        <v>31045</v>
      </c>
      <c r="I187" t="s">
        <v>22481</v>
      </c>
      <c r="J187" t="str">
        <f t="shared" si="12"/>
        <v>E:\PropInv\MF</v>
      </c>
      <c r="K187" s="103" t="str">
        <f>HYPERLINK("E:\PropInv\MF\Austin\Mearns Meadow Blvd_1200_Quail Run_Austin_00196","Mearns Meadow Blvd_1200_Quail Run_Austin_00196" )</f>
        <v>Mearns Meadow Blvd_1200_Quail Run_Austin_00196</v>
      </c>
      <c r="L187" s="104" t="s">
        <v>22253</v>
      </c>
      <c r="M187" s="103" t="str">
        <f t="shared" si="13"/>
        <v>http://oconnordata.com/mlink/modules/profile/index.cfm?action=profile&amp;prop_id=196</v>
      </c>
      <c r="N187" s="1" t="str">
        <f t="shared" si="14"/>
        <v>00196</v>
      </c>
    </row>
    <row r="188" spans="1:14" x14ac:dyDescent="0.3">
      <c r="A188" s="1">
        <v>197</v>
      </c>
      <c r="B188" s="7" t="s">
        <v>8</v>
      </c>
      <c r="C188" s="12">
        <v>4017</v>
      </c>
      <c r="D188" s="7" t="s">
        <v>320</v>
      </c>
      <c r="E188" s="13" t="s">
        <v>7</v>
      </c>
      <c r="F188" t="str">
        <f t="shared" si="10"/>
        <v>Victory</v>
      </c>
      <c r="G188" t="str">
        <f t="shared" si="11"/>
        <v>Victory4017Austin</v>
      </c>
      <c r="H188" t="s">
        <v>31046</v>
      </c>
      <c r="I188" t="s">
        <v>22482</v>
      </c>
      <c r="J188" t="str">
        <f t="shared" si="12"/>
        <v>E:\PropInv\MF</v>
      </c>
      <c r="K188" s="103" t="str">
        <f>HYPERLINK("E:\PropInv\MF\Austin\Victory Dr_4017_Tramor at the Quest_Austin_00197","Victory Dr_4017_Tramor at the Quest_Austin_00197" )</f>
        <v>Victory Dr_4017_Tramor at the Quest_Austin_00197</v>
      </c>
      <c r="L188" s="104" t="s">
        <v>22253</v>
      </c>
      <c r="M188" s="103" t="str">
        <f t="shared" si="13"/>
        <v>http://oconnordata.com/mlink/modules/profile/index.cfm?action=profile&amp;prop_id=197</v>
      </c>
      <c r="N188" s="1" t="str">
        <f t="shared" si="14"/>
        <v>00197</v>
      </c>
    </row>
    <row r="189" spans="1:14" x14ac:dyDescent="0.3">
      <c r="A189" s="1">
        <v>198</v>
      </c>
      <c r="B189" s="7" t="s">
        <v>156</v>
      </c>
      <c r="C189" s="12">
        <v>12001</v>
      </c>
      <c r="D189" s="7" t="s">
        <v>321</v>
      </c>
      <c r="E189" s="13" t="s">
        <v>7</v>
      </c>
      <c r="F189" t="str">
        <f t="shared" si="10"/>
        <v>Metric</v>
      </c>
      <c r="G189" t="str">
        <f t="shared" si="11"/>
        <v>Metric12001Austin</v>
      </c>
      <c r="H189" t="s">
        <v>31047</v>
      </c>
      <c r="I189" t="s">
        <v>22483</v>
      </c>
      <c r="J189" t="str">
        <f t="shared" si="12"/>
        <v>E:\PropInv\MF</v>
      </c>
      <c r="K189" s="103" t="str">
        <f>HYPERLINK("E:\PropInv\MF\Austin\Metric Blvd_12001_Broadmoor_Austin_00198","Metric Blvd_12001_Broadmoor_Austin_00198" )</f>
        <v>Metric Blvd_12001_Broadmoor_Austin_00198</v>
      </c>
      <c r="L189" s="104" t="s">
        <v>22253</v>
      </c>
      <c r="M189" s="103" t="str">
        <f t="shared" si="13"/>
        <v>http://oconnordata.com/mlink/modules/profile/index.cfm?action=profile&amp;prop_id=198</v>
      </c>
      <c r="N189" s="1" t="str">
        <f t="shared" si="14"/>
        <v>00198</v>
      </c>
    </row>
    <row r="190" spans="1:14" x14ac:dyDescent="0.3">
      <c r="A190" s="1">
        <v>199</v>
      </c>
      <c r="B190" s="7" t="s">
        <v>102</v>
      </c>
      <c r="C190" s="12">
        <v>1500</v>
      </c>
      <c r="D190" s="7" t="s">
        <v>322</v>
      </c>
      <c r="E190" s="13" t="s">
        <v>7</v>
      </c>
      <c r="F190" t="str">
        <f t="shared" si="10"/>
        <v>Reagan</v>
      </c>
      <c r="G190" t="str">
        <f t="shared" si="11"/>
        <v>Reagan1500Austin</v>
      </c>
      <c r="H190" t="s">
        <v>31048</v>
      </c>
      <c r="I190" t="s">
        <v>22484</v>
      </c>
      <c r="J190" t="str">
        <f t="shared" si="12"/>
        <v>E:\PropInv\MF</v>
      </c>
      <c r="K190" s="103" t="str">
        <f>HYPERLINK("E:\PropInv\MF\Austin\Reagan Hill Dr_1500_Lantern Hill &amp; Reagan Hill_Austin_00199","Reagan Hill Dr_1500_Lantern Hill &amp; Reagan Hill_Austin_00199" )</f>
        <v>Reagan Hill Dr_1500_Lantern Hill &amp; Reagan Hill_Austin_00199</v>
      </c>
      <c r="L190" s="104" t="s">
        <v>22253</v>
      </c>
      <c r="M190" s="103" t="str">
        <f t="shared" si="13"/>
        <v>http://oconnordata.com/mlink/modules/profile/index.cfm?action=profile&amp;prop_id=199</v>
      </c>
      <c r="N190" s="1" t="str">
        <f t="shared" si="14"/>
        <v>00199</v>
      </c>
    </row>
    <row r="191" spans="1:14" x14ac:dyDescent="0.3">
      <c r="A191" s="1">
        <v>200</v>
      </c>
      <c r="B191" s="7" t="s">
        <v>323</v>
      </c>
      <c r="C191" s="12">
        <v>600</v>
      </c>
      <c r="D191" s="7" t="s">
        <v>324</v>
      </c>
      <c r="E191" s="13" t="s">
        <v>7</v>
      </c>
      <c r="F191" t="str">
        <f t="shared" si="10"/>
        <v>Barwood</v>
      </c>
      <c r="G191" t="str">
        <f t="shared" si="11"/>
        <v>Barwood600Austin</v>
      </c>
      <c r="H191" t="s">
        <v>31049</v>
      </c>
      <c r="I191" t="s">
        <v>22485</v>
      </c>
      <c r="J191" t="str">
        <f t="shared" si="12"/>
        <v>E:\PropInv\MF</v>
      </c>
      <c r="K191" s="103" t="str">
        <f>HYPERLINK("E:\PropInv\MF\Austin\Barwood Park_600_Remington House_Austin_00200","Barwood Park_600_Remington House_Austin_00200" )</f>
        <v>Barwood Park_600_Remington House_Austin_00200</v>
      </c>
      <c r="L191" s="104" t="s">
        <v>22253</v>
      </c>
      <c r="M191" s="103" t="str">
        <f t="shared" si="13"/>
        <v>http://oconnordata.com/mlink/modules/profile/index.cfm?action=profile&amp;prop_id=200</v>
      </c>
      <c r="N191" s="1" t="str">
        <f t="shared" si="14"/>
        <v>00200</v>
      </c>
    </row>
    <row r="192" spans="1:14" x14ac:dyDescent="0.3">
      <c r="A192" s="1">
        <v>201</v>
      </c>
      <c r="B192" s="7" t="s">
        <v>47</v>
      </c>
      <c r="C192" s="12">
        <v>8220</v>
      </c>
      <c r="D192" s="7" t="s">
        <v>325</v>
      </c>
      <c r="E192" s="13" t="s">
        <v>7</v>
      </c>
      <c r="F192" t="str">
        <f t="shared" si="10"/>
        <v>Research</v>
      </c>
      <c r="G192" t="str">
        <f t="shared" si="11"/>
        <v>Research8220Austin</v>
      </c>
      <c r="H192" t="s">
        <v>31050</v>
      </c>
      <c r="I192" t="s">
        <v>22486</v>
      </c>
      <c r="J192" t="str">
        <f t="shared" si="12"/>
        <v>E:\PropInv\MF</v>
      </c>
      <c r="K192" s="103" t="str">
        <f>HYPERLINK("E:\PropInv\MF\Austin\Research Blvd_8220_Research Pointe_Austin_00201","Research Blvd_8220_Research Pointe_Austin_00201" )</f>
        <v>Research Blvd_8220_Research Pointe_Austin_00201</v>
      </c>
      <c r="L192" s="104" t="s">
        <v>22253</v>
      </c>
      <c r="M192" s="103" t="str">
        <f t="shared" si="13"/>
        <v>http://oconnordata.com/mlink/modules/profile/index.cfm?action=profile&amp;prop_id=201</v>
      </c>
      <c r="N192" s="1" t="str">
        <f t="shared" si="14"/>
        <v>00201</v>
      </c>
    </row>
    <row r="193" spans="1:14" x14ac:dyDescent="0.3">
      <c r="A193" s="1">
        <v>202</v>
      </c>
      <c r="B193" s="7" t="s">
        <v>97</v>
      </c>
      <c r="C193" s="12">
        <v>11266</v>
      </c>
      <c r="D193" s="7" t="s">
        <v>326</v>
      </c>
      <c r="E193" s="13" t="s">
        <v>7</v>
      </c>
      <c r="F193" t="str">
        <f t="shared" si="10"/>
        <v>Taylor</v>
      </c>
      <c r="G193" t="str">
        <f t="shared" si="11"/>
        <v>Taylor11266Austin</v>
      </c>
      <c r="H193" t="s">
        <v>31051</v>
      </c>
      <c r="I193" t="s">
        <v>22487</v>
      </c>
      <c r="J193" t="str">
        <f t="shared" si="12"/>
        <v>E:\PropInv\MF</v>
      </c>
      <c r="K193" s="103" t="str">
        <f>HYPERLINK("E:\PropInv\MF\Austin\Taylor Draper Ln_11266_Museo_Austin_00202","Taylor Draper Ln_11266_Museo_Austin_00202" )</f>
        <v>Taylor Draper Ln_11266_Museo_Austin_00202</v>
      </c>
      <c r="L193" s="104" t="s">
        <v>22253</v>
      </c>
      <c r="M193" s="103" t="str">
        <f t="shared" si="13"/>
        <v>http://oconnordata.com/mlink/modules/profile/index.cfm?action=profile&amp;prop_id=202</v>
      </c>
      <c r="N193" s="1" t="str">
        <f t="shared" si="14"/>
        <v>00202</v>
      </c>
    </row>
    <row r="194" spans="1:14" x14ac:dyDescent="0.3">
      <c r="A194" s="1">
        <v>203</v>
      </c>
      <c r="B194" s="7" t="s">
        <v>25</v>
      </c>
      <c r="C194" s="12">
        <v>6805</v>
      </c>
      <c r="D194" s="7" t="s">
        <v>327</v>
      </c>
      <c r="E194" s="13" t="s">
        <v>7</v>
      </c>
      <c r="F194" t="str">
        <f t="shared" ref="F194:F257" si="15">IFERROR(LEFT(B194,FIND(" ",B194)-1),B194)</f>
        <v>Wood</v>
      </c>
      <c r="G194" t="str">
        <f t="shared" ref="G194:G257" si="16">F194&amp;C194&amp;E194</f>
        <v>Wood6805Austin</v>
      </c>
      <c r="H194" t="s">
        <v>31052</v>
      </c>
      <c r="I194" t="s">
        <v>22488</v>
      </c>
      <c r="J194" t="str">
        <f t="shared" ref="J194:J257" si="17">IF(L194="TX",Folder_Path,Folder_Path&amp;"\State_"&amp;L194)</f>
        <v>E:\PropInv\MF</v>
      </c>
      <c r="K194" s="103" t="str">
        <f>HYPERLINK("E:\PropInv\MF\Austin\Wood Hollow Dr_6805_The Ridge_Austin_00203","Wood Hollow Dr_6805_The Ridge_Austin_00203" )</f>
        <v>Wood Hollow Dr_6805_The Ridge_Austin_00203</v>
      </c>
      <c r="L194" s="104" t="s">
        <v>22253</v>
      </c>
      <c r="M194" s="103" t="str">
        <f t="shared" ref="M194:M257" si="18">HYPERLINK("http://oconnordata.com/mlink/modules/profile/index.cfm?action=profile&amp;prop_id="&amp;A194)</f>
        <v>http://oconnordata.com/mlink/modules/profile/index.cfm?action=profile&amp;prop_id=203</v>
      </c>
      <c r="N194" s="1" t="str">
        <f t="shared" ref="N194:N257" si="19">IF(LEN(A194)=1,"0000"&amp;A194,IF(LEN(A194)=2,"000"&amp;A194,IF(LEN(A194)=3,"00"&amp;A194,IF(LEN(A194)=4,"0"&amp;A194,IF(LEN(A194)=5,IF(LEFT(A194,1)="3",A194+30000,A194))))))</f>
        <v>00203</v>
      </c>
    </row>
    <row r="195" spans="1:14" x14ac:dyDescent="0.3">
      <c r="A195" s="1">
        <v>204</v>
      </c>
      <c r="B195" s="7" t="s">
        <v>19</v>
      </c>
      <c r="C195" s="12">
        <v>1616</v>
      </c>
      <c r="D195" s="7" t="s">
        <v>328</v>
      </c>
      <c r="E195" s="13" t="s">
        <v>7</v>
      </c>
      <c r="F195" t="str">
        <f t="shared" si="15"/>
        <v>Royal</v>
      </c>
      <c r="G195" t="str">
        <f t="shared" si="16"/>
        <v>Royal1616Austin</v>
      </c>
      <c r="H195" t="s">
        <v>31053</v>
      </c>
      <c r="I195" t="s">
        <v>22489</v>
      </c>
      <c r="J195" t="str">
        <f t="shared" si="17"/>
        <v>E:\PropInv\MF</v>
      </c>
      <c r="K195" s="103" t="str">
        <f>HYPERLINK("E:\PropInv\MF\Austin\Royal Crest Dr_1616_University Crest_Austin_00204","Royal Crest Dr_1616_University Crest_Austin_00204" )</f>
        <v>Royal Crest Dr_1616_University Crest_Austin_00204</v>
      </c>
      <c r="L195" s="104" t="s">
        <v>22253</v>
      </c>
      <c r="M195" s="103" t="str">
        <f t="shared" si="18"/>
        <v>http://oconnordata.com/mlink/modules/profile/index.cfm?action=profile&amp;prop_id=204</v>
      </c>
      <c r="N195" s="1" t="str">
        <f t="shared" si="19"/>
        <v>00204</v>
      </c>
    </row>
    <row r="196" spans="1:14" x14ac:dyDescent="0.3">
      <c r="A196" s="1">
        <v>205</v>
      </c>
      <c r="B196" s="7" t="s">
        <v>329</v>
      </c>
      <c r="C196" s="12">
        <v>1845</v>
      </c>
      <c r="D196" s="7" t="s">
        <v>330</v>
      </c>
      <c r="E196" s="13" t="s">
        <v>7</v>
      </c>
      <c r="F196" t="str">
        <f t="shared" si="15"/>
        <v>River</v>
      </c>
      <c r="G196" t="str">
        <f t="shared" si="16"/>
        <v>River1845Austin</v>
      </c>
      <c r="H196" t="s">
        <v>31054</v>
      </c>
      <c r="I196" t="s">
        <v>22490</v>
      </c>
      <c r="J196" t="str">
        <f t="shared" si="17"/>
        <v>E:\PropInv\MF</v>
      </c>
      <c r="K196" s="103" t="str">
        <f>HYPERLINK("E:\PropInv\MF\Austin\River Crossing Cir_1845_River Crossing_Austin_00205","River Crossing Cir_1845_River Crossing_Austin_00205" )</f>
        <v>River Crossing Cir_1845_River Crossing_Austin_00205</v>
      </c>
      <c r="L196" s="104" t="s">
        <v>22253</v>
      </c>
      <c r="M196" s="103" t="str">
        <f t="shared" si="18"/>
        <v>http://oconnordata.com/mlink/modules/profile/index.cfm?action=profile&amp;prop_id=205</v>
      </c>
      <c r="N196" s="1" t="str">
        <f t="shared" si="19"/>
        <v>00205</v>
      </c>
    </row>
    <row r="197" spans="1:14" x14ac:dyDescent="0.3">
      <c r="A197" s="1">
        <v>206</v>
      </c>
      <c r="B197" s="7" t="s">
        <v>331</v>
      </c>
      <c r="C197" s="12">
        <v>3001</v>
      </c>
      <c r="D197" s="7" t="s">
        <v>332</v>
      </c>
      <c r="E197" s="13" t="s">
        <v>7</v>
      </c>
      <c r="F197" t="str">
        <f t="shared" si="15"/>
        <v>Medical</v>
      </c>
      <c r="G197" t="str">
        <f t="shared" si="16"/>
        <v>Medical3001Austin</v>
      </c>
      <c r="H197" t="s">
        <v>31055</v>
      </c>
      <c r="I197" t="s">
        <v>22491</v>
      </c>
      <c r="J197" t="str">
        <f t="shared" si="17"/>
        <v>E:\PropInv\MF</v>
      </c>
      <c r="K197" s="103" t="str">
        <f>HYPERLINK("E:\PropInv\MF\Austin\Medical Arts St_3001_River Oaks_Austin_00206","Medical Arts St_3001_River Oaks_Austin_00206" )</f>
        <v>Medical Arts St_3001_River Oaks_Austin_00206</v>
      </c>
      <c r="L197" s="104" t="s">
        <v>22253</v>
      </c>
      <c r="M197" s="103" t="str">
        <f t="shared" si="18"/>
        <v>http://oconnordata.com/mlink/modules/profile/index.cfm?action=profile&amp;prop_id=206</v>
      </c>
      <c r="N197" s="1" t="str">
        <f t="shared" si="19"/>
        <v>00206</v>
      </c>
    </row>
    <row r="198" spans="1:14" x14ac:dyDescent="0.3">
      <c r="A198" s="1">
        <v>207</v>
      </c>
      <c r="B198" s="7" t="s">
        <v>62</v>
      </c>
      <c r="C198" s="12">
        <v>2409</v>
      </c>
      <c r="D198" s="7" t="s">
        <v>333</v>
      </c>
      <c r="E198" s="13" t="s">
        <v>7</v>
      </c>
      <c r="F198" t="str">
        <f t="shared" si="15"/>
        <v>Town</v>
      </c>
      <c r="G198" t="str">
        <f t="shared" si="16"/>
        <v>Town2409Austin</v>
      </c>
      <c r="H198" t="s">
        <v>31056</v>
      </c>
      <c r="I198" t="s">
        <v>22492</v>
      </c>
      <c r="J198" t="str">
        <f t="shared" si="17"/>
        <v>E:\PropInv\MF</v>
      </c>
      <c r="K198" s="103" t="str">
        <f>HYPERLINK("E:\PropInv\MF\Austin\Town Lake Cir_2409_Las Palmas_Austin_00207","Town Lake Cir_2409_Las Palmas_Austin_00207" )</f>
        <v>Town Lake Cir_2409_Las Palmas_Austin_00207</v>
      </c>
      <c r="L198" s="104" t="s">
        <v>22253</v>
      </c>
      <c r="M198" s="103" t="str">
        <f t="shared" si="18"/>
        <v>http://oconnordata.com/mlink/modules/profile/index.cfm?action=profile&amp;prop_id=207</v>
      </c>
      <c r="N198" s="1" t="str">
        <f t="shared" si="19"/>
        <v>00207</v>
      </c>
    </row>
    <row r="199" spans="1:14" x14ac:dyDescent="0.3">
      <c r="A199" s="1">
        <v>208</v>
      </c>
      <c r="B199" s="7" t="s">
        <v>69</v>
      </c>
      <c r="C199" s="12">
        <v>2005</v>
      </c>
      <c r="D199" s="7" t="s">
        <v>334</v>
      </c>
      <c r="E199" s="13" t="s">
        <v>7</v>
      </c>
      <c r="F199" t="str">
        <f t="shared" si="15"/>
        <v>Willow</v>
      </c>
      <c r="G199" t="str">
        <f t="shared" si="16"/>
        <v>Willow2005Austin</v>
      </c>
      <c r="H199" t="s">
        <v>31057</v>
      </c>
      <c r="I199" t="s">
        <v>22493</v>
      </c>
      <c r="J199" t="str">
        <f t="shared" si="17"/>
        <v>E:\PropInv\MF</v>
      </c>
      <c r="K199" s="103" t="str">
        <f>HYPERLINK("E:\PropInv\MF\Austin\Willow Creek Dr_2005_Bluffs at Town Lake_Austin_00208","Willow Creek Dr_2005_Bluffs at Town Lake_Austin_00208" )</f>
        <v>Willow Creek Dr_2005_Bluffs at Town Lake_Austin_00208</v>
      </c>
      <c r="L199" s="104" t="s">
        <v>22253</v>
      </c>
      <c r="M199" s="103" t="str">
        <f t="shared" si="18"/>
        <v>http://oconnordata.com/mlink/modules/profile/index.cfm?action=profile&amp;prop_id=208</v>
      </c>
      <c r="N199" s="1" t="str">
        <f t="shared" si="19"/>
        <v>00208</v>
      </c>
    </row>
    <row r="200" spans="1:14" x14ac:dyDescent="0.3">
      <c r="A200" s="1">
        <v>209</v>
      </c>
      <c r="B200" s="7" t="s">
        <v>127</v>
      </c>
      <c r="C200" s="12">
        <v>2239</v>
      </c>
      <c r="D200" s="7" t="s">
        <v>335</v>
      </c>
      <c r="E200" s="13" t="s">
        <v>7</v>
      </c>
      <c r="F200" t="str">
        <f t="shared" si="15"/>
        <v>Cromwell</v>
      </c>
      <c r="G200" t="str">
        <f t="shared" si="16"/>
        <v>Cromwell2239Austin</v>
      </c>
      <c r="H200" t="s">
        <v>31058</v>
      </c>
      <c r="I200" t="s">
        <v>22494</v>
      </c>
      <c r="J200" t="str">
        <f t="shared" si="17"/>
        <v>E:\PropInv\MF</v>
      </c>
      <c r="K200" s="103" t="str">
        <f>HYPERLINK("E:\PropInv\MF\Austin\Cromwell Cir_2239_Landry Place_Austin_00209","Cromwell Cir_2239_Landry Place_Austin_00209" )</f>
        <v>Cromwell Cir_2239_Landry Place_Austin_00209</v>
      </c>
      <c r="L200" s="104" t="s">
        <v>22253</v>
      </c>
      <c r="M200" s="103" t="str">
        <f t="shared" si="18"/>
        <v>http://oconnordata.com/mlink/modules/profile/index.cfm?action=profile&amp;prop_id=209</v>
      </c>
      <c r="N200" s="1" t="str">
        <f t="shared" si="19"/>
        <v>00209</v>
      </c>
    </row>
    <row r="201" spans="1:14" x14ac:dyDescent="0.3">
      <c r="A201" s="1">
        <v>210</v>
      </c>
      <c r="B201" s="7" t="s">
        <v>41</v>
      </c>
      <c r="C201" s="12">
        <v>300</v>
      </c>
      <c r="D201" s="7" t="s">
        <v>336</v>
      </c>
      <c r="E201" s="13" t="s">
        <v>7</v>
      </c>
      <c r="F201" t="str">
        <f t="shared" si="15"/>
        <v>Riverside</v>
      </c>
      <c r="G201" t="str">
        <f t="shared" si="16"/>
        <v>Riverside300Austin</v>
      </c>
      <c r="H201" t="s">
        <v>31059</v>
      </c>
      <c r="I201" t="s">
        <v>22495</v>
      </c>
      <c r="J201" t="str">
        <f t="shared" si="17"/>
        <v>E:\PropInv\MF</v>
      </c>
      <c r="K201" s="103" t="str">
        <f>HYPERLINK("E:\PropInv\MF\Austin\Riverside Dr E_300_SoCo on the Lake_Austin_00210","Riverside Dr E_300_SoCo on the Lake_Austin_00210" )</f>
        <v>Riverside Dr E_300_SoCo on the Lake_Austin_00210</v>
      </c>
      <c r="L201" s="104" t="s">
        <v>22253</v>
      </c>
      <c r="M201" s="103" t="str">
        <f t="shared" si="18"/>
        <v>http://oconnordata.com/mlink/modules/profile/index.cfm?action=profile&amp;prop_id=210</v>
      </c>
      <c r="N201" s="1" t="str">
        <f t="shared" si="19"/>
        <v>00210</v>
      </c>
    </row>
    <row r="202" spans="1:14" x14ac:dyDescent="0.3">
      <c r="A202" s="1">
        <v>211</v>
      </c>
      <c r="B202" s="7" t="s">
        <v>41</v>
      </c>
      <c r="C202" s="12">
        <v>222</v>
      </c>
      <c r="D202" s="7" t="s">
        <v>337</v>
      </c>
      <c r="E202" s="13" t="s">
        <v>7</v>
      </c>
      <c r="F202" t="str">
        <f t="shared" si="15"/>
        <v>Riverside</v>
      </c>
      <c r="G202" t="str">
        <f t="shared" si="16"/>
        <v>Riverside222Austin</v>
      </c>
      <c r="H202" t="s">
        <v>31060</v>
      </c>
      <c r="I202" t="s">
        <v>22496</v>
      </c>
      <c r="J202" t="str">
        <f t="shared" si="17"/>
        <v>E:\PropInv\MF</v>
      </c>
      <c r="K202" s="103" t="str">
        <f>HYPERLINK("E:\PropInv\MF\Austin\Riverside Dr E_222_Riverside Square_Austin_00211","Riverside Dr E_222_Riverside Square_Austin_00211" )</f>
        <v>Riverside Dr E_222_Riverside Square_Austin_00211</v>
      </c>
      <c r="L202" s="104" t="s">
        <v>22253</v>
      </c>
      <c r="M202" s="103" t="str">
        <f t="shared" si="18"/>
        <v>http://oconnordata.com/mlink/modules/profile/index.cfm?action=profile&amp;prop_id=211</v>
      </c>
      <c r="N202" s="1" t="str">
        <f t="shared" si="19"/>
        <v>00211</v>
      </c>
    </row>
    <row r="203" spans="1:14" x14ac:dyDescent="0.3">
      <c r="A203" s="1">
        <v>212</v>
      </c>
      <c r="B203" s="7" t="s">
        <v>182</v>
      </c>
      <c r="C203" s="12">
        <v>3600</v>
      </c>
      <c r="D203" s="7" t="s">
        <v>338</v>
      </c>
      <c r="E203" s="13" t="s">
        <v>7</v>
      </c>
      <c r="F203" t="str">
        <f t="shared" si="15"/>
        <v>Greystone</v>
      </c>
      <c r="G203" t="str">
        <f t="shared" si="16"/>
        <v>Greystone3600Austin</v>
      </c>
      <c r="H203" t="s">
        <v>31061</v>
      </c>
      <c r="I203" t="s">
        <v>22497</v>
      </c>
      <c r="J203" t="str">
        <f t="shared" si="17"/>
        <v>E:\PropInv\MF</v>
      </c>
      <c r="K203" s="103" t="str">
        <f>HYPERLINK("E:\PropInv\MF\Austin\Greystone Dr_3600_Northwest Hills_Austin_00212","Greystone Dr_3600_Northwest Hills_Austin_00212" )</f>
        <v>Greystone Dr_3600_Northwest Hills_Austin_00212</v>
      </c>
      <c r="L203" s="104" t="s">
        <v>22253</v>
      </c>
      <c r="M203" s="103" t="str">
        <f t="shared" si="18"/>
        <v>http://oconnordata.com/mlink/modules/profile/index.cfm?action=profile&amp;prop_id=212</v>
      </c>
      <c r="N203" s="1" t="str">
        <f t="shared" si="19"/>
        <v>00212</v>
      </c>
    </row>
    <row r="204" spans="1:14" x14ac:dyDescent="0.3">
      <c r="A204" s="1">
        <v>213</v>
      </c>
      <c r="B204" s="7" t="s">
        <v>339</v>
      </c>
      <c r="C204" s="12">
        <v>8615</v>
      </c>
      <c r="D204" s="7" t="s">
        <v>340</v>
      </c>
      <c r="E204" s="13" t="s">
        <v>7</v>
      </c>
      <c r="F204" t="str">
        <f t="shared" si="15"/>
        <v>Rockwood</v>
      </c>
      <c r="G204" t="str">
        <f t="shared" si="16"/>
        <v>Rockwood8615Austin</v>
      </c>
      <c r="H204" t="s">
        <v>31062</v>
      </c>
      <c r="I204" t="s">
        <v>22498</v>
      </c>
      <c r="J204" t="str">
        <f t="shared" si="17"/>
        <v>E:\PropInv\MF</v>
      </c>
      <c r="K204" s="103" t="str">
        <f>HYPERLINK("E:\PropInv\MF\Austin\Rockwood Ln_8615_Rockwood_Austin_00213","Rockwood Ln_8615_Rockwood_Austin_00213" )</f>
        <v>Rockwood Ln_8615_Rockwood_Austin_00213</v>
      </c>
      <c r="L204" s="104" t="s">
        <v>22253</v>
      </c>
      <c r="M204" s="103" t="str">
        <f t="shared" si="18"/>
        <v>http://oconnordata.com/mlink/modules/profile/index.cfm?action=profile&amp;prop_id=213</v>
      </c>
      <c r="N204" s="1" t="str">
        <f t="shared" si="19"/>
        <v>00213</v>
      </c>
    </row>
    <row r="205" spans="1:14" x14ac:dyDescent="0.3">
      <c r="A205" s="1">
        <v>214</v>
      </c>
      <c r="B205" s="7" t="s">
        <v>310</v>
      </c>
      <c r="C205" s="12">
        <v>9300</v>
      </c>
      <c r="D205" s="7" t="s">
        <v>341</v>
      </c>
      <c r="E205" s="13" t="s">
        <v>7</v>
      </c>
      <c r="F205" t="str">
        <f t="shared" si="15"/>
        <v>Northgate</v>
      </c>
      <c r="G205" t="str">
        <f t="shared" si="16"/>
        <v>Northgate9300Austin</v>
      </c>
      <c r="H205" t="s">
        <v>31063</v>
      </c>
      <c r="I205" t="s">
        <v>22499</v>
      </c>
      <c r="J205" t="str">
        <f t="shared" si="17"/>
        <v>E:\PropInv\MF</v>
      </c>
      <c r="K205" s="103" t="str">
        <f>HYPERLINK("E:\PropInv\MF\Austin\Northgate Blvd_9300_Avalon Palms I_Austin_00214","Northgate Blvd_9300_Avalon Palms I_Austin_00214" )</f>
        <v>Northgate Blvd_9300_Avalon Palms I_Austin_00214</v>
      </c>
      <c r="L205" s="104" t="s">
        <v>22253</v>
      </c>
      <c r="M205" s="103" t="str">
        <f t="shared" si="18"/>
        <v>http://oconnordata.com/mlink/modules/profile/index.cfm?action=profile&amp;prop_id=214</v>
      </c>
      <c r="N205" s="1" t="str">
        <f t="shared" si="19"/>
        <v>00214</v>
      </c>
    </row>
    <row r="206" spans="1:14" x14ac:dyDescent="0.3">
      <c r="A206" s="1">
        <v>215</v>
      </c>
      <c r="B206" s="7" t="s">
        <v>173</v>
      </c>
      <c r="C206" s="12">
        <v>1809</v>
      </c>
      <c r="D206" s="7" t="s">
        <v>342</v>
      </c>
      <c r="E206" s="13" t="s">
        <v>7</v>
      </c>
      <c r="F206" t="str">
        <f t="shared" si="15"/>
        <v>Rundberg</v>
      </c>
      <c r="G206" t="str">
        <f t="shared" si="16"/>
        <v>Rundberg1809Austin</v>
      </c>
      <c r="H206" t="s">
        <v>31064</v>
      </c>
      <c r="I206" t="s">
        <v>22500</v>
      </c>
      <c r="J206" t="str">
        <f t="shared" si="17"/>
        <v>E:\PropInv\MF</v>
      </c>
      <c r="K206" s="103" t="str">
        <f>HYPERLINK("E:\PropInv\MF\Austin\Rundberg Ln W_1809_Rundberg West_Austin_00215","Rundberg Ln W_1809_Rundberg West_Austin_00215" )</f>
        <v>Rundberg Ln W_1809_Rundberg West_Austin_00215</v>
      </c>
      <c r="L206" s="104" t="s">
        <v>22253</v>
      </c>
      <c r="M206" s="103" t="str">
        <f t="shared" si="18"/>
        <v>http://oconnordata.com/mlink/modules/profile/index.cfm?action=profile&amp;prop_id=215</v>
      </c>
      <c r="N206" s="1" t="str">
        <f t="shared" si="19"/>
        <v>00215</v>
      </c>
    </row>
    <row r="207" spans="1:14" x14ac:dyDescent="0.3">
      <c r="A207" s="1">
        <v>216</v>
      </c>
      <c r="B207" s="7" t="s">
        <v>146</v>
      </c>
      <c r="C207" s="12">
        <v>1101</v>
      </c>
      <c r="D207" s="7" t="s">
        <v>343</v>
      </c>
      <c r="E207" s="13" t="s">
        <v>7</v>
      </c>
      <c r="F207" t="str">
        <f t="shared" si="15"/>
        <v>Rutland</v>
      </c>
      <c r="G207" t="str">
        <f t="shared" si="16"/>
        <v>Rutland1101Austin</v>
      </c>
      <c r="H207" t="s">
        <v>31065</v>
      </c>
      <c r="I207" t="s">
        <v>22501</v>
      </c>
      <c r="J207" t="str">
        <f t="shared" si="17"/>
        <v>E:\PropInv\MF</v>
      </c>
      <c r="K207" s="103" t="str">
        <f>HYPERLINK("E:\PropInv\MF\Austin\Rutland Dr_1101_Runnymede_Austin_00216","Rutland Dr_1101_Runnymede_Austin_00216" )</f>
        <v>Rutland Dr_1101_Runnymede_Austin_00216</v>
      </c>
      <c r="L207" s="104" t="s">
        <v>22253</v>
      </c>
      <c r="M207" s="103" t="str">
        <f t="shared" si="18"/>
        <v>http://oconnordata.com/mlink/modules/profile/index.cfm?action=profile&amp;prop_id=216</v>
      </c>
      <c r="N207" s="1" t="str">
        <f t="shared" si="19"/>
        <v>00216</v>
      </c>
    </row>
    <row r="208" spans="1:14" x14ac:dyDescent="0.3">
      <c r="A208" s="1">
        <v>217</v>
      </c>
      <c r="B208" s="7" t="s">
        <v>146</v>
      </c>
      <c r="C208" s="12">
        <v>1711</v>
      </c>
      <c r="D208" s="7" t="s">
        <v>344</v>
      </c>
      <c r="E208" s="13" t="s">
        <v>7</v>
      </c>
      <c r="F208" t="str">
        <f t="shared" si="15"/>
        <v>Rutland</v>
      </c>
      <c r="G208" t="str">
        <f t="shared" si="16"/>
        <v>Rutland1711Austin</v>
      </c>
      <c r="H208" t="s">
        <v>31066</v>
      </c>
      <c r="I208" t="s">
        <v>22502</v>
      </c>
      <c r="J208" t="str">
        <f t="shared" si="17"/>
        <v>E:\PropInv\MF</v>
      </c>
      <c r="K208" s="103" t="str">
        <f>HYPERLINK("E:\PropInv\MF\Austin\Rutland Dr_1711_Rutland Place I &amp; II_Austin_00217","Rutland Dr_1711_Rutland Place I &amp; II_Austin_00217" )</f>
        <v>Rutland Dr_1711_Rutland Place I &amp; II_Austin_00217</v>
      </c>
      <c r="L208" s="104" t="s">
        <v>22253</v>
      </c>
      <c r="M208" s="103" t="str">
        <f t="shared" si="18"/>
        <v>http://oconnordata.com/mlink/modules/profile/index.cfm?action=profile&amp;prop_id=217</v>
      </c>
      <c r="N208" s="1" t="str">
        <f t="shared" si="19"/>
        <v>00217</v>
      </c>
    </row>
    <row r="209" spans="1:14" x14ac:dyDescent="0.3">
      <c r="A209" s="1">
        <v>218</v>
      </c>
      <c r="B209" s="7" t="s">
        <v>345</v>
      </c>
      <c r="C209" s="12">
        <v>2600</v>
      </c>
      <c r="D209" s="7" t="s">
        <v>346</v>
      </c>
      <c r="E209" s="13" t="s">
        <v>7</v>
      </c>
      <c r="F209" t="str">
        <f t="shared" si="15"/>
        <v>Gracy</v>
      </c>
      <c r="G209" t="str">
        <f t="shared" si="16"/>
        <v>Gracy2600Austin</v>
      </c>
      <c r="H209" t="s">
        <v>31067</v>
      </c>
      <c r="I209" t="s">
        <v>22503</v>
      </c>
      <c r="J209" t="str">
        <f t="shared" si="17"/>
        <v>E:\PropInv\MF</v>
      </c>
      <c r="K209" s="103" t="str">
        <f>HYPERLINK("E:\PropInv\MF\Austin\Gracy Farms Ln_2600_The Village At Gracy Farms_Austin_00218","Gracy Farms Ln_2600_The Village At Gracy Farms_Austin_00218" )</f>
        <v>Gracy Farms Ln_2600_The Village At Gracy Farms_Austin_00218</v>
      </c>
      <c r="L209" s="104" t="s">
        <v>22253</v>
      </c>
      <c r="M209" s="103" t="str">
        <f t="shared" si="18"/>
        <v>http://oconnordata.com/mlink/modules/profile/index.cfm?action=profile&amp;prop_id=218</v>
      </c>
      <c r="N209" s="1" t="str">
        <f t="shared" si="19"/>
        <v>00218</v>
      </c>
    </row>
    <row r="210" spans="1:14" x14ac:dyDescent="0.3">
      <c r="A210" s="1">
        <v>219</v>
      </c>
      <c r="B210" s="7" t="s">
        <v>347</v>
      </c>
      <c r="C210" s="12">
        <v>2604</v>
      </c>
      <c r="D210" s="7" t="s">
        <v>348</v>
      </c>
      <c r="E210" s="13" t="s">
        <v>7</v>
      </c>
      <c r="F210" t="str">
        <f t="shared" si="15"/>
        <v>Manor</v>
      </c>
      <c r="G210" t="str">
        <f t="shared" si="16"/>
        <v>Manor2604Austin</v>
      </c>
      <c r="H210" t="s">
        <v>31068</v>
      </c>
      <c r="I210" t="s">
        <v>22504</v>
      </c>
      <c r="J210" t="str">
        <f t="shared" si="17"/>
        <v>E:\PropInv\MF</v>
      </c>
      <c r="K210" s="103" t="str">
        <f>HYPERLINK("E:\PropInv\MF\Austin\Manor Rd_2604_Sagebrush_Austin_00219","Manor Rd_2604_Sagebrush_Austin_00219" )</f>
        <v>Manor Rd_2604_Sagebrush_Austin_00219</v>
      </c>
      <c r="L210" s="104" t="s">
        <v>22253</v>
      </c>
      <c r="M210" s="103" t="str">
        <f t="shared" si="18"/>
        <v>http://oconnordata.com/mlink/modules/profile/index.cfm?action=profile&amp;prop_id=219</v>
      </c>
      <c r="N210" s="1" t="str">
        <f t="shared" si="19"/>
        <v>00219</v>
      </c>
    </row>
    <row r="211" spans="1:14" x14ac:dyDescent="0.3">
      <c r="A211" s="1">
        <v>220</v>
      </c>
      <c r="B211" s="7" t="s">
        <v>49</v>
      </c>
      <c r="C211" s="12">
        <v>1016</v>
      </c>
      <c r="D211" s="7" t="s">
        <v>349</v>
      </c>
      <c r="E211" s="13" t="s">
        <v>7</v>
      </c>
      <c r="F211" t="str">
        <f t="shared" si="15"/>
        <v>Stassney</v>
      </c>
      <c r="G211" t="str">
        <f t="shared" si="16"/>
        <v>Stassney1016Austin</v>
      </c>
      <c r="H211" t="s">
        <v>31069</v>
      </c>
      <c r="I211" t="s">
        <v>22505</v>
      </c>
      <c r="J211" t="str">
        <f t="shared" si="17"/>
        <v>E:\PropInv\MF</v>
      </c>
      <c r="K211" s="103" t="str">
        <f>HYPERLINK("E:\PropInv\MF\Austin\Stassney Ln W_1016_Salem Walk_Austin_00220","Stassney Ln W_1016_Salem Walk_Austin_00220" )</f>
        <v>Stassney Ln W_1016_Salem Walk_Austin_00220</v>
      </c>
      <c r="L211" s="104" t="s">
        <v>22253</v>
      </c>
      <c r="M211" s="103" t="str">
        <f t="shared" si="18"/>
        <v>http://oconnordata.com/mlink/modules/profile/index.cfm?action=profile&amp;prop_id=220</v>
      </c>
      <c r="N211" s="1" t="str">
        <f t="shared" si="19"/>
        <v>00220</v>
      </c>
    </row>
    <row r="212" spans="1:14" x14ac:dyDescent="0.3">
      <c r="A212" s="1">
        <v>221</v>
      </c>
      <c r="B212" s="7" t="s">
        <v>152</v>
      </c>
      <c r="C212" s="12">
        <v>5816</v>
      </c>
      <c r="D212" s="7" t="s">
        <v>350</v>
      </c>
      <c r="E212" s="13" t="s">
        <v>7</v>
      </c>
      <c r="F212" t="str">
        <f t="shared" si="15"/>
        <v>1st</v>
      </c>
      <c r="G212" t="str">
        <f t="shared" si="16"/>
        <v>1st5816Austin</v>
      </c>
      <c r="H212" t="s">
        <v>31070</v>
      </c>
      <c r="I212" t="s">
        <v>22506</v>
      </c>
      <c r="J212" t="str">
        <f t="shared" si="17"/>
        <v>E:\PropInv\MF</v>
      </c>
      <c r="K212" s="103" t="str">
        <f>HYPERLINK("E:\PropInv\MF\Austin\1st St S_5816_The Arts Apts at Turtle Creek_Austin_00221","1st St S_5816_The Arts Apts at Turtle Creek_Austin_00221" )</f>
        <v>1st St S_5816_The Arts Apts at Turtle Creek_Austin_00221</v>
      </c>
      <c r="L212" s="104" t="s">
        <v>22253</v>
      </c>
      <c r="M212" s="103" t="str">
        <f t="shared" si="18"/>
        <v>http://oconnordata.com/mlink/modules/profile/index.cfm?action=profile&amp;prop_id=221</v>
      </c>
      <c r="N212" s="1" t="str">
        <f t="shared" si="19"/>
        <v>00221</v>
      </c>
    </row>
    <row r="213" spans="1:14" x14ac:dyDescent="0.3">
      <c r="A213" s="1">
        <v>222</v>
      </c>
      <c r="B213" s="7" t="s">
        <v>37</v>
      </c>
      <c r="C213" s="12">
        <v>8071</v>
      </c>
      <c r="D213" s="7" t="s">
        <v>351</v>
      </c>
      <c r="E213" s="13" t="s">
        <v>7</v>
      </c>
      <c r="F213" t="str">
        <f t="shared" si="15"/>
        <v>Lamar</v>
      </c>
      <c r="G213" t="str">
        <f t="shared" si="16"/>
        <v>Lamar8071Austin</v>
      </c>
      <c r="H213" t="s">
        <v>31071</v>
      </c>
      <c r="I213" t="s">
        <v>22507</v>
      </c>
      <c r="J213" t="str">
        <f t="shared" si="17"/>
        <v>E:\PropInv\MF</v>
      </c>
      <c r="K213" s="103" t="str">
        <f>HYPERLINK("E:\PropInv\MF\Austin\Lamar Blvd N_8071_Santa Maria Village_Austin_00222","Lamar Blvd N_8071_Santa Maria Village_Austin_00222" )</f>
        <v>Lamar Blvd N_8071_Santa Maria Village_Austin_00222</v>
      </c>
      <c r="L213" s="104" t="s">
        <v>22253</v>
      </c>
      <c r="M213" s="103" t="str">
        <f t="shared" si="18"/>
        <v>http://oconnordata.com/mlink/modules/profile/index.cfm?action=profile&amp;prop_id=222</v>
      </c>
      <c r="N213" s="1" t="str">
        <f t="shared" si="19"/>
        <v>00222</v>
      </c>
    </row>
    <row r="214" spans="1:14" x14ac:dyDescent="0.3">
      <c r="A214" s="1">
        <v>223</v>
      </c>
      <c r="B214" s="7" t="s">
        <v>352</v>
      </c>
      <c r="C214" s="12">
        <v>7201</v>
      </c>
      <c r="D214" s="7" t="s">
        <v>353</v>
      </c>
      <c r="E214" s="13" t="s">
        <v>7</v>
      </c>
      <c r="F214" t="str">
        <f t="shared" si="15"/>
        <v>Hart</v>
      </c>
      <c r="G214" t="str">
        <f t="shared" si="16"/>
        <v>Hart7201Austin</v>
      </c>
      <c r="H214" t="s">
        <v>31072</v>
      </c>
      <c r="I214" t="s">
        <v>22508</v>
      </c>
      <c r="J214" t="str">
        <f t="shared" si="17"/>
        <v>E:\PropInv\MF</v>
      </c>
      <c r="K214" s="103" t="str">
        <f>HYPERLINK("E:\PropInv\MF\Austin\Hart Ln_7201_Acacia Cliffs_Austin_00223","Hart Ln_7201_Acacia Cliffs_Austin_00223" )</f>
        <v>Hart Ln_7201_Acacia Cliffs_Austin_00223</v>
      </c>
      <c r="L214" s="104" t="s">
        <v>22253</v>
      </c>
      <c r="M214" s="103" t="str">
        <f t="shared" si="18"/>
        <v>http://oconnordata.com/mlink/modules/profile/index.cfm?action=profile&amp;prop_id=223</v>
      </c>
      <c r="N214" s="1" t="str">
        <f t="shared" si="19"/>
        <v>00223</v>
      </c>
    </row>
    <row r="215" spans="1:14" x14ac:dyDescent="0.3">
      <c r="A215" s="1">
        <v>224</v>
      </c>
      <c r="B215" s="7" t="s">
        <v>347</v>
      </c>
      <c r="C215" s="12">
        <v>2401</v>
      </c>
      <c r="D215" s="7" t="s">
        <v>354</v>
      </c>
      <c r="E215" s="13" t="s">
        <v>7</v>
      </c>
      <c r="F215" t="str">
        <f t="shared" si="15"/>
        <v>Manor</v>
      </c>
      <c r="G215" t="str">
        <f t="shared" si="16"/>
        <v>Manor2401Austin</v>
      </c>
      <c r="H215" t="s">
        <v>31073</v>
      </c>
      <c r="I215" t="s">
        <v>22509</v>
      </c>
      <c r="J215" t="str">
        <f t="shared" si="17"/>
        <v>E:\PropInv\MF</v>
      </c>
      <c r="K215" s="103" t="str">
        <f>HYPERLINK("E:\PropInv\MF\Austin\Manor Rd_2401_Eastside Commons_Austin_00224","Manor Rd_2401_Eastside Commons_Austin_00224" )</f>
        <v>Manor Rd_2401_Eastside Commons_Austin_00224</v>
      </c>
      <c r="L215" s="104" t="s">
        <v>22253</v>
      </c>
      <c r="M215" s="103" t="str">
        <f t="shared" si="18"/>
        <v>http://oconnordata.com/mlink/modules/profile/index.cfm?action=profile&amp;prop_id=224</v>
      </c>
      <c r="N215" s="1" t="str">
        <f t="shared" si="19"/>
        <v>00224</v>
      </c>
    </row>
    <row r="216" spans="1:14" x14ac:dyDescent="0.3">
      <c r="A216" s="1">
        <v>225</v>
      </c>
      <c r="B216" s="7" t="s">
        <v>355</v>
      </c>
      <c r="C216" s="12">
        <v>8001</v>
      </c>
      <c r="D216" s="7" t="s">
        <v>356</v>
      </c>
      <c r="E216" s="13" t="s">
        <v>7</v>
      </c>
      <c r="F216" t="str">
        <f t="shared" si="15"/>
        <v>70</v>
      </c>
      <c r="G216" t="str">
        <f t="shared" si="16"/>
        <v>708001Austin</v>
      </c>
      <c r="H216" t="s">
        <v>31074</v>
      </c>
      <c r="I216" t="s">
        <v>22510</v>
      </c>
      <c r="J216" t="str">
        <f t="shared" si="17"/>
        <v>E:\PropInv\MF</v>
      </c>
      <c r="K216" s="103" t="str">
        <f>HYPERLINK("E:\PropInv\MF\Austin\70 Hwy W_8001_Settlers Creek_Austin_00225","70 Hwy W_8001_Settlers Creek_Austin_00225" )</f>
        <v>70 Hwy W_8001_Settlers Creek_Austin_00225</v>
      </c>
      <c r="L216" s="104" t="s">
        <v>22253</v>
      </c>
      <c r="M216" s="103" t="str">
        <f t="shared" si="18"/>
        <v>http://oconnordata.com/mlink/modules/profile/index.cfm?action=profile&amp;prop_id=225</v>
      </c>
      <c r="N216" s="1" t="str">
        <f t="shared" si="19"/>
        <v>00225</v>
      </c>
    </row>
    <row r="217" spans="1:14" x14ac:dyDescent="0.3">
      <c r="A217" s="1">
        <v>226</v>
      </c>
      <c r="B217" s="7" t="s">
        <v>87</v>
      </c>
      <c r="C217" s="12">
        <v>12148</v>
      </c>
      <c r="D217" s="7" t="s">
        <v>357</v>
      </c>
      <c r="E217" s="13" t="s">
        <v>7</v>
      </c>
      <c r="F217" t="str">
        <f t="shared" si="15"/>
        <v>Jollyville</v>
      </c>
      <c r="G217" t="str">
        <f t="shared" si="16"/>
        <v>Jollyville12148Austin</v>
      </c>
      <c r="H217" t="s">
        <v>31075</v>
      </c>
      <c r="I217" t="s">
        <v>22511</v>
      </c>
      <c r="J217" t="str">
        <f t="shared" si="17"/>
        <v>E:\PropInv\MF</v>
      </c>
      <c r="K217" s="103" t="str">
        <f>HYPERLINK("E:\PropInv\MF\Austin\Jollyville Rd_12148_Shadow Oaks_Austin_00226","Jollyville Rd_12148_Shadow Oaks_Austin_00226" )</f>
        <v>Jollyville Rd_12148_Shadow Oaks_Austin_00226</v>
      </c>
      <c r="L217" s="104" t="s">
        <v>22253</v>
      </c>
      <c r="M217" s="103" t="str">
        <f t="shared" si="18"/>
        <v>http://oconnordata.com/mlink/modules/profile/index.cfm?action=profile&amp;prop_id=226</v>
      </c>
      <c r="N217" s="1" t="str">
        <f t="shared" si="19"/>
        <v>00226</v>
      </c>
    </row>
    <row r="218" spans="1:14" x14ac:dyDescent="0.3">
      <c r="A218" s="1">
        <v>227</v>
      </c>
      <c r="B218" s="7" t="s">
        <v>222</v>
      </c>
      <c r="C218" s="12">
        <v>1114</v>
      </c>
      <c r="D218" s="7" t="s">
        <v>358</v>
      </c>
      <c r="E218" s="13" t="s">
        <v>7</v>
      </c>
      <c r="F218" t="str">
        <f t="shared" si="15"/>
        <v>Camino</v>
      </c>
      <c r="G218" t="str">
        <f t="shared" si="16"/>
        <v>Camino1114Austin</v>
      </c>
      <c r="H218" t="s">
        <v>31076</v>
      </c>
      <c r="I218" t="s">
        <v>22512</v>
      </c>
      <c r="J218" t="str">
        <f t="shared" si="17"/>
        <v>E:\PropInv\MF</v>
      </c>
      <c r="K218" s="103" t="str">
        <f>HYPERLINK("E:\PropInv\MF\Austin\Camino La Costa_1114_Magnolia Court_Austin_00227","Camino La Costa_1114_Magnolia Court_Austin_00227" )</f>
        <v>Camino La Costa_1114_Magnolia Court_Austin_00227</v>
      </c>
      <c r="L218" s="104" t="s">
        <v>22253</v>
      </c>
      <c r="M218" s="103" t="str">
        <f t="shared" si="18"/>
        <v>http://oconnordata.com/mlink/modules/profile/index.cfm?action=profile&amp;prop_id=227</v>
      </c>
      <c r="N218" s="1" t="str">
        <f t="shared" si="19"/>
        <v>00227</v>
      </c>
    </row>
    <row r="219" spans="1:14" x14ac:dyDescent="0.3">
      <c r="A219" s="1">
        <v>228</v>
      </c>
      <c r="B219" s="7" t="s">
        <v>93</v>
      </c>
      <c r="C219" s="12">
        <v>4320</v>
      </c>
      <c r="D219" s="7" t="s">
        <v>359</v>
      </c>
      <c r="E219" s="13" t="s">
        <v>7</v>
      </c>
      <c r="F219" t="str">
        <f t="shared" si="15"/>
        <v>Congress</v>
      </c>
      <c r="G219" t="str">
        <f t="shared" si="16"/>
        <v>Congress4320Austin</v>
      </c>
      <c r="H219" t="s">
        <v>31077</v>
      </c>
      <c r="I219" t="s">
        <v>22513</v>
      </c>
      <c r="J219" t="str">
        <f t="shared" si="17"/>
        <v>E:\PropInv\MF</v>
      </c>
      <c r="K219" s="103" t="str">
        <f>HYPERLINK("E:\PropInv\MF\Austin\Congress Ave S_4320_Sierra Vista_Austin_00228","Congress Ave S_4320_Sierra Vista_Austin_00228" )</f>
        <v>Congress Ave S_4320_Sierra Vista_Austin_00228</v>
      </c>
      <c r="L219" s="104" t="s">
        <v>22253</v>
      </c>
      <c r="M219" s="103" t="str">
        <f t="shared" si="18"/>
        <v>http://oconnordata.com/mlink/modules/profile/index.cfm?action=profile&amp;prop_id=228</v>
      </c>
      <c r="N219" s="1" t="str">
        <f t="shared" si="19"/>
        <v>00228</v>
      </c>
    </row>
    <row r="220" spans="1:14" x14ac:dyDescent="0.3">
      <c r="A220" s="1">
        <v>229</v>
      </c>
      <c r="B220" s="7" t="s">
        <v>232</v>
      </c>
      <c r="C220" s="12">
        <v>1801</v>
      </c>
      <c r="D220" s="7" t="s">
        <v>360</v>
      </c>
      <c r="E220" s="13" t="s">
        <v>7</v>
      </c>
      <c r="F220" t="str">
        <f t="shared" si="15"/>
        <v>Lakeshore</v>
      </c>
      <c r="G220" t="str">
        <f t="shared" si="16"/>
        <v>Lakeshore1801Austin</v>
      </c>
      <c r="H220" t="s">
        <v>31078</v>
      </c>
      <c r="I220" t="s">
        <v>22514</v>
      </c>
      <c r="J220" t="str">
        <f t="shared" si="17"/>
        <v>E:\PropInv\MF</v>
      </c>
      <c r="K220" s="103" t="str">
        <f>HYPERLINK("E:\PropInv\MF\Austin\Lakeshore Blvd S_1801_Shoreline_Austin_00229","Lakeshore Blvd S_1801_Shoreline_Austin_00229" )</f>
        <v>Lakeshore Blvd S_1801_Shoreline_Austin_00229</v>
      </c>
      <c r="L220" s="104" t="s">
        <v>22253</v>
      </c>
      <c r="M220" s="103" t="str">
        <f t="shared" si="18"/>
        <v>http://oconnordata.com/mlink/modules/profile/index.cfm?action=profile&amp;prop_id=229</v>
      </c>
      <c r="N220" s="1" t="str">
        <f t="shared" si="19"/>
        <v>00229</v>
      </c>
    </row>
    <row r="221" spans="1:14" x14ac:dyDescent="0.3">
      <c r="A221" s="1">
        <v>230</v>
      </c>
      <c r="B221" s="7" t="s">
        <v>361</v>
      </c>
      <c r="C221" s="12">
        <v>201</v>
      </c>
      <c r="D221" s="7" t="s">
        <v>362</v>
      </c>
      <c r="E221" s="13" t="s">
        <v>7</v>
      </c>
      <c r="F221" t="str">
        <f t="shared" si="15"/>
        <v>Saint</v>
      </c>
      <c r="G221" t="str">
        <f t="shared" si="16"/>
        <v>Saint201Austin</v>
      </c>
      <c r="H221" t="s">
        <v>31079</v>
      </c>
      <c r="I221" t="s">
        <v>22515</v>
      </c>
      <c r="J221" t="str">
        <f t="shared" si="17"/>
        <v>E:\PropInv\MF</v>
      </c>
      <c r="K221" s="103" t="str">
        <f>HYPERLINK("E:\PropInv\MF\Austin\Saint Elmo Rd W_201_Sierra Ridge_Austin_00230","Saint Elmo Rd W_201_Sierra Ridge_Austin_00230" )</f>
        <v>Saint Elmo Rd W_201_Sierra Ridge_Austin_00230</v>
      </c>
      <c r="L221" s="104" t="s">
        <v>22253</v>
      </c>
      <c r="M221" s="103" t="str">
        <f t="shared" si="18"/>
        <v>http://oconnordata.com/mlink/modules/profile/index.cfm?action=profile&amp;prop_id=230</v>
      </c>
      <c r="N221" s="1" t="str">
        <f t="shared" si="19"/>
        <v>00230</v>
      </c>
    </row>
    <row r="222" spans="1:14" x14ac:dyDescent="0.3">
      <c r="A222" s="1">
        <v>231</v>
      </c>
      <c r="B222" s="7" t="s">
        <v>152</v>
      </c>
      <c r="C222" s="12">
        <v>2900</v>
      </c>
      <c r="D222" s="7" t="s">
        <v>363</v>
      </c>
      <c r="E222" s="13" t="s">
        <v>7</v>
      </c>
      <c r="F222" t="str">
        <f t="shared" si="15"/>
        <v>1st</v>
      </c>
      <c r="G222" t="str">
        <f t="shared" si="16"/>
        <v>1st2900Austin</v>
      </c>
      <c r="H222" t="s">
        <v>31080</v>
      </c>
      <c r="I222" t="s">
        <v>22516</v>
      </c>
      <c r="J222" t="str">
        <f t="shared" si="17"/>
        <v>E:\PropInv\MF</v>
      </c>
      <c r="K222" s="103" t="str">
        <f>HYPERLINK("E:\PropInv\MF\Austin\1st St S_2900_Silvercreek_Austin_00231","1st St S_2900_Silvercreek_Austin_00231" )</f>
        <v>1st St S_2900_Silvercreek_Austin_00231</v>
      </c>
      <c r="L222" s="104" t="s">
        <v>22253</v>
      </c>
      <c r="M222" s="103" t="str">
        <f t="shared" si="18"/>
        <v>http://oconnordata.com/mlink/modules/profile/index.cfm?action=profile&amp;prop_id=231</v>
      </c>
      <c r="N222" s="1" t="str">
        <f t="shared" si="19"/>
        <v>00231</v>
      </c>
    </row>
    <row r="223" spans="1:14" x14ac:dyDescent="0.3">
      <c r="A223" s="1">
        <v>232</v>
      </c>
      <c r="B223" s="7" t="s">
        <v>144</v>
      </c>
      <c r="C223" s="12">
        <v>8900</v>
      </c>
      <c r="D223" s="7" t="s">
        <v>364</v>
      </c>
      <c r="E223" s="13" t="s">
        <v>7</v>
      </c>
      <c r="F223" t="str">
        <f t="shared" si="15"/>
        <v>35</v>
      </c>
      <c r="G223" t="str">
        <f t="shared" si="16"/>
        <v>358900Austin</v>
      </c>
      <c r="H223" t="s">
        <v>31081</v>
      </c>
      <c r="I223" t="s">
        <v>22517</v>
      </c>
      <c r="J223" t="str">
        <f t="shared" si="17"/>
        <v>E:\PropInv\MF</v>
      </c>
      <c r="K223" s="103" t="str">
        <f>HYPERLINK("E:\PropInv\MF\Austin\35 IH N_8900_Capella_Austin_00232","35 IH N_8900_Capella_Austin_00232" )</f>
        <v>35 IH N_8900_Capella_Austin_00232</v>
      </c>
      <c r="L223" s="104" t="s">
        <v>22253</v>
      </c>
      <c r="M223" s="103" t="str">
        <f t="shared" si="18"/>
        <v>http://oconnordata.com/mlink/modules/profile/index.cfm?action=profile&amp;prop_id=232</v>
      </c>
      <c r="N223" s="1" t="str">
        <f t="shared" si="19"/>
        <v>00232</v>
      </c>
    </row>
    <row r="224" spans="1:14" x14ac:dyDescent="0.3">
      <c r="A224" s="1">
        <v>234</v>
      </c>
      <c r="B224" s="7" t="s">
        <v>365</v>
      </c>
      <c r="C224" s="12">
        <v>1001</v>
      </c>
      <c r="D224" s="7" t="s">
        <v>366</v>
      </c>
      <c r="E224" s="13" t="s">
        <v>367</v>
      </c>
      <c r="F224" t="str">
        <f t="shared" si="15"/>
        <v>Nimbus</v>
      </c>
      <c r="G224" t="str">
        <f t="shared" si="16"/>
        <v>Nimbus1001Pflugerville</v>
      </c>
      <c r="H224" t="s">
        <v>31082</v>
      </c>
      <c r="I224" t="s">
        <v>22518</v>
      </c>
      <c r="J224" t="str">
        <f t="shared" si="17"/>
        <v>E:\PropInv\MF</v>
      </c>
      <c r="K224" s="103" t="str">
        <f>HYPERLINK("E:\PropInv\MF\Pflugerville\Nimbus Dr_1001_Skyview Village_Pflugerville_00234","Nimbus Dr_1001_Skyview Village_Pflugerville_00234" )</f>
        <v>Nimbus Dr_1001_Skyview Village_Pflugerville_00234</v>
      </c>
      <c r="L224" s="104" t="s">
        <v>22253</v>
      </c>
      <c r="M224" s="103" t="str">
        <f t="shared" si="18"/>
        <v>http://oconnordata.com/mlink/modules/profile/index.cfm?action=profile&amp;prop_id=234</v>
      </c>
      <c r="N224" s="1" t="str">
        <f t="shared" si="19"/>
        <v>00234</v>
      </c>
    </row>
    <row r="225" spans="1:14" x14ac:dyDescent="0.3">
      <c r="A225" s="1">
        <v>235</v>
      </c>
      <c r="B225" s="7" t="s">
        <v>368</v>
      </c>
      <c r="C225" s="12">
        <v>6201</v>
      </c>
      <c r="D225" s="7" t="s">
        <v>369</v>
      </c>
      <c r="E225" s="13" t="s">
        <v>7</v>
      </c>
      <c r="F225" t="str">
        <f t="shared" si="15"/>
        <v>Sneed</v>
      </c>
      <c r="G225" t="str">
        <f t="shared" si="16"/>
        <v>Sneed6201Austin</v>
      </c>
      <c r="H225" t="s">
        <v>31083</v>
      </c>
      <c r="I225" t="s">
        <v>13784</v>
      </c>
      <c r="J225" t="str">
        <f t="shared" si="17"/>
        <v>E:\PropInv\MF</v>
      </c>
      <c r="K225" s="103" t="str">
        <f>HYPERLINK("E:\PropInv\MF\Austin\Sneed Cove_6201_Sorrento_Austin_00235","Sneed Cove_6201_Sorrento_Austin_00235" )</f>
        <v>Sneed Cove_6201_Sorrento_Austin_00235</v>
      </c>
      <c r="L225" s="104" t="s">
        <v>22253</v>
      </c>
      <c r="M225" s="103" t="str">
        <f t="shared" si="18"/>
        <v>http://oconnordata.com/mlink/modules/profile/index.cfm?action=profile&amp;prop_id=235</v>
      </c>
      <c r="N225" s="1" t="str">
        <f t="shared" si="19"/>
        <v>00235</v>
      </c>
    </row>
    <row r="226" spans="1:14" x14ac:dyDescent="0.3">
      <c r="A226" s="1">
        <v>236</v>
      </c>
      <c r="B226" s="7" t="s">
        <v>75</v>
      </c>
      <c r="C226" s="12">
        <v>2001</v>
      </c>
      <c r="D226" s="7" t="s">
        <v>370</v>
      </c>
      <c r="E226" s="13" t="s">
        <v>7</v>
      </c>
      <c r="F226" t="str">
        <f t="shared" si="15"/>
        <v>35</v>
      </c>
      <c r="G226" t="str">
        <f t="shared" si="16"/>
        <v>352001Austin</v>
      </c>
      <c r="H226" t="s">
        <v>31084</v>
      </c>
      <c r="I226" t="s">
        <v>22519</v>
      </c>
      <c r="J226" t="str">
        <f t="shared" si="17"/>
        <v>E:\PropInv\MF</v>
      </c>
      <c r="K226" s="103" t="str">
        <f>HYPERLINK("E:\PropInv\MF\Austin\35 IH S_2001_South Cliff_Austin_00236","35 IH S_2001_South Cliff_Austin_00236" )</f>
        <v>35 IH S_2001_South Cliff_Austin_00236</v>
      </c>
      <c r="L226" s="104" t="s">
        <v>22253</v>
      </c>
      <c r="M226" s="103" t="str">
        <f t="shared" si="18"/>
        <v>http://oconnordata.com/mlink/modules/profile/index.cfm?action=profile&amp;prop_id=236</v>
      </c>
      <c r="N226" s="1" t="str">
        <f t="shared" si="19"/>
        <v>00236</v>
      </c>
    </row>
    <row r="227" spans="1:14" x14ac:dyDescent="0.3">
      <c r="A227" s="1">
        <v>237</v>
      </c>
      <c r="B227" s="7" t="s">
        <v>75</v>
      </c>
      <c r="C227" s="12">
        <v>3209</v>
      </c>
      <c r="D227" s="7" t="s">
        <v>371</v>
      </c>
      <c r="E227" s="13" t="s">
        <v>7</v>
      </c>
      <c r="F227" t="str">
        <f t="shared" si="15"/>
        <v>35</v>
      </c>
      <c r="G227" t="str">
        <f t="shared" si="16"/>
        <v>353209Austin</v>
      </c>
      <c r="H227" t="s">
        <v>31085</v>
      </c>
      <c r="I227" t="s">
        <v>22520</v>
      </c>
      <c r="J227" t="str">
        <f t="shared" si="17"/>
        <v>E:\PropInv\MF</v>
      </c>
      <c r="K227" s="103" t="str">
        <f>HYPERLINK("E:\PropInv\MF\Austin\35 IH S_3209_Mission Grace Woods_Austin_00237","35 IH S_3209_Mission Grace Woods_Austin_00237" )</f>
        <v>35 IH S_3209_Mission Grace Woods_Austin_00237</v>
      </c>
      <c r="L227" s="104" t="s">
        <v>22253</v>
      </c>
      <c r="M227" s="103" t="str">
        <f t="shared" si="18"/>
        <v>http://oconnordata.com/mlink/modules/profile/index.cfm?action=profile&amp;prop_id=237</v>
      </c>
      <c r="N227" s="1" t="str">
        <f t="shared" si="19"/>
        <v>00237</v>
      </c>
    </row>
    <row r="228" spans="1:14" x14ac:dyDescent="0.3">
      <c r="A228" s="1">
        <v>238</v>
      </c>
      <c r="B228" s="7" t="s">
        <v>75</v>
      </c>
      <c r="C228" s="12">
        <v>6808</v>
      </c>
      <c r="D228" s="7" t="s">
        <v>372</v>
      </c>
      <c r="E228" s="13" t="s">
        <v>7</v>
      </c>
      <c r="F228" t="str">
        <f t="shared" si="15"/>
        <v>35</v>
      </c>
      <c r="G228" t="str">
        <f t="shared" si="16"/>
        <v>356808Austin</v>
      </c>
      <c r="H228" t="s">
        <v>31086</v>
      </c>
      <c r="I228" t="s">
        <v>22521</v>
      </c>
      <c r="J228" t="str">
        <f t="shared" si="17"/>
        <v>E:\PropInv\MF</v>
      </c>
      <c r="K228" s="103" t="str">
        <f>HYPERLINK("E:\PropInv\MF\Austin\35 IH S_6808_South Point Village_Austin_00238","35 IH S_6808_South Point Village_Austin_00238" )</f>
        <v>35 IH S_6808_South Point Village_Austin_00238</v>
      </c>
      <c r="L228" s="104" t="s">
        <v>22253</v>
      </c>
      <c r="M228" s="103" t="str">
        <f t="shared" si="18"/>
        <v>http://oconnordata.com/mlink/modules/profile/index.cfm?action=profile&amp;prop_id=238</v>
      </c>
      <c r="N228" s="1" t="str">
        <f t="shared" si="19"/>
        <v>00238</v>
      </c>
    </row>
    <row r="229" spans="1:14" x14ac:dyDescent="0.3">
      <c r="A229" s="1">
        <v>240</v>
      </c>
      <c r="B229" s="7" t="s">
        <v>373</v>
      </c>
      <c r="C229" s="12">
        <v>1200</v>
      </c>
      <c r="D229" s="7" t="s">
        <v>374</v>
      </c>
      <c r="E229" s="13" t="s">
        <v>18</v>
      </c>
      <c r="F229" t="str">
        <f t="shared" si="15"/>
        <v>Mays</v>
      </c>
      <c r="G229" t="str">
        <f t="shared" si="16"/>
        <v>Mays1200Round Rock</v>
      </c>
      <c r="H229" t="s">
        <v>31087</v>
      </c>
      <c r="I229" t="s">
        <v>22522</v>
      </c>
      <c r="J229" t="str">
        <f t="shared" si="17"/>
        <v>E:\PropInv\MF</v>
      </c>
      <c r="K229" s="103" t="str">
        <f>HYPERLINK("E:\PropInv\MF\Round Rock\Mays St S_1200_Vista Ridge_Round Rock_00240","Mays St S_1200_Vista Ridge_Round Rock_00240" )</f>
        <v>Mays St S_1200_Vista Ridge_Round Rock_00240</v>
      </c>
      <c r="L229" s="104" t="s">
        <v>22253</v>
      </c>
      <c r="M229" s="103" t="str">
        <f t="shared" si="18"/>
        <v>http://oconnordata.com/mlink/modules/profile/index.cfm?action=profile&amp;prop_id=240</v>
      </c>
      <c r="N229" s="1" t="str">
        <f t="shared" si="19"/>
        <v>00240</v>
      </c>
    </row>
    <row r="230" spans="1:14" x14ac:dyDescent="0.3">
      <c r="A230" s="1">
        <v>242</v>
      </c>
      <c r="B230" s="7" t="s">
        <v>375</v>
      </c>
      <c r="C230" s="12">
        <v>3603</v>
      </c>
      <c r="D230" s="7" t="s">
        <v>376</v>
      </c>
      <c r="E230" s="13" t="s">
        <v>7</v>
      </c>
      <c r="F230" t="str">
        <f t="shared" si="15"/>
        <v>Southridge</v>
      </c>
      <c r="G230" t="str">
        <f t="shared" si="16"/>
        <v>Southridge3603Austin</v>
      </c>
      <c r="H230" t="s">
        <v>31088</v>
      </c>
      <c r="I230" t="s">
        <v>22523</v>
      </c>
      <c r="J230" t="str">
        <f t="shared" si="17"/>
        <v>E:\PropInv\MF</v>
      </c>
      <c r="K230" s="103" t="str">
        <f>HYPERLINK("E:\PropInv\MF\Austin\Southridge Dr_3603_Bainbridge Villas_Austin_00242","Southridge Dr_3603_Bainbridge Villas_Austin_00242" )</f>
        <v>Southridge Dr_3603_Bainbridge Villas_Austin_00242</v>
      </c>
      <c r="L230" s="104" t="s">
        <v>22253</v>
      </c>
      <c r="M230" s="103" t="str">
        <f t="shared" si="18"/>
        <v>http://oconnordata.com/mlink/modules/profile/index.cfm?action=profile&amp;prop_id=242</v>
      </c>
      <c r="N230" s="1" t="str">
        <f t="shared" si="19"/>
        <v>00242</v>
      </c>
    </row>
    <row r="231" spans="1:14" x14ac:dyDescent="0.3">
      <c r="A231" s="1">
        <v>243</v>
      </c>
      <c r="B231" s="7" t="s">
        <v>377</v>
      </c>
      <c r="C231" s="12">
        <v>8617</v>
      </c>
      <c r="D231" s="7" t="s">
        <v>378</v>
      </c>
      <c r="E231" s="13" t="s">
        <v>7</v>
      </c>
      <c r="F231" t="str">
        <f t="shared" si="15"/>
        <v>Spicewood</v>
      </c>
      <c r="G231" t="str">
        <f t="shared" si="16"/>
        <v>Spicewood8617Austin</v>
      </c>
      <c r="H231" t="s">
        <v>31089</v>
      </c>
      <c r="I231" t="s">
        <v>22524</v>
      </c>
      <c r="J231" t="str">
        <f t="shared" si="17"/>
        <v>E:\PropInv\MF</v>
      </c>
      <c r="K231" s="103" t="str">
        <f>HYPERLINK("E:\PropInv\MF\Austin\Spicewood Springs Rd_8617_Spicewood Springs_Austin_00243","Spicewood Springs Rd_8617_Spicewood Springs_Austin_00243" )</f>
        <v>Spicewood Springs Rd_8617_Spicewood Springs_Austin_00243</v>
      </c>
      <c r="L231" s="104" t="s">
        <v>22253</v>
      </c>
      <c r="M231" s="103" t="str">
        <f t="shared" si="18"/>
        <v>http://oconnordata.com/mlink/modules/profile/index.cfm?action=profile&amp;prop_id=243</v>
      </c>
      <c r="N231" s="1" t="str">
        <f t="shared" si="19"/>
        <v>00243</v>
      </c>
    </row>
    <row r="232" spans="1:14" x14ac:dyDescent="0.3">
      <c r="A232" s="1">
        <v>244</v>
      </c>
      <c r="B232" s="7" t="s">
        <v>379</v>
      </c>
      <c r="C232" s="12">
        <v>4803</v>
      </c>
      <c r="D232" s="7" t="s">
        <v>380</v>
      </c>
      <c r="E232" s="13" t="s">
        <v>7</v>
      </c>
      <c r="F232" t="str">
        <f t="shared" si="15"/>
        <v>Loyola</v>
      </c>
      <c r="G232" t="str">
        <f t="shared" si="16"/>
        <v>Loyola4803Austin</v>
      </c>
      <c r="H232" t="s">
        <v>31090</v>
      </c>
      <c r="I232" t="s">
        <v>22525</v>
      </c>
      <c r="J232" t="str">
        <f t="shared" si="17"/>
        <v>E:\PropInv\MF</v>
      </c>
      <c r="K232" s="103" t="str">
        <f>HYPERLINK("E:\PropInv\MF\Austin\Loyola Ln_4803_Spring Hollow_Austin_00244","Loyola Ln_4803_Spring Hollow_Austin_00244" )</f>
        <v>Loyola Ln_4803_Spring Hollow_Austin_00244</v>
      </c>
      <c r="L232" s="104" t="s">
        <v>22253</v>
      </c>
      <c r="M232" s="103" t="str">
        <f t="shared" si="18"/>
        <v>http://oconnordata.com/mlink/modules/profile/index.cfm?action=profile&amp;prop_id=244</v>
      </c>
      <c r="N232" s="1" t="str">
        <f t="shared" si="19"/>
        <v>00244</v>
      </c>
    </row>
    <row r="233" spans="1:14" x14ac:dyDescent="0.3">
      <c r="A233" s="1">
        <v>245</v>
      </c>
      <c r="B233" s="7" t="s">
        <v>381</v>
      </c>
      <c r="C233" s="12">
        <v>6407</v>
      </c>
      <c r="D233" s="7" t="s">
        <v>382</v>
      </c>
      <c r="E233" s="13" t="s">
        <v>7</v>
      </c>
      <c r="F233" t="str">
        <f t="shared" si="15"/>
        <v>Springdale</v>
      </c>
      <c r="G233" t="str">
        <f t="shared" si="16"/>
        <v>Springdale6407Austin</v>
      </c>
      <c r="H233" t="s">
        <v>31091</v>
      </c>
      <c r="I233" t="s">
        <v>22526</v>
      </c>
      <c r="J233" t="str">
        <f t="shared" si="17"/>
        <v>E:\PropInv\MF</v>
      </c>
      <c r="K233" s="103" t="str">
        <f>HYPERLINK("E:\PropInv\MF\Austin\Springdale Rd_6407_Tierra Bella_Austin_00245","Springdale Rd_6407_Tierra Bella_Austin_00245" )</f>
        <v>Springdale Rd_6407_Tierra Bella_Austin_00245</v>
      </c>
      <c r="L233" s="104" t="s">
        <v>22253</v>
      </c>
      <c r="M233" s="103" t="str">
        <f t="shared" si="18"/>
        <v>http://oconnordata.com/mlink/modules/profile/index.cfm?action=profile&amp;prop_id=245</v>
      </c>
      <c r="N233" s="1" t="str">
        <f t="shared" si="19"/>
        <v>00245</v>
      </c>
    </row>
    <row r="234" spans="1:14" x14ac:dyDescent="0.3">
      <c r="A234" s="1">
        <v>246</v>
      </c>
      <c r="B234" s="7" t="s">
        <v>259</v>
      </c>
      <c r="C234" s="12">
        <v>4716</v>
      </c>
      <c r="D234" s="7" t="s">
        <v>383</v>
      </c>
      <c r="E234" s="13" t="s">
        <v>7</v>
      </c>
      <c r="F234" t="str">
        <f t="shared" si="15"/>
        <v>Duval</v>
      </c>
      <c r="G234" t="str">
        <f t="shared" si="16"/>
        <v>Duval4716Austin</v>
      </c>
      <c r="H234" t="s">
        <v>31092</v>
      </c>
      <c r="I234" t="s">
        <v>22527</v>
      </c>
      <c r="J234" t="str">
        <f t="shared" si="17"/>
        <v>E:\PropInv\MF</v>
      </c>
      <c r="K234" s="103" t="str">
        <f>HYPERLINK("E:\PropInv\MF\Austin\Duval Rd_4716_The Springs Garden Homes_Austin_00246","Duval Rd_4716_The Springs Garden Homes_Austin_00246" )</f>
        <v>Duval Rd_4716_The Springs Garden Homes_Austin_00246</v>
      </c>
      <c r="L234" s="104" t="s">
        <v>22253</v>
      </c>
      <c r="M234" s="103" t="str">
        <f t="shared" si="18"/>
        <v>http://oconnordata.com/mlink/modules/profile/index.cfm?action=profile&amp;prop_id=246</v>
      </c>
      <c r="N234" s="1" t="str">
        <f t="shared" si="19"/>
        <v>00246</v>
      </c>
    </row>
    <row r="235" spans="1:14" x14ac:dyDescent="0.3">
      <c r="A235" s="1">
        <v>247</v>
      </c>
      <c r="B235" s="7" t="s">
        <v>384</v>
      </c>
      <c r="C235" s="12">
        <v>1781</v>
      </c>
      <c r="D235" s="7" t="s">
        <v>385</v>
      </c>
      <c r="E235" s="13" t="s">
        <v>7</v>
      </c>
      <c r="F235" t="str">
        <f t="shared" si="15"/>
        <v>Spyglass</v>
      </c>
      <c r="G235" t="str">
        <f t="shared" si="16"/>
        <v>Spyglass1781Austin</v>
      </c>
      <c r="H235" t="s">
        <v>31093</v>
      </c>
      <c r="I235" t="s">
        <v>22528</v>
      </c>
      <c r="J235" t="str">
        <f t="shared" si="17"/>
        <v>E:\PropInv\MF</v>
      </c>
      <c r="K235" s="103" t="str">
        <f>HYPERLINK("E:\PropInv\MF\Austin\Spyglass Dr_1781_Mission Barton Creek_Austin_00247","Spyglass Dr_1781_Mission Barton Creek_Austin_00247" )</f>
        <v>Spyglass Dr_1781_Mission Barton Creek_Austin_00247</v>
      </c>
      <c r="L235" s="104" t="s">
        <v>22253</v>
      </c>
      <c r="M235" s="103" t="str">
        <f t="shared" si="18"/>
        <v>http://oconnordata.com/mlink/modules/profile/index.cfm?action=profile&amp;prop_id=247</v>
      </c>
      <c r="N235" s="1" t="str">
        <f t="shared" si="19"/>
        <v>00247</v>
      </c>
    </row>
    <row r="236" spans="1:14" x14ac:dyDescent="0.3">
      <c r="A236" s="1">
        <v>248</v>
      </c>
      <c r="B236" s="7" t="s">
        <v>146</v>
      </c>
      <c r="C236" s="12">
        <v>1630</v>
      </c>
      <c r="D236" s="7" t="s">
        <v>386</v>
      </c>
      <c r="E236" s="13" t="s">
        <v>7</v>
      </c>
      <c r="F236" t="str">
        <f t="shared" si="15"/>
        <v>Rutland</v>
      </c>
      <c r="G236" t="str">
        <f t="shared" si="16"/>
        <v>Rutland1630Austin</v>
      </c>
      <c r="H236" t="s">
        <v>31094</v>
      </c>
      <c r="I236" t="s">
        <v>22529</v>
      </c>
      <c r="J236" t="str">
        <f t="shared" si="17"/>
        <v>E:\PropInv\MF</v>
      </c>
      <c r="K236" s="103" t="str">
        <f>HYPERLINK("E:\PropInv\MF\Austin\Rutland Dr_1630_Austin Commons_Austin_00248","Rutland Dr_1630_Austin Commons_Austin_00248" )</f>
        <v>Rutland Dr_1630_Austin Commons_Austin_00248</v>
      </c>
      <c r="L236" s="104" t="s">
        <v>22253</v>
      </c>
      <c r="M236" s="103" t="str">
        <f t="shared" si="18"/>
        <v>http://oconnordata.com/mlink/modules/profile/index.cfm?action=profile&amp;prop_id=248</v>
      </c>
      <c r="N236" s="1" t="str">
        <f t="shared" si="19"/>
        <v>00248</v>
      </c>
    </row>
    <row r="237" spans="1:14" x14ac:dyDescent="0.3">
      <c r="A237" s="1">
        <v>249</v>
      </c>
      <c r="B237" s="7" t="s">
        <v>387</v>
      </c>
      <c r="C237" s="12">
        <v>1800</v>
      </c>
      <c r="D237" s="7" t="s">
        <v>388</v>
      </c>
      <c r="E237" s="13" t="s">
        <v>7</v>
      </c>
      <c r="F237" t="str">
        <f t="shared" si="15"/>
        <v>Stassney</v>
      </c>
      <c r="G237" t="str">
        <f t="shared" si="16"/>
        <v>Stassney1800Austin</v>
      </c>
      <c r="H237" t="s">
        <v>31095</v>
      </c>
      <c r="I237" t="s">
        <v>22530</v>
      </c>
      <c r="J237" t="str">
        <f t="shared" si="17"/>
        <v>E:\PropInv\MF</v>
      </c>
      <c r="K237" s="103" t="str">
        <f>HYPERLINK("E:\PropInv\MF\Austin\Stassney Ln E_1800_Stassney Woods_Austin_00249","Stassney Ln E_1800_Stassney Woods_Austin_00249" )</f>
        <v>Stassney Ln E_1800_Stassney Woods_Austin_00249</v>
      </c>
      <c r="L237" s="104" t="s">
        <v>22253</v>
      </c>
      <c r="M237" s="103" t="str">
        <f t="shared" si="18"/>
        <v>http://oconnordata.com/mlink/modules/profile/index.cfm?action=profile&amp;prop_id=249</v>
      </c>
      <c r="N237" s="1" t="str">
        <f t="shared" si="19"/>
        <v>00249</v>
      </c>
    </row>
    <row r="238" spans="1:14" x14ac:dyDescent="0.3">
      <c r="A238" s="1">
        <v>250</v>
      </c>
      <c r="B238" s="7" t="s">
        <v>107</v>
      </c>
      <c r="C238" s="12">
        <v>2809</v>
      </c>
      <c r="D238" s="7" t="s">
        <v>389</v>
      </c>
      <c r="E238" s="13" t="s">
        <v>7</v>
      </c>
      <c r="F238" t="str">
        <f t="shared" si="15"/>
        <v>William</v>
      </c>
      <c r="G238" t="str">
        <f t="shared" si="16"/>
        <v>William2809Austin</v>
      </c>
      <c r="H238" t="s">
        <v>31096</v>
      </c>
      <c r="I238" t="s">
        <v>22531</v>
      </c>
      <c r="J238" t="str">
        <f t="shared" si="17"/>
        <v>E:\PropInv\MF</v>
      </c>
      <c r="K238" s="103" t="str">
        <f>HYPERLINK("E:\PropInv\MF\Austin\William Cannon Dr W_2809_Sterling Springs_Austin_00250","William Cannon Dr W_2809_Sterling Springs_Austin_00250" )</f>
        <v>William Cannon Dr W_2809_Sterling Springs_Austin_00250</v>
      </c>
      <c r="L238" s="104" t="s">
        <v>22253</v>
      </c>
      <c r="M238" s="103" t="str">
        <f t="shared" si="18"/>
        <v>http://oconnordata.com/mlink/modules/profile/index.cfm?action=profile&amp;prop_id=250</v>
      </c>
      <c r="N238" s="1" t="str">
        <f t="shared" si="19"/>
        <v>00250</v>
      </c>
    </row>
    <row r="239" spans="1:14" x14ac:dyDescent="0.3">
      <c r="A239" s="1">
        <v>251</v>
      </c>
      <c r="B239" s="7" t="s">
        <v>37</v>
      </c>
      <c r="C239" s="12">
        <v>10401</v>
      </c>
      <c r="D239" s="7" t="s">
        <v>390</v>
      </c>
      <c r="E239" s="13" t="s">
        <v>7</v>
      </c>
      <c r="F239" t="str">
        <f t="shared" si="15"/>
        <v>Lamar</v>
      </c>
      <c r="G239" t="str">
        <f t="shared" si="16"/>
        <v>Lamar10401Austin</v>
      </c>
      <c r="H239" t="s">
        <v>31097</v>
      </c>
      <c r="I239" t="s">
        <v>22532</v>
      </c>
      <c r="J239" t="str">
        <f t="shared" si="17"/>
        <v>E:\PropInv\MF</v>
      </c>
      <c r="K239" s="103" t="str">
        <f>HYPERLINK("E:\PropInv\MF\Austin\Lamar Blvd N_10401_Sterling Village_Austin_00251","Lamar Blvd N_10401_Sterling Village_Austin_00251" )</f>
        <v>Lamar Blvd N_10401_Sterling Village_Austin_00251</v>
      </c>
      <c r="L239" s="104" t="s">
        <v>22253</v>
      </c>
      <c r="M239" s="103" t="str">
        <f t="shared" si="18"/>
        <v>http://oconnordata.com/mlink/modules/profile/index.cfm?action=profile&amp;prop_id=251</v>
      </c>
      <c r="N239" s="1" t="str">
        <f t="shared" si="19"/>
        <v>00251</v>
      </c>
    </row>
    <row r="240" spans="1:14" x14ac:dyDescent="0.3">
      <c r="A240" s="1">
        <v>253</v>
      </c>
      <c r="B240" s="7" t="s">
        <v>391</v>
      </c>
      <c r="C240" s="12">
        <v>1500</v>
      </c>
      <c r="D240" s="7" t="s">
        <v>392</v>
      </c>
      <c r="E240" s="13" t="s">
        <v>7</v>
      </c>
      <c r="F240" t="str">
        <f t="shared" si="15"/>
        <v>Lamar</v>
      </c>
      <c r="G240" t="str">
        <f t="shared" si="16"/>
        <v>Lamar1500Austin</v>
      </c>
      <c r="H240" t="s">
        <v>31098</v>
      </c>
      <c r="I240" t="s">
        <v>22533</v>
      </c>
      <c r="J240" t="str">
        <f t="shared" si="17"/>
        <v>E:\PropInv\MF</v>
      </c>
      <c r="K240" s="103" t="str">
        <f>HYPERLINK("E:\PropInv\MF\Austin\Lamar Blvd S_1500_Stoneridge (Demolished)_Austin_00253","Lamar Blvd S_1500_Stoneridge (Demolished)_Austin_00253" )</f>
        <v>Lamar Blvd S_1500_Stoneridge (Demolished)_Austin_00253</v>
      </c>
      <c r="L240" s="104" t="s">
        <v>22253</v>
      </c>
      <c r="M240" s="103" t="str">
        <f t="shared" si="18"/>
        <v>http://oconnordata.com/mlink/modules/profile/index.cfm?action=profile&amp;prop_id=253</v>
      </c>
      <c r="N240" s="1" t="str">
        <f t="shared" si="19"/>
        <v>00253</v>
      </c>
    </row>
    <row r="241" spans="1:14" x14ac:dyDescent="0.3">
      <c r="A241" s="1">
        <v>254</v>
      </c>
      <c r="B241" s="7" t="s">
        <v>393</v>
      </c>
      <c r="C241" s="12">
        <v>4310</v>
      </c>
      <c r="D241" s="7" t="s">
        <v>394</v>
      </c>
      <c r="E241" s="13" t="s">
        <v>7</v>
      </c>
      <c r="F241" t="str">
        <f t="shared" si="15"/>
        <v>Ave</v>
      </c>
      <c r="G241" t="str">
        <f t="shared" si="16"/>
        <v>Ave4310Austin</v>
      </c>
      <c r="H241" t="s">
        <v>31099</v>
      </c>
      <c r="I241" t="s">
        <v>22534</v>
      </c>
      <c r="J241" t="str">
        <f t="shared" si="17"/>
        <v>E:\PropInv\MF</v>
      </c>
      <c r="K241" s="103" t="str">
        <f>HYPERLINK("E:\PropInv\MF\Austin\Ave B #110_4310_Stonewood Village_Austin_00254","Ave B #110_4310_Stonewood Village_Austin_00254" )</f>
        <v>Ave B #110_4310_Stonewood Village_Austin_00254</v>
      </c>
      <c r="L241" s="104" t="s">
        <v>22253</v>
      </c>
      <c r="M241" s="103" t="str">
        <f t="shared" si="18"/>
        <v>http://oconnordata.com/mlink/modules/profile/index.cfm?action=profile&amp;prop_id=254</v>
      </c>
      <c r="N241" s="1" t="str">
        <f t="shared" si="19"/>
        <v>00254</v>
      </c>
    </row>
    <row r="242" spans="1:14" x14ac:dyDescent="0.3">
      <c r="A242" s="1">
        <v>255</v>
      </c>
      <c r="B242" s="7" t="s">
        <v>163</v>
      </c>
      <c r="C242" s="12">
        <v>4911</v>
      </c>
      <c r="D242" s="7" t="s">
        <v>395</v>
      </c>
      <c r="E242" s="13" t="s">
        <v>7</v>
      </c>
      <c r="F242" t="str">
        <f t="shared" si="15"/>
        <v>Manchaca</v>
      </c>
      <c r="G242" t="str">
        <f t="shared" si="16"/>
        <v>Manchaca4911Austin</v>
      </c>
      <c r="H242" t="s">
        <v>31100</v>
      </c>
      <c r="I242" t="s">
        <v>22535</v>
      </c>
      <c r="J242" t="str">
        <f t="shared" si="17"/>
        <v>E:\PropInv\MF</v>
      </c>
      <c r="K242" s="103" t="str">
        <f>HYPERLINK("E:\PropInv\MF\Austin\Manchaca Rd_4911_Stony Creek_Austin_00255","Manchaca Rd_4911_Stony Creek_Austin_00255" )</f>
        <v>Manchaca Rd_4911_Stony Creek_Austin_00255</v>
      </c>
      <c r="L242" s="104" t="s">
        <v>22253</v>
      </c>
      <c r="M242" s="103" t="str">
        <f t="shared" si="18"/>
        <v>http://oconnordata.com/mlink/modules/profile/index.cfm?action=profile&amp;prop_id=255</v>
      </c>
      <c r="N242" s="1" t="str">
        <f t="shared" si="19"/>
        <v>00255</v>
      </c>
    </row>
    <row r="243" spans="1:14" x14ac:dyDescent="0.3">
      <c r="A243" s="1">
        <v>256</v>
      </c>
      <c r="B243" s="7" t="s">
        <v>195</v>
      </c>
      <c r="C243" s="12">
        <v>9200</v>
      </c>
      <c r="D243" s="7" t="s">
        <v>396</v>
      </c>
      <c r="E243" s="13" t="s">
        <v>7</v>
      </c>
      <c r="F243" t="str">
        <f t="shared" si="15"/>
        <v>Plaza</v>
      </c>
      <c r="G243" t="str">
        <f t="shared" si="16"/>
        <v>Plaza9200Austin</v>
      </c>
      <c r="H243" t="s">
        <v>31101</v>
      </c>
      <c r="I243" t="s">
        <v>22536</v>
      </c>
      <c r="J243" t="str">
        <f t="shared" si="17"/>
        <v>E:\PropInv\MF</v>
      </c>
      <c r="K243" s="103" t="str">
        <f>HYPERLINK("E:\PropInv\MF\Austin\Plaza Dr N_9200_Shadow Creek_Austin_00256","Plaza Dr N_9200_Shadow Creek_Austin_00256" )</f>
        <v>Plaza Dr N_9200_Shadow Creek_Austin_00256</v>
      </c>
      <c r="L243" s="104" t="s">
        <v>22253</v>
      </c>
      <c r="M243" s="103" t="str">
        <f t="shared" si="18"/>
        <v>http://oconnordata.com/mlink/modules/profile/index.cfm?action=profile&amp;prop_id=256</v>
      </c>
      <c r="N243" s="1" t="str">
        <f t="shared" si="19"/>
        <v>00256</v>
      </c>
    </row>
    <row r="244" spans="1:14" x14ac:dyDescent="0.3">
      <c r="A244" s="1">
        <v>257</v>
      </c>
      <c r="B244" s="7" t="s">
        <v>152</v>
      </c>
      <c r="C244" s="12">
        <v>3200</v>
      </c>
      <c r="D244" s="7" t="s">
        <v>397</v>
      </c>
      <c r="E244" s="13" t="s">
        <v>7</v>
      </c>
      <c r="F244" t="str">
        <f t="shared" si="15"/>
        <v>1st</v>
      </c>
      <c r="G244" t="str">
        <f t="shared" si="16"/>
        <v>1st3200Austin</v>
      </c>
      <c r="H244" t="s">
        <v>31102</v>
      </c>
      <c r="I244" t="s">
        <v>22537</v>
      </c>
      <c r="J244" t="str">
        <f t="shared" si="17"/>
        <v>E:\PropInv\MF</v>
      </c>
      <c r="K244" s="103" t="str">
        <f>HYPERLINK("E:\PropInv\MF\Austin\1st St S_3200_Stoney Ridge_Austin_00257","1st St S_3200_Stoney Ridge_Austin_00257" )</f>
        <v>1st St S_3200_Stoney Ridge_Austin_00257</v>
      </c>
      <c r="L244" s="104" t="s">
        <v>22253</v>
      </c>
      <c r="M244" s="103" t="str">
        <f t="shared" si="18"/>
        <v>http://oconnordata.com/mlink/modules/profile/index.cfm?action=profile&amp;prop_id=257</v>
      </c>
      <c r="N244" s="1" t="str">
        <f t="shared" si="19"/>
        <v>00257</v>
      </c>
    </row>
    <row r="245" spans="1:14" x14ac:dyDescent="0.3">
      <c r="A245" s="1">
        <v>258</v>
      </c>
      <c r="B245" s="7" t="s">
        <v>191</v>
      </c>
      <c r="C245" s="12">
        <v>1817</v>
      </c>
      <c r="D245" s="7" t="s">
        <v>398</v>
      </c>
      <c r="E245" s="13" t="s">
        <v>7</v>
      </c>
      <c r="F245" t="str">
        <f t="shared" si="15"/>
        <v>Oltorf</v>
      </c>
      <c r="G245" t="str">
        <f t="shared" si="16"/>
        <v>Oltorf1817Austin</v>
      </c>
      <c r="H245" t="s">
        <v>31103</v>
      </c>
      <c r="I245" t="s">
        <v>22538</v>
      </c>
      <c r="J245" t="str">
        <f t="shared" si="17"/>
        <v>E:\PropInv\MF</v>
      </c>
      <c r="K245" s="103" t="str">
        <f>HYPERLINK("E:\PropInv\MF\Austin\Oltorf St E_1817_Sienna Ridge_Austin_00258","Oltorf St E_1817_Sienna Ridge_Austin_00258" )</f>
        <v>Oltorf St E_1817_Sienna Ridge_Austin_00258</v>
      </c>
      <c r="L245" s="104" t="s">
        <v>22253</v>
      </c>
      <c r="M245" s="103" t="str">
        <f t="shared" si="18"/>
        <v>http://oconnordata.com/mlink/modules/profile/index.cfm?action=profile&amp;prop_id=258</v>
      </c>
      <c r="N245" s="1" t="str">
        <f t="shared" si="19"/>
        <v>00258</v>
      </c>
    </row>
    <row r="246" spans="1:14" x14ac:dyDescent="0.3">
      <c r="A246" s="1">
        <v>259</v>
      </c>
      <c r="B246" s="10" t="s">
        <v>399</v>
      </c>
      <c r="C246" s="9">
        <v>103</v>
      </c>
      <c r="D246" s="10" t="s">
        <v>400</v>
      </c>
      <c r="E246" s="11" t="s">
        <v>7</v>
      </c>
      <c r="F246" t="str">
        <f t="shared" si="15"/>
        <v>39th</v>
      </c>
      <c r="G246" t="str">
        <f t="shared" si="16"/>
        <v>39th103Austin</v>
      </c>
      <c r="H246" t="s">
        <v>31104</v>
      </c>
      <c r="I246" t="s">
        <v>22539</v>
      </c>
      <c r="J246" t="str">
        <f t="shared" si="17"/>
        <v>E:\PropInv\MF</v>
      </c>
      <c r="K246" s="103" t="str">
        <f>HYPERLINK("E:\PropInv\MF\Austin\39th St W_103_Su Casa_Austin_00259","39th St W_103_Su Casa_Austin_00259" )</f>
        <v>39th St W_103_Su Casa_Austin_00259</v>
      </c>
      <c r="L246" s="104" t="s">
        <v>22253</v>
      </c>
      <c r="M246" s="103" t="str">
        <f t="shared" si="18"/>
        <v>http://oconnordata.com/mlink/modules/profile/index.cfm?action=profile&amp;prop_id=259</v>
      </c>
      <c r="N246" s="1" t="str">
        <f t="shared" si="19"/>
        <v>00259</v>
      </c>
    </row>
    <row r="247" spans="1:14" x14ac:dyDescent="0.3">
      <c r="A247" s="1">
        <v>260</v>
      </c>
      <c r="B247" s="7" t="s">
        <v>252</v>
      </c>
      <c r="C247" s="12">
        <v>7905</v>
      </c>
      <c r="D247" s="7" t="s">
        <v>401</v>
      </c>
      <c r="E247" s="13" t="s">
        <v>7</v>
      </c>
      <c r="F247" t="str">
        <f t="shared" si="15"/>
        <v>San</v>
      </c>
      <c r="G247" t="str">
        <f t="shared" si="16"/>
        <v>San7905Austin</v>
      </c>
      <c r="H247" t="s">
        <v>31105</v>
      </c>
      <c r="I247" t="s">
        <v>22540</v>
      </c>
      <c r="J247" t="str">
        <f t="shared" si="17"/>
        <v>E:\PropInv\MF</v>
      </c>
      <c r="K247" s="103" t="str">
        <f>HYPERLINK("E:\PropInv\MF\Austin\San Felipe Blvd_7905_Summer Grove_Austin_00260","San Felipe Blvd_7905_Summer Grove_Austin_00260" )</f>
        <v>San Felipe Blvd_7905_Summer Grove_Austin_00260</v>
      </c>
      <c r="L247" s="104" t="s">
        <v>22253</v>
      </c>
      <c r="M247" s="103" t="str">
        <f t="shared" si="18"/>
        <v>http://oconnordata.com/mlink/modules/profile/index.cfm?action=profile&amp;prop_id=260</v>
      </c>
      <c r="N247" s="1" t="str">
        <f t="shared" si="19"/>
        <v>00260</v>
      </c>
    </row>
    <row r="248" spans="1:14" x14ac:dyDescent="0.3">
      <c r="A248" s="1">
        <v>261</v>
      </c>
      <c r="B248" s="7" t="s">
        <v>107</v>
      </c>
      <c r="C248" s="12">
        <v>744</v>
      </c>
      <c r="D248" s="7" t="s">
        <v>402</v>
      </c>
      <c r="E248" s="13" t="s">
        <v>7</v>
      </c>
      <c r="F248" t="str">
        <f t="shared" si="15"/>
        <v>William</v>
      </c>
      <c r="G248" t="str">
        <f t="shared" si="16"/>
        <v>William744Austin</v>
      </c>
      <c r="H248" t="s">
        <v>31106</v>
      </c>
      <c r="I248" t="s">
        <v>22541</v>
      </c>
      <c r="J248" t="str">
        <f t="shared" si="17"/>
        <v>E:\PropInv\MF</v>
      </c>
      <c r="K248" s="103" t="str">
        <f>HYPERLINK("E:\PropInv\MF\Austin\William Cannon Dr W_744_Club at Summer Valley_Austin_00261","William Cannon Dr W_744_Club at Summer Valley_Austin_00261" )</f>
        <v>William Cannon Dr W_744_Club at Summer Valley_Austin_00261</v>
      </c>
      <c r="L248" s="104" t="s">
        <v>22253</v>
      </c>
      <c r="M248" s="103" t="str">
        <f t="shared" si="18"/>
        <v>http://oconnordata.com/mlink/modules/profile/index.cfm?action=profile&amp;prop_id=261</v>
      </c>
      <c r="N248" s="1" t="str">
        <f t="shared" si="19"/>
        <v>00261</v>
      </c>
    </row>
    <row r="249" spans="1:14" x14ac:dyDescent="0.3">
      <c r="A249" s="1">
        <v>262</v>
      </c>
      <c r="B249" s="22" t="s">
        <v>403</v>
      </c>
      <c r="C249" s="23">
        <v>1101</v>
      </c>
      <c r="D249" s="22" t="s">
        <v>404</v>
      </c>
      <c r="E249" s="24" t="s">
        <v>18</v>
      </c>
      <c r="F249" t="str">
        <f t="shared" si="15"/>
        <v>Georgetown</v>
      </c>
      <c r="G249" t="str">
        <f t="shared" si="16"/>
        <v>Georgetown1101Round Rock</v>
      </c>
      <c r="H249" t="s">
        <v>31107</v>
      </c>
      <c r="I249" t="s">
        <v>22542</v>
      </c>
      <c r="J249" t="str">
        <f t="shared" si="17"/>
        <v>E:\PropInv\MF</v>
      </c>
      <c r="K249" s="103" t="str">
        <f>HYPERLINK("E:\PropInv\MF\Round Rock\Georgetown St N_1101_Summerset_Round Rock_00262","Georgetown St N_1101_Summerset_Round Rock_00262" )</f>
        <v>Georgetown St N_1101_Summerset_Round Rock_00262</v>
      </c>
      <c r="L249" s="104" t="s">
        <v>22253</v>
      </c>
      <c r="M249" s="103" t="str">
        <f t="shared" si="18"/>
        <v>http://oconnordata.com/mlink/modules/profile/index.cfm?action=profile&amp;prop_id=262</v>
      </c>
      <c r="N249" s="1" t="str">
        <f t="shared" si="19"/>
        <v>00262</v>
      </c>
    </row>
    <row r="250" spans="1:14" x14ac:dyDescent="0.3">
      <c r="A250" s="1">
        <v>263</v>
      </c>
      <c r="B250" s="10" t="s">
        <v>252</v>
      </c>
      <c r="C250" s="9">
        <v>7900</v>
      </c>
      <c r="D250" s="10" t="s">
        <v>405</v>
      </c>
      <c r="E250" s="11" t="s">
        <v>7</v>
      </c>
      <c r="F250" t="str">
        <f t="shared" si="15"/>
        <v>San</v>
      </c>
      <c r="G250" t="str">
        <f t="shared" si="16"/>
        <v>San7900Austin</v>
      </c>
      <c r="H250" t="s">
        <v>31108</v>
      </c>
      <c r="I250" t="s">
        <v>22543</v>
      </c>
      <c r="J250" t="str">
        <f t="shared" si="17"/>
        <v>E:\PropInv\MF</v>
      </c>
      <c r="K250" s="103" t="str">
        <f>HYPERLINK("E:\PropInv\MF\Austin\San Felipe Blvd_7900_Summit Creek_Austin_00263","San Felipe Blvd_7900_Summit Creek_Austin_00263" )</f>
        <v>San Felipe Blvd_7900_Summit Creek_Austin_00263</v>
      </c>
      <c r="L250" s="104" t="s">
        <v>22253</v>
      </c>
      <c r="M250" s="103" t="str">
        <f t="shared" si="18"/>
        <v>http://oconnordata.com/mlink/modules/profile/index.cfm?action=profile&amp;prop_id=263</v>
      </c>
      <c r="N250" s="1" t="str">
        <f t="shared" si="19"/>
        <v>00263</v>
      </c>
    </row>
    <row r="251" spans="1:14" x14ac:dyDescent="0.3">
      <c r="A251" s="1">
        <v>264</v>
      </c>
      <c r="B251" s="7" t="s">
        <v>132</v>
      </c>
      <c r="C251" s="12">
        <v>1200</v>
      </c>
      <c r="D251" s="7" t="s">
        <v>406</v>
      </c>
      <c r="E251" s="13" t="s">
        <v>18</v>
      </c>
      <c r="F251" t="str">
        <f t="shared" si="15"/>
        <v>Sunrise</v>
      </c>
      <c r="G251" t="str">
        <f t="shared" si="16"/>
        <v>Sunrise1200Round Rock</v>
      </c>
      <c r="H251" t="s">
        <v>31109</v>
      </c>
      <c r="I251" t="s">
        <v>22544</v>
      </c>
      <c r="J251" t="str">
        <f t="shared" si="17"/>
        <v>E:\PropInv\MF</v>
      </c>
      <c r="K251" s="103" t="str">
        <f>HYPERLINK("E:\PropInv\MF\Round Rock\Sunrise Rd_1200_Sunchase_Round Rock_00264","Sunrise Rd_1200_Sunchase_Round Rock_00264" )</f>
        <v>Sunrise Rd_1200_Sunchase_Round Rock_00264</v>
      </c>
      <c r="L251" s="104" t="s">
        <v>22253</v>
      </c>
      <c r="M251" s="103" t="str">
        <f t="shared" si="18"/>
        <v>http://oconnordata.com/mlink/modules/profile/index.cfm?action=profile&amp;prop_id=264</v>
      </c>
      <c r="N251" s="1" t="str">
        <f t="shared" si="19"/>
        <v>00264</v>
      </c>
    </row>
    <row r="252" spans="1:14" x14ac:dyDescent="0.3">
      <c r="A252" s="1">
        <v>265</v>
      </c>
      <c r="B252" s="7" t="s">
        <v>166</v>
      </c>
      <c r="C252" s="12">
        <v>1006</v>
      </c>
      <c r="D252" s="7" t="s">
        <v>407</v>
      </c>
      <c r="E252" s="13" t="s">
        <v>7</v>
      </c>
      <c r="F252" t="str">
        <f t="shared" si="15"/>
        <v>Banister</v>
      </c>
      <c r="G252" t="str">
        <f t="shared" si="16"/>
        <v>Banister1006Austin</v>
      </c>
      <c r="H252" t="s">
        <v>31110</v>
      </c>
      <c r="I252" t="s">
        <v>22545</v>
      </c>
      <c r="J252" t="str">
        <f t="shared" si="17"/>
        <v>E:\PropInv\MF</v>
      </c>
      <c r="K252" s="103" t="str">
        <f>HYPERLINK("E:\PropInv\MF\Austin\Banister Ln_1006_Sundance_Austin_00265","Banister Ln_1006_Sundance_Austin_00265" )</f>
        <v>Banister Ln_1006_Sundance_Austin_00265</v>
      </c>
      <c r="L252" s="104" t="s">
        <v>22253</v>
      </c>
      <c r="M252" s="103" t="str">
        <f t="shared" si="18"/>
        <v>http://oconnordata.com/mlink/modules/profile/index.cfm?action=profile&amp;prop_id=265</v>
      </c>
      <c r="N252" s="1" t="str">
        <f t="shared" si="19"/>
        <v>00265</v>
      </c>
    </row>
    <row r="253" spans="1:14" x14ac:dyDescent="0.3">
      <c r="A253" s="1">
        <v>266</v>
      </c>
      <c r="B253" s="7" t="s">
        <v>191</v>
      </c>
      <c r="C253" s="12">
        <v>501</v>
      </c>
      <c r="D253" s="7" t="s">
        <v>408</v>
      </c>
      <c r="E253" s="13" t="s">
        <v>7</v>
      </c>
      <c r="F253" t="str">
        <f t="shared" si="15"/>
        <v>Oltorf</v>
      </c>
      <c r="G253" t="str">
        <f t="shared" si="16"/>
        <v>Oltorf501Austin</v>
      </c>
      <c r="H253" t="s">
        <v>31111</v>
      </c>
      <c r="I253" t="s">
        <v>22546</v>
      </c>
      <c r="J253" t="str">
        <f t="shared" si="17"/>
        <v>E:\PropInv\MF</v>
      </c>
      <c r="K253" s="103" t="str">
        <f>HYPERLINK("E:\PropInv\MF\Austin\Oltorf St E_501_Sunnymeade_Austin_00266","Oltorf St E_501_Sunnymeade_Austin_00266" )</f>
        <v>Oltorf St E_501_Sunnymeade_Austin_00266</v>
      </c>
      <c r="L253" s="104" t="s">
        <v>22253</v>
      </c>
      <c r="M253" s="103" t="str">
        <f t="shared" si="18"/>
        <v>http://oconnordata.com/mlink/modules/profile/index.cfm?action=profile&amp;prop_id=266</v>
      </c>
      <c r="N253" s="1" t="str">
        <f t="shared" si="19"/>
        <v>00266</v>
      </c>
    </row>
    <row r="254" spans="1:14" x14ac:dyDescent="0.3">
      <c r="A254" s="1">
        <v>267</v>
      </c>
      <c r="B254" s="7" t="s">
        <v>409</v>
      </c>
      <c r="C254" s="12">
        <v>2426</v>
      </c>
      <c r="D254" s="7" t="s">
        <v>410</v>
      </c>
      <c r="E254" s="13" t="s">
        <v>61</v>
      </c>
      <c r="F254" t="str">
        <f t="shared" si="15"/>
        <v>Cardinal</v>
      </c>
      <c r="G254" t="str">
        <f t="shared" si="16"/>
        <v>Cardinal2426Del Valle</v>
      </c>
      <c r="H254" t="s">
        <v>31112</v>
      </c>
      <c r="I254" t="s">
        <v>22547</v>
      </c>
      <c r="J254" t="str">
        <f t="shared" si="17"/>
        <v>E:\PropInv\MF</v>
      </c>
      <c r="K254" s="103" t="str">
        <f>HYPERLINK("E:\PropInv\MF\Del Valle\Cardinal Loop W_2426_Sunscape_Del Valle_00267","Cardinal Loop W_2426_Sunscape_Del Valle_00267" )</f>
        <v>Cardinal Loop W_2426_Sunscape_Del Valle_00267</v>
      </c>
      <c r="L254" s="104" t="s">
        <v>22253</v>
      </c>
      <c r="M254" s="103" t="str">
        <f t="shared" si="18"/>
        <v>http://oconnordata.com/mlink/modules/profile/index.cfm?action=profile&amp;prop_id=267</v>
      </c>
      <c r="N254" s="1" t="str">
        <f t="shared" si="19"/>
        <v>00267</v>
      </c>
    </row>
    <row r="255" spans="1:14" x14ac:dyDescent="0.3">
      <c r="A255" s="1">
        <v>268</v>
      </c>
      <c r="B255" s="7" t="s">
        <v>21</v>
      </c>
      <c r="C255" s="12">
        <v>2323</v>
      </c>
      <c r="D255" s="7" t="s">
        <v>411</v>
      </c>
      <c r="E255" s="13" t="s">
        <v>7</v>
      </c>
      <c r="F255" t="str">
        <f t="shared" si="15"/>
        <v>Wells</v>
      </c>
      <c r="G255" t="str">
        <f t="shared" si="16"/>
        <v>Wells2323Austin</v>
      </c>
      <c r="H255" t="s">
        <v>31113</v>
      </c>
      <c r="I255" t="s">
        <v>22548</v>
      </c>
      <c r="J255" t="str">
        <f t="shared" si="17"/>
        <v>E:\PropInv\MF</v>
      </c>
      <c r="K255" s="103" t="str">
        <f>HYPERLINK("E:\PropInv\MF\Austin\Wells Branch Pkwy_2323_Sweetwater at Wells Branch_Austin_00268","Wells Branch Pkwy_2323_Sweetwater at Wells Branch_Austin_00268" )</f>
        <v>Wells Branch Pkwy_2323_Sweetwater at Wells Branch_Austin_00268</v>
      </c>
      <c r="L255" s="104" t="s">
        <v>22253</v>
      </c>
      <c r="M255" s="103" t="str">
        <f t="shared" si="18"/>
        <v>http://oconnordata.com/mlink/modules/profile/index.cfm?action=profile&amp;prop_id=268</v>
      </c>
      <c r="N255" s="1" t="str">
        <f t="shared" si="19"/>
        <v>00268</v>
      </c>
    </row>
    <row r="256" spans="1:14" x14ac:dyDescent="0.3">
      <c r="A256" s="1">
        <v>269</v>
      </c>
      <c r="B256" s="7" t="s">
        <v>412</v>
      </c>
      <c r="C256" s="12">
        <v>8810</v>
      </c>
      <c r="D256" s="7" t="s">
        <v>413</v>
      </c>
      <c r="E256" s="13" t="s">
        <v>7</v>
      </c>
      <c r="F256" t="str">
        <f t="shared" si="15"/>
        <v>Tallwood</v>
      </c>
      <c r="G256" t="str">
        <f t="shared" si="16"/>
        <v>Tallwood8810Austin</v>
      </c>
      <c r="H256" t="s">
        <v>31114</v>
      </c>
      <c r="I256" t="s">
        <v>22549</v>
      </c>
      <c r="J256" t="str">
        <f t="shared" si="17"/>
        <v>E:\PropInv\MF</v>
      </c>
      <c r="K256" s="103" t="str">
        <f>HYPERLINK("E:\PropInv\MF\Austin\Tallwood Dr_8810_The Arbor at Tallwood_Austin_00269","Tallwood Dr_8810_The Arbor at Tallwood_Austin_00269" )</f>
        <v>Tallwood Dr_8810_The Arbor at Tallwood_Austin_00269</v>
      </c>
      <c r="L256" s="104" t="s">
        <v>22253</v>
      </c>
      <c r="M256" s="103" t="str">
        <f t="shared" si="18"/>
        <v>http://oconnordata.com/mlink/modules/profile/index.cfm?action=profile&amp;prop_id=269</v>
      </c>
      <c r="N256" s="1" t="str">
        <f t="shared" si="19"/>
        <v>00269</v>
      </c>
    </row>
    <row r="257" spans="1:14" x14ac:dyDescent="0.3">
      <c r="A257" s="1">
        <v>270</v>
      </c>
      <c r="B257" s="7" t="s">
        <v>414</v>
      </c>
      <c r="C257" s="12">
        <v>2915</v>
      </c>
      <c r="D257" s="7" t="s">
        <v>415</v>
      </c>
      <c r="E257" s="13" t="s">
        <v>7</v>
      </c>
      <c r="F257" t="str">
        <f t="shared" si="15"/>
        <v>Aftonshire</v>
      </c>
      <c r="G257" t="str">
        <f t="shared" si="16"/>
        <v>Aftonshire2915Austin</v>
      </c>
      <c r="H257" t="s">
        <v>31115</v>
      </c>
      <c r="I257" t="s">
        <v>22550</v>
      </c>
      <c r="J257" t="str">
        <f t="shared" si="17"/>
        <v>E:\PropInv\MF</v>
      </c>
      <c r="K257" s="103" t="str">
        <f>HYPERLINK("E:\PropInv\MF\Austin\Aftonshire Way_2915_Mission Tanglewood_Austin_00270","Aftonshire Way_2915_Mission Tanglewood_Austin_00270" )</f>
        <v>Aftonshire Way_2915_Mission Tanglewood_Austin_00270</v>
      </c>
      <c r="L257" s="104" t="s">
        <v>22253</v>
      </c>
      <c r="M257" s="103" t="str">
        <f t="shared" si="18"/>
        <v>http://oconnordata.com/mlink/modules/profile/index.cfm?action=profile&amp;prop_id=270</v>
      </c>
      <c r="N257" s="1" t="str">
        <f t="shared" si="19"/>
        <v>00270</v>
      </c>
    </row>
    <row r="258" spans="1:14" x14ac:dyDescent="0.3">
      <c r="A258" s="1">
        <v>271</v>
      </c>
      <c r="B258" s="7" t="s">
        <v>416</v>
      </c>
      <c r="C258" s="12">
        <v>1020</v>
      </c>
      <c r="D258" s="7" t="s">
        <v>417</v>
      </c>
      <c r="E258" s="13" t="s">
        <v>7</v>
      </c>
      <c r="F258" t="str">
        <f t="shared" ref="F258:F321" si="20">IFERROR(LEFT(B258,FIND(" ",B258)-1),B258)</f>
        <v>45th</v>
      </c>
      <c r="G258" t="str">
        <f t="shared" ref="G258:G321" si="21">F258&amp;C258&amp;E258</f>
        <v>45th1020Austin</v>
      </c>
      <c r="H258" t="s">
        <v>31116</v>
      </c>
      <c r="I258" t="s">
        <v>22551</v>
      </c>
      <c r="J258" t="str">
        <f t="shared" ref="J258:J321" si="22">IF(L258="TX",Folder_Path,Folder_Path&amp;"\State_"&amp;L258)</f>
        <v>E:\PropInv\MF</v>
      </c>
      <c r="K258" s="103" t="str">
        <f>HYPERLINK("E:\PropInv\MF\Austin\45th St E_1020_Tanglewood North_Austin_00271","45th St E_1020_Tanglewood North_Austin_00271" )</f>
        <v>45th St E_1020_Tanglewood North_Austin_00271</v>
      </c>
      <c r="L258" s="104" t="s">
        <v>22253</v>
      </c>
      <c r="M258" s="103" t="str">
        <f t="shared" ref="M258:M321" si="23">HYPERLINK("http://oconnordata.com/mlink/modules/profile/index.cfm?action=profile&amp;prop_id="&amp;A258)</f>
        <v>http://oconnordata.com/mlink/modules/profile/index.cfm?action=profile&amp;prop_id=271</v>
      </c>
      <c r="N258" s="1" t="str">
        <f t="shared" ref="N258:N321" si="24">IF(LEN(A258)=1,"0000"&amp;A258,IF(LEN(A258)=2,"000"&amp;A258,IF(LEN(A258)=3,"00"&amp;A258,IF(LEN(A258)=4,"0"&amp;A258,IF(LEN(A258)=5,IF(LEFT(A258,1)="3",A258+30000,A258))))))</f>
        <v>00271</v>
      </c>
    </row>
    <row r="259" spans="1:14" x14ac:dyDescent="0.3">
      <c r="A259" s="1">
        <v>273</v>
      </c>
      <c r="B259" s="7" t="s">
        <v>418</v>
      </c>
      <c r="C259" s="12">
        <v>615</v>
      </c>
      <c r="D259" s="7" t="s">
        <v>419</v>
      </c>
      <c r="E259" s="13" t="s">
        <v>7</v>
      </c>
      <c r="F259" t="str">
        <f t="shared" si="20"/>
        <v>Wonsley</v>
      </c>
      <c r="G259" t="str">
        <f t="shared" si="21"/>
        <v>Wonsley615Austin</v>
      </c>
      <c r="H259" t="s">
        <v>31117</v>
      </c>
      <c r="I259" t="s">
        <v>22552</v>
      </c>
      <c r="J259" t="str">
        <f t="shared" si="22"/>
        <v>E:\PropInv\MF</v>
      </c>
      <c r="K259" s="103" t="str">
        <f>HYPERLINK("E:\PropInv\MF\Austin\Wonsley Dr E_615_Towne Oaks II_Austin_00273","Wonsley Dr E_615_Towne Oaks II_Austin_00273" )</f>
        <v>Wonsley Dr E_615_Towne Oaks II_Austin_00273</v>
      </c>
      <c r="L259" s="104" t="s">
        <v>22253</v>
      </c>
      <c r="M259" s="103" t="str">
        <f t="shared" si="23"/>
        <v>http://oconnordata.com/mlink/modules/profile/index.cfm?action=profile&amp;prop_id=273</v>
      </c>
      <c r="N259" s="1" t="str">
        <f t="shared" si="24"/>
        <v>00273</v>
      </c>
    </row>
    <row r="260" spans="1:14" x14ac:dyDescent="0.3">
      <c r="A260" s="1">
        <v>274</v>
      </c>
      <c r="B260" s="7" t="s">
        <v>152</v>
      </c>
      <c r="C260" s="12">
        <v>614</v>
      </c>
      <c r="D260" s="7" t="s">
        <v>420</v>
      </c>
      <c r="E260" s="13" t="s">
        <v>7</v>
      </c>
      <c r="F260" t="str">
        <f t="shared" si="20"/>
        <v>1st</v>
      </c>
      <c r="G260" t="str">
        <f t="shared" si="21"/>
        <v>1st614Austin</v>
      </c>
      <c r="H260" t="s">
        <v>31118</v>
      </c>
      <c r="I260" t="s">
        <v>22553</v>
      </c>
      <c r="J260" t="str">
        <f t="shared" si="22"/>
        <v>E:\PropInv\MF</v>
      </c>
      <c r="K260" s="103" t="str">
        <f>HYPERLINK("E:\PropInv\MF\Austin\1st St S_614_Timbercreek_Austin_00274","1st St S_614_Timbercreek_Austin_00274" )</f>
        <v>1st St S_614_Timbercreek_Austin_00274</v>
      </c>
      <c r="L260" s="104" t="s">
        <v>22253</v>
      </c>
      <c r="M260" s="103" t="str">
        <f t="shared" si="23"/>
        <v>http://oconnordata.com/mlink/modules/profile/index.cfm?action=profile&amp;prop_id=274</v>
      </c>
      <c r="N260" s="1" t="str">
        <f t="shared" si="24"/>
        <v>00274</v>
      </c>
    </row>
    <row r="261" spans="1:14" x14ac:dyDescent="0.3">
      <c r="A261" s="1">
        <v>276</v>
      </c>
      <c r="B261" s="7" t="s">
        <v>139</v>
      </c>
      <c r="C261" s="12">
        <v>500</v>
      </c>
      <c r="D261" s="7" t="s">
        <v>421</v>
      </c>
      <c r="E261" s="13" t="s">
        <v>7</v>
      </c>
      <c r="F261" t="str">
        <f t="shared" si="20"/>
        <v>Anderson</v>
      </c>
      <c r="G261" t="str">
        <f t="shared" si="21"/>
        <v>Anderson500Austin</v>
      </c>
      <c r="H261" t="s">
        <v>31119</v>
      </c>
      <c r="I261" t="s">
        <v>22554</v>
      </c>
      <c r="J261" t="str">
        <f t="shared" si="22"/>
        <v>E:\PropInv\MF</v>
      </c>
      <c r="K261" s="103" t="str">
        <f>HYPERLINK("E:\PropInv\MF\Austin\Anderson Ln E_500_Towne Oaks I_Austin_00276","Anderson Ln E_500_Towne Oaks I_Austin_00276" )</f>
        <v>Anderson Ln E_500_Towne Oaks I_Austin_00276</v>
      </c>
      <c r="L261" s="104" t="s">
        <v>22253</v>
      </c>
      <c r="M261" s="103" t="str">
        <f t="shared" si="23"/>
        <v>http://oconnordata.com/mlink/modules/profile/index.cfm?action=profile&amp;prop_id=276</v>
      </c>
      <c r="N261" s="1" t="str">
        <f t="shared" si="24"/>
        <v>00276</v>
      </c>
    </row>
    <row r="262" spans="1:14" x14ac:dyDescent="0.3">
      <c r="A262" s="1">
        <v>277</v>
      </c>
      <c r="B262" s="7" t="s">
        <v>422</v>
      </c>
      <c r="C262" s="12">
        <v>1200</v>
      </c>
      <c r="D262" s="7" t="s">
        <v>423</v>
      </c>
      <c r="E262" s="13" t="s">
        <v>7</v>
      </c>
      <c r="F262" t="str">
        <f t="shared" si="20"/>
        <v>Treadwell</v>
      </c>
      <c r="G262" t="str">
        <f t="shared" si="21"/>
        <v>Treadwell1200Austin</v>
      </c>
      <c r="H262" t="s">
        <v>31120</v>
      </c>
      <c r="I262" t="s">
        <v>22555</v>
      </c>
      <c r="J262" t="str">
        <f t="shared" si="22"/>
        <v>E:\PropInv\MF</v>
      </c>
      <c r="K262" s="103" t="str">
        <f>HYPERLINK("E:\PropInv\MF\Austin\Treadwell St_1200_Treadwell Condos_Austin_00277","Treadwell St_1200_Treadwell Condos_Austin_00277" )</f>
        <v>Treadwell St_1200_Treadwell Condos_Austin_00277</v>
      </c>
      <c r="L262" s="104" t="s">
        <v>22253</v>
      </c>
      <c r="M262" s="103" t="str">
        <f t="shared" si="23"/>
        <v>http://oconnordata.com/mlink/modules/profile/index.cfm?action=profile&amp;prop_id=277</v>
      </c>
      <c r="N262" s="1" t="str">
        <f t="shared" si="24"/>
        <v>00277</v>
      </c>
    </row>
    <row r="263" spans="1:14" x14ac:dyDescent="0.3">
      <c r="A263" s="1">
        <v>278</v>
      </c>
      <c r="B263" s="7" t="s">
        <v>156</v>
      </c>
      <c r="C263" s="12">
        <v>11511</v>
      </c>
      <c r="D263" s="7" t="s">
        <v>424</v>
      </c>
      <c r="E263" s="13" t="s">
        <v>7</v>
      </c>
      <c r="F263" t="str">
        <f t="shared" si="20"/>
        <v>Metric</v>
      </c>
      <c r="G263" t="str">
        <f t="shared" si="21"/>
        <v>Metric11511Austin</v>
      </c>
      <c r="H263" t="s">
        <v>31121</v>
      </c>
      <c r="I263" t="s">
        <v>22556</v>
      </c>
      <c r="J263" t="str">
        <f t="shared" si="22"/>
        <v>E:\PropInv\MF</v>
      </c>
      <c r="K263" s="103" t="str">
        <f>HYPERLINK("E:\PropInv\MF\Austin\Metric Blvd_11511_Trails of Walnut Creek_Austin_00278","Metric Blvd_11511_Trails of Walnut Creek_Austin_00278" )</f>
        <v>Metric Blvd_11511_Trails of Walnut Creek_Austin_00278</v>
      </c>
      <c r="L263" s="104" t="s">
        <v>22253</v>
      </c>
      <c r="M263" s="103" t="str">
        <f t="shared" si="23"/>
        <v>http://oconnordata.com/mlink/modules/profile/index.cfm?action=profile&amp;prop_id=278</v>
      </c>
      <c r="N263" s="1" t="str">
        <f t="shared" si="24"/>
        <v>00278</v>
      </c>
    </row>
    <row r="264" spans="1:14" x14ac:dyDescent="0.3">
      <c r="A264" s="1">
        <v>280</v>
      </c>
      <c r="B264" s="7" t="s">
        <v>425</v>
      </c>
      <c r="C264" s="12">
        <v>6600</v>
      </c>
      <c r="D264" s="7" t="s">
        <v>426</v>
      </c>
      <c r="E264" s="13" t="s">
        <v>7</v>
      </c>
      <c r="F264" t="str">
        <f t="shared" si="20"/>
        <v>Ed</v>
      </c>
      <c r="G264" t="str">
        <f t="shared" si="21"/>
        <v>Ed6600Austin</v>
      </c>
      <c r="H264" t="s">
        <v>31122</v>
      </c>
      <c r="I264" t="s">
        <v>22557</v>
      </c>
      <c r="J264" t="str">
        <f t="shared" si="22"/>
        <v>E:\PropInv\MF</v>
      </c>
      <c r="K264" s="103" t="str">
        <f>HYPERLINK("E:\PropInv\MF\Austin\Ed Bluestein Blvd_6600_Travis Station_Austin_00280","Ed Bluestein Blvd_6600_Travis Station_Austin_00280" )</f>
        <v>Ed Bluestein Blvd_6600_Travis Station_Austin_00280</v>
      </c>
      <c r="L264" s="104" t="s">
        <v>22253</v>
      </c>
      <c r="M264" s="103" t="str">
        <f t="shared" si="23"/>
        <v>http://oconnordata.com/mlink/modules/profile/index.cfm?action=profile&amp;prop_id=280</v>
      </c>
      <c r="N264" s="1" t="str">
        <f t="shared" si="24"/>
        <v>00280</v>
      </c>
    </row>
    <row r="265" spans="1:14" x14ac:dyDescent="0.3">
      <c r="A265" s="1">
        <v>281</v>
      </c>
      <c r="B265" s="7" t="s">
        <v>427</v>
      </c>
      <c r="C265" s="12">
        <v>1071</v>
      </c>
      <c r="D265" s="7" t="s">
        <v>428</v>
      </c>
      <c r="E265" s="13" t="s">
        <v>7</v>
      </c>
      <c r="F265" t="str">
        <f t="shared" si="20"/>
        <v>Clayton</v>
      </c>
      <c r="G265" t="str">
        <f t="shared" si="21"/>
        <v>Clayton1071Austin</v>
      </c>
      <c r="H265" t="s">
        <v>31123</v>
      </c>
      <c r="I265" t="s">
        <v>22558</v>
      </c>
      <c r="J265" t="str">
        <f t="shared" si="22"/>
        <v>E:\PropInv\MF</v>
      </c>
      <c r="K265" s="103" t="str">
        <f>HYPERLINK("E:\PropInv\MF\Austin\Clayton Ln_1071_Trestles of Austin_Austin_00281","Clayton Ln_1071_Trestles of Austin_Austin_00281" )</f>
        <v>Clayton Ln_1071_Trestles of Austin_Austin_00281</v>
      </c>
      <c r="L265" s="104" t="s">
        <v>22253</v>
      </c>
      <c r="M265" s="103" t="str">
        <f t="shared" si="23"/>
        <v>http://oconnordata.com/mlink/modules/profile/index.cfm?action=profile&amp;prop_id=281</v>
      </c>
      <c r="N265" s="1" t="str">
        <f t="shared" si="24"/>
        <v>00281</v>
      </c>
    </row>
    <row r="266" spans="1:14" x14ac:dyDescent="0.3">
      <c r="A266" s="1">
        <v>282</v>
      </c>
      <c r="B266" s="7" t="s">
        <v>31</v>
      </c>
      <c r="C266" s="12">
        <v>2518</v>
      </c>
      <c r="D266" s="7" t="s">
        <v>429</v>
      </c>
      <c r="E266" s="13" t="s">
        <v>7</v>
      </c>
      <c r="F266" t="str">
        <f t="shared" si="20"/>
        <v>Leon</v>
      </c>
      <c r="G266" t="str">
        <f t="shared" si="21"/>
        <v>Leon2518Austin</v>
      </c>
      <c r="H266" t="s">
        <v>31124</v>
      </c>
      <c r="I266" t="s">
        <v>22559</v>
      </c>
      <c r="J266" t="str">
        <f t="shared" si="22"/>
        <v>E:\PropInv\MF</v>
      </c>
      <c r="K266" s="103" t="str">
        <f>HYPERLINK("E:\PropInv\MF\Austin\Leon St_2518_Viewpoint_Austin_00282","Leon St_2518_Viewpoint_Austin_00282" )</f>
        <v>Leon St_2518_Viewpoint_Austin_00282</v>
      </c>
      <c r="L266" s="104" t="s">
        <v>22253</v>
      </c>
      <c r="M266" s="103" t="str">
        <f t="shared" si="23"/>
        <v>http://oconnordata.com/mlink/modules/profile/index.cfm?action=profile&amp;prop_id=282</v>
      </c>
      <c r="N266" s="1" t="str">
        <f t="shared" si="24"/>
        <v>00282</v>
      </c>
    </row>
    <row r="267" spans="1:14" x14ac:dyDescent="0.3">
      <c r="A267" s="1">
        <v>283</v>
      </c>
      <c r="B267" s="7" t="s">
        <v>430</v>
      </c>
      <c r="C267" s="12">
        <v>2505</v>
      </c>
      <c r="D267" s="7" t="s">
        <v>431</v>
      </c>
      <c r="E267" s="13" t="s">
        <v>7</v>
      </c>
      <c r="F267" t="str">
        <f t="shared" si="20"/>
        <v>Longview</v>
      </c>
      <c r="G267" t="str">
        <f t="shared" si="21"/>
        <v>Longview2505Austin</v>
      </c>
      <c r="H267" t="s">
        <v>31125</v>
      </c>
      <c r="I267" t="s">
        <v>22560</v>
      </c>
      <c r="J267" t="str">
        <f t="shared" si="22"/>
        <v>E:\PropInv\MF</v>
      </c>
      <c r="K267" s="103" t="str">
        <f>HYPERLINK("E:\PropInv\MF\Austin\Longview St_2505_Villa Vallarta_Austin_00283","Longview St_2505_Villa Vallarta_Austin_00283" )</f>
        <v>Longview St_2505_Villa Vallarta_Austin_00283</v>
      </c>
      <c r="L267" s="104" t="s">
        <v>22253</v>
      </c>
      <c r="M267" s="103" t="str">
        <f t="shared" si="23"/>
        <v>http://oconnordata.com/mlink/modules/profile/index.cfm?action=profile&amp;prop_id=283</v>
      </c>
      <c r="N267" s="1" t="str">
        <f t="shared" si="24"/>
        <v>00283</v>
      </c>
    </row>
    <row r="268" spans="1:14" x14ac:dyDescent="0.3">
      <c r="A268" s="1">
        <v>284</v>
      </c>
      <c r="B268" s="7" t="s">
        <v>27</v>
      </c>
      <c r="C268" s="12">
        <v>2101</v>
      </c>
      <c r="D268" s="7" t="s">
        <v>432</v>
      </c>
      <c r="E268" s="13" t="s">
        <v>7</v>
      </c>
      <c r="F268" t="str">
        <f t="shared" si="20"/>
        <v>Burton</v>
      </c>
      <c r="G268" t="str">
        <f t="shared" si="21"/>
        <v>Burton2101Austin</v>
      </c>
      <c r="H268" t="s">
        <v>31126</v>
      </c>
      <c r="I268" t="s">
        <v>22561</v>
      </c>
      <c r="J268" t="str">
        <f t="shared" si="22"/>
        <v>E:\PropInv\MF</v>
      </c>
      <c r="K268" s="103" t="str">
        <f>HYPERLINK("E:\PropInv\MF\Austin\Burton Dr_2101_Park View at Town Lake_Austin_00284","Burton Dr_2101_Park View at Town Lake_Austin_00284" )</f>
        <v>Burton Dr_2101_Park View at Town Lake_Austin_00284</v>
      </c>
      <c r="L268" s="104" t="s">
        <v>22253</v>
      </c>
      <c r="M268" s="103" t="str">
        <f t="shared" si="23"/>
        <v>http://oconnordata.com/mlink/modules/profile/index.cfm?action=profile&amp;prop_id=284</v>
      </c>
      <c r="N268" s="1" t="str">
        <f t="shared" si="24"/>
        <v>00284</v>
      </c>
    </row>
    <row r="269" spans="1:14" x14ac:dyDescent="0.3">
      <c r="A269" s="1">
        <v>285</v>
      </c>
      <c r="B269" s="21" t="s">
        <v>433</v>
      </c>
      <c r="C269" s="12">
        <v>7224</v>
      </c>
      <c r="D269" s="7" t="s">
        <v>434</v>
      </c>
      <c r="E269" s="13" t="s">
        <v>7</v>
      </c>
      <c r="F269" t="str">
        <f t="shared" si="20"/>
        <v>NE</v>
      </c>
      <c r="G269" t="str">
        <f t="shared" si="21"/>
        <v>NE7224Austin</v>
      </c>
      <c r="H269" t="s">
        <v>31127</v>
      </c>
      <c r="I269" t="s">
        <v>22562</v>
      </c>
      <c r="J269" t="str">
        <f t="shared" si="22"/>
        <v>E:\PropInv\MF</v>
      </c>
      <c r="K269" s="103" t="str">
        <f>HYPERLINK("E:\PropInv\MF\Austin\NE Dr_7224_Trails at Vintage Creek_Austin_00285","NE Dr_7224_Trails at Vintage Creek_Austin_00285" )</f>
        <v>NE Dr_7224_Trails at Vintage Creek_Austin_00285</v>
      </c>
      <c r="L269" s="104" t="s">
        <v>22253</v>
      </c>
      <c r="M269" s="103" t="str">
        <f t="shared" si="23"/>
        <v>http://oconnordata.com/mlink/modules/profile/index.cfm?action=profile&amp;prop_id=285</v>
      </c>
      <c r="N269" s="1" t="str">
        <f t="shared" si="24"/>
        <v>00285</v>
      </c>
    </row>
    <row r="270" spans="1:14" x14ac:dyDescent="0.3">
      <c r="A270" s="1">
        <v>286</v>
      </c>
      <c r="B270" s="7" t="s">
        <v>87</v>
      </c>
      <c r="C270" s="12">
        <v>10926</v>
      </c>
      <c r="D270" s="7" t="s">
        <v>435</v>
      </c>
      <c r="E270" s="13" t="s">
        <v>7</v>
      </c>
      <c r="F270" t="str">
        <f t="shared" si="20"/>
        <v>Jollyville</v>
      </c>
      <c r="G270" t="str">
        <f t="shared" si="21"/>
        <v>Jollyville10926Austin</v>
      </c>
      <c r="H270" t="s">
        <v>31128</v>
      </c>
      <c r="I270" t="s">
        <v>22563</v>
      </c>
      <c r="J270" t="str">
        <f t="shared" si="22"/>
        <v>E:\PropInv\MF</v>
      </c>
      <c r="K270" s="103" t="str">
        <f>HYPERLINK("E:\PropInv\MF\Austin\Jollyville Rd_10926_Village Oaks_Austin_00286","Jollyville Rd_10926_Village Oaks_Austin_00286" )</f>
        <v>Jollyville Rd_10926_Village Oaks_Austin_00286</v>
      </c>
      <c r="L270" s="104" t="s">
        <v>22253</v>
      </c>
      <c r="M270" s="103" t="str">
        <f t="shared" si="23"/>
        <v>http://oconnordata.com/mlink/modules/profile/index.cfm?action=profile&amp;prop_id=286</v>
      </c>
      <c r="N270" s="1" t="str">
        <f t="shared" si="24"/>
        <v>00286</v>
      </c>
    </row>
    <row r="271" spans="1:14" x14ac:dyDescent="0.3">
      <c r="A271" s="1">
        <v>287</v>
      </c>
      <c r="B271" s="7" t="s">
        <v>100</v>
      </c>
      <c r="C271" s="12">
        <v>8033</v>
      </c>
      <c r="D271" s="7" t="s">
        <v>436</v>
      </c>
      <c r="E271" s="13" t="s">
        <v>7</v>
      </c>
      <c r="F271" t="str">
        <f t="shared" si="20"/>
        <v>Gessner</v>
      </c>
      <c r="G271" t="str">
        <f t="shared" si="21"/>
        <v>Gessner8033Austin</v>
      </c>
      <c r="H271" t="s">
        <v>31129</v>
      </c>
      <c r="I271" t="s">
        <v>22564</v>
      </c>
      <c r="J271" t="str">
        <f t="shared" si="22"/>
        <v>E:\PropInv\MF</v>
      </c>
      <c r="K271" s="103" t="str">
        <f>HYPERLINK("E:\PropInv\MF\Austin\Gessner Dr_8033_Village Park_Austin_00287","Gessner Dr_8033_Village Park_Austin_00287" )</f>
        <v>Gessner Dr_8033_Village Park_Austin_00287</v>
      </c>
      <c r="L271" s="104" t="s">
        <v>22253</v>
      </c>
      <c r="M271" s="103" t="str">
        <f t="shared" si="23"/>
        <v>http://oconnordata.com/mlink/modules/profile/index.cfm?action=profile&amp;prop_id=287</v>
      </c>
      <c r="N271" s="1" t="str">
        <f t="shared" si="24"/>
        <v>00287</v>
      </c>
    </row>
    <row r="272" spans="1:14" x14ac:dyDescent="0.3">
      <c r="A272" s="1">
        <v>288</v>
      </c>
      <c r="B272" s="10" t="s">
        <v>222</v>
      </c>
      <c r="C272" s="9">
        <v>1016</v>
      </c>
      <c r="D272" s="10" t="s">
        <v>437</v>
      </c>
      <c r="E272" s="11" t="s">
        <v>7</v>
      </c>
      <c r="F272" t="str">
        <f t="shared" si="20"/>
        <v>Camino</v>
      </c>
      <c r="G272" t="str">
        <f t="shared" si="21"/>
        <v>Camino1016Austin</v>
      </c>
      <c r="H272" t="s">
        <v>31130</v>
      </c>
      <c r="I272" t="s">
        <v>22565</v>
      </c>
      <c r="J272" t="str">
        <f t="shared" si="22"/>
        <v>E:\PropInv\MF</v>
      </c>
      <c r="K272" s="103" t="str">
        <f>HYPERLINK("E:\PropInv\MF\Austin\Camino La Costa_1016_Villas of La Costa_Austin_00288","Camino La Costa_1016_Villas of La Costa_Austin_00288" )</f>
        <v>Camino La Costa_1016_Villas of La Costa_Austin_00288</v>
      </c>
      <c r="L272" s="104" t="s">
        <v>22253</v>
      </c>
      <c r="M272" s="103" t="str">
        <f t="shared" si="23"/>
        <v>http://oconnordata.com/mlink/modules/profile/index.cfm?action=profile&amp;prop_id=288</v>
      </c>
      <c r="N272" s="1" t="str">
        <f t="shared" si="24"/>
        <v>00288</v>
      </c>
    </row>
    <row r="273" spans="1:14" x14ac:dyDescent="0.3">
      <c r="A273" s="1">
        <v>289</v>
      </c>
      <c r="B273" s="10" t="s">
        <v>438</v>
      </c>
      <c r="C273" s="9">
        <v>1508</v>
      </c>
      <c r="D273" s="10" t="s">
        <v>439</v>
      </c>
      <c r="E273" s="11" t="s">
        <v>7</v>
      </c>
      <c r="F273" t="str">
        <f t="shared" si="20"/>
        <v>Southport</v>
      </c>
      <c r="G273" t="str">
        <f t="shared" si="21"/>
        <v>Southport1508Austin</v>
      </c>
      <c r="H273" t="s">
        <v>31131</v>
      </c>
      <c r="I273" t="s">
        <v>22566</v>
      </c>
      <c r="J273" t="str">
        <f t="shared" si="22"/>
        <v>E:\PropInv\MF</v>
      </c>
      <c r="K273" s="103" t="str">
        <f>HYPERLINK("E:\PropInv\MF\Austin\Southport Dr_1508_The Villas at Oak Run_Austin_00289","Southport Dr_1508_The Villas at Oak Run_Austin_00289" )</f>
        <v>Southport Dr_1508_The Villas at Oak Run_Austin_00289</v>
      </c>
      <c r="L273" s="104" t="s">
        <v>22253</v>
      </c>
      <c r="M273" s="103" t="str">
        <f t="shared" si="23"/>
        <v>http://oconnordata.com/mlink/modules/profile/index.cfm?action=profile&amp;prop_id=289</v>
      </c>
      <c r="N273" s="1" t="str">
        <f t="shared" si="24"/>
        <v>00289</v>
      </c>
    </row>
    <row r="274" spans="1:14" x14ac:dyDescent="0.3">
      <c r="A274" s="1">
        <v>290</v>
      </c>
      <c r="B274" s="7" t="s">
        <v>37</v>
      </c>
      <c r="C274" s="12">
        <v>9036</v>
      </c>
      <c r="D274" s="7" t="s">
        <v>440</v>
      </c>
      <c r="E274" s="13" t="s">
        <v>7</v>
      </c>
      <c r="F274" t="str">
        <f t="shared" si="20"/>
        <v>Lamar</v>
      </c>
      <c r="G274" t="str">
        <f t="shared" si="21"/>
        <v>Lamar9036Austin</v>
      </c>
      <c r="H274" t="s">
        <v>31132</v>
      </c>
      <c r="I274" t="s">
        <v>22567</v>
      </c>
      <c r="J274" t="str">
        <f t="shared" si="22"/>
        <v>E:\PropInv\MF</v>
      </c>
      <c r="K274" s="103" t="str">
        <f>HYPERLINK("E:\PropInv\MF\Austin\Lamar Blvd N_9036_Villas of Quail Creek_Austin_00290","Lamar Blvd N_9036_Villas of Quail Creek_Austin_00290" )</f>
        <v>Lamar Blvd N_9036_Villas of Quail Creek_Austin_00290</v>
      </c>
      <c r="L274" s="104" t="s">
        <v>22253</v>
      </c>
      <c r="M274" s="103" t="str">
        <f t="shared" si="23"/>
        <v>http://oconnordata.com/mlink/modules/profile/index.cfm?action=profile&amp;prop_id=290</v>
      </c>
      <c r="N274" s="1" t="str">
        <f t="shared" si="24"/>
        <v>00290</v>
      </c>
    </row>
    <row r="275" spans="1:14" x14ac:dyDescent="0.3">
      <c r="A275" s="1">
        <v>291</v>
      </c>
      <c r="B275" s="7" t="s">
        <v>381</v>
      </c>
      <c r="C275" s="12">
        <v>6409</v>
      </c>
      <c r="D275" s="7" t="s">
        <v>441</v>
      </c>
      <c r="E275" s="13" t="s">
        <v>7</v>
      </c>
      <c r="F275" t="str">
        <f t="shared" si="20"/>
        <v>Springdale</v>
      </c>
      <c r="G275" t="str">
        <f t="shared" si="21"/>
        <v>Springdale6409Austin</v>
      </c>
      <c r="H275" t="s">
        <v>31133</v>
      </c>
      <c r="I275" t="s">
        <v>22568</v>
      </c>
      <c r="J275" t="str">
        <f t="shared" si="22"/>
        <v>E:\PropInv\MF</v>
      </c>
      <c r="K275" s="103" t="str">
        <f>HYPERLINK("E:\PropInv\MF\Austin\Springdale Rd_6409_Walnut Creek_Austin_00291","Springdale Rd_6409_Walnut Creek_Austin_00291" )</f>
        <v>Springdale Rd_6409_Walnut Creek_Austin_00291</v>
      </c>
      <c r="L275" s="104" t="s">
        <v>22253</v>
      </c>
      <c r="M275" s="103" t="str">
        <f t="shared" si="23"/>
        <v>http://oconnordata.com/mlink/modules/profile/index.cfm?action=profile&amp;prop_id=291</v>
      </c>
      <c r="N275" s="1" t="str">
        <f t="shared" si="24"/>
        <v>00291</v>
      </c>
    </row>
    <row r="276" spans="1:14" x14ac:dyDescent="0.3">
      <c r="A276" s="1">
        <v>292</v>
      </c>
      <c r="B276" s="7" t="s">
        <v>442</v>
      </c>
      <c r="C276" s="12">
        <v>2000</v>
      </c>
      <c r="D276" s="7" t="s">
        <v>443</v>
      </c>
      <c r="E276" s="13" t="s">
        <v>7</v>
      </c>
      <c r="F276" t="str">
        <f t="shared" si="20"/>
        <v>Cedar</v>
      </c>
      <c r="G276" t="str">
        <f t="shared" si="21"/>
        <v>Cedar2000Austin</v>
      </c>
      <c r="H276" t="s">
        <v>31134</v>
      </c>
      <c r="I276" t="s">
        <v>22569</v>
      </c>
      <c r="J276" t="str">
        <f t="shared" si="22"/>
        <v>E:\PropInv\MF</v>
      </c>
      <c r="K276" s="103" t="str">
        <f>HYPERLINK("E:\PropInv\MF\Austin\Cedar Bend Dr_2000_Walnut Creek Crossing_Austin_00292","Cedar Bend Dr_2000_Walnut Creek Crossing_Austin_00292" )</f>
        <v>Cedar Bend Dr_2000_Walnut Creek Crossing_Austin_00292</v>
      </c>
      <c r="L276" s="104" t="s">
        <v>22253</v>
      </c>
      <c r="M276" s="103" t="str">
        <f t="shared" si="23"/>
        <v>http://oconnordata.com/mlink/modules/profile/index.cfm?action=profile&amp;prop_id=292</v>
      </c>
      <c r="N276" s="1" t="str">
        <f t="shared" si="24"/>
        <v>00292</v>
      </c>
    </row>
    <row r="277" spans="1:14" x14ac:dyDescent="0.3">
      <c r="A277" s="1">
        <v>293</v>
      </c>
      <c r="B277" s="21" t="s">
        <v>433</v>
      </c>
      <c r="C277" s="12">
        <v>7211</v>
      </c>
      <c r="D277" s="7" t="s">
        <v>444</v>
      </c>
      <c r="E277" s="13" t="s">
        <v>7</v>
      </c>
      <c r="F277" t="str">
        <f t="shared" si="20"/>
        <v>NE</v>
      </c>
      <c r="G277" t="str">
        <f t="shared" si="21"/>
        <v>NE7211Austin</v>
      </c>
      <c r="H277" t="s">
        <v>31135</v>
      </c>
      <c r="I277" t="s">
        <v>22570</v>
      </c>
      <c r="J277" t="str">
        <f t="shared" si="22"/>
        <v>E:\PropInv\MF</v>
      </c>
      <c r="K277" s="103" t="str">
        <f>HYPERLINK("E:\PropInv\MF\Austin\NE Dr_7211_Walnut Grove_Austin_00293","NE Dr_7211_Walnut Grove_Austin_00293" )</f>
        <v>NE Dr_7211_Walnut Grove_Austin_00293</v>
      </c>
      <c r="L277" s="104" t="s">
        <v>22253</v>
      </c>
      <c r="M277" s="103" t="str">
        <f t="shared" si="23"/>
        <v>http://oconnordata.com/mlink/modules/profile/index.cfm?action=profile&amp;prop_id=293</v>
      </c>
      <c r="N277" s="1" t="str">
        <f t="shared" si="24"/>
        <v>00293</v>
      </c>
    </row>
    <row r="278" spans="1:14" x14ac:dyDescent="0.3">
      <c r="A278" s="1">
        <v>294</v>
      </c>
      <c r="B278" s="7" t="s">
        <v>445</v>
      </c>
      <c r="C278" s="12">
        <v>1302</v>
      </c>
      <c r="D278" s="7" t="s">
        <v>446</v>
      </c>
      <c r="E278" s="13" t="s">
        <v>7</v>
      </c>
      <c r="F278" t="str">
        <f t="shared" si="20"/>
        <v>24th</v>
      </c>
      <c r="G278" t="str">
        <f t="shared" si="21"/>
        <v>24th1302Austin</v>
      </c>
      <c r="H278" t="s">
        <v>31136</v>
      </c>
      <c r="I278" t="s">
        <v>22571</v>
      </c>
      <c r="J278" t="str">
        <f t="shared" si="22"/>
        <v>E:\PropInv\MF</v>
      </c>
      <c r="K278" s="103" t="str">
        <f>HYPERLINK("E:\PropInv\MF\Austin\24th St W_1302_West 24th Street Apts_Austin_00294","24th St W_1302_West 24th Street Apts_Austin_00294" )</f>
        <v>24th St W_1302_West 24th Street Apts_Austin_00294</v>
      </c>
      <c r="L278" s="104" t="s">
        <v>22253</v>
      </c>
      <c r="M278" s="103" t="str">
        <f t="shared" si="23"/>
        <v>http://oconnordata.com/mlink/modules/profile/index.cfm?action=profile&amp;prop_id=294</v>
      </c>
      <c r="N278" s="1" t="str">
        <f t="shared" si="24"/>
        <v>00294</v>
      </c>
    </row>
    <row r="279" spans="1:14" x14ac:dyDescent="0.3">
      <c r="A279" s="1">
        <v>295</v>
      </c>
      <c r="B279" s="7" t="s">
        <v>35</v>
      </c>
      <c r="C279" s="12">
        <v>12403</v>
      </c>
      <c r="D279" s="7" t="s">
        <v>447</v>
      </c>
      <c r="E279" s="13" t="s">
        <v>7</v>
      </c>
      <c r="F279" t="str">
        <f t="shared" si="20"/>
        <v>Mellow</v>
      </c>
      <c r="G279" t="str">
        <f t="shared" si="21"/>
        <v>Mellow12403Austin</v>
      </c>
      <c r="H279" t="s">
        <v>31137</v>
      </c>
      <c r="I279" t="s">
        <v>22572</v>
      </c>
      <c r="J279" t="str">
        <f t="shared" si="22"/>
        <v>E:\PropInv\MF</v>
      </c>
      <c r="K279" s="103" t="str">
        <f>HYPERLINK("E:\PropInv\MF\Austin\Mellow Meadow Dr_12403_Westwood_Austin_00295","Mellow Meadow Dr_12403_Westwood_Austin_00295" )</f>
        <v>Mellow Meadow Dr_12403_Westwood_Austin_00295</v>
      </c>
      <c r="L279" s="104" t="s">
        <v>22253</v>
      </c>
      <c r="M279" s="103" t="str">
        <f t="shared" si="23"/>
        <v>http://oconnordata.com/mlink/modules/profile/index.cfm?action=profile&amp;prop_id=295</v>
      </c>
      <c r="N279" s="1" t="str">
        <f t="shared" si="24"/>
        <v>00295</v>
      </c>
    </row>
    <row r="280" spans="1:14" x14ac:dyDescent="0.3">
      <c r="A280" s="1">
        <v>296</v>
      </c>
      <c r="B280" s="7" t="s">
        <v>261</v>
      </c>
      <c r="C280" s="12">
        <v>3300</v>
      </c>
      <c r="D280" s="7" t="s">
        <v>448</v>
      </c>
      <c r="E280" s="13" t="s">
        <v>7</v>
      </c>
      <c r="F280" t="str">
        <f t="shared" si="20"/>
        <v>Parker</v>
      </c>
      <c r="G280" t="str">
        <f t="shared" si="21"/>
        <v>Parker3300Austin</v>
      </c>
      <c r="H280" t="s">
        <v>31138</v>
      </c>
      <c r="I280" t="s">
        <v>22573</v>
      </c>
      <c r="J280" t="str">
        <f t="shared" si="22"/>
        <v>E:\PropInv\MF</v>
      </c>
      <c r="K280" s="103" t="str">
        <f>HYPERLINK("E:\PropInv\MF\Austin\Parker Ln_3300_Whisper Hollow_Austin_00296","Parker Ln_3300_Whisper Hollow_Austin_00296" )</f>
        <v>Parker Ln_3300_Whisper Hollow_Austin_00296</v>
      </c>
      <c r="L280" s="104" t="s">
        <v>22253</v>
      </c>
      <c r="M280" s="103" t="str">
        <f t="shared" si="23"/>
        <v>http://oconnordata.com/mlink/modules/profile/index.cfm?action=profile&amp;prop_id=296</v>
      </c>
      <c r="N280" s="1" t="str">
        <f t="shared" si="24"/>
        <v>00296</v>
      </c>
    </row>
    <row r="281" spans="1:14" x14ac:dyDescent="0.3">
      <c r="A281" s="1">
        <v>297</v>
      </c>
      <c r="B281" s="7" t="s">
        <v>361</v>
      </c>
      <c r="C281" s="12">
        <v>400</v>
      </c>
      <c r="D281" s="7" t="s">
        <v>449</v>
      </c>
      <c r="E281" s="13" t="s">
        <v>7</v>
      </c>
      <c r="F281" t="str">
        <f t="shared" si="20"/>
        <v>Saint</v>
      </c>
      <c r="G281" t="str">
        <f t="shared" si="21"/>
        <v>Saint400Austin</v>
      </c>
      <c r="H281" t="s">
        <v>31139</v>
      </c>
      <c r="I281" t="s">
        <v>22574</v>
      </c>
      <c r="J281" t="str">
        <f t="shared" si="22"/>
        <v>E:\PropInv\MF</v>
      </c>
      <c r="K281" s="103" t="str">
        <f>HYPERLINK("E:\PropInv\MF\Austin\Saint Elmo Rd W_400_The Arts Apts at South Austin_Austin_00297","Saint Elmo Rd W_400_The Arts Apts at South Austin_Austin_00297" )</f>
        <v>Saint Elmo Rd W_400_The Arts Apts at South Austin_Austin_00297</v>
      </c>
      <c r="L281" s="104" t="s">
        <v>22253</v>
      </c>
      <c r="M281" s="103" t="str">
        <f t="shared" si="23"/>
        <v>http://oconnordata.com/mlink/modules/profile/index.cfm?action=profile&amp;prop_id=297</v>
      </c>
      <c r="N281" s="1" t="str">
        <f t="shared" si="24"/>
        <v>00297</v>
      </c>
    </row>
    <row r="282" spans="1:14" x14ac:dyDescent="0.3">
      <c r="A282" s="1">
        <v>298</v>
      </c>
      <c r="B282" s="7" t="s">
        <v>450</v>
      </c>
      <c r="C282" s="12">
        <v>1511</v>
      </c>
      <c r="D282" s="7" t="s">
        <v>451</v>
      </c>
      <c r="E282" s="13" t="s">
        <v>7</v>
      </c>
      <c r="F282" t="str">
        <f t="shared" si="20"/>
        <v>Faro</v>
      </c>
      <c r="G282" t="str">
        <f t="shared" si="21"/>
        <v>Faro1511Austin</v>
      </c>
      <c r="H282" t="s">
        <v>31140</v>
      </c>
      <c r="I282" t="s">
        <v>22575</v>
      </c>
      <c r="J282" t="str">
        <f t="shared" si="22"/>
        <v>E:\PropInv\MF</v>
      </c>
      <c r="K282" s="103" t="str">
        <f>HYPERLINK("E:\PropInv\MF\Austin\Faro Dr_1511_Wildcreek_Austin_00298","Faro Dr_1511_Wildcreek_Austin_00298" )</f>
        <v>Faro Dr_1511_Wildcreek_Austin_00298</v>
      </c>
      <c r="L282" s="104" t="s">
        <v>22253</v>
      </c>
      <c r="M282" s="103" t="str">
        <f t="shared" si="23"/>
        <v>http://oconnordata.com/mlink/modules/profile/index.cfm?action=profile&amp;prop_id=298</v>
      </c>
      <c r="N282" s="1" t="str">
        <f t="shared" si="24"/>
        <v>00298</v>
      </c>
    </row>
    <row r="283" spans="1:14" x14ac:dyDescent="0.3">
      <c r="A283" s="1">
        <v>299</v>
      </c>
      <c r="B283" s="7" t="s">
        <v>37</v>
      </c>
      <c r="C283" s="12">
        <v>8912</v>
      </c>
      <c r="D283" s="7" t="s">
        <v>452</v>
      </c>
      <c r="E283" s="13" t="s">
        <v>7</v>
      </c>
      <c r="F283" t="str">
        <f t="shared" si="20"/>
        <v>Lamar</v>
      </c>
      <c r="G283" t="str">
        <f t="shared" si="21"/>
        <v>Lamar8912Austin</v>
      </c>
      <c r="H283" t="s">
        <v>31141</v>
      </c>
      <c r="I283" t="s">
        <v>22576</v>
      </c>
      <c r="J283" t="str">
        <f t="shared" si="22"/>
        <v>E:\PropInv\MF</v>
      </c>
      <c r="K283" s="103" t="str">
        <f>HYPERLINK("E:\PropInv\MF\Austin\Lamar Blvd N_8912_Wildflower_Austin_00299","Lamar Blvd N_8912_Wildflower_Austin_00299" )</f>
        <v>Lamar Blvd N_8912_Wildflower_Austin_00299</v>
      </c>
      <c r="L283" s="104" t="s">
        <v>22253</v>
      </c>
      <c r="M283" s="103" t="str">
        <f t="shared" si="23"/>
        <v>http://oconnordata.com/mlink/modules/profile/index.cfm?action=profile&amp;prop_id=299</v>
      </c>
      <c r="N283" s="1" t="str">
        <f t="shared" si="24"/>
        <v>00299</v>
      </c>
    </row>
    <row r="284" spans="1:14" x14ac:dyDescent="0.3">
      <c r="A284" s="1">
        <v>300</v>
      </c>
      <c r="B284" s="7" t="s">
        <v>82</v>
      </c>
      <c r="C284" s="12">
        <v>7610</v>
      </c>
      <c r="D284" s="7" t="s">
        <v>453</v>
      </c>
      <c r="E284" s="13" t="s">
        <v>7</v>
      </c>
      <c r="F284" t="str">
        <f t="shared" si="20"/>
        <v>Cameron</v>
      </c>
      <c r="G284" t="str">
        <f t="shared" si="21"/>
        <v>Cameron7610Austin</v>
      </c>
      <c r="H284" t="s">
        <v>31142</v>
      </c>
      <c r="I284" t="s">
        <v>22577</v>
      </c>
      <c r="J284" t="str">
        <f t="shared" si="22"/>
        <v>E:\PropInv\MF</v>
      </c>
      <c r="K284" s="103" t="str">
        <f>HYPERLINK("E:\PropInv\MF\Austin\Cameron Rd_7610_Wildwood_Austin_00300","Cameron Rd_7610_Wildwood_Austin_00300" )</f>
        <v>Cameron Rd_7610_Wildwood_Austin_00300</v>
      </c>
      <c r="L284" s="104" t="s">
        <v>22253</v>
      </c>
      <c r="M284" s="103" t="str">
        <f t="shared" si="23"/>
        <v>http://oconnordata.com/mlink/modules/profile/index.cfm?action=profile&amp;prop_id=300</v>
      </c>
      <c r="N284" s="1" t="str">
        <f t="shared" si="24"/>
        <v>00300</v>
      </c>
    </row>
    <row r="285" spans="1:14" x14ac:dyDescent="0.3">
      <c r="A285" s="1">
        <v>301</v>
      </c>
      <c r="B285" s="7" t="s">
        <v>152</v>
      </c>
      <c r="C285" s="12">
        <v>5112</v>
      </c>
      <c r="D285" s="7" t="s">
        <v>454</v>
      </c>
      <c r="E285" s="13" t="s">
        <v>7</v>
      </c>
      <c r="F285" t="str">
        <f t="shared" si="20"/>
        <v>1st</v>
      </c>
      <c r="G285" t="str">
        <f t="shared" si="21"/>
        <v>1st5112Austin</v>
      </c>
      <c r="H285" t="s">
        <v>31143</v>
      </c>
      <c r="I285" t="s">
        <v>22578</v>
      </c>
      <c r="J285" t="str">
        <f t="shared" si="22"/>
        <v>E:\PropInv\MF</v>
      </c>
      <c r="K285" s="103" t="str">
        <f>HYPERLINK("E:\PropInv\MF\Austin\1st St S_5112_Williamson Creek_Austin_00301","1st St S_5112_Williamson Creek_Austin_00301" )</f>
        <v>1st St S_5112_Williamson Creek_Austin_00301</v>
      </c>
      <c r="L285" s="104" t="s">
        <v>22253</v>
      </c>
      <c r="M285" s="103" t="str">
        <f t="shared" si="23"/>
        <v>http://oconnordata.com/mlink/modules/profile/index.cfm?action=profile&amp;prop_id=301</v>
      </c>
      <c r="N285" s="1" t="str">
        <f t="shared" si="24"/>
        <v>00301</v>
      </c>
    </row>
    <row r="286" spans="1:14" x14ac:dyDescent="0.3">
      <c r="A286" s="1">
        <v>302</v>
      </c>
      <c r="B286" s="7" t="s">
        <v>214</v>
      </c>
      <c r="C286" s="12">
        <v>412</v>
      </c>
      <c r="D286" s="7" t="s">
        <v>455</v>
      </c>
      <c r="E286" s="13" t="s">
        <v>7</v>
      </c>
      <c r="F286" t="str">
        <f t="shared" si="20"/>
        <v>William</v>
      </c>
      <c r="G286" t="str">
        <f t="shared" si="21"/>
        <v>William412Austin</v>
      </c>
      <c r="H286" t="s">
        <v>31144</v>
      </c>
      <c r="I286" t="s">
        <v>22579</v>
      </c>
      <c r="J286" t="str">
        <f t="shared" si="22"/>
        <v>E:\PropInv\MF</v>
      </c>
      <c r="K286" s="103" t="str">
        <f>HYPERLINK("E:\PropInv\MF\Austin\William Cannon Dr E_412_Willow Brook_Austin_00302","William Cannon Dr E_412_Willow Brook_Austin_00302" )</f>
        <v>William Cannon Dr E_412_Willow Brook_Austin_00302</v>
      </c>
      <c r="L286" s="104" t="s">
        <v>22253</v>
      </c>
      <c r="M286" s="103" t="str">
        <f t="shared" si="23"/>
        <v>http://oconnordata.com/mlink/modules/profile/index.cfm?action=profile&amp;prop_id=302</v>
      </c>
      <c r="N286" s="1" t="str">
        <f t="shared" si="24"/>
        <v>00302</v>
      </c>
    </row>
    <row r="287" spans="1:14" x14ac:dyDescent="0.3">
      <c r="A287" s="1">
        <v>303</v>
      </c>
      <c r="B287" s="7" t="s">
        <v>69</v>
      </c>
      <c r="C287" s="12">
        <v>1911</v>
      </c>
      <c r="D287" s="7" t="s">
        <v>456</v>
      </c>
      <c r="E287" s="13" t="s">
        <v>7</v>
      </c>
      <c r="F287" t="str">
        <f t="shared" si="20"/>
        <v>Willow</v>
      </c>
      <c r="G287" t="str">
        <f t="shared" si="21"/>
        <v>Willow1911Austin</v>
      </c>
      <c r="H287" t="s">
        <v>31145</v>
      </c>
      <c r="I287" t="s">
        <v>22580</v>
      </c>
      <c r="J287" t="str">
        <f t="shared" si="22"/>
        <v>E:\PropInv\MF</v>
      </c>
      <c r="K287" s="103" t="str">
        <f>HYPERLINK("E:\PropInv\MF\Austin\Willow Creek Dr_1911_Austin View_Austin_00303","Willow Creek Dr_1911_Austin View_Austin_00303" )</f>
        <v>Willow Creek Dr_1911_Austin View_Austin_00303</v>
      </c>
      <c r="L287" s="104" t="s">
        <v>22253</v>
      </c>
      <c r="M287" s="103" t="str">
        <f t="shared" si="23"/>
        <v>http://oconnordata.com/mlink/modules/profile/index.cfm?action=profile&amp;prop_id=303</v>
      </c>
      <c r="N287" s="1" t="str">
        <f t="shared" si="24"/>
        <v>00303</v>
      </c>
    </row>
    <row r="288" spans="1:14" x14ac:dyDescent="0.3">
      <c r="A288" s="1">
        <v>305</v>
      </c>
      <c r="B288" s="7" t="s">
        <v>384</v>
      </c>
      <c r="C288" s="12">
        <v>1300</v>
      </c>
      <c r="D288" s="7" t="s">
        <v>457</v>
      </c>
      <c r="E288" s="13" t="s">
        <v>7</v>
      </c>
      <c r="F288" t="str">
        <f t="shared" si="20"/>
        <v>Spyglass</v>
      </c>
      <c r="G288" t="str">
        <f t="shared" si="21"/>
        <v>Spyglass1300Austin</v>
      </c>
      <c r="H288" t="s">
        <v>31146</v>
      </c>
      <c r="I288" t="s">
        <v>22581</v>
      </c>
      <c r="J288" t="str">
        <f t="shared" si="22"/>
        <v>E:\PropInv\MF</v>
      </c>
      <c r="K288" s="103" t="str">
        <f>HYPERLINK("E:\PropInv\MF\Austin\Spyglass Dr_1300_The Ridge at Barton Creek_Austin_00305","Spyglass Dr_1300_The Ridge at Barton Creek_Austin_00305" )</f>
        <v>Spyglass Dr_1300_The Ridge at Barton Creek_Austin_00305</v>
      </c>
      <c r="L288" s="104" t="s">
        <v>22253</v>
      </c>
      <c r="M288" s="103" t="str">
        <f t="shared" si="23"/>
        <v>http://oconnordata.com/mlink/modules/profile/index.cfm?action=profile&amp;prop_id=305</v>
      </c>
      <c r="N288" s="1" t="str">
        <f t="shared" si="24"/>
        <v>00305</v>
      </c>
    </row>
    <row r="289" spans="1:14" x14ac:dyDescent="0.3">
      <c r="A289" s="1">
        <v>306</v>
      </c>
      <c r="B289" s="7" t="s">
        <v>47</v>
      </c>
      <c r="C289" s="12">
        <v>11411</v>
      </c>
      <c r="D289" s="7" t="s">
        <v>458</v>
      </c>
      <c r="E289" s="13" t="s">
        <v>7</v>
      </c>
      <c r="F289" t="str">
        <f t="shared" si="20"/>
        <v>Research</v>
      </c>
      <c r="G289" t="str">
        <f t="shared" si="21"/>
        <v>Research11411Austin</v>
      </c>
      <c r="H289" t="s">
        <v>31147</v>
      </c>
      <c r="I289" t="s">
        <v>22582</v>
      </c>
      <c r="J289" t="str">
        <f t="shared" si="22"/>
        <v>E:\PropInv\MF</v>
      </c>
      <c r="K289" s="103" t="str">
        <f>HYPERLINK("E:\PropInv\MF\Austin\Research Blvd_11411_Wind River Crossing_Austin_00306","Research Blvd_11411_Wind River Crossing_Austin_00306" )</f>
        <v>Research Blvd_11411_Wind River Crossing_Austin_00306</v>
      </c>
      <c r="L289" s="104" t="s">
        <v>22253</v>
      </c>
      <c r="M289" s="103" t="str">
        <f t="shared" si="23"/>
        <v>http://oconnordata.com/mlink/modules/profile/index.cfm?action=profile&amp;prop_id=306</v>
      </c>
      <c r="N289" s="1" t="str">
        <f t="shared" si="24"/>
        <v>00306</v>
      </c>
    </row>
    <row r="290" spans="1:14" x14ac:dyDescent="0.3">
      <c r="A290" s="1">
        <v>307</v>
      </c>
      <c r="B290" s="7" t="s">
        <v>310</v>
      </c>
      <c r="C290" s="12">
        <v>9024</v>
      </c>
      <c r="D290" s="7" t="s">
        <v>459</v>
      </c>
      <c r="E290" s="13" t="s">
        <v>7</v>
      </c>
      <c r="F290" t="str">
        <f t="shared" si="20"/>
        <v>Northgate</v>
      </c>
      <c r="G290" t="str">
        <f t="shared" si="21"/>
        <v>Northgate9024Austin</v>
      </c>
      <c r="H290" t="s">
        <v>31148</v>
      </c>
      <c r="I290" t="s">
        <v>22583</v>
      </c>
      <c r="J290" t="str">
        <f t="shared" si="22"/>
        <v>E:\PropInv\MF</v>
      </c>
      <c r="K290" s="103" t="str">
        <f>HYPERLINK("E:\PropInv\MF\Austin\Northgate Blvd_9024_Ashbury Parke_Austin_00307","Northgate Blvd_9024_Ashbury Parke_Austin_00307" )</f>
        <v>Northgate Blvd_9024_Ashbury Parke_Austin_00307</v>
      </c>
      <c r="L290" s="104" t="s">
        <v>22253</v>
      </c>
      <c r="M290" s="103" t="str">
        <f t="shared" si="23"/>
        <v>http://oconnordata.com/mlink/modules/profile/index.cfm?action=profile&amp;prop_id=307</v>
      </c>
      <c r="N290" s="1" t="str">
        <f t="shared" si="24"/>
        <v>00307</v>
      </c>
    </row>
    <row r="291" spans="1:14" x14ac:dyDescent="0.3">
      <c r="A291" s="1">
        <v>308</v>
      </c>
      <c r="B291" s="7" t="s">
        <v>460</v>
      </c>
      <c r="C291" s="12">
        <v>3605</v>
      </c>
      <c r="D291" s="7" t="s">
        <v>461</v>
      </c>
      <c r="E291" s="13" t="s">
        <v>7</v>
      </c>
      <c r="F291" t="str">
        <f t="shared" si="20"/>
        <v>Steck</v>
      </c>
      <c r="G291" t="str">
        <f t="shared" si="21"/>
        <v>Steck3605Austin</v>
      </c>
      <c r="H291" t="s">
        <v>31149</v>
      </c>
      <c r="I291" t="s">
        <v>22584</v>
      </c>
      <c r="J291" t="str">
        <f t="shared" si="22"/>
        <v>E:\PropInv\MF</v>
      </c>
      <c r="K291" s="103" t="str">
        <f>HYPERLINK("E:\PropInv\MF\Austin\Steck Ave_3605_Le Montreaux_Austin_00308","Steck Ave_3605_Le Montreaux_Austin_00308" )</f>
        <v>Steck Ave_3605_Le Montreaux_Austin_00308</v>
      </c>
      <c r="L291" s="104" t="s">
        <v>22253</v>
      </c>
      <c r="M291" s="103" t="str">
        <f t="shared" si="23"/>
        <v>http://oconnordata.com/mlink/modules/profile/index.cfm?action=profile&amp;prop_id=308</v>
      </c>
      <c r="N291" s="1" t="str">
        <f t="shared" si="24"/>
        <v>00308</v>
      </c>
    </row>
    <row r="292" spans="1:14" x14ac:dyDescent="0.3">
      <c r="A292" s="97">
        <v>309</v>
      </c>
      <c r="B292" s="7" t="s">
        <v>462</v>
      </c>
      <c r="C292" s="12">
        <v>8524</v>
      </c>
      <c r="D292" s="7" t="s">
        <v>463</v>
      </c>
      <c r="E292" s="13" t="s">
        <v>7</v>
      </c>
      <c r="F292" t="str">
        <f t="shared" si="20"/>
        <v>Burnet</v>
      </c>
      <c r="G292" t="str">
        <f t="shared" si="21"/>
        <v>Burnet8524Austin</v>
      </c>
      <c r="H292" t="s">
        <v>31150</v>
      </c>
      <c r="I292" t="s">
        <v>22585</v>
      </c>
      <c r="J292" t="str">
        <f t="shared" si="22"/>
        <v>E:\PropInv\MF</v>
      </c>
      <c r="K292" s="103" t="str">
        <f>HYPERLINK("E:\PropInv\MF\Austin\Burnet Rd_8524_Woodchase_Austin_00309","Burnet Rd_8524_Woodchase_Austin_00309" )</f>
        <v>Burnet Rd_8524_Woodchase_Austin_00309</v>
      </c>
      <c r="L292" s="104" t="s">
        <v>22253</v>
      </c>
      <c r="M292" s="103" t="str">
        <f t="shared" si="23"/>
        <v>http://oconnordata.com/mlink/modules/profile/index.cfm?action=profile&amp;prop_id=309</v>
      </c>
      <c r="N292" s="1" t="str">
        <f t="shared" si="24"/>
        <v>00309</v>
      </c>
    </row>
    <row r="293" spans="1:14" x14ac:dyDescent="0.3">
      <c r="A293" s="97">
        <v>310</v>
      </c>
      <c r="B293" s="7" t="s">
        <v>163</v>
      </c>
      <c r="C293" s="12">
        <v>3622</v>
      </c>
      <c r="D293" s="7" t="s">
        <v>464</v>
      </c>
      <c r="E293" s="13" t="s">
        <v>7</v>
      </c>
      <c r="F293" t="str">
        <f t="shared" si="20"/>
        <v>Manchaca</v>
      </c>
      <c r="G293" t="str">
        <f t="shared" si="21"/>
        <v>Manchaca3622Austin</v>
      </c>
      <c r="H293" t="s">
        <v>31151</v>
      </c>
      <c r="I293" t="s">
        <v>22586</v>
      </c>
      <c r="J293" t="str">
        <f t="shared" si="22"/>
        <v>E:\PropInv\MF</v>
      </c>
      <c r="K293" s="103" t="str">
        <f>HYPERLINK("E:\PropInv\MF\Austin\Manchaca Rd_3622_Woodgate_Austin_00310","Manchaca Rd_3622_Woodgate_Austin_00310" )</f>
        <v>Manchaca Rd_3622_Woodgate_Austin_00310</v>
      </c>
      <c r="L293" s="104" t="s">
        <v>22253</v>
      </c>
      <c r="M293" s="103" t="str">
        <f t="shared" si="23"/>
        <v>http://oconnordata.com/mlink/modules/profile/index.cfm?action=profile&amp;prop_id=310</v>
      </c>
      <c r="N293" s="1" t="str">
        <f t="shared" si="24"/>
        <v>00310</v>
      </c>
    </row>
    <row r="294" spans="1:14" x14ac:dyDescent="0.3">
      <c r="A294" s="97">
        <v>311</v>
      </c>
      <c r="B294" s="7" t="s">
        <v>182</v>
      </c>
      <c r="C294" s="12">
        <v>3524</v>
      </c>
      <c r="D294" s="7" t="s">
        <v>465</v>
      </c>
      <c r="E294" s="13" t="s">
        <v>7</v>
      </c>
      <c r="F294" t="str">
        <f t="shared" si="20"/>
        <v>Greystone</v>
      </c>
      <c r="G294" t="str">
        <f t="shared" si="21"/>
        <v>Greystone3524Austin</v>
      </c>
      <c r="H294" t="s">
        <v>31152</v>
      </c>
      <c r="I294" t="s">
        <v>22587</v>
      </c>
      <c r="J294" t="str">
        <f t="shared" si="22"/>
        <v>E:\PropInv\MF</v>
      </c>
      <c r="K294" s="103" t="str">
        <f>HYPERLINK("E:\PropInv\MF\Austin\Greystone Dr_3524_Woodhollow_Austin_00311","Greystone Dr_3524_Woodhollow_Austin_00311" )</f>
        <v>Greystone Dr_3524_Woodhollow_Austin_00311</v>
      </c>
      <c r="L294" s="104" t="s">
        <v>22253</v>
      </c>
      <c r="M294" s="103" t="str">
        <f t="shared" si="23"/>
        <v>http://oconnordata.com/mlink/modules/profile/index.cfm?action=profile&amp;prop_id=311</v>
      </c>
      <c r="N294" s="1" t="str">
        <f t="shared" si="24"/>
        <v>00311</v>
      </c>
    </row>
    <row r="295" spans="1:14" x14ac:dyDescent="0.3">
      <c r="A295" s="1">
        <v>312</v>
      </c>
      <c r="B295" s="7" t="s">
        <v>232</v>
      </c>
      <c r="C295" s="12">
        <v>2201</v>
      </c>
      <c r="D295" s="7" t="s">
        <v>466</v>
      </c>
      <c r="E295" s="13" t="s">
        <v>7</v>
      </c>
      <c r="F295" t="str">
        <f t="shared" si="20"/>
        <v>Lakeshore</v>
      </c>
      <c r="G295" t="str">
        <f t="shared" si="21"/>
        <v>Lakeshore2201Austin</v>
      </c>
      <c r="H295" t="s">
        <v>31153</v>
      </c>
      <c r="I295" t="s">
        <v>22588</v>
      </c>
      <c r="J295" t="str">
        <f t="shared" si="22"/>
        <v>E:\PropInv\MF</v>
      </c>
      <c r="K295" s="103" t="str">
        <f>HYPERLINK("E:\PropInv\MF\Austin\Lakeshore Blvd S_2201_Chelsea on Town Lake_Austin_00312","Lakeshore Blvd S_2201_Chelsea on Town Lake_Austin_00312" )</f>
        <v>Lakeshore Blvd S_2201_Chelsea on Town Lake_Austin_00312</v>
      </c>
      <c r="L295" s="104" t="s">
        <v>22253</v>
      </c>
      <c r="M295" s="103" t="str">
        <f t="shared" si="23"/>
        <v>http://oconnordata.com/mlink/modules/profile/index.cfm?action=profile&amp;prop_id=312</v>
      </c>
      <c r="N295" s="1" t="str">
        <f t="shared" si="24"/>
        <v>00312</v>
      </c>
    </row>
    <row r="296" spans="1:14" x14ac:dyDescent="0.3">
      <c r="A296" s="97">
        <v>313</v>
      </c>
      <c r="B296" s="7" t="s">
        <v>144</v>
      </c>
      <c r="C296" s="12">
        <v>8312</v>
      </c>
      <c r="D296" s="7" t="s">
        <v>467</v>
      </c>
      <c r="E296" s="13" t="s">
        <v>7</v>
      </c>
      <c r="F296" t="str">
        <f t="shared" si="20"/>
        <v>35</v>
      </c>
      <c r="G296" t="str">
        <f t="shared" si="21"/>
        <v>358312Austin</v>
      </c>
      <c r="H296" t="s">
        <v>31154</v>
      </c>
      <c r="I296" t="s">
        <v>22589</v>
      </c>
      <c r="J296" t="str">
        <f t="shared" si="22"/>
        <v>E:\PropInv\MF</v>
      </c>
      <c r="K296" s="103" t="str">
        <f>HYPERLINK("E:\PropInv\MF\Austin\35 IH N_8312_Woodland Heights_Austin_00313","35 IH N_8312_Woodland Heights_Austin_00313" )</f>
        <v>35 IH N_8312_Woodland Heights_Austin_00313</v>
      </c>
      <c r="L296" s="104" t="s">
        <v>22253</v>
      </c>
      <c r="M296" s="103" t="str">
        <f t="shared" si="23"/>
        <v>http://oconnordata.com/mlink/modules/profile/index.cfm?action=profile&amp;prop_id=313</v>
      </c>
      <c r="N296" s="1" t="str">
        <f t="shared" si="24"/>
        <v>00313</v>
      </c>
    </row>
    <row r="297" spans="1:14" x14ac:dyDescent="0.3">
      <c r="A297" s="1">
        <v>314</v>
      </c>
      <c r="B297" s="7" t="s">
        <v>468</v>
      </c>
      <c r="C297" s="12">
        <v>2507</v>
      </c>
      <c r="D297" s="7" t="s">
        <v>469</v>
      </c>
      <c r="E297" s="13" t="s">
        <v>7</v>
      </c>
      <c r="F297" t="str">
        <f t="shared" si="20"/>
        <v>Burleson</v>
      </c>
      <c r="G297" t="str">
        <f t="shared" si="21"/>
        <v>Burleson2507Austin</v>
      </c>
      <c r="H297" t="s">
        <v>31155</v>
      </c>
      <c r="I297" t="s">
        <v>22590</v>
      </c>
      <c r="J297" t="str">
        <f t="shared" si="22"/>
        <v>E:\PropInv\MF</v>
      </c>
      <c r="K297" s="103" t="str">
        <f>HYPERLINK("E:\PropInv\MF\Austin\Burleson Rd_2507_Burleson Place_Austin_00314","Burleson Rd_2507_Burleson Place_Austin_00314" )</f>
        <v>Burleson Rd_2507_Burleson Place_Austin_00314</v>
      </c>
      <c r="L297" s="104" t="s">
        <v>22253</v>
      </c>
      <c r="M297" s="103" t="str">
        <f t="shared" si="23"/>
        <v>http://oconnordata.com/mlink/modules/profile/index.cfm?action=profile&amp;prop_id=314</v>
      </c>
      <c r="N297" s="1" t="str">
        <f t="shared" si="24"/>
        <v>00314</v>
      </c>
    </row>
    <row r="298" spans="1:14" x14ac:dyDescent="0.3">
      <c r="A298" s="97">
        <v>315</v>
      </c>
      <c r="B298" s="7" t="s">
        <v>146</v>
      </c>
      <c r="C298" s="12">
        <v>1735</v>
      </c>
      <c r="D298" s="7" t="s">
        <v>470</v>
      </c>
      <c r="E298" s="13" t="s">
        <v>7</v>
      </c>
      <c r="F298" t="str">
        <f t="shared" si="20"/>
        <v>Rutland</v>
      </c>
      <c r="G298" t="str">
        <f t="shared" si="21"/>
        <v>Rutland1735Austin</v>
      </c>
      <c r="H298" t="s">
        <v>31156</v>
      </c>
      <c r="I298" t="s">
        <v>22591</v>
      </c>
      <c r="J298" t="str">
        <f t="shared" si="22"/>
        <v>E:\PropInv\MF</v>
      </c>
      <c r="K298" s="103" t="str">
        <f>HYPERLINK("E:\PropInv\MF\Austin\Rutland Dr_1735_Woodmark_Austin_00315","Rutland Dr_1735_Woodmark_Austin_00315" )</f>
        <v>Rutland Dr_1735_Woodmark_Austin_00315</v>
      </c>
      <c r="L298" s="104" t="s">
        <v>22253</v>
      </c>
      <c r="M298" s="103" t="str">
        <f t="shared" si="23"/>
        <v>http://oconnordata.com/mlink/modules/profile/index.cfm?action=profile&amp;prop_id=315</v>
      </c>
      <c r="N298" s="1" t="str">
        <f t="shared" si="24"/>
        <v>00315</v>
      </c>
    </row>
    <row r="299" spans="1:14" x14ac:dyDescent="0.3">
      <c r="A299" s="97">
        <v>316</v>
      </c>
      <c r="B299" s="7" t="s">
        <v>200</v>
      </c>
      <c r="C299" s="12">
        <v>2501</v>
      </c>
      <c r="D299" s="7" t="s">
        <v>471</v>
      </c>
      <c r="E299" s="13" t="s">
        <v>7</v>
      </c>
      <c r="F299" t="str">
        <f t="shared" si="20"/>
        <v>Wickersham</v>
      </c>
      <c r="G299" t="str">
        <f t="shared" si="21"/>
        <v>Wickersham2501Austin</v>
      </c>
      <c r="H299" t="s">
        <v>31157</v>
      </c>
      <c r="I299" t="s">
        <v>22592</v>
      </c>
      <c r="J299" t="str">
        <f t="shared" si="22"/>
        <v>E:\PropInv\MF</v>
      </c>
      <c r="K299" s="103" t="str">
        <f>HYPERLINK("E:\PropInv\MF\Austin\Wickersham Ln_2501_Woodmeade_Austin_00316","Wickersham Ln_2501_Woodmeade_Austin_00316" )</f>
        <v>Wickersham Ln_2501_Woodmeade_Austin_00316</v>
      </c>
      <c r="L299" s="104" t="s">
        <v>22253</v>
      </c>
      <c r="M299" s="103" t="str">
        <f t="shared" si="23"/>
        <v>http://oconnordata.com/mlink/modules/profile/index.cfm?action=profile&amp;prop_id=316</v>
      </c>
      <c r="N299" s="1" t="str">
        <f t="shared" si="24"/>
        <v>00316</v>
      </c>
    </row>
    <row r="300" spans="1:14" x14ac:dyDescent="0.3">
      <c r="A300" s="97">
        <v>317</v>
      </c>
      <c r="B300" s="7" t="s">
        <v>391</v>
      </c>
      <c r="C300" s="12">
        <v>3505</v>
      </c>
      <c r="D300" s="7" t="s">
        <v>472</v>
      </c>
      <c r="E300" s="13" t="s">
        <v>7</v>
      </c>
      <c r="F300" t="str">
        <f t="shared" si="20"/>
        <v>Lamar</v>
      </c>
      <c r="G300" t="str">
        <f t="shared" si="21"/>
        <v>Lamar3505Austin</v>
      </c>
      <c r="H300" t="s">
        <v>31158</v>
      </c>
      <c r="I300" t="s">
        <v>22593</v>
      </c>
      <c r="J300" t="str">
        <f t="shared" si="22"/>
        <v>E:\PropInv\MF</v>
      </c>
      <c r="K300" s="103" t="str">
        <f>HYPERLINK("E:\PropInv\MF\Austin\Lamar Blvd S_3505_Woodmoor_Austin_00317","Lamar Blvd S_3505_Woodmoor_Austin_00317" )</f>
        <v>Lamar Blvd S_3505_Woodmoor_Austin_00317</v>
      </c>
      <c r="L300" s="104" t="s">
        <v>22253</v>
      </c>
      <c r="M300" s="103" t="str">
        <f t="shared" si="23"/>
        <v>http://oconnordata.com/mlink/modules/profile/index.cfm?action=profile&amp;prop_id=317</v>
      </c>
      <c r="N300" s="1" t="str">
        <f t="shared" si="24"/>
        <v>00317</v>
      </c>
    </row>
    <row r="301" spans="1:14" x14ac:dyDescent="0.3">
      <c r="A301" s="1">
        <v>318</v>
      </c>
      <c r="B301" s="7" t="s">
        <v>473</v>
      </c>
      <c r="C301" s="12">
        <v>2901</v>
      </c>
      <c r="D301" s="7" t="s">
        <v>474</v>
      </c>
      <c r="E301" s="13" t="s">
        <v>7</v>
      </c>
      <c r="F301" t="str">
        <f t="shared" si="20"/>
        <v>Barton</v>
      </c>
      <c r="G301" t="str">
        <f t="shared" si="21"/>
        <v>Barton2901Austin</v>
      </c>
      <c r="H301" t="s">
        <v>31159</v>
      </c>
      <c r="I301" t="s">
        <v>22594</v>
      </c>
      <c r="J301" t="str">
        <f t="shared" si="22"/>
        <v>E:\PropInv\MF</v>
      </c>
      <c r="K301" s="103" t="str">
        <f>HYPERLINK("E:\PropInv\MF\Austin\Barton Skyway_2901_The Woods On Barton Skyway_Austin_00318","Barton Skyway_2901_The Woods On Barton Skyway_Austin_00318" )</f>
        <v>Barton Skyway_2901_The Woods On Barton Skyway_Austin_00318</v>
      </c>
      <c r="L301" s="104" t="s">
        <v>22253</v>
      </c>
      <c r="M301" s="103" t="str">
        <f t="shared" si="23"/>
        <v>http://oconnordata.com/mlink/modules/profile/index.cfm?action=profile&amp;prop_id=318</v>
      </c>
      <c r="N301" s="1" t="str">
        <f t="shared" si="24"/>
        <v>00318</v>
      </c>
    </row>
    <row r="302" spans="1:14" x14ac:dyDescent="0.3">
      <c r="A302" s="97">
        <v>319</v>
      </c>
      <c r="B302" s="7" t="s">
        <v>460</v>
      </c>
      <c r="C302" s="12">
        <v>4021</v>
      </c>
      <c r="D302" s="7" t="s">
        <v>475</v>
      </c>
      <c r="E302" s="13" t="s">
        <v>7</v>
      </c>
      <c r="F302" t="str">
        <f t="shared" si="20"/>
        <v>Steck</v>
      </c>
      <c r="G302" t="str">
        <f t="shared" si="21"/>
        <v>Steck4021Austin</v>
      </c>
      <c r="H302" t="s">
        <v>31160</v>
      </c>
      <c r="I302" t="s">
        <v>22595</v>
      </c>
      <c r="J302" t="str">
        <f t="shared" si="22"/>
        <v>E:\PropInv\MF</v>
      </c>
      <c r="K302" s="103" t="str">
        <f>HYPERLINK("E:\PropInv\MF\Austin\Steck Ave_4021_Woodstone_Austin_00319","Steck Ave_4021_Woodstone_Austin_00319" )</f>
        <v>Steck Ave_4021_Woodstone_Austin_00319</v>
      </c>
      <c r="L302" s="104" t="s">
        <v>22253</v>
      </c>
      <c r="M302" s="103" t="str">
        <f t="shared" si="23"/>
        <v>http://oconnordata.com/mlink/modules/profile/index.cfm?action=profile&amp;prop_id=319</v>
      </c>
      <c r="N302" s="1" t="str">
        <f t="shared" si="24"/>
        <v>00319</v>
      </c>
    </row>
    <row r="303" spans="1:14" x14ac:dyDescent="0.3">
      <c r="A303" s="1">
        <v>320</v>
      </c>
      <c r="B303" s="7" t="s">
        <v>182</v>
      </c>
      <c r="C303" s="12">
        <v>3543</v>
      </c>
      <c r="D303" s="7" t="s">
        <v>476</v>
      </c>
      <c r="E303" s="13" t="s">
        <v>7</v>
      </c>
      <c r="F303" t="str">
        <f t="shared" si="20"/>
        <v>Greystone</v>
      </c>
      <c r="G303" t="str">
        <f t="shared" si="21"/>
        <v>Greystone3543Austin</v>
      </c>
      <c r="H303" t="s">
        <v>31161</v>
      </c>
      <c r="I303" t="s">
        <v>22596</v>
      </c>
      <c r="J303" t="str">
        <f t="shared" si="22"/>
        <v>E:\PropInv\MF</v>
      </c>
      <c r="K303" s="103" t="str">
        <f>HYPERLINK("E:\PropInv\MF\Austin\Greystone Dr_3543_Westdale Parke_Austin_00320","Greystone Dr_3543_Westdale Parke_Austin_00320" )</f>
        <v>Greystone Dr_3543_Westdale Parke_Austin_00320</v>
      </c>
      <c r="L303" s="104" t="s">
        <v>22253</v>
      </c>
      <c r="M303" s="103" t="str">
        <f t="shared" si="23"/>
        <v>http://oconnordata.com/mlink/modules/profile/index.cfm?action=profile&amp;prop_id=320</v>
      </c>
      <c r="N303" s="1" t="str">
        <f t="shared" si="24"/>
        <v>00320</v>
      </c>
    </row>
    <row r="304" spans="1:14" x14ac:dyDescent="0.3">
      <c r="A304" s="1">
        <v>321</v>
      </c>
      <c r="B304" s="7" t="s">
        <v>107</v>
      </c>
      <c r="C304" s="12">
        <v>117</v>
      </c>
      <c r="D304" s="7" t="s">
        <v>477</v>
      </c>
      <c r="E304" s="13" t="s">
        <v>7</v>
      </c>
      <c r="F304" t="str">
        <f t="shared" si="20"/>
        <v>William</v>
      </c>
      <c r="G304" t="str">
        <f t="shared" si="21"/>
        <v>William117Austin</v>
      </c>
      <c r="H304" t="s">
        <v>31162</v>
      </c>
      <c r="I304" t="s">
        <v>22597</v>
      </c>
      <c r="J304" t="str">
        <f t="shared" si="22"/>
        <v>E:\PropInv\MF</v>
      </c>
      <c r="K304" s="103" t="str">
        <f>HYPERLINK("E:\PropInv\MF\Austin\William Cannon Dr W_117_Cannon South_Austin_00321","William Cannon Dr W_117_Cannon South_Austin_00321" )</f>
        <v>William Cannon Dr W_117_Cannon South_Austin_00321</v>
      </c>
      <c r="L304" s="104" t="s">
        <v>22253</v>
      </c>
      <c r="M304" s="103" t="str">
        <f t="shared" si="23"/>
        <v>http://oconnordata.com/mlink/modules/profile/index.cfm?action=profile&amp;prop_id=321</v>
      </c>
      <c r="N304" s="1" t="str">
        <f t="shared" si="24"/>
        <v>00321</v>
      </c>
    </row>
    <row r="305" spans="1:14" x14ac:dyDescent="0.3">
      <c r="A305" s="1">
        <v>322</v>
      </c>
      <c r="B305" s="7" t="s">
        <v>283</v>
      </c>
      <c r="C305" s="12">
        <v>121</v>
      </c>
      <c r="D305" s="7" t="s">
        <v>478</v>
      </c>
      <c r="E305" s="13" t="s">
        <v>7</v>
      </c>
      <c r="F305" t="str">
        <f t="shared" si="20"/>
        <v>Woodward</v>
      </c>
      <c r="G305" t="str">
        <f t="shared" si="21"/>
        <v>Woodward121Austin</v>
      </c>
      <c r="H305" t="s">
        <v>31163</v>
      </c>
      <c r="I305" t="s">
        <v>22598</v>
      </c>
      <c r="J305" t="str">
        <f t="shared" si="22"/>
        <v>E:\PropInv\MF</v>
      </c>
      <c r="K305" s="103" t="str">
        <f>HYPERLINK("E:\PropInv\MF\Austin\Woodward St_121_Lindys Landing_Austin_00322","Woodward St_121_Lindys Landing_Austin_00322" )</f>
        <v>Woodward St_121_Lindys Landing_Austin_00322</v>
      </c>
      <c r="L305" s="104" t="s">
        <v>22253</v>
      </c>
      <c r="M305" s="103" t="str">
        <f t="shared" si="23"/>
        <v>http://oconnordata.com/mlink/modules/profile/index.cfm?action=profile&amp;prop_id=322</v>
      </c>
      <c r="N305" s="1" t="str">
        <f t="shared" si="24"/>
        <v>00322</v>
      </c>
    </row>
    <row r="306" spans="1:14" x14ac:dyDescent="0.3">
      <c r="A306" s="1">
        <v>324</v>
      </c>
      <c r="B306" s="7" t="s">
        <v>152</v>
      </c>
      <c r="C306" s="12">
        <v>600</v>
      </c>
      <c r="D306" s="7" t="s">
        <v>479</v>
      </c>
      <c r="E306" s="13" t="s">
        <v>7</v>
      </c>
      <c r="F306" t="str">
        <f t="shared" si="20"/>
        <v>1st</v>
      </c>
      <c r="G306" t="str">
        <f t="shared" si="21"/>
        <v>1st600Austin</v>
      </c>
      <c r="H306" t="s">
        <v>31164</v>
      </c>
      <c r="I306" t="s">
        <v>22599</v>
      </c>
      <c r="J306" t="str">
        <f t="shared" si="22"/>
        <v>E:\PropInv\MF</v>
      </c>
      <c r="K306" s="103" t="str">
        <f>HYPERLINK("E:\PropInv\MF\Austin\1st St S_600_The Willows_Austin_00324","1st St S_600_The Willows_Austin_00324" )</f>
        <v>1st St S_600_The Willows_Austin_00324</v>
      </c>
      <c r="L306" s="104" t="s">
        <v>22253</v>
      </c>
      <c r="M306" s="103" t="str">
        <f t="shared" si="23"/>
        <v>http://oconnordata.com/mlink/modules/profile/index.cfm?action=profile&amp;prop_id=324</v>
      </c>
      <c r="N306" s="1" t="str">
        <f t="shared" si="24"/>
        <v>00324</v>
      </c>
    </row>
    <row r="307" spans="1:14" x14ac:dyDescent="0.3">
      <c r="A307" s="1">
        <v>325</v>
      </c>
      <c r="B307" s="7" t="s">
        <v>480</v>
      </c>
      <c r="C307" s="12">
        <v>600</v>
      </c>
      <c r="D307" s="7" t="s">
        <v>481</v>
      </c>
      <c r="E307" s="13" t="s">
        <v>7</v>
      </c>
      <c r="F307" t="str">
        <f t="shared" si="20"/>
        <v>53rd</v>
      </c>
      <c r="G307" t="str">
        <f t="shared" si="21"/>
        <v>53rd600Austin</v>
      </c>
      <c r="H307" t="s">
        <v>31165</v>
      </c>
      <c r="I307" t="s">
        <v>22600</v>
      </c>
      <c r="J307" t="str">
        <f t="shared" si="22"/>
        <v>E:\PropInv\MF</v>
      </c>
      <c r="K307" s="103" t="str">
        <f>HYPERLINK("E:\PropInv\MF\Austin\53rd St E_600_The Elms_Austin_00325","53rd St E_600_The Elms_Austin_00325" )</f>
        <v>53rd St E_600_The Elms_Austin_00325</v>
      </c>
      <c r="L307" s="104" t="s">
        <v>22253</v>
      </c>
      <c r="M307" s="103" t="str">
        <f t="shared" si="23"/>
        <v>http://oconnordata.com/mlink/modules/profile/index.cfm?action=profile&amp;prop_id=325</v>
      </c>
      <c r="N307" s="1" t="str">
        <f t="shared" si="24"/>
        <v>00325</v>
      </c>
    </row>
    <row r="308" spans="1:14" x14ac:dyDescent="0.3">
      <c r="A308" s="1">
        <v>326</v>
      </c>
      <c r="B308" s="7" t="s">
        <v>482</v>
      </c>
      <c r="C308" s="12">
        <v>610</v>
      </c>
      <c r="D308" s="7" t="s">
        <v>483</v>
      </c>
      <c r="E308" s="13" t="s">
        <v>7</v>
      </c>
      <c r="F308" t="str">
        <f t="shared" si="20"/>
        <v>30th</v>
      </c>
      <c r="G308" t="str">
        <f t="shared" si="21"/>
        <v>30th610Austin</v>
      </c>
      <c r="H308" t="s">
        <v>31166</v>
      </c>
      <c r="I308" t="s">
        <v>22601</v>
      </c>
      <c r="J308" t="str">
        <f t="shared" si="22"/>
        <v>E:\PropInv\MF</v>
      </c>
      <c r="K308" s="103" t="str">
        <f>HYPERLINK("E:\PropInv\MF\Austin\30th St W_610_Fountain Terrace_Austin_00326","30th St W_610_Fountain Terrace_Austin_00326" )</f>
        <v>30th St W_610_Fountain Terrace_Austin_00326</v>
      </c>
      <c r="L308" s="104" t="s">
        <v>22253</v>
      </c>
      <c r="M308" s="103" t="str">
        <f t="shared" si="23"/>
        <v>http://oconnordata.com/mlink/modules/profile/index.cfm?action=profile&amp;prop_id=326</v>
      </c>
      <c r="N308" s="1" t="str">
        <f t="shared" si="24"/>
        <v>00326</v>
      </c>
    </row>
    <row r="309" spans="1:14" x14ac:dyDescent="0.3">
      <c r="A309" s="1">
        <v>327</v>
      </c>
      <c r="B309" s="7" t="s">
        <v>484</v>
      </c>
      <c r="C309" s="12">
        <v>600</v>
      </c>
      <c r="D309" s="7" t="s">
        <v>485</v>
      </c>
      <c r="E309" s="13" t="s">
        <v>7</v>
      </c>
      <c r="F309" t="str">
        <f t="shared" si="20"/>
        <v>51st</v>
      </c>
      <c r="G309" t="str">
        <f t="shared" si="21"/>
        <v>51st600Austin</v>
      </c>
      <c r="H309" t="s">
        <v>31167</v>
      </c>
      <c r="I309" t="s">
        <v>22602</v>
      </c>
      <c r="J309" t="str">
        <f t="shared" si="22"/>
        <v>E:\PropInv\MF</v>
      </c>
      <c r="K309" s="103" t="str">
        <f>HYPERLINK("E:\PropInv\MF\Austin\51st St W_600_Villa Solano_Austin_00327","51st St W_600_Villa Solano_Austin_00327" )</f>
        <v>51st St W_600_Villa Solano_Austin_00327</v>
      </c>
      <c r="L309" s="104" t="s">
        <v>22253</v>
      </c>
      <c r="M309" s="103" t="str">
        <f t="shared" si="23"/>
        <v>http://oconnordata.com/mlink/modules/profile/index.cfm?action=profile&amp;prop_id=327</v>
      </c>
      <c r="N309" s="1" t="str">
        <f t="shared" si="24"/>
        <v>00327</v>
      </c>
    </row>
    <row r="310" spans="1:14" x14ac:dyDescent="0.3">
      <c r="A310" s="1">
        <v>328</v>
      </c>
      <c r="B310" s="7" t="s">
        <v>486</v>
      </c>
      <c r="C310" s="12">
        <v>711</v>
      </c>
      <c r="D310" s="7" t="s">
        <v>487</v>
      </c>
      <c r="E310" s="13" t="s">
        <v>7</v>
      </c>
      <c r="F310" t="str">
        <f t="shared" si="20"/>
        <v>32nd</v>
      </c>
      <c r="G310" t="str">
        <f t="shared" si="21"/>
        <v>32nd711Austin</v>
      </c>
      <c r="H310" t="s">
        <v>31168</v>
      </c>
      <c r="I310" t="s">
        <v>22603</v>
      </c>
      <c r="J310" t="str">
        <f t="shared" si="22"/>
        <v>E:\PropInv\MF</v>
      </c>
      <c r="K310" s="103" t="str">
        <f>HYPERLINK("E:\PropInv\MF\Austin\32nd St W_711_Buckingham Square_Austin_00328","32nd St W_711_Buckingham Square_Austin_00328" )</f>
        <v>32nd St W_711_Buckingham Square_Austin_00328</v>
      </c>
      <c r="L310" s="104" t="s">
        <v>22253</v>
      </c>
      <c r="M310" s="103" t="str">
        <f t="shared" si="23"/>
        <v>http://oconnordata.com/mlink/modules/profile/index.cfm?action=profile&amp;prop_id=328</v>
      </c>
      <c r="N310" s="1" t="str">
        <f t="shared" si="24"/>
        <v>00328</v>
      </c>
    </row>
    <row r="311" spans="1:14" x14ac:dyDescent="0.3">
      <c r="A311" s="1">
        <v>329</v>
      </c>
      <c r="B311" s="7" t="s">
        <v>488</v>
      </c>
      <c r="C311" s="12">
        <v>911</v>
      </c>
      <c r="D311" s="7" t="s">
        <v>489</v>
      </c>
      <c r="E311" s="13" t="s">
        <v>7</v>
      </c>
      <c r="F311" t="str">
        <f t="shared" si="20"/>
        <v>Battle</v>
      </c>
      <c r="G311" t="str">
        <f t="shared" si="21"/>
        <v>Battle911Austin</v>
      </c>
      <c r="H311" t="s">
        <v>31169</v>
      </c>
      <c r="I311" t="s">
        <v>22604</v>
      </c>
      <c r="J311" t="str">
        <f t="shared" si="22"/>
        <v>E:\PropInv\MF</v>
      </c>
      <c r="K311" s="103" t="str">
        <f>HYPERLINK("E:\PropInv\MF\Austin\Battle Bend Blvd_911_Oak Bend_Austin_00329","Battle Bend Blvd_911_Oak Bend_Austin_00329" )</f>
        <v>Battle Bend Blvd_911_Oak Bend_Austin_00329</v>
      </c>
      <c r="L311" s="104" t="s">
        <v>22253</v>
      </c>
      <c r="M311" s="103" t="str">
        <f t="shared" si="23"/>
        <v>http://oconnordata.com/mlink/modules/profile/index.cfm?action=profile&amp;prop_id=329</v>
      </c>
      <c r="N311" s="1" t="str">
        <f t="shared" si="24"/>
        <v>00329</v>
      </c>
    </row>
    <row r="312" spans="1:14" x14ac:dyDescent="0.3">
      <c r="A312" s="1">
        <v>330</v>
      </c>
      <c r="B312" s="7" t="s">
        <v>222</v>
      </c>
      <c r="C312" s="12">
        <v>1044</v>
      </c>
      <c r="D312" s="7" t="s">
        <v>490</v>
      </c>
      <c r="E312" s="13" t="s">
        <v>7</v>
      </c>
      <c r="F312" t="str">
        <f t="shared" si="20"/>
        <v>Camino</v>
      </c>
      <c r="G312" t="str">
        <f t="shared" si="21"/>
        <v>Camino1044Austin</v>
      </c>
      <c r="H312" t="s">
        <v>31170</v>
      </c>
      <c r="I312" t="s">
        <v>22605</v>
      </c>
      <c r="J312" t="str">
        <f t="shared" si="22"/>
        <v>E:\PropInv\MF</v>
      </c>
      <c r="K312" s="103" t="str">
        <f>HYPERLINK("E:\PropInv\MF\Austin\Camino La Costa_1044_MacKenzie Pointe_Austin_00330","Camino La Costa_1044_MacKenzie Pointe_Austin_00330" )</f>
        <v>Camino La Costa_1044_MacKenzie Pointe_Austin_00330</v>
      </c>
      <c r="L312" s="104" t="s">
        <v>22253</v>
      </c>
      <c r="M312" s="103" t="str">
        <f t="shared" si="23"/>
        <v>http://oconnordata.com/mlink/modules/profile/index.cfm?action=profile&amp;prop_id=330</v>
      </c>
      <c r="N312" s="1" t="str">
        <f t="shared" si="24"/>
        <v>00330</v>
      </c>
    </row>
    <row r="313" spans="1:14" x14ac:dyDescent="0.3">
      <c r="A313" s="1">
        <v>331</v>
      </c>
      <c r="B313" s="7" t="s">
        <v>191</v>
      </c>
      <c r="C313" s="12">
        <v>1110</v>
      </c>
      <c r="D313" s="7" t="s">
        <v>491</v>
      </c>
      <c r="E313" s="13" t="s">
        <v>7</v>
      </c>
      <c r="F313" t="str">
        <f t="shared" si="20"/>
        <v>Oltorf</v>
      </c>
      <c r="G313" t="str">
        <f t="shared" si="21"/>
        <v>Oltorf1110Austin</v>
      </c>
      <c r="H313" t="s">
        <v>31171</v>
      </c>
      <c r="I313" t="s">
        <v>22606</v>
      </c>
      <c r="J313" t="str">
        <f t="shared" si="22"/>
        <v>E:\PropInv\MF</v>
      </c>
      <c r="K313" s="103" t="str">
        <f>HYPERLINK("E:\PropInv\MF\Austin\Oltorf St E_1110_Travis Park_Austin_00331","Oltorf St E_1110_Travis Park_Austin_00331" )</f>
        <v>Oltorf St E_1110_Travis Park_Austin_00331</v>
      </c>
      <c r="L313" s="104" t="s">
        <v>22253</v>
      </c>
      <c r="M313" s="103" t="str">
        <f t="shared" si="23"/>
        <v>http://oconnordata.com/mlink/modules/profile/index.cfm?action=profile&amp;prop_id=331</v>
      </c>
      <c r="N313" s="1" t="str">
        <f t="shared" si="24"/>
        <v>00331</v>
      </c>
    </row>
    <row r="314" spans="1:14" x14ac:dyDescent="0.3">
      <c r="A314" s="1">
        <v>332</v>
      </c>
      <c r="B314" s="7" t="s">
        <v>492</v>
      </c>
      <c r="C314" s="12">
        <v>1137</v>
      </c>
      <c r="D314" s="7" t="s">
        <v>493</v>
      </c>
      <c r="E314" s="13" t="s">
        <v>7</v>
      </c>
      <c r="F314" t="str">
        <f t="shared" si="20"/>
        <v>Gunter</v>
      </c>
      <c r="G314" t="str">
        <f t="shared" si="21"/>
        <v>Gunter1137Austin</v>
      </c>
      <c r="H314" t="s">
        <v>31172</v>
      </c>
      <c r="I314" t="s">
        <v>22607</v>
      </c>
      <c r="J314" t="str">
        <f t="shared" si="22"/>
        <v>E:\PropInv\MF</v>
      </c>
      <c r="K314" s="103" t="str">
        <f>HYPERLINK("E:\PropInv\MF\Austin\Gunter St_1137_Mason Manor_Austin_00332","Gunter St_1137_Mason Manor_Austin_00332" )</f>
        <v>Gunter St_1137_Mason Manor_Austin_00332</v>
      </c>
      <c r="L314" s="104" t="s">
        <v>22253</v>
      </c>
      <c r="M314" s="103" t="str">
        <f t="shared" si="23"/>
        <v>http://oconnordata.com/mlink/modules/profile/index.cfm?action=profile&amp;prop_id=332</v>
      </c>
      <c r="N314" s="1" t="str">
        <f t="shared" si="24"/>
        <v>00332</v>
      </c>
    </row>
    <row r="315" spans="1:14" x14ac:dyDescent="0.3">
      <c r="A315" s="1">
        <v>333</v>
      </c>
      <c r="B315" s="7" t="s">
        <v>494</v>
      </c>
      <c r="C315" s="12">
        <v>1507</v>
      </c>
      <c r="D315" s="7" t="s">
        <v>495</v>
      </c>
      <c r="E315" s="13" t="s">
        <v>7</v>
      </c>
      <c r="F315" t="str">
        <f t="shared" si="20"/>
        <v>Kinney</v>
      </c>
      <c r="G315" t="str">
        <f t="shared" si="21"/>
        <v>Kinney1507Austin</v>
      </c>
      <c r="H315" t="s">
        <v>31173</v>
      </c>
      <c r="I315" t="s">
        <v>22608</v>
      </c>
      <c r="J315" t="str">
        <f t="shared" si="22"/>
        <v>E:\PropInv\MF</v>
      </c>
      <c r="K315" s="103" t="str">
        <f>HYPERLINK("E:\PropInv\MF\Austin\Kinney Ave_1507_Cloisters West_Austin_00333","Kinney Ave_1507_Cloisters West_Austin_00333" )</f>
        <v>Kinney Ave_1507_Cloisters West_Austin_00333</v>
      </c>
      <c r="L315" s="104" t="s">
        <v>22253</v>
      </c>
      <c r="M315" s="103" t="str">
        <f t="shared" si="23"/>
        <v>http://oconnordata.com/mlink/modules/profile/index.cfm?action=profile&amp;prop_id=333</v>
      </c>
      <c r="N315" s="1" t="str">
        <f t="shared" si="24"/>
        <v>00333</v>
      </c>
    </row>
    <row r="316" spans="1:14" x14ac:dyDescent="0.3">
      <c r="A316" s="1">
        <v>334</v>
      </c>
      <c r="B316" s="7" t="s">
        <v>496</v>
      </c>
      <c r="C316" s="12">
        <v>1640</v>
      </c>
      <c r="D316" s="7" t="s">
        <v>497</v>
      </c>
      <c r="E316" s="13" t="s">
        <v>498</v>
      </c>
      <c r="F316" t="str">
        <f t="shared" si="20"/>
        <v>Aquarena</v>
      </c>
      <c r="G316" t="str">
        <f t="shared" si="21"/>
        <v>Aquarena1640San Marcos</v>
      </c>
      <c r="H316" t="s">
        <v>31174</v>
      </c>
      <c r="I316" t="s">
        <v>22609</v>
      </c>
      <c r="J316" t="str">
        <f t="shared" si="22"/>
        <v>E:\PropInv\MF</v>
      </c>
      <c r="K316" s="103" t="str">
        <f>HYPERLINK("E:\PropInv\MF\San Marcos\Aquarena Springs Dr_1640_Shalamar_San Marcos_00334","Aquarena Springs Dr_1640_Shalamar_San Marcos_00334" )</f>
        <v>Aquarena Springs Dr_1640_Shalamar_San Marcos_00334</v>
      </c>
      <c r="L316" s="104" t="s">
        <v>22253</v>
      </c>
      <c r="M316" s="103" t="str">
        <f t="shared" si="23"/>
        <v>http://oconnordata.com/mlink/modules/profile/index.cfm?action=profile&amp;prop_id=334</v>
      </c>
      <c r="N316" s="1" t="str">
        <f t="shared" si="24"/>
        <v>00334</v>
      </c>
    </row>
    <row r="317" spans="1:14" x14ac:dyDescent="0.3">
      <c r="A317" s="1">
        <v>335</v>
      </c>
      <c r="B317" s="7" t="s">
        <v>499</v>
      </c>
      <c r="C317" s="12">
        <v>2101</v>
      </c>
      <c r="D317" s="7" t="s">
        <v>500</v>
      </c>
      <c r="E317" s="13" t="s">
        <v>7</v>
      </c>
      <c r="F317" t="str">
        <f t="shared" si="20"/>
        <v>Elmont</v>
      </c>
      <c r="G317" t="str">
        <f t="shared" si="21"/>
        <v>Elmont2101Austin</v>
      </c>
      <c r="H317" t="s">
        <v>31175</v>
      </c>
      <c r="I317" t="s">
        <v>22610</v>
      </c>
      <c r="J317" t="str">
        <f t="shared" si="22"/>
        <v>E:\PropInv\MF</v>
      </c>
      <c r="K317" s="103" t="str">
        <f>HYPERLINK("E:\PropInv\MF\Austin\Elmont Dr_2101_Barcelona_Austin_00335","Elmont Dr_2101_Barcelona_Austin_00335" )</f>
        <v>Elmont Dr_2101_Barcelona_Austin_00335</v>
      </c>
      <c r="L317" s="104" t="s">
        <v>22253</v>
      </c>
      <c r="M317" s="103" t="str">
        <f t="shared" si="23"/>
        <v>http://oconnordata.com/mlink/modules/profile/index.cfm?action=profile&amp;prop_id=335</v>
      </c>
      <c r="N317" s="1" t="str">
        <f t="shared" si="24"/>
        <v>00335</v>
      </c>
    </row>
    <row r="318" spans="1:14" x14ac:dyDescent="0.3">
      <c r="A318" s="1">
        <v>336</v>
      </c>
      <c r="B318" s="7" t="s">
        <v>139</v>
      </c>
      <c r="C318" s="12">
        <v>2104</v>
      </c>
      <c r="D318" s="7" t="s">
        <v>501</v>
      </c>
      <c r="E318" s="13" t="s">
        <v>7</v>
      </c>
      <c r="F318" t="str">
        <f t="shared" si="20"/>
        <v>Anderson</v>
      </c>
      <c r="G318" t="str">
        <f t="shared" si="21"/>
        <v>Anderson2104Austin</v>
      </c>
      <c r="H318" t="s">
        <v>31176</v>
      </c>
      <c r="I318" t="s">
        <v>22611</v>
      </c>
      <c r="J318" t="str">
        <f t="shared" si="22"/>
        <v>E:\PropInv\MF</v>
      </c>
      <c r="K318" s="103" t="str">
        <f>HYPERLINK("E:\PropInv\MF\Austin\Anderson Ln E_2104_Salado at Walnut Creek_Austin_00336","Anderson Ln E_2104_Salado at Walnut Creek_Austin_00336" )</f>
        <v>Anderson Ln E_2104_Salado at Walnut Creek_Austin_00336</v>
      </c>
      <c r="L318" s="104" t="s">
        <v>22253</v>
      </c>
      <c r="M318" s="103" t="str">
        <f t="shared" si="23"/>
        <v>http://oconnordata.com/mlink/modules/profile/index.cfm?action=profile&amp;prop_id=336</v>
      </c>
      <c r="N318" s="1" t="str">
        <f t="shared" si="24"/>
        <v>00336</v>
      </c>
    </row>
    <row r="319" spans="1:14" x14ac:dyDescent="0.3">
      <c r="A319" s="1">
        <v>337</v>
      </c>
      <c r="B319" s="7" t="s">
        <v>502</v>
      </c>
      <c r="C319" s="12">
        <v>2200</v>
      </c>
      <c r="D319" s="7" t="s">
        <v>503</v>
      </c>
      <c r="E319" s="13" t="s">
        <v>7</v>
      </c>
      <c r="F319" t="str">
        <f t="shared" si="20"/>
        <v>Loop</v>
      </c>
      <c r="G319" t="str">
        <f t="shared" si="21"/>
        <v>Loop2200Austin</v>
      </c>
      <c r="H319" t="s">
        <v>31177</v>
      </c>
      <c r="I319" t="s">
        <v>22612</v>
      </c>
      <c r="J319" t="str">
        <f t="shared" si="22"/>
        <v>E:\PropInv\MF</v>
      </c>
      <c r="K319" s="103" t="str">
        <f>HYPERLINK("E:\PropInv\MF\Austin\Loop W N_2200_Kensington Court_Austin_00337","Loop W N_2200_Kensington Court_Austin_00337" )</f>
        <v>Loop W N_2200_Kensington Court_Austin_00337</v>
      </c>
      <c r="L319" s="104" t="s">
        <v>22253</v>
      </c>
      <c r="M319" s="103" t="str">
        <f t="shared" si="23"/>
        <v>http://oconnordata.com/mlink/modules/profile/index.cfm?action=profile&amp;prop_id=337</v>
      </c>
      <c r="N319" s="1" t="str">
        <f t="shared" si="24"/>
        <v>00337</v>
      </c>
    </row>
    <row r="320" spans="1:14" x14ac:dyDescent="0.3">
      <c r="A320" s="1">
        <v>338</v>
      </c>
      <c r="B320" s="7" t="s">
        <v>69</v>
      </c>
      <c r="C320" s="12">
        <v>2201</v>
      </c>
      <c r="D320" s="7" t="s">
        <v>504</v>
      </c>
      <c r="E320" s="13" t="s">
        <v>7</v>
      </c>
      <c r="F320" t="str">
        <f t="shared" si="20"/>
        <v>Willow</v>
      </c>
      <c r="G320" t="str">
        <f t="shared" si="21"/>
        <v>Willow2201Austin</v>
      </c>
      <c r="H320" t="s">
        <v>31178</v>
      </c>
      <c r="I320" t="s">
        <v>22613</v>
      </c>
      <c r="J320" t="str">
        <f t="shared" si="22"/>
        <v>E:\PropInv\MF</v>
      </c>
      <c r="K320" s="103" t="str">
        <f>HYPERLINK("E:\PropInv\MF\Austin\Willow Creek Dr_2201_Renaissance Park_Austin_00338","Willow Creek Dr_2201_Renaissance Park_Austin_00338" )</f>
        <v>Willow Creek Dr_2201_Renaissance Park_Austin_00338</v>
      </c>
      <c r="L320" s="104" t="s">
        <v>22253</v>
      </c>
      <c r="M320" s="103" t="str">
        <f t="shared" si="23"/>
        <v>http://oconnordata.com/mlink/modules/profile/index.cfm?action=profile&amp;prop_id=338</v>
      </c>
      <c r="N320" s="1" t="str">
        <f t="shared" si="24"/>
        <v>00338</v>
      </c>
    </row>
    <row r="321" spans="1:14" x14ac:dyDescent="0.3">
      <c r="A321" s="1">
        <v>339</v>
      </c>
      <c r="B321" s="7" t="s">
        <v>502</v>
      </c>
      <c r="C321" s="12">
        <v>2200</v>
      </c>
      <c r="D321" s="7" t="s">
        <v>505</v>
      </c>
      <c r="E321" s="13" t="s">
        <v>7</v>
      </c>
      <c r="F321" t="str">
        <f t="shared" si="20"/>
        <v>Loop</v>
      </c>
      <c r="G321" t="str">
        <f t="shared" si="21"/>
        <v>Loop2200Austin</v>
      </c>
      <c r="H321" t="s">
        <v>31179</v>
      </c>
      <c r="I321" t="s">
        <v>22614</v>
      </c>
      <c r="J321" t="str">
        <f t="shared" si="22"/>
        <v>E:\PropInv\MF</v>
      </c>
      <c r="K321" s="103" t="str">
        <f>HYPERLINK("E:\PropInv\MF\Austin\Loop W N_2200_Kensington Terrace_Austin_00339","Loop W N_2200_Kensington Terrace_Austin_00339" )</f>
        <v>Loop W N_2200_Kensington Terrace_Austin_00339</v>
      </c>
      <c r="L321" s="104" t="s">
        <v>22253</v>
      </c>
      <c r="M321" s="103" t="str">
        <f t="shared" si="23"/>
        <v>http://oconnordata.com/mlink/modules/profile/index.cfm?action=profile&amp;prop_id=339</v>
      </c>
      <c r="N321" s="1" t="str">
        <f t="shared" si="24"/>
        <v>00339</v>
      </c>
    </row>
    <row r="322" spans="1:14" x14ac:dyDescent="0.3">
      <c r="A322" s="1">
        <v>340</v>
      </c>
      <c r="B322" s="7" t="s">
        <v>502</v>
      </c>
      <c r="C322" s="12">
        <v>2211</v>
      </c>
      <c r="D322" s="7" t="s">
        <v>506</v>
      </c>
      <c r="E322" s="13" t="s">
        <v>7</v>
      </c>
      <c r="F322" t="str">
        <f t="shared" ref="F322:F385" si="25">IFERROR(LEFT(B322,FIND(" ",B322)-1),B322)</f>
        <v>Loop</v>
      </c>
      <c r="G322" t="str">
        <f t="shared" ref="G322:G385" si="26">F322&amp;C322&amp;E322</f>
        <v>Loop2211Austin</v>
      </c>
      <c r="H322" t="s">
        <v>31180</v>
      </c>
      <c r="I322" t="s">
        <v>22615</v>
      </c>
      <c r="J322" t="str">
        <f t="shared" ref="J322:J385" si="27">IF(L322="TX",Folder_Path,Folder_Path&amp;"\State_"&amp;L322)</f>
        <v>E:\PropInv\MF</v>
      </c>
      <c r="K322" s="103" t="str">
        <f>HYPERLINK("E:\PropInv\MF\Austin\Loop W N_2211_French Quarter_Austin_00340","Loop W N_2211_French Quarter_Austin_00340" )</f>
        <v>Loop W N_2211_French Quarter_Austin_00340</v>
      </c>
      <c r="L322" s="104" t="s">
        <v>22253</v>
      </c>
      <c r="M322" s="103" t="str">
        <f t="shared" ref="M322:M385" si="28">HYPERLINK("http://oconnordata.com/mlink/modules/profile/index.cfm?action=profile&amp;prop_id="&amp;A322)</f>
        <v>http://oconnordata.com/mlink/modules/profile/index.cfm?action=profile&amp;prop_id=340</v>
      </c>
      <c r="N322" s="1" t="str">
        <f t="shared" ref="N322:N385" si="29">IF(LEN(A322)=1,"0000"&amp;A322,IF(LEN(A322)=2,"000"&amp;A322,IF(LEN(A322)=3,"00"&amp;A322,IF(LEN(A322)=4,"0"&amp;A322,IF(LEN(A322)=5,IF(LEFT(A322,1)="3",A322+30000,A322))))))</f>
        <v>00340</v>
      </c>
    </row>
    <row r="323" spans="1:14" x14ac:dyDescent="0.3">
      <c r="A323" s="1">
        <v>341</v>
      </c>
      <c r="B323" s="7" t="s">
        <v>507</v>
      </c>
      <c r="C323" s="12">
        <v>2324</v>
      </c>
      <c r="D323" s="7" t="s">
        <v>508</v>
      </c>
      <c r="E323" s="13" t="s">
        <v>7</v>
      </c>
      <c r="F323" t="str">
        <f t="shared" si="25"/>
        <v>Wilson</v>
      </c>
      <c r="G323" t="str">
        <f t="shared" si="26"/>
        <v>Wilson2324Austin</v>
      </c>
      <c r="H323" t="s">
        <v>31181</v>
      </c>
      <c r="I323" t="s">
        <v>22616</v>
      </c>
      <c r="J323" t="str">
        <f t="shared" si="27"/>
        <v>E:\PropInv\MF</v>
      </c>
      <c r="K323" s="103" t="str">
        <f>HYPERLINK("E:\PropInv\MF\Austin\Wilson St_2324_Oak Creek Village_Austin_00341","Wilson St_2324_Oak Creek Village_Austin_00341" )</f>
        <v>Wilson St_2324_Oak Creek Village_Austin_00341</v>
      </c>
      <c r="L323" s="104" t="s">
        <v>22253</v>
      </c>
      <c r="M323" s="103" t="str">
        <f t="shared" si="28"/>
        <v>http://oconnordata.com/mlink/modules/profile/index.cfm?action=profile&amp;prop_id=341</v>
      </c>
      <c r="N323" s="1" t="str">
        <f t="shared" si="29"/>
        <v>00341</v>
      </c>
    </row>
    <row r="324" spans="1:14" x14ac:dyDescent="0.3">
      <c r="A324" s="1">
        <v>342</v>
      </c>
      <c r="B324" s="7" t="s">
        <v>347</v>
      </c>
      <c r="C324" s="12">
        <v>2506</v>
      </c>
      <c r="D324" s="7" t="s">
        <v>509</v>
      </c>
      <c r="E324" s="13" t="s">
        <v>7</v>
      </c>
      <c r="F324" t="str">
        <f t="shared" si="25"/>
        <v>Manor</v>
      </c>
      <c r="G324" t="str">
        <f t="shared" si="26"/>
        <v>Manor2506Austin</v>
      </c>
      <c r="H324" t="s">
        <v>31182</v>
      </c>
      <c r="I324" t="s">
        <v>22617</v>
      </c>
      <c r="J324" t="str">
        <f t="shared" si="27"/>
        <v>E:\PropInv\MF</v>
      </c>
      <c r="K324" s="103" t="str">
        <f>HYPERLINK("E:\PropInv\MF\Austin\Manor Rd_2506_Archways_Austin_00342","Manor Rd_2506_Archways_Austin_00342" )</f>
        <v>Manor Rd_2506_Archways_Austin_00342</v>
      </c>
      <c r="L324" s="104" t="s">
        <v>22253</v>
      </c>
      <c r="M324" s="103" t="str">
        <f t="shared" si="28"/>
        <v>http://oconnordata.com/mlink/modules/profile/index.cfm?action=profile&amp;prop_id=342</v>
      </c>
      <c r="N324" s="1" t="str">
        <f t="shared" si="29"/>
        <v>00342</v>
      </c>
    </row>
    <row r="325" spans="1:14" x14ac:dyDescent="0.3">
      <c r="A325" s="1">
        <v>343</v>
      </c>
      <c r="B325" s="7" t="s">
        <v>510</v>
      </c>
      <c r="C325" s="12">
        <v>2606</v>
      </c>
      <c r="D325" s="7" t="s">
        <v>511</v>
      </c>
      <c r="E325" s="13" t="s">
        <v>7</v>
      </c>
      <c r="F325" t="str">
        <f t="shared" si="25"/>
        <v>Wheless</v>
      </c>
      <c r="G325" t="str">
        <f t="shared" si="26"/>
        <v>Wheless2606Austin</v>
      </c>
      <c r="H325" t="s">
        <v>31183</v>
      </c>
      <c r="I325" t="s">
        <v>22618</v>
      </c>
      <c r="J325" t="str">
        <f t="shared" si="27"/>
        <v>E:\PropInv\MF</v>
      </c>
      <c r="K325" s="103" t="str">
        <f>HYPERLINK("E:\PropInv\MF\Austin\Wheless Ln_2606_Westheimer Oaks_Austin_00343","Wheless Ln_2606_Westheimer Oaks_Austin_00343" )</f>
        <v>Wheless Ln_2606_Westheimer Oaks_Austin_00343</v>
      </c>
      <c r="L325" s="104" t="s">
        <v>22253</v>
      </c>
      <c r="M325" s="103" t="str">
        <f t="shared" si="28"/>
        <v>http://oconnordata.com/mlink/modules/profile/index.cfm?action=profile&amp;prop_id=343</v>
      </c>
      <c r="N325" s="1" t="str">
        <f t="shared" si="29"/>
        <v>00343</v>
      </c>
    </row>
    <row r="326" spans="1:14" x14ac:dyDescent="0.3">
      <c r="A326" s="1">
        <v>344</v>
      </c>
      <c r="B326" s="7" t="s">
        <v>93</v>
      </c>
      <c r="C326" s="12">
        <v>2703</v>
      </c>
      <c r="D326" s="7" t="s">
        <v>512</v>
      </c>
      <c r="E326" s="13" t="s">
        <v>7</v>
      </c>
      <c r="F326" t="str">
        <f t="shared" si="25"/>
        <v>Congress</v>
      </c>
      <c r="G326" t="str">
        <f t="shared" si="26"/>
        <v>Congress2703Austin</v>
      </c>
      <c r="H326" t="s">
        <v>31184</v>
      </c>
      <c r="I326" t="s">
        <v>22619</v>
      </c>
      <c r="J326" t="str">
        <f t="shared" si="27"/>
        <v>E:\PropInv\MF</v>
      </c>
      <c r="K326" s="103" t="str">
        <f>HYPERLINK("E:\PropInv\MF\Austin\Congress Ave S_2703_Heights on Congress_Austin_00344","Congress Ave S_2703_Heights on Congress_Austin_00344" )</f>
        <v>Congress Ave S_2703_Heights on Congress_Austin_00344</v>
      </c>
      <c r="L326" s="104" t="s">
        <v>22253</v>
      </c>
      <c r="M326" s="103" t="str">
        <f t="shared" si="28"/>
        <v>http://oconnordata.com/mlink/modules/profile/index.cfm?action=profile&amp;prop_id=344</v>
      </c>
      <c r="N326" s="1" t="str">
        <f t="shared" si="29"/>
        <v>00344</v>
      </c>
    </row>
    <row r="327" spans="1:14" x14ac:dyDescent="0.3">
      <c r="A327" s="97">
        <v>345</v>
      </c>
      <c r="B327" s="7" t="s">
        <v>513</v>
      </c>
      <c r="C327" s="12">
        <v>3601</v>
      </c>
      <c r="D327" s="7" t="s">
        <v>514</v>
      </c>
      <c r="E327" s="13" t="s">
        <v>7</v>
      </c>
      <c r="F327" t="str">
        <f t="shared" si="25"/>
        <v>Willow</v>
      </c>
      <c r="G327" t="str">
        <f t="shared" si="26"/>
        <v>Willow3601Austin</v>
      </c>
      <c r="H327" t="s">
        <v>31185</v>
      </c>
      <c r="I327" t="s">
        <v>22620</v>
      </c>
      <c r="J327" t="str">
        <f t="shared" si="27"/>
        <v>E:\PropInv\MF</v>
      </c>
      <c r="K327" s="103" t="str">
        <f>HYPERLINK("E:\PropInv\MF\Austin\Willow Springs Rd_3601_Woodwillow TH_Austin_00345","Willow Springs Rd_3601_Woodwillow TH_Austin_00345" )</f>
        <v>Willow Springs Rd_3601_Woodwillow TH_Austin_00345</v>
      </c>
      <c r="L327" s="104" t="s">
        <v>22253</v>
      </c>
      <c r="M327" s="103" t="str">
        <f t="shared" si="28"/>
        <v>http://oconnordata.com/mlink/modules/profile/index.cfm?action=profile&amp;prop_id=345</v>
      </c>
      <c r="N327" s="1" t="str">
        <f t="shared" si="29"/>
        <v>00345</v>
      </c>
    </row>
    <row r="328" spans="1:14" x14ac:dyDescent="0.3">
      <c r="A328" s="1">
        <v>346</v>
      </c>
      <c r="B328" s="7" t="s">
        <v>515</v>
      </c>
      <c r="C328" s="12">
        <v>1304</v>
      </c>
      <c r="D328" s="7" t="s">
        <v>516</v>
      </c>
      <c r="E328" s="13" t="s">
        <v>7</v>
      </c>
      <c r="F328" t="str">
        <f t="shared" si="25"/>
        <v>Summer</v>
      </c>
      <c r="G328" t="str">
        <f t="shared" si="26"/>
        <v>Summer1304Austin</v>
      </c>
      <c r="H328" t="s">
        <v>31186</v>
      </c>
      <c r="I328" t="s">
        <v>22621</v>
      </c>
      <c r="J328" t="str">
        <f t="shared" si="27"/>
        <v>E:\PropInv\MF</v>
      </c>
      <c r="K328" s="103" t="str">
        <f>HYPERLINK("E:\PropInv\MF\Austin\Summer Oaks Dr_1304_Oak Run_Austin_00346","Summer Oaks Dr_1304_Oak Run_Austin_00346" )</f>
        <v>Summer Oaks Dr_1304_Oak Run_Austin_00346</v>
      </c>
      <c r="L328" s="104" t="s">
        <v>22253</v>
      </c>
      <c r="M328" s="103" t="str">
        <f t="shared" si="28"/>
        <v>http://oconnordata.com/mlink/modules/profile/index.cfm?action=profile&amp;prop_id=346</v>
      </c>
      <c r="N328" s="1" t="str">
        <f t="shared" si="29"/>
        <v>00346</v>
      </c>
    </row>
    <row r="329" spans="1:14" x14ac:dyDescent="0.3">
      <c r="A329" s="1">
        <v>347</v>
      </c>
      <c r="B329" s="7" t="s">
        <v>381</v>
      </c>
      <c r="C329" s="12">
        <v>1054</v>
      </c>
      <c r="D329" s="7" t="s">
        <v>517</v>
      </c>
      <c r="E329" s="13" t="s">
        <v>7</v>
      </c>
      <c r="F329" t="str">
        <f t="shared" si="25"/>
        <v>Springdale</v>
      </c>
      <c r="G329" t="str">
        <f t="shared" si="26"/>
        <v>Springdale1054Austin</v>
      </c>
      <c r="H329" t="s">
        <v>31187</v>
      </c>
      <c r="I329" t="s">
        <v>22622</v>
      </c>
      <c r="J329" t="str">
        <f t="shared" si="27"/>
        <v>E:\PropInv\MF</v>
      </c>
      <c r="K329" s="103" t="str">
        <f>HYPERLINK("E:\PropInv\MF\Austin\Springdale Rd_1054_Springdale Gardens_Austin_00347","Springdale Rd_1054_Springdale Gardens_Austin_00347" )</f>
        <v>Springdale Rd_1054_Springdale Gardens_Austin_00347</v>
      </c>
      <c r="L329" s="104" t="s">
        <v>22253</v>
      </c>
      <c r="M329" s="103" t="str">
        <f t="shared" si="28"/>
        <v>http://oconnordata.com/mlink/modules/profile/index.cfm?action=profile&amp;prop_id=347</v>
      </c>
      <c r="N329" s="1" t="str">
        <f t="shared" si="29"/>
        <v>00347</v>
      </c>
    </row>
    <row r="330" spans="1:14" x14ac:dyDescent="0.3">
      <c r="A330" s="1">
        <v>348</v>
      </c>
      <c r="B330" s="7" t="s">
        <v>518</v>
      </c>
      <c r="C330" s="12">
        <v>3819</v>
      </c>
      <c r="D330" s="7" t="s">
        <v>519</v>
      </c>
      <c r="E330" s="13" t="s">
        <v>7</v>
      </c>
      <c r="F330" t="str">
        <f t="shared" si="25"/>
        <v>Southway</v>
      </c>
      <c r="G330" t="str">
        <f t="shared" si="26"/>
        <v>Southway3819Austin</v>
      </c>
      <c r="H330" t="s">
        <v>31188</v>
      </c>
      <c r="I330" t="s">
        <v>22623</v>
      </c>
      <c r="J330" t="str">
        <f t="shared" si="27"/>
        <v>E:\PropInv\MF</v>
      </c>
      <c r="K330" s="103" t="str">
        <f>HYPERLINK("E:\PropInv\MF\Austin\Southway Dr_3819_South Hill_Austin_00348","Southway Dr_3819_South Hill_Austin_00348" )</f>
        <v>Southway Dr_3819_South Hill_Austin_00348</v>
      </c>
      <c r="L330" s="104" t="s">
        <v>22253</v>
      </c>
      <c r="M330" s="103" t="str">
        <f t="shared" si="28"/>
        <v>http://oconnordata.com/mlink/modules/profile/index.cfm?action=profile&amp;prop_id=348</v>
      </c>
      <c r="N330" s="1" t="str">
        <f t="shared" si="29"/>
        <v>00348</v>
      </c>
    </row>
    <row r="331" spans="1:14" x14ac:dyDescent="0.3">
      <c r="A331" s="1">
        <v>350</v>
      </c>
      <c r="B331" s="7" t="s">
        <v>520</v>
      </c>
      <c r="C331" s="12">
        <v>4709</v>
      </c>
      <c r="D331" s="7" t="s">
        <v>521</v>
      </c>
      <c r="E331" s="13" t="s">
        <v>7</v>
      </c>
      <c r="F331" t="str">
        <f t="shared" si="25"/>
        <v>Harmon</v>
      </c>
      <c r="G331" t="str">
        <f t="shared" si="26"/>
        <v>Harmon4709Austin</v>
      </c>
      <c r="H331" t="s">
        <v>31189</v>
      </c>
      <c r="I331" t="s">
        <v>22624</v>
      </c>
      <c r="J331" t="str">
        <f t="shared" si="27"/>
        <v>E:\PropInv\MF</v>
      </c>
      <c r="K331" s="103" t="str">
        <f>HYPERLINK("E:\PropInv\MF\Austin\Harmon Ave_4709_The Village at 47th_Austin_00350","Harmon Ave_4709_The Village at 47th_Austin_00350" )</f>
        <v>Harmon Ave_4709_The Village at 47th_Austin_00350</v>
      </c>
      <c r="L331" s="104" t="s">
        <v>22253</v>
      </c>
      <c r="M331" s="103" t="str">
        <f t="shared" si="28"/>
        <v>http://oconnordata.com/mlink/modules/profile/index.cfm?action=profile&amp;prop_id=350</v>
      </c>
      <c r="N331" s="1" t="str">
        <f t="shared" si="29"/>
        <v>00350</v>
      </c>
    </row>
    <row r="332" spans="1:14" x14ac:dyDescent="0.3">
      <c r="A332" s="1">
        <v>351</v>
      </c>
      <c r="B332" s="7" t="s">
        <v>347</v>
      </c>
      <c r="C332" s="12">
        <v>5020</v>
      </c>
      <c r="D332" s="7" t="s">
        <v>522</v>
      </c>
      <c r="E332" s="13" t="s">
        <v>7</v>
      </c>
      <c r="F332" t="str">
        <f t="shared" si="25"/>
        <v>Manor</v>
      </c>
      <c r="G332" t="str">
        <f t="shared" si="26"/>
        <v>Manor5020Austin</v>
      </c>
      <c r="H332" t="s">
        <v>31190</v>
      </c>
      <c r="I332" t="s">
        <v>22625</v>
      </c>
      <c r="J332" t="str">
        <f t="shared" si="27"/>
        <v>E:\PropInv\MF</v>
      </c>
      <c r="K332" s="103" t="str">
        <f>HYPERLINK("E:\PropInv\MF\Austin\Manor Rd_5020_Harvard Place_Austin_00351","Manor Rd_5020_Harvard Place_Austin_00351" )</f>
        <v>Manor Rd_5020_Harvard Place_Austin_00351</v>
      </c>
      <c r="L332" s="104" t="s">
        <v>22253</v>
      </c>
      <c r="M332" s="103" t="str">
        <f t="shared" si="28"/>
        <v>http://oconnordata.com/mlink/modules/profile/index.cfm?action=profile&amp;prop_id=351</v>
      </c>
      <c r="N332" s="1" t="str">
        <f t="shared" si="29"/>
        <v>00351</v>
      </c>
    </row>
    <row r="333" spans="1:14" x14ac:dyDescent="0.3">
      <c r="A333" s="1">
        <v>352</v>
      </c>
      <c r="B333" s="7" t="s">
        <v>37</v>
      </c>
      <c r="C333" s="12">
        <v>5606</v>
      </c>
      <c r="D333" s="7" t="s">
        <v>523</v>
      </c>
      <c r="E333" s="13" t="s">
        <v>7</v>
      </c>
      <c r="F333" t="str">
        <f t="shared" si="25"/>
        <v>Lamar</v>
      </c>
      <c r="G333" t="str">
        <f t="shared" si="26"/>
        <v>Lamar5606Austin</v>
      </c>
      <c r="H333" t="s">
        <v>31191</v>
      </c>
      <c r="I333" t="s">
        <v>22626</v>
      </c>
      <c r="J333" t="str">
        <f t="shared" si="27"/>
        <v>E:\PropInv\MF</v>
      </c>
      <c r="K333" s="103" t="str">
        <f>HYPERLINK("E:\PropInv\MF\Austin\Lamar Blvd N_5606_Hidden Gardens_Austin_00352","Lamar Blvd N_5606_Hidden Gardens_Austin_00352" )</f>
        <v>Lamar Blvd N_5606_Hidden Gardens_Austin_00352</v>
      </c>
      <c r="L333" s="104" t="s">
        <v>22253</v>
      </c>
      <c r="M333" s="103" t="str">
        <f t="shared" si="28"/>
        <v>http://oconnordata.com/mlink/modules/profile/index.cfm?action=profile&amp;prop_id=352</v>
      </c>
      <c r="N333" s="1" t="str">
        <f t="shared" si="29"/>
        <v>00352</v>
      </c>
    </row>
    <row r="334" spans="1:14" x14ac:dyDescent="0.3">
      <c r="A334" s="1">
        <v>353</v>
      </c>
      <c r="B334" s="7" t="s">
        <v>37</v>
      </c>
      <c r="C334" s="12">
        <v>6008</v>
      </c>
      <c r="D334" s="7" t="s">
        <v>524</v>
      </c>
      <c r="E334" s="13" t="s">
        <v>7</v>
      </c>
      <c r="F334" t="str">
        <f t="shared" si="25"/>
        <v>Lamar</v>
      </c>
      <c r="G334" t="str">
        <f t="shared" si="26"/>
        <v>Lamar6008Austin</v>
      </c>
      <c r="H334" t="s">
        <v>31192</v>
      </c>
      <c r="I334" t="s">
        <v>22627</v>
      </c>
      <c r="J334" t="str">
        <f t="shared" si="27"/>
        <v>E:\PropInv\MF</v>
      </c>
      <c r="K334" s="103" t="str">
        <f>HYPERLINK("E:\PropInv\MF\Austin\Lamar Blvd N_6008_Central Park I_Austin_00353","Lamar Blvd N_6008_Central Park I_Austin_00353" )</f>
        <v>Lamar Blvd N_6008_Central Park I_Austin_00353</v>
      </c>
      <c r="L334" s="104" t="s">
        <v>22253</v>
      </c>
      <c r="M334" s="103" t="str">
        <f t="shared" si="28"/>
        <v>http://oconnordata.com/mlink/modules/profile/index.cfm?action=profile&amp;prop_id=353</v>
      </c>
      <c r="N334" s="1" t="str">
        <f t="shared" si="29"/>
        <v>00353</v>
      </c>
    </row>
    <row r="335" spans="1:14" x14ac:dyDescent="0.3">
      <c r="A335" s="1">
        <v>354</v>
      </c>
      <c r="B335" s="7" t="s">
        <v>347</v>
      </c>
      <c r="C335" s="12">
        <v>6103</v>
      </c>
      <c r="D335" s="7" t="s">
        <v>525</v>
      </c>
      <c r="E335" s="13" t="s">
        <v>7</v>
      </c>
      <c r="F335" t="str">
        <f t="shared" si="25"/>
        <v>Manor</v>
      </c>
      <c r="G335" t="str">
        <f t="shared" si="26"/>
        <v>Manor6103Austin</v>
      </c>
      <c r="H335" t="s">
        <v>31193</v>
      </c>
      <c r="I335" t="s">
        <v>22628</v>
      </c>
      <c r="J335" t="str">
        <f t="shared" si="27"/>
        <v>E:\PropInv\MF</v>
      </c>
      <c r="K335" s="103" t="str">
        <f>HYPERLINK("E:\PropInv\MF\Austin\Manor Rd_6103_Manor Palms_Austin_00354","Manor Rd_6103_Manor Palms_Austin_00354" )</f>
        <v>Manor Rd_6103_Manor Palms_Austin_00354</v>
      </c>
      <c r="L335" s="104" t="s">
        <v>22253</v>
      </c>
      <c r="M335" s="103" t="str">
        <f t="shared" si="28"/>
        <v>http://oconnordata.com/mlink/modules/profile/index.cfm?action=profile&amp;prop_id=354</v>
      </c>
      <c r="N335" s="1" t="str">
        <f t="shared" si="29"/>
        <v>00354</v>
      </c>
    </row>
    <row r="336" spans="1:14" x14ac:dyDescent="0.3">
      <c r="A336" s="1">
        <v>356</v>
      </c>
      <c r="B336" s="7" t="s">
        <v>154</v>
      </c>
      <c r="C336" s="12">
        <v>7200</v>
      </c>
      <c r="D336" s="7" t="s">
        <v>526</v>
      </c>
      <c r="E336" s="13" t="s">
        <v>7</v>
      </c>
      <c r="F336" t="str">
        <f t="shared" si="25"/>
        <v>Duval</v>
      </c>
      <c r="G336" t="str">
        <f t="shared" si="26"/>
        <v>Duval7200Austin</v>
      </c>
      <c r="H336" t="s">
        <v>31194</v>
      </c>
      <c r="I336" t="s">
        <v>22629</v>
      </c>
      <c r="J336" t="str">
        <f t="shared" si="27"/>
        <v>E:\PropInv\MF</v>
      </c>
      <c r="K336" s="103" t="str">
        <f>HYPERLINK("E:\PropInv\MF\Austin\Duval St_7200_Mi Casa_Austin_00356","Duval St_7200_Mi Casa_Austin_00356" )</f>
        <v>Duval St_7200_Mi Casa_Austin_00356</v>
      </c>
      <c r="L336" s="104" t="s">
        <v>22253</v>
      </c>
      <c r="M336" s="103" t="str">
        <f t="shared" si="28"/>
        <v>http://oconnordata.com/mlink/modules/profile/index.cfm?action=profile&amp;prop_id=356</v>
      </c>
      <c r="N336" s="1" t="str">
        <f t="shared" si="29"/>
        <v>00356</v>
      </c>
    </row>
    <row r="337" spans="1:14" x14ac:dyDescent="0.3">
      <c r="A337" s="1">
        <v>357</v>
      </c>
      <c r="B337" s="7" t="s">
        <v>527</v>
      </c>
      <c r="C337" s="12">
        <v>8312</v>
      </c>
      <c r="D337" s="7" t="s">
        <v>528</v>
      </c>
      <c r="E337" s="13" t="s">
        <v>7</v>
      </c>
      <c r="F337" t="str">
        <f t="shared" si="25"/>
        <v>Fathom</v>
      </c>
      <c r="G337" t="str">
        <f t="shared" si="26"/>
        <v>Fathom8312Austin</v>
      </c>
      <c r="H337" t="s">
        <v>31195</v>
      </c>
      <c r="I337" t="s">
        <v>22630</v>
      </c>
      <c r="J337" t="str">
        <f t="shared" si="27"/>
        <v>E:\PropInv\MF</v>
      </c>
      <c r="K337" s="103" t="str">
        <f>HYPERLINK("E:\PropInv\MF\Austin\Fathom Cir_8312_Laurel Woods_Austin_00357","Fathom Cir_8312_Laurel Woods_Austin_00357" )</f>
        <v>Fathom Cir_8312_Laurel Woods_Austin_00357</v>
      </c>
      <c r="L337" s="104" t="s">
        <v>22253</v>
      </c>
      <c r="M337" s="103" t="str">
        <f t="shared" si="28"/>
        <v>http://oconnordata.com/mlink/modules/profile/index.cfm?action=profile&amp;prop_id=357</v>
      </c>
      <c r="N337" s="1" t="str">
        <f t="shared" si="29"/>
        <v>00357</v>
      </c>
    </row>
    <row r="338" spans="1:14" x14ac:dyDescent="0.3">
      <c r="A338" s="1">
        <v>358</v>
      </c>
      <c r="B338" s="7" t="s">
        <v>529</v>
      </c>
      <c r="C338" s="12">
        <v>8515</v>
      </c>
      <c r="D338" s="7" t="s">
        <v>530</v>
      </c>
      <c r="E338" s="13" t="s">
        <v>7</v>
      </c>
      <c r="F338" t="str">
        <f t="shared" si="25"/>
        <v>Shoal</v>
      </c>
      <c r="G338" t="str">
        <f t="shared" si="26"/>
        <v>Shoal8515Austin</v>
      </c>
      <c r="H338" t="s">
        <v>31196</v>
      </c>
      <c r="I338" t="s">
        <v>22631</v>
      </c>
      <c r="J338" t="str">
        <f t="shared" si="27"/>
        <v>E:\PropInv\MF</v>
      </c>
      <c r="K338" s="103" t="str">
        <f>HYPERLINK("E:\PropInv\MF\Austin\Shoal Creek Blvd_8515_Shoal Creek Arms_Austin_00358","Shoal Creek Blvd_8515_Shoal Creek Arms_Austin_00358" )</f>
        <v>Shoal Creek Blvd_8515_Shoal Creek Arms_Austin_00358</v>
      </c>
      <c r="L338" s="104" t="s">
        <v>22253</v>
      </c>
      <c r="M338" s="103" t="str">
        <f t="shared" si="28"/>
        <v>http://oconnordata.com/mlink/modules/profile/index.cfm?action=profile&amp;prop_id=358</v>
      </c>
      <c r="N338" s="1" t="str">
        <f t="shared" si="29"/>
        <v>00358</v>
      </c>
    </row>
    <row r="339" spans="1:14" x14ac:dyDescent="0.3">
      <c r="A339" s="1">
        <v>360</v>
      </c>
      <c r="B339" s="7" t="s">
        <v>529</v>
      </c>
      <c r="C339" s="12">
        <v>8605</v>
      </c>
      <c r="D339" s="7" t="s">
        <v>531</v>
      </c>
      <c r="E339" s="13" t="s">
        <v>7</v>
      </c>
      <c r="F339" t="str">
        <f t="shared" si="25"/>
        <v>Shoal</v>
      </c>
      <c r="G339" t="str">
        <f t="shared" si="26"/>
        <v>Shoal8605Austin</v>
      </c>
      <c r="H339" t="s">
        <v>31197</v>
      </c>
      <c r="I339" t="s">
        <v>22632</v>
      </c>
      <c r="J339" t="str">
        <f t="shared" si="27"/>
        <v>E:\PropInv\MF</v>
      </c>
      <c r="K339" s="103" t="str">
        <f>HYPERLINK("E:\PropInv\MF\Austin\Shoal Creek Blvd_8605_Shoal Creek North_Austin_00360","Shoal Creek Blvd_8605_Shoal Creek North_Austin_00360" )</f>
        <v>Shoal Creek Blvd_8605_Shoal Creek North_Austin_00360</v>
      </c>
      <c r="L339" s="104" t="s">
        <v>22253</v>
      </c>
      <c r="M339" s="103" t="str">
        <f t="shared" si="28"/>
        <v>http://oconnordata.com/mlink/modules/profile/index.cfm?action=profile&amp;prop_id=360</v>
      </c>
      <c r="N339" s="1" t="str">
        <f t="shared" si="29"/>
        <v>00360</v>
      </c>
    </row>
    <row r="340" spans="1:14" x14ac:dyDescent="0.3">
      <c r="A340" s="1">
        <v>361</v>
      </c>
      <c r="B340" s="7" t="s">
        <v>532</v>
      </c>
      <c r="C340" s="12">
        <v>9010</v>
      </c>
      <c r="D340" s="7" t="s">
        <v>533</v>
      </c>
      <c r="E340" s="13" t="s">
        <v>7</v>
      </c>
      <c r="F340" t="str">
        <f t="shared" si="25"/>
        <v>Galewood</v>
      </c>
      <c r="G340" t="str">
        <f t="shared" si="26"/>
        <v>Galewood9010Austin</v>
      </c>
      <c r="H340" t="s">
        <v>31198</v>
      </c>
      <c r="I340" t="s">
        <v>22633</v>
      </c>
      <c r="J340" t="str">
        <f t="shared" si="27"/>
        <v>E:\PropInv\MF</v>
      </c>
      <c r="K340" s="103" t="str">
        <f>HYPERLINK("E:\PropInv\MF\Austin\Galewood Dr_9010_Galewood Gardens_Austin_00361","Galewood Dr_9010_Galewood Gardens_Austin_00361" )</f>
        <v>Galewood Dr_9010_Galewood Gardens_Austin_00361</v>
      </c>
      <c r="L340" s="104" t="s">
        <v>22253</v>
      </c>
      <c r="M340" s="103" t="str">
        <f t="shared" si="28"/>
        <v>http://oconnordata.com/mlink/modules/profile/index.cfm?action=profile&amp;prop_id=361</v>
      </c>
      <c r="N340" s="1" t="str">
        <f t="shared" si="29"/>
        <v>00361</v>
      </c>
    </row>
    <row r="341" spans="1:14" x14ac:dyDescent="0.3">
      <c r="A341" s="1">
        <v>362</v>
      </c>
      <c r="B341" s="7" t="s">
        <v>534</v>
      </c>
      <c r="C341" s="12">
        <v>9920</v>
      </c>
      <c r="D341" s="7" t="s">
        <v>535</v>
      </c>
      <c r="E341" s="13" t="s">
        <v>7</v>
      </c>
      <c r="F341" t="str">
        <f t="shared" si="25"/>
        <v>Quail</v>
      </c>
      <c r="G341" t="str">
        <f t="shared" si="26"/>
        <v>Quail9920Austin</v>
      </c>
      <c r="H341" t="s">
        <v>31199</v>
      </c>
      <c r="I341" t="s">
        <v>22634</v>
      </c>
      <c r="J341" t="str">
        <f t="shared" si="27"/>
        <v>E:\PropInv\MF</v>
      </c>
      <c r="K341" s="103" t="str">
        <f>HYPERLINK("E:\PropInv\MF\Austin\Quail Blvd_9920_Quail Park Village_Austin_00362","Quail Blvd_9920_Quail Park Village_Austin_00362" )</f>
        <v>Quail Blvd_9920_Quail Park Village_Austin_00362</v>
      </c>
      <c r="L341" s="104" t="s">
        <v>22253</v>
      </c>
      <c r="M341" s="103" t="str">
        <f t="shared" si="28"/>
        <v>http://oconnordata.com/mlink/modules/profile/index.cfm?action=profile&amp;prop_id=362</v>
      </c>
      <c r="N341" s="1" t="str">
        <f t="shared" si="29"/>
        <v>00362</v>
      </c>
    </row>
    <row r="342" spans="1:14" x14ac:dyDescent="0.3">
      <c r="A342" s="1">
        <v>363</v>
      </c>
      <c r="B342" s="7" t="s">
        <v>499</v>
      </c>
      <c r="C342" s="12">
        <v>2510</v>
      </c>
      <c r="D342" s="7" t="s">
        <v>536</v>
      </c>
      <c r="E342" s="13" t="s">
        <v>7</v>
      </c>
      <c r="F342" t="str">
        <f t="shared" si="25"/>
        <v>Elmont</v>
      </c>
      <c r="G342" t="str">
        <f t="shared" si="26"/>
        <v>Elmont2510Austin</v>
      </c>
      <c r="H342" t="s">
        <v>31200</v>
      </c>
      <c r="I342" t="s">
        <v>22635</v>
      </c>
      <c r="J342" t="str">
        <f t="shared" si="27"/>
        <v>E:\PropInv\MF</v>
      </c>
      <c r="K342" s="103" t="str">
        <f>HYPERLINK("E:\PropInv\MF\Austin\Elmont Dr_2510_The Addington_Austin_00363","Elmont Dr_2510_The Addington_Austin_00363" )</f>
        <v>Elmont Dr_2510_The Addington_Austin_00363</v>
      </c>
      <c r="L342" s="104" t="s">
        <v>22253</v>
      </c>
      <c r="M342" s="103" t="str">
        <f t="shared" si="28"/>
        <v>http://oconnordata.com/mlink/modules/profile/index.cfm?action=profile&amp;prop_id=363</v>
      </c>
      <c r="N342" s="1" t="str">
        <f t="shared" si="29"/>
        <v>00363</v>
      </c>
    </row>
    <row r="343" spans="1:14" x14ac:dyDescent="0.3">
      <c r="A343" s="1">
        <v>364</v>
      </c>
      <c r="B343" s="7" t="s">
        <v>62</v>
      </c>
      <c r="C343" s="12">
        <v>2439</v>
      </c>
      <c r="D343" s="7" t="s">
        <v>537</v>
      </c>
      <c r="E343" s="13" t="s">
        <v>7</v>
      </c>
      <c r="F343" t="str">
        <f t="shared" si="25"/>
        <v>Town</v>
      </c>
      <c r="G343" t="str">
        <f t="shared" si="26"/>
        <v>Town2439Austin</v>
      </c>
      <c r="H343" t="s">
        <v>31201</v>
      </c>
      <c r="I343" t="s">
        <v>22636</v>
      </c>
      <c r="J343" t="str">
        <f t="shared" si="27"/>
        <v>E:\PropInv\MF</v>
      </c>
      <c r="K343" s="103" t="str">
        <f>HYPERLINK("E:\PropInv\MF\Austin\Town Lake Cir_2439_Warren House_Austin_00364","Town Lake Cir_2439_Warren House_Austin_00364" )</f>
        <v>Town Lake Cir_2439_Warren House_Austin_00364</v>
      </c>
      <c r="L343" s="104" t="s">
        <v>22253</v>
      </c>
      <c r="M343" s="103" t="str">
        <f t="shared" si="28"/>
        <v>http://oconnordata.com/mlink/modules/profile/index.cfm?action=profile&amp;prop_id=364</v>
      </c>
      <c r="N343" s="1" t="str">
        <f t="shared" si="29"/>
        <v>00364</v>
      </c>
    </row>
    <row r="344" spans="1:14" x14ac:dyDescent="0.3">
      <c r="A344" s="1">
        <v>365</v>
      </c>
      <c r="B344" s="7" t="s">
        <v>538</v>
      </c>
      <c r="C344" s="12">
        <v>516</v>
      </c>
      <c r="D344" s="7" t="s">
        <v>539</v>
      </c>
      <c r="E344" s="13" t="s">
        <v>7</v>
      </c>
      <c r="F344" t="str">
        <f t="shared" si="25"/>
        <v>Dawson</v>
      </c>
      <c r="G344" t="str">
        <f t="shared" si="26"/>
        <v>Dawson516Austin</v>
      </c>
      <c r="H344" t="s">
        <v>31202</v>
      </c>
      <c r="I344" t="s">
        <v>22637</v>
      </c>
      <c r="J344" t="str">
        <f t="shared" si="27"/>
        <v>E:\PropInv\MF</v>
      </c>
      <c r="K344" s="103" t="str">
        <f>HYPERLINK("E:\PropInv\MF\Austin\Dawson Rd_516_Park Terrace at Town Lake_Austin_00365","Dawson Rd_516_Park Terrace at Town Lake_Austin_00365" )</f>
        <v>Dawson Rd_516_Park Terrace at Town Lake_Austin_00365</v>
      </c>
      <c r="L344" s="104" t="s">
        <v>22253</v>
      </c>
      <c r="M344" s="103" t="str">
        <f t="shared" si="28"/>
        <v>http://oconnordata.com/mlink/modules/profile/index.cfm?action=profile&amp;prop_id=365</v>
      </c>
      <c r="N344" s="1" t="str">
        <f t="shared" si="29"/>
        <v>00365</v>
      </c>
    </row>
    <row r="345" spans="1:14" x14ac:dyDescent="0.3">
      <c r="A345" s="1">
        <v>367</v>
      </c>
      <c r="B345" s="10" t="s">
        <v>540</v>
      </c>
      <c r="C345" s="9">
        <v>130</v>
      </c>
      <c r="D345" s="10" t="s">
        <v>541</v>
      </c>
      <c r="E345" s="11" t="s">
        <v>7</v>
      </c>
      <c r="F345" t="str">
        <f t="shared" si="25"/>
        <v>Cumberland</v>
      </c>
      <c r="G345" t="str">
        <f t="shared" si="26"/>
        <v>Cumberland130Austin</v>
      </c>
      <c r="H345" t="s">
        <v>31203</v>
      </c>
      <c r="I345" t="s">
        <v>22638</v>
      </c>
      <c r="J345" t="str">
        <f t="shared" si="27"/>
        <v>E:\PropInv\MF</v>
      </c>
      <c r="K345" s="103" t="str">
        <f>HYPERLINK("E:\PropInv\MF\Austin\Cumberland Dr_130_The Oaks_Austin_00367","Cumberland Dr_130_The Oaks_Austin_00367" )</f>
        <v>Cumberland Dr_130_The Oaks_Austin_00367</v>
      </c>
      <c r="L345" s="104" t="s">
        <v>22253</v>
      </c>
      <c r="M345" s="103" t="str">
        <f t="shared" si="28"/>
        <v>http://oconnordata.com/mlink/modules/profile/index.cfm?action=profile&amp;prop_id=367</v>
      </c>
      <c r="N345" s="1" t="str">
        <f t="shared" si="29"/>
        <v>00367</v>
      </c>
    </row>
    <row r="346" spans="1:14" x14ac:dyDescent="0.3">
      <c r="A346" s="1">
        <v>368</v>
      </c>
      <c r="B346" s="7" t="s">
        <v>171</v>
      </c>
      <c r="C346" s="12">
        <v>1801</v>
      </c>
      <c r="D346" s="7" t="s">
        <v>542</v>
      </c>
      <c r="E346" s="13" t="s">
        <v>7</v>
      </c>
      <c r="F346" t="str">
        <f t="shared" si="25"/>
        <v>Rio</v>
      </c>
      <c r="G346" t="str">
        <f t="shared" si="26"/>
        <v>Rio1801Austin</v>
      </c>
      <c r="H346" t="s">
        <v>31204</v>
      </c>
      <c r="I346" t="s">
        <v>22639</v>
      </c>
      <c r="J346" t="str">
        <f t="shared" si="27"/>
        <v>E:\PropInv\MF</v>
      </c>
      <c r="K346" s="103" t="str">
        <f>HYPERLINK("E:\PropInv\MF\Austin\Rio Grande St_1801_Penthouse_Austin_00368","Rio Grande St_1801_Penthouse_Austin_00368" )</f>
        <v>Rio Grande St_1801_Penthouse_Austin_00368</v>
      </c>
      <c r="L346" s="104" t="s">
        <v>22253</v>
      </c>
      <c r="M346" s="103" t="str">
        <f t="shared" si="28"/>
        <v>http://oconnordata.com/mlink/modules/profile/index.cfm?action=profile&amp;prop_id=368</v>
      </c>
      <c r="N346" s="1" t="str">
        <f t="shared" si="29"/>
        <v>00368</v>
      </c>
    </row>
    <row r="347" spans="1:14" x14ac:dyDescent="0.3">
      <c r="A347" s="1">
        <v>369</v>
      </c>
      <c r="B347" s="7" t="s">
        <v>399</v>
      </c>
      <c r="C347" s="12">
        <v>415</v>
      </c>
      <c r="D347" s="7" t="s">
        <v>543</v>
      </c>
      <c r="E347" s="13" t="s">
        <v>7</v>
      </c>
      <c r="F347" t="str">
        <f t="shared" si="25"/>
        <v>39th</v>
      </c>
      <c r="G347" t="str">
        <f t="shared" si="26"/>
        <v>39th415Austin</v>
      </c>
      <c r="H347" t="s">
        <v>31205</v>
      </c>
      <c r="I347" t="s">
        <v>22640</v>
      </c>
      <c r="J347" t="str">
        <f t="shared" si="27"/>
        <v>E:\PropInv\MF</v>
      </c>
      <c r="K347" s="103" t="str">
        <f>HYPERLINK("E:\PropInv\MF\Austin\39th St W_415_Andrews Place_Austin_00369","39th St W_415_Andrews Place_Austin_00369" )</f>
        <v>39th St W_415_Andrews Place_Austin_00369</v>
      </c>
      <c r="L347" s="104" t="s">
        <v>22253</v>
      </c>
      <c r="M347" s="103" t="str">
        <f t="shared" si="28"/>
        <v>http://oconnordata.com/mlink/modules/profile/index.cfm?action=profile&amp;prop_id=369</v>
      </c>
      <c r="N347" s="1" t="str">
        <f t="shared" si="29"/>
        <v>00369</v>
      </c>
    </row>
    <row r="348" spans="1:14" x14ac:dyDescent="0.3">
      <c r="A348" s="1">
        <v>370</v>
      </c>
      <c r="B348" s="7" t="s">
        <v>544</v>
      </c>
      <c r="C348" s="12">
        <v>901</v>
      </c>
      <c r="D348" s="7" t="s">
        <v>545</v>
      </c>
      <c r="E348" s="13" t="s">
        <v>7</v>
      </c>
      <c r="F348" t="str">
        <f t="shared" si="25"/>
        <v>40th</v>
      </c>
      <c r="G348" t="str">
        <f t="shared" si="26"/>
        <v>40th901Austin</v>
      </c>
      <c r="H348" t="s">
        <v>31206</v>
      </c>
      <c r="I348" t="s">
        <v>22641</v>
      </c>
      <c r="J348" t="str">
        <f t="shared" si="27"/>
        <v>E:\PropInv\MF</v>
      </c>
      <c r="K348" s="103" t="str">
        <f>HYPERLINK("E:\PropInv\MF\Austin\40th St E_901_Granada_Austin_00370","40th St E_901_Granada_Austin_00370" )</f>
        <v>40th St E_901_Granada_Austin_00370</v>
      </c>
      <c r="L348" s="104" t="s">
        <v>22253</v>
      </c>
      <c r="M348" s="103" t="str">
        <f t="shared" si="28"/>
        <v>http://oconnordata.com/mlink/modules/profile/index.cfm?action=profile&amp;prop_id=370</v>
      </c>
      <c r="N348" s="1" t="str">
        <f t="shared" si="29"/>
        <v>00370</v>
      </c>
    </row>
    <row r="349" spans="1:14" x14ac:dyDescent="0.3">
      <c r="A349" s="1">
        <v>371</v>
      </c>
      <c r="B349" s="10" t="s">
        <v>216</v>
      </c>
      <c r="C349" s="9">
        <v>3100</v>
      </c>
      <c r="D349" s="10" t="s">
        <v>546</v>
      </c>
      <c r="E349" s="11" t="s">
        <v>7</v>
      </c>
      <c r="F349" t="str">
        <f t="shared" si="25"/>
        <v>Speedway</v>
      </c>
      <c r="G349" t="str">
        <f t="shared" si="26"/>
        <v>Speedway3100Austin</v>
      </c>
      <c r="H349" t="s">
        <v>31207</v>
      </c>
      <c r="I349" t="s">
        <v>22642</v>
      </c>
      <c r="J349" t="str">
        <f t="shared" si="27"/>
        <v>E:\PropInv\MF</v>
      </c>
      <c r="K349" s="103" t="str">
        <f>HYPERLINK("E:\PropInv\MF\Austin\Speedway St_3100_The Marks &amp; The Embers_Austin_00371","Speedway St_3100_The Marks &amp; The Embers_Austin_00371" )</f>
        <v>Speedway St_3100_The Marks &amp; The Embers_Austin_00371</v>
      </c>
      <c r="L349" s="104" t="s">
        <v>22253</v>
      </c>
      <c r="M349" s="103" t="str">
        <f t="shared" si="28"/>
        <v>http://oconnordata.com/mlink/modules/profile/index.cfm?action=profile&amp;prop_id=371</v>
      </c>
      <c r="N349" s="1" t="str">
        <f t="shared" si="29"/>
        <v>00371</v>
      </c>
    </row>
    <row r="350" spans="1:14" x14ac:dyDescent="0.3">
      <c r="A350" s="1">
        <v>372</v>
      </c>
      <c r="B350" s="7" t="s">
        <v>547</v>
      </c>
      <c r="C350" s="12">
        <v>809</v>
      </c>
      <c r="D350" s="7" t="s">
        <v>548</v>
      </c>
      <c r="E350" s="13" t="s">
        <v>7</v>
      </c>
      <c r="F350" t="str">
        <f t="shared" si="25"/>
        <v>Winflo</v>
      </c>
      <c r="G350" t="str">
        <f t="shared" si="26"/>
        <v>Winflo809Austin</v>
      </c>
      <c r="H350" t="s">
        <v>31208</v>
      </c>
      <c r="I350" t="s">
        <v>22643</v>
      </c>
      <c r="J350" t="str">
        <f t="shared" si="27"/>
        <v>E:\PropInv\MF</v>
      </c>
      <c r="K350" s="103" t="str">
        <f>HYPERLINK("E:\PropInv\MF\Austin\Winflo Dr_809_Park Place_Austin_00372","Winflo Dr_809_Park Place_Austin_00372" )</f>
        <v>Winflo Dr_809_Park Place_Austin_00372</v>
      </c>
      <c r="L350" s="104" t="s">
        <v>22253</v>
      </c>
      <c r="M350" s="103" t="str">
        <f t="shared" si="28"/>
        <v>http://oconnordata.com/mlink/modules/profile/index.cfm?action=profile&amp;prop_id=372</v>
      </c>
      <c r="N350" s="1" t="str">
        <f t="shared" si="29"/>
        <v>00372</v>
      </c>
    </row>
    <row r="351" spans="1:14" x14ac:dyDescent="0.3">
      <c r="A351" s="1">
        <v>373</v>
      </c>
      <c r="B351" s="7" t="s">
        <v>240</v>
      </c>
      <c r="C351" s="12">
        <v>7100</v>
      </c>
      <c r="D351" s="7" t="s">
        <v>549</v>
      </c>
      <c r="E351" s="13" t="s">
        <v>7</v>
      </c>
      <c r="F351" t="str">
        <f t="shared" si="25"/>
        <v>Bluff</v>
      </c>
      <c r="G351" t="str">
        <f t="shared" si="26"/>
        <v>Bluff7100Austin</v>
      </c>
      <c r="H351" t="s">
        <v>31209</v>
      </c>
      <c r="I351" t="s">
        <v>22644</v>
      </c>
      <c r="J351" t="str">
        <f t="shared" si="27"/>
        <v>E:\PropInv\MF</v>
      </c>
      <c r="K351" s="103" t="str">
        <f>HYPERLINK("E:\PropInv\MF\Austin\Bluff Springs Rd_7100_Bluff Springs TH_Austin_00373","Bluff Springs Rd_7100_Bluff Springs TH_Austin_00373" )</f>
        <v>Bluff Springs Rd_7100_Bluff Springs TH_Austin_00373</v>
      </c>
      <c r="L351" s="104" t="s">
        <v>22253</v>
      </c>
      <c r="M351" s="103" t="str">
        <f t="shared" si="28"/>
        <v>http://oconnordata.com/mlink/modules/profile/index.cfm?action=profile&amp;prop_id=373</v>
      </c>
      <c r="N351" s="1" t="str">
        <f t="shared" si="29"/>
        <v>00373</v>
      </c>
    </row>
    <row r="352" spans="1:14" x14ac:dyDescent="0.3">
      <c r="A352" s="1">
        <v>374</v>
      </c>
      <c r="B352" s="7" t="s">
        <v>550</v>
      </c>
      <c r="C352" s="12">
        <v>600</v>
      </c>
      <c r="D352" s="7" t="s">
        <v>551</v>
      </c>
      <c r="E352" s="13" t="s">
        <v>7</v>
      </c>
      <c r="F352" t="str">
        <f t="shared" si="25"/>
        <v>26th</v>
      </c>
      <c r="G352" t="str">
        <f t="shared" si="26"/>
        <v>26th600Austin</v>
      </c>
      <c r="H352" t="s">
        <v>31210</v>
      </c>
      <c r="I352" t="s">
        <v>22645</v>
      </c>
      <c r="J352" t="str">
        <f t="shared" si="27"/>
        <v>E:\PropInv\MF</v>
      </c>
      <c r="K352" s="103" t="str">
        <f>HYPERLINK("E:\PropInv\MF\Austin\26th St W_600_26 West_Austin_00374","26th St W_600_26 West_Austin_00374" )</f>
        <v>26th St W_600_26 West_Austin_00374</v>
      </c>
      <c r="L352" s="104" t="s">
        <v>22253</v>
      </c>
      <c r="M352" s="103" t="str">
        <f t="shared" si="28"/>
        <v>http://oconnordata.com/mlink/modules/profile/index.cfm?action=profile&amp;prop_id=374</v>
      </c>
      <c r="N352" s="1" t="str">
        <f t="shared" si="29"/>
        <v>00374</v>
      </c>
    </row>
    <row r="353" spans="1:14" x14ac:dyDescent="0.3">
      <c r="A353" s="1">
        <v>375</v>
      </c>
      <c r="B353" s="10" t="s">
        <v>552</v>
      </c>
      <c r="C353" s="9">
        <v>1221</v>
      </c>
      <c r="D353" s="10" t="s">
        <v>553</v>
      </c>
      <c r="E353" s="11" t="s">
        <v>18</v>
      </c>
      <c r="F353" t="str">
        <f t="shared" si="25"/>
        <v>Chisolm</v>
      </c>
      <c r="G353" t="str">
        <f t="shared" si="26"/>
        <v>Chisolm1221Round Rock</v>
      </c>
      <c r="H353" t="s">
        <v>31211</v>
      </c>
      <c r="I353" t="s">
        <v>22646</v>
      </c>
      <c r="J353" t="str">
        <f t="shared" si="27"/>
        <v>E:\PropInv\MF</v>
      </c>
      <c r="K353" s="103" t="str">
        <f>HYPERLINK("E:\PropInv\MF\Round Rock\Chisolm Valley Dr_1221_Westwind_Round Rock_00375","Chisolm Valley Dr_1221_Westwind_Round Rock_00375" )</f>
        <v>Chisolm Valley Dr_1221_Westwind_Round Rock_00375</v>
      </c>
      <c r="L353" s="104" t="s">
        <v>22253</v>
      </c>
      <c r="M353" s="103" t="str">
        <f t="shared" si="28"/>
        <v>http://oconnordata.com/mlink/modules/profile/index.cfm?action=profile&amp;prop_id=375</v>
      </c>
      <c r="N353" s="1" t="str">
        <f t="shared" si="29"/>
        <v>00375</v>
      </c>
    </row>
    <row r="354" spans="1:14" x14ac:dyDescent="0.3">
      <c r="A354" s="1">
        <v>376</v>
      </c>
      <c r="B354" s="7" t="s">
        <v>347</v>
      </c>
      <c r="C354" s="12">
        <v>5005</v>
      </c>
      <c r="D354" s="7" t="s">
        <v>554</v>
      </c>
      <c r="E354" s="13" t="s">
        <v>7</v>
      </c>
      <c r="F354" t="str">
        <f t="shared" si="25"/>
        <v>Manor</v>
      </c>
      <c r="G354" t="str">
        <f t="shared" si="26"/>
        <v>Manor5005Austin</v>
      </c>
      <c r="H354" t="s">
        <v>31212</v>
      </c>
      <c r="I354" t="s">
        <v>22647</v>
      </c>
      <c r="J354" t="str">
        <f t="shared" si="27"/>
        <v>E:\PropInv\MF</v>
      </c>
      <c r="K354" s="103" t="str">
        <f>HYPERLINK("E:\PropInv\MF\Austin\Manor Rd_5005_Windcrest_Austin_00376","Manor Rd_5005_Windcrest_Austin_00376" )</f>
        <v>Manor Rd_5005_Windcrest_Austin_00376</v>
      </c>
      <c r="L354" s="104" t="s">
        <v>22253</v>
      </c>
      <c r="M354" s="103" t="str">
        <f t="shared" si="28"/>
        <v>http://oconnordata.com/mlink/modules/profile/index.cfm?action=profile&amp;prop_id=376</v>
      </c>
      <c r="N354" s="1" t="str">
        <f t="shared" si="29"/>
        <v>00376</v>
      </c>
    </row>
    <row r="355" spans="1:14" x14ac:dyDescent="0.3">
      <c r="A355" s="1">
        <v>377</v>
      </c>
      <c r="B355" s="7" t="s">
        <v>555</v>
      </c>
      <c r="C355" s="12">
        <v>708</v>
      </c>
      <c r="D355" s="7" t="s">
        <v>556</v>
      </c>
      <c r="E355" s="13" t="s">
        <v>16</v>
      </c>
      <c r="F355" t="str">
        <f t="shared" si="25"/>
        <v>15th</v>
      </c>
      <c r="G355" t="str">
        <f t="shared" si="26"/>
        <v>15th708Georgetown</v>
      </c>
      <c r="H355" t="s">
        <v>31213</v>
      </c>
      <c r="I355" t="s">
        <v>22648</v>
      </c>
      <c r="J355" t="str">
        <f t="shared" si="27"/>
        <v>E:\PropInv\MF</v>
      </c>
      <c r="K355" s="103" t="str">
        <f>HYPERLINK("E:\PropInv\MF\Georgetown\15th St W_708_Victorian Villages_Georgetown_00377","15th St W_708_Victorian Villages_Georgetown_00377" )</f>
        <v>15th St W_708_Victorian Villages_Georgetown_00377</v>
      </c>
      <c r="L355" s="104" t="s">
        <v>22253</v>
      </c>
      <c r="M355" s="103" t="str">
        <f t="shared" si="28"/>
        <v>http://oconnordata.com/mlink/modules/profile/index.cfm?action=profile&amp;prop_id=377</v>
      </c>
      <c r="N355" s="1" t="str">
        <f t="shared" si="29"/>
        <v>00377</v>
      </c>
    </row>
    <row r="356" spans="1:14" x14ac:dyDescent="0.3">
      <c r="A356" s="1">
        <v>378</v>
      </c>
      <c r="B356" s="21" t="s">
        <v>235</v>
      </c>
      <c r="C356" s="12">
        <v>2907</v>
      </c>
      <c r="D356" s="7" t="s">
        <v>557</v>
      </c>
      <c r="E356" s="13" t="s">
        <v>7</v>
      </c>
      <c r="F356" t="str">
        <f t="shared" si="25"/>
        <v>W</v>
      </c>
      <c r="G356" t="str">
        <f t="shared" si="26"/>
        <v>W2907Austin</v>
      </c>
      <c r="H356" t="s">
        <v>31214</v>
      </c>
      <c r="I356" t="s">
        <v>22649</v>
      </c>
      <c r="J356" t="str">
        <f t="shared" si="27"/>
        <v>E:\PropInv\MF</v>
      </c>
      <c r="K356" s="103" t="str">
        <f>HYPERLINK("E:\PropInv\MF\Austin\W Ave_2907_Warwick_Austin_00378","W Ave_2907_Warwick_Austin_00378" )</f>
        <v>W Ave_2907_Warwick_Austin_00378</v>
      </c>
      <c r="L356" s="104" t="s">
        <v>22253</v>
      </c>
      <c r="M356" s="103" t="str">
        <f t="shared" si="28"/>
        <v>http://oconnordata.com/mlink/modules/profile/index.cfm?action=profile&amp;prop_id=378</v>
      </c>
      <c r="N356" s="1" t="str">
        <f t="shared" si="29"/>
        <v>00378</v>
      </c>
    </row>
    <row r="357" spans="1:14" x14ac:dyDescent="0.3">
      <c r="A357" s="1">
        <v>379</v>
      </c>
      <c r="B357" s="7" t="s">
        <v>558</v>
      </c>
      <c r="C357" s="12">
        <v>200</v>
      </c>
      <c r="D357" s="7" t="s">
        <v>559</v>
      </c>
      <c r="E357" s="13" t="s">
        <v>498</v>
      </c>
      <c r="F357" t="str">
        <f t="shared" si="25"/>
        <v>Robbie</v>
      </c>
      <c r="G357" t="str">
        <f t="shared" si="26"/>
        <v>Robbie200San Marcos</v>
      </c>
      <c r="H357" t="s">
        <v>31215</v>
      </c>
      <c r="I357" t="s">
        <v>22650</v>
      </c>
      <c r="J357" t="str">
        <f t="shared" si="27"/>
        <v>E:\PropInv\MF</v>
      </c>
      <c r="K357" s="103" t="str">
        <f>HYPERLINK("E:\PropInv\MF\San Marcos\Robbie Ln_200_Englebrook-San Marcos_San Marcos_00379","Robbie Ln_200_Englebrook-San Marcos_San Marcos_00379" )</f>
        <v>Robbie Ln_200_Englebrook-San Marcos_San Marcos_00379</v>
      </c>
      <c r="L357" s="104" t="s">
        <v>22253</v>
      </c>
      <c r="M357" s="103" t="str">
        <f t="shared" si="28"/>
        <v>http://oconnordata.com/mlink/modules/profile/index.cfm?action=profile&amp;prop_id=379</v>
      </c>
      <c r="N357" s="1" t="str">
        <f t="shared" si="29"/>
        <v>00379</v>
      </c>
    </row>
    <row r="358" spans="1:14" x14ac:dyDescent="0.3">
      <c r="A358" s="1">
        <v>380</v>
      </c>
      <c r="B358" s="7" t="s">
        <v>560</v>
      </c>
      <c r="C358" s="12">
        <v>317</v>
      </c>
      <c r="D358" s="7" t="s">
        <v>561</v>
      </c>
      <c r="E358" s="13" t="s">
        <v>498</v>
      </c>
      <c r="F358" t="str">
        <f t="shared" si="25"/>
        <v>Craddock</v>
      </c>
      <c r="G358" t="str">
        <f t="shared" si="26"/>
        <v>Craddock317San Marcos</v>
      </c>
      <c r="H358" t="s">
        <v>31216</v>
      </c>
      <c r="I358" t="s">
        <v>22651</v>
      </c>
      <c r="J358" t="str">
        <f t="shared" si="27"/>
        <v>E:\PropInv\MF</v>
      </c>
      <c r="K358" s="103" t="str">
        <f>HYPERLINK("E:\PropInv\MF\San Marcos\Craddock Ave_317_Executive TH_San Marcos_00380","Craddock Ave_317_Executive TH_San Marcos_00380" )</f>
        <v>Craddock Ave_317_Executive TH_San Marcos_00380</v>
      </c>
      <c r="L358" s="104" t="s">
        <v>22253</v>
      </c>
      <c r="M358" s="103" t="str">
        <f t="shared" si="28"/>
        <v>http://oconnordata.com/mlink/modules/profile/index.cfm?action=profile&amp;prop_id=380</v>
      </c>
      <c r="N358" s="1" t="str">
        <f t="shared" si="29"/>
        <v>00380</v>
      </c>
    </row>
    <row r="359" spans="1:14" x14ac:dyDescent="0.3">
      <c r="A359" s="1">
        <v>381</v>
      </c>
      <c r="B359" s="7" t="s">
        <v>496</v>
      </c>
      <c r="C359" s="12">
        <v>1200</v>
      </c>
      <c r="D359" s="19" t="s">
        <v>562</v>
      </c>
      <c r="E359" s="13" t="s">
        <v>498</v>
      </c>
      <c r="F359" t="str">
        <f t="shared" si="25"/>
        <v>Aquarena</v>
      </c>
      <c r="G359" t="str">
        <f t="shared" si="26"/>
        <v>Aquarena1200San Marcos</v>
      </c>
      <c r="H359" t="s">
        <v>31217</v>
      </c>
      <c r="I359" t="s">
        <v>22652</v>
      </c>
      <c r="J359" t="str">
        <f t="shared" si="27"/>
        <v>E:\PropInv\MF</v>
      </c>
      <c r="K359" s="103" t="str">
        <f>HYPERLINK("E:\PropInv\MF\San Marcos\Aquarena Springs Dr_1200_Hidden Village_San Marcos_00381","Aquarena Springs Dr_1200_Hidden Village_San Marcos_00381" )</f>
        <v>Aquarena Springs Dr_1200_Hidden Village_San Marcos_00381</v>
      </c>
      <c r="L359" s="104" t="s">
        <v>22253</v>
      </c>
      <c r="M359" s="103" t="str">
        <f t="shared" si="28"/>
        <v>http://oconnordata.com/mlink/modules/profile/index.cfm?action=profile&amp;prop_id=381</v>
      </c>
      <c r="N359" s="1" t="str">
        <f t="shared" si="29"/>
        <v>00381</v>
      </c>
    </row>
    <row r="360" spans="1:14" x14ac:dyDescent="0.3">
      <c r="A360" s="1">
        <v>382</v>
      </c>
      <c r="B360" s="7" t="s">
        <v>563</v>
      </c>
      <c r="C360" s="12">
        <v>1109</v>
      </c>
      <c r="D360" s="7" t="s">
        <v>564</v>
      </c>
      <c r="E360" s="13" t="s">
        <v>498</v>
      </c>
      <c r="F360" t="str">
        <f t="shared" si="25"/>
        <v>San</v>
      </c>
      <c r="G360" t="str">
        <f t="shared" si="26"/>
        <v>San1109San Marcos</v>
      </c>
      <c r="H360" t="s">
        <v>31218</v>
      </c>
      <c r="I360" t="s">
        <v>22653</v>
      </c>
      <c r="J360" t="str">
        <f t="shared" si="27"/>
        <v>E:\PropInv\MF</v>
      </c>
      <c r="K360" s="103" t="str">
        <f>HYPERLINK("E:\PropInv\MF\San Marcos\San Marcos Pkwy_1109_Florencia Villas_San Marcos_00382","San Marcos Pkwy_1109_Florencia Villas_San Marcos_00382" )</f>
        <v>San Marcos Pkwy_1109_Florencia Villas_San Marcos_00382</v>
      </c>
      <c r="L360" s="104" t="s">
        <v>22253</v>
      </c>
      <c r="M360" s="103" t="str">
        <f t="shared" si="28"/>
        <v>http://oconnordata.com/mlink/modules/profile/index.cfm?action=profile&amp;prop_id=382</v>
      </c>
      <c r="N360" s="1" t="str">
        <f t="shared" si="29"/>
        <v>00382</v>
      </c>
    </row>
    <row r="361" spans="1:14" x14ac:dyDescent="0.3">
      <c r="A361" s="1">
        <v>383</v>
      </c>
      <c r="B361" s="10" t="s">
        <v>565</v>
      </c>
      <c r="C361" s="9">
        <v>1400</v>
      </c>
      <c r="D361" s="10" t="s">
        <v>566</v>
      </c>
      <c r="E361" s="11" t="s">
        <v>498</v>
      </c>
      <c r="F361" t="str">
        <f t="shared" si="25"/>
        <v>Clarewood</v>
      </c>
      <c r="G361" t="str">
        <f t="shared" si="26"/>
        <v>Clarewood1400San Marcos</v>
      </c>
      <c r="H361" t="s">
        <v>31219</v>
      </c>
      <c r="I361" t="s">
        <v>22654</v>
      </c>
      <c r="J361" t="str">
        <f t="shared" si="27"/>
        <v>E:\PropInv\MF</v>
      </c>
      <c r="K361" s="103" t="str">
        <f>HYPERLINK("E:\PropInv\MF\San Marcos\Clarewood Dr_1400_Clarewood_San Marcos_00383","Clarewood Dr_1400_Clarewood_San Marcos_00383" )</f>
        <v>Clarewood Dr_1400_Clarewood_San Marcos_00383</v>
      </c>
      <c r="L361" s="104" t="s">
        <v>22253</v>
      </c>
      <c r="M361" s="103" t="str">
        <f t="shared" si="28"/>
        <v>http://oconnordata.com/mlink/modules/profile/index.cfm?action=profile&amp;prop_id=383</v>
      </c>
      <c r="N361" s="1" t="str">
        <f t="shared" si="29"/>
        <v>00383</v>
      </c>
    </row>
    <row r="362" spans="1:14" x14ac:dyDescent="0.3">
      <c r="A362" s="1">
        <v>384</v>
      </c>
      <c r="B362" s="7" t="s">
        <v>567</v>
      </c>
      <c r="C362" s="12">
        <v>1348</v>
      </c>
      <c r="D362" s="7" t="s">
        <v>568</v>
      </c>
      <c r="E362" s="13" t="s">
        <v>498</v>
      </c>
      <c r="F362" t="str">
        <f t="shared" si="25"/>
        <v>Thorpe</v>
      </c>
      <c r="G362" t="str">
        <f t="shared" si="26"/>
        <v>Thorpe1348San Marcos</v>
      </c>
      <c r="H362" t="s">
        <v>31220</v>
      </c>
      <c r="I362" t="s">
        <v>22655</v>
      </c>
      <c r="J362" t="str">
        <f t="shared" si="27"/>
        <v>E:\PropInv\MF</v>
      </c>
      <c r="K362" s="103" t="str">
        <f>HYPERLINK("E:\PropInv\MF\San Marcos\Thorpe Ln_1348_The Summit_San Marcos_00384","Thorpe Ln_1348_The Summit_San Marcos_00384" )</f>
        <v>Thorpe Ln_1348_The Summit_San Marcos_00384</v>
      </c>
      <c r="L362" s="104" t="s">
        <v>22253</v>
      </c>
      <c r="M362" s="103" t="str">
        <f t="shared" si="28"/>
        <v>http://oconnordata.com/mlink/modules/profile/index.cfm?action=profile&amp;prop_id=384</v>
      </c>
      <c r="N362" s="1" t="str">
        <f t="shared" si="29"/>
        <v>00384</v>
      </c>
    </row>
    <row r="363" spans="1:14" x14ac:dyDescent="0.3">
      <c r="A363" s="1">
        <v>385</v>
      </c>
      <c r="B363" s="7" t="s">
        <v>569</v>
      </c>
      <c r="C363" s="12">
        <v>900</v>
      </c>
      <c r="D363" s="7" t="s">
        <v>570</v>
      </c>
      <c r="E363" s="13" t="s">
        <v>498</v>
      </c>
      <c r="F363" t="str">
        <f t="shared" si="25"/>
        <v>Peques</v>
      </c>
      <c r="G363" t="str">
        <f t="shared" si="26"/>
        <v>Peques900San Marcos</v>
      </c>
      <c r="H363" t="s">
        <v>31221</v>
      </c>
      <c r="I363" t="s">
        <v>22656</v>
      </c>
      <c r="J363" t="str">
        <f t="shared" si="27"/>
        <v>E:\PropInv\MF</v>
      </c>
      <c r="K363" s="103" t="str">
        <f>HYPERLINK("E:\PropInv\MF\San Marcos\Peques St_900_The Timbers_San Marcos_00385","Peques St_900_The Timbers_San Marcos_00385" )</f>
        <v>Peques St_900_The Timbers_San Marcos_00385</v>
      </c>
      <c r="L363" s="104" t="s">
        <v>22253</v>
      </c>
      <c r="M363" s="103" t="str">
        <f t="shared" si="28"/>
        <v>http://oconnordata.com/mlink/modules/profile/index.cfm?action=profile&amp;prop_id=385</v>
      </c>
      <c r="N363" s="1" t="str">
        <f t="shared" si="29"/>
        <v>00385</v>
      </c>
    </row>
    <row r="364" spans="1:14" x14ac:dyDescent="0.3">
      <c r="A364" s="97">
        <v>386</v>
      </c>
      <c r="B364" s="7" t="s">
        <v>496</v>
      </c>
      <c r="C364" s="9">
        <v>1631</v>
      </c>
      <c r="D364" s="10" t="s">
        <v>571</v>
      </c>
      <c r="E364" s="11" t="s">
        <v>498</v>
      </c>
      <c r="F364" t="str">
        <f t="shared" si="25"/>
        <v>Aquarena</v>
      </c>
      <c r="G364" t="str">
        <f t="shared" si="26"/>
        <v>Aquarena1631San Marcos</v>
      </c>
      <c r="H364" t="s">
        <v>31222</v>
      </c>
      <c r="I364" t="s">
        <v>22657</v>
      </c>
      <c r="J364" t="str">
        <f t="shared" si="27"/>
        <v>E:\PropInv\MF</v>
      </c>
      <c r="K364" s="103" t="str">
        <f>HYPERLINK("E:\PropInv\MF\San Marcos\Aquarena Springs Dr_1631_Ye Olde Colony_San Marcos_00386","Aquarena Springs Dr_1631_Ye Olde Colony_San Marcos_00386" )</f>
        <v>Aquarena Springs Dr_1631_Ye Olde Colony_San Marcos_00386</v>
      </c>
      <c r="L364" s="104" t="s">
        <v>22253</v>
      </c>
      <c r="M364" s="103" t="str">
        <f t="shared" si="28"/>
        <v>http://oconnordata.com/mlink/modules/profile/index.cfm?action=profile&amp;prop_id=386</v>
      </c>
      <c r="N364" s="1" t="str">
        <f t="shared" si="29"/>
        <v>00386</v>
      </c>
    </row>
    <row r="365" spans="1:14" x14ac:dyDescent="0.3">
      <c r="A365" s="1">
        <v>387</v>
      </c>
      <c r="B365" s="7" t="s">
        <v>572</v>
      </c>
      <c r="C365" s="12">
        <v>1518</v>
      </c>
      <c r="D365" s="7" t="s">
        <v>573</v>
      </c>
      <c r="E365" s="13" t="s">
        <v>498</v>
      </c>
      <c r="F365" t="str">
        <f t="shared" si="25"/>
        <v>12</v>
      </c>
      <c r="G365" t="str">
        <f t="shared" si="26"/>
        <v>121518San Marcos</v>
      </c>
      <c r="H365" t="s">
        <v>31223</v>
      </c>
      <c r="I365" t="s">
        <v>22658</v>
      </c>
      <c r="J365" t="str">
        <f t="shared" si="27"/>
        <v>E:\PropInv\MF</v>
      </c>
      <c r="K365" s="103" t="str">
        <f>HYPERLINK("E:\PropInv\MF\San Marcos\12 RR_1518_Highcrest Apts_San Marcos_00387","12 RR_1518_Highcrest Apts_San Marcos_00387" )</f>
        <v>12 RR_1518_Highcrest Apts_San Marcos_00387</v>
      </c>
      <c r="L365" s="104" t="s">
        <v>22253</v>
      </c>
      <c r="M365" s="103" t="str">
        <f t="shared" si="28"/>
        <v>http://oconnordata.com/mlink/modules/profile/index.cfm?action=profile&amp;prop_id=387</v>
      </c>
      <c r="N365" s="1" t="str">
        <f t="shared" si="29"/>
        <v>00387</v>
      </c>
    </row>
    <row r="366" spans="1:14" x14ac:dyDescent="0.3">
      <c r="A366" s="1">
        <v>388</v>
      </c>
      <c r="B366" s="7" t="s">
        <v>144</v>
      </c>
      <c r="C366" s="12">
        <v>1703</v>
      </c>
      <c r="D366" s="7" t="s">
        <v>574</v>
      </c>
      <c r="E366" s="13" t="s">
        <v>498</v>
      </c>
      <c r="F366" t="str">
        <f t="shared" si="25"/>
        <v>35</v>
      </c>
      <c r="G366" t="str">
        <f t="shared" si="26"/>
        <v>351703San Marcos</v>
      </c>
      <c r="H366" t="s">
        <v>31224</v>
      </c>
      <c r="I366" t="s">
        <v>22659</v>
      </c>
      <c r="J366" t="str">
        <f t="shared" si="27"/>
        <v>E:\PropInv\MF</v>
      </c>
      <c r="K366" s="103" t="str">
        <f>HYPERLINK("E:\PropInv\MF\San Marcos\35 IH N_1703_Avalon_San Marcos_00388","35 IH N_1703_Avalon_San Marcos_00388" )</f>
        <v>35 IH N_1703_Avalon_San Marcos_00388</v>
      </c>
      <c r="L366" s="104" t="s">
        <v>22253</v>
      </c>
      <c r="M366" s="103" t="str">
        <f t="shared" si="28"/>
        <v>http://oconnordata.com/mlink/modules/profile/index.cfm?action=profile&amp;prop_id=388</v>
      </c>
      <c r="N366" s="1" t="str">
        <f t="shared" si="29"/>
        <v>00388</v>
      </c>
    </row>
    <row r="367" spans="1:14" x14ac:dyDescent="0.3">
      <c r="A367" s="1">
        <v>389</v>
      </c>
      <c r="B367" s="7" t="s">
        <v>144</v>
      </c>
      <c r="C367" s="9">
        <v>1805</v>
      </c>
      <c r="D367" s="10" t="s">
        <v>575</v>
      </c>
      <c r="E367" s="11" t="s">
        <v>498</v>
      </c>
      <c r="F367" t="str">
        <f t="shared" si="25"/>
        <v>35</v>
      </c>
      <c r="G367" t="str">
        <f t="shared" si="26"/>
        <v>351805San Marcos</v>
      </c>
      <c r="H367" t="s">
        <v>31225</v>
      </c>
      <c r="I367" t="s">
        <v>22660</v>
      </c>
      <c r="J367" t="str">
        <f t="shared" si="27"/>
        <v>E:\PropInv\MF</v>
      </c>
      <c r="K367" s="103" t="str">
        <f>HYPERLINK("E:\PropInv\MF\San Marcos\35 IH N_1805_The Verandah_San Marcos_00389","35 IH N_1805_The Verandah_San Marcos_00389" )</f>
        <v>35 IH N_1805_The Verandah_San Marcos_00389</v>
      </c>
      <c r="L367" s="104" t="s">
        <v>22253</v>
      </c>
      <c r="M367" s="103" t="str">
        <f t="shared" si="28"/>
        <v>http://oconnordata.com/mlink/modules/profile/index.cfm?action=profile&amp;prop_id=389</v>
      </c>
      <c r="N367" s="1" t="str">
        <f t="shared" si="29"/>
        <v>00389</v>
      </c>
    </row>
    <row r="368" spans="1:14" x14ac:dyDescent="0.3">
      <c r="A368" s="1">
        <v>390</v>
      </c>
      <c r="B368" s="7" t="s">
        <v>576</v>
      </c>
      <c r="C368" s="12">
        <v>1101</v>
      </c>
      <c r="D368" s="7" t="s">
        <v>577</v>
      </c>
      <c r="E368" s="13" t="s">
        <v>498</v>
      </c>
      <c r="F368" t="str">
        <f t="shared" si="25"/>
        <v>Leah</v>
      </c>
      <c r="G368" t="str">
        <f t="shared" si="26"/>
        <v>Leah1101San Marcos</v>
      </c>
      <c r="H368" t="s">
        <v>31226</v>
      </c>
      <c r="I368" t="s">
        <v>22661</v>
      </c>
      <c r="J368" t="str">
        <f t="shared" si="27"/>
        <v>E:\PropInv\MF</v>
      </c>
      <c r="K368" s="103" t="str">
        <f>HYPERLINK("E:\PropInv\MF\San Marcos\Leah Ave_1101_Cedars of San Marcos_San Marcos_00390","Leah Ave_1101_Cedars of San Marcos_San Marcos_00390" )</f>
        <v>Leah Ave_1101_Cedars of San Marcos_San Marcos_00390</v>
      </c>
      <c r="L368" s="104" t="s">
        <v>22253</v>
      </c>
      <c r="M368" s="103" t="str">
        <f t="shared" si="28"/>
        <v>http://oconnordata.com/mlink/modules/profile/index.cfm?action=profile&amp;prop_id=390</v>
      </c>
      <c r="N368" s="1" t="str">
        <f t="shared" si="29"/>
        <v>00390</v>
      </c>
    </row>
    <row r="369" spans="1:14" x14ac:dyDescent="0.3">
      <c r="A369" s="1">
        <v>391</v>
      </c>
      <c r="B369" s="7" t="s">
        <v>578</v>
      </c>
      <c r="C369" s="12">
        <v>705</v>
      </c>
      <c r="D369" s="7" t="s">
        <v>579</v>
      </c>
      <c r="E369" s="13" t="s">
        <v>498</v>
      </c>
      <c r="F369" t="str">
        <f t="shared" si="25"/>
        <v>River</v>
      </c>
      <c r="G369" t="str">
        <f t="shared" si="26"/>
        <v>River705San Marcos</v>
      </c>
      <c r="H369" t="s">
        <v>31227</v>
      </c>
      <c r="I369" t="s">
        <v>22662</v>
      </c>
      <c r="J369" t="str">
        <f t="shared" si="27"/>
        <v>E:\PropInv\MF</v>
      </c>
      <c r="K369" s="103" t="str">
        <f>HYPERLINK("E:\PropInv\MF\San Marcos\River Rd W_705_Colony Square Condos_San Marcos_00391","River Rd W_705_Colony Square Condos_San Marcos_00391" )</f>
        <v>River Rd W_705_Colony Square Condos_San Marcos_00391</v>
      </c>
      <c r="L369" s="104" t="s">
        <v>22253</v>
      </c>
      <c r="M369" s="103" t="str">
        <f t="shared" si="28"/>
        <v>http://oconnordata.com/mlink/modules/profile/index.cfm?action=profile&amp;prop_id=391</v>
      </c>
      <c r="N369" s="1" t="str">
        <f t="shared" si="29"/>
        <v>00391</v>
      </c>
    </row>
    <row r="370" spans="1:14" x14ac:dyDescent="0.3">
      <c r="A370" s="1">
        <v>392</v>
      </c>
      <c r="B370" s="7" t="s">
        <v>580</v>
      </c>
      <c r="C370" s="12">
        <v>800</v>
      </c>
      <c r="D370" s="7" t="s">
        <v>581</v>
      </c>
      <c r="E370" s="13" t="s">
        <v>498</v>
      </c>
      <c r="F370" t="str">
        <f t="shared" si="25"/>
        <v>LBJ</v>
      </c>
      <c r="G370" t="str">
        <f t="shared" si="26"/>
        <v>LBJ800San Marcos</v>
      </c>
      <c r="H370" t="s">
        <v>31228</v>
      </c>
      <c r="I370" t="s">
        <v>22663</v>
      </c>
      <c r="J370" t="str">
        <f t="shared" si="27"/>
        <v>E:\PropInv\MF</v>
      </c>
      <c r="K370" s="103" t="str">
        <f>HYPERLINK("E:\PropInv\MF\San Marcos\LBJ Dr N_800_Treehouse_San Marcos_00392","LBJ Dr N_800_Treehouse_San Marcos_00392" )</f>
        <v>LBJ Dr N_800_Treehouse_San Marcos_00392</v>
      </c>
      <c r="L370" s="104" t="s">
        <v>22253</v>
      </c>
      <c r="M370" s="103" t="str">
        <f t="shared" si="28"/>
        <v>http://oconnordata.com/mlink/modules/profile/index.cfm?action=profile&amp;prop_id=392</v>
      </c>
      <c r="N370" s="1" t="str">
        <f t="shared" si="29"/>
        <v>00392</v>
      </c>
    </row>
    <row r="371" spans="1:14" x14ac:dyDescent="0.3">
      <c r="A371" s="1">
        <v>393</v>
      </c>
      <c r="B371" s="7" t="s">
        <v>582</v>
      </c>
      <c r="C371" s="12">
        <v>201</v>
      </c>
      <c r="D371" s="7" t="s">
        <v>583</v>
      </c>
      <c r="E371" s="13" t="s">
        <v>498</v>
      </c>
      <c r="F371" t="str">
        <f t="shared" si="25"/>
        <v>1st</v>
      </c>
      <c r="G371" t="str">
        <f t="shared" si="26"/>
        <v>1st201San Marcos</v>
      </c>
      <c r="H371" t="s">
        <v>31229</v>
      </c>
      <c r="I371" t="s">
        <v>22664</v>
      </c>
      <c r="J371" t="str">
        <f t="shared" si="27"/>
        <v>E:\PropInv\MF</v>
      </c>
      <c r="K371" s="103" t="str">
        <f>HYPERLINK("E:\PropInv\MF\San Marcos\1st St_201_Village Green_San Marcos_00393","1st St_201_Village Green_San Marcos_00393" )</f>
        <v>1st St_201_Village Green_San Marcos_00393</v>
      </c>
      <c r="L371" s="104" t="s">
        <v>22253</v>
      </c>
      <c r="M371" s="103" t="str">
        <f t="shared" si="28"/>
        <v>http://oconnordata.com/mlink/modules/profile/index.cfm?action=profile&amp;prop_id=393</v>
      </c>
      <c r="N371" s="1" t="str">
        <f t="shared" si="29"/>
        <v>00393</v>
      </c>
    </row>
    <row r="372" spans="1:14" x14ac:dyDescent="0.3">
      <c r="A372" s="1">
        <v>394</v>
      </c>
      <c r="B372" s="7" t="s">
        <v>496</v>
      </c>
      <c r="C372" s="12">
        <v>1805</v>
      </c>
      <c r="D372" s="7" t="s">
        <v>584</v>
      </c>
      <c r="E372" s="13" t="s">
        <v>498</v>
      </c>
      <c r="F372" t="str">
        <f t="shared" si="25"/>
        <v>Aquarena</v>
      </c>
      <c r="G372" t="str">
        <f t="shared" si="26"/>
        <v>Aquarena1805San Marcos</v>
      </c>
      <c r="H372" t="s">
        <v>31230</v>
      </c>
      <c r="I372" t="s">
        <v>22665</v>
      </c>
      <c r="J372" t="str">
        <f t="shared" si="27"/>
        <v>E:\PropInv\MF</v>
      </c>
      <c r="K372" s="103" t="str">
        <f>HYPERLINK("E:\PropInv\MF\San Marcos\Aquarena Springs Dr_1805_Riverside Ranch_San Marcos_00394","Aquarena Springs Dr_1805_Riverside Ranch_San Marcos_00394" )</f>
        <v>Aquarena Springs Dr_1805_Riverside Ranch_San Marcos_00394</v>
      </c>
      <c r="L372" s="104" t="s">
        <v>22253</v>
      </c>
      <c r="M372" s="103" t="str">
        <f t="shared" si="28"/>
        <v>http://oconnordata.com/mlink/modules/profile/index.cfm?action=profile&amp;prop_id=394</v>
      </c>
      <c r="N372" s="1" t="str">
        <f t="shared" si="29"/>
        <v>00394</v>
      </c>
    </row>
    <row r="373" spans="1:14" x14ac:dyDescent="0.3">
      <c r="A373" s="1">
        <v>395</v>
      </c>
      <c r="B373" s="21" t="s">
        <v>235</v>
      </c>
      <c r="C373" s="12">
        <v>112</v>
      </c>
      <c r="D373" s="7" t="s">
        <v>585</v>
      </c>
      <c r="E373" s="13" t="s">
        <v>498</v>
      </c>
      <c r="F373" t="str">
        <f t="shared" si="25"/>
        <v>W</v>
      </c>
      <c r="G373" t="str">
        <f t="shared" si="26"/>
        <v>W112San Marcos</v>
      </c>
      <c r="H373" t="s">
        <v>31231</v>
      </c>
      <c r="I373" t="s">
        <v>22666</v>
      </c>
      <c r="J373" t="str">
        <f t="shared" si="27"/>
        <v>E:\PropInv\MF</v>
      </c>
      <c r="K373" s="103" t="str">
        <f>HYPERLINK("E:\PropInv\MF\San Marcos\W Ave_112_Westfield_San Marcos_00395","W Ave_112_Westfield_San Marcos_00395" )</f>
        <v>W Ave_112_Westfield_San Marcos_00395</v>
      </c>
      <c r="L373" s="104" t="s">
        <v>22253</v>
      </c>
      <c r="M373" s="103" t="str">
        <f t="shared" si="28"/>
        <v>http://oconnordata.com/mlink/modules/profile/index.cfm?action=profile&amp;prop_id=395</v>
      </c>
      <c r="N373" s="1" t="str">
        <f t="shared" si="29"/>
        <v>00395</v>
      </c>
    </row>
    <row r="374" spans="1:14" x14ac:dyDescent="0.3">
      <c r="A374" s="1">
        <v>396</v>
      </c>
      <c r="B374" s="10" t="s">
        <v>560</v>
      </c>
      <c r="C374" s="9">
        <v>205</v>
      </c>
      <c r="D374" s="16" t="s">
        <v>586</v>
      </c>
      <c r="E374" s="11" t="s">
        <v>498</v>
      </c>
      <c r="F374" t="str">
        <f t="shared" si="25"/>
        <v>Craddock</v>
      </c>
      <c r="G374" t="str">
        <f t="shared" si="26"/>
        <v>Craddock205San Marcos</v>
      </c>
      <c r="H374" t="s">
        <v>31232</v>
      </c>
      <c r="I374" t="s">
        <v>22667</v>
      </c>
      <c r="J374" t="str">
        <f t="shared" si="27"/>
        <v>E:\PropInv\MF</v>
      </c>
      <c r="K374" s="103" t="str">
        <f>HYPERLINK("E:\PropInv\MF\San Marcos\Craddock Ave_205_Langtry_San Marcos_00396","Craddock Ave_205_Langtry_San Marcos_00396" )</f>
        <v>Craddock Ave_205_Langtry_San Marcos_00396</v>
      </c>
      <c r="L374" s="104" t="s">
        <v>22253</v>
      </c>
      <c r="M374" s="103" t="str">
        <f t="shared" si="28"/>
        <v>http://oconnordata.com/mlink/modules/profile/index.cfm?action=profile&amp;prop_id=396</v>
      </c>
      <c r="N374" s="1" t="str">
        <f t="shared" si="29"/>
        <v>00396</v>
      </c>
    </row>
    <row r="375" spans="1:14" x14ac:dyDescent="0.3">
      <c r="A375" s="1">
        <v>397</v>
      </c>
      <c r="B375" s="10" t="s">
        <v>587</v>
      </c>
      <c r="C375" s="9">
        <v>327</v>
      </c>
      <c r="D375" s="10" t="s">
        <v>588</v>
      </c>
      <c r="E375" s="11" t="s">
        <v>498</v>
      </c>
      <c r="F375" t="str">
        <f t="shared" si="25"/>
        <v>Wood</v>
      </c>
      <c r="G375" t="str">
        <f t="shared" si="26"/>
        <v>Wood327San Marcos</v>
      </c>
      <c r="H375" t="s">
        <v>31233</v>
      </c>
      <c r="I375" t="s">
        <v>22668</v>
      </c>
      <c r="J375" t="str">
        <f t="shared" si="27"/>
        <v>E:\PropInv\MF</v>
      </c>
      <c r="K375" s="103" t="str">
        <f>HYPERLINK("E:\PropInv\MF\San Marcos\Wood W_327_Texas State Apts_San Marcos_00397","Wood W_327_Texas State Apts_San Marcos_00397" )</f>
        <v>Wood W_327_Texas State Apts_San Marcos_00397</v>
      </c>
      <c r="L375" s="104" t="s">
        <v>22253</v>
      </c>
      <c r="M375" s="103" t="str">
        <f t="shared" si="28"/>
        <v>http://oconnordata.com/mlink/modules/profile/index.cfm?action=profile&amp;prop_id=397</v>
      </c>
      <c r="N375" s="1" t="str">
        <f t="shared" si="29"/>
        <v>00397</v>
      </c>
    </row>
    <row r="376" spans="1:14" x14ac:dyDescent="0.3">
      <c r="A376" s="1">
        <v>398</v>
      </c>
      <c r="B376" s="7" t="s">
        <v>580</v>
      </c>
      <c r="C376" s="12">
        <v>1230</v>
      </c>
      <c r="D376" s="7" t="s">
        <v>589</v>
      </c>
      <c r="E376" s="13" t="s">
        <v>498</v>
      </c>
      <c r="F376" t="str">
        <f t="shared" si="25"/>
        <v>LBJ</v>
      </c>
      <c r="G376" t="str">
        <f t="shared" si="26"/>
        <v>LBJ1230San Marcos</v>
      </c>
      <c r="H376" t="s">
        <v>31234</v>
      </c>
      <c r="I376" t="s">
        <v>22669</v>
      </c>
      <c r="J376" t="str">
        <f t="shared" si="27"/>
        <v>E:\PropInv\MF</v>
      </c>
      <c r="K376" s="103" t="str">
        <f>HYPERLINK("E:\PropInv\MF\San Marcos\LBJ Dr N_1230_Hill Country-San Marcos_San Marcos_00398","LBJ Dr N_1230_Hill Country-San Marcos_San Marcos_00398" )</f>
        <v>LBJ Dr N_1230_Hill Country-San Marcos_San Marcos_00398</v>
      </c>
      <c r="L376" s="104" t="s">
        <v>22253</v>
      </c>
      <c r="M376" s="103" t="str">
        <f t="shared" si="28"/>
        <v>http://oconnordata.com/mlink/modules/profile/index.cfm?action=profile&amp;prop_id=398</v>
      </c>
      <c r="N376" s="1" t="str">
        <f t="shared" si="29"/>
        <v>00398</v>
      </c>
    </row>
    <row r="377" spans="1:14" x14ac:dyDescent="0.3">
      <c r="A377" s="1">
        <v>399</v>
      </c>
      <c r="B377" s="10" t="s">
        <v>590</v>
      </c>
      <c r="C377" s="9">
        <v>222</v>
      </c>
      <c r="D377" s="10" t="s">
        <v>591</v>
      </c>
      <c r="E377" s="11" t="s">
        <v>498</v>
      </c>
      <c r="F377" t="str">
        <f t="shared" si="25"/>
        <v>Ramsay</v>
      </c>
      <c r="G377" t="str">
        <f t="shared" si="26"/>
        <v>Ramsay222San Marcos</v>
      </c>
      <c r="H377" t="s">
        <v>31235</v>
      </c>
      <c r="I377" t="s">
        <v>22670</v>
      </c>
      <c r="J377" t="str">
        <f t="shared" si="27"/>
        <v>E:\PropInv\MF</v>
      </c>
      <c r="K377" s="103" t="str">
        <f>HYPERLINK("E:\PropInv\MF\San Marcos\Ramsay_222_Iconic Village_San Marcos_00399","Ramsay_222_Iconic Village_San Marcos_00399" )</f>
        <v>Ramsay_222_Iconic Village_San Marcos_00399</v>
      </c>
      <c r="L377" s="104" t="s">
        <v>22253</v>
      </c>
      <c r="M377" s="103" t="str">
        <f t="shared" si="28"/>
        <v>http://oconnordata.com/mlink/modules/profile/index.cfm?action=profile&amp;prop_id=399</v>
      </c>
      <c r="N377" s="1" t="str">
        <f t="shared" si="29"/>
        <v>00399</v>
      </c>
    </row>
    <row r="378" spans="1:14" x14ac:dyDescent="0.3">
      <c r="A378" s="1">
        <v>400</v>
      </c>
      <c r="B378" s="7" t="s">
        <v>592</v>
      </c>
      <c r="C378" s="12">
        <v>520</v>
      </c>
      <c r="D378" s="7" t="s">
        <v>593</v>
      </c>
      <c r="E378" s="13" t="s">
        <v>498</v>
      </c>
      <c r="F378" t="str">
        <f t="shared" si="25"/>
        <v>Linda</v>
      </c>
      <c r="G378" t="str">
        <f t="shared" si="26"/>
        <v>Linda520San Marcos</v>
      </c>
      <c r="H378" t="s">
        <v>31236</v>
      </c>
      <c r="I378" t="s">
        <v>22671</v>
      </c>
      <c r="J378" t="str">
        <f t="shared" si="27"/>
        <v>E:\PropInv\MF</v>
      </c>
      <c r="K378" s="103" t="str">
        <f>HYPERLINK("E:\PropInv\MF\San Marcos\Linda Dr_520_Townwood_San Marcos_00400","Linda Dr_520_Townwood_San Marcos_00400" )</f>
        <v>Linda Dr_520_Townwood_San Marcos_00400</v>
      </c>
      <c r="L378" s="104" t="s">
        <v>22253</v>
      </c>
      <c r="M378" s="103" t="str">
        <f t="shared" si="28"/>
        <v>http://oconnordata.com/mlink/modules/profile/index.cfm?action=profile&amp;prop_id=400</v>
      </c>
      <c r="N378" s="1" t="str">
        <f t="shared" si="29"/>
        <v>00400</v>
      </c>
    </row>
    <row r="379" spans="1:14" x14ac:dyDescent="0.3">
      <c r="A379" s="1">
        <v>401</v>
      </c>
      <c r="B379" s="7" t="s">
        <v>580</v>
      </c>
      <c r="C379" s="12">
        <v>1000</v>
      </c>
      <c r="D379" s="7" t="s">
        <v>594</v>
      </c>
      <c r="E379" s="13" t="s">
        <v>498</v>
      </c>
      <c r="F379" t="str">
        <f t="shared" si="25"/>
        <v>LBJ</v>
      </c>
      <c r="G379" t="str">
        <f t="shared" si="26"/>
        <v>LBJ1000San Marcos</v>
      </c>
      <c r="H379" t="s">
        <v>31237</v>
      </c>
      <c r="I379" t="s">
        <v>22672</v>
      </c>
      <c r="J379" t="str">
        <f t="shared" si="27"/>
        <v>E:\PropInv\MF</v>
      </c>
      <c r="K379" s="103" t="str">
        <f>HYPERLINK("E:\PropInv\MF\San Marcos\LBJ Dr N_1000_Vintage Pads_San Marcos_00401","LBJ Dr N_1000_Vintage Pads_San Marcos_00401" )</f>
        <v>LBJ Dr N_1000_Vintage Pads_San Marcos_00401</v>
      </c>
      <c r="L379" s="104" t="s">
        <v>22253</v>
      </c>
      <c r="M379" s="103" t="str">
        <f t="shared" si="28"/>
        <v>http://oconnordata.com/mlink/modules/profile/index.cfm?action=profile&amp;prop_id=401</v>
      </c>
      <c r="N379" s="1" t="str">
        <f t="shared" si="29"/>
        <v>00401</v>
      </c>
    </row>
    <row r="380" spans="1:14" x14ac:dyDescent="0.3">
      <c r="A380" s="1">
        <v>402</v>
      </c>
      <c r="B380" s="10" t="s">
        <v>377</v>
      </c>
      <c r="C380" s="9">
        <v>4411</v>
      </c>
      <c r="D380" s="10" t="s">
        <v>595</v>
      </c>
      <c r="E380" s="11" t="s">
        <v>7</v>
      </c>
      <c r="F380" t="str">
        <f t="shared" si="25"/>
        <v>Spicewood</v>
      </c>
      <c r="G380" t="str">
        <f t="shared" si="26"/>
        <v>Spicewood4411Austin</v>
      </c>
      <c r="H380" t="s">
        <v>31238</v>
      </c>
      <c r="I380" t="s">
        <v>22673</v>
      </c>
      <c r="J380" t="str">
        <f t="shared" si="27"/>
        <v>E:\PropInv\MF</v>
      </c>
      <c r="K380" s="103" t="str">
        <f>HYPERLINK("E:\PropInv\MF\Austin\Spicewood Springs Rd_4411_The Marquis at Caprock Canyon_Austin_00402","Spicewood Springs Rd_4411_The Marquis at Caprock Canyon_Austin_00402" )</f>
        <v>Spicewood Springs Rd_4411_The Marquis at Caprock Canyon_Austin_00402</v>
      </c>
      <c r="L380" s="104" t="s">
        <v>22253</v>
      </c>
      <c r="M380" s="103" t="str">
        <f t="shared" si="28"/>
        <v>http://oconnordata.com/mlink/modules/profile/index.cfm?action=profile&amp;prop_id=402</v>
      </c>
      <c r="N380" s="1" t="str">
        <f t="shared" si="29"/>
        <v>00402</v>
      </c>
    </row>
    <row r="381" spans="1:14" x14ac:dyDescent="0.3">
      <c r="A381" s="1">
        <v>403</v>
      </c>
      <c r="B381" s="10" t="s">
        <v>156</v>
      </c>
      <c r="C381" s="9">
        <v>12113</v>
      </c>
      <c r="D381" s="10" t="s">
        <v>596</v>
      </c>
      <c r="E381" s="11" t="s">
        <v>7</v>
      </c>
      <c r="F381" t="str">
        <f t="shared" si="25"/>
        <v>Metric</v>
      </c>
      <c r="G381" t="str">
        <f t="shared" si="26"/>
        <v>Metric12113Austin</v>
      </c>
      <c r="H381" t="s">
        <v>31239</v>
      </c>
      <c r="I381" t="s">
        <v>22674</v>
      </c>
      <c r="J381" t="str">
        <f t="shared" si="27"/>
        <v>E:\PropInv\MF</v>
      </c>
      <c r="K381" s="103" t="str">
        <f>HYPERLINK("E:\PropInv\MF\Austin\Metric Blvd_12113_Madison at Walnut Creek_Austin_00403","Metric Blvd_12113_Madison at Walnut Creek_Austin_00403" )</f>
        <v>Metric Blvd_12113_Madison at Walnut Creek_Austin_00403</v>
      </c>
      <c r="L381" s="104" t="s">
        <v>22253</v>
      </c>
      <c r="M381" s="103" t="str">
        <f t="shared" si="28"/>
        <v>http://oconnordata.com/mlink/modules/profile/index.cfm?action=profile&amp;prop_id=403</v>
      </c>
      <c r="N381" s="1" t="str">
        <f t="shared" si="29"/>
        <v>00403</v>
      </c>
    </row>
    <row r="382" spans="1:14" x14ac:dyDescent="0.3">
      <c r="A382" s="1">
        <v>404</v>
      </c>
      <c r="B382" s="10" t="s">
        <v>597</v>
      </c>
      <c r="C382" s="9">
        <v>6804</v>
      </c>
      <c r="D382" s="10" t="s">
        <v>598</v>
      </c>
      <c r="E382" s="11" t="s">
        <v>7</v>
      </c>
      <c r="F382" t="str">
        <f t="shared" si="25"/>
        <v>Capital</v>
      </c>
      <c r="G382" t="str">
        <f t="shared" si="26"/>
        <v>Capital6804Austin</v>
      </c>
      <c r="H382" t="s">
        <v>31240</v>
      </c>
      <c r="I382" t="s">
        <v>22675</v>
      </c>
      <c r="J382" t="str">
        <f t="shared" si="27"/>
        <v>E:\PropInv\MF</v>
      </c>
      <c r="K382" s="103" t="str">
        <f>HYPERLINK("E:\PropInv\MF\Austin\Capital of TX Hwy N_6804_The McClintock_Austin_00404","Capital of TX Hwy N_6804_The McClintock_Austin_00404" )</f>
        <v>Capital of TX Hwy N_6804_The McClintock_Austin_00404</v>
      </c>
      <c r="L382" s="104" t="s">
        <v>22253</v>
      </c>
      <c r="M382" s="103" t="str">
        <f t="shared" si="28"/>
        <v>http://oconnordata.com/mlink/modules/profile/index.cfm?action=profile&amp;prop_id=404</v>
      </c>
      <c r="N382" s="1" t="str">
        <f t="shared" si="29"/>
        <v>00404</v>
      </c>
    </row>
    <row r="383" spans="1:14" x14ac:dyDescent="0.3">
      <c r="A383" s="1">
        <v>405</v>
      </c>
      <c r="B383" s="10" t="s">
        <v>507</v>
      </c>
      <c r="C383" s="9">
        <v>1320</v>
      </c>
      <c r="D383" s="10" t="s">
        <v>599</v>
      </c>
      <c r="E383" s="11" t="s">
        <v>599</v>
      </c>
      <c r="F383" t="str">
        <f t="shared" si="25"/>
        <v>Wilson</v>
      </c>
      <c r="G383" t="str">
        <f t="shared" si="26"/>
        <v>Wilson1320Lockhart</v>
      </c>
      <c r="H383" t="s">
        <v>31241</v>
      </c>
      <c r="I383" t="s">
        <v>22676</v>
      </c>
      <c r="J383" t="str">
        <f t="shared" si="27"/>
        <v>E:\PropInv\MF</v>
      </c>
      <c r="K383" s="103" t="str">
        <f>HYPERLINK("E:\PropInv\MF\Lockhart\Wilson St_1320_Lockhart_Lockhart_00405","Wilson St_1320_Lockhart_Lockhart_00405" )</f>
        <v>Wilson St_1320_Lockhart_Lockhart_00405</v>
      </c>
      <c r="L383" s="104" t="s">
        <v>22253</v>
      </c>
      <c r="M383" s="103" t="str">
        <f t="shared" si="28"/>
        <v>http://oconnordata.com/mlink/modules/profile/index.cfm?action=profile&amp;prop_id=405</v>
      </c>
      <c r="N383" s="1" t="str">
        <f t="shared" si="29"/>
        <v>00405</v>
      </c>
    </row>
    <row r="384" spans="1:14" x14ac:dyDescent="0.3">
      <c r="A384" s="1">
        <v>406</v>
      </c>
      <c r="B384" s="10" t="s">
        <v>600</v>
      </c>
      <c r="C384" s="9">
        <v>400</v>
      </c>
      <c r="D384" s="10" t="s">
        <v>601</v>
      </c>
      <c r="E384" s="11" t="s">
        <v>599</v>
      </c>
      <c r="F384" t="str">
        <f t="shared" si="25"/>
        <v>Spinnaker</v>
      </c>
      <c r="G384" t="str">
        <f t="shared" si="26"/>
        <v>Spinnaker400Lockhart</v>
      </c>
      <c r="H384" t="s">
        <v>31242</v>
      </c>
      <c r="I384" t="s">
        <v>22677</v>
      </c>
      <c r="J384" t="str">
        <f t="shared" si="27"/>
        <v>E:\PropInv\MF</v>
      </c>
      <c r="K384" s="103" t="str">
        <f>HYPERLINK("E:\PropInv\MF\Lockhart\Spinnaker St_400_The Landing_Lockhart_00406","Spinnaker St_400_The Landing_Lockhart_00406" )</f>
        <v>Spinnaker St_400_The Landing_Lockhart_00406</v>
      </c>
      <c r="L384" s="104" t="s">
        <v>22253</v>
      </c>
      <c r="M384" s="103" t="str">
        <f t="shared" si="28"/>
        <v>http://oconnordata.com/mlink/modules/profile/index.cfm?action=profile&amp;prop_id=406</v>
      </c>
      <c r="N384" s="1" t="str">
        <f t="shared" si="29"/>
        <v>00406</v>
      </c>
    </row>
    <row r="385" spans="1:14" x14ac:dyDescent="0.3">
      <c r="A385" s="1">
        <v>407</v>
      </c>
      <c r="B385" s="7" t="s">
        <v>602</v>
      </c>
      <c r="C385" s="12">
        <v>1</v>
      </c>
      <c r="D385" s="7" t="s">
        <v>603</v>
      </c>
      <c r="E385" s="13" t="s">
        <v>604</v>
      </c>
      <c r="F385" t="str">
        <f t="shared" si="25"/>
        <v>Pine</v>
      </c>
      <c r="G385" t="str">
        <f t="shared" si="26"/>
        <v>Pine1Bastrop</v>
      </c>
      <c r="H385" t="s">
        <v>31243</v>
      </c>
      <c r="I385" t="s">
        <v>22678</v>
      </c>
      <c r="J385" t="str">
        <f t="shared" si="27"/>
        <v>E:\PropInv\MF</v>
      </c>
      <c r="K385" s="103" t="str">
        <f>HYPERLINK("E:\PropInv\MF\Bastrop\Pine Point Dr_1_Pine Point_Bastrop_00407","Pine Point Dr_1_Pine Point_Bastrop_00407" )</f>
        <v>Pine Point Dr_1_Pine Point_Bastrop_00407</v>
      </c>
      <c r="L385" s="104" t="s">
        <v>22253</v>
      </c>
      <c r="M385" s="103" t="str">
        <f t="shared" si="28"/>
        <v>http://oconnordata.com/mlink/modules/profile/index.cfm?action=profile&amp;prop_id=407</v>
      </c>
      <c r="N385" s="1" t="str">
        <f t="shared" si="29"/>
        <v>00407</v>
      </c>
    </row>
    <row r="386" spans="1:14" x14ac:dyDescent="0.3">
      <c r="A386" s="1">
        <v>408</v>
      </c>
      <c r="B386" s="10" t="s">
        <v>605</v>
      </c>
      <c r="C386" s="9">
        <v>202</v>
      </c>
      <c r="D386" s="10" t="s">
        <v>606</v>
      </c>
      <c r="E386" s="11" t="s">
        <v>604</v>
      </c>
      <c r="F386" t="str">
        <f t="shared" ref="F386:F449" si="30">IFERROR(LEFT(B386,FIND(" ",B386)-1),B386)</f>
        <v>Childers</v>
      </c>
      <c r="G386" t="str">
        <f t="shared" ref="G386:G449" si="31">F386&amp;C386&amp;E386</f>
        <v>Childers202Bastrop</v>
      </c>
      <c r="H386" t="s">
        <v>31244</v>
      </c>
      <c r="I386" t="s">
        <v>22679</v>
      </c>
      <c r="J386" t="str">
        <f t="shared" ref="J386:J449" si="32">IF(L386="TX",Folder_Path,Folder_Path&amp;"\State_"&amp;L386)</f>
        <v>E:\PropInv\MF</v>
      </c>
      <c r="K386" s="103" t="str">
        <f>HYPERLINK("E:\PropInv\MF\Bastrop\Childers Dr_202_The Arbors of Bastrop_Bastrop_00408","Childers Dr_202_The Arbors of Bastrop_Bastrop_00408" )</f>
        <v>Childers Dr_202_The Arbors of Bastrop_Bastrop_00408</v>
      </c>
      <c r="L386" s="104" t="s">
        <v>22253</v>
      </c>
      <c r="M386" s="103" t="str">
        <f t="shared" ref="M386:M449" si="33">HYPERLINK("http://oconnordata.com/mlink/modules/profile/index.cfm?action=profile&amp;prop_id="&amp;A386)</f>
        <v>http://oconnordata.com/mlink/modules/profile/index.cfm?action=profile&amp;prop_id=408</v>
      </c>
      <c r="N386" s="1" t="str">
        <f t="shared" ref="N386:N449" si="34">IF(LEN(A386)=1,"0000"&amp;A386,IF(LEN(A386)=2,"000"&amp;A386,IF(LEN(A386)=3,"00"&amp;A386,IF(LEN(A386)=4,"0"&amp;A386,IF(LEN(A386)=5,IF(LEFT(A386,1)="3",A386+30000,A386))))))</f>
        <v>00408</v>
      </c>
    </row>
    <row r="387" spans="1:14" x14ac:dyDescent="0.3">
      <c r="A387" s="1">
        <v>409</v>
      </c>
      <c r="B387" s="10" t="s">
        <v>69</v>
      </c>
      <c r="C387" s="9">
        <v>2200</v>
      </c>
      <c r="D387" s="10" t="s">
        <v>607</v>
      </c>
      <c r="E387" s="11" t="s">
        <v>7</v>
      </c>
      <c r="F387" t="str">
        <f t="shared" si="30"/>
        <v>Willow</v>
      </c>
      <c r="G387" t="str">
        <f t="shared" si="31"/>
        <v>Willow2200Austin</v>
      </c>
      <c r="H387" t="s">
        <v>31245</v>
      </c>
      <c r="I387" t="s">
        <v>22680</v>
      </c>
      <c r="J387" t="str">
        <f t="shared" si="32"/>
        <v>E:\PropInv\MF</v>
      </c>
      <c r="K387" s="103" t="str">
        <f>HYPERLINK("E:\PropInv\MF\Austin\Willow Creek Dr_2200_Bridge Hollow_Austin_00409","Willow Creek Dr_2200_Bridge Hollow_Austin_00409" )</f>
        <v>Willow Creek Dr_2200_Bridge Hollow_Austin_00409</v>
      </c>
      <c r="L387" s="104" t="s">
        <v>22253</v>
      </c>
      <c r="M387" s="103" t="str">
        <f t="shared" si="33"/>
        <v>http://oconnordata.com/mlink/modules/profile/index.cfm?action=profile&amp;prop_id=409</v>
      </c>
      <c r="N387" s="1" t="str">
        <f t="shared" si="34"/>
        <v>00409</v>
      </c>
    </row>
    <row r="388" spans="1:14" x14ac:dyDescent="0.3">
      <c r="A388" s="1">
        <v>410</v>
      </c>
      <c r="B388" s="7" t="s">
        <v>608</v>
      </c>
      <c r="C388" s="12">
        <v>1350</v>
      </c>
      <c r="D388" s="7" t="s">
        <v>609</v>
      </c>
      <c r="E388" s="13" t="s">
        <v>498</v>
      </c>
      <c r="F388" t="str">
        <f t="shared" si="30"/>
        <v>Wonder</v>
      </c>
      <c r="G388" t="str">
        <f t="shared" si="31"/>
        <v>Wonder1350San Marcos</v>
      </c>
      <c r="H388" t="s">
        <v>31246</v>
      </c>
      <c r="I388" t="s">
        <v>22681</v>
      </c>
      <c r="J388" t="str">
        <f t="shared" si="32"/>
        <v>E:\PropInv\MF</v>
      </c>
      <c r="K388" s="103" t="str">
        <f>HYPERLINK("E:\PropInv\MF\San Marcos\Wonder World Dr_1350_Asbury Place_San Marcos_00410","Wonder World Dr_1350_Asbury Place_San Marcos_00410" )</f>
        <v>Wonder World Dr_1350_Asbury Place_San Marcos_00410</v>
      </c>
      <c r="L388" s="104" t="s">
        <v>22253</v>
      </c>
      <c r="M388" s="103" t="str">
        <f t="shared" si="33"/>
        <v>http://oconnordata.com/mlink/modules/profile/index.cfm?action=profile&amp;prop_id=410</v>
      </c>
      <c r="N388" s="1" t="str">
        <f t="shared" si="34"/>
        <v>00410</v>
      </c>
    </row>
    <row r="389" spans="1:14" x14ac:dyDescent="0.3">
      <c r="A389" s="1">
        <v>411</v>
      </c>
      <c r="B389" s="7" t="s">
        <v>610</v>
      </c>
      <c r="C389" s="12">
        <v>9801</v>
      </c>
      <c r="D389" s="7" t="s">
        <v>611</v>
      </c>
      <c r="E389" s="13" t="s">
        <v>7</v>
      </c>
      <c r="F389" t="str">
        <f t="shared" si="30"/>
        <v>Stonelake</v>
      </c>
      <c r="G389" t="str">
        <f t="shared" si="31"/>
        <v>Stonelake9801Austin</v>
      </c>
      <c r="H389" t="s">
        <v>31247</v>
      </c>
      <c r="I389" t="s">
        <v>22682</v>
      </c>
      <c r="J389" t="str">
        <f t="shared" si="32"/>
        <v>E:\PropInv\MF</v>
      </c>
      <c r="K389" s="103" t="str">
        <f>HYPERLINK("E:\PropInv\MF\Austin\Stonelake Blvd_9801_Arboretum at Stone Lake_Austin_00411","Stonelake Blvd_9801_Arboretum at Stone Lake_Austin_00411" )</f>
        <v>Stonelake Blvd_9801_Arboretum at Stone Lake_Austin_00411</v>
      </c>
      <c r="L389" s="104" t="s">
        <v>22253</v>
      </c>
      <c r="M389" s="103" t="str">
        <f t="shared" si="33"/>
        <v>http://oconnordata.com/mlink/modules/profile/index.cfm?action=profile&amp;prop_id=411</v>
      </c>
      <c r="N389" s="1" t="str">
        <f t="shared" si="34"/>
        <v>00411</v>
      </c>
    </row>
    <row r="390" spans="1:14" x14ac:dyDescent="0.3">
      <c r="A390" s="1">
        <v>412</v>
      </c>
      <c r="B390" s="7" t="s">
        <v>612</v>
      </c>
      <c r="C390" s="12">
        <v>4201</v>
      </c>
      <c r="D390" s="7" t="s">
        <v>613</v>
      </c>
      <c r="E390" s="13" t="s">
        <v>7</v>
      </c>
      <c r="F390" t="str">
        <f t="shared" si="30"/>
        <v>Monterey</v>
      </c>
      <c r="G390" t="str">
        <f t="shared" si="31"/>
        <v>Monterey4201Austin</v>
      </c>
      <c r="H390" t="s">
        <v>31248</v>
      </c>
      <c r="I390" t="s">
        <v>22683</v>
      </c>
      <c r="J390" t="str">
        <f t="shared" si="32"/>
        <v>E:\PropInv\MF</v>
      </c>
      <c r="K390" s="103" t="str">
        <f>HYPERLINK("E:\PropInv\MF\Austin\Monterey Oaks Blvd_4201_Sedona Springs_Austin_00412","Monterey Oaks Blvd_4201_Sedona Springs_Austin_00412" )</f>
        <v>Monterey Oaks Blvd_4201_Sedona Springs_Austin_00412</v>
      </c>
      <c r="L390" s="104" t="s">
        <v>22253</v>
      </c>
      <c r="M390" s="103" t="str">
        <f t="shared" si="33"/>
        <v>http://oconnordata.com/mlink/modules/profile/index.cfm?action=profile&amp;prop_id=412</v>
      </c>
      <c r="N390" s="1" t="str">
        <f t="shared" si="34"/>
        <v>00412</v>
      </c>
    </row>
    <row r="391" spans="1:14" x14ac:dyDescent="0.3">
      <c r="A391" s="1">
        <v>413</v>
      </c>
      <c r="B391" s="7" t="s">
        <v>614</v>
      </c>
      <c r="C391" s="12">
        <v>6280</v>
      </c>
      <c r="D391" s="7" t="s">
        <v>615</v>
      </c>
      <c r="E391" s="13" t="s">
        <v>7</v>
      </c>
      <c r="F391" t="str">
        <f t="shared" si="30"/>
        <v>McNeil</v>
      </c>
      <c r="G391" t="str">
        <f t="shared" si="31"/>
        <v>McNeil6280Austin</v>
      </c>
      <c r="H391" t="s">
        <v>31249</v>
      </c>
      <c r="I391" t="s">
        <v>22684</v>
      </c>
      <c r="J391" t="str">
        <f t="shared" si="32"/>
        <v>E:\PropInv\MF</v>
      </c>
      <c r="K391" s="103" t="str">
        <f>HYPERLINK("E:\PropInv\MF\Austin\McNeil Dr_6280_McNeil Ranch_Austin_00413","McNeil Dr_6280_McNeil Ranch_Austin_00413" )</f>
        <v>McNeil Dr_6280_McNeil Ranch_Austin_00413</v>
      </c>
      <c r="L391" s="104" t="s">
        <v>22253</v>
      </c>
      <c r="M391" s="103" t="str">
        <f t="shared" si="33"/>
        <v>http://oconnordata.com/mlink/modules/profile/index.cfm?action=profile&amp;prop_id=413</v>
      </c>
      <c r="N391" s="1" t="str">
        <f t="shared" si="34"/>
        <v>00413</v>
      </c>
    </row>
    <row r="392" spans="1:14" x14ac:dyDescent="0.3">
      <c r="A392" s="1">
        <v>414</v>
      </c>
      <c r="B392" s="10" t="s">
        <v>259</v>
      </c>
      <c r="C392" s="9">
        <v>3625</v>
      </c>
      <c r="D392" s="10" t="s">
        <v>616</v>
      </c>
      <c r="E392" s="11" t="s">
        <v>7</v>
      </c>
      <c r="F392" t="str">
        <f t="shared" si="30"/>
        <v>Duval</v>
      </c>
      <c r="G392" t="str">
        <f t="shared" si="31"/>
        <v>Duval3625Austin</v>
      </c>
      <c r="H392" t="s">
        <v>31250</v>
      </c>
      <c r="I392" t="s">
        <v>22685</v>
      </c>
      <c r="J392" t="str">
        <f t="shared" si="32"/>
        <v>E:\PropInv\MF</v>
      </c>
      <c r="K392" s="103" t="str">
        <f>HYPERLINK("E:\PropInv\MF\Austin\Duval Rd_3625_San Marin_Austin_00414","Duval Rd_3625_San Marin_Austin_00414" )</f>
        <v>Duval Rd_3625_San Marin_Austin_00414</v>
      </c>
      <c r="L392" s="104" t="s">
        <v>22253</v>
      </c>
      <c r="M392" s="103" t="str">
        <f t="shared" si="33"/>
        <v>http://oconnordata.com/mlink/modules/profile/index.cfm?action=profile&amp;prop_id=414</v>
      </c>
      <c r="N392" s="1" t="str">
        <f t="shared" si="34"/>
        <v>00414</v>
      </c>
    </row>
    <row r="393" spans="1:14" x14ac:dyDescent="0.3">
      <c r="A393" s="1">
        <v>415</v>
      </c>
      <c r="B393" s="7" t="s">
        <v>33</v>
      </c>
      <c r="C393" s="12">
        <v>7700</v>
      </c>
      <c r="D393" s="7" t="s">
        <v>617</v>
      </c>
      <c r="E393" s="13" t="s">
        <v>7</v>
      </c>
      <c r="F393" t="str">
        <f t="shared" si="30"/>
        <v>Capital</v>
      </c>
      <c r="G393" t="str">
        <f t="shared" si="31"/>
        <v>Capital7700Austin</v>
      </c>
      <c r="H393" t="s">
        <v>31251</v>
      </c>
      <c r="I393" t="s">
        <v>22686</v>
      </c>
      <c r="J393" t="str">
        <f t="shared" si="32"/>
        <v>E:\PropInv\MF</v>
      </c>
      <c r="K393" s="103" t="str">
        <f>HYPERLINK("E:\PropInv\MF\Austin\Capital of Texas Hwy N_7700_Canyon Springs on Bull Creek_Austin_00415","Capital of Texas Hwy N_7700_Canyon Springs on Bull Creek_Austin_00415" )</f>
        <v>Capital of Texas Hwy N_7700_Canyon Springs on Bull Creek_Austin_00415</v>
      </c>
      <c r="L393" s="104" t="s">
        <v>22253</v>
      </c>
      <c r="M393" s="103" t="str">
        <f t="shared" si="33"/>
        <v>http://oconnordata.com/mlink/modules/profile/index.cfm?action=profile&amp;prop_id=415</v>
      </c>
      <c r="N393" s="1" t="str">
        <f t="shared" si="34"/>
        <v>00415</v>
      </c>
    </row>
    <row r="394" spans="1:14" x14ac:dyDescent="0.3">
      <c r="A394" s="1">
        <v>416</v>
      </c>
      <c r="B394" s="7" t="s">
        <v>156</v>
      </c>
      <c r="C394" s="12">
        <v>12349</v>
      </c>
      <c r="D394" s="7" t="s">
        <v>618</v>
      </c>
      <c r="E394" s="13" t="s">
        <v>7</v>
      </c>
      <c r="F394" t="str">
        <f t="shared" si="30"/>
        <v>Metric</v>
      </c>
      <c r="G394" t="str">
        <f t="shared" si="31"/>
        <v>Metric12349Austin</v>
      </c>
      <c r="H394" t="s">
        <v>31252</v>
      </c>
      <c r="I394" t="s">
        <v>22687</v>
      </c>
      <c r="J394" t="str">
        <f t="shared" si="32"/>
        <v>E:\PropInv\MF</v>
      </c>
      <c r="K394" s="103" t="str">
        <f>HYPERLINK("E:\PropInv\MF\Austin\Metric Blvd_12349_Camden Huntingdon_Austin_00416","Metric Blvd_12349_Camden Huntingdon_Austin_00416" )</f>
        <v>Metric Blvd_12349_Camden Huntingdon_Austin_00416</v>
      </c>
      <c r="L394" s="104" t="s">
        <v>22253</v>
      </c>
      <c r="M394" s="103" t="str">
        <f t="shared" si="33"/>
        <v>http://oconnordata.com/mlink/modules/profile/index.cfm?action=profile&amp;prop_id=416</v>
      </c>
      <c r="N394" s="1" t="str">
        <f t="shared" si="34"/>
        <v>00416</v>
      </c>
    </row>
    <row r="395" spans="1:14" x14ac:dyDescent="0.3">
      <c r="A395" s="1">
        <v>417</v>
      </c>
      <c r="B395" s="19" t="s">
        <v>184</v>
      </c>
      <c r="C395" s="12">
        <v>10050</v>
      </c>
      <c r="D395" s="7" t="s">
        <v>619</v>
      </c>
      <c r="E395" s="13" t="s">
        <v>7</v>
      </c>
      <c r="F395" t="str">
        <f t="shared" si="30"/>
        <v>Great</v>
      </c>
      <c r="G395" t="str">
        <f t="shared" si="31"/>
        <v>Great10050Austin</v>
      </c>
      <c r="H395" t="s">
        <v>31253</v>
      </c>
      <c r="I395" t="s">
        <v>22688</v>
      </c>
      <c r="J395" t="str">
        <f t="shared" si="32"/>
        <v>E:\PropInv\MF</v>
      </c>
      <c r="K395" s="103" t="str">
        <f>HYPERLINK("E:\PropInv\MF\Austin\Great Hills Trl_10050_Marquis at Great Hills_Austin_00417","Great Hills Trl_10050_Marquis at Great Hills_Austin_00417" )</f>
        <v>Great Hills Trl_10050_Marquis at Great Hills_Austin_00417</v>
      </c>
      <c r="L395" s="104" t="s">
        <v>22253</v>
      </c>
      <c r="M395" s="103" t="str">
        <f t="shared" si="33"/>
        <v>http://oconnordata.com/mlink/modules/profile/index.cfm?action=profile&amp;prop_id=417</v>
      </c>
      <c r="N395" s="1" t="str">
        <f t="shared" si="34"/>
        <v>00417</v>
      </c>
    </row>
    <row r="396" spans="1:14" x14ac:dyDescent="0.3">
      <c r="A396" s="1">
        <v>418</v>
      </c>
      <c r="B396" s="7" t="s">
        <v>614</v>
      </c>
      <c r="C396" s="12">
        <v>6800</v>
      </c>
      <c r="D396" s="7" t="s">
        <v>620</v>
      </c>
      <c r="E396" s="13" t="s">
        <v>7</v>
      </c>
      <c r="F396" t="str">
        <f t="shared" si="30"/>
        <v>McNeil</v>
      </c>
      <c r="G396" t="str">
        <f t="shared" si="31"/>
        <v>McNeil6800Austin</v>
      </c>
      <c r="H396" t="s">
        <v>31254</v>
      </c>
      <c r="I396" t="s">
        <v>22689</v>
      </c>
      <c r="J396" t="str">
        <f t="shared" si="32"/>
        <v>E:\PropInv\MF</v>
      </c>
      <c r="K396" s="103" t="str">
        <f>HYPERLINK("E:\PropInv\MF\Austin\McNeil Dr_6800_Madison at Stone Creek_Austin_00418","McNeil Dr_6800_Madison at Stone Creek_Austin_00418" )</f>
        <v>McNeil Dr_6800_Madison at Stone Creek_Austin_00418</v>
      </c>
      <c r="L396" s="104" t="s">
        <v>22253</v>
      </c>
      <c r="M396" s="103" t="str">
        <f t="shared" si="33"/>
        <v>http://oconnordata.com/mlink/modules/profile/index.cfm?action=profile&amp;prop_id=418</v>
      </c>
      <c r="N396" s="1" t="str">
        <f t="shared" si="34"/>
        <v>00418</v>
      </c>
    </row>
    <row r="397" spans="1:14" x14ac:dyDescent="0.3">
      <c r="A397" s="1">
        <v>420</v>
      </c>
      <c r="B397" s="7" t="s">
        <v>176</v>
      </c>
      <c r="C397" s="12">
        <v>600</v>
      </c>
      <c r="D397" s="7" t="s">
        <v>621</v>
      </c>
      <c r="E397" s="13" t="s">
        <v>16</v>
      </c>
      <c r="F397" t="str">
        <f t="shared" si="30"/>
        <v>Luther</v>
      </c>
      <c r="G397" t="str">
        <f t="shared" si="31"/>
        <v>Luther600Georgetown</v>
      </c>
      <c r="H397" t="s">
        <v>31255</v>
      </c>
      <c r="I397" t="s">
        <v>22690</v>
      </c>
      <c r="J397" t="str">
        <f t="shared" si="32"/>
        <v>E:\PropInv\MF</v>
      </c>
      <c r="K397" s="103" t="str">
        <f>HYPERLINK("E:\PropInv\MF\Georgetown\Luther Dr_600_Indian Creek Apts_Georgetown_00420","Luther Dr_600_Indian Creek Apts_Georgetown_00420" )</f>
        <v>Luther Dr_600_Indian Creek Apts_Georgetown_00420</v>
      </c>
      <c r="L397" s="104" t="s">
        <v>22253</v>
      </c>
      <c r="M397" s="103" t="str">
        <f t="shared" si="33"/>
        <v>http://oconnordata.com/mlink/modules/profile/index.cfm?action=profile&amp;prop_id=420</v>
      </c>
      <c r="N397" s="1" t="str">
        <f t="shared" si="34"/>
        <v>00420</v>
      </c>
    </row>
    <row r="398" spans="1:14" x14ac:dyDescent="0.3">
      <c r="A398" s="1">
        <v>421</v>
      </c>
      <c r="B398" s="7" t="s">
        <v>318</v>
      </c>
      <c r="C398" s="12">
        <v>1070</v>
      </c>
      <c r="D398" s="7" t="s">
        <v>622</v>
      </c>
      <c r="E398" s="13" t="s">
        <v>7</v>
      </c>
      <c r="F398" t="str">
        <f t="shared" si="30"/>
        <v>Mearns</v>
      </c>
      <c r="G398" t="str">
        <f t="shared" si="31"/>
        <v>Mearns1070Austin</v>
      </c>
      <c r="H398" t="s">
        <v>31256</v>
      </c>
      <c r="I398" t="s">
        <v>22691</v>
      </c>
      <c r="J398" t="str">
        <f t="shared" si="32"/>
        <v>E:\PropInv\MF</v>
      </c>
      <c r="K398" s="103" t="str">
        <f>HYPERLINK("E:\PropInv\MF\Austin\Mearns Meadow Blvd_1070_Arbors of Austin_Austin_00421","Mearns Meadow Blvd_1070_Arbors of Austin_Austin_00421" )</f>
        <v>Mearns Meadow Blvd_1070_Arbors of Austin_Austin_00421</v>
      </c>
      <c r="L398" s="104" t="s">
        <v>22253</v>
      </c>
      <c r="M398" s="103" t="str">
        <f t="shared" si="33"/>
        <v>http://oconnordata.com/mlink/modules/profile/index.cfm?action=profile&amp;prop_id=421</v>
      </c>
      <c r="N398" s="1" t="str">
        <f t="shared" si="34"/>
        <v>00421</v>
      </c>
    </row>
    <row r="399" spans="1:14" x14ac:dyDescent="0.3">
      <c r="A399" s="1">
        <v>422</v>
      </c>
      <c r="B399" s="7" t="s">
        <v>623</v>
      </c>
      <c r="C399" s="12">
        <v>8701</v>
      </c>
      <c r="D399" s="7" t="s">
        <v>624</v>
      </c>
      <c r="E399" s="13" t="s">
        <v>7</v>
      </c>
      <c r="F399" t="str">
        <f t="shared" si="30"/>
        <v>Bluffstone</v>
      </c>
      <c r="G399" t="str">
        <f t="shared" si="31"/>
        <v>Bluffstone8701Austin</v>
      </c>
      <c r="H399" t="s">
        <v>31257</v>
      </c>
      <c r="I399" t="s">
        <v>22692</v>
      </c>
      <c r="J399" t="str">
        <f t="shared" si="32"/>
        <v>E:\PropInv\MF</v>
      </c>
      <c r="K399" s="103" t="str">
        <f>HYPERLINK("E:\PropInv\MF\Austin\Bluffstone Cove_8701_Broadstone Great Hills_Austin_00422","Bluffstone Cove_8701_Broadstone Great Hills_Austin_00422" )</f>
        <v>Bluffstone Cove_8701_Broadstone Great Hills_Austin_00422</v>
      </c>
      <c r="L399" s="104" t="s">
        <v>22253</v>
      </c>
      <c r="M399" s="103" t="str">
        <f t="shared" si="33"/>
        <v>http://oconnordata.com/mlink/modules/profile/index.cfm?action=profile&amp;prop_id=422</v>
      </c>
      <c r="N399" s="1" t="str">
        <f t="shared" si="34"/>
        <v>00422</v>
      </c>
    </row>
    <row r="400" spans="1:14" x14ac:dyDescent="0.3">
      <c r="A400" s="1">
        <v>423</v>
      </c>
      <c r="B400" s="7" t="s">
        <v>625</v>
      </c>
      <c r="C400" s="12">
        <v>11900</v>
      </c>
      <c r="D400" s="7" t="s">
        <v>626</v>
      </c>
      <c r="E400" s="13" t="s">
        <v>7</v>
      </c>
      <c r="F400" t="str">
        <f t="shared" si="30"/>
        <v>Hobby</v>
      </c>
      <c r="G400" t="str">
        <f t="shared" si="31"/>
        <v>Hobby11900Austin</v>
      </c>
      <c r="H400" t="s">
        <v>31258</v>
      </c>
      <c r="I400" t="s">
        <v>22693</v>
      </c>
      <c r="J400" t="str">
        <f t="shared" si="32"/>
        <v>E:\PropInv\MF</v>
      </c>
      <c r="K400" s="103" t="str">
        <f>HYPERLINK("E:\PropInv\MF\Austin\Hobby Horse Ct_11900_Verano at the Domain_Austin_00423","Hobby Horse Ct_11900_Verano at the Domain_Austin_00423" )</f>
        <v>Hobby Horse Ct_11900_Verano at the Domain_Austin_00423</v>
      </c>
      <c r="L400" s="104" t="s">
        <v>22253</v>
      </c>
      <c r="M400" s="103" t="str">
        <f t="shared" si="33"/>
        <v>http://oconnordata.com/mlink/modules/profile/index.cfm?action=profile&amp;prop_id=423</v>
      </c>
      <c r="N400" s="1" t="str">
        <f t="shared" si="34"/>
        <v>00423</v>
      </c>
    </row>
    <row r="401" spans="1:14" x14ac:dyDescent="0.3">
      <c r="A401" s="1">
        <v>424</v>
      </c>
      <c r="B401" s="7" t="s">
        <v>627</v>
      </c>
      <c r="C401" s="12">
        <v>2200</v>
      </c>
      <c r="D401" s="7" t="s">
        <v>628</v>
      </c>
      <c r="E401" s="13" t="s">
        <v>7</v>
      </c>
      <c r="F401" t="str">
        <f t="shared" si="30"/>
        <v>Panther</v>
      </c>
      <c r="G401" t="str">
        <f t="shared" si="31"/>
        <v>Panther2200Austin</v>
      </c>
      <c r="H401" t="s">
        <v>31259</v>
      </c>
      <c r="I401" t="s">
        <v>22694</v>
      </c>
      <c r="J401" t="str">
        <f t="shared" si="32"/>
        <v>E:\PropInv\MF</v>
      </c>
      <c r="K401" s="103" t="str">
        <f>HYPERLINK("E:\PropInv\MF\Austin\Panther Trl_2200_The Hamilton_Austin_00424","Panther Trl_2200_The Hamilton_Austin_00424" )</f>
        <v>Panther Trl_2200_The Hamilton_Austin_00424</v>
      </c>
      <c r="L401" s="104" t="s">
        <v>22253</v>
      </c>
      <c r="M401" s="103" t="str">
        <f t="shared" si="33"/>
        <v>http://oconnordata.com/mlink/modules/profile/index.cfm?action=profile&amp;prop_id=424</v>
      </c>
      <c r="N401" s="1" t="str">
        <f t="shared" si="34"/>
        <v>00424</v>
      </c>
    </row>
    <row r="402" spans="1:14" x14ac:dyDescent="0.3">
      <c r="A402" s="1">
        <v>425</v>
      </c>
      <c r="B402" s="7" t="s">
        <v>87</v>
      </c>
      <c r="C402" s="12">
        <v>11624</v>
      </c>
      <c r="D402" s="7" t="s">
        <v>629</v>
      </c>
      <c r="E402" s="13" t="s">
        <v>7</v>
      </c>
      <c r="F402" t="str">
        <f t="shared" si="30"/>
        <v>Jollyville</v>
      </c>
      <c r="G402" t="str">
        <f t="shared" si="31"/>
        <v>Jollyville11624Austin</v>
      </c>
      <c r="H402" t="s">
        <v>31260</v>
      </c>
      <c r="I402" t="s">
        <v>22695</v>
      </c>
      <c r="J402" t="str">
        <f t="shared" si="32"/>
        <v>E:\PropInv\MF</v>
      </c>
      <c r="K402" s="103" t="str">
        <f>HYPERLINK("E:\PropInv\MF\Austin\Jollyville Rd_11624_Marquis at Ladera Vista_Austin_00425","Jollyville Rd_11624_Marquis at Ladera Vista_Austin_00425" )</f>
        <v>Jollyville Rd_11624_Marquis at Ladera Vista_Austin_00425</v>
      </c>
      <c r="L402" s="104" t="s">
        <v>22253</v>
      </c>
      <c r="M402" s="103" t="str">
        <f t="shared" si="33"/>
        <v>http://oconnordata.com/mlink/modules/profile/index.cfm?action=profile&amp;prop_id=425</v>
      </c>
      <c r="N402" s="1" t="str">
        <f t="shared" si="34"/>
        <v>00425</v>
      </c>
    </row>
    <row r="403" spans="1:14" x14ac:dyDescent="0.3">
      <c r="A403" s="1">
        <v>426</v>
      </c>
      <c r="B403" s="7" t="s">
        <v>630</v>
      </c>
      <c r="C403" s="12">
        <v>515</v>
      </c>
      <c r="D403" s="7" t="s">
        <v>631</v>
      </c>
      <c r="E403" s="13" t="s">
        <v>18</v>
      </c>
      <c r="F403" t="str">
        <f t="shared" si="30"/>
        <v>Palm</v>
      </c>
      <c r="G403" t="str">
        <f t="shared" si="31"/>
        <v>Palm515Round Rock</v>
      </c>
      <c r="H403" t="s">
        <v>31261</v>
      </c>
      <c r="I403" t="s">
        <v>22696</v>
      </c>
      <c r="J403" t="str">
        <f t="shared" si="32"/>
        <v>E:\PropInv\MF</v>
      </c>
      <c r="K403" s="103" t="str">
        <f>HYPERLINK("E:\PropInv\MF\Round Rock\Palm Valley Blvd E_515_Steeplechase_Round Rock_00426","Palm Valley Blvd E_515_Steeplechase_Round Rock_00426" )</f>
        <v>Palm Valley Blvd E_515_Steeplechase_Round Rock_00426</v>
      </c>
      <c r="L403" s="104" t="s">
        <v>22253</v>
      </c>
      <c r="M403" s="103" t="str">
        <f t="shared" si="33"/>
        <v>http://oconnordata.com/mlink/modules/profile/index.cfm?action=profile&amp;prop_id=426</v>
      </c>
      <c r="N403" s="1" t="str">
        <f t="shared" si="34"/>
        <v>00426</v>
      </c>
    </row>
    <row r="404" spans="1:14" x14ac:dyDescent="0.3">
      <c r="A404" s="1">
        <v>427</v>
      </c>
      <c r="B404" s="7" t="s">
        <v>632</v>
      </c>
      <c r="C404" s="12">
        <v>4600</v>
      </c>
      <c r="D404" s="7" t="s">
        <v>633</v>
      </c>
      <c r="E404" s="13" t="s">
        <v>7</v>
      </c>
      <c r="F404" t="str">
        <f t="shared" si="30"/>
        <v>Seton</v>
      </c>
      <c r="G404" t="str">
        <f t="shared" si="31"/>
        <v>Seton4600Austin</v>
      </c>
      <c r="H404" t="s">
        <v>31262</v>
      </c>
      <c r="I404" t="s">
        <v>22697</v>
      </c>
      <c r="J404" t="str">
        <f t="shared" si="32"/>
        <v>E:\PropInv\MF</v>
      </c>
      <c r="K404" s="103" t="str">
        <f>HYPERLINK("E:\PropInv\MF\Austin\Seton Center Pkwy_4600_Estate on Quarry Lake_Austin_00427","Seton Center Pkwy_4600_Estate on Quarry Lake_Austin_00427" )</f>
        <v>Seton Center Pkwy_4600_Estate on Quarry Lake_Austin_00427</v>
      </c>
      <c r="L404" s="104" t="s">
        <v>22253</v>
      </c>
      <c r="M404" s="103" t="str">
        <f t="shared" si="33"/>
        <v>http://oconnordata.com/mlink/modules/profile/index.cfm?action=profile&amp;prop_id=427</v>
      </c>
      <c r="N404" s="1" t="str">
        <f t="shared" si="34"/>
        <v>00427</v>
      </c>
    </row>
    <row r="405" spans="1:14" x14ac:dyDescent="0.3">
      <c r="A405" s="1">
        <v>428</v>
      </c>
      <c r="B405" s="10" t="s">
        <v>634</v>
      </c>
      <c r="C405" s="9">
        <v>6800</v>
      </c>
      <c r="D405" s="10" t="s">
        <v>635</v>
      </c>
      <c r="E405" s="11" t="s">
        <v>7</v>
      </c>
      <c r="F405" t="str">
        <f t="shared" si="30"/>
        <v>Austin</v>
      </c>
      <c r="G405" t="str">
        <f t="shared" si="31"/>
        <v>Austin6800Austin</v>
      </c>
      <c r="H405" t="s">
        <v>31263</v>
      </c>
      <c r="I405" t="s">
        <v>22698</v>
      </c>
      <c r="J405" t="str">
        <f t="shared" si="32"/>
        <v>E:\PropInv\MF</v>
      </c>
      <c r="K405" s="103" t="str">
        <f>HYPERLINK("E:\PropInv\MF\Austin\Austin Center Blvd_6800_Somerset TH_Austin_00428","Austin Center Blvd_6800_Somerset TH_Austin_00428" )</f>
        <v>Austin Center Blvd_6800_Somerset TH_Austin_00428</v>
      </c>
      <c r="L405" s="104" t="s">
        <v>22253</v>
      </c>
      <c r="M405" s="103" t="str">
        <f t="shared" si="33"/>
        <v>http://oconnordata.com/mlink/modules/profile/index.cfm?action=profile&amp;prop_id=428</v>
      </c>
      <c r="N405" s="1" t="str">
        <f t="shared" si="34"/>
        <v>00428</v>
      </c>
    </row>
    <row r="406" spans="1:14" x14ac:dyDescent="0.3">
      <c r="A406" s="1">
        <v>429</v>
      </c>
      <c r="B406" s="7" t="s">
        <v>21</v>
      </c>
      <c r="C406" s="12">
        <v>3101</v>
      </c>
      <c r="D406" s="7" t="s">
        <v>636</v>
      </c>
      <c r="E406" s="13" t="s">
        <v>7</v>
      </c>
      <c r="F406" t="str">
        <f t="shared" si="30"/>
        <v>Wells</v>
      </c>
      <c r="G406" t="str">
        <f t="shared" si="31"/>
        <v>Wells3101Austin</v>
      </c>
      <c r="H406" t="s">
        <v>31264</v>
      </c>
      <c r="I406" t="s">
        <v>22699</v>
      </c>
      <c r="J406" t="str">
        <f t="shared" si="32"/>
        <v>E:\PropInv\MF</v>
      </c>
      <c r="K406" s="103" t="str">
        <f>HYPERLINK("E:\PropInv\MF\Austin\Wells Branch Pkwy_3101_Camden Ridgecrest_Austin_00429","Wells Branch Pkwy_3101_Camden Ridgecrest_Austin_00429" )</f>
        <v>Wells Branch Pkwy_3101_Camden Ridgecrest_Austin_00429</v>
      </c>
      <c r="L406" s="104" t="s">
        <v>22253</v>
      </c>
      <c r="M406" s="103" t="str">
        <f t="shared" si="33"/>
        <v>http://oconnordata.com/mlink/modules/profile/index.cfm?action=profile&amp;prop_id=429</v>
      </c>
      <c r="N406" s="1" t="str">
        <f t="shared" si="34"/>
        <v>00429</v>
      </c>
    </row>
    <row r="407" spans="1:14" x14ac:dyDescent="0.3">
      <c r="A407" s="1">
        <v>430</v>
      </c>
      <c r="B407" s="7" t="s">
        <v>240</v>
      </c>
      <c r="C407" s="12">
        <v>6307</v>
      </c>
      <c r="D407" s="7" t="s">
        <v>637</v>
      </c>
      <c r="E407" s="13" t="s">
        <v>7</v>
      </c>
      <c r="F407" t="str">
        <f t="shared" si="30"/>
        <v>Bluff</v>
      </c>
      <c r="G407" t="str">
        <f t="shared" si="31"/>
        <v>Bluff6307Austin</v>
      </c>
      <c r="H407" t="s">
        <v>31265</v>
      </c>
      <c r="I407" t="s">
        <v>22700</v>
      </c>
      <c r="J407" t="str">
        <f t="shared" si="32"/>
        <v>E:\PropInv\MF</v>
      </c>
      <c r="K407" s="103" t="str">
        <f>HYPERLINK("E:\PropInv\MF\Austin\Bluff Springs Rd_6307_Colonial Village at Canyon Hills_Austin_00430","Bluff Springs Rd_6307_Colonial Village at Canyon Hills_Austin_00430" )</f>
        <v>Bluff Springs Rd_6307_Colonial Village at Canyon Hills_Austin_00430</v>
      </c>
      <c r="L407" s="104" t="s">
        <v>22253</v>
      </c>
      <c r="M407" s="103" t="str">
        <f t="shared" si="33"/>
        <v>http://oconnordata.com/mlink/modules/profile/index.cfm?action=profile&amp;prop_id=430</v>
      </c>
      <c r="N407" s="1" t="str">
        <f t="shared" si="34"/>
        <v>00430</v>
      </c>
    </row>
    <row r="408" spans="1:14" x14ac:dyDescent="0.3">
      <c r="A408" s="1">
        <v>431</v>
      </c>
      <c r="B408" s="7" t="s">
        <v>144</v>
      </c>
      <c r="C408" s="12">
        <v>12151</v>
      </c>
      <c r="D408" s="7" t="s">
        <v>638</v>
      </c>
      <c r="E408" s="13" t="s">
        <v>7</v>
      </c>
      <c r="F408" t="str">
        <f t="shared" si="30"/>
        <v>35</v>
      </c>
      <c r="G408" t="str">
        <f t="shared" si="31"/>
        <v>3512151Austin</v>
      </c>
      <c r="H408" t="s">
        <v>31266</v>
      </c>
      <c r="I408" t="s">
        <v>22701</v>
      </c>
      <c r="J408" t="str">
        <f t="shared" si="32"/>
        <v>E:\PropInv\MF</v>
      </c>
      <c r="K408" s="103" t="str">
        <f>HYPERLINK("E:\PropInv\MF\Austin\35 IH N_12151_Silver Springs_Austin_00431","35 IH N_12151_Silver Springs_Austin_00431" )</f>
        <v>35 IH N_12151_Silver Springs_Austin_00431</v>
      </c>
      <c r="L408" s="104" t="s">
        <v>22253</v>
      </c>
      <c r="M408" s="103" t="str">
        <f t="shared" si="33"/>
        <v>http://oconnordata.com/mlink/modules/profile/index.cfm?action=profile&amp;prop_id=431</v>
      </c>
      <c r="N408" s="1" t="str">
        <f t="shared" si="34"/>
        <v>00431</v>
      </c>
    </row>
    <row r="409" spans="1:14" x14ac:dyDescent="0.3">
      <c r="A409" s="1">
        <v>432</v>
      </c>
      <c r="B409" s="7" t="s">
        <v>163</v>
      </c>
      <c r="C409" s="12">
        <v>9323</v>
      </c>
      <c r="D409" s="7" t="s">
        <v>639</v>
      </c>
      <c r="E409" s="13" t="s">
        <v>7</v>
      </c>
      <c r="F409" t="str">
        <f t="shared" si="30"/>
        <v>Manchaca</v>
      </c>
      <c r="G409" t="str">
        <f t="shared" si="31"/>
        <v>Manchaca9323Austin</v>
      </c>
      <c r="H409" t="s">
        <v>31267</v>
      </c>
      <c r="I409" t="s">
        <v>22702</v>
      </c>
      <c r="J409" t="str">
        <f t="shared" si="32"/>
        <v>E:\PropInv\MF</v>
      </c>
      <c r="K409" s="103" t="str">
        <f>HYPERLINK("E:\PropInv\MF\Austin\Manchaca Rd_9323_The Crossing_Austin_00432","Manchaca Rd_9323_The Crossing_Austin_00432" )</f>
        <v>Manchaca Rd_9323_The Crossing_Austin_00432</v>
      </c>
      <c r="L409" s="104" t="s">
        <v>22253</v>
      </c>
      <c r="M409" s="103" t="str">
        <f t="shared" si="33"/>
        <v>http://oconnordata.com/mlink/modules/profile/index.cfm?action=profile&amp;prop_id=432</v>
      </c>
      <c r="N409" s="1" t="str">
        <f t="shared" si="34"/>
        <v>00432</v>
      </c>
    </row>
    <row r="410" spans="1:14" x14ac:dyDescent="0.3">
      <c r="A410" s="1">
        <v>433</v>
      </c>
      <c r="B410" s="10" t="s">
        <v>640</v>
      </c>
      <c r="C410" s="9">
        <v>11915</v>
      </c>
      <c r="D410" s="10" t="s">
        <v>641</v>
      </c>
      <c r="E410" s="11" t="s">
        <v>7</v>
      </c>
      <c r="F410" t="str">
        <f t="shared" si="30"/>
        <v>Stonehollow</v>
      </c>
      <c r="G410" t="str">
        <f t="shared" si="31"/>
        <v>Stonehollow11915Austin</v>
      </c>
      <c r="H410" t="s">
        <v>31268</v>
      </c>
      <c r="I410" t="s">
        <v>22703</v>
      </c>
      <c r="J410" t="str">
        <f t="shared" si="32"/>
        <v>E:\PropInv\MF</v>
      </c>
      <c r="K410" s="103" t="str">
        <f>HYPERLINK("E:\PropInv\MF\Austin\Stonehollow Dr_11915_Northland at Stonehollow_Austin_00433","Stonehollow Dr_11915_Northland at Stonehollow_Austin_00433" )</f>
        <v>Stonehollow Dr_11915_Northland at Stonehollow_Austin_00433</v>
      </c>
      <c r="L410" s="104" t="s">
        <v>22253</v>
      </c>
      <c r="M410" s="103" t="str">
        <f t="shared" si="33"/>
        <v>http://oconnordata.com/mlink/modules/profile/index.cfm?action=profile&amp;prop_id=433</v>
      </c>
      <c r="N410" s="1" t="str">
        <f t="shared" si="34"/>
        <v>00433</v>
      </c>
    </row>
    <row r="411" spans="1:14" x14ac:dyDescent="0.3">
      <c r="A411" s="1">
        <v>434</v>
      </c>
      <c r="B411" s="7" t="s">
        <v>377</v>
      </c>
      <c r="C411" s="12">
        <v>5217</v>
      </c>
      <c r="D411" s="7" t="s">
        <v>642</v>
      </c>
      <c r="E411" s="13" t="s">
        <v>7</v>
      </c>
      <c r="F411" t="str">
        <f t="shared" si="30"/>
        <v>Spicewood</v>
      </c>
      <c r="G411" t="str">
        <f t="shared" si="31"/>
        <v>Spicewood5217Austin</v>
      </c>
      <c r="H411" t="s">
        <v>31269</v>
      </c>
      <c r="I411" t="s">
        <v>22704</v>
      </c>
      <c r="J411" t="str">
        <f t="shared" si="32"/>
        <v>E:\PropInv\MF</v>
      </c>
      <c r="K411" s="103" t="str">
        <f>HYPERLINK("E:\PropInv\MF\Austin\Spicewood Springs Rd_5217_Marquis at Treetops_Austin_00434","Spicewood Springs Rd_5217_Marquis at Treetops_Austin_00434" )</f>
        <v>Spicewood Springs Rd_5217_Marquis at Treetops_Austin_00434</v>
      </c>
      <c r="L411" s="104" t="s">
        <v>22253</v>
      </c>
      <c r="M411" s="103" t="str">
        <f t="shared" si="33"/>
        <v>http://oconnordata.com/mlink/modules/profile/index.cfm?action=profile&amp;prop_id=434</v>
      </c>
      <c r="N411" s="1" t="str">
        <f t="shared" si="34"/>
        <v>00434</v>
      </c>
    </row>
    <row r="412" spans="1:14" x14ac:dyDescent="0.3">
      <c r="A412" s="1">
        <v>436</v>
      </c>
      <c r="B412" s="7" t="s">
        <v>156</v>
      </c>
      <c r="C412" s="12">
        <v>12100</v>
      </c>
      <c r="D412" s="7" t="s">
        <v>643</v>
      </c>
      <c r="E412" s="13" t="s">
        <v>7</v>
      </c>
      <c r="F412" t="str">
        <f t="shared" si="30"/>
        <v>Metric</v>
      </c>
      <c r="G412" t="str">
        <f t="shared" si="31"/>
        <v>Metric12100Austin</v>
      </c>
      <c r="H412" t="s">
        <v>31270</v>
      </c>
      <c r="I412" t="s">
        <v>22705</v>
      </c>
      <c r="J412" t="str">
        <f t="shared" si="32"/>
        <v>E:\PropInv\MF</v>
      </c>
      <c r="K412" s="103" t="str">
        <f>HYPERLINK("E:\PropInv\MF\Austin\Metric Blvd_12100_Chez Moi_Austin_00436","Metric Blvd_12100_Chez Moi_Austin_00436" )</f>
        <v>Metric Blvd_12100_Chez Moi_Austin_00436</v>
      </c>
      <c r="L412" s="104" t="s">
        <v>22253</v>
      </c>
      <c r="M412" s="103" t="str">
        <f t="shared" si="33"/>
        <v>http://oconnordata.com/mlink/modules/profile/index.cfm?action=profile&amp;prop_id=436</v>
      </c>
      <c r="N412" s="1" t="str">
        <f t="shared" si="34"/>
        <v>00436</v>
      </c>
    </row>
    <row r="413" spans="1:14" x14ac:dyDescent="0.3">
      <c r="A413" s="1">
        <v>437</v>
      </c>
      <c r="B413" s="7" t="s">
        <v>644</v>
      </c>
      <c r="C413" s="12">
        <v>4701</v>
      </c>
      <c r="D413" s="10" t="s">
        <v>645</v>
      </c>
      <c r="E413" s="13" t="s">
        <v>7</v>
      </c>
      <c r="F413" t="str">
        <f t="shared" si="30"/>
        <v>Staggerbrush</v>
      </c>
      <c r="G413" t="str">
        <f t="shared" si="31"/>
        <v>Staggerbrush4701Austin</v>
      </c>
      <c r="H413" t="s">
        <v>31271</v>
      </c>
      <c r="I413" t="s">
        <v>22706</v>
      </c>
      <c r="J413" t="str">
        <f t="shared" si="32"/>
        <v>E:\PropInv\MF</v>
      </c>
      <c r="K413" s="103" t="str">
        <f>HYPERLINK("E:\PropInv\MF\Austin\Staggerbrush Rd_4701_IMT Monterey Ranch_Austin_00437","Staggerbrush Rd_4701_IMT Monterey Ranch_Austin_00437" )</f>
        <v>Staggerbrush Rd_4701_IMT Monterey Ranch_Austin_00437</v>
      </c>
      <c r="L413" s="104" t="s">
        <v>22253</v>
      </c>
      <c r="M413" s="103" t="str">
        <f t="shared" si="33"/>
        <v>http://oconnordata.com/mlink/modules/profile/index.cfm?action=profile&amp;prop_id=437</v>
      </c>
      <c r="N413" s="1" t="str">
        <f t="shared" si="34"/>
        <v>00437</v>
      </c>
    </row>
    <row r="414" spans="1:14" x14ac:dyDescent="0.3">
      <c r="A414" s="1">
        <v>439</v>
      </c>
      <c r="B414" s="10" t="s">
        <v>646</v>
      </c>
      <c r="C414" s="9">
        <v>3201</v>
      </c>
      <c r="D414" s="10" t="s">
        <v>647</v>
      </c>
      <c r="E414" s="11" t="s">
        <v>7</v>
      </c>
      <c r="F414" t="str">
        <f t="shared" si="30"/>
        <v>Century</v>
      </c>
      <c r="G414" t="str">
        <f t="shared" si="31"/>
        <v>Century3201Austin</v>
      </c>
      <c r="H414" t="s">
        <v>31272</v>
      </c>
      <c r="I414" t="s">
        <v>22707</v>
      </c>
      <c r="J414" t="str">
        <f t="shared" si="32"/>
        <v>E:\PropInv\MF</v>
      </c>
      <c r="K414" s="103" t="str">
        <f>HYPERLINK("E:\PropInv\MF\Austin\Century Park Blvd_3201_Madison at Wells Branch_Austin_00439","Century Park Blvd_3201_Madison at Wells Branch_Austin_00439" )</f>
        <v>Century Park Blvd_3201_Madison at Wells Branch_Austin_00439</v>
      </c>
      <c r="L414" s="104" t="s">
        <v>22253</v>
      </c>
      <c r="M414" s="103" t="str">
        <f t="shared" si="33"/>
        <v>http://oconnordata.com/mlink/modules/profile/index.cfm?action=profile&amp;prop_id=439</v>
      </c>
      <c r="N414" s="1" t="str">
        <f t="shared" si="34"/>
        <v>00439</v>
      </c>
    </row>
    <row r="415" spans="1:14" x14ac:dyDescent="0.3">
      <c r="A415" s="1">
        <v>440</v>
      </c>
      <c r="B415" s="7" t="s">
        <v>41</v>
      </c>
      <c r="C415" s="12">
        <v>4700</v>
      </c>
      <c r="D415" s="7" t="s">
        <v>648</v>
      </c>
      <c r="E415" s="13" t="s">
        <v>7</v>
      </c>
      <c r="F415" t="str">
        <f t="shared" si="30"/>
        <v>Riverside</v>
      </c>
      <c r="G415" t="str">
        <f t="shared" si="31"/>
        <v>Riverside4700Austin</v>
      </c>
      <c r="H415" t="s">
        <v>31273</v>
      </c>
      <c r="I415" t="s">
        <v>22708</v>
      </c>
      <c r="J415" t="str">
        <f t="shared" si="32"/>
        <v>E:\PropInv\MF</v>
      </c>
      <c r="K415" s="103" t="str">
        <f>HYPERLINK("E:\PropInv\MF\Austin\Riverside Dr E_4700_The Edge and The Zone at East End_Austin_00440","Riverside Dr E_4700_The Edge and The Zone at East End_Austin_00440" )</f>
        <v>Riverside Dr E_4700_The Edge and The Zone at East End_Austin_00440</v>
      </c>
      <c r="L415" s="104" t="s">
        <v>22253</v>
      </c>
      <c r="M415" s="103" t="str">
        <f t="shared" si="33"/>
        <v>http://oconnordata.com/mlink/modules/profile/index.cfm?action=profile&amp;prop_id=440</v>
      </c>
      <c r="N415" s="1" t="str">
        <f t="shared" si="34"/>
        <v>00440</v>
      </c>
    </row>
    <row r="416" spans="1:14" x14ac:dyDescent="0.3">
      <c r="A416" s="1">
        <v>441</v>
      </c>
      <c r="B416" s="7" t="s">
        <v>649</v>
      </c>
      <c r="C416" s="12">
        <v>2600</v>
      </c>
      <c r="D416" s="7" t="s">
        <v>650</v>
      </c>
      <c r="E416" s="13" t="s">
        <v>7</v>
      </c>
      <c r="F416" t="str">
        <f t="shared" si="30"/>
        <v>Lake</v>
      </c>
      <c r="G416" t="str">
        <f t="shared" si="31"/>
        <v>Lake2600Austin</v>
      </c>
      <c r="H416" t="s">
        <v>31274</v>
      </c>
      <c r="I416" t="s">
        <v>22709</v>
      </c>
      <c r="J416" t="str">
        <f t="shared" si="32"/>
        <v>E:\PropInv\MF</v>
      </c>
      <c r="K416" s="103" t="str">
        <f>HYPERLINK("E:\PropInv\MF\Austin\Lake Austin Blvd_2600_Gables Town Lake_Austin_00441","Lake Austin Blvd_2600_Gables Town Lake_Austin_00441" )</f>
        <v>Lake Austin Blvd_2600_Gables Town Lake_Austin_00441</v>
      </c>
      <c r="L416" s="104" t="s">
        <v>22253</v>
      </c>
      <c r="M416" s="103" t="str">
        <f t="shared" si="33"/>
        <v>http://oconnordata.com/mlink/modules/profile/index.cfm?action=profile&amp;prop_id=441</v>
      </c>
      <c r="N416" s="1" t="str">
        <f t="shared" si="34"/>
        <v>00441</v>
      </c>
    </row>
    <row r="417" spans="1:14" x14ac:dyDescent="0.3">
      <c r="A417" s="1">
        <v>442</v>
      </c>
      <c r="B417" s="10" t="s">
        <v>651</v>
      </c>
      <c r="C417" s="9">
        <v>6636</v>
      </c>
      <c r="D417" s="10" t="s">
        <v>652</v>
      </c>
      <c r="E417" s="11" t="s">
        <v>7</v>
      </c>
      <c r="F417" t="str">
        <f t="shared" si="30"/>
        <v>William</v>
      </c>
      <c r="G417" t="str">
        <f t="shared" si="31"/>
        <v>William6636Austin</v>
      </c>
      <c r="H417" t="s">
        <v>31275</v>
      </c>
      <c r="I417" t="s">
        <v>22710</v>
      </c>
      <c r="J417" t="str">
        <f t="shared" si="32"/>
        <v>E:\PropInv\MF</v>
      </c>
      <c r="K417" s="103" t="str">
        <f>HYPERLINK("E:\PropInv\MF\Austin\William Cannon W_6636_Lantana Ridge_Austin_00442","William Cannon W_6636_Lantana Ridge_Austin_00442" )</f>
        <v>William Cannon W_6636_Lantana Ridge_Austin_00442</v>
      </c>
      <c r="L417" s="104" t="s">
        <v>22253</v>
      </c>
      <c r="M417" s="103" t="str">
        <f t="shared" si="33"/>
        <v>http://oconnordata.com/mlink/modules/profile/index.cfm?action=profile&amp;prop_id=442</v>
      </c>
      <c r="N417" s="1" t="str">
        <f t="shared" si="34"/>
        <v>00442</v>
      </c>
    </row>
    <row r="418" spans="1:14" x14ac:dyDescent="0.3">
      <c r="A418" s="1">
        <v>443</v>
      </c>
      <c r="B418" s="10" t="s">
        <v>653</v>
      </c>
      <c r="C418" s="9">
        <v>2811</v>
      </c>
      <c r="D418" s="10" t="s">
        <v>654</v>
      </c>
      <c r="E418" s="11" t="s">
        <v>7</v>
      </c>
      <c r="F418" t="str">
        <f t="shared" si="30"/>
        <v>La</v>
      </c>
      <c r="G418" t="str">
        <f t="shared" si="31"/>
        <v>La2811Austin</v>
      </c>
      <c r="H418" t="s">
        <v>31276</v>
      </c>
      <c r="I418" t="s">
        <v>22711</v>
      </c>
      <c r="J418" t="str">
        <f t="shared" si="32"/>
        <v>E:\PropInv\MF</v>
      </c>
      <c r="K418" s="103" t="str">
        <f>HYPERLINK("E:\PropInv\MF\Austin\La Frontera Blvd_2811_Limestone Ranch_Austin_00443","La Frontera Blvd_2811_Limestone Ranch_Austin_00443" )</f>
        <v>La Frontera Blvd_2811_Limestone Ranch_Austin_00443</v>
      </c>
      <c r="L418" s="104" t="s">
        <v>22253</v>
      </c>
      <c r="M418" s="103" t="str">
        <f t="shared" si="33"/>
        <v>http://oconnordata.com/mlink/modules/profile/index.cfm?action=profile&amp;prop_id=443</v>
      </c>
      <c r="N418" s="1" t="str">
        <f t="shared" si="34"/>
        <v>00443</v>
      </c>
    </row>
    <row r="419" spans="1:14" x14ac:dyDescent="0.3">
      <c r="A419" s="1">
        <v>444</v>
      </c>
      <c r="B419" s="10" t="s">
        <v>655</v>
      </c>
      <c r="C419" s="9">
        <v>1704</v>
      </c>
      <c r="D419" s="10" t="s">
        <v>656</v>
      </c>
      <c r="E419" s="11" t="s">
        <v>7</v>
      </c>
      <c r="F419" t="str">
        <f t="shared" si="30"/>
        <v>Nelms</v>
      </c>
      <c r="G419" t="str">
        <f t="shared" si="31"/>
        <v>Nelms1704Austin</v>
      </c>
      <c r="H419" t="s">
        <v>31277</v>
      </c>
      <c r="I419" t="s">
        <v>22712</v>
      </c>
      <c r="J419" t="str">
        <f t="shared" si="32"/>
        <v>E:\PropInv\MF</v>
      </c>
      <c r="K419" s="103" t="str">
        <f>HYPERLINK("E:\PropInv\MF\Austin\Nelms Dr_1704_Sunrise Bluff_Austin_00444","Nelms Dr_1704_Sunrise Bluff_Austin_00444" )</f>
        <v>Nelms Dr_1704_Sunrise Bluff_Austin_00444</v>
      </c>
      <c r="L419" s="104" t="s">
        <v>22253</v>
      </c>
      <c r="M419" s="103" t="str">
        <f t="shared" si="33"/>
        <v>http://oconnordata.com/mlink/modules/profile/index.cfm?action=profile&amp;prop_id=444</v>
      </c>
      <c r="N419" s="1" t="str">
        <f t="shared" si="34"/>
        <v>00444</v>
      </c>
    </row>
    <row r="420" spans="1:14" x14ac:dyDescent="0.3">
      <c r="A420" s="1">
        <v>445</v>
      </c>
      <c r="B420" s="10" t="s">
        <v>657</v>
      </c>
      <c r="C420" s="9">
        <v>4424</v>
      </c>
      <c r="D420" s="10" t="s">
        <v>658</v>
      </c>
      <c r="E420" s="11" t="s">
        <v>7</v>
      </c>
      <c r="F420" t="str">
        <f t="shared" si="30"/>
        <v>Gaines</v>
      </c>
      <c r="G420" t="str">
        <f t="shared" si="31"/>
        <v>Gaines4424Austin</v>
      </c>
      <c r="H420" t="s">
        <v>31278</v>
      </c>
      <c r="I420" t="s">
        <v>22713</v>
      </c>
      <c r="J420" t="str">
        <f t="shared" si="32"/>
        <v>E:\PropInv\MF</v>
      </c>
      <c r="K420" s="103" t="str">
        <f>HYPERLINK("E:\PropInv\MF\Austin\Gaines Ranch Loop_4424_Camden Gaines Ranch_Austin_00445","Gaines Ranch Loop_4424_Camden Gaines Ranch_Austin_00445" )</f>
        <v>Gaines Ranch Loop_4424_Camden Gaines Ranch_Austin_00445</v>
      </c>
      <c r="L420" s="104" t="s">
        <v>22253</v>
      </c>
      <c r="M420" s="103" t="str">
        <f t="shared" si="33"/>
        <v>http://oconnordata.com/mlink/modules/profile/index.cfm?action=profile&amp;prop_id=445</v>
      </c>
      <c r="N420" s="1" t="str">
        <f t="shared" si="34"/>
        <v>00445</v>
      </c>
    </row>
    <row r="421" spans="1:14" x14ac:dyDescent="0.3">
      <c r="A421" s="1">
        <v>446</v>
      </c>
      <c r="B421" s="10" t="s">
        <v>614</v>
      </c>
      <c r="C421" s="9">
        <v>6263</v>
      </c>
      <c r="D421" s="10" t="s">
        <v>659</v>
      </c>
      <c r="E421" s="11" t="s">
        <v>7</v>
      </c>
      <c r="F421" t="str">
        <f t="shared" si="30"/>
        <v>McNeil</v>
      </c>
      <c r="G421" t="str">
        <f t="shared" si="31"/>
        <v>McNeil6263Austin</v>
      </c>
      <c r="H421" t="s">
        <v>31279</v>
      </c>
      <c r="I421" t="s">
        <v>22714</v>
      </c>
      <c r="J421" t="str">
        <f t="shared" si="32"/>
        <v>E:\PropInv\MF</v>
      </c>
      <c r="K421" s="103" t="str">
        <f>HYPERLINK("E:\PropInv\MF\Austin\McNeil Dr_6263_Colonial Village at Quarry Oaks_Austin_00446","McNeil Dr_6263_Colonial Village at Quarry Oaks_Austin_00446" )</f>
        <v>McNeil Dr_6263_Colonial Village at Quarry Oaks_Austin_00446</v>
      </c>
      <c r="L421" s="104" t="s">
        <v>22253</v>
      </c>
      <c r="M421" s="103" t="str">
        <f t="shared" si="33"/>
        <v>http://oconnordata.com/mlink/modules/profile/index.cfm?action=profile&amp;prop_id=446</v>
      </c>
      <c r="N421" s="1" t="str">
        <f t="shared" si="34"/>
        <v>00446</v>
      </c>
    </row>
    <row r="422" spans="1:14" x14ac:dyDescent="0.3">
      <c r="A422" s="1">
        <v>447</v>
      </c>
      <c r="B422" s="10" t="s">
        <v>660</v>
      </c>
      <c r="C422" s="9">
        <v>5800</v>
      </c>
      <c r="D422" s="10" t="s">
        <v>661</v>
      </c>
      <c r="E422" s="11" t="s">
        <v>7</v>
      </c>
      <c r="F422" t="str">
        <f t="shared" si="30"/>
        <v>Brodie</v>
      </c>
      <c r="G422" t="str">
        <f t="shared" si="31"/>
        <v>Brodie5800Austin</v>
      </c>
      <c r="H422" t="s">
        <v>31280</v>
      </c>
      <c r="I422" t="s">
        <v>22715</v>
      </c>
      <c r="J422" t="str">
        <f t="shared" si="32"/>
        <v>E:\PropInv\MF</v>
      </c>
      <c r="K422" s="103" t="str">
        <f>HYPERLINK("E:\PropInv\MF\Austin\Brodie Ln_5800_The Grand Reserve at Sunset Valley_Austin_00447","Brodie Ln_5800_The Grand Reserve at Sunset Valley_Austin_00447" )</f>
        <v>Brodie Ln_5800_The Grand Reserve at Sunset Valley_Austin_00447</v>
      </c>
      <c r="L422" s="104" t="s">
        <v>22253</v>
      </c>
      <c r="M422" s="103" t="str">
        <f t="shared" si="33"/>
        <v>http://oconnordata.com/mlink/modules/profile/index.cfm?action=profile&amp;prop_id=447</v>
      </c>
      <c r="N422" s="1" t="str">
        <f t="shared" si="34"/>
        <v>00447</v>
      </c>
    </row>
    <row r="423" spans="1:14" x14ac:dyDescent="0.3">
      <c r="A423" s="1">
        <v>448</v>
      </c>
      <c r="B423" s="7" t="s">
        <v>662</v>
      </c>
      <c r="C423" s="12">
        <v>3401</v>
      </c>
      <c r="D423" s="7" t="s">
        <v>663</v>
      </c>
      <c r="E423" s="13" t="s">
        <v>7</v>
      </c>
      <c r="F423" t="str">
        <f t="shared" si="30"/>
        <v>Parmer</v>
      </c>
      <c r="G423" t="str">
        <f t="shared" si="31"/>
        <v>Parmer3401Austin</v>
      </c>
      <c r="H423" t="s">
        <v>31281</v>
      </c>
      <c r="I423" t="s">
        <v>22716</v>
      </c>
      <c r="J423" t="str">
        <f t="shared" si="32"/>
        <v>E:\PropInv\MF</v>
      </c>
      <c r="K423" s="103" t="str">
        <f>HYPERLINK("E:\PropInv\MF\Austin\Parmer Ln W_3401_Water's Park_Austin_00448","Parmer Ln W_3401_Water's Park_Austin_00448" )</f>
        <v>Parmer Ln W_3401_Water's Park_Austin_00448</v>
      </c>
      <c r="L423" s="104" t="s">
        <v>22253</v>
      </c>
      <c r="M423" s="103" t="str">
        <f t="shared" si="33"/>
        <v>http://oconnordata.com/mlink/modules/profile/index.cfm?action=profile&amp;prop_id=448</v>
      </c>
      <c r="N423" s="1" t="str">
        <f t="shared" si="34"/>
        <v>00448</v>
      </c>
    </row>
    <row r="424" spans="1:14" x14ac:dyDescent="0.3">
      <c r="A424" s="1">
        <v>449</v>
      </c>
      <c r="B424" s="7" t="s">
        <v>93</v>
      </c>
      <c r="C424" s="12">
        <v>1221</v>
      </c>
      <c r="D424" s="7" t="s">
        <v>664</v>
      </c>
      <c r="E424" s="13" t="s">
        <v>7</v>
      </c>
      <c r="F424" t="str">
        <f t="shared" si="30"/>
        <v>Congress</v>
      </c>
      <c r="G424" t="str">
        <f t="shared" si="31"/>
        <v>Congress1221Austin</v>
      </c>
      <c r="H424" t="s">
        <v>31282</v>
      </c>
      <c r="I424" t="s">
        <v>22717</v>
      </c>
      <c r="J424" t="str">
        <f t="shared" si="32"/>
        <v>E:\PropInv\MF</v>
      </c>
      <c r="K424" s="103" t="str">
        <f>HYPERLINK("E:\PropInv\MF\Austin\Congress Ave S_1221_State House on Congress_Austin_00449","Congress Ave S_1221_State House on Congress_Austin_00449" )</f>
        <v>Congress Ave S_1221_State House on Congress_Austin_00449</v>
      </c>
      <c r="L424" s="104" t="s">
        <v>22253</v>
      </c>
      <c r="M424" s="103" t="str">
        <f t="shared" si="33"/>
        <v>http://oconnordata.com/mlink/modules/profile/index.cfm?action=profile&amp;prop_id=449</v>
      </c>
      <c r="N424" s="1" t="str">
        <f t="shared" si="34"/>
        <v>00449</v>
      </c>
    </row>
    <row r="425" spans="1:14" x14ac:dyDescent="0.3">
      <c r="A425" s="1">
        <v>450</v>
      </c>
      <c r="B425" s="7" t="s">
        <v>290</v>
      </c>
      <c r="C425" s="12">
        <v>1088</v>
      </c>
      <c r="D425" s="7" t="s">
        <v>665</v>
      </c>
      <c r="E425" s="13" t="s">
        <v>7</v>
      </c>
      <c r="F425" t="str">
        <f t="shared" si="30"/>
        <v>Park</v>
      </c>
      <c r="G425" t="str">
        <f t="shared" si="31"/>
        <v>Park1088Austin</v>
      </c>
      <c r="H425" t="s">
        <v>31283</v>
      </c>
      <c r="I425" t="s">
        <v>22718</v>
      </c>
      <c r="J425" t="str">
        <f t="shared" si="32"/>
        <v>E:\PropInv\MF</v>
      </c>
      <c r="K425" s="103" t="str">
        <f>HYPERLINK("E:\PropInv\MF\Austin\Park Plaza Dr_1088_Forest Park_Austin_00450","Park Plaza Dr_1088_Forest Park_Austin_00450" )</f>
        <v>Park Plaza Dr_1088_Forest Park_Austin_00450</v>
      </c>
      <c r="L425" s="104" t="s">
        <v>22253</v>
      </c>
      <c r="M425" s="103" t="str">
        <f t="shared" si="33"/>
        <v>http://oconnordata.com/mlink/modules/profile/index.cfm?action=profile&amp;prop_id=450</v>
      </c>
      <c r="N425" s="1" t="str">
        <f t="shared" si="34"/>
        <v>00450</v>
      </c>
    </row>
    <row r="426" spans="1:14" x14ac:dyDescent="0.3">
      <c r="A426" s="1">
        <v>451</v>
      </c>
      <c r="B426" s="7" t="s">
        <v>630</v>
      </c>
      <c r="C426" s="12">
        <v>1801</v>
      </c>
      <c r="D426" s="7" t="s">
        <v>666</v>
      </c>
      <c r="E426" s="13" t="s">
        <v>18</v>
      </c>
      <c r="F426" t="str">
        <f t="shared" si="30"/>
        <v>Palm</v>
      </c>
      <c r="G426" t="str">
        <f t="shared" si="31"/>
        <v>Palm1801Round Rock</v>
      </c>
      <c r="H426" t="s">
        <v>31284</v>
      </c>
      <c r="I426" t="s">
        <v>22719</v>
      </c>
      <c r="J426" t="str">
        <f t="shared" si="32"/>
        <v>E:\PropInv\MF</v>
      </c>
      <c r="K426" s="103" t="str">
        <f>HYPERLINK("E:\PropInv\MF\Round Rock\Palm Valley Blvd E_1801_Rocking Horse Ranch_Round Rock_00451","Palm Valley Blvd E_1801_Rocking Horse Ranch_Round Rock_00451" )</f>
        <v>Palm Valley Blvd E_1801_Rocking Horse Ranch_Round Rock_00451</v>
      </c>
      <c r="L426" s="104" t="s">
        <v>22253</v>
      </c>
      <c r="M426" s="103" t="str">
        <f t="shared" si="33"/>
        <v>http://oconnordata.com/mlink/modules/profile/index.cfm?action=profile&amp;prop_id=451</v>
      </c>
      <c r="N426" s="1" t="str">
        <f t="shared" si="34"/>
        <v>00451</v>
      </c>
    </row>
    <row r="427" spans="1:14" x14ac:dyDescent="0.3">
      <c r="A427" s="1">
        <v>452</v>
      </c>
      <c r="B427" s="7" t="s">
        <v>244</v>
      </c>
      <c r="C427" s="12">
        <v>607</v>
      </c>
      <c r="D427" s="7" t="s">
        <v>667</v>
      </c>
      <c r="E427" s="13" t="s">
        <v>7</v>
      </c>
      <c r="F427" t="str">
        <f t="shared" si="30"/>
        <v>Masterson</v>
      </c>
      <c r="G427" t="str">
        <f t="shared" si="31"/>
        <v>Masterson607Austin</v>
      </c>
      <c r="H427" t="s">
        <v>31285</v>
      </c>
      <c r="I427" t="s">
        <v>22720</v>
      </c>
      <c r="J427" t="str">
        <f t="shared" si="32"/>
        <v>E:\PropInv\MF</v>
      </c>
      <c r="K427" s="103" t="str">
        <f>HYPERLINK("E:\PropInv\MF\Austin\Masterson Pass_607_Arrowhead Park_Austin_00452","Masterson Pass_607_Arrowhead Park_Austin_00452" )</f>
        <v>Masterson Pass_607_Arrowhead Park_Austin_00452</v>
      </c>
      <c r="L427" s="104" t="s">
        <v>22253</v>
      </c>
      <c r="M427" s="103" t="str">
        <f t="shared" si="33"/>
        <v>http://oconnordata.com/mlink/modules/profile/index.cfm?action=profile&amp;prop_id=452</v>
      </c>
      <c r="N427" s="1" t="str">
        <f t="shared" si="34"/>
        <v>00452</v>
      </c>
    </row>
    <row r="428" spans="1:14" x14ac:dyDescent="0.3">
      <c r="A428" s="1">
        <v>453</v>
      </c>
      <c r="B428" s="7" t="s">
        <v>281</v>
      </c>
      <c r="C428" s="12">
        <v>3600</v>
      </c>
      <c r="D428" s="7" t="s">
        <v>668</v>
      </c>
      <c r="E428" s="13" t="s">
        <v>7</v>
      </c>
      <c r="F428" t="str">
        <f t="shared" si="30"/>
        <v>Hills</v>
      </c>
      <c r="G428" t="str">
        <f t="shared" si="31"/>
        <v>Hills3600Austin</v>
      </c>
      <c r="H428" t="s">
        <v>31286</v>
      </c>
      <c r="I428" t="s">
        <v>22721</v>
      </c>
      <c r="J428" t="str">
        <f t="shared" si="32"/>
        <v>E:\PropInv\MF</v>
      </c>
      <c r="K428" s="103" t="str">
        <f>HYPERLINK("E:\PropInv\MF\Austin\Hills Dr N_3600_Bent Oaks_Austin_00453","Hills Dr N_3600_Bent Oaks_Austin_00453" )</f>
        <v>Hills Dr N_3600_Bent Oaks_Austin_00453</v>
      </c>
      <c r="L428" s="104" t="s">
        <v>22253</v>
      </c>
      <c r="M428" s="103" t="str">
        <f t="shared" si="33"/>
        <v>http://oconnordata.com/mlink/modules/profile/index.cfm?action=profile&amp;prop_id=453</v>
      </c>
      <c r="N428" s="1" t="str">
        <f t="shared" si="34"/>
        <v>00453</v>
      </c>
    </row>
    <row r="429" spans="1:14" x14ac:dyDescent="0.3">
      <c r="A429" s="1">
        <v>455</v>
      </c>
      <c r="B429" s="7" t="s">
        <v>669</v>
      </c>
      <c r="C429" s="12">
        <v>14745</v>
      </c>
      <c r="D429" s="7" t="s">
        <v>670</v>
      </c>
      <c r="E429" s="13" t="s">
        <v>7</v>
      </c>
      <c r="F429" t="str">
        <f t="shared" si="30"/>
        <v>Merrilltown</v>
      </c>
      <c r="G429" t="str">
        <f t="shared" si="31"/>
        <v>Merrilltown14745Austin</v>
      </c>
      <c r="H429" t="s">
        <v>31287</v>
      </c>
      <c r="I429" t="s">
        <v>22722</v>
      </c>
      <c r="J429" t="str">
        <f t="shared" si="32"/>
        <v>E:\PropInv\MF</v>
      </c>
      <c r="K429" s="103" t="str">
        <f>HYPERLINK("E:\PropInv\MF\Austin\Merrilltown Dr_14745_Lodge at Merrilltown I &amp; II_Austin_00455","Merrilltown Dr_14745_Lodge at Merrilltown I &amp; II_Austin_00455" )</f>
        <v>Merrilltown Dr_14745_Lodge at Merrilltown I &amp; II_Austin_00455</v>
      </c>
      <c r="L429" s="104" t="s">
        <v>22253</v>
      </c>
      <c r="M429" s="103" t="str">
        <f t="shared" si="33"/>
        <v>http://oconnordata.com/mlink/modules/profile/index.cfm?action=profile&amp;prop_id=455</v>
      </c>
      <c r="N429" s="1" t="str">
        <f t="shared" si="34"/>
        <v>00455</v>
      </c>
    </row>
    <row r="430" spans="1:14" x14ac:dyDescent="0.3">
      <c r="A430" s="1">
        <v>456</v>
      </c>
      <c r="B430" s="7" t="s">
        <v>671</v>
      </c>
      <c r="C430" s="12">
        <v>12118</v>
      </c>
      <c r="D430" s="7" t="s">
        <v>672</v>
      </c>
      <c r="E430" s="13" t="s">
        <v>7</v>
      </c>
      <c r="F430" t="str">
        <f t="shared" si="30"/>
        <v>Walnut</v>
      </c>
      <c r="G430" t="str">
        <f t="shared" si="31"/>
        <v>Walnut12118Austin</v>
      </c>
      <c r="H430" t="s">
        <v>31288</v>
      </c>
      <c r="I430" t="s">
        <v>22723</v>
      </c>
      <c r="J430" t="str">
        <f t="shared" si="32"/>
        <v>E:\PropInv\MF</v>
      </c>
      <c r="K430" s="103" t="str">
        <f>HYPERLINK("E:\PropInv\MF\Austin\Walnut Park Crossing_12118_Limestone Canyon_Austin_00456","Walnut Park Crossing_12118_Limestone Canyon_Austin_00456" )</f>
        <v>Walnut Park Crossing_12118_Limestone Canyon_Austin_00456</v>
      </c>
      <c r="L430" s="104" t="s">
        <v>22253</v>
      </c>
      <c r="M430" s="103" t="str">
        <f t="shared" si="33"/>
        <v>http://oconnordata.com/mlink/modules/profile/index.cfm?action=profile&amp;prop_id=456</v>
      </c>
      <c r="N430" s="1" t="str">
        <f t="shared" si="34"/>
        <v>00456</v>
      </c>
    </row>
    <row r="431" spans="1:14" x14ac:dyDescent="0.3">
      <c r="A431" s="1">
        <v>457</v>
      </c>
      <c r="B431" s="7" t="s">
        <v>450</v>
      </c>
      <c r="C431" s="12">
        <v>1612</v>
      </c>
      <c r="D431" s="7" t="s">
        <v>673</v>
      </c>
      <c r="E431" s="13" t="s">
        <v>7</v>
      </c>
      <c r="F431" t="str">
        <f t="shared" si="30"/>
        <v>Faro</v>
      </c>
      <c r="G431" t="str">
        <f t="shared" si="31"/>
        <v>Faro1612Austin</v>
      </c>
      <c r="H431" t="s">
        <v>31289</v>
      </c>
      <c r="I431" t="s">
        <v>22724</v>
      </c>
      <c r="J431" t="str">
        <f t="shared" si="32"/>
        <v>E:\PropInv\MF</v>
      </c>
      <c r="K431" s="103" t="str">
        <f>HYPERLINK("E:\PropInv\MF\Austin\Faro Dr_1612_Paradise Oaks_Austin_00457","Faro Dr_1612_Paradise Oaks_Austin_00457" )</f>
        <v>Faro Dr_1612_Paradise Oaks_Austin_00457</v>
      </c>
      <c r="L431" s="104" t="s">
        <v>22253</v>
      </c>
      <c r="M431" s="103" t="str">
        <f t="shared" si="33"/>
        <v>http://oconnordata.com/mlink/modules/profile/index.cfm?action=profile&amp;prop_id=457</v>
      </c>
      <c r="N431" s="1" t="str">
        <f t="shared" si="34"/>
        <v>00457</v>
      </c>
    </row>
    <row r="432" spans="1:14" x14ac:dyDescent="0.3">
      <c r="A432" s="97">
        <v>458</v>
      </c>
      <c r="B432" s="7" t="s">
        <v>21</v>
      </c>
      <c r="C432" s="12">
        <v>1720</v>
      </c>
      <c r="D432" s="7" t="s">
        <v>674</v>
      </c>
      <c r="E432" s="13" t="s">
        <v>7</v>
      </c>
      <c r="F432" t="str">
        <f t="shared" si="30"/>
        <v>Wells</v>
      </c>
      <c r="G432" t="str">
        <f t="shared" si="31"/>
        <v>Wells1720Austin</v>
      </c>
      <c r="H432" t="s">
        <v>31290</v>
      </c>
      <c r="I432" t="s">
        <v>22725</v>
      </c>
      <c r="J432" t="str">
        <f t="shared" si="32"/>
        <v>E:\PropInv\MF</v>
      </c>
      <c r="K432" s="103" t="str">
        <f>HYPERLINK("E:\PropInv\MF\Austin\Wells Branch Pkwy_1720_Wyndhaven at Wells Branch_Austin_00458","Wells Branch Pkwy_1720_Wyndhaven at Wells Branch_Austin_00458" )</f>
        <v>Wells Branch Pkwy_1720_Wyndhaven at Wells Branch_Austin_00458</v>
      </c>
      <c r="L432" s="104" t="s">
        <v>22253</v>
      </c>
      <c r="M432" s="103" t="str">
        <f t="shared" si="33"/>
        <v>http://oconnordata.com/mlink/modules/profile/index.cfm?action=profile&amp;prop_id=458</v>
      </c>
      <c r="N432" s="1" t="str">
        <f t="shared" si="34"/>
        <v>00458</v>
      </c>
    </row>
    <row r="433" spans="1:14" x14ac:dyDescent="0.3">
      <c r="A433" s="1">
        <v>459</v>
      </c>
      <c r="B433" s="7" t="s">
        <v>156</v>
      </c>
      <c r="C433" s="12">
        <v>13401</v>
      </c>
      <c r="D433" s="7" t="s">
        <v>675</v>
      </c>
      <c r="E433" s="13" t="s">
        <v>7</v>
      </c>
      <c r="F433" t="str">
        <f t="shared" si="30"/>
        <v>Metric</v>
      </c>
      <c r="G433" t="str">
        <f t="shared" si="31"/>
        <v>Metric13401Austin</v>
      </c>
      <c r="H433" t="s">
        <v>31291</v>
      </c>
      <c r="I433" t="s">
        <v>22726</v>
      </c>
      <c r="J433" t="str">
        <f t="shared" si="32"/>
        <v>E:\PropInv\MF</v>
      </c>
      <c r="K433" s="103" t="str">
        <f>HYPERLINK("E:\PropInv\MF\Austin\Metric Blvd_13401_Madison at Scofield Farms_Austin_00459","Metric Blvd_13401_Madison at Scofield Farms_Austin_00459" )</f>
        <v>Metric Blvd_13401_Madison at Scofield Farms_Austin_00459</v>
      </c>
      <c r="L433" s="104" t="s">
        <v>22253</v>
      </c>
      <c r="M433" s="103" t="str">
        <f t="shared" si="33"/>
        <v>http://oconnordata.com/mlink/modules/profile/index.cfm?action=profile&amp;prop_id=459</v>
      </c>
      <c r="N433" s="1" t="str">
        <f t="shared" si="34"/>
        <v>00459</v>
      </c>
    </row>
    <row r="434" spans="1:14" x14ac:dyDescent="0.3">
      <c r="A434" s="1">
        <v>460</v>
      </c>
      <c r="B434" s="7" t="s">
        <v>41</v>
      </c>
      <c r="C434" s="12">
        <v>4501</v>
      </c>
      <c r="D434" s="7" t="s">
        <v>676</v>
      </c>
      <c r="E434" s="13" t="s">
        <v>7</v>
      </c>
      <c r="F434" t="str">
        <f t="shared" si="30"/>
        <v>Riverside</v>
      </c>
      <c r="G434" t="str">
        <f t="shared" si="31"/>
        <v>Riverside4501Austin</v>
      </c>
      <c r="H434" t="s">
        <v>31292</v>
      </c>
      <c r="I434" t="s">
        <v>22727</v>
      </c>
      <c r="J434" t="str">
        <f t="shared" si="32"/>
        <v>E:\PropInv\MF</v>
      </c>
      <c r="K434" s="103" t="str">
        <f>HYPERLINK("E:\PropInv\MF\Austin\Riverside Dr E_4501_Country Club Creek_Austin_00460","Riverside Dr E_4501_Country Club Creek_Austin_00460" )</f>
        <v>Riverside Dr E_4501_Country Club Creek_Austin_00460</v>
      </c>
      <c r="L434" s="104" t="s">
        <v>22253</v>
      </c>
      <c r="M434" s="103" t="str">
        <f t="shared" si="33"/>
        <v>http://oconnordata.com/mlink/modules/profile/index.cfm?action=profile&amp;prop_id=460</v>
      </c>
      <c r="N434" s="1" t="str">
        <f t="shared" si="34"/>
        <v>00460</v>
      </c>
    </row>
    <row r="435" spans="1:14" x14ac:dyDescent="0.3">
      <c r="A435" s="1">
        <v>461</v>
      </c>
      <c r="B435" s="7" t="s">
        <v>496</v>
      </c>
      <c r="C435" s="12">
        <v>1951</v>
      </c>
      <c r="D435" s="7" t="s">
        <v>677</v>
      </c>
      <c r="E435" s="13" t="s">
        <v>498</v>
      </c>
      <c r="F435" t="str">
        <f t="shared" si="30"/>
        <v>Aquarena</v>
      </c>
      <c r="G435" t="str">
        <f t="shared" si="31"/>
        <v>Aquarena1951San Marcos</v>
      </c>
      <c r="H435" t="s">
        <v>31293</v>
      </c>
      <c r="I435" t="s">
        <v>22728</v>
      </c>
      <c r="J435" t="str">
        <f t="shared" si="32"/>
        <v>E:\PropInv\MF</v>
      </c>
      <c r="K435" s="103" t="str">
        <f>HYPERLINK("E:\PropInv\MF\San Marcos\Aquarena Springs Dr_1951_Country Oaks_San Marcos_00461","Aquarena Springs Dr_1951_Country Oaks_San Marcos_00461" )</f>
        <v>Aquarena Springs Dr_1951_Country Oaks_San Marcos_00461</v>
      </c>
      <c r="L435" s="104" t="s">
        <v>22253</v>
      </c>
      <c r="M435" s="103" t="str">
        <f t="shared" si="33"/>
        <v>http://oconnordata.com/mlink/modules/profile/index.cfm?action=profile&amp;prop_id=461</v>
      </c>
      <c r="N435" s="1" t="str">
        <f t="shared" si="34"/>
        <v>00461</v>
      </c>
    </row>
    <row r="436" spans="1:14" x14ac:dyDescent="0.3">
      <c r="A436" s="1">
        <v>462</v>
      </c>
      <c r="B436" s="7" t="s">
        <v>496</v>
      </c>
      <c r="C436" s="12">
        <v>1950</v>
      </c>
      <c r="D436" s="7" t="s">
        <v>678</v>
      </c>
      <c r="E436" s="13" t="s">
        <v>498</v>
      </c>
      <c r="F436" t="str">
        <f t="shared" si="30"/>
        <v>Aquarena</v>
      </c>
      <c r="G436" t="str">
        <f t="shared" si="31"/>
        <v>Aquarena1950San Marcos</v>
      </c>
      <c r="H436" t="s">
        <v>31294</v>
      </c>
      <c r="I436" t="s">
        <v>22729</v>
      </c>
      <c r="J436" t="str">
        <f t="shared" si="32"/>
        <v>E:\PropInv\MF</v>
      </c>
      <c r="K436" s="103" t="str">
        <f>HYPERLINK("E:\PropInv\MF\San Marcos\Aquarena Springs Dr_1950_River Oaks Villas_San Marcos_00462","Aquarena Springs Dr_1950_River Oaks Villas_San Marcos_00462" )</f>
        <v>Aquarena Springs Dr_1950_River Oaks Villas_San Marcos_00462</v>
      </c>
      <c r="L436" s="104" t="s">
        <v>22253</v>
      </c>
      <c r="M436" s="103" t="str">
        <f t="shared" si="33"/>
        <v>http://oconnordata.com/mlink/modules/profile/index.cfm?action=profile&amp;prop_id=462</v>
      </c>
      <c r="N436" s="1" t="str">
        <f t="shared" si="34"/>
        <v>00462</v>
      </c>
    </row>
    <row r="437" spans="1:14" x14ac:dyDescent="0.3">
      <c r="A437" s="1">
        <v>463</v>
      </c>
      <c r="B437" s="7" t="s">
        <v>580</v>
      </c>
      <c r="C437" s="12">
        <v>1350</v>
      </c>
      <c r="D437" s="7" t="s">
        <v>679</v>
      </c>
      <c r="E437" s="13" t="s">
        <v>498</v>
      </c>
      <c r="F437" t="str">
        <f t="shared" si="30"/>
        <v>LBJ</v>
      </c>
      <c r="G437" t="str">
        <f t="shared" si="31"/>
        <v>LBJ1350San Marcos</v>
      </c>
      <c r="H437" t="s">
        <v>31295</v>
      </c>
      <c r="I437" t="s">
        <v>22730</v>
      </c>
      <c r="J437" t="str">
        <f t="shared" si="32"/>
        <v>E:\PropInv\MF</v>
      </c>
      <c r="K437" s="103" t="str">
        <f>HYPERLINK("E:\PropInv\MF\San Marcos\LBJ Dr N_1350_Hillside Ranch I &amp; II_San Marcos_00463","LBJ Dr N_1350_Hillside Ranch I &amp; II_San Marcos_00463" )</f>
        <v>LBJ Dr N_1350_Hillside Ranch I &amp; II_San Marcos_00463</v>
      </c>
      <c r="L437" s="104" t="s">
        <v>22253</v>
      </c>
      <c r="M437" s="103" t="str">
        <f t="shared" si="33"/>
        <v>http://oconnordata.com/mlink/modules/profile/index.cfm?action=profile&amp;prop_id=463</v>
      </c>
      <c r="N437" s="1" t="str">
        <f t="shared" si="34"/>
        <v>00463</v>
      </c>
    </row>
    <row r="438" spans="1:14" x14ac:dyDescent="0.3">
      <c r="A438" s="1">
        <v>464</v>
      </c>
      <c r="B438" s="7" t="s">
        <v>391</v>
      </c>
      <c r="C438" s="12">
        <v>3816</v>
      </c>
      <c r="D438" s="7" t="s">
        <v>680</v>
      </c>
      <c r="E438" s="13" t="s">
        <v>7</v>
      </c>
      <c r="F438" t="str">
        <f t="shared" si="30"/>
        <v>Lamar</v>
      </c>
      <c r="G438" t="str">
        <f t="shared" si="31"/>
        <v>Lamar3816Austin</v>
      </c>
      <c r="H438" t="s">
        <v>31296</v>
      </c>
      <c r="I438" t="s">
        <v>22731</v>
      </c>
      <c r="J438" t="str">
        <f t="shared" si="32"/>
        <v>E:\PropInv\MF</v>
      </c>
      <c r="K438" s="103" t="str">
        <f>HYPERLINK("E:\PropInv\MF\Austin\Lamar Blvd S_3816_The Retreat at Barton Creek_Austin_00464","Lamar Blvd S_3816_The Retreat at Barton Creek_Austin_00464" )</f>
        <v>Lamar Blvd S_3816_The Retreat at Barton Creek_Austin_00464</v>
      </c>
      <c r="L438" s="104" t="s">
        <v>22253</v>
      </c>
      <c r="M438" s="103" t="str">
        <f t="shared" si="33"/>
        <v>http://oconnordata.com/mlink/modules/profile/index.cfm?action=profile&amp;prop_id=464</v>
      </c>
      <c r="N438" s="1" t="str">
        <f t="shared" si="34"/>
        <v>00464</v>
      </c>
    </row>
    <row r="439" spans="1:14" x14ac:dyDescent="0.3">
      <c r="A439" s="1">
        <v>465</v>
      </c>
      <c r="B439" s="7" t="s">
        <v>681</v>
      </c>
      <c r="C439" s="12">
        <v>800</v>
      </c>
      <c r="D439" s="7" t="s">
        <v>682</v>
      </c>
      <c r="E439" s="13" t="s">
        <v>7</v>
      </c>
      <c r="F439" t="str">
        <f t="shared" si="30"/>
        <v>38th</v>
      </c>
      <c r="G439" t="str">
        <f t="shared" si="31"/>
        <v>38th800Austin</v>
      </c>
      <c r="H439" t="s">
        <v>31297</v>
      </c>
      <c r="I439" t="s">
        <v>22732</v>
      </c>
      <c r="J439" t="str">
        <f t="shared" si="32"/>
        <v>E:\PropInv\MF</v>
      </c>
      <c r="K439" s="103" t="str">
        <f>HYPERLINK("E:\PropInv\MF\Austin\38th St W_800_Gables Central Park_Austin_00465","38th St W_800_Gables Central Park_Austin_00465" )</f>
        <v>38th St W_800_Gables Central Park_Austin_00465</v>
      </c>
      <c r="L439" s="104" t="s">
        <v>22253</v>
      </c>
      <c r="M439" s="103" t="str">
        <f t="shared" si="33"/>
        <v>http://oconnordata.com/mlink/modules/profile/index.cfm?action=profile&amp;prop_id=465</v>
      </c>
      <c r="N439" s="1" t="str">
        <f t="shared" si="34"/>
        <v>00465</v>
      </c>
    </row>
    <row r="440" spans="1:14" x14ac:dyDescent="0.3">
      <c r="A440" s="1">
        <v>466</v>
      </c>
      <c r="B440" s="7" t="s">
        <v>377</v>
      </c>
      <c r="C440" s="12">
        <v>8585</v>
      </c>
      <c r="D440" s="7" t="s">
        <v>683</v>
      </c>
      <c r="E440" s="13" t="s">
        <v>7</v>
      </c>
      <c r="F440" t="str">
        <f t="shared" si="30"/>
        <v>Spicewood</v>
      </c>
      <c r="G440" t="str">
        <f t="shared" si="31"/>
        <v>Spicewood8585Austin</v>
      </c>
      <c r="H440" t="s">
        <v>31298</v>
      </c>
      <c r="I440" t="s">
        <v>22733</v>
      </c>
      <c r="J440" t="str">
        <f t="shared" si="32"/>
        <v>E:\PropInv\MF</v>
      </c>
      <c r="K440" s="103" t="str">
        <f>HYPERLINK("E:\PropInv\MF\Austin\Spicewood Springs Rd_8585_Terrazzo Apts_Austin_00466","Spicewood Springs Rd_8585_Terrazzo Apts_Austin_00466" )</f>
        <v>Spicewood Springs Rd_8585_Terrazzo Apts_Austin_00466</v>
      </c>
      <c r="L440" s="104" t="s">
        <v>22253</v>
      </c>
      <c r="M440" s="103" t="str">
        <f t="shared" si="33"/>
        <v>http://oconnordata.com/mlink/modules/profile/index.cfm?action=profile&amp;prop_id=466</v>
      </c>
      <c r="N440" s="1" t="str">
        <f t="shared" si="34"/>
        <v>00466</v>
      </c>
    </row>
    <row r="441" spans="1:14" x14ac:dyDescent="0.3">
      <c r="A441" s="1">
        <v>467</v>
      </c>
      <c r="B441" s="7" t="s">
        <v>660</v>
      </c>
      <c r="C441" s="12">
        <v>6607</v>
      </c>
      <c r="D441" s="7" t="s">
        <v>332</v>
      </c>
      <c r="E441" s="13" t="s">
        <v>7</v>
      </c>
      <c r="F441" t="str">
        <f t="shared" si="30"/>
        <v>Brodie</v>
      </c>
      <c r="G441" t="str">
        <f t="shared" si="31"/>
        <v>Brodie6607Austin</v>
      </c>
      <c r="H441" t="s">
        <v>31299</v>
      </c>
      <c r="I441" t="s">
        <v>22734</v>
      </c>
      <c r="J441" t="str">
        <f t="shared" si="32"/>
        <v>E:\PropInv\MF</v>
      </c>
      <c r="K441" s="103" t="str">
        <f>HYPERLINK("E:\PropInv\MF\Austin\Brodie Ln_6607_River Oaks_Austin_00467","Brodie Ln_6607_River Oaks_Austin_00467" )</f>
        <v>Brodie Ln_6607_River Oaks_Austin_00467</v>
      </c>
      <c r="L441" s="104" t="s">
        <v>22253</v>
      </c>
      <c r="M441" s="103" t="str">
        <f t="shared" si="33"/>
        <v>http://oconnordata.com/mlink/modules/profile/index.cfm?action=profile&amp;prop_id=467</v>
      </c>
      <c r="N441" s="1" t="str">
        <f t="shared" si="34"/>
        <v>00467</v>
      </c>
    </row>
    <row r="442" spans="1:14" x14ac:dyDescent="0.3">
      <c r="A442" s="1">
        <v>470</v>
      </c>
      <c r="B442" s="7" t="s">
        <v>684</v>
      </c>
      <c r="C442" s="12">
        <v>3014</v>
      </c>
      <c r="D442" s="7" t="s">
        <v>685</v>
      </c>
      <c r="E442" s="13" t="s">
        <v>7</v>
      </c>
      <c r="F442" t="str">
        <f t="shared" si="30"/>
        <v>William</v>
      </c>
      <c r="G442" t="str">
        <f t="shared" si="31"/>
        <v>William3014Austin</v>
      </c>
      <c r="H442" t="s">
        <v>31300</v>
      </c>
      <c r="I442" t="s">
        <v>22735</v>
      </c>
      <c r="J442" t="str">
        <f t="shared" si="32"/>
        <v>E:\PropInv\MF</v>
      </c>
      <c r="K442" s="103" t="str">
        <f>HYPERLINK("E:\PropInv\MF\Austin\William Cannon Dr_3014_Highlands Hill Country_Austin_00470","William Cannon Dr_3014_Highlands Hill Country_Austin_00470" )</f>
        <v>William Cannon Dr_3014_Highlands Hill Country_Austin_00470</v>
      </c>
      <c r="L442" s="104" t="s">
        <v>22253</v>
      </c>
      <c r="M442" s="103" t="str">
        <f t="shared" si="33"/>
        <v>http://oconnordata.com/mlink/modules/profile/index.cfm?action=profile&amp;prop_id=470</v>
      </c>
      <c r="N442" s="1" t="str">
        <f t="shared" si="34"/>
        <v>00470</v>
      </c>
    </row>
    <row r="443" spans="1:14" x14ac:dyDescent="0.3">
      <c r="A443" s="1">
        <v>471</v>
      </c>
      <c r="B443" s="21" t="s">
        <v>686</v>
      </c>
      <c r="C443" s="12">
        <v>5604</v>
      </c>
      <c r="D443" s="7" t="s">
        <v>687</v>
      </c>
      <c r="E443" s="13" t="s">
        <v>7</v>
      </c>
      <c r="F443" t="str">
        <f t="shared" si="30"/>
        <v>SW</v>
      </c>
      <c r="G443" t="str">
        <f t="shared" si="31"/>
        <v>SW5604Austin</v>
      </c>
      <c r="H443" t="s">
        <v>31301</v>
      </c>
      <c r="I443" t="s">
        <v>22736</v>
      </c>
      <c r="J443" t="str">
        <f t="shared" si="32"/>
        <v>E:\PropInv\MF</v>
      </c>
      <c r="K443" s="103" t="str">
        <f>HYPERLINK("E:\PropInv\MF\Austin\SW Pkwy_5604_The Preserve at Travis Creek_Austin_00471","SW Pkwy_5604_The Preserve at Travis Creek_Austin_00471" )</f>
        <v>SW Pkwy_5604_The Preserve at Travis Creek_Austin_00471</v>
      </c>
      <c r="L443" s="104" t="s">
        <v>22253</v>
      </c>
      <c r="M443" s="103" t="str">
        <f t="shared" si="33"/>
        <v>http://oconnordata.com/mlink/modules/profile/index.cfm?action=profile&amp;prop_id=471</v>
      </c>
      <c r="N443" s="1" t="str">
        <f t="shared" si="34"/>
        <v>00471</v>
      </c>
    </row>
    <row r="444" spans="1:14" x14ac:dyDescent="0.3">
      <c r="A444" s="1">
        <v>472</v>
      </c>
      <c r="B444" s="7" t="s">
        <v>688</v>
      </c>
      <c r="C444" s="12">
        <v>2301</v>
      </c>
      <c r="D444" s="7" t="s">
        <v>689</v>
      </c>
      <c r="E444" s="13" t="s">
        <v>7</v>
      </c>
      <c r="F444" t="str">
        <f t="shared" si="30"/>
        <v>Mopac</v>
      </c>
      <c r="G444" t="str">
        <f t="shared" si="31"/>
        <v>Mopac2301Austin</v>
      </c>
      <c r="H444" t="s">
        <v>31302</v>
      </c>
      <c r="I444" t="s">
        <v>22737</v>
      </c>
      <c r="J444" t="str">
        <f t="shared" si="32"/>
        <v>E:\PropInv\MF</v>
      </c>
      <c r="K444" s="103" t="str">
        <f>HYPERLINK("E:\PropInv\MF\Austin\Mopac Expwy S_2301_Gables at the Terrace_Austin_00472","Mopac Expwy S_2301_Gables at the Terrace_Austin_00472" )</f>
        <v>Mopac Expwy S_2301_Gables at the Terrace_Austin_00472</v>
      </c>
      <c r="L444" s="104" t="s">
        <v>22253</v>
      </c>
      <c r="M444" s="103" t="str">
        <f t="shared" si="33"/>
        <v>http://oconnordata.com/mlink/modules/profile/index.cfm?action=profile&amp;prop_id=472</v>
      </c>
      <c r="N444" s="1" t="str">
        <f t="shared" si="34"/>
        <v>00472</v>
      </c>
    </row>
    <row r="445" spans="1:14" x14ac:dyDescent="0.3">
      <c r="A445" s="1">
        <v>473</v>
      </c>
      <c r="B445" s="10" t="s">
        <v>688</v>
      </c>
      <c r="C445" s="9">
        <v>5417</v>
      </c>
      <c r="D445" s="10" t="s">
        <v>690</v>
      </c>
      <c r="E445" s="11" t="s">
        <v>7</v>
      </c>
      <c r="F445" t="str">
        <f t="shared" si="30"/>
        <v>Mopac</v>
      </c>
      <c r="G445" t="str">
        <f t="shared" si="31"/>
        <v>Mopac5417Austin</v>
      </c>
      <c r="H445" t="s">
        <v>31303</v>
      </c>
      <c r="I445" t="s">
        <v>22738</v>
      </c>
      <c r="J445" t="str">
        <f t="shared" si="32"/>
        <v>E:\PropInv\MF</v>
      </c>
      <c r="K445" s="103" t="str">
        <f>HYPERLINK("E:\PropInv\MF\Austin\Mopac Expwy S_5417_Austin Trails_Austin_00473","Mopac Expwy S_5417_Austin Trails_Austin_00473" )</f>
        <v>Mopac Expwy S_5417_Austin Trails_Austin_00473</v>
      </c>
      <c r="L445" s="104" t="s">
        <v>22253</v>
      </c>
      <c r="M445" s="103" t="str">
        <f t="shared" si="33"/>
        <v>http://oconnordata.com/mlink/modules/profile/index.cfm?action=profile&amp;prop_id=473</v>
      </c>
      <c r="N445" s="1" t="str">
        <f t="shared" si="34"/>
        <v>00473</v>
      </c>
    </row>
    <row r="446" spans="1:14" x14ac:dyDescent="0.3">
      <c r="A446" s="1">
        <v>474</v>
      </c>
      <c r="B446" s="10" t="s">
        <v>691</v>
      </c>
      <c r="C446" s="9">
        <v>2600</v>
      </c>
      <c r="D446" s="10" t="s">
        <v>692</v>
      </c>
      <c r="E446" s="11" t="s">
        <v>7</v>
      </c>
      <c r="F446" t="str">
        <f t="shared" si="30"/>
        <v>Scofield</v>
      </c>
      <c r="G446" t="str">
        <f t="shared" si="31"/>
        <v>Scofield2600Austin</v>
      </c>
      <c r="H446" t="s">
        <v>31304</v>
      </c>
      <c r="I446" t="s">
        <v>22739</v>
      </c>
      <c r="J446" t="str">
        <f t="shared" si="32"/>
        <v>E:\PropInv\MF</v>
      </c>
      <c r="K446" s="103" t="str">
        <f>HYPERLINK("E:\PropInv\MF\Austin\Scofield Ridge Pkwy_2600_Scofield Park at Austin_Austin_00474","Scofield Ridge Pkwy_2600_Scofield Park at Austin_Austin_00474" )</f>
        <v>Scofield Ridge Pkwy_2600_Scofield Park at Austin_Austin_00474</v>
      </c>
      <c r="L446" s="104" t="s">
        <v>22253</v>
      </c>
      <c r="M446" s="103" t="str">
        <f t="shared" si="33"/>
        <v>http://oconnordata.com/mlink/modules/profile/index.cfm?action=profile&amp;prop_id=474</v>
      </c>
      <c r="N446" s="1" t="str">
        <f t="shared" si="34"/>
        <v>00474</v>
      </c>
    </row>
    <row r="447" spans="1:14" x14ac:dyDescent="0.3">
      <c r="A447" s="1">
        <v>475</v>
      </c>
      <c r="B447" s="10" t="s">
        <v>693</v>
      </c>
      <c r="C447" s="9">
        <v>1300</v>
      </c>
      <c r="D447" s="10" t="s">
        <v>694</v>
      </c>
      <c r="E447" s="11" t="s">
        <v>7</v>
      </c>
      <c r="F447" t="str">
        <f t="shared" si="30"/>
        <v>Crossing</v>
      </c>
      <c r="G447" t="str">
        <f t="shared" si="31"/>
        <v>Crossing1300Austin</v>
      </c>
      <c r="H447" t="s">
        <v>31305</v>
      </c>
      <c r="I447" t="s">
        <v>22740</v>
      </c>
      <c r="J447" t="str">
        <f t="shared" si="32"/>
        <v>E:\PropInv\MF</v>
      </c>
      <c r="K447" s="103" t="str">
        <f>HYPERLINK("E:\PropInv\MF\Austin\Crossing Place_1300_University Estates at Austin_Austin_00475","Crossing Place_1300_University Estates at Austin_Austin_00475" )</f>
        <v>Crossing Place_1300_University Estates at Austin_Austin_00475</v>
      </c>
      <c r="L447" s="104" t="s">
        <v>22253</v>
      </c>
      <c r="M447" s="103" t="str">
        <f t="shared" si="33"/>
        <v>http://oconnordata.com/mlink/modules/profile/index.cfm?action=profile&amp;prop_id=475</v>
      </c>
      <c r="N447" s="1" t="str">
        <f t="shared" si="34"/>
        <v>00475</v>
      </c>
    </row>
    <row r="448" spans="1:14" x14ac:dyDescent="0.3">
      <c r="A448" s="1">
        <v>476</v>
      </c>
      <c r="B448" s="10" t="s">
        <v>688</v>
      </c>
      <c r="C448" s="9">
        <v>5701</v>
      </c>
      <c r="D448" s="10" t="s">
        <v>695</v>
      </c>
      <c r="E448" s="11" t="s">
        <v>7</v>
      </c>
      <c r="F448" t="str">
        <f t="shared" si="30"/>
        <v>Mopac</v>
      </c>
      <c r="G448" t="str">
        <f t="shared" si="31"/>
        <v>Mopac5701Austin</v>
      </c>
      <c r="H448" t="s">
        <v>31306</v>
      </c>
      <c r="I448" t="s">
        <v>22741</v>
      </c>
      <c r="J448" t="str">
        <f t="shared" si="32"/>
        <v>E:\PropInv\MF</v>
      </c>
      <c r="K448" s="103" t="str">
        <f>HYPERLINK("E:\PropInv\MF\Austin\Mopac Expwy S_5701_River Stone Ranch_Austin_00476","Mopac Expwy S_5701_River Stone Ranch_Austin_00476" )</f>
        <v>Mopac Expwy S_5701_River Stone Ranch_Austin_00476</v>
      </c>
      <c r="L448" s="104" t="s">
        <v>22253</v>
      </c>
      <c r="M448" s="103" t="str">
        <f t="shared" si="33"/>
        <v>http://oconnordata.com/mlink/modules/profile/index.cfm?action=profile&amp;prop_id=476</v>
      </c>
      <c r="N448" s="1" t="str">
        <f t="shared" si="34"/>
        <v>00476</v>
      </c>
    </row>
    <row r="449" spans="1:14" x14ac:dyDescent="0.3">
      <c r="A449" s="1">
        <v>477</v>
      </c>
      <c r="B449" s="10" t="s">
        <v>592</v>
      </c>
      <c r="C449" s="9">
        <v>518</v>
      </c>
      <c r="D449" s="10" t="s">
        <v>696</v>
      </c>
      <c r="E449" s="11" t="s">
        <v>498</v>
      </c>
      <c r="F449" t="str">
        <f t="shared" si="30"/>
        <v>Linda</v>
      </c>
      <c r="G449" t="str">
        <f t="shared" si="31"/>
        <v>Linda518San Marcos</v>
      </c>
      <c r="H449" t="s">
        <v>31307</v>
      </c>
      <c r="I449" t="s">
        <v>22742</v>
      </c>
      <c r="J449" t="str">
        <f t="shared" si="32"/>
        <v>E:\PropInv\MF</v>
      </c>
      <c r="K449" s="103" t="str">
        <f>HYPERLINK("E:\PropInv\MF\San Marcos\Linda Dr_518_Kelsea Place_San Marcos_00477","Linda Dr_518_Kelsea Place_San Marcos_00477" )</f>
        <v>Linda Dr_518_Kelsea Place_San Marcos_00477</v>
      </c>
      <c r="L449" s="104" t="s">
        <v>22253</v>
      </c>
      <c r="M449" s="103" t="str">
        <f t="shared" si="33"/>
        <v>http://oconnordata.com/mlink/modules/profile/index.cfm?action=profile&amp;prop_id=477</v>
      </c>
      <c r="N449" s="1" t="str">
        <f t="shared" si="34"/>
        <v>00477</v>
      </c>
    </row>
    <row r="450" spans="1:14" x14ac:dyDescent="0.3">
      <c r="A450" s="1">
        <v>478</v>
      </c>
      <c r="B450" s="10" t="s">
        <v>21</v>
      </c>
      <c r="C450" s="9">
        <v>2800</v>
      </c>
      <c r="D450" s="10" t="s">
        <v>697</v>
      </c>
      <c r="E450" s="11" t="s">
        <v>7</v>
      </c>
      <c r="F450" t="str">
        <f t="shared" ref="F450:F513" si="35">IFERROR(LEFT(B450,FIND(" ",B450)-1),B450)</f>
        <v>Wells</v>
      </c>
      <c r="G450" t="str">
        <f t="shared" ref="G450:G513" si="36">F450&amp;C450&amp;E450</f>
        <v>Wells2800Austin</v>
      </c>
      <c r="H450" t="s">
        <v>31308</v>
      </c>
      <c r="I450" t="s">
        <v>22743</v>
      </c>
      <c r="J450" t="str">
        <f t="shared" ref="J450:J513" si="37">IF(L450="TX",Folder_Path,Folder_Path&amp;"\State_"&amp;L450)</f>
        <v>E:\PropInv\MF</v>
      </c>
      <c r="K450" s="103" t="str">
        <f>HYPERLINK("E:\PropInv\MF\Austin\Wells Branch Pkwy_2800_IMT Wells Branch_Austin_00478","Wells Branch Pkwy_2800_IMT Wells Branch_Austin_00478" )</f>
        <v>Wells Branch Pkwy_2800_IMT Wells Branch_Austin_00478</v>
      </c>
      <c r="L450" s="104" t="s">
        <v>22253</v>
      </c>
      <c r="M450" s="103" t="str">
        <f t="shared" ref="M450:M513" si="38">HYPERLINK("http://oconnordata.com/mlink/modules/profile/index.cfm?action=profile&amp;prop_id="&amp;A450)</f>
        <v>http://oconnordata.com/mlink/modules/profile/index.cfm?action=profile&amp;prop_id=478</v>
      </c>
      <c r="N450" s="1" t="str">
        <f t="shared" ref="N450:N513" si="39">IF(LEN(A450)=1,"0000"&amp;A450,IF(LEN(A450)=2,"000"&amp;A450,IF(LEN(A450)=3,"00"&amp;A450,IF(LEN(A450)=4,"0"&amp;A450,IF(LEN(A450)=5,IF(LEFT(A450,1)="3",A450+30000,A450))))))</f>
        <v>00478</v>
      </c>
    </row>
    <row r="451" spans="1:14" x14ac:dyDescent="0.3">
      <c r="A451" s="1">
        <v>479</v>
      </c>
      <c r="B451" s="10" t="s">
        <v>698</v>
      </c>
      <c r="C451" s="9">
        <v>8801</v>
      </c>
      <c r="D451" s="10" t="s">
        <v>699</v>
      </c>
      <c r="E451" s="11" t="s">
        <v>7</v>
      </c>
      <c r="F451" t="str">
        <f t="shared" si="35"/>
        <v>620</v>
      </c>
      <c r="G451" t="str">
        <f t="shared" si="36"/>
        <v>6208801Austin</v>
      </c>
      <c r="H451" t="s">
        <v>31309</v>
      </c>
      <c r="I451" t="s">
        <v>22744</v>
      </c>
      <c r="J451" t="str">
        <f t="shared" si="37"/>
        <v>E:\PropInv\MF</v>
      </c>
      <c r="K451" s="103" t="str">
        <f>HYPERLINK("E:\PropInv\MF\Austin\620 RR N_8801_Sonterra I_Austin_00479","620 RR N_8801_Sonterra I_Austin_00479" )</f>
        <v>620 RR N_8801_Sonterra I_Austin_00479</v>
      </c>
      <c r="L451" s="104" t="s">
        <v>22253</v>
      </c>
      <c r="M451" s="103" t="str">
        <f t="shared" si="38"/>
        <v>http://oconnordata.com/mlink/modules/profile/index.cfm?action=profile&amp;prop_id=479</v>
      </c>
      <c r="N451" s="1" t="str">
        <f t="shared" si="39"/>
        <v>00479</v>
      </c>
    </row>
    <row r="452" spans="1:14" x14ac:dyDescent="0.3">
      <c r="A452" s="1">
        <v>481</v>
      </c>
      <c r="B452" s="10" t="s">
        <v>688</v>
      </c>
      <c r="C452" s="9">
        <v>2001</v>
      </c>
      <c r="D452" s="10" t="s">
        <v>700</v>
      </c>
      <c r="E452" s="11" t="s">
        <v>7</v>
      </c>
      <c r="F452" t="str">
        <f t="shared" si="35"/>
        <v>Mopac</v>
      </c>
      <c r="G452" t="str">
        <f t="shared" si="36"/>
        <v>Mopac2001Austin</v>
      </c>
      <c r="H452" t="s">
        <v>31310</v>
      </c>
      <c r="I452" t="s">
        <v>22745</v>
      </c>
      <c r="J452" t="str">
        <f t="shared" si="37"/>
        <v>E:\PropInv\MF</v>
      </c>
      <c r="K452" s="103" t="str">
        <f>HYPERLINK("E:\PropInv\MF\Austin\Mopac Expwy S_2001_Post Barton Creek_Austin_00481","Mopac Expwy S_2001_Post Barton Creek_Austin_00481" )</f>
        <v>Mopac Expwy S_2001_Post Barton Creek_Austin_00481</v>
      </c>
      <c r="L452" s="104" t="s">
        <v>22253</v>
      </c>
      <c r="M452" s="103" t="str">
        <f t="shared" si="38"/>
        <v>http://oconnordata.com/mlink/modules/profile/index.cfm?action=profile&amp;prop_id=481</v>
      </c>
      <c r="N452" s="1" t="str">
        <f t="shared" si="39"/>
        <v>00481</v>
      </c>
    </row>
    <row r="453" spans="1:14" x14ac:dyDescent="0.3">
      <c r="A453" s="1">
        <v>482</v>
      </c>
      <c r="B453" s="10" t="s">
        <v>608</v>
      </c>
      <c r="C453" s="9">
        <v>1011</v>
      </c>
      <c r="D453" s="10" t="s">
        <v>701</v>
      </c>
      <c r="E453" s="11" t="s">
        <v>498</v>
      </c>
      <c r="F453" t="str">
        <f t="shared" si="35"/>
        <v>Wonder</v>
      </c>
      <c r="G453" t="str">
        <f t="shared" si="36"/>
        <v>Wonder1011San Marcos</v>
      </c>
      <c r="H453" t="s">
        <v>31311</v>
      </c>
      <c r="I453" t="s">
        <v>22746</v>
      </c>
      <c r="J453" t="str">
        <f t="shared" si="37"/>
        <v>E:\PropInv\MF</v>
      </c>
      <c r="K453" s="103" t="str">
        <f>HYPERLINK("E:\PropInv\MF\San Marcos\Wonder World Dr_1011_The Palazzo I_San Marcos_00482","Wonder World Dr_1011_The Palazzo I_San Marcos_00482" )</f>
        <v>Wonder World Dr_1011_The Palazzo I_San Marcos_00482</v>
      </c>
      <c r="L453" s="104" t="s">
        <v>22253</v>
      </c>
      <c r="M453" s="103" t="str">
        <f t="shared" si="38"/>
        <v>http://oconnordata.com/mlink/modules/profile/index.cfm?action=profile&amp;prop_id=482</v>
      </c>
      <c r="N453" s="1" t="str">
        <f t="shared" si="39"/>
        <v>00482</v>
      </c>
    </row>
    <row r="454" spans="1:14" x14ac:dyDescent="0.3">
      <c r="A454" s="1">
        <v>483</v>
      </c>
      <c r="B454" s="10" t="s">
        <v>662</v>
      </c>
      <c r="C454" s="9">
        <v>9400</v>
      </c>
      <c r="D454" s="10" t="s">
        <v>702</v>
      </c>
      <c r="E454" s="11" t="s">
        <v>7</v>
      </c>
      <c r="F454" t="str">
        <f t="shared" si="35"/>
        <v>Parmer</v>
      </c>
      <c r="G454" t="str">
        <f t="shared" si="36"/>
        <v>Parmer9400Austin</v>
      </c>
      <c r="H454" t="s">
        <v>31312</v>
      </c>
      <c r="I454" t="s">
        <v>22747</v>
      </c>
      <c r="J454" t="str">
        <f t="shared" si="37"/>
        <v>E:\PropInv\MF</v>
      </c>
      <c r="K454" s="103" t="str">
        <f>HYPERLINK("E:\PropInv\MF\Austin\Parmer Ln W_9400_The Ranch_Austin_00483","Parmer Ln W_9400_The Ranch_Austin_00483" )</f>
        <v>Parmer Ln W_9400_The Ranch_Austin_00483</v>
      </c>
      <c r="L454" s="104" t="s">
        <v>22253</v>
      </c>
      <c r="M454" s="103" t="str">
        <f t="shared" si="38"/>
        <v>http://oconnordata.com/mlink/modules/profile/index.cfm?action=profile&amp;prop_id=483</v>
      </c>
      <c r="N454" s="1" t="str">
        <f t="shared" si="39"/>
        <v>00483</v>
      </c>
    </row>
    <row r="455" spans="1:14" x14ac:dyDescent="0.3">
      <c r="A455" s="1">
        <v>484</v>
      </c>
      <c r="B455" s="10" t="s">
        <v>703</v>
      </c>
      <c r="C455" s="9">
        <v>335</v>
      </c>
      <c r="D455" s="10" t="s">
        <v>704</v>
      </c>
      <c r="E455" s="11" t="s">
        <v>705</v>
      </c>
      <c r="F455" t="str">
        <f t="shared" si="35"/>
        <v>Cypress</v>
      </c>
      <c r="G455" t="str">
        <f t="shared" si="36"/>
        <v>Cypress335Cedar Park</v>
      </c>
      <c r="H455" t="s">
        <v>31313</v>
      </c>
      <c r="I455" t="s">
        <v>22748</v>
      </c>
      <c r="J455" t="str">
        <f t="shared" si="37"/>
        <v>E:\PropInv\MF</v>
      </c>
      <c r="K455" s="103" t="str">
        <f>HYPERLINK("E:\PropInv\MF\Cedar Park\Cypress Creek Rd_335_Cypress Gardens_Cedar Park_00484","Cypress Creek Rd_335_Cypress Gardens_Cedar Park_00484" )</f>
        <v>Cypress Creek Rd_335_Cypress Gardens_Cedar Park_00484</v>
      </c>
      <c r="L455" s="104" t="s">
        <v>22253</v>
      </c>
      <c r="M455" s="103" t="str">
        <f t="shared" si="38"/>
        <v>http://oconnordata.com/mlink/modules/profile/index.cfm?action=profile&amp;prop_id=484</v>
      </c>
      <c r="N455" s="1" t="str">
        <f t="shared" si="39"/>
        <v>00484</v>
      </c>
    </row>
    <row r="456" spans="1:14" x14ac:dyDescent="0.3">
      <c r="A456" s="1">
        <v>485</v>
      </c>
      <c r="B456" s="10" t="s">
        <v>706</v>
      </c>
      <c r="C456" s="9">
        <v>1629</v>
      </c>
      <c r="D456" s="10" t="s">
        <v>707</v>
      </c>
      <c r="E456" s="11" t="s">
        <v>498</v>
      </c>
      <c r="F456" t="str">
        <f t="shared" si="35"/>
        <v>Post</v>
      </c>
      <c r="G456" t="str">
        <f t="shared" si="36"/>
        <v>Post1629San Marcos</v>
      </c>
      <c r="H456" t="s">
        <v>31314</v>
      </c>
      <c r="I456" t="s">
        <v>22749</v>
      </c>
      <c r="J456" t="str">
        <f t="shared" si="37"/>
        <v>E:\PropInv\MF</v>
      </c>
      <c r="K456" s="103" t="str">
        <f>HYPERLINK("E:\PropInv\MF\San Marcos\Post Rd_1629_Post Road Place_San Marcos_00485","Post Rd_1629_Post Road Place_San Marcos_00485" )</f>
        <v>Post Rd_1629_Post Road Place_San Marcos_00485</v>
      </c>
      <c r="L456" s="104" t="s">
        <v>22253</v>
      </c>
      <c r="M456" s="103" t="str">
        <f t="shared" si="38"/>
        <v>http://oconnordata.com/mlink/modules/profile/index.cfm?action=profile&amp;prop_id=485</v>
      </c>
      <c r="N456" s="1" t="str">
        <f t="shared" si="39"/>
        <v>00485</v>
      </c>
    </row>
    <row r="457" spans="1:14" x14ac:dyDescent="0.3">
      <c r="A457" s="1">
        <v>486</v>
      </c>
      <c r="B457" s="10" t="s">
        <v>387</v>
      </c>
      <c r="C457" s="9">
        <v>500</v>
      </c>
      <c r="D457" s="10" t="s">
        <v>708</v>
      </c>
      <c r="E457" s="11" t="s">
        <v>7</v>
      </c>
      <c r="F457" t="str">
        <f t="shared" si="35"/>
        <v>Stassney</v>
      </c>
      <c r="G457" t="str">
        <f t="shared" si="36"/>
        <v>Stassney500Austin</v>
      </c>
      <c r="H457" t="s">
        <v>31315</v>
      </c>
      <c r="I457" t="s">
        <v>22750</v>
      </c>
      <c r="J457" t="str">
        <f t="shared" si="37"/>
        <v>E:\PropInv\MF</v>
      </c>
      <c r="K457" s="103" t="str">
        <f>HYPERLINK("E:\PropInv\MF\Austin\Stassney Ln E_500_Falcon Ridge_Austin_00486","Stassney Ln E_500_Falcon Ridge_Austin_00486" )</f>
        <v>Stassney Ln E_500_Falcon Ridge_Austin_00486</v>
      </c>
      <c r="L457" s="104" t="s">
        <v>22253</v>
      </c>
      <c r="M457" s="103" t="str">
        <f t="shared" si="38"/>
        <v>http://oconnordata.com/mlink/modules/profile/index.cfm?action=profile&amp;prop_id=486</v>
      </c>
      <c r="N457" s="1" t="str">
        <f t="shared" si="39"/>
        <v>00486</v>
      </c>
    </row>
    <row r="458" spans="1:14" x14ac:dyDescent="0.3">
      <c r="A458" s="1">
        <v>487</v>
      </c>
      <c r="B458" s="10" t="s">
        <v>496</v>
      </c>
      <c r="C458" s="9">
        <v>1623</v>
      </c>
      <c r="D458" s="10" t="s">
        <v>709</v>
      </c>
      <c r="E458" s="11" t="s">
        <v>498</v>
      </c>
      <c r="F458" t="str">
        <f t="shared" si="35"/>
        <v>Aquarena</v>
      </c>
      <c r="G458" t="str">
        <f t="shared" si="36"/>
        <v>Aquarena1623San Marcos</v>
      </c>
      <c r="H458" t="s">
        <v>31316</v>
      </c>
      <c r="I458" t="s">
        <v>22751</v>
      </c>
      <c r="J458" t="str">
        <f t="shared" si="37"/>
        <v>E:\PropInv\MF</v>
      </c>
      <c r="K458" s="103" t="str">
        <f>HYPERLINK("E:\PropInv\MF\San Marcos\Aquarena Springs Dr_1623_Spring West_San Marcos_00487","Aquarena Springs Dr_1623_Spring West_San Marcos_00487" )</f>
        <v>Aquarena Springs Dr_1623_Spring West_San Marcos_00487</v>
      </c>
      <c r="L458" s="104" t="s">
        <v>22253</v>
      </c>
      <c r="M458" s="103" t="str">
        <f t="shared" si="38"/>
        <v>http://oconnordata.com/mlink/modules/profile/index.cfm?action=profile&amp;prop_id=487</v>
      </c>
      <c r="N458" s="1" t="str">
        <f t="shared" si="39"/>
        <v>00487</v>
      </c>
    </row>
    <row r="459" spans="1:14" x14ac:dyDescent="0.3">
      <c r="A459" s="1">
        <v>488</v>
      </c>
      <c r="B459" s="10" t="s">
        <v>710</v>
      </c>
      <c r="C459" s="9">
        <v>7000</v>
      </c>
      <c r="D459" s="10" t="s">
        <v>711</v>
      </c>
      <c r="E459" s="11" t="s">
        <v>7</v>
      </c>
      <c r="F459" t="str">
        <f t="shared" si="35"/>
        <v>Decker</v>
      </c>
      <c r="G459" t="str">
        <f t="shared" si="36"/>
        <v>Decker7000Austin</v>
      </c>
      <c r="H459" t="s">
        <v>31317</v>
      </c>
      <c r="I459" t="s">
        <v>22752</v>
      </c>
      <c r="J459" t="str">
        <f t="shared" si="37"/>
        <v>E:\PropInv\MF</v>
      </c>
      <c r="K459" s="103" t="str">
        <f>HYPERLINK("E:\PropInv\MF\Austin\Decker Ln_7000_Huntington Meadows_Austin_00488","Decker Ln_7000_Huntington Meadows_Austin_00488" )</f>
        <v>Decker Ln_7000_Huntington Meadows_Austin_00488</v>
      </c>
      <c r="L459" s="104" t="s">
        <v>22253</v>
      </c>
      <c r="M459" s="103" t="str">
        <f t="shared" si="38"/>
        <v>http://oconnordata.com/mlink/modules/profile/index.cfm?action=profile&amp;prop_id=488</v>
      </c>
      <c r="N459" s="1" t="str">
        <f t="shared" si="39"/>
        <v>00488</v>
      </c>
    </row>
    <row r="460" spans="1:14" x14ac:dyDescent="0.3">
      <c r="A460" s="1">
        <v>489</v>
      </c>
      <c r="B460" s="10" t="s">
        <v>427</v>
      </c>
      <c r="C460" s="9">
        <v>1034</v>
      </c>
      <c r="D460" s="10" t="s">
        <v>570</v>
      </c>
      <c r="E460" s="11" t="s">
        <v>7</v>
      </c>
      <c r="F460" t="str">
        <f t="shared" si="35"/>
        <v>Clayton</v>
      </c>
      <c r="G460" t="str">
        <f t="shared" si="36"/>
        <v>Clayton1034Austin</v>
      </c>
      <c r="H460" t="s">
        <v>31318</v>
      </c>
      <c r="I460" t="s">
        <v>22753</v>
      </c>
      <c r="J460" t="str">
        <f t="shared" si="37"/>
        <v>E:\PropInv\MF</v>
      </c>
      <c r="K460" s="103" t="str">
        <f>HYPERLINK("E:\PropInv\MF\Austin\Clayton Ln_1034_The Timbers_Austin_00489","Clayton Ln_1034_The Timbers_Austin_00489" )</f>
        <v>Clayton Ln_1034_The Timbers_Austin_00489</v>
      </c>
      <c r="L460" s="104" t="s">
        <v>22253</v>
      </c>
      <c r="M460" s="103" t="str">
        <f t="shared" si="38"/>
        <v>http://oconnordata.com/mlink/modules/profile/index.cfm?action=profile&amp;prop_id=489</v>
      </c>
      <c r="N460" s="1" t="str">
        <f t="shared" si="39"/>
        <v>00489</v>
      </c>
    </row>
    <row r="461" spans="1:14" x14ac:dyDescent="0.3">
      <c r="A461" s="1">
        <v>490</v>
      </c>
      <c r="B461" s="7" t="s">
        <v>662</v>
      </c>
      <c r="C461" s="12">
        <v>9801</v>
      </c>
      <c r="D461" s="7" t="s">
        <v>712</v>
      </c>
      <c r="E461" s="13" t="s">
        <v>7</v>
      </c>
      <c r="F461" t="str">
        <f t="shared" si="35"/>
        <v>Parmer</v>
      </c>
      <c r="G461" t="str">
        <f t="shared" si="36"/>
        <v>Parmer9801Austin</v>
      </c>
      <c r="H461" t="s">
        <v>31319</v>
      </c>
      <c r="I461" t="s">
        <v>22754</v>
      </c>
      <c r="J461" t="str">
        <f t="shared" si="37"/>
        <v>E:\PropInv\MF</v>
      </c>
      <c r="K461" s="103" t="str">
        <f>HYPERLINK("E:\PropInv\MF\Austin\Parmer Ln W_9801_Sycamore Springs_Austin_00490","Parmer Ln W_9801_Sycamore Springs_Austin_00490" )</f>
        <v>Parmer Ln W_9801_Sycamore Springs_Austin_00490</v>
      </c>
      <c r="L461" s="104" t="s">
        <v>22253</v>
      </c>
      <c r="M461" s="103" t="str">
        <f t="shared" si="38"/>
        <v>http://oconnordata.com/mlink/modules/profile/index.cfm?action=profile&amp;prop_id=490</v>
      </c>
      <c r="N461" s="1" t="str">
        <f t="shared" si="39"/>
        <v>00490</v>
      </c>
    </row>
    <row r="462" spans="1:14" x14ac:dyDescent="0.3">
      <c r="A462" s="1">
        <v>491</v>
      </c>
      <c r="B462" s="7" t="s">
        <v>713</v>
      </c>
      <c r="C462" s="12">
        <v>12345</v>
      </c>
      <c r="D462" s="7" t="s">
        <v>714</v>
      </c>
      <c r="E462" s="13" t="s">
        <v>7</v>
      </c>
      <c r="F462" t="str">
        <f t="shared" si="35"/>
        <v>Alameda</v>
      </c>
      <c r="G462" t="str">
        <f t="shared" si="36"/>
        <v>Alameda12345Austin</v>
      </c>
      <c r="H462" t="s">
        <v>31320</v>
      </c>
      <c r="I462" t="s">
        <v>22755</v>
      </c>
      <c r="J462" t="str">
        <f t="shared" si="37"/>
        <v>E:\PropInv\MF</v>
      </c>
      <c r="K462" s="103" t="str">
        <f>HYPERLINK("E:\PropInv\MF\Austin\Alameda Trace Cir_12345_RIATA-Rock Creek_Austin_00491","Alameda Trace Cir_12345_RIATA-Rock Creek_Austin_00491" )</f>
        <v>Alameda Trace Cir_12345_RIATA-Rock Creek_Austin_00491</v>
      </c>
      <c r="L462" s="104" t="s">
        <v>22253</v>
      </c>
      <c r="M462" s="103" t="str">
        <f t="shared" si="38"/>
        <v>http://oconnordata.com/mlink/modules/profile/index.cfm?action=profile&amp;prop_id=491</v>
      </c>
      <c r="N462" s="1" t="str">
        <f t="shared" si="39"/>
        <v>00491</v>
      </c>
    </row>
    <row r="463" spans="1:14" x14ac:dyDescent="0.3">
      <c r="A463" s="1">
        <v>492</v>
      </c>
      <c r="B463" s="7" t="s">
        <v>713</v>
      </c>
      <c r="C463" s="12">
        <v>12320</v>
      </c>
      <c r="D463" s="7" t="s">
        <v>715</v>
      </c>
      <c r="E463" s="13" t="s">
        <v>7</v>
      </c>
      <c r="F463" t="str">
        <f t="shared" si="35"/>
        <v>Alameda</v>
      </c>
      <c r="G463" t="str">
        <f t="shared" si="36"/>
        <v>Alameda12320Austin</v>
      </c>
      <c r="H463" t="s">
        <v>31321</v>
      </c>
      <c r="I463" t="s">
        <v>22756</v>
      </c>
      <c r="J463" t="str">
        <f t="shared" si="37"/>
        <v>E:\PropInv\MF</v>
      </c>
      <c r="K463" s="103" t="str">
        <f>HYPERLINK("E:\PropInv\MF\Austin\Alameda Trace Cir_12320_RIATA-Enclave_Austin_00492","Alameda Trace Cir_12320_RIATA-Enclave_Austin_00492" )</f>
        <v>Alameda Trace Cir_12320_RIATA-Enclave_Austin_00492</v>
      </c>
      <c r="L463" s="104" t="s">
        <v>22253</v>
      </c>
      <c r="M463" s="103" t="str">
        <f t="shared" si="38"/>
        <v>http://oconnordata.com/mlink/modules/profile/index.cfm?action=profile&amp;prop_id=492</v>
      </c>
      <c r="N463" s="1" t="str">
        <f t="shared" si="39"/>
        <v>00492</v>
      </c>
    </row>
    <row r="464" spans="1:14" x14ac:dyDescent="0.3">
      <c r="A464" s="1">
        <v>493</v>
      </c>
      <c r="B464" s="7" t="s">
        <v>713</v>
      </c>
      <c r="C464" s="12">
        <v>12370</v>
      </c>
      <c r="D464" s="7" t="s">
        <v>716</v>
      </c>
      <c r="E464" s="13" t="s">
        <v>7</v>
      </c>
      <c r="F464" t="str">
        <f t="shared" si="35"/>
        <v>Alameda</v>
      </c>
      <c r="G464" t="str">
        <f t="shared" si="36"/>
        <v>Alameda12370Austin</v>
      </c>
      <c r="H464" t="s">
        <v>31322</v>
      </c>
      <c r="I464" t="s">
        <v>22757</v>
      </c>
      <c r="J464" t="str">
        <f t="shared" si="37"/>
        <v>E:\PropInv\MF</v>
      </c>
      <c r="K464" s="103" t="str">
        <f>HYPERLINK("E:\PropInv\MF\Austin\Alameda Trace Cir_12370_RIATA-Arrow Wood_Austin_00493","Alameda Trace Cir_12370_RIATA-Arrow Wood_Austin_00493" )</f>
        <v>Alameda Trace Cir_12370_RIATA-Arrow Wood_Austin_00493</v>
      </c>
      <c r="L464" s="104" t="s">
        <v>22253</v>
      </c>
      <c r="M464" s="103" t="str">
        <f t="shared" si="38"/>
        <v>http://oconnordata.com/mlink/modules/profile/index.cfm?action=profile&amp;prop_id=493</v>
      </c>
      <c r="N464" s="1" t="str">
        <f t="shared" si="39"/>
        <v>00493</v>
      </c>
    </row>
    <row r="465" spans="1:14" x14ac:dyDescent="0.3">
      <c r="A465" s="1">
        <v>494</v>
      </c>
      <c r="B465" s="7" t="s">
        <v>717</v>
      </c>
      <c r="C465" s="12">
        <v>12610</v>
      </c>
      <c r="D465" s="7" t="s">
        <v>718</v>
      </c>
      <c r="E465" s="13" t="s">
        <v>7</v>
      </c>
      <c r="F465" t="str">
        <f t="shared" si="35"/>
        <v>Riata</v>
      </c>
      <c r="G465" t="str">
        <f t="shared" si="36"/>
        <v>Riata12610Austin</v>
      </c>
      <c r="H465" t="s">
        <v>31323</v>
      </c>
      <c r="I465" t="s">
        <v>22758</v>
      </c>
      <c r="J465" t="str">
        <f t="shared" si="37"/>
        <v>E:\PropInv\MF</v>
      </c>
      <c r="K465" s="103" t="str">
        <f>HYPERLINK("E:\PropInv\MF\Austin\Riata Trace Pkwy_12610_RIATA-Myles Mark_Austin_00494","Riata Trace Pkwy_12610_RIATA-Myles Mark_Austin_00494" )</f>
        <v>Riata Trace Pkwy_12610_RIATA-Myles Mark_Austin_00494</v>
      </c>
      <c r="L465" s="104" t="s">
        <v>22253</v>
      </c>
      <c r="M465" s="103" t="str">
        <f t="shared" si="38"/>
        <v>http://oconnordata.com/mlink/modules/profile/index.cfm?action=profile&amp;prop_id=494</v>
      </c>
      <c r="N465" s="1" t="str">
        <f t="shared" si="39"/>
        <v>00494</v>
      </c>
    </row>
    <row r="466" spans="1:14" x14ac:dyDescent="0.3">
      <c r="A466" s="1">
        <v>495</v>
      </c>
      <c r="B466" s="7" t="s">
        <v>719</v>
      </c>
      <c r="C466" s="12">
        <v>2702</v>
      </c>
      <c r="D466" s="7" t="s">
        <v>720</v>
      </c>
      <c r="E466" s="13" t="s">
        <v>721</v>
      </c>
      <c r="F466" t="str">
        <f t="shared" si="35"/>
        <v>Bagdad</v>
      </c>
      <c r="G466" t="str">
        <f t="shared" si="36"/>
        <v>Bagdad2702Leander</v>
      </c>
      <c r="H466" t="s">
        <v>31324</v>
      </c>
      <c r="I466" t="s">
        <v>22759</v>
      </c>
      <c r="J466" t="str">
        <f t="shared" si="37"/>
        <v>E:\PropInv\MF</v>
      </c>
      <c r="K466" s="103" t="str">
        <f>HYPERLINK("E:\PropInv\MF\Leander\Bagdad Rd S_2702_Cedar Ridge I_Leander_00495","Bagdad Rd S_2702_Cedar Ridge I_Leander_00495" )</f>
        <v>Bagdad Rd S_2702_Cedar Ridge I_Leander_00495</v>
      </c>
      <c r="L466" s="104" t="s">
        <v>22253</v>
      </c>
      <c r="M466" s="103" t="str">
        <f t="shared" si="38"/>
        <v>http://oconnordata.com/mlink/modules/profile/index.cfm?action=profile&amp;prop_id=495</v>
      </c>
      <c r="N466" s="1" t="str">
        <f t="shared" si="39"/>
        <v>00495</v>
      </c>
    </row>
    <row r="467" spans="1:14" x14ac:dyDescent="0.3">
      <c r="A467" s="1">
        <v>496</v>
      </c>
      <c r="B467" s="7" t="s">
        <v>706</v>
      </c>
      <c r="C467" s="12">
        <v>1617</v>
      </c>
      <c r="D467" s="7" t="s">
        <v>722</v>
      </c>
      <c r="E467" s="13" t="s">
        <v>498</v>
      </c>
      <c r="F467" t="str">
        <f t="shared" si="35"/>
        <v>Post</v>
      </c>
      <c r="G467" t="str">
        <f t="shared" si="36"/>
        <v>Post1617San Marcos</v>
      </c>
      <c r="H467" t="s">
        <v>31325</v>
      </c>
      <c r="I467" t="s">
        <v>22760</v>
      </c>
      <c r="J467" t="str">
        <f t="shared" si="37"/>
        <v>E:\PropInv\MF</v>
      </c>
      <c r="K467" s="103" t="str">
        <f>HYPERLINK("E:\PropInv\MF\San Marcos\Post Rd_1617_Post Oak Villa_San Marcos_00496","Post Rd_1617_Post Oak Villa_San Marcos_00496" )</f>
        <v>Post Rd_1617_Post Oak Villa_San Marcos_00496</v>
      </c>
      <c r="L467" s="104" t="s">
        <v>22253</v>
      </c>
      <c r="M467" s="103" t="str">
        <f t="shared" si="38"/>
        <v>http://oconnordata.com/mlink/modules/profile/index.cfm?action=profile&amp;prop_id=496</v>
      </c>
      <c r="N467" s="1" t="str">
        <f t="shared" si="39"/>
        <v>00496</v>
      </c>
    </row>
    <row r="468" spans="1:14" x14ac:dyDescent="0.3">
      <c r="A468" s="1">
        <v>497</v>
      </c>
      <c r="B468" s="21" t="s">
        <v>235</v>
      </c>
      <c r="C468" s="12">
        <v>109</v>
      </c>
      <c r="D468" s="7" t="s">
        <v>723</v>
      </c>
      <c r="E468" s="13" t="s">
        <v>498</v>
      </c>
      <c r="F468" t="str">
        <f t="shared" si="35"/>
        <v>W</v>
      </c>
      <c r="G468" t="str">
        <f t="shared" si="36"/>
        <v>W109San Marcos</v>
      </c>
      <c r="H468" t="s">
        <v>31326</v>
      </c>
      <c r="I468" t="s">
        <v>22761</v>
      </c>
      <c r="J468" t="str">
        <f t="shared" si="37"/>
        <v>E:\PropInv\MF</v>
      </c>
      <c r="K468" s="103" t="str">
        <f>HYPERLINK("E:\PropInv\MF\San Marcos\W Ave_109_University Springs_San Marcos_00497","W Ave_109_University Springs_San Marcos_00497" )</f>
        <v>W Ave_109_University Springs_San Marcos_00497</v>
      </c>
      <c r="L468" s="104" t="s">
        <v>22253</v>
      </c>
      <c r="M468" s="103" t="str">
        <f t="shared" si="38"/>
        <v>http://oconnordata.com/mlink/modules/profile/index.cfm?action=profile&amp;prop_id=497</v>
      </c>
      <c r="N468" s="1" t="str">
        <f t="shared" si="39"/>
        <v>00497</v>
      </c>
    </row>
    <row r="469" spans="1:14" x14ac:dyDescent="0.3">
      <c r="A469" s="1">
        <v>499</v>
      </c>
      <c r="B469" s="7" t="s">
        <v>660</v>
      </c>
      <c r="C469" s="12">
        <v>8710</v>
      </c>
      <c r="D469" s="7" t="s">
        <v>724</v>
      </c>
      <c r="E469" s="25" t="s">
        <v>7</v>
      </c>
      <c r="F469" t="str">
        <f t="shared" si="35"/>
        <v>Brodie</v>
      </c>
      <c r="G469" t="str">
        <f t="shared" si="36"/>
        <v>Brodie8710Austin</v>
      </c>
      <c r="H469" t="s">
        <v>31327</v>
      </c>
      <c r="I469" t="s">
        <v>22762</v>
      </c>
      <c r="J469" t="str">
        <f t="shared" si="37"/>
        <v>E:\PropInv\MF</v>
      </c>
      <c r="K469" s="103" t="str">
        <f>HYPERLINK("E:\PropInv\MF\Austin\Brodie Ln_8710_Deerfield_Austin_00499","Brodie Ln_8710_Deerfield_Austin_00499" )</f>
        <v>Brodie Ln_8710_Deerfield_Austin_00499</v>
      </c>
      <c r="L469" s="104" t="s">
        <v>22253</v>
      </c>
      <c r="M469" s="103" t="str">
        <f t="shared" si="38"/>
        <v>http://oconnordata.com/mlink/modules/profile/index.cfm?action=profile&amp;prop_id=499</v>
      </c>
      <c r="N469" s="1" t="str">
        <f t="shared" si="39"/>
        <v>00499</v>
      </c>
    </row>
    <row r="470" spans="1:14" x14ac:dyDescent="0.3">
      <c r="A470" s="1">
        <v>500</v>
      </c>
      <c r="B470" s="7" t="s">
        <v>725</v>
      </c>
      <c r="C470" s="12">
        <v>10301</v>
      </c>
      <c r="D470" s="7" t="s">
        <v>726</v>
      </c>
      <c r="E470" s="13" t="s">
        <v>7</v>
      </c>
      <c r="F470" t="str">
        <f t="shared" si="35"/>
        <v>2222</v>
      </c>
      <c r="G470" t="str">
        <f t="shared" si="36"/>
        <v>222210301Austin</v>
      </c>
      <c r="H470" t="s">
        <v>31328</v>
      </c>
      <c r="I470" t="s">
        <v>22763</v>
      </c>
      <c r="J470" t="str">
        <f t="shared" si="37"/>
        <v>E:\PropInv\MF</v>
      </c>
      <c r="K470" s="103" t="str">
        <f>HYPERLINK("E:\PropInv\MF\Austin\2222 RM_10301_Riverlodge_Austin_00500","2222 RM_10301_Riverlodge_Austin_00500" )</f>
        <v>2222 RM_10301_Riverlodge_Austin_00500</v>
      </c>
      <c r="L470" s="104" t="s">
        <v>22253</v>
      </c>
      <c r="M470" s="103" t="str">
        <f t="shared" si="38"/>
        <v>http://oconnordata.com/mlink/modules/profile/index.cfm?action=profile&amp;prop_id=500</v>
      </c>
      <c r="N470" s="1" t="str">
        <f t="shared" si="39"/>
        <v>00500</v>
      </c>
    </row>
    <row r="471" spans="1:14" x14ac:dyDescent="0.3">
      <c r="A471" s="1">
        <v>501</v>
      </c>
      <c r="B471" s="7" t="s">
        <v>727</v>
      </c>
      <c r="C471" s="12">
        <v>550</v>
      </c>
      <c r="D471" s="7" t="s">
        <v>728</v>
      </c>
      <c r="E471" s="13" t="s">
        <v>16</v>
      </c>
      <c r="F471" t="str">
        <f t="shared" si="35"/>
        <v>22nd</v>
      </c>
      <c r="G471" t="str">
        <f t="shared" si="36"/>
        <v>22nd550Georgetown</v>
      </c>
      <c r="H471" t="s">
        <v>31329</v>
      </c>
      <c r="I471" t="s">
        <v>22764</v>
      </c>
      <c r="J471" t="str">
        <f t="shared" si="37"/>
        <v>E:\PropInv\MF</v>
      </c>
      <c r="K471" s="103" t="str">
        <f>HYPERLINK("E:\PropInv\MF\Georgetown\22nd St W_550_The Oaks at Georgetown_Georgetown_00501","22nd St W_550_The Oaks at Georgetown_Georgetown_00501" )</f>
        <v>22nd St W_550_The Oaks at Georgetown_Georgetown_00501</v>
      </c>
      <c r="L471" s="104" t="s">
        <v>22253</v>
      </c>
      <c r="M471" s="103" t="str">
        <f t="shared" si="38"/>
        <v>http://oconnordata.com/mlink/modules/profile/index.cfm?action=profile&amp;prop_id=501</v>
      </c>
      <c r="N471" s="1" t="str">
        <f t="shared" si="39"/>
        <v>00501</v>
      </c>
    </row>
    <row r="472" spans="1:14" x14ac:dyDescent="0.3">
      <c r="A472" s="1">
        <v>502</v>
      </c>
      <c r="B472" s="7" t="s">
        <v>729</v>
      </c>
      <c r="C472" s="12">
        <v>200</v>
      </c>
      <c r="D472" s="7" t="s">
        <v>730</v>
      </c>
      <c r="E472" s="13" t="s">
        <v>16</v>
      </c>
      <c r="F472" t="str">
        <f t="shared" si="35"/>
        <v>Riverbend</v>
      </c>
      <c r="G472" t="str">
        <f t="shared" si="36"/>
        <v>Riverbend200Georgetown</v>
      </c>
      <c r="H472" t="s">
        <v>31330</v>
      </c>
      <c r="I472" t="s">
        <v>22765</v>
      </c>
      <c r="J472" t="str">
        <f t="shared" si="37"/>
        <v>E:\PropInv\MF</v>
      </c>
      <c r="K472" s="103" t="str">
        <f>HYPERLINK("E:\PropInv\MF\Georgetown\Riverbend_200_Westwood TH_Georgetown_00502","Riverbend_200_Westwood TH_Georgetown_00502" )</f>
        <v>Riverbend_200_Westwood TH_Georgetown_00502</v>
      </c>
      <c r="L472" s="104" t="s">
        <v>22253</v>
      </c>
      <c r="M472" s="103" t="str">
        <f t="shared" si="38"/>
        <v>http://oconnordata.com/mlink/modules/profile/index.cfm?action=profile&amp;prop_id=502</v>
      </c>
      <c r="N472" s="1" t="str">
        <f t="shared" si="39"/>
        <v>00502</v>
      </c>
    </row>
    <row r="473" spans="1:14" x14ac:dyDescent="0.3">
      <c r="A473" s="1">
        <v>503</v>
      </c>
      <c r="B473" s="7" t="s">
        <v>731</v>
      </c>
      <c r="C473" s="12">
        <v>2716</v>
      </c>
      <c r="D473" s="7" t="s">
        <v>732</v>
      </c>
      <c r="E473" s="13" t="s">
        <v>7</v>
      </c>
      <c r="F473" t="str">
        <f t="shared" si="35"/>
        <v>Barton</v>
      </c>
      <c r="G473" t="str">
        <f t="shared" si="36"/>
        <v>Barton2716Austin</v>
      </c>
      <c r="H473" t="s">
        <v>31331</v>
      </c>
      <c r="I473" t="s">
        <v>22766</v>
      </c>
      <c r="J473" t="str">
        <f t="shared" si="37"/>
        <v>E:\PropInv\MF</v>
      </c>
      <c r="K473" s="103" t="str">
        <f>HYPERLINK("E:\PropInv\MF\Austin\Barton Creek Blvd_2716_Sendera Barton Creek_Austin_00503","Barton Creek Blvd_2716_Sendera Barton Creek_Austin_00503" )</f>
        <v>Barton Creek Blvd_2716_Sendera Barton Creek_Austin_00503</v>
      </c>
      <c r="L473" s="104" t="s">
        <v>22253</v>
      </c>
      <c r="M473" s="103" t="str">
        <f t="shared" si="38"/>
        <v>http://oconnordata.com/mlink/modules/profile/index.cfm?action=profile&amp;prop_id=503</v>
      </c>
      <c r="N473" s="1" t="str">
        <f t="shared" si="39"/>
        <v>00503</v>
      </c>
    </row>
    <row r="474" spans="1:14" x14ac:dyDescent="0.3">
      <c r="A474" s="1">
        <v>504</v>
      </c>
      <c r="B474" s="10" t="s">
        <v>113</v>
      </c>
      <c r="C474" s="9">
        <v>1338</v>
      </c>
      <c r="D474" s="10" t="s">
        <v>733</v>
      </c>
      <c r="E474" s="11" t="s">
        <v>18</v>
      </c>
      <c r="F474" t="str">
        <f t="shared" si="35"/>
        <v>Christopher</v>
      </c>
      <c r="G474" t="str">
        <f t="shared" si="36"/>
        <v>Christopher1338Round Rock</v>
      </c>
      <c r="H474" t="s">
        <v>31332</v>
      </c>
      <c r="I474" t="s">
        <v>22767</v>
      </c>
      <c r="J474" t="str">
        <f t="shared" si="37"/>
        <v>E:\PropInv\MF</v>
      </c>
      <c r="K474" s="103" t="str">
        <f>HYPERLINK("E:\PropInv\MF\Round Rock\Christopher Ave_1338_Westwind Duplexes_Round Rock_00504","Christopher Ave_1338_Westwind Duplexes_Round Rock_00504" )</f>
        <v>Christopher Ave_1338_Westwind Duplexes_Round Rock_00504</v>
      </c>
      <c r="L474" s="104" t="s">
        <v>22253</v>
      </c>
      <c r="M474" s="103" t="str">
        <f t="shared" si="38"/>
        <v>http://oconnordata.com/mlink/modules/profile/index.cfm?action=profile&amp;prop_id=504</v>
      </c>
      <c r="N474" s="1" t="str">
        <f t="shared" si="39"/>
        <v>00504</v>
      </c>
    </row>
    <row r="475" spans="1:14" x14ac:dyDescent="0.3">
      <c r="A475" s="1">
        <v>505</v>
      </c>
      <c r="B475" s="10" t="s">
        <v>734</v>
      </c>
      <c r="C475" s="9">
        <v>8054</v>
      </c>
      <c r="D475" s="10" t="s">
        <v>735</v>
      </c>
      <c r="E475" s="11" t="s">
        <v>7</v>
      </c>
      <c r="F475" t="str">
        <f t="shared" si="35"/>
        <v>Exchange</v>
      </c>
      <c r="G475" t="str">
        <f t="shared" si="36"/>
        <v>Exchange8054Austin</v>
      </c>
      <c r="H475" t="s">
        <v>31333</v>
      </c>
      <c r="I475" t="s">
        <v>22768</v>
      </c>
      <c r="J475" t="str">
        <f t="shared" si="37"/>
        <v>E:\PropInv\MF</v>
      </c>
      <c r="K475" s="103" t="str">
        <f>HYPERLINK("E:\PropInv\MF\Austin\Exchange Dr_8054_Palms of Walnut Creek_Austin_00505","Exchange Dr_8054_Palms of Walnut Creek_Austin_00505" )</f>
        <v>Exchange Dr_8054_Palms of Walnut Creek_Austin_00505</v>
      </c>
      <c r="L475" s="104" t="s">
        <v>22253</v>
      </c>
      <c r="M475" s="103" t="str">
        <f t="shared" si="38"/>
        <v>http://oconnordata.com/mlink/modules/profile/index.cfm?action=profile&amp;prop_id=505</v>
      </c>
      <c r="N475" s="1" t="str">
        <f t="shared" si="39"/>
        <v>00505</v>
      </c>
    </row>
    <row r="476" spans="1:14" x14ac:dyDescent="0.3">
      <c r="A476" s="1">
        <v>506</v>
      </c>
      <c r="B476" s="10" t="s">
        <v>736</v>
      </c>
      <c r="C476" s="9">
        <v>2900</v>
      </c>
      <c r="D476" s="10" t="s">
        <v>737</v>
      </c>
      <c r="E476" s="11" t="s">
        <v>7</v>
      </c>
      <c r="F476" t="str">
        <f t="shared" si="35"/>
        <v>Sunridge</v>
      </c>
      <c r="G476" t="str">
        <f t="shared" si="36"/>
        <v>Sunridge2900Austin</v>
      </c>
      <c r="H476" t="s">
        <v>31334</v>
      </c>
      <c r="I476" t="s">
        <v>22769</v>
      </c>
      <c r="J476" t="str">
        <f t="shared" si="37"/>
        <v>E:\PropInv\MF</v>
      </c>
      <c r="K476" s="103" t="str">
        <f>HYPERLINK("E:\PropInv\MF\Austin\Sunridge Dr_2900_Mission Hills_Austin_00506","Sunridge Dr_2900_Mission Hills_Austin_00506" )</f>
        <v>Sunridge Dr_2900_Mission Hills_Austin_00506</v>
      </c>
      <c r="L476" s="104" t="s">
        <v>22253</v>
      </c>
      <c r="M476" s="103" t="str">
        <f t="shared" si="38"/>
        <v>http://oconnordata.com/mlink/modules/profile/index.cfm?action=profile&amp;prop_id=506</v>
      </c>
      <c r="N476" s="1" t="str">
        <f t="shared" si="39"/>
        <v>00506</v>
      </c>
    </row>
    <row r="477" spans="1:14" x14ac:dyDescent="0.3">
      <c r="A477" s="1">
        <v>507</v>
      </c>
      <c r="B477" s="10" t="s">
        <v>200</v>
      </c>
      <c r="C477" s="9">
        <v>1600</v>
      </c>
      <c r="D477" s="10" t="s">
        <v>738</v>
      </c>
      <c r="E477" s="11" t="s">
        <v>7</v>
      </c>
      <c r="F477" t="str">
        <f t="shared" si="35"/>
        <v>Wickersham</v>
      </c>
      <c r="G477" t="str">
        <f t="shared" si="36"/>
        <v>Wickersham1600Austin</v>
      </c>
      <c r="H477" t="s">
        <v>31335</v>
      </c>
      <c r="I477" t="s">
        <v>22770</v>
      </c>
      <c r="J477" t="str">
        <f t="shared" si="37"/>
        <v>E:\PropInv\MF</v>
      </c>
      <c r="K477" s="103" t="str">
        <f>HYPERLINK("E:\PropInv\MF\Austin\Wickersham Ln_1600_Ion at East End_Austin_00507","Wickersham Ln_1600_Ion at East End_Austin_00507" )</f>
        <v>Wickersham Ln_1600_Ion at East End_Austin_00507</v>
      </c>
      <c r="L477" s="104" t="s">
        <v>22253</v>
      </c>
      <c r="M477" s="103" t="str">
        <f t="shared" si="38"/>
        <v>http://oconnordata.com/mlink/modules/profile/index.cfm?action=profile&amp;prop_id=507</v>
      </c>
      <c r="N477" s="1" t="str">
        <f t="shared" si="39"/>
        <v>00507</v>
      </c>
    </row>
    <row r="478" spans="1:14" x14ac:dyDescent="0.3">
      <c r="A478" s="1">
        <v>508</v>
      </c>
      <c r="B478" s="10" t="s">
        <v>612</v>
      </c>
      <c r="C478" s="9">
        <v>4701</v>
      </c>
      <c r="D478" s="10" t="s">
        <v>739</v>
      </c>
      <c r="E478" s="11" t="s">
        <v>7</v>
      </c>
      <c r="F478" t="str">
        <f t="shared" si="35"/>
        <v>Monterey</v>
      </c>
      <c r="G478" t="str">
        <f t="shared" si="36"/>
        <v>Monterey4701Austin</v>
      </c>
      <c r="H478" t="s">
        <v>31336</v>
      </c>
      <c r="I478" t="s">
        <v>22771</v>
      </c>
      <c r="J478" t="str">
        <f t="shared" si="37"/>
        <v>E:\PropInv\MF</v>
      </c>
      <c r="K478" s="103" t="str">
        <f>HYPERLINK("E:\PropInv\MF\Austin\Monterey Oaks Blvd_4701_The Park at Monterey Oaks_Austin_00508","Monterey Oaks Blvd_4701_The Park at Monterey Oaks_Austin_00508" )</f>
        <v>Monterey Oaks Blvd_4701_The Park at Monterey Oaks_Austin_00508</v>
      </c>
      <c r="L478" s="104" t="s">
        <v>22253</v>
      </c>
      <c r="M478" s="103" t="str">
        <f t="shared" si="38"/>
        <v>http://oconnordata.com/mlink/modules/profile/index.cfm?action=profile&amp;prop_id=508</v>
      </c>
      <c r="N478" s="1" t="str">
        <f t="shared" si="39"/>
        <v>00508</v>
      </c>
    </row>
    <row r="479" spans="1:14" x14ac:dyDescent="0.3">
      <c r="A479" s="1">
        <v>510</v>
      </c>
      <c r="B479" s="10" t="s">
        <v>740</v>
      </c>
      <c r="C479" s="9">
        <v>2501</v>
      </c>
      <c r="D479" s="10" t="s">
        <v>741</v>
      </c>
      <c r="E479" s="11" t="s">
        <v>18</v>
      </c>
      <c r="F479" t="str">
        <f t="shared" si="35"/>
        <v>Louis</v>
      </c>
      <c r="G479" t="str">
        <f t="shared" si="36"/>
        <v>Louis2501Round Rock</v>
      </c>
      <c r="H479" t="s">
        <v>31337</v>
      </c>
      <c r="I479" t="s">
        <v>22772</v>
      </c>
      <c r="J479" t="str">
        <f t="shared" si="37"/>
        <v>E:\PropInv\MF</v>
      </c>
      <c r="K479" s="103" t="str">
        <f>HYPERLINK("E:\PropInv\MF\Round Rock\Louis Henna Blvd_2501_Montelena_Round Rock_00510","Louis Henna Blvd_2501_Montelena_Round Rock_00510" )</f>
        <v>Louis Henna Blvd_2501_Montelena_Round Rock_00510</v>
      </c>
      <c r="L479" s="104" t="s">
        <v>22253</v>
      </c>
      <c r="M479" s="103" t="str">
        <f t="shared" si="38"/>
        <v>http://oconnordata.com/mlink/modules/profile/index.cfm?action=profile&amp;prop_id=510</v>
      </c>
      <c r="N479" s="1" t="str">
        <f t="shared" si="39"/>
        <v>00510</v>
      </c>
    </row>
    <row r="480" spans="1:14" x14ac:dyDescent="0.3">
      <c r="A480" s="1">
        <v>511</v>
      </c>
      <c r="B480" s="10" t="s">
        <v>740</v>
      </c>
      <c r="C480" s="9">
        <v>700</v>
      </c>
      <c r="D480" s="10" t="s">
        <v>742</v>
      </c>
      <c r="E480" s="11" t="s">
        <v>18</v>
      </c>
      <c r="F480" t="str">
        <f t="shared" si="35"/>
        <v>Louis</v>
      </c>
      <c r="G480" t="str">
        <f t="shared" si="36"/>
        <v>Louis700Round Rock</v>
      </c>
      <c r="H480" t="s">
        <v>31338</v>
      </c>
      <c r="I480" t="s">
        <v>22773</v>
      </c>
      <c r="J480" t="str">
        <f t="shared" si="37"/>
        <v>E:\PropInv\MF</v>
      </c>
      <c r="K480" s="103" t="str">
        <f>HYPERLINK("E:\PropInv\MF\Round Rock\Louis Henna Blvd_700_Stonehaven_Round Rock_00511","Louis Henna Blvd_700_Stonehaven_Round Rock_00511" )</f>
        <v>Louis Henna Blvd_700_Stonehaven_Round Rock_00511</v>
      </c>
      <c r="L480" s="104" t="s">
        <v>22253</v>
      </c>
      <c r="M480" s="103" t="str">
        <f t="shared" si="38"/>
        <v>http://oconnordata.com/mlink/modules/profile/index.cfm?action=profile&amp;prop_id=511</v>
      </c>
      <c r="N480" s="1" t="str">
        <f t="shared" si="39"/>
        <v>00511</v>
      </c>
    </row>
    <row r="481" spans="1:14" x14ac:dyDescent="0.3">
      <c r="A481" s="1">
        <v>512</v>
      </c>
      <c r="B481" s="10" t="s">
        <v>743</v>
      </c>
      <c r="C481" s="9">
        <v>2111</v>
      </c>
      <c r="D481" s="10" t="s">
        <v>744</v>
      </c>
      <c r="E481" s="11" t="s">
        <v>16</v>
      </c>
      <c r="F481" t="str">
        <f t="shared" si="35"/>
        <v>Austin</v>
      </c>
      <c r="G481" t="str">
        <f t="shared" si="36"/>
        <v>Austin2111Georgetown</v>
      </c>
      <c r="H481" t="s">
        <v>31339</v>
      </c>
      <c r="I481" t="s">
        <v>22774</v>
      </c>
      <c r="J481" t="str">
        <f t="shared" si="37"/>
        <v>E:\PropInv\MF</v>
      </c>
      <c r="K481" s="103" t="str">
        <f>HYPERLINK("E:\PropInv\MF\Georgetown\Austin Ave N_2111_Parkview Place_Georgetown_00512","Austin Ave N_2111_Parkview Place_Georgetown_00512" )</f>
        <v>Austin Ave N_2111_Parkview Place_Georgetown_00512</v>
      </c>
      <c r="L481" s="104" t="s">
        <v>22253</v>
      </c>
      <c r="M481" s="103" t="str">
        <f t="shared" si="38"/>
        <v>http://oconnordata.com/mlink/modules/profile/index.cfm?action=profile&amp;prop_id=512</v>
      </c>
      <c r="N481" s="1" t="str">
        <f t="shared" si="39"/>
        <v>00512</v>
      </c>
    </row>
    <row r="482" spans="1:14" x14ac:dyDescent="0.3">
      <c r="A482" s="1">
        <v>513</v>
      </c>
      <c r="B482" s="10" t="s">
        <v>713</v>
      </c>
      <c r="C482" s="9">
        <v>12445</v>
      </c>
      <c r="D482" s="10" t="s">
        <v>745</v>
      </c>
      <c r="E482" s="11" t="s">
        <v>7</v>
      </c>
      <c r="F482" t="str">
        <f t="shared" si="35"/>
        <v>Alameda</v>
      </c>
      <c r="G482" t="str">
        <f t="shared" si="36"/>
        <v>Alameda12445Austin</v>
      </c>
      <c r="H482" t="s">
        <v>31340</v>
      </c>
      <c r="I482" t="s">
        <v>22775</v>
      </c>
      <c r="J482" t="str">
        <f t="shared" si="37"/>
        <v>E:\PropInv\MF</v>
      </c>
      <c r="K482" s="103" t="str">
        <f>HYPERLINK("E:\PropInv\MF\Austin\Alameda Trace Cir_12445_RIATA-Grey Moss_Austin_00513","Alameda Trace Cir_12445_RIATA-Grey Moss_Austin_00513" )</f>
        <v>Alameda Trace Cir_12445_RIATA-Grey Moss_Austin_00513</v>
      </c>
      <c r="L482" s="104" t="s">
        <v>22253</v>
      </c>
      <c r="M482" s="103" t="str">
        <f t="shared" si="38"/>
        <v>http://oconnordata.com/mlink/modules/profile/index.cfm?action=profile&amp;prop_id=513</v>
      </c>
      <c r="N482" s="1" t="str">
        <f t="shared" si="39"/>
        <v>00513</v>
      </c>
    </row>
    <row r="483" spans="1:14" x14ac:dyDescent="0.3">
      <c r="A483" s="1">
        <v>514</v>
      </c>
      <c r="B483" s="10" t="s">
        <v>746</v>
      </c>
      <c r="C483" s="9">
        <v>5700</v>
      </c>
      <c r="D483" s="10" t="s">
        <v>747</v>
      </c>
      <c r="E483" s="11" t="s">
        <v>7</v>
      </c>
      <c r="F483" t="str">
        <f t="shared" si="35"/>
        <v>Tapadera</v>
      </c>
      <c r="G483" t="str">
        <f t="shared" si="36"/>
        <v>Tapadera5700Austin</v>
      </c>
      <c r="H483" t="s">
        <v>31341</v>
      </c>
      <c r="I483" t="s">
        <v>22776</v>
      </c>
      <c r="J483" t="str">
        <f t="shared" si="37"/>
        <v>E:\PropInv\MF</v>
      </c>
      <c r="K483" s="103" t="str">
        <f>HYPERLINK("E:\PropInv\MF\Austin\Tapadera Trace Ln_5700_RIATA-Wood Trail_Austin_00514","Tapadera Trace Ln_5700_RIATA-Wood Trail_Austin_00514" )</f>
        <v>Tapadera Trace Ln_5700_RIATA-Wood Trail_Austin_00514</v>
      </c>
      <c r="L483" s="104" t="s">
        <v>22253</v>
      </c>
      <c r="M483" s="103" t="str">
        <f t="shared" si="38"/>
        <v>http://oconnordata.com/mlink/modules/profile/index.cfm?action=profile&amp;prop_id=514</v>
      </c>
      <c r="N483" s="1" t="str">
        <f t="shared" si="39"/>
        <v>00514</v>
      </c>
    </row>
    <row r="484" spans="1:14" x14ac:dyDescent="0.3">
      <c r="A484" s="1">
        <v>515</v>
      </c>
      <c r="B484" s="10" t="s">
        <v>748</v>
      </c>
      <c r="C484" s="9">
        <v>10320</v>
      </c>
      <c r="D484" s="10" t="s">
        <v>749</v>
      </c>
      <c r="E484" s="11" t="s">
        <v>7</v>
      </c>
      <c r="F484" t="str">
        <f t="shared" si="35"/>
        <v>Boulder</v>
      </c>
      <c r="G484" t="str">
        <f t="shared" si="36"/>
        <v>Boulder10320Austin</v>
      </c>
      <c r="H484" t="s">
        <v>31342</v>
      </c>
      <c r="I484" t="s">
        <v>22777</v>
      </c>
      <c r="J484" t="str">
        <f t="shared" si="37"/>
        <v>E:\PropInv\MF</v>
      </c>
      <c r="K484" s="103" t="str">
        <f>HYPERLINK("E:\PropInv\MF\Austin\Boulder Ln_10320_Sonterra II_Austin_00515","Boulder Ln_10320_Sonterra II_Austin_00515" )</f>
        <v>Boulder Ln_10320_Sonterra II_Austin_00515</v>
      </c>
      <c r="L484" s="104" t="s">
        <v>22253</v>
      </c>
      <c r="M484" s="103" t="str">
        <f t="shared" si="38"/>
        <v>http://oconnordata.com/mlink/modules/profile/index.cfm?action=profile&amp;prop_id=515</v>
      </c>
      <c r="N484" s="1" t="str">
        <f t="shared" si="39"/>
        <v>00515</v>
      </c>
    </row>
    <row r="485" spans="1:14" x14ac:dyDescent="0.3">
      <c r="A485" s="1">
        <v>517</v>
      </c>
      <c r="B485" s="10" t="s">
        <v>750</v>
      </c>
      <c r="C485" s="9">
        <v>7631</v>
      </c>
      <c r="D485" s="10" t="s">
        <v>751</v>
      </c>
      <c r="E485" s="11" t="s">
        <v>7</v>
      </c>
      <c r="F485" t="str">
        <f t="shared" si="35"/>
        <v>290</v>
      </c>
      <c r="G485" t="str">
        <f t="shared" si="36"/>
        <v>2907631Austin</v>
      </c>
      <c r="H485" t="s">
        <v>31343</v>
      </c>
      <c r="I485" t="s">
        <v>22778</v>
      </c>
      <c r="J485" t="str">
        <f t="shared" si="37"/>
        <v>E:\PropInv\MF</v>
      </c>
      <c r="K485" s="103" t="str">
        <f>HYPERLINK("E:\PropInv\MF\Austin\290 Hwy W_7631_Vineyard Hills_Austin_00517","290 Hwy W_7631_Vineyard Hills_Austin_00517" )</f>
        <v>290 Hwy W_7631_Vineyard Hills_Austin_00517</v>
      </c>
      <c r="L485" s="104" t="s">
        <v>22253</v>
      </c>
      <c r="M485" s="103" t="str">
        <f t="shared" si="38"/>
        <v>http://oconnordata.com/mlink/modules/profile/index.cfm?action=profile&amp;prop_id=517</v>
      </c>
      <c r="N485" s="1" t="str">
        <f t="shared" si="39"/>
        <v>00517</v>
      </c>
    </row>
    <row r="486" spans="1:14" x14ac:dyDescent="0.3">
      <c r="A486" s="1">
        <v>518</v>
      </c>
      <c r="B486" s="10" t="s">
        <v>752</v>
      </c>
      <c r="C486" s="9">
        <v>8801</v>
      </c>
      <c r="D486" s="10" t="s">
        <v>753</v>
      </c>
      <c r="E486" s="11" t="s">
        <v>7</v>
      </c>
      <c r="F486" t="str">
        <f t="shared" si="35"/>
        <v>La</v>
      </c>
      <c r="G486" t="str">
        <f t="shared" si="36"/>
        <v>La8801Austin</v>
      </c>
      <c r="H486" t="s">
        <v>31344</v>
      </c>
      <c r="I486" t="s">
        <v>22779</v>
      </c>
      <c r="J486" t="str">
        <f t="shared" si="37"/>
        <v>E:\PropInv\MF</v>
      </c>
      <c r="K486" s="103" t="str">
        <f>HYPERLINK("E:\PropInv\MF\Austin\La Cresada Dr_8801_Legacy at Western Oaks_Austin_00518","La Cresada Dr_8801_Legacy at Western Oaks_Austin_00518" )</f>
        <v>La Cresada Dr_8801_Legacy at Western Oaks_Austin_00518</v>
      </c>
      <c r="L486" s="104" t="s">
        <v>22253</v>
      </c>
      <c r="M486" s="103" t="str">
        <f t="shared" si="38"/>
        <v>http://oconnordata.com/mlink/modules/profile/index.cfm?action=profile&amp;prop_id=518</v>
      </c>
      <c r="N486" s="1" t="str">
        <f t="shared" si="39"/>
        <v>00518</v>
      </c>
    </row>
    <row r="487" spans="1:14" x14ac:dyDescent="0.3">
      <c r="A487" s="1">
        <v>519</v>
      </c>
      <c r="B487" s="10" t="s">
        <v>754</v>
      </c>
      <c r="C487" s="12">
        <v>12345</v>
      </c>
      <c r="D487" s="7" t="s">
        <v>755</v>
      </c>
      <c r="E487" s="13" t="s">
        <v>7</v>
      </c>
      <c r="F487" t="str">
        <f t="shared" si="35"/>
        <v>Lamplight</v>
      </c>
      <c r="G487" t="str">
        <f t="shared" si="36"/>
        <v>Lamplight12345Austin</v>
      </c>
      <c r="H487" t="s">
        <v>31345</v>
      </c>
      <c r="I487" t="s">
        <v>22780</v>
      </c>
      <c r="J487" t="str">
        <f t="shared" si="37"/>
        <v>E:\PropInv\MF</v>
      </c>
      <c r="K487" s="103" t="str">
        <f>HYPERLINK("E:\PropInv\MF\Austin\Lamplight Village Ave_12345_Renaissance at Northbend_Austin_00519","Lamplight Village Ave_12345_Renaissance at Northbend_Austin_00519" )</f>
        <v>Lamplight Village Ave_12345_Renaissance at Northbend_Austin_00519</v>
      </c>
      <c r="L487" s="104" t="s">
        <v>22253</v>
      </c>
      <c r="M487" s="103" t="str">
        <f t="shared" si="38"/>
        <v>http://oconnordata.com/mlink/modules/profile/index.cfm?action=profile&amp;prop_id=519</v>
      </c>
      <c r="N487" s="1" t="str">
        <f t="shared" si="39"/>
        <v>00519</v>
      </c>
    </row>
    <row r="488" spans="1:14" x14ac:dyDescent="0.3">
      <c r="A488" s="1">
        <v>521</v>
      </c>
      <c r="B488" s="10" t="s">
        <v>756</v>
      </c>
      <c r="C488" s="12">
        <v>1817</v>
      </c>
      <c r="D488" s="7" t="s">
        <v>757</v>
      </c>
      <c r="E488" s="13" t="s">
        <v>599</v>
      </c>
      <c r="F488" t="str">
        <f t="shared" si="35"/>
        <v>Colorado</v>
      </c>
      <c r="G488" t="str">
        <f t="shared" si="36"/>
        <v>Colorado1817Lockhart</v>
      </c>
      <c r="H488" t="s">
        <v>31346</v>
      </c>
      <c r="I488" t="s">
        <v>22781</v>
      </c>
      <c r="J488" t="str">
        <f t="shared" si="37"/>
        <v>E:\PropInv\MF</v>
      </c>
      <c r="K488" s="103" t="str">
        <f>HYPERLINK("E:\PropInv\MF\Lockhart\Colorado St S_1817_Southpark Village_Lockhart_00521","Colorado St S_1817_Southpark Village_Lockhart_00521" )</f>
        <v>Colorado St S_1817_Southpark Village_Lockhart_00521</v>
      </c>
      <c r="L488" s="104" t="s">
        <v>22253</v>
      </c>
      <c r="M488" s="103" t="str">
        <f t="shared" si="38"/>
        <v>http://oconnordata.com/mlink/modules/profile/index.cfm?action=profile&amp;prop_id=521</v>
      </c>
      <c r="N488" s="1" t="str">
        <f t="shared" si="39"/>
        <v>00521</v>
      </c>
    </row>
    <row r="489" spans="1:14" x14ac:dyDescent="0.3">
      <c r="A489" s="1">
        <v>522</v>
      </c>
      <c r="B489" s="10" t="s">
        <v>740</v>
      </c>
      <c r="C489" s="12">
        <v>2500</v>
      </c>
      <c r="D489" s="7" t="s">
        <v>758</v>
      </c>
      <c r="E489" s="13" t="s">
        <v>18</v>
      </c>
      <c r="F489" t="str">
        <f t="shared" si="35"/>
        <v>Louis</v>
      </c>
      <c r="G489" t="str">
        <f t="shared" si="36"/>
        <v>Louis2500Round Rock</v>
      </c>
      <c r="H489" t="s">
        <v>31347</v>
      </c>
      <c r="I489" t="s">
        <v>22782</v>
      </c>
      <c r="J489" t="str">
        <f t="shared" si="37"/>
        <v>E:\PropInv\MF</v>
      </c>
      <c r="K489" s="103" t="str">
        <f>HYPERLINK("E:\PropInv\MF\Round Rock\Louis Henna Blvd_2500_Henna TH_Round Rock_00522","Louis Henna Blvd_2500_Henna TH_Round Rock_00522" )</f>
        <v>Louis Henna Blvd_2500_Henna TH_Round Rock_00522</v>
      </c>
      <c r="L489" s="104" t="s">
        <v>22253</v>
      </c>
      <c r="M489" s="103" t="str">
        <f t="shared" si="38"/>
        <v>http://oconnordata.com/mlink/modules/profile/index.cfm?action=profile&amp;prop_id=522</v>
      </c>
      <c r="N489" s="1" t="str">
        <f t="shared" si="39"/>
        <v>00522</v>
      </c>
    </row>
    <row r="490" spans="1:14" x14ac:dyDescent="0.3">
      <c r="A490" s="1">
        <v>524</v>
      </c>
      <c r="B490" s="7" t="s">
        <v>713</v>
      </c>
      <c r="C490" s="12">
        <v>12340</v>
      </c>
      <c r="D490" s="7" t="s">
        <v>759</v>
      </c>
      <c r="E490" s="13" t="s">
        <v>7</v>
      </c>
      <c r="F490" t="str">
        <f t="shared" si="35"/>
        <v>Alameda</v>
      </c>
      <c r="G490" t="str">
        <f t="shared" si="36"/>
        <v>Alameda12340Austin</v>
      </c>
      <c r="H490" t="s">
        <v>31348</v>
      </c>
      <c r="I490" t="s">
        <v>22783</v>
      </c>
      <c r="J490" t="str">
        <f t="shared" si="37"/>
        <v>E:\PropInv\MF</v>
      </c>
      <c r="K490" s="103" t="str">
        <f>HYPERLINK("E:\PropInv\MF\Austin\Alameda Trace Cir_12340_RIATA-Dominion_Austin_00524","Alameda Trace Cir_12340_RIATA-Dominion_Austin_00524" )</f>
        <v>Alameda Trace Cir_12340_RIATA-Dominion_Austin_00524</v>
      </c>
      <c r="L490" s="104" t="s">
        <v>22253</v>
      </c>
      <c r="M490" s="103" t="str">
        <f t="shared" si="38"/>
        <v>http://oconnordata.com/mlink/modules/profile/index.cfm?action=profile&amp;prop_id=524</v>
      </c>
      <c r="N490" s="1" t="str">
        <f t="shared" si="39"/>
        <v>00524</v>
      </c>
    </row>
    <row r="491" spans="1:14" x14ac:dyDescent="0.3">
      <c r="A491" s="1">
        <v>525</v>
      </c>
      <c r="B491" s="10" t="s">
        <v>713</v>
      </c>
      <c r="C491" s="9">
        <v>12440</v>
      </c>
      <c r="D491" s="10" t="s">
        <v>760</v>
      </c>
      <c r="E491" s="11" t="s">
        <v>7</v>
      </c>
      <c r="F491" t="str">
        <f t="shared" si="35"/>
        <v>Alameda</v>
      </c>
      <c r="G491" t="str">
        <f t="shared" si="36"/>
        <v>Alameda12440Austin</v>
      </c>
      <c r="H491" t="s">
        <v>31349</v>
      </c>
      <c r="I491" t="s">
        <v>22784</v>
      </c>
      <c r="J491" t="str">
        <f t="shared" si="37"/>
        <v>E:\PropInv\MF</v>
      </c>
      <c r="K491" s="103" t="str">
        <f>HYPERLINK("E:\PropInv\MF\Austin\Alameda Trace Cir_12440_RIATA-Buena Vista_Austin_00525","Alameda Trace Cir_12440_RIATA-Buena Vista_Austin_00525" )</f>
        <v>Alameda Trace Cir_12440_RIATA-Buena Vista_Austin_00525</v>
      </c>
      <c r="L491" s="104" t="s">
        <v>22253</v>
      </c>
      <c r="M491" s="103" t="str">
        <f t="shared" si="38"/>
        <v>http://oconnordata.com/mlink/modules/profile/index.cfm?action=profile&amp;prop_id=525</v>
      </c>
      <c r="N491" s="1" t="str">
        <f t="shared" si="39"/>
        <v>00525</v>
      </c>
    </row>
    <row r="492" spans="1:14" x14ac:dyDescent="0.3">
      <c r="A492" s="1">
        <v>526</v>
      </c>
      <c r="B492" s="7" t="s">
        <v>761</v>
      </c>
      <c r="C492" s="12">
        <v>10801</v>
      </c>
      <c r="D492" s="7" t="s">
        <v>762</v>
      </c>
      <c r="E492" s="13" t="s">
        <v>7</v>
      </c>
      <c r="F492" t="str">
        <f t="shared" si="35"/>
        <v>Old</v>
      </c>
      <c r="G492" t="str">
        <f t="shared" si="36"/>
        <v>Old10801Austin</v>
      </c>
      <c r="H492" t="s">
        <v>31350</v>
      </c>
      <c r="I492" t="s">
        <v>22785</v>
      </c>
      <c r="J492" t="str">
        <f t="shared" si="37"/>
        <v>E:\PropInv\MF</v>
      </c>
      <c r="K492" s="103" t="str">
        <f>HYPERLINK("E:\PropInv\MF\Austin\Old Manchaca Rd_10801_Saddle Creek_Austin_00526","Old Manchaca Rd_10801_Saddle Creek_Austin_00526" )</f>
        <v>Old Manchaca Rd_10801_Saddle Creek_Austin_00526</v>
      </c>
      <c r="L492" s="104" t="s">
        <v>22253</v>
      </c>
      <c r="M492" s="103" t="str">
        <f t="shared" si="38"/>
        <v>http://oconnordata.com/mlink/modules/profile/index.cfm?action=profile&amp;prop_id=526</v>
      </c>
      <c r="N492" s="1" t="str">
        <f t="shared" si="39"/>
        <v>00526</v>
      </c>
    </row>
    <row r="493" spans="1:14" x14ac:dyDescent="0.3">
      <c r="A493" s="1">
        <v>527</v>
      </c>
      <c r="B493" s="7" t="s">
        <v>496</v>
      </c>
      <c r="C493" s="12">
        <v>1975</v>
      </c>
      <c r="D493" s="7" t="s">
        <v>763</v>
      </c>
      <c r="E493" s="13" t="s">
        <v>498</v>
      </c>
      <c r="F493" t="str">
        <f t="shared" si="35"/>
        <v>Aquarena</v>
      </c>
      <c r="G493" t="str">
        <f t="shared" si="36"/>
        <v>Aquarena1975San Marcos</v>
      </c>
      <c r="H493" t="s">
        <v>31351</v>
      </c>
      <c r="I493" t="s">
        <v>22786</v>
      </c>
      <c r="J493" t="str">
        <f t="shared" si="37"/>
        <v>E:\PropInv\MF</v>
      </c>
      <c r="K493" s="103" t="str">
        <f>HYPERLINK("E:\PropInv\MF\San Marcos\Aquarena Springs Dr_1975_The Zone At San Marcos_San Marcos_00527","Aquarena Springs Dr_1975_The Zone At San Marcos_San Marcos_00527" )</f>
        <v>Aquarena Springs Dr_1975_The Zone At San Marcos_San Marcos_00527</v>
      </c>
      <c r="L493" s="104" t="s">
        <v>22253</v>
      </c>
      <c r="M493" s="103" t="str">
        <f t="shared" si="38"/>
        <v>http://oconnordata.com/mlink/modules/profile/index.cfm?action=profile&amp;prop_id=527</v>
      </c>
      <c r="N493" s="1" t="str">
        <f t="shared" si="39"/>
        <v>00527</v>
      </c>
    </row>
    <row r="494" spans="1:14" x14ac:dyDescent="0.3">
      <c r="A494" s="1">
        <v>528</v>
      </c>
      <c r="B494" s="7" t="s">
        <v>572</v>
      </c>
      <c r="C494" s="12">
        <v>1740</v>
      </c>
      <c r="D494" s="7" t="s">
        <v>764</v>
      </c>
      <c r="E494" s="13" t="s">
        <v>498</v>
      </c>
      <c r="F494" t="str">
        <f t="shared" si="35"/>
        <v>12</v>
      </c>
      <c r="G494" t="str">
        <f t="shared" si="36"/>
        <v>121740San Marcos</v>
      </c>
      <c r="H494" t="s">
        <v>31352</v>
      </c>
      <c r="I494" t="s">
        <v>22787</v>
      </c>
      <c r="J494" t="str">
        <f t="shared" si="37"/>
        <v>E:\PropInv\MF</v>
      </c>
      <c r="K494" s="103" t="str">
        <f>HYPERLINK("E:\PropInv\MF\San Marcos\12 RR_1740_The Edge_San Marcos_00528","12 RR_1740_The Edge_San Marcos_00528" )</f>
        <v>12 RR_1740_The Edge_San Marcos_00528</v>
      </c>
      <c r="L494" s="104" t="s">
        <v>22253</v>
      </c>
      <c r="M494" s="103" t="str">
        <f t="shared" si="38"/>
        <v>http://oconnordata.com/mlink/modules/profile/index.cfm?action=profile&amp;prop_id=528</v>
      </c>
      <c r="N494" s="1" t="str">
        <f t="shared" si="39"/>
        <v>00528</v>
      </c>
    </row>
    <row r="495" spans="1:14" x14ac:dyDescent="0.3">
      <c r="A495" s="1">
        <v>529</v>
      </c>
      <c r="B495" s="7" t="s">
        <v>71</v>
      </c>
      <c r="C495" s="12">
        <v>2347</v>
      </c>
      <c r="D495" s="7" t="s">
        <v>765</v>
      </c>
      <c r="E495" s="13" t="s">
        <v>7</v>
      </c>
      <c r="F495" t="str">
        <f t="shared" si="35"/>
        <v>Douglas</v>
      </c>
      <c r="G495" t="str">
        <f t="shared" si="36"/>
        <v>Douglas2347Austin</v>
      </c>
      <c r="H495" t="s">
        <v>31353</v>
      </c>
      <c r="I495" t="s">
        <v>22788</v>
      </c>
      <c r="J495" t="str">
        <f t="shared" si="37"/>
        <v>E:\PropInv\MF</v>
      </c>
      <c r="K495" s="103" t="str">
        <f>HYPERLINK("E:\PropInv\MF\Austin\Douglas St_2347_Douglas Landing_Austin_00529","Douglas St_2347_Douglas Landing_Austin_00529" )</f>
        <v>Douglas St_2347_Douglas Landing_Austin_00529</v>
      </c>
      <c r="L495" s="104" t="s">
        <v>22253</v>
      </c>
      <c r="M495" s="103" t="str">
        <f t="shared" si="38"/>
        <v>http://oconnordata.com/mlink/modules/profile/index.cfm?action=profile&amp;prop_id=529</v>
      </c>
      <c r="N495" s="1" t="str">
        <f t="shared" si="39"/>
        <v>00529</v>
      </c>
    </row>
    <row r="496" spans="1:14" x14ac:dyDescent="0.3">
      <c r="A496" s="1">
        <v>530</v>
      </c>
      <c r="B496" s="7" t="s">
        <v>766</v>
      </c>
      <c r="C496" s="12">
        <v>12501</v>
      </c>
      <c r="D496" s="7" t="s">
        <v>767</v>
      </c>
      <c r="E496" s="13" t="s">
        <v>7</v>
      </c>
      <c r="F496" t="str">
        <f t="shared" si="35"/>
        <v>Tech</v>
      </c>
      <c r="G496" t="str">
        <f t="shared" si="36"/>
        <v>Tech12501Austin</v>
      </c>
      <c r="H496" t="s">
        <v>31354</v>
      </c>
      <c r="I496" t="s">
        <v>22789</v>
      </c>
      <c r="J496" t="str">
        <f t="shared" si="37"/>
        <v>E:\PropInv\MF</v>
      </c>
      <c r="K496" s="103" t="str">
        <f>HYPERLINK("E:\PropInv\MF\Austin\Tech Ridge Blvd_12501_San Paloma_Austin_00530","Tech Ridge Blvd_12501_San Paloma_Austin_00530" )</f>
        <v>Tech Ridge Blvd_12501_San Paloma_Austin_00530</v>
      </c>
      <c r="L496" s="104" t="s">
        <v>22253</v>
      </c>
      <c r="M496" s="103" t="str">
        <f t="shared" si="38"/>
        <v>http://oconnordata.com/mlink/modules/profile/index.cfm?action=profile&amp;prop_id=530</v>
      </c>
      <c r="N496" s="1" t="str">
        <f t="shared" si="39"/>
        <v>00530</v>
      </c>
    </row>
    <row r="497" spans="1:14" x14ac:dyDescent="0.3">
      <c r="A497" s="1">
        <v>532</v>
      </c>
      <c r="B497" s="7" t="s">
        <v>41</v>
      </c>
      <c r="C497" s="12">
        <v>2425</v>
      </c>
      <c r="D497" s="7" t="s">
        <v>768</v>
      </c>
      <c r="E497" s="13" t="s">
        <v>7</v>
      </c>
      <c r="F497" t="str">
        <f t="shared" si="35"/>
        <v>Riverside</v>
      </c>
      <c r="G497" t="str">
        <f t="shared" si="36"/>
        <v>Riverside2425Austin</v>
      </c>
      <c r="H497" t="s">
        <v>31355</v>
      </c>
      <c r="I497" t="s">
        <v>22790</v>
      </c>
      <c r="J497" t="str">
        <f t="shared" si="37"/>
        <v>E:\PropInv\MF</v>
      </c>
      <c r="K497" s="103" t="str">
        <f>HYPERLINK("E:\PropInv\MF\Austin\Riverside Dr E_2425_Mountain Ranch_Austin_00532","Riverside Dr E_2425_Mountain Ranch_Austin_00532" )</f>
        <v>Riverside Dr E_2425_Mountain Ranch_Austin_00532</v>
      </c>
      <c r="L497" s="104" t="s">
        <v>22253</v>
      </c>
      <c r="M497" s="103" t="str">
        <f t="shared" si="38"/>
        <v>http://oconnordata.com/mlink/modules/profile/index.cfm?action=profile&amp;prop_id=532</v>
      </c>
      <c r="N497" s="1" t="str">
        <f t="shared" si="39"/>
        <v>00532</v>
      </c>
    </row>
    <row r="498" spans="1:14" x14ac:dyDescent="0.3">
      <c r="A498" s="1">
        <v>534</v>
      </c>
      <c r="B498" s="7" t="s">
        <v>769</v>
      </c>
      <c r="C498" s="12">
        <v>11908</v>
      </c>
      <c r="D498" s="7" t="s">
        <v>770</v>
      </c>
      <c r="E498" s="13" t="s">
        <v>7</v>
      </c>
      <c r="F498" t="str">
        <f t="shared" si="35"/>
        <v>Anderson</v>
      </c>
      <c r="G498" t="str">
        <f t="shared" si="36"/>
        <v>Anderson11908Austin</v>
      </c>
      <c r="H498" t="s">
        <v>31356</v>
      </c>
      <c r="I498" t="s">
        <v>22791</v>
      </c>
      <c r="J498" t="str">
        <f t="shared" si="37"/>
        <v>E:\PropInv\MF</v>
      </c>
      <c r="K498" s="103" t="str">
        <f>HYPERLINK("E:\PropInv\MF\Austin\Anderson Mill Rd (FM 2769)_11908_Marquis at Volente_Austin_00534","Anderson Mill Rd (FM 2769)_11908_Marquis at Volente_Austin_00534" )</f>
        <v>Anderson Mill Rd (FM 2769)_11908_Marquis at Volente_Austin_00534</v>
      </c>
      <c r="L498" s="104" t="s">
        <v>22253</v>
      </c>
      <c r="M498" s="103" t="str">
        <f t="shared" si="38"/>
        <v>http://oconnordata.com/mlink/modules/profile/index.cfm?action=profile&amp;prop_id=534</v>
      </c>
      <c r="N498" s="1" t="str">
        <f t="shared" si="39"/>
        <v>00534</v>
      </c>
    </row>
    <row r="499" spans="1:14" x14ac:dyDescent="0.3">
      <c r="A499" s="1">
        <v>535</v>
      </c>
      <c r="B499" s="7" t="s">
        <v>771</v>
      </c>
      <c r="C499" s="12">
        <v>25</v>
      </c>
      <c r="D499" s="7" t="s">
        <v>772</v>
      </c>
      <c r="E499" s="13" t="s">
        <v>16</v>
      </c>
      <c r="F499" t="str">
        <f t="shared" si="35"/>
        <v>Waters</v>
      </c>
      <c r="G499" t="str">
        <f t="shared" si="36"/>
        <v>Waters25Georgetown</v>
      </c>
      <c r="H499" t="s">
        <v>31357</v>
      </c>
      <c r="I499" t="s">
        <v>22792</v>
      </c>
      <c r="J499" t="str">
        <f t="shared" si="37"/>
        <v>E:\PropInv\MF</v>
      </c>
      <c r="K499" s="103" t="str">
        <f>HYPERLINK("E:\PropInv\MF\Georgetown\Waters Edge Cir_25_Waters Edge_Georgetown_00535","Waters Edge Cir_25_Waters Edge_Georgetown_00535" )</f>
        <v>Waters Edge Cir_25_Waters Edge_Georgetown_00535</v>
      </c>
      <c r="L499" s="104" t="s">
        <v>22253</v>
      </c>
      <c r="M499" s="103" t="str">
        <f t="shared" si="38"/>
        <v>http://oconnordata.com/mlink/modules/profile/index.cfm?action=profile&amp;prop_id=535</v>
      </c>
      <c r="N499" s="1" t="str">
        <f t="shared" si="39"/>
        <v>00535</v>
      </c>
    </row>
    <row r="500" spans="1:14" x14ac:dyDescent="0.3">
      <c r="A500" s="1">
        <v>536</v>
      </c>
      <c r="B500" s="7" t="s">
        <v>662</v>
      </c>
      <c r="C500" s="12">
        <v>7011</v>
      </c>
      <c r="D500" s="7" t="s">
        <v>773</v>
      </c>
      <c r="E500" s="13" t="s">
        <v>7</v>
      </c>
      <c r="F500" t="str">
        <f t="shared" si="35"/>
        <v>Parmer</v>
      </c>
      <c r="G500" t="str">
        <f t="shared" si="36"/>
        <v>Parmer7011Austin</v>
      </c>
      <c r="H500" t="s">
        <v>31358</v>
      </c>
      <c r="I500" t="s">
        <v>22793</v>
      </c>
      <c r="J500" t="str">
        <f t="shared" si="37"/>
        <v>E:\PropInv\MF</v>
      </c>
      <c r="K500" s="103" t="str">
        <f>HYPERLINK("E:\PropInv\MF\Austin\Parmer Ln W_7011_IMT Rattan Creek_Austin_00536","Parmer Ln W_7011_IMT Rattan Creek_Austin_00536" )</f>
        <v>Parmer Ln W_7011_IMT Rattan Creek_Austin_00536</v>
      </c>
      <c r="L500" s="104" t="s">
        <v>22253</v>
      </c>
      <c r="M500" s="103" t="str">
        <f t="shared" si="38"/>
        <v>http://oconnordata.com/mlink/modules/profile/index.cfm?action=profile&amp;prop_id=536</v>
      </c>
      <c r="N500" s="1" t="str">
        <f t="shared" si="39"/>
        <v>00536</v>
      </c>
    </row>
    <row r="501" spans="1:14" x14ac:dyDescent="0.3">
      <c r="A501" s="1">
        <v>537</v>
      </c>
      <c r="B501" s="7" t="s">
        <v>93</v>
      </c>
      <c r="C501" s="12">
        <v>1007</v>
      </c>
      <c r="D501" s="7" t="s">
        <v>774</v>
      </c>
      <c r="E501" s="13" t="s">
        <v>7</v>
      </c>
      <c r="F501" t="str">
        <f t="shared" si="35"/>
        <v>Congress</v>
      </c>
      <c r="G501" t="str">
        <f t="shared" si="36"/>
        <v>Congress1007Austin</v>
      </c>
      <c r="H501" t="s">
        <v>31359</v>
      </c>
      <c r="I501" t="s">
        <v>22794</v>
      </c>
      <c r="J501" t="str">
        <f t="shared" si="37"/>
        <v>E:\PropInv\MF</v>
      </c>
      <c r="K501" s="103" t="str">
        <f>HYPERLINK("E:\PropInv\MF\Austin\Congress Ave S_1007_Camden South Congress_Austin_00537","Congress Ave S_1007_Camden South Congress_Austin_00537" )</f>
        <v>Congress Ave S_1007_Camden South Congress_Austin_00537</v>
      </c>
      <c r="L501" s="104" t="s">
        <v>22253</v>
      </c>
      <c r="M501" s="103" t="str">
        <f t="shared" si="38"/>
        <v>http://oconnordata.com/mlink/modules/profile/index.cfm?action=profile&amp;prop_id=537</v>
      </c>
      <c r="N501" s="1" t="str">
        <f t="shared" si="39"/>
        <v>00537</v>
      </c>
    </row>
    <row r="502" spans="1:14" x14ac:dyDescent="0.3">
      <c r="A502" s="1">
        <v>539</v>
      </c>
      <c r="B502" s="7" t="s">
        <v>775</v>
      </c>
      <c r="C502" s="12">
        <v>815</v>
      </c>
      <c r="D502" s="7" t="s">
        <v>776</v>
      </c>
      <c r="E502" s="13" t="s">
        <v>7</v>
      </c>
      <c r="F502" t="str">
        <f t="shared" si="35"/>
        <v>Slaughter</v>
      </c>
      <c r="G502" t="str">
        <f t="shared" si="36"/>
        <v>Slaughter815Austin</v>
      </c>
      <c r="H502" t="s">
        <v>31360</v>
      </c>
      <c r="I502" t="s">
        <v>22795</v>
      </c>
      <c r="J502" t="str">
        <f t="shared" si="37"/>
        <v>E:\PropInv\MF</v>
      </c>
      <c r="K502" s="103" t="str">
        <f>HYPERLINK("E:\PropInv\MF\Austin\Slaughter Ln W_815_Trails at the Park_Austin_00539","Slaughter Ln W_815_Trails at the Park_Austin_00539" )</f>
        <v>Slaughter Ln W_815_Trails at the Park_Austin_00539</v>
      </c>
      <c r="L502" s="104" t="s">
        <v>22253</v>
      </c>
      <c r="M502" s="103" t="str">
        <f t="shared" si="38"/>
        <v>http://oconnordata.com/mlink/modules/profile/index.cfm?action=profile&amp;prop_id=539</v>
      </c>
      <c r="N502" s="1" t="str">
        <f t="shared" si="39"/>
        <v>00539</v>
      </c>
    </row>
    <row r="503" spans="1:14" x14ac:dyDescent="0.3">
      <c r="A503" s="1">
        <v>540</v>
      </c>
      <c r="B503" s="7" t="s">
        <v>662</v>
      </c>
      <c r="C503" s="12">
        <v>9500</v>
      </c>
      <c r="D503" s="7" t="s">
        <v>777</v>
      </c>
      <c r="E503" s="13" t="s">
        <v>7</v>
      </c>
      <c r="F503" t="str">
        <f t="shared" si="35"/>
        <v>Parmer</v>
      </c>
      <c r="G503" t="str">
        <f t="shared" si="36"/>
        <v>Parmer9500Austin</v>
      </c>
      <c r="H503" t="s">
        <v>31361</v>
      </c>
      <c r="I503" t="s">
        <v>22796</v>
      </c>
      <c r="J503" t="str">
        <f t="shared" si="37"/>
        <v>E:\PropInv\MF</v>
      </c>
      <c r="K503" s="103" t="str">
        <f>HYPERLINK("E:\PropInv\MF\Austin\Parmer Ln W_9500_Ventana Oaks_Austin_00540","Parmer Ln W_9500_Ventana Oaks_Austin_00540" )</f>
        <v>Parmer Ln W_9500_Ventana Oaks_Austin_00540</v>
      </c>
      <c r="L503" s="104" t="s">
        <v>22253</v>
      </c>
      <c r="M503" s="103" t="str">
        <f t="shared" si="38"/>
        <v>http://oconnordata.com/mlink/modules/profile/index.cfm?action=profile&amp;prop_id=540</v>
      </c>
      <c r="N503" s="1" t="str">
        <f t="shared" si="39"/>
        <v>00540</v>
      </c>
    </row>
    <row r="504" spans="1:14" x14ac:dyDescent="0.3">
      <c r="A504" s="1">
        <v>541</v>
      </c>
      <c r="B504" s="7" t="s">
        <v>734</v>
      </c>
      <c r="C504" s="12">
        <v>8038</v>
      </c>
      <c r="D504" s="7" t="s">
        <v>778</v>
      </c>
      <c r="E504" s="13" t="s">
        <v>7</v>
      </c>
      <c r="F504" t="str">
        <f t="shared" si="35"/>
        <v>Exchange</v>
      </c>
      <c r="G504" t="str">
        <f t="shared" si="36"/>
        <v>Exchange8038Austin</v>
      </c>
      <c r="H504" t="s">
        <v>31362</v>
      </c>
      <c r="I504" t="s">
        <v>22797</v>
      </c>
      <c r="J504" t="str">
        <f t="shared" si="37"/>
        <v>E:\PropInv\MF</v>
      </c>
      <c r="K504" s="103" t="str">
        <f>HYPERLINK("E:\PropInv\MF\Austin\Exchange Dr_8038_The Reserve at Walnut Creek_Austin_00541","Exchange Dr_8038_The Reserve at Walnut Creek_Austin_00541" )</f>
        <v>Exchange Dr_8038_The Reserve at Walnut Creek_Austin_00541</v>
      </c>
      <c r="L504" s="104" t="s">
        <v>22253</v>
      </c>
      <c r="M504" s="103" t="str">
        <f t="shared" si="38"/>
        <v>http://oconnordata.com/mlink/modules/profile/index.cfm?action=profile&amp;prop_id=541</v>
      </c>
      <c r="N504" s="1" t="str">
        <f t="shared" si="39"/>
        <v>00541</v>
      </c>
    </row>
    <row r="505" spans="1:14" x14ac:dyDescent="0.3">
      <c r="A505" s="1">
        <v>542</v>
      </c>
      <c r="B505" s="7" t="s">
        <v>207</v>
      </c>
      <c r="C505" s="12">
        <v>3400</v>
      </c>
      <c r="D505" s="7" t="s">
        <v>779</v>
      </c>
      <c r="E505" s="13" t="s">
        <v>7</v>
      </c>
      <c r="F505" t="str">
        <f t="shared" si="35"/>
        <v>Shoreline</v>
      </c>
      <c r="G505" t="str">
        <f t="shared" si="36"/>
        <v>Shoreline3400Austin</v>
      </c>
      <c r="H505" t="s">
        <v>31363</v>
      </c>
      <c r="I505" t="s">
        <v>22798</v>
      </c>
      <c r="J505" t="str">
        <f t="shared" si="37"/>
        <v>E:\PropInv\MF</v>
      </c>
      <c r="K505" s="103" t="str">
        <f>HYPERLINK("E:\PropInv\MF\Austin\Shoreline Dr_3400_Parkside Crossing_Austin_00542","Shoreline Dr_3400_Parkside Crossing_Austin_00542" )</f>
        <v>Shoreline Dr_3400_Parkside Crossing_Austin_00542</v>
      </c>
      <c r="L505" s="104" t="s">
        <v>22253</v>
      </c>
      <c r="M505" s="103" t="str">
        <f t="shared" si="38"/>
        <v>http://oconnordata.com/mlink/modules/profile/index.cfm?action=profile&amp;prop_id=542</v>
      </c>
      <c r="N505" s="1" t="str">
        <f t="shared" si="39"/>
        <v>00542</v>
      </c>
    </row>
    <row r="506" spans="1:14" x14ac:dyDescent="0.3">
      <c r="A506" s="1">
        <v>543</v>
      </c>
      <c r="B506" s="7" t="s">
        <v>780</v>
      </c>
      <c r="C506" s="12">
        <v>1111</v>
      </c>
      <c r="D506" s="7" t="s">
        <v>781</v>
      </c>
      <c r="E506" s="13" t="s">
        <v>18</v>
      </c>
      <c r="F506" t="str">
        <f t="shared" si="35"/>
        <v>Creek</v>
      </c>
      <c r="G506" t="str">
        <f t="shared" si="36"/>
        <v>Creek1111Round Rock</v>
      </c>
      <c r="H506" t="s">
        <v>31364</v>
      </c>
      <c r="I506" t="s">
        <v>22799</v>
      </c>
      <c r="J506" t="str">
        <f t="shared" si="37"/>
        <v>E:\PropInv\MF</v>
      </c>
      <c r="K506" s="103" t="str">
        <f>HYPERLINK("E:\PropInv\MF\Round Rock\Creek Dr S_1111_Colonial Village at Sierra Vista_Round Rock_00543","Creek Dr S_1111_Colonial Village at Sierra Vista_Round Rock_00543" )</f>
        <v>Creek Dr S_1111_Colonial Village at Sierra Vista_Round Rock_00543</v>
      </c>
      <c r="L506" s="104" t="s">
        <v>22253</v>
      </c>
      <c r="M506" s="103" t="str">
        <f t="shared" si="38"/>
        <v>http://oconnordata.com/mlink/modules/profile/index.cfm?action=profile&amp;prop_id=543</v>
      </c>
      <c r="N506" s="1" t="str">
        <f t="shared" si="39"/>
        <v>00543</v>
      </c>
    </row>
    <row r="507" spans="1:14" x14ac:dyDescent="0.3">
      <c r="A507" s="1">
        <v>544</v>
      </c>
      <c r="B507" s="7" t="s">
        <v>740</v>
      </c>
      <c r="C507" s="12">
        <v>670</v>
      </c>
      <c r="D507" s="7" t="s">
        <v>782</v>
      </c>
      <c r="E507" s="13" t="s">
        <v>18</v>
      </c>
      <c r="F507" t="str">
        <f t="shared" si="35"/>
        <v>Louis</v>
      </c>
      <c r="G507" t="str">
        <f t="shared" si="36"/>
        <v>Louis670Round Rock</v>
      </c>
      <c r="H507" t="s">
        <v>31365</v>
      </c>
      <c r="I507" t="s">
        <v>22800</v>
      </c>
      <c r="J507" t="str">
        <f t="shared" si="37"/>
        <v>E:\PropInv\MF</v>
      </c>
      <c r="K507" s="103" t="str">
        <f>HYPERLINK("E:\PropInv\MF\Round Rock\Louis Henna Blvd_670_The Mansions at Round Rock_Round Rock_00544","Louis Henna Blvd_670_The Mansions at Round Rock_Round Rock_00544" )</f>
        <v>Louis Henna Blvd_670_The Mansions at Round Rock_Round Rock_00544</v>
      </c>
      <c r="L507" s="104" t="s">
        <v>22253</v>
      </c>
      <c r="M507" s="103" t="str">
        <f t="shared" si="38"/>
        <v>http://oconnordata.com/mlink/modules/profile/index.cfm?action=profile&amp;prop_id=544</v>
      </c>
      <c r="N507" s="1" t="str">
        <f t="shared" si="39"/>
        <v>00544</v>
      </c>
    </row>
    <row r="508" spans="1:14" x14ac:dyDescent="0.3">
      <c r="A508" s="1">
        <v>545</v>
      </c>
      <c r="B508" s="10" t="s">
        <v>766</v>
      </c>
      <c r="C508" s="9">
        <v>12443</v>
      </c>
      <c r="D508" s="10" t="s">
        <v>783</v>
      </c>
      <c r="E508" s="11" t="s">
        <v>7</v>
      </c>
      <c r="F508" t="str">
        <f t="shared" si="35"/>
        <v>Tech</v>
      </c>
      <c r="G508" t="str">
        <f t="shared" si="36"/>
        <v>Tech12443Austin</v>
      </c>
      <c r="H508" t="s">
        <v>31366</v>
      </c>
      <c r="I508" t="s">
        <v>22801</v>
      </c>
      <c r="J508" t="str">
        <f t="shared" si="37"/>
        <v>E:\PropInv\MF</v>
      </c>
      <c r="K508" s="103" t="str">
        <f>HYPERLINK("E:\PropInv\MF\Austin\Tech Ridge Blvd_12443_Mandalay_Austin_00545","Tech Ridge Blvd_12443_Mandalay_Austin_00545" )</f>
        <v>Tech Ridge Blvd_12443_Mandalay_Austin_00545</v>
      </c>
      <c r="L508" s="104" t="s">
        <v>22253</v>
      </c>
      <c r="M508" s="103" t="str">
        <f t="shared" si="38"/>
        <v>http://oconnordata.com/mlink/modules/profile/index.cfm?action=profile&amp;prop_id=545</v>
      </c>
      <c r="N508" s="1" t="str">
        <f t="shared" si="39"/>
        <v>00545</v>
      </c>
    </row>
    <row r="509" spans="1:14" x14ac:dyDescent="0.3">
      <c r="A509" s="1">
        <v>546</v>
      </c>
      <c r="B509" s="7" t="s">
        <v>191</v>
      </c>
      <c r="C509" s="12">
        <v>4404</v>
      </c>
      <c r="D509" s="7" t="s">
        <v>784</v>
      </c>
      <c r="E509" s="13" t="s">
        <v>7</v>
      </c>
      <c r="F509" t="str">
        <f t="shared" si="35"/>
        <v>Oltorf</v>
      </c>
      <c r="G509" t="str">
        <f t="shared" si="36"/>
        <v>Oltorf4404Austin</v>
      </c>
      <c r="H509" t="s">
        <v>31367</v>
      </c>
      <c r="I509" t="s">
        <v>22802</v>
      </c>
      <c r="J509" t="str">
        <f t="shared" si="37"/>
        <v>E:\PropInv\MF</v>
      </c>
      <c r="K509" s="103" t="str">
        <f>HYPERLINK("E:\PropInv\MF\Austin\Oltorf St E_4404_University Canyon aka The Heights in Austin_Austin_00546","Oltorf St E_4404_University Canyon aka The Heights in Austin_Austin_00546" )</f>
        <v>Oltorf St E_4404_University Canyon aka The Heights in Austin_Austin_00546</v>
      </c>
      <c r="L509" s="104" t="s">
        <v>22253</v>
      </c>
      <c r="M509" s="103" t="str">
        <f t="shared" si="38"/>
        <v>http://oconnordata.com/mlink/modules/profile/index.cfm?action=profile&amp;prop_id=546</v>
      </c>
      <c r="N509" s="1" t="str">
        <f t="shared" si="39"/>
        <v>00546</v>
      </c>
    </row>
    <row r="510" spans="1:14" x14ac:dyDescent="0.3">
      <c r="A510" s="1">
        <v>547</v>
      </c>
      <c r="B510" s="7" t="s">
        <v>10</v>
      </c>
      <c r="C510" s="12">
        <v>10015</v>
      </c>
      <c r="D510" s="7" t="s">
        <v>785</v>
      </c>
      <c r="E510" s="13" t="s">
        <v>7</v>
      </c>
      <c r="F510" t="str">
        <f t="shared" si="35"/>
        <v>Lake</v>
      </c>
      <c r="G510" t="str">
        <f t="shared" si="36"/>
        <v>Lake10015Austin</v>
      </c>
      <c r="H510" t="s">
        <v>31368</v>
      </c>
      <c r="I510" t="s">
        <v>22803</v>
      </c>
      <c r="J510" t="str">
        <f t="shared" si="37"/>
        <v>E:\PropInv\MF</v>
      </c>
      <c r="K510" s="103" t="str">
        <f>HYPERLINK("E:\PropInv\MF\Austin\Lake Creek Pkwy_10015_Presidio_Austin_00547","Lake Creek Pkwy_10015_Presidio_Austin_00547" )</f>
        <v>Lake Creek Pkwy_10015_Presidio_Austin_00547</v>
      </c>
      <c r="L510" s="104" t="s">
        <v>22253</v>
      </c>
      <c r="M510" s="103" t="str">
        <f t="shared" si="38"/>
        <v>http://oconnordata.com/mlink/modules/profile/index.cfm?action=profile&amp;prop_id=547</v>
      </c>
      <c r="N510" s="1" t="str">
        <f t="shared" si="39"/>
        <v>00547</v>
      </c>
    </row>
    <row r="511" spans="1:14" x14ac:dyDescent="0.3">
      <c r="A511" s="1">
        <v>548</v>
      </c>
      <c r="B511" s="7" t="s">
        <v>786</v>
      </c>
      <c r="C511" s="12">
        <v>7607</v>
      </c>
      <c r="D511" s="7" t="s">
        <v>787</v>
      </c>
      <c r="E511" s="13" t="s">
        <v>7</v>
      </c>
      <c r="F511" t="str">
        <f t="shared" si="35"/>
        <v>Blessing</v>
      </c>
      <c r="G511" t="str">
        <f t="shared" si="36"/>
        <v>Blessing7607Austin</v>
      </c>
      <c r="H511" t="s">
        <v>31369</v>
      </c>
      <c r="I511" t="s">
        <v>22804</v>
      </c>
      <c r="J511" t="str">
        <f t="shared" si="37"/>
        <v>E:\PropInv\MF</v>
      </c>
      <c r="K511" s="103" t="str">
        <f>HYPERLINK("E:\PropInv\MF\Austin\Blessing Ave_7607_St. Johns Village_Austin_00548","Blessing Ave_7607_St. Johns Village_Austin_00548" )</f>
        <v>Blessing Ave_7607_St. Johns Village_Austin_00548</v>
      </c>
      <c r="L511" s="104" t="s">
        <v>22253</v>
      </c>
      <c r="M511" s="103" t="str">
        <f t="shared" si="38"/>
        <v>http://oconnordata.com/mlink/modules/profile/index.cfm?action=profile&amp;prop_id=548</v>
      </c>
      <c r="N511" s="1" t="str">
        <f t="shared" si="39"/>
        <v>00548</v>
      </c>
    </row>
    <row r="512" spans="1:14" x14ac:dyDescent="0.3">
      <c r="A512" s="1">
        <v>549</v>
      </c>
      <c r="B512" s="10" t="s">
        <v>693</v>
      </c>
      <c r="C512" s="9">
        <v>1500</v>
      </c>
      <c r="D512" s="10" t="s">
        <v>788</v>
      </c>
      <c r="E512" s="11" t="s">
        <v>7</v>
      </c>
      <c r="F512" t="str">
        <f t="shared" si="35"/>
        <v>Crossing</v>
      </c>
      <c r="G512" t="str">
        <f t="shared" si="36"/>
        <v>Crossing1500Austin</v>
      </c>
      <c r="H512" t="s">
        <v>31370</v>
      </c>
      <c r="I512" t="s">
        <v>13895</v>
      </c>
      <c r="J512" t="str">
        <f t="shared" si="37"/>
        <v>E:\PropInv\MF</v>
      </c>
      <c r="K512" s="103" t="str">
        <f>HYPERLINK("E:\PropInv\MF\Austin\Crossing Place_1500_Village at Riverside_Austin_00549","Crossing Place_1500_Village at Riverside_Austin_00549" )</f>
        <v>Crossing Place_1500_Village at Riverside_Austin_00549</v>
      </c>
      <c r="L512" s="104" t="s">
        <v>22253</v>
      </c>
      <c r="M512" s="103" t="str">
        <f t="shared" si="38"/>
        <v>http://oconnordata.com/mlink/modules/profile/index.cfm?action=profile&amp;prop_id=549</v>
      </c>
      <c r="N512" s="1" t="str">
        <f t="shared" si="39"/>
        <v>00549</v>
      </c>
    </row>
    <row r="513" spans="1:14" x14ac:dyDescent="0.3">
      <c r="A513" s="1">
        <v>550</v>
      </c>
      <c r="B513" s="7" t="s">
        <v>662</v>
      </c>
      <c r="C513" s="12">
        <v>5400</v>
      </c>
      <c r="D513" s="7" t="s">
        <v>789</v>
      </c>
      <c r="E513" s="13" t="s">
        <v>7</v>
      </c>
      <c r="F513" t="str">
        <f t="shared" si="35"/>
        <v>Parmer</v>
      </c>
      <c r="G513" t="str">
        <f t="shared" si="36"/>
        <v>Parmer5400Austin</v>
      </c>
      <c r="H513" t="s">
        <v>31371</v>
      </c>
      <c r="I513" t="s">
        <v>22805</v>
      </c>
      <c r="J513" t="str">
        <f t="shared" si="37"/>
        <v>E:\PropInv\MF</v>
      </c>
      <c r="K513" s="103" t="str">
        <f>HYPERLINK("E:\PropInv\MF\Austin\Parmer Ln W_5400_Lodge at Stone Oak Ranch_Austin_00550","Parmer Ln W_5400_Lodge at Stone Oak Ranch_Austin_00550" )</f>
        <v>Parmer Ln W_5400_Lodge at Stone Oak Ranch_Austin_00550</v>
      </c>
      <c r="L513" s="104" t="s">
        <v>22253</v>
      </c>
      <c r="M513" s="103" t="str">
        <f t="shared" si="38"/>
        <v>http://oconnordata.com/mlink/modules/profile/index.cfm?action=profile&amp;prop_id=550</v>
      </c>
      <c r="N513" s="1" t="str">
        <f t="shared" si="39"/>
        <v>00550</v>
      </c>
    </row>
    <row r="514" spans="1:14" x14ac:dyDescent="0.3">
      <c r="A514" s="1">
        <v>555</v>
      </c>
      <c r="B514" s="10" t="s">
        <v>790</v>
      </c>
      <c r="C514" s="9">
        <v>121</v>
      </c>
      <c r="D514" s="10" t="s">
        <v>791</v>
      </c>
      <c r="E514" s="11" t="s">
        <v>498</v>
      </c>
      <c r="F514" t="str">
        <f t="shared" ref="F514:F577" si="40">IFERROR(LEFT(B514,FIND(" ",B514)-1),B514)</f>
        <v>Craddock</v>
      </c>
      <c r="G514" t="str">
        <f t="shared" ref="G514:G577" si="41">F514&amp;C514&amp;E514</f>
        <v>Craddock121San Marcos</v>
      </c>
      <c r="H514" t="s">
        <v>31372</v>
      </c>
      <c r="I514" t="s">
        <v>22806</v>
      </c>
      <c r="J514" t="str">
        <f t="shared" ref="J514:J577" si="42">IF(L514="TX",Folder_Path,Folder_Path&amp;"\State_"&amp;L514)</f>
        <v>E:\PropInv\MF</v>
      </c>
      <c r="K514" s="103" t="str">
        <f>HYPERLINK("E:\PropInv\MF\San Marcos\Craddock_121_The Metropolitan_San Marcos_00555","Craddock_121_The Metropolitan_San Marcos_00555" )</f>
        <v>Craddock_121_The Metropolitan_San Marcos_00555</v>
      </c>
      <c r="L514" s="104" t="s">
        <v>22253</v>
      </c>
      <c r="M514" s="103" t="str">
        <f t="shared" ref="M514:M577" si="43">HYPERLINK("http://oconnordata.com/mlink/modules/profile/index.cfm?action=profile&amp;prop_id="&amp;A514)</f>
        <v>http://oconnordata.com/mlink/modules/profile/index.cfm?action=profile&amp;prop_id=555</v>
      </c>
      <c r="N514" s="1" t="str">
        <f t="shared" ref="N514:N577" si="44">IF(LEN(A514)=1,"0000"&amp;A514,IF(LEN(A514)=2,"000"&amp;A514,IF(LEN(A514)=3,"00"&amp;A514,IF(LEN(A514)=4,"0"&amp;A514,IF(LEN(A514)=5,IF(LEFT(A514,1)="3",A514+30000,A514))))))</f>
        <v>00555</v>
      </c>
    </row>
    <row r="515" spans="1:14" x14ac:dyDescent="0.3">
      <c r="A515" s="1">
        <v>556</v>
      </c>
      <c r="B515" s="7" t="s">
        <v>608</v>
      </c>
      <c r="C515" s="12">
        <v>1011</v>
      </c>
      <c r="D515" s="7" t="s">
        <v>792</v>
      </c>
      <c r="E515" s="13" t="s">
        <v>498</v>
      </c>
      <c r="F515" t="str">
        <f t="shared" si="40"/>
        <v>Wonder</v>
      </c>
      <c r="G515" t="str">
        <f t="shared" si="41"/>
        <v>Wonder1011San Marcos</v>
      </c>
      <c r="H515" t="s">
        <v>31373</v>
      </c>
      <c r="I515" t="s">
        <v>22807</v>
      </c>
      <c r="J515" t="str">
        <f t="shared" si="42"/>
        <v>E:\PropInv\MF</v>
      </c>
      <c r="K515" s="103" t="str">
        <f>HYPERLINK("E:\PropInv\MF\San Marcos\Wonder World Dr_1011_The Palazzo II_San Marcos_00556","Wonder World Dr_1011_The Palazzo II_San Marcos_00556" )</f>
        <v>Wonder World Dr_1011_The Palazzo II_San Marcos_00556</v>
      </c>
      <c r="L515" s="104" t="s">
        <v>22253</v>
      </c>
      <c r="M515" s="103" t="str">
        <f t="shared" si="43"/>
        <v>http://oconnordata.com/mlink/modules/profile/index.cfm?action=profile&amp;prop_id=556</v>
      </c>
      <c r="N515" s="1" t="str">
        <f t="shared" si="44"/>
        <v>00556</v>
      </c>
    </row>
    <row r="516" spans="1:14" x14ac:dyDescent="0.3">
      <c r="A516" s="1">
        <v>557</v>
      </c>
      <c r="B516" s="7" t="s">
        <v>793</v>
      </c>
      <c r="C516" s="12">
        <v>13425</v>
      </c>
      <c r="D516" s="7" t="s">
        <v>794</v>
      </c>
      <c r="E516" s="13" t="s">
        <v>7</v>
      </c>
      <c r="F516" t="str">
        <f t="shared" si="40"/>
        <v>620</v>
      </c>
      <c r="G516" t="str">
        <f t="shared" si="41"/>
        <v>62013425Austin</v>
      </c>
      <c r="H516" t="s">
        <v>31374</v>
      </c>
      <c r="I516" t="s">
        <v>22808</v>
      </c>
      <c r="J516" t="str">
        <f t="shared" si="42"/>
        <v>E:\PropInv\MF</v>
      </c>
      <c r="K516" s="103" t="str">
        <f>HYPERLINK("E:\PropInv\MF\Austin\620 FM N_13425_Talavera_Austin_00557","620 FM N_13425_Talavera_Austin_00557" )</f>
        <v>620 FM N_13425_Talavera_Austin_00557</v>
      </c>
      <c r="L516" s="104" t="s">
        <v>22253</v>
      </c>
      <c r="M516" s="103" t="str">
        <f t="shared" si="43"/>
        <v>http://oconnordata.com/mlink/modules/profile/index.cfm?action=profile&amp;prop_id=557</v>
      </c>
      <c r="N516" s="1" t="str">
        <f t="shared" si="44"/>
        <v>00557</v>
      </c>
    </row>
    <row r="517" spans="1:14" x14ac:dyDescent="0.3">
      <c r="A517" s="1">
        <v>558</v>
      </c>
      <c r="B517" s="7" t="s">
        <v>795</v>
      </c>
      <c r="C517" s="12">
        <v>13355</v>
      </c>
      <c r="D517" s="7" t="s">
        <v>796</v>
      </c>
      <c r="E517" s="13" t="s">
        <v>7</v>
      </c>
      <c r="F517" t="str">
        <f t="shared" si="40"/>
        <v>183</v>
      </c>
      <c r="G517" t="str">
        <f t="shared" si="41"/>
        <v>18313355Austin</v>
      </c>
      <c r="H517" t="s">
        <v>31375</v>
      </c>
      <c r="I517" t="s">
        <v>22809</v>
      </c>
      <c r="J517" t="str">
        <f t="shared" si="42"/>
        <v>E:\PropInv\MF</v>
      </c>
      <c r="K517" s="103" t="str">
        <f>HYPERLINK("E:\PropInv\MF\Austin\183 Hwy N_13355_Toscana_Austin_00558","183 Hwy N_13355_Toscana_Austin_00558" )</f>
        <v>183 Hwy N_13355_Toscana_Austin_00558</v>
      </c>
      <c r="L517" s="104" t="s">
        <v>22253</v>
      </c>
      <c r="M517" s="103" t="str">
        <f t="shared" si="43"/>
        <v>http://oconnordata.com/mlink/modules/profile/index.cfm?action=profile&amp;prop_id=558</v>
      </c>
      <c r="N517" s="1" t="str">
        <f t="shared" si="44"/>
        <v>00558</v>
      </c>
    </row>
    <row r="518" spans="1:14" x14ac:dyDescent="0.3">
      <c r="A518" s="1">
        <v>559</v>
      </c>
      <c r="B518" s="10" t="s">
        <v>793</v>
      </c>
      <c r="C518" s="9">
        <v>8025</v>
      </c>
      <c r="D518" s="10" t="s">
        <v>797</v>
      </c>
      <c r="E518" s="11" t="s">
        <v>7</v>
      </c>
      <c r="F518" t="str">
        <f t="shared" si="40"/>
        <v>620</v>
      </c>
      <c r="G518" t="str">
        <f t="shared" si="41"/>
        <v>6208025Austin</v>
      </c>
      <c r="H518" t="s">
        <v>31376</v>
      </c>
      <c r="I518" t="s">
        <v>22810</v>
      </c>
      <c r="J518" t="str">
        <f t="shared" si="42"/>
        <v>E:\PropInv\MF</v>
      </c>
      <c r="K518" s="103" t="str">
        <f>HYPERLINK("E:\PropInv\MF\Austin\620 FM N_8025_ALARA Canyon Creek_Austin_00559","620 FM N_8025_ALARA Canyon Creek_Austin_00559" )</f>
        <v>620 FM N_8025_ALARA Canyon Creek_Austin_00559</v>
      </c>
      <c r="L518" s="104" t="s">
        <v>22253</v>
      </c>
      <c r="M518" s="103" t="str">
        <f t="shared" si="43"/>
        <v>http://oconnordata.com/mlink/modules/profile/index.cfm?action=profile&amp;prop_id=559</v>
      </c>
      <c r="N518" s="1" t="str">
        <f t="shared" si="44"/>
        <v>00559</v>
      </c>
    </row>
    <row r="519" spans="1:14" x14ac:dyDescent="0.3">
      <c r="A519" s="1">
        <v>560</v>
      </c>
      <c r="B519" s="7" t="s">
        <v>698</v>
      </c>
      <c r="C519" s="12">
        <v>8021</v>
      </c>
      <c r="D519" s="7" t="s">
        <v>798</v>
      </c>
      <c r="E519" s="13" t="s">
        <v>7</v>
      </c>
      <c r="F519" t="str">
        <f t="shared" si="40"/>
        <v>620</v>
      </c>
      <c r="G519" t="str">
        <f t="shared" si="41"/>
        <v>6208021Austin</v>
      </c>
      <c r="H519" t="s">
        <v>31377</v>
      </c>
      <c r="I519" t="s">
        <v>22811</v>
      </c>
      <c r="J519" t="str">
        <f t="shared" si="42"/>
        <v>E:\PropInv\MF</v>
      </c>
      <c r="K519" s="103" t="str">
        <f>HYPERLINK("E:\PropInv\MF\Austin\620 RR N_8021_Alara Cantebrea Crossing_Austin_00560","620 RR N_8021_Alara Cantebrea Crossing_Austin_00560" )</f>
        <v>620 RR N_8021_Alara Cantebrea Crossing_Austin_00560</v>
      </c>
      <c r="L519" s="104" t="s">
        <v>22253</v>
      </c>
      <c r="M519" s="103" t="str">
        <f t="shared" si="43"/>
        <v>http://oconnordata.com/mlink/modules/profile/index.cfm?action=profile&amp;prop_id=560</v>
      </c>
      <c r="N519" s="1" t="str">
        <f t="shared" si="44"/>
        <v>00560</v>
      </c>
    </row>
    <row r="520" spans="1:14" x14ac:dyDescent="0.3">
      <c r="A520" s="1">
        <v>562</v>
      </c>
      <c r="B520" s="7" t="s">
        <v>799</v>
      </c>
      <c r="C520" s="12">
        <v>8701</v>
      </c>
      <c r="D520" s="7" t="s">
        <v>800</v>
      </c>
      <c r="E520" s="13" t="s">
        <v>7</v>
      </c>
      <c r="F520" t="str">
        <f t="shared" si="40"/>
        <v>Parmer</v>
      </c>
      <c r="G520" t="str">
        <f t="shared" si="41"/>
        <v>Parmer8701Austin</v>
      </c>
      <c r="H520" t="s">
        <v>31378</v>
      </c>
      <c r="I520" t="s">
        <v>22812</v>
      </c>
      <c r="J520" t="str">
        <f t="shared" si="42"/>
        <v>E:\PropInv\MF</v>
      </c>
      <c r="K520" s="103" t="str">
        <f>HYPERLINK("E:\PropInv\MF\Austin\Parmer Ln_8701_The Artisan_Austin_00562","Parmer Ln_8701_The Artisan_Austin_00562" )</f>
        <v>Parmer Ln_8701_The Artisan_Austin_00562</v>
      </c>
      <c r="L520" s="104" t="s">
        <v>22253</v>
      </c>
      <c r="M520" s="103" t="str">
        <f t="shared" si="43"/>
        <v>http://oconnordata.com/mlink/modules/profile/index.cfm?action=profile&amp;prop_id=562</v>
      </c>
      <c r="N520" s="1" t="str">
        <f t="shared" si="44"/>
        <v>00562</v>
      </c>
    </row>
    <row r="521" spans="1:14" x14ac:dyDescent="0.3">
      <c r="A521" s="1">
        <v>563</v>
      </c>
      <c r="B521" s="21" t="s">
        <v>235</v>
      </c>
      <c r="C521" s="12">
        <v>300</v>
      </c>
      <c r="D521" s="7" t="s">
        <v>801</v>
      </c>
      <c r="E521" s="13" t="s">
        <v>7</v>
      </c>
      <c r="F521" t="str">
        <f t="shared" si="40"/>
        <v>W</v>
      </c>
      <c r="G521" t="str">
        <f t="shared" si="41"/>
        <v>W300Austin</v>
      </c>
      <c r="H521" t="s">
        <v>31379</v>
      </c>
      <c r="I521" t="s">
        <v>22813</v>
      </c>
      <c r="J521" t="str">
        <f t="shared" si="42"/>
        <v>E:\PropInv\MF</v>
      </c>
      <c r="K521" s="103" t="str">
        <f>HYPERLINK("E:\PropInv\MF\Austin\W Ave_300_Gables West Avenue_Austin_00563","W Ave_300_Gables West Avenue_Austin_00563" )</f>
        <v>W Ave_300_Gables West Avenue_Austin_00563</v>
      </c>
      <c r="L521" s="104" t="s">
        <v>22253</v>
      </c>
      <c r="M521" s="103" t="str">
        <f t="shared" si="43"/>
        <v>http://oconnordata.com/mlink/modules/profile/index.cfm?action=profile&amp;prop_id=563</v>
      </c>
      <c r="N521" s="1" t="str">
        <f t="shared" si="44"/>
        <v>00563</v>
      </c>
    </row>
    <row r="522" spans="1:14" x14ac:dyDescent="0.3">
      <c r="A522" s="1">
        <v>567</v>
      </c>
      <c r="B522" s="7" t="s">
        <v>207</v>
      </c>
      <c r="C522" s="12">
        <v>3501</v>
      </c>
      <c r="D522" s="7" t="s">
        <v>802</v>
      </c>
      <c r="E522" s="13" t="s">
        <v>7</v>
      </c>
      <c r="F522" t="str">
        <f t="shared" si="40"/>
        <v>Shoreline</v>
      </c>
      <c r="G522" t="str">
        <f t="shared" si="41"/>
        <v>Shoreline3501Austin</v>
      </c>
      <c r="H522" t="s">
        <v>31380</v>
      </c>
      <c r="I522" t="s">
        <v>22814</v>
      </c>
      <c r="J522" t="str">
        <f t="shared" si="42"/>
        <v>E:\PropInv\MF</v>
      </c>
      <c r="K522" s="103" t="str">
        <f>HYPERLINK("E:\PropInv\MF\Austin\Shoreline Dr_3501_The Estates at Shoreline_Austin_00567","Shoreline Dr_3501_The Estates at Shoreline_Austin_00567" )</f>
        <v>Shoreline Dr_3501_The Estates at Shoreline_Austin_00567</v>
      </c>
      <c r="L522" s="104" t="s">
        <v>22253</v>
      </c>
      <c r="M522" s="103" t="str">
        <f t="shared" si="43"/>
        <v>http://oconnordata.com/mlink/modules/profile/index.cfm?action=profile&amp;prop_id=567</v>
      </c>
      <c r="N522" s="1" t="str">
        <f t="shared" si="44"/>
        <v>00567</v>
      </c>
    </row>
    <row r="523" spans="1:14" x14ac:dyDescent="0.3">
      <c r="A523" s="1">
        <v>568</v>
      </c>
      <c r="B523" s="7" t="s">
        <v>107</v>
      </c>
      <c r="C523" s="12">
        <v>1500</v>
      </c>
      <c r="D523" s="7" t="s">
        <v>803</v>
      </c>
      <c r="E523" s="13" t="s">
        <v>7</v>
      </c>
      <c r="F523" t="str">
        <f t="shared" si="40"/>
        <v>William</v>
      </c>
      <c r="G523" t="str">
        <f t="shared" si="41"/>
        <v>William1500Austin</v>
      </c>
      <c r="H523" t="s">
        <v>31381</v>
      </c>
      <c r="I523" t="s">
        <v>22815</v>
      </c>
      <c r="J523" t="str">
        <f t="shared" si="42"/>
        <v>E:\PropInv\MF</v>
      </c>
      <c r="K523" s="103" t="str">
        <f>HYPERLINK("E:\PropInv\MF\Austin\William Cannon Dr W_1500_Tramor at Cannon Place_Austin_00568","William Cannon Dr W_1500_Tramor at Cannon Place_Austin_00568" )</f>
        <v>William Cannon Dr W_1500_Tramor at Cannon Place_Austin_00568</v>
      </c>
      <c r="L523" s="104" t="s">
        <v>22253</v>
      </c>
      <c r="M523" s="103" t="str">
        <f t="shared" si="43"/>
        <v>http://oconnordata.com/mlink/modules/profile/index.cfm?action=profile&amp;prop_id=568</v>
      </c>
      <c r="N523" s="1" t="str">
        <f t="shared" si="44"/>
        <v>00568</v>
      </c>
    </row>
    <row r="524" spans="1:14" x14ac:dyDescent="0.3">
      <c r="A524" s="1">
        <v>569</v>
      </c>
      <c r="B524" s="7" t="s">
        <v>144</v>
      </c>
      <c r="C524" s="12">
        <v>1606</v>
      </c>
      <c r="D524" s="7" t="s">
        <v>804</v>
      </c>
      <c r="E524" s="13" t="s">
        <v>498</v>
      </c>
      <c r="F524" t="str">
        <f t="shared" si="40"/>
        <v>35</v>
      </c>
      <c r="G524" t="str">
        <f t="shared" si="41"/>
        <v>351606San Marcos</v>
      </c>
      <c r="H524" t="s">
        <v>31382</v>
      </c>
      <c r="I524" t="s">
        <v>22816</v>
      </c>
      <c r="J524" t="str">
        <f t="shared" si="42"/>
        <v>E:\PropInv\MF</v>
      </c>
      <c r="K524" s="103" t="str">
        <f>HYPERLINK("E:\PropInv\MF\San Marcos\35 IH N_1606_Autumn Chase_San Marcos_00569","35 IH N_1606_Autumn Chase_San Marcos_00569" )</f>
        <v>35 IH N_1606_Autumn Chase_San Marcos_00569</v>
      </c>
      <c r="L524" s="104" t="s">
        <v>22253</v>
      </c>
      <c r="M524" s="103" t="str">
        <f t="shared" si="43"/>
        <v>http://oconnordata.com/mlink/modules/profile/index.cfm?action=profile&amp;prop_id=569</v>
      </c>
      <c r="N524" s="1" t="str">
        <f t="shared" si="44"/>
        <v>00569</v>
      </c>
    </row>
    <row r="525" spans="1:14" x14ac:dyDescent="0.3">
      <c r="A525" s="1">
        <v>573</v>
      </c>
      <c r="B525" s="7" t="s">
        <v>805</v>
      </c>
      <c r="C525" s="12">
        <v>1600</v>
      </c>
      <c r="D525" s="7" t="s">
        <v>806</v>
      </c>
      <c r="E525" s="13" t="s">
        <v>705</v>
      </c>
      <c r="F525" t="str">
        <f t="shared" si="40"/>
        <v>Lakeline</v>
      </c>
      <c r="G525" t="str">
        <f t="shared" si="41"/>
        <v>Lakeline1600Cedar Park</v>
      </c>
      <c r="H525" t="s">
        <v>31383</v>
      </c>
      <c r="I525" t="s">
        <v>22817</v>
      </c>
      <c r="J525" t="str">
        <f t="shared" si="42"/>
        <v>E:\PropInv\MF</v>
      </c>
      <c r="K525" s="103" t="str">
        <f>HYPERLINK("E:\PropInv\MF\Cedar Park\Lakeline Blvd S_1600_Red Stone Ranch_Cedar Park_00573","Lakeline Blvd S_1600_Red Stone Ranch_Cedar Park_00573" )</f>
        <v>Lakeline Blvd S_1600_Red Stone Ranch_Cedar Park_00573</v>
      </c>
      <c r="L525" s="104" t="s">
        <v>22253</v>
      </c>
      <c r="M525" s="103" t="str">
        <f t="shared" si="43"/>
        <v>http://oconnordata.com/mlink/modules/profile/index.cfm?action=profile&amp;prop_id=573</v>
      </c>
      <c r="N525" s="1" t="str">
        <f t="shared" si="44"/>
        <v>00573</v>
      </c>
    </row>
    <row r="526" spans="1:14" x14ac:dyDescent="0.3">
      <c r="A526" s="1">
        <v>576</v>
      </c>
      <c r="B526" s="7" t="s">
        <v>807</v>
      </c>
      <c r="C526" s="12">
        <v>1801</v>
      </c>
      <c r="D526" s="7" t="s">
        <v>808</v>
      </c>
      <c r="E526" s="13" t="s">
        <v>18</v>
      </c>
      <c r="F526" t="str">
        <f t="shared" si="40"/>
        <v>Warner</v>
      </c>
      <c r="G526" t="str">
        <f t="shared" si="41"/>
        <v>Warner1801Round Rock</v>
      </c>
      <c r="H526" t="s">
        <v>31384</v>
      </c>
      <c r="I526" t="s">
        <v>22818</v>
      </c>
      <c r="J526" t="str">
        <f t="shared" si="42"/>
        <v>E:\PropInv\MF</v>
      </c>
      <c r="K526" s="103" t="str">
        <f>HYPERLINK("E:\PropInv\MF\Round Rock\Warner Ranch Dr_1801_The Lodge at Warner Ranch_Round Rock_00576","Warner Ranch Dr_1801_The Lodge at Warner Ranch_Round Rock_00576" )</f>
        <v>Warner Ranch Dr_1801_The Lodge at Warner Ranch_Round Rock_00576</v>
      </c>
      <c r="L526" s="104" t="s">
        <v>22253</v>
      </c>
      <c r="M526" s="103" t="str">
        <f t="shared" si="43"/>
        <v>http://oconnordata.com/mlink/modules/profile/index.cfm?action=profile&amp;prop_id=576</v>
      </c>
      <c r="N526" s="1" t="str">
        <f t="shared" si="44"/>
        <v>00576</v>
      </c>
    </row>
    <row r="527" spans="1:14" x14ac:dyDescent="0.3">
      <c r="A527" s="1">
        <v>577</v>
      </c>
      <c r="B527" s="7" t="s">
        <v>653</v>
      </c>
      <c r="C527" s="12">
        <v>2800</v>
      </c>
      <c r="D527" s="7" t="s">
        <v>809</v>
      </c>
      <c r="E527" s="13" t="s">
        <v>18</v>
      </c>
      <c r="F527" t="str">
        <f t="shared" si="40"/>
        <v>La</v>
      </c>
      <c r="G527" t="str">
        <f t="shared" si="41"/>
        <v>La2800Round Rock</v>
      </c>
      <c r="H527" t="s">
        <v>31385</v>
      </c>
      <c r="I527" t="s">
        <v>22819</v>
      </c>
      <c r="J527" t="str">
        <f t="shared" si="42"/>
        <v>E:\PropInv\MF</v>
      </c>
      <c r="K527" s="103" t="str">
        <f>HYPERLINK("E:\PropInv\MF\Round Rock\La Frontera Blvd_2800_The Enclave at La Frontera_Round Rock_00577","La Frontera Blvd_2800_The Enclave at La Frontera_Round Rock_00577" )</f>
        <v>La Frontera Blvd_2800_The Enclave at La Frontera_Round Rock_00577</v>
      </c>
      <c r="L527" s="104" t="s">
        <v>22253</v>
      </c>
      <c r="M527" s="103" t="str">
        <f t="shared" si="43"/>
        <v>http://oconnordata.com/mlink/modules/profile/index.cfm?action=profile&amp;prop_id=577</v>
      </c>
      <c r="N527" s="1" t="str">
        <f t="shared" si="44"/>
        <v>00577</v>
      </c>
    </row>
    <row r="528" spans="1:14" x14ac:dyDescent="0.3">
      <c r="A528" s="1">
        <v>578</v>
      </c>
      <c r="B528" s="7" t="s">
        <v>810</v>
      </c>
      <c r="C528" s="12">
        <v>15835</v>
      </c>
      <c r="D528" s="7" t="s">
        <v>811</v>
      </c>
      <c r="E528" s="13" t="s">
        <v>367</v>
      </c>
      <c r="F528" t="str">
        <f t="shared" si="40"/>
        <v>Foothill</v>
      </c>
      <c r="G528" t="str">
        <f t="shared" si="41"/>
        <v>Foothill15835Pflugerville</v>
      </c>
      <c r="H528" t="s">
        <v>31386</v>
      </c>
      <c r="I528" t="s">
        <v>22820</v>
      </c>
      <c r="J528" t="str">
        <f t="shared" si="42"/>
        <v>E:\PropInv\MF</v>
      </c>
      <c r="K528" s="103" t="str">
        <f>HYPERLINK("E:\PropInv\MF\Pflugerville\Foothill Farms Loop_15835_1825 Place AH_Pflugerville_00578","Foothill Farms Loop_15835_1825 Place AH_Pflugerville_00578" )</f>
        <v>Foothill Farms Loop_15835_1825 Place AH_Pflugerville_00578</v>
      </c>
      <c r="L528" s="104" t="s">
        <v>22253</v>
      </c>
      <c r="M528" s="103" t="str">
        <f t="shared" si="43"/>
        <v>http://oconnordata.com/mlink/modules/profile/index.cfm?action=profile&amp;prop_id=578</v>
      </c>
      <c r="N528" s="1" t="str">
        <f t="shared" si="44"/>
        <v>00578</v>
      </c>
    </row>
    <row r="529" spans="1:14" x14ac:dyDescent="0.3">
      <c r="A529" s="1">
        <v>579</v>
      </c>
      <c r="B529" s="7" t="s">
        <v>191</v>
      </c>
      <c r="C529" s="12">
        <v>4900</v>
      </c>
      <c r="D529" s="7" t="s">
        <v>812</v>
      </c>
      <c r="E529" s="13" t="s">
        <v>7</v>
      </c>
      <c r="F529" t="str">
        <f t="shared" si="40"/>
        <v>Oltorf</v>
      </c>
      <c r="G529" t="str">
        <f t="shared" si="41"/>
        <v>Oltorf4900Austin</v>
      </c>
      <c r="H529" t="s">
        <v>31387</v>
      </c>
      <c r="I529" t="s">
        <v>22821</v>
      </c>
      <c r="J529" t="str">
        <f t="shared" si="42"/>
        <v>E:\PropInv\MF</v>
      </c>
      <c r="K529" s="103" t="str">
        <f>HYPERLINK("E:\PropInv\MF\Austin\Oltorf St E_4900_Austin Cityview_Austin_00579","Oltorf St E_4900_Austin Cityview_Austin_00579" )</f>
        <v>Oltorf St E_4900_Austin Cityview_Austin_00579</v>
      </c>
      <c r="L529" s="104" t="s">
        <v>22253</v>
      </c>
      <c r="M529" s="103" t="str">
        <f t="shared" si="43"/>
        <v>http://oconnordata.com/mlink/modules/profile/index.cfm?action=profile&amp;prop_id=579</v>
      </c>
      <c r="N529" s="1" t="str">
        <f t="shared" si="44"/>
        <v>00579</v>
      </c>
    </row>
    <row r="530" spans="1:14" x14ac:dyDescent="0.3">
      <c r="A530" s="1">
        <v>580</v>
      </c>
      <c r="B530" s="7" t="s">
        <v>813</v>
      </c>
      <c r="C530" s="12">
        <v>4825</v>
      </c>
      <c r="D530" s="7" t="s">
        <v>814</v>
      </c>
      <c r="E530" s="13" t="s">
        <v>7</v>
      </c>
      <c r="F530" t="str">
        <f t="shared" si="40"/>
        <v>Davis</v>
      </c>
      <c r="G530" t="str">
        <f t="shared" si="41"/>
        <v>Davis4825Austin</v>
      </c>
      <c r="H530" t="s">
        <v>31388</v>
      </c>
      <c r="I530" t="s">
        <v>22822</v>
      </c>
      <c r="J530" t="str">
        <f t="shared" si="42"/>
        <v>E:\PropInv\MF</v>
      </c>
      <c r="K530" s="103" t="str">
        <f>HYPERLINK("E:\PropInv\MF\Austin\Davis Ln_4825_Camden Stoneleigh_Austin_00580","Davis Ln_4825_Camden Stoneleigh_Austin_00580" )</f>
        <v>Davis Ln_4825_Camden Stoneleigh_Austin_00580</v>
      </c>
      <c r="L530" s="104" t="s">
        <v>22253</v>
      </c>
      <c r="M530" s="103" t="str">
        <f t="shared" si="43"/>
        <v>http://oconnordata.com/mlink/modules/profile/index.cfm?action=profile&amp;prop_id=580</v>
      </c>
      <c r="N530" s="1" t="str">
        <f t="shared" si="44"/>
        <v>00580</v>
      </c>
    </row>
    <row r="531" spans="1:14" x14ac:dyDescent="0.3">
      <c r="A531" s="1">
        <v>581</v>
      </c>
      <c r="B531" s="7" t="s">
        <v>815</v>
      </c>
      <c r="C531" s="12">
        <v>12800</v>
      </c>
      <c r="D531" s="7" t="s">
        <v>816</v>
      </c>
      <c r="E531" s="13" t="s">
        <v>7</v>
      </c>
      <c r="F531" t="str">
        <f t="shared" si="40"/>
        <v>Harrisglenn</v>
      </c>
      <c r="G531" t="str">
        <f t="shared" si="41"/>
        <v>Harrisglenn12800Austin</v>
      </c>
      <c r="H531" t="s">
        <v>31389</v>
      </c>
      <c r="I531" t="s">
        <v>22823</v>
      </c>
      <c r="J531" t="str">
        <f t="shared" si="42"/>
        <v>E:\PropInv\MF</v>
      </c>
      <c r="K531" s="103" t="str">
        <f>HYPERLINK("E:\PropInv\MF\Austin\Harrisglenn Dr_12800_Settlers Ridge_Austin_00581","Harrisglenn Dr_12800_Settlers Ridge_Austin_00581" )</f>
        <v>Harrisglenn Dr_12800_Settlers Ridge_Austin_00581</v>
      </c>
      <c r="L531" s="104" t="s">
        <v>22253</v>
      </c>
      <c r="M531" s="103" t="str">
        <f t="shared" si="43"/>
        <v>http://oconnordata.com/mlink/modules/profile/index.cfm?action=profile&amp;prop_id=581</v>
      </c>
      <c r="N531" s="1" t="str">
        <f t="shared" si="44"/>
        <v>00581</v>
      </c>
    </row>
    <row r="532" spans="1:14" x14ac:dyDescent="0.3">
      <c r="A532" s="1">
        <v>582</v>
      </c>
      <c r="B532" s="7" t="s">
        <v>817</v>
      </c>
      <c r="C532" s="12">
        <v>15450</v>
      </c>
      <c r="D532" s="7" t="s">
        <v>818</v>
      </c>
      <c r="E532" s="13" t="s">
        <v>7</v>
      </c>
      <c r="F532" t="str">
        <f t="shared" si="40"/>
        <v>1325</v>
      </c>
      <c r="G532" t="str">
        <f t="shared" si="41"/>
        <v>132515450Austin</v>
      </c>
      <c r="H532" t="s">
        <v>31390</v>
      </c>
      <c r="I532" t="s">
        <v>22824</v>
      </c>
      <c r="J532" t="str">
        <f t="shared" si="42"/>
        <v>E:\PropInv\MF</v>
      </c>
      <c r="K532" s="103" t="str">
        <f>HYPERLINK("E:\PropInv\MF\Austin\1325 FM_15450_The Preserve at Rolling Oaks_Austin_00582","1325 FM_15450_The Preserve at Rolling Oaks_Austin_00582" )</f>
        <v>1325 FM_15450_The Preserve at Rolling Oaks_Austin_00582</v>
      </c>
      <c r="L532" s="104" t="s">
        <v>22253</v>
      </c>
      <c r="M532" s="103" t="str">
        <f t="shared" si="43"/>
        <v>http://oconnordata.com/mlink/modules/profile/index.cfm?action=profile&amp;prop_id=582</v>
      </c>
      <c r="N532" s="1" t="str">
        <f t="shared" si="44"/>
        <v>00582</v>
      </c>
    </row>
    <row r="533" spans="1:14" x14ac:dyDescent="0.3">
      <c r="A533" s="1">
        <v>583</v>
      </c>
      <c r="B533" s="7" t="s">
        <v>576</v>
      </c>
      <c r="C533" s="12">
        <v>1001</v>
      </c>
      <c r="D533" s="7" t="s">
        <v>819</v>
      </c>
      <c r="E533" s="13" t="s">
        <v>498</v>
      </c>
      <c r="F533" t="str">
        <f t="shared" si="40"/>
        <v>Leah</v>
      </c>
      <c r="G533" t="str">
        <f t="shared" si="41"/>
        <v>Leah1001San Marcos</v>
      </c>
      <c r="H533" t="s">
        <v>31391</v>
      </c>
      <c r="I533" t="s">
        <v>22825</v>
      </c>
      <c r="J533" t="str">
        <f t="shared" si="42"/>
        <v>E:\PropInv\MF</v>
      </c>
      <c r="K533" s="103" t="str">
        <f>HYPERLINK("E:\PropInv\MF\San Marcos\Leah Ave_1001_Park Hill_San Marcos_00583","Leah Ave_1001_Park Hill_San Marcos_00583" )</f>
        <v>Leah Ave_1001_Park Hill_San Marcos_00583</v>
      </c>
      <c r="L533" s="104" t="s">
        <v>22253</v>
      </c>
      <c r="M533" s="103" t="str">
        <f t="shared" si="43"/>
        <v>http://oconnordata.com/mlink/modules/profile/index.cfm?action=profile&amp;prop_id=583</v>
      </c>
      <c r="N533" s="1" t="str">
        <f t="shared" si="44"/>
        <v>00583</v>
      </c>
    </row>
    <row r="534" spans="1:14" x14ac:dyDescent="0.3">
      <c r="A534" s="1">
        <v>584</v>
      </c>
      <c r="B534" s="10" t="s">
        <v>820</v>
      </c>
      <c r="C534" s="9">
        <v>5800</v>
      </c>
      <c r="D534" s="10" t="s">
        <v>821</v>
      </c>
      <c r="E534" s="11" t="s">
        <v>7</v>
      </c>
      <c r="F534" t="str">
        <f t="shared" si="40"/>
        <v>Techni</v>
      </c>
      <c r="G534" t="str">
        <f t="shared" si="41"/>
        <v>Techni5800Austin</v>
      </c>
      <c r="H534" t="s">
        <v>31392</v>
      </c>
      <c r="I534" t="s">
        <v>22826</v>
      </c>
      <c r="J534" t="str">
        <f t="shared" si="42"/>
        <v>E:\PropInv\MF</v>
      </c>
      <c r="K534" s="103" t="str">
        <f>HYPERLINK("E:\PropInv\MF\Austin\Techni Center_5800_Fort Branch at Trumans Landing_Austin_00584","Techni Center_5800_Fort Branch at Trumans Landing_Austin_00584" )</f>
        <v>Techni Center_5800_Fort Branch at Trumans Landing_Austin_00584</v>
      </c>
      <c r="L534" s="104" t="s">
        <v>22253</v>
      </c>
      <c r="M534" s="103" t="str">
        <f t="shared" si="43"/>
        <v>http://oconnordata.com/mlink/modules/profile/index.cfm?action=profile&amp;prop_id=584</v>
      </c>
      <c r="N534" s="1" t="str">
        <f t="shared" si="44"/>
        <v>00584</v>
      </c>
    </row>
    <row r="535" spans="1:14" x14ac:dyDescent="0.3">
      <c r="A535" s="1">
        <v>585</v>
      </c>
      <c r="B535" s="7" t="s">
        <v>499</v>
      </c>
      <c r="C535" s="12">
        <v>4600</v>
      </c>
      <c r="D535" s="7" t="s">
        <v>822</v>
      </c>
      <c r="E535" s="13" t="s">
        <v>7</v>
      </c>
      <c r="F535" t="str">
        <f t="shared" si="40"/>
        <v>Elmont</v>
      </c>
      <c r="G535" t="str">
        <f t="shared" si="41"/>
        <v>Elmont4600Austin</v>
      </c>
      <c r="H535" t="s">
        <v>31393</v>
      </c>
      <c r="I535" t="s">
        <v>22827</v>
      </c>
      <c r="J535" t="str">
        <f t="shared" si="42"/>
        <v>E:\PropInv\MF</v>
      </c>
      <c r="K535" s="103" t="str">
        <f>HYPERLINK("E:\PropInv\MF\Austin\Elmont Dr_4600_The Ball Park At Austin_Austin_00585","Elmont Dr_4600_The Ball Park At Austin_Austin_00585" )</f>
        <v>Elmont Dr_4600_The Ball Park At Austin_Austin_00585</v>
      </c>
      <c r="L535" s="104" t="s">
        <v>22253</v>
      </c>
      <c r="M535" s="103" t="str">
        <f t="shared" si="43"/>
        <v>http://oconnordata.com/mlink/modules/profile/index.cfm?action=profile&amp;prop_id=585</v>
      </c>
      <c r="N535" s="1" t="str">
        <f t="shared" si="44"/>
        <v>00585</v>
      </c>
    </row>
    <row r="536" spans="1:14" x14ac:dyDescent="0.3">
      <c r="A536" s="1">
        <v>586</v>
      </c>
      <c r="B536" s="7" t="s">
        <v>693</v>
      </c>
      <c r="C536" s="12">
        <v>1301</v>
      </c>
      <c r="D536" s="7" t="s">
        <v>823</v>
      </c>
      <c r="E536" s="13" t="s">
        <v>7</v>
      </c>
      <c r="F536" t="str">
        <f t="shared" si="40"/>
        <v>Crossing</v>
      </c>
      <c r="G536" t="str">
        <f t="shared" si="41"/>
        <v>Crossing1301Austin</v>
      </c>
      <c r="H536" t="s">
        <v>31394</v>
      </c>
      <c r="I536" t="s">
        <v>22828</v>
      </c>
      <c r="J536" t="str">
        <f t="shared" si="42"/>
        <v>E:\PropInv\MF</v>
      </c>
      <c r="K536" s="103" t="str">
        <f>HYPERLINK("E:\PropInv\MF\Austin\Crossing Place_1301_University Village at Austin_Austin_00586","Crossing Place_1301_University Village at Austin_Austin_00586" )</f>
        <v>Crossing Place_1301_University Village at Austin_Austin_00586</v>
      </c>
      <c r="L536" s="104" t="s">
        <v>22253</v>
      </c>
      <c r="M536" s="103" t="str">
        <f t="shared" si="43"/>
        <v>http://oconnordata.com/mlink/modules/profile/index.cfm?action=profile&amp;prop_id=586</v>
      </c>
      <c r="N536" s="1" t="str">
        <f t="shared" si="44"/>
        <v>00586</v>
      </c>
    </row>
    <row r="537" spans="1:14" x14ac:dyDescent="0.3">
      <c r="A537" s="1">
        <v>589</v>
      </c>
      <c r="B537" s="10" t="s">
        <v>824</v>
      </c>
      <c r="C537" s="9">
        <v>805</v>
      </c>
      <c r="D537" s="10" t="s">
        <v>825</v>
      </c>
      <c r="E537" s="11" t="s">
        <v>16</v>
      </c>
      <c r="F537" t="str">
        <f t="shared" si="40"/>
        <v>Quail</v>
      </c>
      <c r="G537" t="str">
        <f t="shared" si="41"/>
        <v>Quail805Georgetown</v>
      </c>
      <c r="H537" t="s">
        <v>31395</v>
      </c>
      <c r="I537" t="s">
        <v>22829</v>
      </c>
      <c r="J537" t="str">
        <f t="shared" si="42"/>
        <v>E:\PropInv\MF</v>
      </c>
      <c r="K537" s="103" t="str">
        <f>HYPERLINK("E:\PropInv\MF\Georgetown\Quail Valley Dr_805_Georgetown Place_Georgetown_00589","Quail Valley Dr_805_Georgetown Place_Georgetown_00589" )</f>
        <v>Quail Valley Dr_805_Georgetown Place_Georgetown_00589</v>
      </c>
      <c r="L537" s="104" t="s">
        <v>22253</v>
      </c>
      <c r="M537" s="103" t="str">
        <f t="shared" si="43"/>
        <v>http://oconnordata.com/mlink/modules/profile/index.cfm?action=profile&amp;prop_id=589</v>
      </c>
      <c r="N537" s="1" t="str">
        <f t="shared" si="44"/>
        <v>00589</v>
      </c>
    </row>
    <row r="538" spans="1:14" x14ac:dyDescent="0.3">
      <c r="A538" s="1">
        <v>590</v>
      </c>
      <c r="B538" s="7" t="s">
        <v>826</v>
      </c>
      <c r="C538" s="12">
        <v>1201</v>
      </c>
      <c r="D538" s="7" t="s">
        <v>827</v>
      </c>
      <c r="E538" s="13" t="s">
        <v>18</v>
      </c>
      <c r="F538" t="str">
        <f t="shared" si="40"/>
        <v>Old</v>
      </c>
      <c r="G538" t="str">
        <f t="shared" si="41"/>
        <v>Old1201Round Rock</v>
      </c>
      <c r="H538" t="s">
        <v>31396</v>
      </c>
      <c r="I538" t="s">
        <v>22830</v>
      </c>
      <c r="J538" t="str">
        <f t="shared" si="42"/>
        <v>E:\PropInv\MF</v>
      </c>
      <c r="K538" s="103" t="str">
        <f>HYPERLINK("E:\PropInv\MF\Round Rock\Old Settlers Blvd E_1201_Parkwood Terrace_Round Rock_00590","Old Settlers Blvd E_1201_Parkwood Terrace_Round Rock_00590" )</f>
        <v>Old Settlers Blvd E_1201_Parkwood Terrace_Round Rock_00590</v>
      </c>
      <c r="L538" s="104" t="s">
        <v>22253</v>
      </c>
      <c r="M538" s="103" t="str">
        <f t="shared" si="43"/>
        <v>http://oconnordata.com/mlink/modules/profile/index.cfm?action=profile&amp;prop_id=590</v>
      </c>
      <c r="N538" s="1" t="str">
        <f t="shared" si="44"/>
        <v>00590</v>
      </c>
    </row>
    <row r="539" spans="1:14" x14ac:dyDescent="0.3">
      <c r="A539" s="1">
        <v>597</v>
      </c>
      <c r="B539" s="7" t="s">
        <v>698</v>
      </c>
      <c r="C539" s="12">
        <v>8600</v>
      </c>
      <c r="D539" s="7" t="s">
        <v>828</v>
      </c>
      <c r="E539" s="13" t="s">
        <v>7</v>
      </c>
      <c r="F539" t="str">
        <f t="shared" si="40"/>
        <v>620</v>
      </c>
      <c r="G539" t="str">
        <f t="shared" si="41"/>
        <v>6208600Austin</v>
      </c>
      <c r="H539" t="s">
        <v>31397</v>
      </c>
      <c r="I539" t="s">
        <v>22831</v>
      </c>
      <c r="J539" t="str">
        <f t="shared" si="42"/>
        <v>E:\PropInv\MF</v>
      </c>
      <c r="K539" s="103" t="str">
        <f>HYPERLINK("E:\PropInv\MF\Austin\620 RR N_8600_Verandah at Grandview Hills_Austin_00597","620 RR N_8600_Verandah at Grandview Hills_Austin_00597" )</f>
        <v>620 RR N_8600_Verandah at Grandview Hills_Austin_00597</v>
      </c>
      <c r="L539" s="104" t="s">
        <v>22253</v>
      </c>
      <c r="M539" s="103" t="str">
        <f t="shared" si="43"/>
        <v>http://oconnordata.com/mlink/modules/profile/index.cfm?action=profile&amp;prop_id=597</v>
      </c>
      <c r="N539" s="1" t="str">
        <f t="shared" si="44"/>
        <v>00597</v>
      </c>
    </row>
    <row r="540" spans="1:14" x14ac:dyDescent="0.3">
      <c r="A540" s="1">
        <v>598</v>
      </c>
      <c r="B540" s="7" t="s">
        <v>793</v>
      </c>
      <c r="C540" s="12">
        <v>7655</v>
      </c>
      <c r="D540" s="7" t="s">
        <v>829</v>
      </c>
      <c r="E540" s="13" t="s">
        <v>7</v>
      </c>
      <c r="F540" t="str">
        <f t="shared" si="40"/>
        <v>620</v>
      </c>
      <c r="G540" t="str">
        <f t="shared" si="41"/>
        <v>6207655Austin</v>
      </c>
      <c r="H540" t="s">
        <v>31398</v>
      </c>
      <c r="I540" t="s">
        <v>22832</v>
      </c>
      <c r="J540" t="str">
        <f t="shared" si="42"/>
        <v>E:\PropInv\MF</v>
      </c>
      <c r="K540" s="103" t="str">
        <f>HYPERLINK("E:\PropInv\MF\Austin\620 FM N_7655_Tintara at Canyon Creek I_Austin_00598","620 FM N_7655_Tintara at Canyon Creek I_Austin_00598" )</f>
        <v>620 FM N_7655_Tintara at Canyon Creek I_Austin_00598</v>
      </c>
      <c r="L540" s="104" t="s">
        <v>22253</v>
      </c>
      <c r="M540" s="103" t="str">
        <f t="shared" si="43"/>
        <v>http://oconnordata.com/mlink/modules/profile/index.cfm?action=profile&amp;prop_id=598</v>
      </c>
      <c r="N540" s="1" t="str">
        <f t="shared" si="44"/>
        <v>00598</v>
      </c>
    </row>
    <row r="541" spans="1:14" x14ac:dyDescent="0.3">
      <c r="A541" s="1">
        <v>603</v>
      </c>
      <c r="B541" s="10" t="s">
        <v>793</v>
      </c>
      <c r="C541" s="9">
        <v>9009</v>
      </c>
      <c r="D541" s="10" t="s">
        <v>830</v>
      </c>
      <c r="E541" s="11" t="s">
        <v>7</v>
      </c>
      <c r="F541" t="str">
        <f t="shared" si="40"/>
        <v>620</v>
      </c>
      <c r="G541" t="str">
        <f t="shared" si="41"/>
        <v>6209009Austin</v>
      </c>
      <c r="H541" t="s">
        <v>31399</v>
      </c>
      <c r="I541" t="s">
        <v>22833</v>
      </c>
      <c r="J541" t="str">
        <f t="shared" si="42"/>
        <v>E:\PropInv\MF</v>
      </c>
      <c r="K541" s="103" t="str">
        <f>HYPERLINK("E:\PropInv\MF\Austin\620 FM N_9009_Monterone Canyon Creek_Austin_00603","620 FM N_9009_Monterone Canyon Creek_Austin_00603" )</f>
        <v>620 FM N_9009_Monterone Canyon Creek_Austin_00603</v>
      </c>
      <c r="L541" s="104" t="s">
        <v>22253</v>
      </c>
      <c r="M541" s="103" t="str">
        <f t="shared" si="43"/>
        <v>http://oconnordata.com/mlink/modules/profile/index.cfm?action=profile&amp;prop_id=603</v>
      </c>
      <c r="N541" s="1" t="str">
        <f t="shared" si="44"/>
        <v>00603</v>
      </c>
    </row>
    <row r="542" spans="1:14" x14ac:dyDescent="0.3">
      <c r="A542" s="1">
        <v>604</v>
      </c>
      <c r="B542" s="7" t="s">
        <v>831</v>
      </c>
      <c r="C542" s="12">
        <v>8405</v>
      </c>
      <c r="D542" s="7" t="s">
        <v>832</v>
      </c>
      <c r="E542" s="13" t="s">
        <v>7</v>
      </c>
      <c r="F542" t="str">
        <f t="shared" si="40"/>
        <v>Old</v>
      </c>
      <c r="G542" t="str">
        <f t="shared" si="41"/>
        <v>Old8405Austin</v>
      </c>
      <c r="H542" t="s">
        <v>31400</v>
      </c>
      <c r="I542" t="s">
        <v>22834</v>
      </c>
      <c r="J542" t="str">
        <f t="shared" si="42"/>
        <v>E:\PropInv\MF</v>
      </c>
      <c r="K542" s="103" t="str">
        <f>HYPERLINK("E:\PropInv\MF\Austin\Old Bee Cave Rd_8405_Southwest Trails-AH_Austin_00604","Old Bee Cave Rd_8405_Southwest Trails-AH_Austin_00604" )</f>
        <v>Old Bee Cave Rd_8405_Southwest Trails-AH_Austin_00604</v>
      </c>
      <c r="L542" s="104" t="s">
        <v>22253</v>
      </c>
      <c r="M542" s="103" t="str">
        <f t="shared" si="43"/>
        <v>http://oconnordata.com/mlink/modules/profile/index.cfm?action=profile&amp;prop_id=604</v>
      </c>
      <c r="N542" s="1" t="str">
        <f t="shared" si="44"/>
        <v>00604</v>
      </c>
    </row>
    <row r="543" spans="1:14" x14ac:dyDescent="0.3">
      <c r="A543" s="1">
        <v>606</v>
      </c>
      <c r="B543" s="7" t="s">
        <v>833</v>
      </c>
      <c r="C543" s="12">
        <v>7710</v>
      </c>
      <c r="D543" s="7" t="s">
        <v>834</v>
      </c>
      <c r="E543" s="13" t="s">
        <v>18</v>
      </c>
      <c r="F543" t="str">
        <f t="shared" si="40"/>
        <v>O'Connor</v>
      </c>
      <c r="G543" t="str">
        <f t="shared" si="41"/>
        <v>O'Connor7710Round Rock</v>
      </c>
      <c r="H543" t="s">
        <v>31401</v>
      </c>
      <c r="I543" t="s">
        <v>22835</v>
      </c>
      <c r="J543" t="str">
        <f t="shared" si="42"/>
        <v>E:\PropInv\MF</v>
      </c>
      <c r="K543" s="103" t="str">
        <f>HYPERLINK("E:\PropInv\MF\Round Rock\O'Connor Dr_7710_Monterone Round Rock_Round Rock_00606","O'Connor Dr_7710_Monterone Round Rock_Round Rock_00606" )</f>
        <v>O'Connor Dr_7710_Monterone Round Rock_Round Rock_00606</v>
      </c>
      <c r="L543" s="104" t="s">
        <v>22253</v>
      </c>
      <c r="M543" s="103" t="str">
        <f t="shared" si="43"/>
        <v>http://oconnordata.com/mlink/modules/profile/index.cfm?action=profile&amp;prop_id=606</v>
      </c>
      <c r="N543" s="1" t="str">
        <f t="shared" si="44"/>
        <v>00606</v>
      </c>
    </row>
    <row r="544" spans="1:14" x14ac:dyDescent="0.3">
      <c r="A544" s="1">
        <v>610</v>
      </c>
      <c r="B544" s="7" t="s">
        <v>835</v>
      </c>
      <c r="C544" s="12">
        <v>345</v>
      </c>
      <c r="D544" s="7" t="s">
        <v>836</v>
      </c>
      <c r="E544" s="13" t="s">
        <v>498</v>
      </c>
      <c r="F544" t="str">
        <f t="shared" si="40"/>
        <v>Champion</v>
      </c>
      <c r="G544" t="str">
        <f t="shared" si="41"/>
        <v>Champion345San Marcos</v>
      </c>
      <c r="H544" t="s">
        <v>31402</v>
      </c>
      <c r="I544" t="s">
        <v>22836</v>
      </c>
      <c r="J544" t="str">
        <f t="shared" si="42"/>
        <v>E:\PropInv\MF</v>
      </c>
      <c r="K544" s="103" t="str">
        <f>HYPERLINK("E:\PropInv\MF\San Marcos\Champion Blvd_345_Champions Crossing_San Marcos_00610","Champion Blvd_345_Champions Crossing_San Marcos_00610" )</f>
        <v>Champion Blvd_345_Champions Crossing_San Marcos_00610</v>
      </c>
      <c r="L544" s="104" t="s">
        <v>22253</v>
      </c>
      <c r="M544" s="103" t="str">
        <f t="shared" si="43"/>
        <v>http://oconnordata.com/mlink/modules/profile/index.cfm?action=profile&amp;prop_id=610</v>
      </c>
      <c r="N544" s="1" t="str">
        <f t="shared" si="44"/>
        <v>00610</v>
      </c>
    </row>
    <row r="545" spans="1:14" x14ac:dyDescent="0.3">
      <c r="A545" s="1">
        <v>611</v>
      </c>
      <c r="B545" s="7" t="s">
        <v>75</v>
      </c>
      <c r="C545" s="12">
        <v>1506</v>
      </c>
      <c r="D545" s="7" t="s">
        <v>837</v>
      </c>
      <c r="E545" s="13" t="s">
        <v>498</v>
      </c>
      <c r="F545" t="str">
        <f t="shared" si="40"/>
        <v>35</v>
      </c>
      <c r="G545" t="str">
        <f t="shared" si="41"/>
        <v>351506San Marcos</v>
      </c>
      <c r="H545" t="s">
        <v>31403</v>
      </c>
      <c r="I545" t="s">
        <v>22837</v>
      </c>
      <c r="J545" t="str">
        <f t="shared" si="42"/>
        <v>E:\PropInv\MF</v>
      </c>
      <c r="K545" s="103" t="str">
        <f>HYPERLINK("E:\PropInv\MF\San Marcos\35 IH S_1506_Villas at Willow Springs_San Marcos_00611","35 IH S_1506_Villas at Willow Springs_San Marcos_00611" )</f>
        <v>35 IH S_1506_Villas at Willow Springs_San Marcos_00611</v>
      </c>
      <c r="L545" s="104" t="s">
        <v>22253</v>
      </c>
      <c r="M545" s="103" t="str">
        <f t="shared" si="43"/>
        <v>http://oconnordata.com/mlink/modules/profile/index.cfm?action=profile&amp;prop_id=611</v>
      </c>
      <c r="N545" s="1" t="str">
        <f t="shared" si="44"/>
        <v>00611</v>
      </c>
    </row>
    <row r="546" spans="1:14" x14ac:dyDescent="0.3">
      <c r="A546" s="1">
        <v>624</v>
      </c>
      <c r="B546" s="7" t="s">
        <v>838</v>
      </c>
      <c r="C546" s="12">
        <v>4500</v>
      </c>
      <c r="D546" s="7" t="s">
        <v>839</v>
      </c>
      <c r="E546" s="13" t="s">
        <v>7</v>
      </c>
      <c r="F546" t="str">
        <f t="shared" si="40"/>
        <v>Steiner</v>
      </c>
      <c r="G546" t="str">
        <f t="shared" si="41"/>
        <v>Steiner4500Austin</v>
      </c>
      <c r="H546" t="s">
        <v>31404</v>
      </c>
      <c r="I546" t="s">
        <v>22838</v>
      </c>
      <c r="J546" t="str">
        <f t="shared" si="42"/>
        <v>E:\PropInv\MF</v>
      </c>
      <c r="K546" s="103" t="str">
        <f>HYPERLINK("E:\PropInv\MF\Austin\Steiner Ranch Blvd_4500_Monterone at Steiner Ranch_Austin_00624","Steiner Ranch Blvd_4500_Monterone at Steiner Ranch_Austin_00624" )</f>
        <v>Steiner Ranch Blvd_4500_Monterone at Steiner Ranch_Austin_00624</v>
      </c>
      <c r="L546" s="104" t="s">
        <v>22253</v>
      </c>
      <c r="M546" s="103" t="str">
        <f t="shared" si="43"/>
        <v>http://oconnordata.com/mlink/modules/profile/index.cfm?action=profile&amp;prop_id=624</v>
      </c>
      <c r="N546" s="1" t="str">
        <f t="shared" si="44"/>
        <v>00624</v>
      </c>
    </row>
    <row r="547" spans="1:14" x14ac:dyDescent="0.3">
      <c r="A547" s="1">
        <v>671</v>
      </c>
      <c r="B547" s="7" t="s">
        <v>840</v>
      </c>
      <c r="C547" s="12">
        <v>1550</v>
      </c>
      <c r="D547" s="7" t="s">
        <v>841</v>
      </c>
      <c r="E547" s="13" t="s">
        <v>842</v>
      </c>
      <c r="F547" t="str">
        <f t="shared" si="40"/>
        <v>Jackson</v>
      </c>
      <c r="G547" t="str">
        <f t="shared" si="41"/>
        <v>Jackson1550San Antonio</v>
      </c>
      <c r="H547" t="s">
        <v>31405</v>
      </c>
      <c r="I547" t="s">
        <v>22839</v>
      </c>
      <c r="J547" t="str">
        <f t="shared" si="42"/>
        <v>E:\PropInv\MF</v>
      </c>
      <c r="K547" s="103" t="str">
        <f>HYPERLINK("E:\PropInv\MF\San Antonio\Jackson Keller_1550_The Enclave at 1550_San Antonio_00671","Jackson Keller_1550_The Enclave at 1550_San Antonio_00671" )</f>
        <v>Jackson Keller_1550_The Enclave at 1550_San Antonio_00671</v>
      </c>
      <c r="L547" s="104" t="s">
        <v>22253</v>
      </c>
      <c r="M547" s="103" t="str">
        <f t="shared" si="43"/>
        <v>http://oconnordata.com/mlink/modules/profile/index.cfm?action=profile&amp;prop_id=671</v>
      </c>
      <c r="N547" s="1" t="str">
        <f t="shared" si="44"/>
        <v>00671</v>
      </c>
    </row>
    <row r="548" spans="1:14" x14ac:dyDescent="0.3">
      <c r="A548" s="1">
        <v>672</v>
      </c>
      <c r="B548" s="7" t="s">
        <v>843</v>
      </c>
      <c r="C548" s="12">
        <v>19275</v>
      </c>
      <c r="D548" s="7" t="s">
        <v>844</v>
      </c>
      <c r="E548" s="13" t="s">
        <v>842</v>
      </c>
      <c r="F548" t="str">
        <f t="shared" si="40"/>
        <v>Stone</v>
      </c>
      <c r="G548" t="str">
        <f t="shared" si="41"/>
        <v>Stone19275San Antonio</v>
      </c>
      <c r="H548" t="s">
        <v>31406</v>
      </c>
      <c r="I548" t="s">
        <v>22840</v>
      </c>
      <c r="J548" t="str">
        <f t="shared" si="42"/>
        <v>E:\PropInv\MF</v>
      </c>
      <c r="K548" s="103" t="str">
        <f>HYPERLINK("E:\PropInv\MF\San Antonio\Stone Oak Pkwy_19275_Toscana at Sonterra_San Antonio_00672","Stone Oak Pkwy_19275_Toscana at Sonterra_San Antonio_00672" )</f>
        <v>Stone Oak Pkwy_19275_Toscana at Sonterra_San Antonio_00672</v>
      </c>
      <c r="L548" s="104" t="s">
        <v>22253</v>
      </c>
      <c r="M548" s="103" t="str">
        <f t="shared" si="43"/>
        <v>http://oconnordata.com/mlink/modules/profile/index.cfm?action=profile&amp;prop_id=672</v>
      </c>
      <c r="N548" s="1" t="str">
        <f t="shared" si="44"/>
        <v>00672</v>
      </c>
    </row>
    <row r="549" spans="1:14" x14ac:dyDescent="0.3">
      <c r="A549" s="1">
        <v>673</v>
      </c>
      <c r="B549" s="10" t="s">
        <v>845</v>
      </c>
      <c r="C549" s="9">
        <v>10363</v>
      </c>
      <c r="D549" s="10" t="s">
        <v>846</v>
      </c>
      <c r="E549" s="11" t="s">
        <v>842</v>
      </c>
      <c r="F549" t="str">
        <f t="shared" si="40"/>
        <v>Sahara</v>
      </c>
      <c r="G549" t="str">
        <f t="shared" si="41"/>
        <v>Sahara10363San Antonio</v>
      </c>
      <c r="H549" t="s">
        <v>31407</v>
      </c>
      <c r="I549" t="s">
        <v>22841</v>
      </c>
      <c r="J549" t="str">
        <f t="shared" si="42"/>
        <v>E:\PropInv\MF</v>
      </c>
      <c r="K549" s="103" t="str">
        <f>HYPERLINK("E:\PropInv\MF\San Antonio\Sahara Dr_10363_Alamo_San Antonio_00673","Sahara Dr_10363_Alamo_San Antonio_00673" )</f>
        <v>Sahara Dr_10363_Alamo_San Antonio_00673</v>
      </c>
      <c r="L549" s="104" t="s">
        <v>22253</v>
      </c>
      <c r="M549" s="103" t="str">
        <f t="shared" si="43"/>
        <v>http://oconnordata.com/mlink/modules/profile/index.cfm?action=profile&amp;prop_id=673</v>
      </c>
      <c r="N549" s="1" t="str">
        <f t="shared" si="44"/>
        <v>00673</v>
      </c>
    </row>
    <row r="550" spans="1:14" x14ac:dyDescent="0.3">
      <c r="A550" s="1">
        <v>674</v>
      </c>
      <c r="B550" s="10" t="s">
        <v>847</v>
      </c>
      <c r="C550" s="9">
        <v>2800</v>
      </c>
      <c r="D550" s="10" t="s">
        <v>848</v>
      </c>
      <c r="E550" s="11" t="s">
        <v>842</v>
      </c>
      <c r="F550" t="str">
        <f t="shared" si="40"/>
        <v>Hutchins</v>
      </c>
      <c r="G550" t="str">
        <f t="shared" si="41"/>
        <v>Hutchins2800San Antonio</v>
      </c>
      <c r="H550" t="s">
        <v>31408</v>
      </c>
      <c r="I550" t="s">
        <v>22842</v>
      </c>
      <c r="J550" t="str">
        <f t="shared" si="42"/>
        <v>E:\PropInv\MF</v>
      </c>
      <c r="K550" s="103" t="str">
        <f>HYPERLINK("E:\PropInv\MF\San Antonio\Hutchins Place W_2800_Alta Vista_San Antonio_00674","Hutchins Place W_2800_Alta Vista_San Antonio_00674" )</f>
        <v>Hutchins Place W_2800_Alta Vista_San Antonio_00674</v>
      </c>
      <c r="L550" s="104" t="s">
        <v>22253</v>
      </c>
      <c r="M550" s="103" t="str">
        <f t="shared" si="43"/>
        <v>http://oconnordata.com/mlink/modules/profile/index.cfm?action=profile&amp;prop_id=674</v>
      </c>
      <c r="N550" s="1" t="str">
        <f t="shared" si="44"/>
        <v>00674</v>
      </c>
    </row>
    <row r="551" spans="1:14" x14ac:dyDescent="0.3">
      <c r="A551" s="1">
        <v>675</v>
      </c>
      <c r="B551" s="7" t="s">
        <v>849</v>
      </c>
      <c r="C551" s="12">
        <v>12474</v>
      </c>
      <c r="D551" s="7" t="s">
        <v>850</v>
      </c>
      <c r="E551" s="13" t="s">
        <v>842</v>
      </c>
      <c r="F551" t="str">
        <f t="shared" si="40"/>
        <v>Starcrest</v>
      </c>
      <c r="G551" t="str">
        <f t="shared" si="41"/>
        <v>Starcrest12474San Antonio</v>
      </c>
      <c r="H551" t="s">
        <v>31409</v>
      </c>
      <c r="I551" t="s">
        <v>22843</v>
      </c>
      <c r="J551" t="str">
        <f t="shared" si="42"/>
        <v>E:\PropInv\MF</v>
      </c>
      <c r="K551" s="103" t="str">
        <f>HYPERLINK("E:\PropInv\MF\San Antonio\Starcrest Dr_12474_Altamonte_San Antonio_00675","Starcrest Dr_12474_Altamonte_San Antonio_00675" )</f>
        <v>Starcrest Dr_12474_Altamonte_San Antonio_00675</v>
      </c>
      <c r="L551" s="104" t="s">
        <v>22253</v>
      </c>
      <c r="M551" s="103" t="str">
        <f t="shared" si="43"/>
        <v>http://oconnordata.com/mlink/modules/profile/index.cfm?action=profile&amp;prop_id=675</v>
      </c>
      <c r="N551" s="1" t="str">
        <f t="shared" si="44"/>
        <v>00675</v>
      </c>
    </row>
    <row r="552" spans="1:14" x14ac:dyDescent="0.3">
      <c r="A552" s="1">
        <v>676</v>
      </c>
      <c r="B552" s="7" t="s">
        <v>851</v>
      </c>
      <c r="C552" s="12">
        <v>131</v>
      </c>
      <c r="D552" s="7" t="s">
        <v>852</v>
      </c>
      <c r="E552" s="13" t="s">
        <v>842</v>
      </c>
      <c r="F552" t="str">
        <f t="shared" si="40"/>
        <v>Amber</v>
      </c>
      <c r="G552" t="str">
        <f t="shared" si="41"/>
        <v>Amber131San Antonio</v>
      </c>
      <c r="H552" t="s">
        <v>31410</v>
      </c>
      <c r="I552" t="s">
        <v>22844</v>
      </c>
      <c r="J552" t="str">
        <f t="shared" si="42"/>
        <v>E:\PropInv\MF</v>
      </c>
      <c r="K552" s="103" t="str">
        <f>HYPERLINK("E:\PropInv\MF\San Antonio\Amber Place W_131_Amber_San Antonio_00676","Amber Place W_131_Amber_San Antonio_00676" )</f>
        <v>Amber Place W_131_Amber_San Antonio_00676</v>
      </c>
      <c r="L552" s="104" t="s">
        <v>22253</v>
      </c>
      <c r="M552" s="103" t="str">
        <f t="shared" si="43"/>
        <v>http://oconnordata.com/mlink/modules/profile/index.cfm?action=profile&amp;prop_id=676</v>
      </c>
      <c r="N552" s="1" t="str">
        <f t="shared" si="44"/>
        <v>00676</v>
      </c>
    </row>
    <row r="553" spans="1:14" x14ac:dyDescent="0.3">
      <c r="A553" s="1">
        <v>677</v>
      </c>
      <c r="B553" s="7" t="s">
        <v>853</v>
      </c>
      <c r="C553" s="12">
        <v>6000</v>
      </c>
      <c r="D553" s="7" t="s">
        <v>854</v>
      </c>
      <c r="E553" s="13" t="s">
        <v>842</v>
      </c>
      <c r="F553" t="str">
        <f t="shared" si="40"/>
        <v>Randoph</v>
      </c>
      <c r="G553" t="str">
        <f t="shared" si="41"/>
        <v>Randoph6000San Antonio</v>
      </c>
      <c r="H553" t="s">
        <v>31411</v>
      </c>
      <c r="I553" t="s">
        <v>22845</v>
      </c>
      <c r="J553" t="str">
        <f t="shared" si="42"/>
        <v>E:\PropInv\MF</v>
      </c>
      <c r="K553" s="103" t="str">
        <f>HYPERLINK("E:\PropInv\MF\San Antonio\Randoph Blvd_6000_Amberton_San Antonio_00677","Randoph Blvd_6000_Amberton_San Antonio_00677" )</f>
        <v>Randoph Blvd_6000_Amberton_San Antonio_00677</v>
      </c>
      <c r="L553" s="104" t="s">
        <v>22253</v>
      </c>
      <c r="M553" s="103" t="str">
        <f t="shared" si="43"/>
        <v>http://oconnordata.com/mlink/modules/profile/index.cfm?action=profile&amp;prop_id=677</v>
      </c>
      <c r="N553" s="1" t="str">
        <f t="shared" si="44"/>
        <v>00677</v>
      </c>
    </row>
    <row r="554" spans="1:14" x14ac:dyDescent="0.3">
      <c r="A554" s="1">
        <v>678</v>
      </c>
      <c r="B554" s="7" t="s">
        <v>855</v>
      </c>
      <c r="C554" s="12">
        <v>3939</v>
      </c>
      <c r="D554" s="7" t="s">
        <v>856</v>
      </c>
      <c r="E554" s="13" t="s">
        <v>842</v>
      </c>
      <c r="F554" t="str">
        <f t="shared" si="40"/>
        <v>Fredericksburg</v>
      </c>
      <c r="G554" t="str">
        <f t="shared" si="41"/>
        <v>Fredericksburg3939San Antonio</v>
      </c>
      <c r="H554" t="s">
        <v>31412</v>
      </c>
      <c r="I554" t="s">
        <v>22846</v>
      </c>
      <c r="J554" t="str">
        <f t="shared" si="42"/>
        <v>E:\PropInv\MF</v>
      </c>
      <c r="K554" s="103" t="str">
        <f>HYPERLINK("E:\PropInv\MF\San Antonio\Fredericksburg Rd_3939_Antonian_San Antonio_00678","Fredericksburg Rd_3939_Antonian_San Antonio_00678" )</f>
        <v>Fredericksburg Rd_3939_Antonian_San Antonio_00678</v>
      </c>
      <c r="L554" s="104" t="s">
        <v>22253</v>
      </c>
      <c r="M554" s="103" t="str">
        <f t="shared" si="43"/>
        <v>http://oconnordata.com/mlink/modules/profile/index.cfm?action=profile&amp;prop_id=678</v>
      </c>
      <c r="N554" s="1" t="str">
        <f t="shared" si="44"/>
        <v>00678</v>
      </c>
    </row>
    <row r="555" spans="1:14" x14ac:dyDescent="0.3">
      <c r="A555" s="1">
        <v>679</v>
      </c>
      <c r="B555" s="7" t="s">
        <v>857</v>
      </c>
      <c r="C555" s="12">
        <v>5100</v>
      </c>
      <c r="D555" s="7" t="s">
        <v>858</v>
      </c>
      <c r="E555" s="13" t="s">
        <v>842</v>
      </c>
      <c r="F555" t="str">
        <f t="shared" si="40"/>
        <v>USAA</v>
      </c>
      <c r="G555" t="str">
        <f t="shared" si="41"/>
        <v>USAA5100San Antonio</v>
      </c>
      <c r="H555" t="s">
        <v>31413</v>
      </c>
      <c r="I555" t="s">
        <v>22847</v>
      </c>
      <c r="J555" t="str">
        <f t="shared" si="42"/>
        <v>E:\PropInv\MF</v>
      </c>
      <c r="K555" s="103" t="str">
        <f>HYPERLINK("E:\PropInv\MF\San Antonio\USAA Blvd_5100_Huebner Oaks_San Antonio_00679","USAA Blvd_5100_Huebner Oaks_San Antonio_00679" )</f>
        <v>USAA Blvd_5100_Huebner Oaks_San Antonio_00679</v>
      </c>
      <c r="L555" s="104" t="s">
        <v>22253</v>
      </c>
      <c r="M555" s="103" t="str">
        <f t="shared" si="43"/>
        <v>http://oconnordata.com/mlink/modules/profile/index.cfm?action=profile&amp;prop_id=679</v>
      </c>
      <c r="N555" s="1" t="str">
        <f t="shared" si="44"/>
        <v>00679</v>
      </c>
    </row>
    <row r="556" spans="1:14" x14ac:dyDescent="0.3">
      <c r="A556" s="1">
        <v>680</v>
      </c>
      <c r="B556" s="7" t="s">
        <v>859</v>
      </c>
      <c r="C556" s="12">
        <v>250</v>
      </c>
      <c r="D556" s="7" t="s">
        <v>860</v>
      </c>
      <c r="E556" s="13" t="s">
        <v>842</v>
      </c>
      <c r="F556" t="str">
        <f t="shared" si="40"/>
        <v>Heimer</v>
      </c>
      <c r="G556" t="str">
        <f t="shared" si="41"/>
        <v>Heimer250San Antonio</v>
      </c>
      <c r="H556" t="s">
        <v>31414</v>
      </c>
      <c r="I556" t="s">
        <v>22848</v>
      </c>
      <c r="J556" t="str">
        <f t="shared" si="42"/>
        <v>E:\PropInv\MF</v>
      </c>
      <c r="K556" s="103" t="str">
        <f>HYPERLINK("E:\PropInv\MF\San Antonio\Heimer Rd_250_Arbor Hill_San Antonio_00680","Heimer Rd_250_Arbor Hill_San Antonio_00680" )</f>
        <v>Heimer Rd_250_Arbor Hill_San Antonio_00680</v>
      </c>
      <c r="L556" s="104" t="s">
        <v>22253</v>
      </c>
      <c r="M556" s="103" t="str">
        <f t="shared" si="43"/>
        <v>http://oconnordata.com/mlink/modules/profile/index.cfm?action=profile&amp;prop_id=680</v>
      </c>
      <c r="N556" s="1" t="str">
        <f t="shared" si="44"/>
        <v>00680</v>
      </c>
    </row>
    <row r="557" spans="1:14" x14ac:dyDescent="0.3">
      <c r="A557" s="1">
        <v>681</v>
      </c>
      <c r="B557" s="21" t="s">
        <v>235</v>
      </c>
      <c r="C557" s="12">
        <v>3815</v>
      </c>
      <c r="D557" s="7" t="s">
        <v>861</v>
      </c>
      <c r="E557" s="13" t="s">
        <v>842</v>
      </c>
      <c r="F557" t="str">
        <f t="shared" si="40"/>
        <v>W</v>
      </c>
      <c r="G557" t="str">
        <f t="shared" si="41"/>
        <v>W3815San Antonio</v>
      </c>
      <c r="H557" t="s">
        <v>31415</v>
      </c>
      <c r="I557" t="s">
        <v>22849</v>
      </c>
      <c r="J557" t="str">
        <f t="shared" si="42"/>
        <v>E:\PropInv\MF</v>
      </c>
      <c r="K557" s="103" t="str">
        <f>HYPERLINK("E:\PropInv\MF\San Antonio\W Ave_3815_Arbor Place_San Antonio_00681","W Ave_3815_Arbor Place_San Antonio_00681" )</f>
        <v>W Ave_3815_Arbor Place_San Antonio_00681</v>
      </c>
      <c r="L557" s="104" t="s">
        <v>22253</v>
      </c>
      <c r="M557" s="103" t="str">
        <f t="shared" si="43"/>
        <v>http://oconnordata.com/mlink/modules/profile/index.cfm?action=profile&amp;prop_id=681</v>
      </c>
      <c r="N557" s="1" t="str">
        <f t="shared" si="44"/>
        <v>00681</v>
      </c>
    </row>
    <row r="558" spans="1:14" x14ac:dyDescent="0.3">
      <c r="A558" s="1">
        <v>682</v>
      </c>
      <c r="B558" s="7" t="s">
        <v>862</v>
      </c>
      <c r="C558" s="12">
        <v>135</v>
      </c>
      <c r="D558" s="7" t="s">
        <v>863</v>
      </c>
      <c r="E558" s="13" t="s">
        <v>864</v>
      </c>
      <c r="F558" t="str">
        <f t="shared" si="40"/>
        <v>Villa</v>
      </c>
      <c r="G558" t="str">
        <f t="shared" si="41"/>
        <v>Villa135Universal City</v>
      </c>
      <c r="H558" t="s">
        <v>31416</v>
      </c>
      <c r="I558" t="s">
        <v>22850</v>
      </c>
      <c r="J558" t="str">
        <f t="shared" si="42"/>
        <v>E:\PropInv\MF</v>
      </c>
      <c r="K558" s="103" t="str">
        <f>HYPERLINK("E:\PropInv\MF\Universal City\Villa Dr_135_Villa Mesa_Universal City_00682","Villa Dr_135_Villa Mesa_Universal City_00682" )</f>
        <v>Villa Dr_135_Villa Mesa_Universal City_00682</v>
      </c>
      <c r="L558" s="104" t="s">
        <v>22253</v>
      </c>
      <c r="M558" s="103" t="str">
        <f t="shared" si="43"/>
        <v>http://oconnordata.com/mlink/modules/profile/index.cfm?action=profile&amp;prop_id=682</v>
      </c>
      <c r="N558" s="1" t="str">
        <f t="shared" si="44"/>
        <v>00682</v>
      </c>
    </row>
    <row r="559" spans="1:14" x14ac:dyDescent="0.3">
      <c r="A559" s="1">
        <v>683</v>
      </c>
      <c r="B559" s="7" t="s">
        <v>865</v>
      </c>
      <c r="C559" s="12">
        <v>5200</v>
      </c>
      <c r="D559" s="7" t="s">
        <v>866</v>
      </c>
      <c r="E559" s="13" t="s">
        <v>842</v>
      </c>
      <c r="F559" t="str">
        <f t="shared" si="40"/>
        <v>Blanco</v>
      </c>
      <c r="G559" t="str">
        <f t="shared" si="41"/>
        <v>Blanco5200San Antonio</v>
      </c>
      <c r="H559" t="s">
        <v>31417</v>
      </c>
      <c r="I559" t="s">
        <v>22851</v>
      </c>
      <c r="J559" t="str">
        <f t="shared" si="42"/>
        <v>E:\PropInv\MF</v>
      </c>
      <c r="K559" s="103" t="str">
        <f>HYPERLINK("E:\PropInv\MF\San Antonio\Blanco Rd_5200_Arriba En Blanco_San Antonio_00683","Blanco Rd_5200_Arriba En Blanco_San Antonio_00683" )</f>
        <v>Blanco Rd_5200_Arriba En Blanco_San Antonio_00683</v>
      </c>
      <c r="L559" s="104" t="s">
        <v>22253</v>
      </c>
      <c r="M559" s="103" t="str">
        <f t="shared" si="43"/>
        <v>http://oconnordata.com/mlink/modules/profile/index.cfm?action=profile&amp;prop_id=683</v>
      </c>
      <c r="N559" s="1" t="str">
        <f t="shared" si="44"/>
        <v>00683</v>
      </c>
    </row>
    <row r="560" spans="1:14" x14ac:dyDescent="0.3">
      <c r="A560" s="1">
        <v>684</v>
      </c>
      <c r="B560" s="7" t="s">
        <v>867</v>
      </c>
      <c r="C560" s="12">
        <v>16400</v>
      </c>
      <c r="D560" s="7" t="s">
        <v>868</v>
      </c>
      <c r="E560" s="13" t="s">
        <v>842</v>
      </c>
      <c r="F560" t="str">
        <f t="shared" si="40"/>
        <v>Henderson</v>
      </c>
      <c r="G560" t="str">
        <f t="shared" si="41"/>
        <v>Henderson16400San Antonio</v>
      </c>
      <c r="H560" t="s">
        <v>31418</v>
      </c>
      <c r="I560" t="s">
        <v>22852</v>
      </c>
      <c r="J560" t="str">
        <f t="shared" si="42"/>
        <v>E:\PropInv\MF</v>
      </c>
      <c r="K560" s="103" t="str">
        <f>HYPERLINK("E:\PropInv\MF\San Antonio\Henderson Pass_16400_Ashley Oaks_San Antonio_00684","Henderson Pass_16400_Ashley Oaks_San Antonio_00684" )</f>
        <v>Henderson Pass_16400_Ashley Oaks_San Antonio_00684</v>
      </c>
      <c r="L560" s="104" t="s">
        <v>22253</v>
      </c>
      <c r="M560" s="103" t="str">
        <f t="shared" si="43"/>
        <v>http://oconnordata.com/mlink/modules/profile/index.cfm?action=profile&amp;prop_id=684</v>
      </c>
      <c r="N560" s="1" t="str">
        <f t="shared" si="44"/>
        <v>00684</v>
      </c>
    </row>
    <row r="561" spans="1:14" x14ac:dyDescent="0.3">
      <c r="A561" s="1">
        <v>686</v>
      </c>
      <c r="B561" s="7" t="s">
        <v>869</v>
      </c>
      <c r="C561" s="12">
        <v>2447</v>
      </c>
      <c r="D561" s="7" t="s">
        <v>870</v>
      </c>
      <c r="E561" s="13" t="s">
        <v>842</v>
      </c>
      <c r="F561" t="str">
        <f t="shared" si="40"/>
        <v>Harry</v>
      </c>
      <c r="G561" t="str">
        <f t="shared" si="41"/>
        <v>Harry2447San Antonio</v>
      </c>
      <c r="H561" t="s">
        <v>31419</v>
      </c>
      <c r="I561" t="s">
        <v>22853</v>
      </c>
      <c r="J561" t="str">
        <f t="shared" si="42"/>
        <v>E:\PropInv\MF</v>
      </c>
      <c r="K561" s="103" t="str">
        <f>HYPERLINK("E:\PropInv\MF\San Antonio\Harry Wurzbach_2447_Aspen Chase_San Antonio_00686","Harry Wurzbach_2447_Aspen Chase_San Antonio_00686" )</f>
        <v>Harry Wurzbach_2447_Aspen Chase_San Antonio_00686</v>
      </c>
      <c r="L561" s="104" t="s">
        <v>22253</v>
      </c>
      <c r="M561" s="103" t="str">
        <f t="shared" si="43"/>
        <v>http://oconnordata.com/mlink/modules/profile/index.cfm?action=profile&amp;prop_id=686</v>
      </c>
      <c r="N561" s="1" t="str">
        <f t="shared" si="44"/>
        <v>00686</v>
      </c>
    </row>
    <row r="562" spans="1:14" x14ac:dyDescent="0.3">
      <c r="A562" s="1">
        <v>687</v>
      </c>
      <c r="B562" s="10" t="s">
        <v>871</v>
      </c>
      <c r="C562" s="9">
        <v>9338</v>
      </c>
      <c r="D562" s="10" t="s">
        <v>872</v>
      </c>
      <c r="E562" s="11" t="s">
        <v>842</v>
      </c>
      <c r="F562" t="str">
        <f t="shared" si="40"/>
        <v>Perrin</v>
      </c>
      <c r="G562" t="str">
        <f t="shared" si="41"/>
        <v>Perrin9338San Antonio</v>
      </c>
      <c r="H562" t="s">
        <v>31420</v>
      </c>
      <c r="I562" t="s">
        <v>22854</v>
      </c>
      <c r="J562" t="str">
        <f t="shared" si="42"/>
        <v>E:\PropInv\MF</v>
      </c>
      <c r="K562" s="103" t="str">
        <f>HYPERLINK("E:\PropInv\MF\San Antonio\Perrin Beitel_9338_Aspen Trail_San Antonio_00687","Perrin Beitel_9338_Aspen Trail_San Antonio_00687" )</f>
        <v>Perrin Beitel_9338_Aspen Trail_San Antonio_00687</v>
      </c>
      <c r="L562" s="104" t="s">
        <v>22253</v>
      </c>
      <c r="M562" s="103" t="str">
        <f t="shared" si="43"/>
        <v>http://oconnordata.com/mlink/modules/profile/index.cfm?action=profile&amp;prop_id=687</v>
      </c>
      <c r="N562" s="1" t="str">
        <f t="shared" si="44"/>
        <v>00687</v>
      </c>
    </row>
    <row r="563" spans="1:14" x14ac:dyDescent="0.3">
      <c r="A563" s="1">
        <v>688</v>
      </c>
      <c r="B563" s="7" t="s">
        <v>873</v>
      </c>
      <c r="C563" s="12">
        <v>4411</v>
      </c>
      <c r="D563" s="7" t="s">
        <v>874</v>
      </c>
      <c r="E563" s="13" t="s">
        <v>842</v>
      </c>
      <c r="F563" t="str">
        <f t="shared" si="40"/>
        <v>Gardendale</v>
      </c>
      <c r="G563" t="str">
        <f t="shared" si="41"/>
        <v>Gardendale4411San Antonio</v>
      </c>
      <c r="H563" t="s">
        <v>31421</v>
      </c>
      <c r="I563" t="s">
        <v>22855</v>
      </c>
      <c r="J563" t="str">
        <f t="shared" si="42"/>
        <v>E:\PropInv\MF</v>
      </c>
      <c r="K563" s="103" t="str">
        <f>HYPERLINK("E:\PropInv\MF\San Antonio\Gardendale_4411_Auburn Creek_San Antonio_00688","Gardendale_4411_Auburn Creek_San Antonio_00688" )</f>
        <v>Gardendale_4411_Auburn Creek_San Antonio_00688</v>
      </c>
      <c r="L563" s="104" t="s">
        <v>22253</v>
      </c>
      <c r="M563" s="103" t="str">
        <f t="shared" si="43"/>
        <v>http://oconnordata.com/mlink/modules/profile/index.cfm?action=profile&amp;prop_id=688</v>
      </c>
      <c r="N563" s="1" t="str">
        <f t="shared" si="44"/>
        <v>00688</v>
      </c>
    </row>
    <row r="564" spans="1:14" x14ac:dyDescent="0.3">
      <c r="A564" s="1">
        <v>689</v>
      </c>
      <c r="B564" s="7" t="s">
        <v>875</v>
      </c>
      <c r="C564" s="12">
        <v>10631</v>
      </c>
      <c r="D564" s="7" t="s">
        <v>876</v>
      </c>
      <c r="E564" s="13" t="s">
        <v>842</v>
      </c>
      <c r="F564" t="str">
        <f t="shared" si="40"/>
        <v>Nacogdoches</v>
      </c>
      <c r="G564" t="str">
        <f t="shared" si="41"/>
        <v>Nacogdoches10631San Antonio</v>
      </c>
      <c r="H564" t="s">
        <v>31422</v>
      </c>
      <c r="I564" t="s">
        <v>22856</v>
      </c>
      <c r="J564" t="str">
        <f t="shared" si="42"/>
        <v>E:\PropInv\MF</v>
      </c>
      <c r="K564" s="103" t="str">
        <f>HYPERLINK("E:\PropInv\MF\San Antonio\Nacogdoches_10631_Audubon Place_San Antonio_00689","Nacogdoches_10631_Audubon Place_San Antonio_00689" )</f>
        <v>Nacogdoches_10631_Audubon Place_San Antonio_00689</v>
      </c>
      <c r="L564" s="104" t="s">
        <v>22253</v>
      </c>
      <c r="M564" s="103" t="str">
        <f t="shared" si="43"/>
        <v>http://oconnordata.com/mlink/modules/profile/index.cfm?action=profile&amp;prop_id=689</v>
      </c>
      <c r="N564" s="1" t="str">
        <f t="shared" si="44"/>
        <v>00689</v>
      </c>
    </row>
    <row r="565" spans="1:14" x14ac:dyDescent="0.3">
      <c r="A565" s="1">
        <v>690</v>
      </c>
      <c r="B565" s="7" t="s">
        <v>877</v>
      </c>
      <c r="C565" s="12">
        <v>11711</v>
      </c>
      <c r="D565" s="7" t="s">
        <v>878</v>
      </c>
      <c r="E565" s="13" t="s">
        <v>842</v>
      </c>
      <c r="F565" t="str">
        <f t="shared" si="40"/>
        <v>Braesview</v>
      </c>
      <c r="G565" t="str">
        <f t="shared" si="41"/>
        <v>Braesview11711San Antonio</v>
      </c>
      <c r="H565" t="s">
        <v>31423</v>
      </c>
      <c r="I565" t="s">
        <v>22857</v>
      </c>
      <c r="J565" t="str">
        <f t="shared" si="42"/>
        <v>E:\PropInv\MF</v>
      </c>
      <c r="K565" s="103" t="str">
        <f>HYPERLINK("E:\PropInv\MF\San Antonio\Braesview_11711_Austin Pointe_San Antonio_00690","Braesview_11711_Austin Pointe_San Antonio_00690" )</f>
        <v>Braesview_11711_Austin Pointe_San Antonio_00690</v>
      </c>
      <c r="L565" s="104" t="s">
        <v>22253</v>
      </c>
      <c r="M565" s="103" t="str">
        <f t="shared" si="43"/>
        <v>http://oconnordata.com/mlink/modules/profile/index.cfm?action=profile&amp;prop_id=690</v>
      </c>
      <c r="N565" s="1" t="str">
        <f t="shared" si="44"/>
        <v>00690</v>
      </c>
    </row>
    <row r="566" spans="1:14" x14ac:dyDescent="0.3">
      <c r="A566" s="1">
        <v>691</v>
      </c>
      <c r="B566" s="7" t="s">
        <v>879</v>
      </c>
      <c r="C566" s="12">
        <v>3200</v>
      </c>
      <c r="D566" s="7" t="s">
        <v>880</v>
      </c>
      <c r="E566" s="13" t="s">
        <v>842</v>
      </c>
      <c r="F566" t="str">
        <f t="shared" si="40"/>
        <v>Thousand</v>
      </c>
      <c r="G566" t="str">
        <f t="shared" si="41"/>
        <v>Thousand3200San Antonio</v>
      </c>
      <c r="H566" t="s">
        <v>31424</v>
      </c>
      <c r="I566" t="s">
        <v>22858</v>
      </c>
      <c r="J566" t="str">
        <f t="shared" si="42"/>
        <v>E:\PropInv\MF</v>
      </c>
      <c r="K566" s="103" t="str">
        <f>HYPERLINK("E:\PropInv\MF\San Antonio\Thousand Oaks Dr_3200_Regal Park_San Antonio_00691","Thousand Oaks Dr_3200_Regal Park_San Antonio_00691" )</f>
        <v>Thousand Oaks Dr_3200_Regal Park_San Antonio_00691</v>
      </c>
      <c r="L566" s="104" t="s">
        <v>22253</v>
      </c>
      <c r="M566" s="103" t="str">
        <f t="shared" si="43"/>
        <v>http://oconnordata.com/mlink/modules/profile/index.cfm?action=profile&amp;prop_id=691</v>
      </c>
      <c r="N566" s="1" t="str">
        <f t="shared" si="44"/>
        <v>00691</v>
      </c>
    </row>
    <row r="567" spans="1:14" x14ac:dyDescent="0.3">
      <c r="A567" s="1">
        <v>692</v>
      </c>
      <c r="B567" s="7" t="s">
        <v>881</v>
      </c>
      <c r="C567" s="12">
        <v>3600</v>
      </c>
      <c r="D567" s="7" t="s">
        <v>574</v>
      </c>
      <c r="E567" s="13" t="s">
        <v>842</v>
      </c>
      <c r="F567" t="str">
        <f t="shared" si="40"/>
        <v>Eisenhauer</v>
      </c>
      <c r="G567" t="str">
        <f t="shared" si="41"/>
        <v>Eisenhauer3600San Antonio</v>
      </c>
      <c r="H567" t="s">
        <v>31425</v>
      </c>
      <c r="I567" t="s">
        <v>22859</v>
      </c>
      <c r="J567" t="str">
        <f t="shared" si="42"/>
        <v>E:\PropInv\MF</v>
      </c>
      <c r="K567" s="103" t="str">
        <f>HYPERLINK("E:\PropInv\MF\San Antonio\Eisenhauer_3600_Avalon_San Antonio_00692","Eisenhauer_3600_Avalon_San Antonio_00692" )</f>
        <v>Eisenhauer_3600_Avalon_San Antonio_00692</v>
      </c>
      <c r="L567" s="104" t="s">
        <v>22253</v>
      </c>
      <c r="M567" s="103" t="str">
        <f t="shared" si="43"/>
        <v>http://oconnordata.com/mlink/modules/profile/index.cfm?action=profile&amp;prop_id=692</v>
      </c>
      <c r="N567" s="1" t="str">
        <f t="shared" si="44"/>
        <v>00692</v>
      </c>
    </row>
    <row r="568" spans="1:14" x14ac:dyDescent="0.3">
      <c r="A568" s="1">
        <v>693</v>
      </c>
      <c r="B568" s="10" t="s">
        <v>882</v>
      </c>
      <c r="C568" s="9">
        <v>9821</v>
      </c>
      <c r="D568" s="10" t="s">
        <v>883</v>
      </c>
      <c r="E568" s="11" t="s">
        <v>842</v>
      </c>
      <c r="F568" t="str">
        <f t="shared" si="40"/>
        <v>Camino</v>
      </c>
      <c r="G568" t="str">
        <f t="shared" si="41"/>
        <v>Camino9821San Antonio</v>
      </c>
      <c r="H568" t="s">
        <v>31426</v>
      </c>
      <c r="I568" t="s">
        <v>22860</v>
      </c>
      <c r="J568" t="str">
        <f t="shared" si="42"/>
        <v>E:\PropInv\MF</v>
      </c>
      <c r="K568" s="103" t="str">
        <f>HYPERLINK("E:\PropInv\MF\San Antonio\Camino Villa_9821_Bandera Crossing_San Antonio_00693","Camino Villa_9821_Bandera Crossing_San Antonio_00693" )</f>
        <v>Camino Villa_9821_Bandera Crossing_San Antonio_00693</v>
      </c>
      <c r="L568" s="104" t="s">
        <v>22253</v>
      </c>
      <c r="M568" s="103" t="str">
        <f t="shared" si="43"/>
        <v>http://oconnordata.com/mlink/modules/profile/index.cfm?action=profile&amp;prop_id=693</v>
      </c>
      <c r="N568" s="1" t="str">
        <f t="shared" si="44"/>
        <v>00693</v>
      </c>
    </row>
    <row r="569" spans="1:14" x14ac:dyDescent="0.3">
      <c r="A569" s="1">
        <v>695</v>
      </c>
      <c r="B569" s="7" t="s">
        <v>147</v>
      </c>
      <c r="C569" s="12">
        <v>8170</v>
      </c>
      <c r="D569" s="7" t="s">
        <v>884</v>
      </c>
      <c r="E569" s="13" t="s">
        <v>842</v>
      </c>
      <c r="F569" t="str">
        <f t="shared" si="40"/>
        <v>Cross</v>
      </c>
      <c r="G569" t="str">
        <f t="shared" si="41"/>
        <v>Cross8170San Antonio</v>
      </c>
      <c r="H569" t="s">
        <v>31427</v>
      </c>
      <c r="I569" t="s">
        <v>22861</v>
      </c>
      <c r="J569" t="str">
        <f t="shared" si="42"/>
        <v>E:\PropInv\MF</v>
      </c>
      <c r="K569" s="103" t="str">
        <f>HYPERLINK("E:\PropInv\MF\San Antonio\Cross Creek_8170_Banyan Tree_San Antonio_00695","Cross Creek_8170_Banyan Tree_San Antonio_00695" )</f>
        <v>Cross Creek_8170_Banyan Tree_San Antonio_00695</v>
      </c>
      <c r="L569" s="104" t="s">
        <v>22253</v>
      </c>
      <c r="M569" s="103" t="str">
        <f t="shared" si="43"/>
        <v>http://oconnordata.com/mlink/modules/profile/index.cfm?action=profile&amp;prop_id=695</v>
      </c>
      <c r="N569" s="1" t="str">
        <f t="shared" si="44"/>
        <v>00695</v>
      </c>
    </row>
    <row r="570" spans="1:14" x14ac:dyDescent="0.3">
      <c r="A570" s="1">
        <v>696</v>
      </c>
      <c r="B570" s="7" t="s">
        <v>885</v>
      </c>
      <c r="C570" s="12">
        <v>427</v>
      </c>
      <c r="D570" s="7" t="s">
        <v>886</v>
      </c>
      <c r="E570" s="13" t="s">
        <v>842</v>
      </c>
      <c r="F570" t="str">
        <f t="shared" si="40"/>
        <v>Montrose</v>
      </c>
      <c r="G570" t="str">
        <f t="shared" si="41"/>
        <v>Montrose427San Antonio</v>
      </c>
      <c r="H570" t="s">
        <v>31428</v>
      </c>
      <c r="I570" t="s">
        <v>22862</v>
      </c>
      <c r="J570" t="str">
        <f t="shared" si="42"/>
        <v>E:\PropInv\MF</v>
      </c>
      <c r="K570" s="103" t="str">
        <f>HYPERLINK("E:\PropInv\MF\San Antonio\Montrose_427_Montrose Place_San Antonio_00696","Montrose_427_Montrose Place_San Antonio_00696" )</f>
        <v>Montrose_427_Montrose Place_San Antonio_00696</v>
      </c>
      <c r="L570" s="104" t="s">
        <v>22253</v>
      </c>
      <c r="M570" s="103" t="str">
        <f t="shared" si="43"/>
        <v>http://oconnordata.com/mlink/modules/profile/index.cfm?action=profile&amp;prop_id=696</v>
      </c>
      <c r="N570" s="1" t="str">
        <f t="shared" si="44"/>
        <v>00696</v>
      </c>
    </row>
    <row r="571" spans="1:14" x14ac:dyDescent="0.3">
      <c r="A571" s="1">
        <v>697</v>
      </c>
      <c r="B571" s="10" t="s">
        <v>887</v>
      </c>
      <c r="C571" s="9">
        <v>935</v>
      </c>
      <c r="D571" s="10" t="s">
        <v>888</v>
      </c>
      <c r="E571" s="11" t="s">
        <v>842</v>
      </c>
      <c r="F571" t="str">
        <f t="shared" si="40"/>
        <v>Silver</v>
      </c>
      <c r="G571" t="str">
        <f t="shared" si="41"/>
        <v>Silver935San Antonio</v>
      </c>
      <c r="H571" t="s">
        <v>31429</v>
      </c>
      <c r="I571" t="s">
        <v>22863</v>
      </c>
      <c r="J571" t="str">
        <f t="shared" si="42"/>
        <v>E:\PropInv\MF</v>
      </c>
      <c r="K571" s="103" t="str">
        <f>HYPERLINK("E:\PropInv\MF\San Antonio\Silver Sands W_935_Bear Creek_San Antonio_00697","Silver Sands W_935_Bear Creek_San Antonio_00697" )</f>
        <v>Silver Sands W_935_Bear Creek_San Antonio_00697</v>
      </c>
      <c r="L571" s="104" t="s">
        <v>22253</v>
      </c>
      <c r="M571" s="103" t="str">
        <f t="shared" si="43"/>
        <v>http://oconnordata.com/mlink/modules/profile/index.cfm?action=profile&amp;prop_id=697</v>
      </c>
      <c r="N571" s="1" t="str">
        <f t="shared" si="44"/>
        <v>00697</v>
      </c>
    </row>
    <row r="572" spans="1:14" x14ac:dyDescent="0.3">
      <c r="A572" s="1">
        <v>698</v>
      </c>
      <c r="B572" s="7" t="s">
        <v>889</v>
      </c>
      <c r="C572" s="12">
        <v>11803</v>
      </c>
      <c r="D572" s="7" t="s">
        <v>890</v>
      </c>
      <c r="E572" s="13" t="s">
        <v>842</v>
      </c>
      <c r="F572" t="str">
        <f t="shared" si="40"/>
        <v>Marbach</v>
      </c>
      <c r="G572" t="str">
        <f t="shared" si="41"/>
        <v>Marbach11803San Antonio</v>
      </c>
      <c r="H572" t="s">
        <v>31430</v>
      </c>
      <c r="I572" t="s">
        <v>22864</v>
      </c>
      <c r="J572" t="str">
        <f t="shared" si="42"/>
        <v>E:\PropInv\MF</v>
      </c>
      <c r="K572" s="103" t="str">
        <f>HYPERLINK("E:\PropInv\MF\San Antonio\Marbach Rd_11803_Bear Springs_San Antonio_00698","Marbach Rd_11803_Bear Springs_San Antonio_00698" )</f>
        <v>Marbach Rd_11803_Bear Springs_San Antonio_00698</v>
      </c>
      <c r="L572" s="104" t="s">
        <v>22253</v>
      </c>
      <c r="M572" s="103" t="str">
        <f t="shared" si="43"/>
        <v>http://oconnordata.com/mlink/modules/profile/index.cfm?action=profile&amp;prop_id=698</v>
      </c>
      <c r="N572" s="1" t="str">
        <f t="shared" si="44"/>
        <v>00698</v>
      </c>
    </row>
    <row r="573" spans="1:14" x14ac:dyDescent="0.3">
      <c r="A573" s="1">
        <v>699</v>
      </c>
      <c r="B573" s="7" t="s">
        <v>891</v>
      </c>
      <c r="C573" s="12">
        <v>8237</v>
      </c>
      <c r="D573" s="7" t="s">
        <v>892</v>
      </c>
      <c r="E573" s="13" t="s">
        <v>842</v>
      </c>
      <c r="F573" t="str">
        <f t="shared" si="40"/>
        <v>Flores</v>
      </c>
      <c r="G573" t="str">
        <f t="shared" si="41"/>
        <v>Flores8237San Antonio</v>
      </c>
      <c r="H573" t="s">
        <v>31431</v>
      </c>
      <c r="I573" t="s">
        <v>22865</v>
      </c>
      <c r="J573" t="str">
        <f t="shared" si="42"/>
        <v>E:\PropInv\MF</v>
      </c>
      <c r="K573" s="103" t="str">
        <f>HYPERLINK("E:\PropInv\MF\San Antonio\Flores St S_8237_Bellaire_San Antonio_00699","Flores St S_8237_Bellaire_San Antonio_00699" )</f>
        <v>Flores St S_8237_Bellaire_San Antonio_00699</v>
      </c>
      <c r="L573" s="104" t="s">
        <v>22253</v>
      </c>
      <c r="M573" s="103" t="str">
        <f t="shared" si="43"/>
        <v>http://oconnordata.com/mlink/modules/profile/index.cfm?action=profile&amp;prop_id=699</v>
      </c>
      <c r="N573" s="1" t="str">
        <f t="shared" si="44"/>
        <v>00699</v>
      </c>
    </row>
    <row r="574" spans="1:14" x14ac:dyDescent="0.3">
      <c r="A574" s="1">
        <v>700</v>
      </c>
      <c r="B574" s="7" t="s">
        <v>893</v>
      </c>
      <c r="C574" s="12">
        <v>4801</v>
      </c>
      <c r="D574" s="7" t="s">
        <v>58</v>
      </c>
      <c r="E574" s="13" t="s">
        <v>842</v>
      </c>
      <c r="F574" t="str">
        <f t="shared" si="40"/>
        <v>Gus</v>
      </c>
      <c r="G574" t="str">
        <f t="shared" si="41"/>
        <v>Gus4801San Antonio</v>
      </c>
      <c r="H574" t="s">
        <v>31432</v>
      </c>
      <c r="I574" t="s">
        <v>22866</v>
      </c>
      <c r="J574" t="str">
        <f t="shared" si="42"/>
        <v>E:\PropInv\MF</v>
      </c>
      <c r="K574" s="103" t="str">
        <f>HYPERLINK("E:\PropInv\MF\San Antonio\Gus Eckert_4801_Bent Tree_San Antonio_00700","Gus Eckert_4801_Bent Tree_San Antonio_00700" )</f>
        <v>Gus Eckert_4801_Bent Tree_San Antonio_00700</v>
      </c>
      <c r="L574" s="104" t="s">
        <v>22253</v>
      </c>
      <c r="M574" s="103" t="str">
        <f t="shared" si="43"/>
        <v>http://oconnordata.com/mlink/modules/profile/index.cfm?action=profile&amp;prop_id=700</v>
      </c>
      <c r="N574" s="1" t="str">
        <f t="shared" si="44"/>
        <v>00700</v>
      </c>
    </row>
    <row r="575" spans="1:14" x14ac:dyDescent="0.3">
      <c r="A575" s="1">
        <v>701</v>
      </c>
      <c r="B575" s="7" t="s">
        <v>894</v>
      </c>
      <c r="C575" s="12">
        <v>1111</v>
      </c>
      <c r="D575" s="7" t="s">
        <v>895</v>
      </c>
      <c r="E575" s="13" t="s">
        <v>842</v>
      </c>
      <c r="F575" t="str">
        <f t="shared" si="40"/>
        <v>Austin</v>
      </c>
      <c r="G575" t="str">
        <f t="shared" si="41"/>
        <v>Austin1111San Antonio</v>
      </c>
      <c r="H575" t="s">
        <v>31433</v>
      </c>
      <c r="I575" t="s">
        <v>22867</v>
      </c>
      <c r="J575" t="str">
        <f t="shared" si="42"/>
        <v>E:\PropInv\MF</v>
      </c>
      <c r="K575" s="103" t="str">
        <f>HYPERLINK("E:\PropInv\MF\San Antonio\Austin Hwy_1111_Bentwood Place_San Antonio_00701","Austin Hwy_1111_Bentwood Place_San Antonio_00701" )</f>
        <v>Austin Hwy_1111_Bentwood Place_San Antonio_00701</v>
      </c>
      <c r="L575" s="104" t="s">
        <v>22253</v>
      </c>
      <c r="M575" s="103" t="str">
        <f t="shared" si="43"/>
        <v>http://oconnordata.com/mlink/modules/profile/index.cfm?action=profile&amp;prop_id=701</v>
      </c>
      <c r="N575" s="1" t="str">
        <f t="shared" si="44"/>
        <v>00701</v>
      </c>
    </row>
    <row r="576" spans="1:14" x14ac:dyDescent="0.3">
      <c r="A576" s="1">
        <v>702</v>
      </c>
      <c r="B576" s="7" t="s">
        <v>896</v>
      </c>
      <c r="C576" s="12">
        <v>11300</v>
      </c>
      <c r="D576" s="7" t="s">
        <v>897</v>
      </c>
      <c r="E576" s="13" t="s">
        <v>842</v>
      </c>
      <c r="F576" t="str">
        <f t="shared" si="40"/>
        <v>Roszell</v>
      </c>
      <c r="G576" t="str">
        <f t="shared" si="41"/>
        <v>Roszell11300San Antonio</v>
      </c>
      <c r="H576" t="s">
        <v>31434</v>
      </c>
      <c r="I576" t="s">
        <v>22868</v>
      </c>
      <c r="J576" t="str">
        <f t="shared" si="42"/>
        <v>E:\PropInv\MF</v>
      </c>
      <c r="K576" s="103" t="str">
        <f>HYPERLINK("E:\PropInv\MF\San Antonio\Roszell_11300_Terrace Apts_San Antonio_00702","Roszell_11300_Terrace Apts_San Antonio_00702" )</f>
        <v>Roszell_11300_Terrace Apts_San Antonio_00702</v>
      </c>
      <c r="L576" s="104" t="s">
        <v>22253</v>
      </c>
      <c r="M576" s="103" t="str">
        <f t="shared" si="43"/>
        <v>http://oconnordata.com/mlink/modules/profile/index.cfm?action=profile&amp;prop_id=702</v>
      </c>
      <c r="N576" s="1" t="str">
        <f t="shared" si="44"/>
        <v>00702</v>
      </c>
    </row>
    <row r="577" spans="1:14" x14ac:dyDescent="0.3">
      <c r="A577" s="1">
        <v>703</v>
      </c>
      <c r="B577" s="7" t="s">
        <v>898</v>
      </c>
      <c r="C577" s="12">
        <v>1111</v>
      </c>
      <c r="D577" s="7" t="s">
        <v>899</v>
      </c>
      <c r="E577" s="13" t="s">
        <v>842</v>
      </c>
      <c r="F577" t="str">
        <f t="shared" si="40"/>
        <v>Vista</v>
      </c>
      <c r="G577" t="str">
        <f t="shared" si="41"/>
        <v>Vista1111San Antonio</v>
      </c>
      <c r="H577" t="s">
        <v>31435</v>
      </c>
      <c r="I577" t="s">
        <v>22869</v>
      </c>
      <c r="J577" t="str">
        <f t="shared" si="42"/>
        <v>E:\PropInv\MF</v>
      </c>
      <c r="K577" s="103" t="str">
        <f>HYPERLINK("E:\PropInv\MF\San Antonio\Vista Valet_1111_Biltmore Park_San Antonio_00703","Vista Valet_1111_Biltmore Park_San Antonio_00703" )</f>
        <v>Vista Valet_1111_Biltmore Park_San Antonio_00703</v>
      </c>
      <c r="L577" s="104" t="s">
        <v>22253</v>
      </c>
      <c r="M577" s="103" t="str">
        <f t="shared" si="43"/>
        <v>http://oconnordata.com/mlink/modules/profile/index.cfm?action=profile&amp;prop_id=703</v>
      </c>
      <c r="N577" s="1" t="str">
        <f t="shared" si="44"/>
        <v>00703</v>
      </c>
    </row>
    <row r="578" spans="1:14" x14ac:dyDescent="0.3">
      <c r="A578" s="1">
        <v>704</v>
      </c>
      <c r="B578" s="7" t="s">
        <v>900</v>
      </c>
      <c r="C578" s="12">
        <v>400</v>
      </c>
      <c r="D578" s="7" t="s">
        <v>901</v>
      </c>
      <c r="E578" s="13" t="s">
        <v>842</v>
      </c>
      <c r="F578" t="str">
        <f t="shared" ref="F578:F641" si="45">IFERROR(LEFT(B578,FIND(" ",B578)-1),B578)</f>
        <v>Bitters</v>
      </c>
      <c r="G578" t="str">
        <f t="shared" ref="G578:G641" si="46">F578&amp;C578&amp;E578</f>
        <v>Bitters400San Antonio</v>
      </c>
      <c r="H578" t="s">
        <v>31436</v>
      </c>
      <c r="I578" t="s">
        <v>22870</v>
      </c>
      <c r="J578" t="str">
        <f t="shared" ref="J578:J641" si="47">IF(L578="TX",Folder_Path,Folder_Path&amp;"\State_"&amp;L578)</f>
        <v>E:\PropInv\MF</v>
      </c>
      <c r="K578" s="103" t="str">
        <f>HYPERLINK("E:\PropInv\MF\San Antonio\Bitters Rd W_400_Bitterwood_San Antonio_00704","Bitters Rd W_400_Bitterwood_San Antonio_00704" )</f>
        <v>Bitters Rd W_400_Bitterwood_San Antonio_00704</v>
      </c>
      <c r="L578" s="104" t="s">
        <v>22253</v>
      </c>
      <c r="M578" s="103" t="str">
        <f t="shared" ref="M578:M641" si="48">HYPERLINK("http://oconnordata.com/mlink/modules/profile/index.cfm?action=profile&amp;prop_id="&amp;A578)</f>
        <v>http://oconnordata.com/mlink/modules/profile/index.cfm?action=profile&amp;prop_id=704</v>
      </c>
      <c r="N578" s="1" t="str">
        <f t="shared" ref="N578:N641" si="49">IF(LEN(A578)=1,"0000"&amp;A578,IF(LEN(A578)=2,"000"&amp;A578,IF(LEN(A578)=3,"00"&amp;A578,IF(LEN(A578)=4,"0"&amp;A578,IF(LEN(A578)=5,IF(LEFT(A578,1)="3",A578+30000,A578))))))</f>
        <v>00704</v>
      </c>
    </row>
    <row r="579" spans="1:14" x14ac:dyDescent="0.3">
      <c r="A579" s="1">
        <v>705</v>
      </c>
      <c r="B579" s="7" t="s">
        <v>902</v>
      </c>
      <c r="C579" s="12">
        <v>13999</v>
      </c>
      <c r="D579" s="7" t="s">
        <v>903</v>
      </c>
      <c r="E579" s="13" t="s">
        <v>842</v>
      </c>
      <c r="F579" t="str">
        <f t="shared" si="45"/>
        <v>Old</v>
      </c>
      <c r="G579" t="str">
        <f t="shared" si="46"/>
        <v>Old13999San Antonio</v>
      </c>
      <c r="H579" t="s">
        <v>31437</v>
      </c>
      <c r="I579" t="s">
        <v>22871</v>
      </c>
      <c r="J579" t="str">
        <f t="shared" si="47"/>
        <v>E:\PropInv\MF</v>
      </c>
      <c r="K579" s="103" t="str">
        <f>HYPERLINK("E:\PropInv\MF\San Antonio\Old Blanco Rd_13999_Blanco Crossing_San Antonio_00705","Old Blanco Rd_13999_Blanco Crossing_San Antonio_00705" )</f>
        <v>Old Blanco Rd_13999_Blanco Crossing_San Antonio_00705</v>
      </c>
      <c r="L579" s="104" t="s">
        <v>22253</v>
      </c>
      <c r="M579" s="103" t="str">
        <f t="shared" si="48"/>
        <v>http://oconnordata.com/mlink/modules/profile/index.cfm?action=profile&amp;prop_id=705</v>
      </c>
      <c r="N579" s="1" t="str">
        <f t="shared" si="49"/>
        <v>00705</v>
      </c>
    </row>
    <row r="580" spans="1:14" x14ac:dyDescent="0.3">
      <c r="A580" s="1">
        <v>706</v>
      </c>
      <c r="B580" s="7" t="s">
        <v>904</v>
      </c>
      <c r="C580" s="12">
        <v>11710</v>
      </c>
      <c r="D580" s="7" t="s">
        <v>905</v>
      </c>
      <c r="E580" s="13" t="s">
        <v>842</v>
      </c>
      <c r="F580" t="str">
        <f t="shared" si="45"/>
        <v>Parliament</v>
      </c>
      <c r="G580" t="str">
        <f t="shared" si="46"/>
        <v>Parliament11710San Antonio</v>
      </c>
      <c r="H580" t="s">
        <v>31438</v>
      </c>
      <c r="I580" t="s">
        <v>22872</v>
      </c>
      <c r="J580" t="str">
        <f t="shared" si="47"/>
        <v>E:\PropInv\MF</v>
      </c>
      <c r="K580" s="103" t="str">
        <f>HYPERLINK("E:\PropInv\MF\San Antonio\Parliament Dr_11710_Blue Swan_San Antonio_00706","Parliament Dr_11710_Blue Swan_San Antonio_00706" )</f>
        <v>Parliament Dr_11710_Blue Swan_San Antonio_00706</v>
      </c>
      <c r="L580" s="104" t="s">
        <v>22253</v>
      </c>
      <c r="M580" s="103" t="str">
        <f t="shared" si="48"/>
        <v>http://oconnordata.com/mlink/modules/profile/index.cfm?action=profile&amp;prop_id=706</v>
      </c>
      <c r="N580" s="1" t="str">
        <f t="shared" si="49"/>
        <v>00706</v>
      </c>
    </row>
    <row r="581" spans="1:14" x14ac:dyDescent="0.3">
      <c r="A581" s="1">
        <v>707</v>
      </c>
      <c r="B581" s="7" t="s">
        <v>840</v>
      </c>
      <c r="C581" s="12">
        <v>2503</v>
      </c>
      <c r="D581" s="7" t="s">
        <v>906</v>
      </c>
      <c r="E581" s="13" t="s">
        <v>842</v>
      </c>
      <c r="F581" t="str">
        <f t="shared" si="45"/>
        <v>Jackson</v>
      </c>
      <c r="G581" t="str">
        <f t="shared" si="46"/>
        <v>Jackson2503San Antonio</v>
      </c>
      <c r="H581" t="s">
        <v>31439</v>
      </c>
      <c r="I581" t="s">
        <v>22873</v>
      </c>
      <c r="J581" t="str">
        <f t="shared" si="47"/>
        <v>E:\PropInv\MF</v>
      </c>
      <c r="K581" s="103" t="str">
        <f>HYPERLINK("E:\PropInv\MF\San Antonio\Jackson Keller_2503_City View AH_San Antonio_00707","Jackson Keller_2503_City View AH_San Antonio_00707" )</f>
        <v>Jackson Keller_2503_City View AH_San Antonio_00707</v>
      </c>
      <c r="L581" s="104" t="s">
        <v>22253</v>
      </c>
      <c r="M581" s="103" t="str">
        <f t="shared" si="48"/>
        <v>http://oconnordata.com/mlink/modules/profile/index.cfm?action=profile&amp;prop_id=707</v>
      </c>
      <c r="N581" s="1" t="str">
        <f t="shared" si="49"/>
        <v>00707</v>
      </c>
    </row>
    <row r="582" spans="1:14" x14ac:dyDescent="0.3">
      <c r="A582" s="1">
        <v>708</v>
      </c>
      <c r="B582" s="7" t="s">
        <v>907</v>
      </c>
      <c r="C582" s="12">
        <v>2103</v>
      </c>
      <c r="D582" s="7" t="s">
        <v>908</v>
      </c>
      <c r="E582" s="13" t="s">
        <v>842</v>
      </c>
      <c r="F582" t="str">
        <f t="shared" si="45"/>
        <v>W.W.</v>
      </c>
      <c r="G582" t="str">
        <f t="shared" si="46"/>
        <v>W.W.2103San Antonio</v>
      </c>
      <c r="H582" t="s">
        <v>31440</v>
      </c>
      <c r="I582" t="s">
        <v>22874</v>
      </c>
      <c r="J582" t="str">
        <f t="shared" si="47"/>
        <v>E:\PropInv\MF</v>
      </c>
      <c r="K582" s="103" t="str">
        <f>HYPERLINK("E:\PropInv\MF\San Antonio\W.W. White Rd_2103_Boxwood_San Antonio_00708","W.W. White Rd_2103_Boxwood_San Antonio_00708" )</f>
        <v>W.W. White Rd_2103_Boxwood_San Antonio_00708</v>
      </c>
      <c r="L582" s="104" t="s">
        <v>22253</v>
      </c>
      <c r="M582" s="103" t="str">
        <f t="shared" si="48"/>
        <v>http://oconnordata.com/mlink/modules/profile/index.cfm?action=profile&amp;prop_id=708</v>
      </c>
      <c r="N582" s="1" t="str">
        <f t="shared" si="49"/>
        <v>00708</v>
      </c>
    </row>
    <row r="583" spans="1:14" x14ac:dyDescent="0.3">
      <c r="A583" s="1">
        <v>709</v>
      </c>
      <c r="B583" s="7" t="s">
        <v>877</v>
      </c>
      <c r="C583" s="12">
        <v>11501</v>
      </c>
      <c r="D583" s="7" t="s">
        <v>877</v>
      </c>
      <c r="E583" s="13" t="s">
        <v>842</v>
      </c>
      <c r="F583" t="str">
        <f t="shared" si="45"/>
        <v>Braesview</v>
      </c>
      <c r="G583" t="str">
        <f t="shared" si="46"/>
        <v>Braesview11501San Antonio</v>
      </c>
      <c r="H583" t="s">
        <v>31441</v>
      </c>
      <c r="I583" t="s">
        <v>18732</v>
      </c>
      <c r="J583" t="str">
        <f t="shared" si="47"/>
        <v>E:\PropInv\MF</v>
      </c>
      <c r="K583" s="103" t="str">
        <f>HYPERLINK("E:\PropInv\MF\San Antonio\Braesview_11501_Braesview_San Antonio_00709","Braesview_11501_Braesview_San Antonio_00709" )</f>
        <v>Braesview_11501_Braesview_San Antonio_00709</v>
      </c>
      <c r="L583" s="104" t="s">
        <v>22253</v>
      </c>
      <c r="M583" s="103" t="str">
        <f t="shared" si="48"/>
        <v>http://oconnordata.com/mlink/modules/profile/index.cfm?action=profile&amp;prop_id=709</v>
      </c>
      <c r="N583" s="1" t="str">
        <f t="shared" si="49"/>
        <v>00709</v>
      </c>
    </row>
    <row r="584" spans="1:14" x14ac:dyDescent="0.3">
      <c r="A584" s="1">
        <v>710</v>
      </c>
      <c r="B584" s="7" t="s">
        <v>898</v>
      </c>
      <c r="C584" s="12">
        <v>800</v>
      </c>
      <c r="D584" s="7" t="s">
        <v>909</v>
      </c>
      <c r="E584" s="13" t="s">
        <v>842</v>
      </c>
      <c r="F584" t="str">
        <f t="shared" si="45"/>
        <v>Vista</v>
      </c>
      <c r="G584" t="str">
        <f t="shared" si="46"/>
        <v>Vista800San Antonio</v>
      </c>
      <c r="H584" t="s">
        <v>31442</v>
      </c>
      <c r="I584" t="s">
        <v>22875</v>
      </c>
      <c r="J584" t="str">
        <f t="shared" si="47"/>
        <v>E:\PropInv\MF</v>
      </c>
      <c r="K584" s="103" t="str">
        <f>HYPERLINK("E:\PropInv\MF\San Antonio\Vista Valet_800_Brandon Oaks_San Antonio_00710","Vista Valet_800_Brandon Oaks_San Antonio_00710" )</f>
        <v>Vista Valet_800_Brandon Oaks_San Antonio_00710</v>
      </c>
      <c r="L584" s="104" t="s">
        <v>22253</v>
      </c>
      <c r="M584" s="103" t="str">
        <f t="shared" si="48"/>
        <v>http://oconnordata.com/mlink/modules/profile/index.cfm?action=profile&amp;prop_id=710</v>
      </c>
      <c r="N584" s="1" t="str">
        <f t="shared" si="49"/>
        <v>00710</v>
      </c>
    </row>
    <row r="585" spans="1:14" x14ac:dyDescent="0.3">
      <c r="A585" s="1">
        <v>711</v>
      </c>
      <c r="B585" s="7" t="s">
        <v>910</v>
      </c>
      <c r="C585" s="12">
        <v>730</v>
      </c>
      <c r="D585" s="7" t="s">
        <v>911</v>
      </c>
      <c r="E585" s="13" t="s">
        <v>912</v>
      </c>
      <c r="F585" t="str">
        <f t="shared" si="45"/>
        <v>Howard</v>
      </c>
      <c r="G585" t="str">
        <f t="shared" si="46"/>
        <v>Howard730New Braunfels</v>
      </c>
      <c r="H585" t="s">
        <v>31443</v>
      </c>
      <c r="I585" t="s">
        <v>22876</v>
      </c>
      <c r="J585" t="str">
        <f t="shared" si="47"/>
        <v>E:\PropInv\MF</v>
      </c>
      <c r="K585" s="103" t="str">
        <f>HYPERLINK("E:\PropInv\MF\New Braunfels\Howard St_730_Braunfels Haus_New Braunfels_00711","Howard St_730_Braunfels Haus_New Braunfels_00711" )</f>
        <v>Howard St_730_Braunfels Haus_New Braunfels_00711</v>
      </c>
      <c r="L585" s="104" t="s">
        <v>22253</v>
      </c>
      <c r="M585" s="103" t="str">
        <f t="shared" si="48"/>
        <v>http://oconnordata.com/mlink/modules/profile/index.cfm?action=profile&amp;prop_id=711</v>
      </c>
      <c r="N585" s="1" t="str">
        <f t="shared" si="49"/>
        <v>00711</v>
      </c>
    </row>
    <row r="586" spans="1:14" x14ac:dyDescent="0.3">
      <c r="A586" s="1">
        <v>712</v>
      </c>
      <c r="B586" s="7" t="s">
        <v>913</v>
      </c>
      <c r="C586" s="12">
        <v>3550</v>
      </c>
      <c r="D586" s="7" t="s">
        <v>914</v>
      </c>
      <c r="E586" s="13" t="s">
        <v>842</v>
      </c>
      <c r="F586" t="str">
        <f t="shared" si="45"/>
        <v>Gevers</v>
      </c>
      <c r="G586" t="str">
        <f t="shared" si="46"/>
        <v>Gevers3550San Antonio</v>
      </c>
      <c r="H586" t="s">
        <v>31444</v>
      </c>
      <c r="I586" t="s">
        <v>22877</v>
      </c>
      <c r="J586" t="str">
        <f t="shared" si="47"/>
        <v>E:\PropInv\MF</v>
      </c>
      <c r="K586" s="103" t="str">
        <f>HYPERLINK("E:\PropInv\MF\San Antonio\Gevers S_3550_Brigadoon_San Antonio_00712","Gevers S_3550_Brigadoon_San Antonio_00712" )</f>
        <v>Gevers S_3550_Brigadoon_San Antonio_00712</v>
      </c>
      <c r="L586" s="104" t="s">
        <v>22253</v>
      </c>
      <c r="M586" s="103" t="str">
        <f t="shared" si="48"/>
        <v>http://oconnordata.com/mlink/modules/profile/index.cfm?action=profile&amp;prop_id=712</v>
      </c>
      <c r="N586" s="1" t="str">
        <f t="shared" si="49"/>
        <v>00712</v>
      </c>
    </row>
    <row r="587" spans="1:14" x14ac:dyDescent="0.3">
      <c r="A587" s="1">
        <v>713</v>
      </c>
      <c r="B587" s="7" t="s">
        <v>915</v>
      </c>
      <c r="C587" s="12">
        <v>8607</v>
      </c>
      <c r="D587" s="7" t="s">
        <v>916</v>
      </c>
      <c r="E587" s="13" t="s">
        <v>842</v>
      </c>
      <c r="F587" t="str">
        <f t="shared" si="45"/>
        <v>Jones</v>
      </c>
      <c r="G587" t="str">
        <f t="shared" si="46"/>
        <v>Jones8607San Antonio</v>
      </c>
      <c r="H587" t="s">
        <v>31445</v>
      </c>
      <c r="I587" t="s">
        <v>22878</v>
      </c>
      <c r="J587" t="str">
        <f t="shared" si="47"/>
        <v>E:\PropInv\MF</v>
      </c>
      <c r="K587" s="103" t="str">
        <f>HYPERLINK("E:\PropInv\MF\San Antonio\Jones Maltsberger_8607_The Villas of San Francisco_San Antonio_00713","Jones Maltsberger_8607_The Villas of San Francisco_San Antonio_00713" )</f>
        <v>Jones Maltsberger_8607_The Villas of San Francisco_San Antonio_00713</v>
      </c>
      <c r="L587" s="104" t="s">
        <v>22253</v>
      </c>
      <c r="M587" s="103" t="str">
        <f t="shared" si="48"/>
        <v>http://oconnordata.com/mlink/modules/profile/index.cfm?action=profile&amp;prop_id=713</v>
      </c>
      <c r="N587" s="1" t="str">
        <f t="shared" si="49"/>
        <v>00713</v>
      </c>
    </row>
    <row r="588" spans="1:14" x14ac:dyDescent="0.3">
      <c r="A588" s="1">
        <v>714</v>
      </c>
      <c r="B588" s="7" t="s">
        <v>917</v>
      </c>
      <c r="C588" s="12">
        <v>215</v>
      </c>
      <c r="D588" s="7" t="s">
        <v>918</v>
      </c>
      <c r="E588" s="13" t="s">
        <v>842</v>
      </c>
      <c r="F588" t="str">
        <f t="shared" si="45"/>
        <v>Broadview</v>
      </c>
      <c r="G588" t="str">
        <f t="shared" si="46"/>
        <v>Broadview215San Antonio</v>
      </c>
      <c r="H588" t="s">
        <v>31446</v>
      </c>
      <c r="I588" t="s">
        <v>22879</v>
      </c>
      <c r="J588" t="str">
        <f t="shared" si="47"/>
        <v>E:\PropInv\MF</v>
      </c>
      <c r="K588" s="103" t="str">
        <f>HYPERLINK("E:\PropInv\MF\San Antonio\Broadview Dr W_215_Broad Viewe_San Antonio_00714","Broadview Dr W_215_Broad Viewe_San Antonio_00714" )</f>
        <v>Broadview Dr W_215_Broad Viewe_San Antonio_00714</v>
      </c>
      <c r="L588" s="104" t="s">
        <v>22253</v>
      </c>
      <c r="M588" s="103" t="str">
        <f t="shared" si="48"/>
        <v>http://oconnordata.com/mlink/modules/profile/index.cfm?action=profile&amp;prop_id=714</v>
      </c>
      <c r="N588" s="1" t="str">
        <f t="shared" si="49"/>
        <v>00714</v>
      </c>
    </row>
    <row r="589" spans="1:14" x14ac:dyDescent="0.3">
      <c r="A589" s="1">
        <v>715</v>
      </c>
      <c r="B589" s="7" t="s">
        <v>919</v>
      </c>
      <c r="C589" s="12">
        <v>9110</v>
      </c>
      <c r="D589" s="7" t="s">
        <v>920</v>
      </c>
      <c r="E589" s="13" t="s">
        <v>842</v>
      </c>
      <c r="F589" t="str">
        <f t="shared" si="45"/>
        <v>Broadway</v>
      </c>
      <c r="G589" t="str">
        <f t="shared" si="46"/>
        <v>Broadway9110San Antonio</v>
      </c>
      <c r="H589" t="s">
        <v>31447</v>
      </c>
      <c r="I589" t="s">
        <v>22880</v>
      </c>
      <c r="J589" t="str">
        <f t="shared" si="47"/>
        <v>E:\PropInv\MF</v>
      </c>
      <c r="K589" s="103" t="str">
        <f>HYPERLINK("E:\PropInv\MF\San Antonio\Broadway_9110_Broadway Place_San Antonio_00715","Broadway_9110_Broadway Place_San Antonio_00715" )</f>
        <v>Broadway_9110_Broadway Place_San Antonio_00715</v>
      </c>
      <c r="L589" s="104" t="s">
        <v>22253</v>
      </c>
      <c r="M589" s="103" t="str">
        <f t="shared" si="48"/>
        <v>http://oconnordata.com/mlink/modules/profile/index.cfm?action=profile&amp;prop_id=715</v>
      </c>
      <c r="N589" s="1" t="str">
        <f t="shared" si="49"/>
        <v>00715</v>
      </c>
    </row>
    <row r="590" spans="1:14" x14ac:dyDescent="0.3">
      <c r="A590" s="1">
        <v>716</v>
      </c>
      <c r="B590" s="7" t="s">
        <v>921</v>
      </c>
      <c r="C590" s="12">
        <v>1935</v>
      </c>
      <c r="D590" s="7" t="s">
        <v>922</v>
      </c>
      <c r="E590" s="13" t="s">
        <v>842</v>
      </c>
      <c r="F590" t="str">
        <f t="shared" si="45"/>
        <v>Broken</v>
      </c>
      <c r="G590" t="str">
        <f t="shared" si="46"/>
        <v>Broken1935San Antonio</v>
      </c>
      <c r="H590" t="s">
        <v>31448</v>
      </c>
      <c r="I590" t="s">
        <v>22881</v>
      </c>
      <c r="J590" t="str">
        <f t="shared" si="47"/>
        <v>E:\PropInv\MF</v>
      </c>
      <c r="K590" s="103" t="str">
        <f>HYPERLINK("E:\PropInv\MF\San Antonio\Broken Oak_1935_Broken Oak TH_San Antonio_00716","Broken Oak_1935_Broken Oak TH_San Antonio_00716" )</f>
        <v>Broken Oak_1935_Broken Oak TH_San Antonio_00716</v>
      </c>
      <c r="L590" s="104" t="s">
        <v>22253</v>
      </c>
      <c r="M590" s="103" t="str">
        <f t="shared" si="48"/>
        <v>http://oconnordata.com/mlink/modules/profile/index.cfm?action=profile&amp;prop_id=716</v>
      </c>
      <c r="N590" s="1" t="str">
        <f t="shared" si="49"/>
        <v>00716</v>
      </c>
    </row>
    <row r="591" spans="1:14" x14ac:dyDescent="0.3">
      <c r="A591" s="1">
        <v>717</v>
      </c>
      <c r="B591" s="7" t="s">
        <v>923</v>
      </c>
      <c r="C591" s="12">
        <v>8228</v>
      </c>
      <c r="D591" s="7" t="s">
        <v>924</v>
      </c>
      <c r="E591" s="13" t="s">
        <v>842</v>
      </c>
      <c r="F591" t="str">
        <f t="shared" si="45"/>
        <v>Bronco</v>
      </c>
      <c r="G591" t="str">
        <f t="shared" si="46"/>
        <v>Bronco8228San Antonio</v>
      </c>
      <c r="H591" t="s">
        <v>31449</v>
      </c>
      <c r="I591" t="s">
        <v>22882</v>
      </c>
      <c r="J591" t="str">
        <f t="shared" si="47"/>
        <v>E:\PropInv\MF</v>
      </c>
      <c r="K591" s="103" t="str">
        <f>HYPERLINK("E:\PropInv\MF\San Antonio\Bronco Dr_8228_Bronco_San Antonio_00717","Bronco Dr_8228_Bronco_San Antonio_00717" )</f>
        <v>Bronco Dr_8228_Bronco_San Antonio_00717</v>
      </c>
      <c r="L591" s="104" t="s">
        <v>22253</v>
      </c>
      <c r="M591" s="103" t="str">
        <f t="shared" si="48"/>
        <v>http://oconnordata.com/mlink/modules/profile/index.cfm?action=profile&amp;prop_id=717</v>
      </c>
      <c r="N591" s="1" t="str">
        <f t="shared" si="49"/>
        <v>00717</v>
      </c>
    </row>
    <row r="592" spans="1:14" x14ac:dyDescent="0.3">
      <c r="A592" s="1">
        <v>718</v>
      </c>
      <c r="B592" s="7" t="s">
        <v>925</v>
      </c>
      <c r="C592" s="12">
        <v>7577</v>
      </c>
      <c r="D592" s="7" t="s">
        <v>926</v>
      </c>
      <c r="E592" s="13" t="s">
        <v>842</v>
      </c>
      <c r="F592" t="str">
        <f t="shared" si="45"/>
        <v>Old</v>
      </c>
      <c r="G592" t="str">
        <f t="shared" si="46"/>
        <v>Old7577San Antonio</v>
      </c>
      <c r="H592" t="s">
        <v>31450</v>
      </c>
      <c r="I592" t="s">
        <v>22883</v>
      </c>
      <c r="J592" t="str">
        <f t="shared" si="47"/>
        <v>E:\PropInv\MF</v>
      </c>
      <c r="K592" s="103" t="str">
        <f>HYPERLINK("E:\PropInv\MF\San Antonio\Old Corpus Christi Hwy_7577_Brooksfield_San Antonio_00718","Old Corpus Christi Hwy_7577_Brooksfield_San Antonio_00718" )</f>
        <v>Old Corpus Christi Hwy_7577_Brooksfield_San Antonio_00718</v>
      </c>
      <c r="L592" s="104" t="s">
        <v>22253</v>
      </c>
      <c r="M592" s="103" t="str">
        <f t="shared" si="48"/>
        <v>http://oconnordata.com/mlink/modules/profile/index.cfm?action=profile&amp;prop_id=718</v>
      </c>
      <c r="N592" s="1" t="str">
        <f t="shared" si="49"/>
        <v>00718</v>
      </c>
    </row>
    <row r="593" spans="1:14" x14ac:dyDescent="0.3">
      <c r="A593" s="1">
        <v>719</v>
      </c>
      <c r="B593" s="7" t="s">
        <v>915</v>
      </c>
      <c r="C593" s="12">
        <v>14438</v>
      </c>
      <c r="D593" s="7" t="s">
        <v>927</v>
      </c>
      <c r="E593" s="13" t="s">
        <v>842</v>
      </c>
      <c r="F593" t="str">
        <f t="shared" si="45"/>
        <v>Jones</v>
      </c>
      <c r="G593" t="str">
        <f t="shared" si="46"/>
        <v>Jones14438San Antonio</v>
      </c>
      <c r="H593" t="s">
        <v>31451</v>
      </c>
      <c r="I593" t="s">
        <v>22884</v>
      </c>
      <c r="J593" t="str">
        <f t="shared" si="47"/>
        <v>E:\PropInv\MF</v>
      </c>
      <c r="K593" s="103" t="str">
        <f>HYPERLINK("E:\PropInv\MF\San Antonio\Jones Maltsberger_14438_Burning Tree_San Antonio_00719","Jones Maltsberger_14438_Burning Tree_San Antonio_00719" )</f>
        <v>Jones Maltsberger_14438_Burning Tree_San Antonio_00719</v>
      </c>
      <c r="L593" s="104" t="s">
        <v>22253</v>
      </c>
      <c r="M593" s="103" t="str">
        <f t="shared" si="48"/>
        <v>http://oconnordata.com/mlink/modules/profile/index.cfm?action=profile&amp;prop_id=719</v>
      </c>
      <c r="N593" s="1" t="str">
        <f t="shared" si="49"/>
        <v>00719</v>
      </c>
    </row>
    <row r="594" spans="1:14" x14ac:dyDescent="0.3">
      <c r="A594" s="1">
        <v>720</v>
      </c>
      <c r="B594" s="7" t="s">
        <v>928</v>
      </c>
      <c r="C594" s="12">
        <v>3631</v>
      </c>
      <c r="D594" s="7" t="s">
        <v>929</v>
      </c>
      <c r="E594" s="13" t="s">
        <v>842</v>
      </c>
      <c r="F594" t="str">
        <f t="shared" si="45"/>
        <v>Callaghan</v>
      </c>
      <c r="G594" t="str">
        <f t="shared" si="46"/>
        <v>Callaghan3631San Antonio</v>
      </c>
      <c r="H594" t="s">
        <v>31452</v>
      </c>
      <c r="I594" t="s">
        <v>22885</v>
      </c>
      <c r="J594" t="str">
        <f t="shared" si="47"/>
        <v>E:\PropInv\MF</v>
      </c>
      <c r="K594" s="103" t="str">
        <f>HYPERLINK("E:\PropInv\MF\San Antonio\Callaghan Rd_3631_Callaghan Crossing_San Antonio_00720","Callaghan Rd_3631_Callaghan Crossing_San Antonio_00720" )</f>
        <v>Callaghan Rd_3631_Callaghan Crossing_San Antonio_00720</v>
      </c>
      <c r="L594" s="104" t="s">
        <v>22253</v>
      </c>
      <c r="M594" s="103" t="str">
        <f t="shared" si="48"/>
        <v>http://oconnordata.com/mlink/modules/profile/index.cfm?action=profile&amp;prop_id=720</v>
      </c>
      <c r="N594" s="1" t="str">
        <f t="shared" si="49"/>
        <v>00720</v>
      </c>
    </row>
    <row r="595" spans="1:14" x14ac:dyDescent="0.3">
      <c r="A595" s="1">
        <v>721</v>
      </c>
      <c r="B595" s="7" t="s">
        <v>930</v>
      </c>
      <c r="C595" s="12">
        <v>5900</v>
      </c>
      <c r="D595" s="7" t="s">
        <v>931</v>
      </c>
      <c r="E595" s="13" t="s">
        <v>842</v>
      </c>
      <c r="F595" t="str">
        <f t="shared" si="45"/>
        <v>Wurzbach</v>
      </c>
      <c r="G595" t="str">
        <f t="shared" si="46"/>
        <v>Wurzbach5900San Antonio</v>
      </c>
      <c r="H595" t="s">
        <v>31453</v>
      </c>
      <c r="I595" t="s">
        <v>22886</v>
      </c>
      <c r="J595" t="str">
        <f t="shared" si="47"/>
        <v>E:\PropInv\MF</v>
      </c>
      <c r="K595" s="103" t="str">
        <f>HYPERLINK("E:\PropInv\MF\San Antonio\Wurzbach Rd_5900_The Calypso_San Antonio_00721","Wurzbach Rd_5900_The Calypso_San Antonio_00721" )</f>
        <v>Wurzbach Rd_5900_The Calypso_San Antonio_00721</v>
      </c>
      <c r="L595" s="104" t="s">
        <v>22253</v>
      </c>
      <c r="M595" s="103" t="str">
        <f t="shared" si="48"/>
        <v>http://oconnordata.com/mlink/modules/profile/index.cfm?action=profile&amp;prop_id=721</v>
      </c>
      <c r="N595" s="1" t="str">
        <f t="shared" si="49"/>
        <v>00721</v>
      </c>
    </row>
    <row r="596" spans="1:14" x14ac:dyDescent="0.3">
      <c r="A596" s="1">
        <v>722</v>
      </c>
      <c r="B596" s="7" t="s">
        <v>865</v>
      </c>
      <c r="C596" s="12">
        <v>12222</v>
      </c>
      <c r="D596" s="7" t="s">
        <v>85</v>
      </c>
      <c r="E596" s="13" t="s">
        <v>842</v>
      </c>
      <c r="F596" t="str">
        <f t="shared" si="45"/>
        <v>Blanco</v>
      </c>
      <c r="G596" t="str">
        <f t="shared" si="46"/>
        <v>Blanco12222San Antonio</v>
      </c>
      <c r="H596" t="s">
        <v>31454</v>
      </c>
      <c r="I596" t="s">
        <v>22887</v>
      </c>
      <c r="J596" t="str">
        <f t="shared" si="47"/>
        <v>E:\PropInv\MF</v>
      </c>
      <c r="K596" s="103" t="str">
        <f>HYPERLINK("E:\PropInv\MF\San Antonio\Blanco Rd_12222_Camino Real_San Antonio_00722","Blanco Rd_12222_Camino Real_San Antonio_00722" )</f>
        <v>Blanco Rd_12222_Camino Real_San Antonio_00722</v>
      </c>
      <c r="L596" s="104" t="s">
        <v>22253</v>
      </c>
      <c r="M596" s="103" t="str">
        <f t="shared" si="48"/>
        <v>http://oconnordata.com/mlink/modules/profile/index.cfm?action=profile&amp;prop_id=722</v>
      </c>
      <c r="N596" s="1" t="str">
        <f t="shared" si="49"/>
        <v>00722</v>
      </c>
    </row>
    <row r="597" spans="1:14" x14ac:dyDescent="0.3">
      <c r="A597" s="1">
        <v>723</v>
      </c>
      <c r="B597" s="7" t="s">
        <v>932</v>
      </c>
      <c r="C597" s="12">
        <v>14500</v>
      </c>
      <c r="D597" s="7" t="s">
        <v>933</v>
      </c>
      <c r="E597" s="13" t="s">
        <v>842</v>
      </c>
      <c r="F597" t="str">
        <f t="shared" si="45"/>
        <v>Roadrunner</v>
      </c>
      <c r="G597" t="str">
        <f t="shared" si="46"/>
        <v>Roadrunner14500San Antonio</v>
      </c>
      <c r="H597" t="s">
        <v>31455</v>
      </c>
      <c r="I597" t="s">
        <v>22888</v>
      </c>
      <c r="J597" t="str">
        <f t="shared" si="47"/>
        <v>E:\PropInv\MF</v>
      </c>
      <c r="K597" s="103" t="str">
        <f>HYPERLINK("E:\PropInv\MF\San Antonio\Roadrunner Way_14500_Campus Side_San Antonio_00723","Roadrunner Way_14500_Campus Side_San Antonio_00723" )</f>
        <v>Roadrunner Way_14500_Campus Side_San Antonio_00723</v>
      </c>
      <c r="L597" s="104" t="s">
        <v>22253</v>
      </c>
      <c r="M597" s="103" t="str">
        <f t="shared" si="48"/>
        <v>http://oconnordata.com/mlink/modules/profile/index.cfm?action=profile&amp;prop_id=723</v>
      </c>
      <c r="N597" s="1" t="str">
        <f t="shared" si="49"/>
        <v>00723</v>
      </c>
    </row>
    <row r="598" spans="1:14" x14ac:dyDescent="0.3">
      <c r="A598" s="1">
        <v>724</v>
      </c>
      <c r="B598" s="7" t="s">
        <v>934</v>
      </c>
      <c r="C598" s="12">
        <v>4747</v>
      </c>
      <c r="D598" s="7" t="s">
        <v>935</v>
      </c>
      <c r="E598" s="13" t="s">
        <v>842</v>
      </c>
      <c r="F598" t="str">
        <f t="shared" si="45"/>
        <v>Rigsby</v>
      </c>
      <c r="G598" t="str">
        <f t="shared" si="46"/>
        <v>Rigsby4747San Antonio</v>
      </c>
      <c r="H598" t="s">
        <v>31456</v>
      </c>
      <c r="I598" t="s">
        <v>22889</v>
      </c>
      <c r="J598" t="str">
        <f t="shared" si="47"/>
        <v>E:\PropInv\MF</v>
      </c>
      <c r="K598" s="103" t="str">
        <f>HYPERLINK("E:\PropInv\MF\San Antonio\Rigsby Ave_4747_Candlestick_San Antonio_00724","Rigsby Ave_4747_Candlestick_San Antonio_00724" )</f>
        <v>Rigsby Ave_4747_Candlestick_San Antonio_00724</v>
      </c>
      <c r="L598" s="104" t="s">
        <v>22253</v>
      </c>
      <c r="M598" s="103" t="str">
        <f t="shared" si="48"/>
        <v>http://oconnordata.com/mlink/modules/profile/index.cfm?action=profile&amp;prop_id=724</v>
      </c>
      <c r="N598" s="1" t="str">
        <f t="shared" si="49"/>
        <v>00724</v>
      </c>
    </row>
    <row r="599" spans="1:14" x14ac:dyDescent="0.3">
      <c r="A599" s="1">
        <v>725</v>
      </c>
      <c r="B599" s="21" t="s">
        <v>235</v>
      </c>
      <c r="C599" s="12">
        <v>3536</v>
      </c>
      <c r="D599" s="7" t="s">
        <v>936</v>
      </c>
      <c r="E599" s="13" t="s">
        <v>842</v>
      </c>
      <c r="F599" t="str">
        <f t="shared" si="45"/>
        <v>W</v>
      </c>
      <c r="G599" t="str">
        <f t="shared" si="46"/>
        <v>W3536San Antonio</v>
      </c>
      <c r="H599" t="s">
        <v>31457</v>
      </c>
      <c r="I599" t="s">
        <v>22890</v>
      </c>
      <c r="J599" t="str">
        <f t="shared" si="47"/>
        <v>E:\PropInv\MF</v>
      </c>
      <c r="K599" s="103" t="str">
        <f>HYPERLINK("E:\PropInv\MF\San Antonio\W Ave_3536_Canlen West_San Antonio_00725","W Ave_3536_Canlen West_San Antonio_00725" )</f>
        <v>W Ave_3536_Canlen West_San Antonio_00725</v>
      </c>
      <c r="L599" s="104" t="s">
        <v>22253</v>
      </c>
      <c r="M599" s="103" t="str">
        <f t="shared" si="48"/>
        <v>http://oconnordata.com/mlink/modules/profile/index.cfm?action=profile&amp;prop_id=725</v>
      </c>
      <c r="N599" s="1" t="str">
        <f t="shared" si="49"/>
        <v>00725</v>
      </c>
    </row>
    <row r="600" spans="1:14" x14ac:dyDescent="0.3">
      <c r="A600" s="1">
        <v>726</v>
      </c>
      <c r="B600" s="7" t="s">
        <v>928</v>
      </c>
      <c r="C600" s="12">
        <v>1100</v>
      </c>
      <c r="D600" s="7" t="s">
        <v>937</v>
      </c>
      <c r="E600" s="13" t="s">
        <v>842</v>
      </c>
      <c r="F600" t="str">
        <f t="shared" si="45"/>
        <v>Callaghan</v>
      </c>
      <c r="G600" t="str">
        <f t="shared" si="46"/>
        <v>Callaghan1100San Antonio</v>
      </c>
      <c r="H600" t="s">
        <v>31458</v>
      </c>
      <c r="I600" t="s">
        <v>22891</v>
      </c>
      <c r="J600" t="str">
        <f t="shared" si="47"/>
        <v>E:\PropInv\MF</v>
      </c>
      <c r="K600" s="103" t="str">
        <f>HYPERLINK("E:\PropInv\MF\San Antonio\Callaghan Rd_1100_Vista Meadows_San Antonio_00726","Callaghan Rd_1100_Vista Meadows_San Antonio_00726" )</f>
        <v>Callaghan Rd_1100_Vista Meadows_San Antonio_00726</v>
      </c>
      <c r="L600" s="104" t="s">
        <v>22253</v>
      </c>
      <c r="M600" s="103" t="str">
        <f t="shared" si="48"/>
        <v>http://oconnordata.com/mlink/modules/profile/index.cfm?action=profile&amp;prop_id=726</v>
      </c>
      <c r="N600" s="1" t="str">
        <f t="shared" si="49"/>
        <v>00726</v>
      </c>
    </row>
    <row r="601" spans="1:14" x14ac:dyDescent="0.3">
      <c r="A601" s="1">
        <v>727</v>
      </c>
      <c r="B601" s="7" t="s">
        <v>867</v>
      </c>
      <c r="C601" s="12">
        <v>16500</v>
      </c>
      <c r="D601" s="7" t="s">
        <v>86</v>
      </c>
      <c r="E601" s="13" t="s">
        <v>842</v>
      </c>
      <c r="F601" t="str">
        <f t="shared" si="45"/>
        <v>Henderson</v>
      </c>
      <c r="G601" t="str">
        <f t="shared" si="46"/>
        <v>Henderson16500San Antonio</v>
      </c>
      <c r="H601" t="s">
        <v>31459</v>
      </c>
      <c r="I601" t="s">
        <v>22892</v>
      </c>
      <c r="J601" t="str">
        <f t="shared" si="47"/>
        <v>E:\PropInv\MF</v>
      </c>
      <c r="K601" s="103" t="str">
        <f>HYPERLINK("E:\PropInv\MF\San Antonio\Henderson Pass_16500_Canyon Oaks_San Antonio_00727","Henderson Pass_16500_Canyon Oaks_San Antonio_00727" )</f>
        <v>Henderson Pass_16500_Canyon Oaks_San Antonio_00727</v>
      </c>
      <c r="L601" s="104" t="s">
        <v>22253</v>
      </c>
      <c r="M601" s="103" t="str">
        <f t="shared" si="48"/>
        <v>http://oconnordata.com/mlink/modules/profile/index.cfm?action=profile&amp;prop_id=727</v>
      </c>
      <c r="N601" s="1" t="str">
        <f t="shared" si="49"/>
        <v>00727</v>
      </c>
    </row>
    <row r="602" spans="1:14" x14ac:dyDescent="0.3">
      <c r="A602" s="1">
        <v>728</v>
      </c>
      <c r="B602" s="7" t="s">
        <v>867</v>
      </c>
      <c r="C602" s="12">
        <v>16550</v>
      </c>
      <c r="D602" s="7" t="s">
        <v>938</v>
      </c>
      <c r="E602" s="13" t="s">
        <v>842</v>
      </c>
      <c r="F602" t="str">
        <f t="shared" si="45"/>
        <v>Henderson</v>
      </c>
      <c r="G602" t="str">
        <f t="shared" si="46"/>
        <v>Henderson16550San Antonio</v>
      </c>
      <c r="H602" t="s">
        <v>31460</v>
      </c>
      <c r="I602" t="s">
        <v>22893</v>
      </c>
      <c r="J602" t="str">
        <f t="shared" si="47"/>
        <v>E:\PropInv\MF</v>
      </c>
      <c r="K602" s="103" t="str">
        <f>HYPERLINK("E:\PropInv\MF\San Antonio\Henderson Pass_16550_Canyon Point_San Antonio_00728","Henderson Pass_16550_Canyon Point_San Antonio_00728" )</f>
        <v>Henderson Pass_16550_Canyon Point_San Antonio_00728</v>
      </c>
      <c r="L602" s="104" t="s">
        <v>22253</v>
      </c>
      <c r="M602" s="103" t="str">
        <f t="shared" si="48"/>
        <v>http://oconnordata.com/mlink/modules/profile/index.cfm?action=profile&amp;prop_id=728</v>
      </c>
      <c r="N602" s="1" t="str">
        <f t="shared" si="49"/>
        <v>00728</v>
      </c>
    </row>
    <row r="603" spans="1:14" x14ac:dyDescent="0.3">
      <c r="A603" s="1">
        <v>729</v>
      </c>
      <c r="B603" s="7" t="s">
        <v>865</v>
      </c>
      <c r="C603" s="12">
        <v>13030</v>
      </c>
      <c r="D603" s="7" t="s">
        <v>939</v>
      </c>
      <c r="E603" s="13" t="s">
        <v>842</v>
      </c>
      <c r="F603" t="str">
        <f t="shared" si="45"/>
        <v>Blanco</v>
      </c>
      <c r="G603" t="str">
        <f t="shared" si="46"/>
        <v>Blanco13030San Antonio</v>
      </c>
      <c r="H603" t="s">
        <v>31461</v>
      </c>
      <c r="I603" t="s">
        <v>22894</v>
      </c>
      <c r="J603" t="str">
        <f t="shared" si="47"/>
        <v>E:\PropInv\MF</v>
      </c>
      <c r="K603" s="103" t="str">
        <f>HYPERLINK("E:\PropInv\MF\San Antonio\Blanco Rd_13030_Cape Cod_San Antonio_00729","Blanco Rd_13030_Cape Cod_San Antonio_00729" )</f>
        <v>Blanco Rd_13030_Cape Cod_San Antonio_00729</v>
      </c>
      <c r="L603" s="104" t="s">
        <v>22253</v>
      </c>
      <c r="M603" s="103" t="str">
        <f t="shared" si="48"/>
        <v>http://oconnordata.com/mlink/modules/profile/index.cfm?action=profile&amp;prop_id=729</v>
      </c>
      <c r="N603" s="1" t="str">
        <f t="shared" si="49"/>
        <v>00729</v>
      </c>
    </row>
    <row r="604" spans="1:14" x14ac:dyDescent="0.3">
      <c r="A604" s="1">
        <v>730</v>
      </c>
      <c r="B604" s="7" t="s">
        <v>940</v>
      </c>
      <c r="C604" s="12">
        <v>7543</v>
      </c>
      <c r="D604" s="7" t="s">
        <v>941</v>
      </c>
      <c r="E604" s="13" t="s">
        <v>842</v>
      </c>
      <c r="F604" t="str">
        <f t="shared" si="45"/>
        <v>Sea</v>
      </c>
      <c r="G604" t="str">
        <f t="shared" si="46"/>
        <v>Sea7543San Antonio</v>
      </c>
      <c r="H604" t="s">
        <v>31462</v>
      </c>
      <c r="I604" t="s">
        <v>22895</v>
      </c>
      <c r="J604" t="str">
        <f t="shared" si="47"/>
        <v>E:\PropInv\MF</v>
      </c>
      <c r="K604" s="103" t="str">
        <f>HYPERLINK("E:\PropInv\MF\San Antonio\Sea Ln S_7543_Willow Run_San Antonio_00730","Sea Ln S_7543_Willow Run_San Antonio_00730" )</f>
        <v>Sea Ln S_7543_Willow Run_San Antonio_00730</v>
      </c>
      <c r="L604" s="104" t="s">
        <v>22253</v>
      </c>
      <c r="M604" s="103" t="str">
        <f t="shared" si="48"/>
        <v>http://oconnordata.com/mlink/modules/profile/index.cfm?action=profile&amp;prop_id=730</v>
      </c>
      <c r="N604" s="1" t="str">
        <f t="shared" si="49"/>
        <v>00730</v>
      </c>
    </row>
    <row r="605" spans="1:14" x14ac:dyDescent="0.3">
      <c r="A605" s="1">
        <v>731</v>
      </c>
      <c r="B605" s="10" t="s">
        <v>942</v>
      </c>
      <c r="C605" s="9">
        <v>1751</v>
      </c>
      <c r="D605" s="10" t="s">
        <v>943</v>
      </c>
      <c r="E605" s="11" t="s">
        <v>842</v>
      </c>
      <c r="F605" t="str">
        <f t="shared" si="45"/>
        <v>Babcock</v>
      </c>
      <c r="G605" t="str">
        <f t="shared" si="46"/>
        <v>Babcock1751San Antonio</v>
      </c>
      <c r="H605" t="s">
        <v>31463</v>
      </c>
      <c r="I605" t="s">
        <v>22896</v>
      </c>
      <c r="J605" t="str">
        <f t="shared" si="47"/>
        <v>E:\PropInv\MF</v>
      </c>
      <c r="K605" s="103" t="str">
        <f>HYPERLINK("E:\PropInv\MF\San Antonio\Babcock Rd_1751_Carlyle Place_San Antonio_00731","Babcock Rd_1751_Carlyle Place_San Antonio_00731" )</f>
        <v>Babcock Rd_1751_Carlyle Place_San Antonio_00731</v>
      </c>
      <c r="L605" s="104" t="s">
        <v>22253</v>
      </c>
      <c r="M605" s="103" t="str">
        <f t="shared" si="48"/>
        <v>http://oconnordata.com/mlink/modules/profile/index.cfm?action=profile&amp;prop_id=731</v>
      </c>
      <c r="N605" s="1" t="str">
        <f t="shared" si="49"/>
        <v>00731</v>
      </c>
    </row>
    <row r="606" spans="1:14" x14ac:dyDescent="0.3">
      <c r="A606" s="1">
        <v>732</v>
      </c>
      <c r="B606" s="7" t="s">
        <v>900</v>
      </c>
      <c r="C606" s="12">
        <v>1440</v>
      </c>
      <c r="D606" s="7" t="s">
        <v>944</v>
      </c>
      <c r="E606" s="13" t="s">
        <v>842</v>
      </c>
      <c r="F606" t="str">
        <f t="shared" si="45"/>
        <v>Bitters</v>
      </c>
      <c r="G606" t="str">
        <f t="shared" si="46"/>
        <v>Bitters1440San Antonio</v>
      </c>
      <c r="H606" t="s">
        <v>31464</v>
      </c>
      <c r="I606" t="s">
        <v>22897</v>
      </c>
      <c r="J606" t="str">
        <f t="shared" si="47"/>
        <v>E:\PropInv\MF</v>
      </c>
      <c r="K606" s="103" t="str">
        <f>HYPERLINK("E:\PropInv\MF\San Antonio\Bitters Rd W_1440_Carmel at Deerfield_San Antonio_00732","Bitters Rd W_1440_Carmel at Deerfield_San Antonio_00732" )</f>
        <v>Bitters Rd W_1440_Carmel at Deerfield_San Antonio_00732</v>
      </c>
      <c r="L606" s="104" t="s">
        <v>22253</v>
      </c>
      <c r="M606" s="103" t="str">
        <f t="shared" si="48"/>
        <v>http://oconnordata.com/mlink/modules/profile/index.cfm?action=profile&amp;prop_id=732</v>
      </c>
      <c r="N606" s="1" t="str">
        <f t="shared" si="49"/>
        <v>00732</v>
      </c>
    </row>
    <row r="607" spans="1:14" x14ac:dyDescent="0.3">
      <c r="A607" s="1">
        <v>733</v>
      </c>
      <c r="B607" s="7" t="s">
        <v>865</v>
      </c>
      <c r="C607" s="12">
        <v>6014</v>
      </c>
      <c r="D607" s="7" t="s">
        <v>945</v>
      </c>
      <c r="E607" s="13" t="s">
        <v>842</v>
      </c>
      <c r="F607" t="str">
        <f t="shared" si="45"/>
        <v>Blanco</v>
      </c>
      <c r="G607" t="str">
        <f t="shared" si="46"/>
        <v>Blanco6014San Antonio</v>
      </c>
      <c r="H607" t="s">
        <v>31465</v>
      </c>
      <c r="I607" t="s">
        <v>22898</v>
      </c>
      <c r="J607" t="str">
        <f t="shared" si="47"/>
        <v>E:\PropInv\MF</v>
      </c>
      <c r="K607" s="103" t="str">
        <f>HYPERLINK("E:\PropInv\MF\San Antonio\Blanco Rd_6014_Castle Hills_San Antonio_00733","Blanco Rd_6014_Castle Hills_San Antonio_00733" )</f>
        <v>Blanco Rd_6014_Castle Hills_San Antonio_00733</v>
      </c>
      <c r="L607" s="104" t="s">
        <v>22253</v>
      </c>
      <c r="M607" s="103" t="str">
        <f t="shared" si="48"/>
        <v>http://oconnordata.com/mlink/modules/profile/index.cfm?action=profile&amp;prop_id=733</v>
      </c>
      <c r="N607" s="1" t="str">
        <f t="shared" si="49"/>
        <v>00733</v>
      </c>
    </row>
    <row r="608" spans="1:14" x14ac:dyDescent="0.3">
      <c r="A608" s="1">
        <v>734</v>
      </c>
      <c r="B608" s="7" t="s">
        <v>865</v>
      </c>
      <c r="C608" s="12">
        <v>5320</v>
      </c>
      <c r="D608" s="7" t="s">
        <v>946</v>
      </c>
      <c r="E608" s="13" t="s">
        <v>842</v>
      </c>
      <c r="F608" t="str">
        <f t="shared" si="45"/>
        <v>Blanco</v>
      </c>
      <c r="G608" t="str">
        <f t="shared" si="46"/>
        <v>Blanco5320San Antonio</v>
      </c>
      <c r="H608" t="s">
        <v>31466</v>
      </c>
      <c r="I608" t="s">
        <v>22899</v>
      </c>
      <c r="J608" t="str">
        <f t="shared" si="47"/>
        <v>E:\PropInv\MF</v>
      </c>
      <c r="K608" s="103" t="str">
        <f>HYPERLINK("E:\PropInv\MF\San Antonio\Blanco Rd_5320_Castle Point_San Antonio_00734","Blanco Rd_5320_Castle Point_San Antonio_00734" )</f>
        <v>Blanco Rd_5320_Castle Point_San Antonio_00734</v>
      </c>
      <c r="L608" s="104" t="s">
        <v>22253</v>
      </c>
      <c r="M608" s="103" t="str">
        <f t="shared" si="48"/>
        <v>http://oconnordata.com/mlink/modules/profile/index.cfm?action=profile&amp;prop_id=734</v>
      </c>
      <c r="N608" s="1" t="str">
        <f t="shared" si="49"/>
        <v>00734</v>
      </c>
    </row>
    <row r="609" spans="1:14" x14ac:dyDescent="0.3">
      <c r="A609" s="1">
        <v>735</v>
      </c>
      <c r="B609" s="19" t="s">
        <v>840</v>
      </c>
      <c r="C609" s="18">
        <v>1403</v>
      </c>
      <c r="D609" s="19" t="s">
        <v>947</v>
      </c>
      <c r="E609" s="20" t="s">
        <v>842</v>
      </c>
      <c r="F609" t="str">
        <f t="shared" si="45"/>
        <v>Jackson</v>
      </c>
      <c r="G609" t="str">
        <f t="shared" si="46"/>
        <v>Jackson1403San Antonio</v>
      </c>
      <c r="H609" t="s">
        <v>31467</v>
      </c>
      <c r="I609" t="s">
        <v>22900</v>
      </c>
      <c r="J609" t="str">
        <f t="shared" si="47"/>
        <v>E:\PropInv\MF</v>
      </c>
      <c r="K609" s="103" t="str">
        <f>HYPERLINK("E:\PropInv\MF\San Antonio\Jackson Keller_1403_Castle Terrace_San Antonio_00735","Jackson Keller_1403_Castle Terrace_San Antonio_00735" )</f>
        <v>Jackson Keller_1403_Castle Terrace_San Antonio_00735</v>
      </c>
      <c r="L609" s="104" t="s">
        <v>22253</v>
      </c>
      <c r="M609" s="103" t="str">
        <f t="shared" si="48"/>
        <v>http://oconnordata.com/mlink/modules/profile/index.cfm?action=profile&amp;prop_id=735</v>
      </c>
      <c r="N609" s="1" t="str">
        <f t="shared" si="49"/>
        <v>00735</v>
      </c>
    </row>
    <row r="610" spans="1:14" x14ac:dyDescent="0.3">
      <c r="A610" s="1">
        <v>736</v>
      </c>
      <c r="B610" s="7" t="s">
        <v>948</v>
      </c>
      <c r="C610" s="12">
        <v>8021</v>
      </c>
      <c r="D610" s="7" t="s">
        <v>949</v>
      </c>
      <c r="E610" s="13" t="s">
        <v>842</v>
      </c>
      <c r="F610" t="str">
        <f t="shared" si="45"/>
        <v>Military</v>
      </c>
      <c r="G610" t="str">
        <f t="shared" si="46"/>
        <v>Military8021San Antonio</v>
      </c>
      <c r="H610" t="s">
        <v>31468</v>
      </c>
      <c r="I610" t="s">
        <v>22901</v>
      </c>
      <c r="J610" t="str">
        <f t="shared" si="47"/>
        <v>E:\PropInv\MF</v>
      </c>
      <c r="K610" s="103" t="str">
        <f>HYPERLINK("E:\PropInv\MF\San Antonio\Military Dr W_8021_Castleridge_San Antonio_00736","Military Dr W_8021_Castleridge_San Antonio_00736" )</f>
        <v>Military Dr W_8021_Castleridge_San Antonio_00736</v>
      </c>
      <c r="L610" s="104" t="s">
        <v>22253</v>
      </c>
      <c r="M610" s="103" t="str">
        <f t="shared" si="48"/>
        <v>http://oconnordata.com/mlink/modules/profile/index.cfm?action=profile&amp;prop_id=736</v>
      </c>
      <c r="N610" s="1" t="str">
        <f t="shared" si="49"/>
        <v>00736</v>
      </c>
    </row>
    <row r="611" spans="1:14" x14ac:dyDescent="0.3">
      <c r="A611" s="1">
        <v>737</v>
      </c>
      <c r="B611" s="7" t="s">
        <v>950</v>
      </c>
      <c r="C611" s="12">
        <v>1200</v>
      </c>
      <c r="D611" s="7" t="s">
        <v>951</v>
      </c>
      <c r="E611" s="13" t="s">
        <v>842</v>
      </c>
      <c r="F611" t="str">
        <f t="shared" si="45"/>
        <v>Patricia</v>
      </c>
      <c r="G611" t="str">
        <f t="shared" si="46"/>
        <v>Patricia1200San Antonio</v>
      </c>
      <c r="H611" t="s">
        <v>31469</v>
      </c>
      <c r="I611" t="s">
        <v>22902</v>
      </c>
      <c r="J611" t="str">
        <f t="shared" si="47"/>
        <v>E:\PropInv\MF</v>
      </c>
      <c r="K611" s="103" t="str">
        <f>HYPERLINK("E:\PropInv\MF\San Antonio\Patricia Dr_1200_Churchill Park_San Antonio_00737","Patricia Dr_1200_Churchill Park_San Antonio_00737" )</f>
        <v>Patricia Dr_1200_Churchill Park_San Antonio_00737</v>
      </c>
      <c r="L611" s="104" t="s">
        <v>22253</v>
      </c>
      <c r="M611" s="103" t="str">
        <f t="shared" si="48"/>
        <v>http://oconnordata.com/mlink/modules/profile/index.cfm?action=profile&amp;prop_id=737</v>
      </c>
      <c r="N611" s="1" t="str">
        <f t="shared" si="49"/>
        <v>00737</v>
      </c>
    </row>
    <row r="612" spans="1:14" x14ac:dyDescent="0.3">
      <c r="A612" s="1">
        <v>738</v>
      </c>
      <c r="B612" s="7" t="s">
        <v>952</v>
      </c>
      <c r="C612" s="12">
        <v>7207</v>
      </c>
      <c r="D612" s="7" t="s">
        <v>953</v>
      </c>
      <c r="E612" s="13" t="s">
        <v>842</v>
      </c>
      <c r="F612" t="str">
        <f t="shared" si="45"/>
        <v>Snowden</v>
      </c>
      <c r="G612" t="str">
        <f t="shared" si="46"/>
        <v>Snowden7207San Antonio</v>
      </c>
      <c r="H612" t="s">
        <v>31470</v>
      </c>
      <c r="I612" t="s">
        <v>22903</v>
      </c>
      <c r="J612" t="str">
        <f t="shared" si="47"/>
        <v>E:\PropInv\MF</v>
      </c>
      <c r="K612" s="103" t="str">
        <f>HYPERLINK("E:\PropInv\MF\San Antonio\Snowden_7207_The Landmark at Medical Center_San Antonio_00738","Snowden_7207_The Landmark at Medical Center_San Antonio_00738" )</f>
        <v>Snowden_7207_The Landmark at Medical Center_San Antonio_00738</v>
      </c>
      <c r="L612" s="104" t="s">
        <v>22253</v>
      </c>
      <c r="M612" s="103" t="str">
        <f t="shared" si="48"/>
        <v>http://oconnordata.com/mlink/modules/profile/index.cfm?action=profile&amp;prop_id=738</v>
      </c>
      <c r="N612" s="1" t="str">
        <f t="shared" si="49"/>
        <v>00738</v>
      </c>
    </row>
    <row r="613" spans="1:14" x14ac:dyDescent="0.3">
      <c r="A613" s="1">
        <v>739</v>
      </c>
      <c r="B613" s="10" t="s">
        <v>954</v>
      </c>
      <c r="C613" s="9">
        <v>15801</v>
      </c>
      <c r="D613" s="10" t="s">
        <v>955</v>
      </c>
      <c r="E613" s="11" t="s">
        <v>842</v>
      </c>
      <c r="F613" t="str">
        <f t="shared" si="45"/>
        <v>Chase</v>
      </c>
      <c r="G613" t="str">
        <f t="shared" si="46"/>
        <v>Chase15801San Antonio</v>
      </c>
      <c r="H613" t="s">
        <v>31471</v>
      </c>
      <c r="I613" t="s">
        <v>22904</v>
      </c>
      <c r="J613" t="str">
        <f t="shared" si="47"/>
        <v>E:\PropInv\MF</v>
      </c>
      <c r="K613" s="103" t="str">
        <f>HYPERLINK("E:\PropInv\MF\San Antonio\Chase Hill Blvd_15801_Chase Hill_San Antonio_00739","Chase Hill Blvd_15801_Chase Hill_San Antonio_00739" )</f>
        <v>Chase Hill Blvd_15801_Chase Hill_San Antonio_00739</v>
      </c>
      <c r="L613" s="104" t="s">
        <v>22253</v>
      </c>
      <c r="M613" s="103" t="str">
        <f t="shared" si="48"/>
        <v>http://oconnordata.com/mlink/modules/profile/index.cfm?action=profile&amp;prop_id=739</v>
      </c>
      <c r="N613" s="1" t="str">
        <f t="shared" si="49"/>
        <v>00739</v>
      </c>
    </row>
    <row r="614" spans="1:14" x14ac:dyDescent="0.3">
      <c r="A614" s="1">
        <v>740</v>
      </c>
      <c r="B614" s="10" t="s">
        <v>855</v>
      </c>
      <c r="C614" s="9">
        <v>3737</v>
      </c>
      <c r="D614" s="10" t="s">
        <v>956</v>
      </c>
      <c r="E614" s="11" t="s">
        <v>842</v>
      </c>
      <c r="F614" t="str">
        <f t="shared" si="45"/>
        <v>Fredericksburg</v>
      </c>
      <c r="G614" t="str">
        <f t="shared" si="46"/>
        <v>Fredericksburg3737San Antonio</v>
      </c>
      <c r="H614" t="s">
        <v>31472</v>
      </c>
      <c r="I614" t="s">
        <v>22905</v>
      </c>
      <c r="J614" t="str">
        <f t="shared" si="47"/>
        <v>E:\PropInv\MF</v>
      </c>
      <c r="K614" s="103" t="str">
        <f>HYPERLINK("E:\PropInv\MF\San Antonio\Fredericksburg Rd_3737_Chateau Orleans_San Antonio_00740","Fredericksburg Rd_3737_Chateau Orleans_San Antonio_00740" )</f>
        <v>Fredericksburg Rd_3737_Chateau Orleans_San Antonio_00740</v>
      </c>
      <c r="L614" s="104" t="s">
        <v>22253</v>
      </c>
      <c r="M614" s="103" t="str">
        <f t="shared" si="48"/>
        <v>http://oconnordata.com/mlink/modules/profile/index.cfm?action=profile&amp;prop_id=740</v>
      </c>
      <c r="N614" s="1" t="str">
        <f t="shared" si="49"/>
        <v>00740</v>
      </c>
    </row>
    <row r="615" spans="1:14" x14ac:dyDescent="0.3">
      <c r="A615" s="1">
        <v>741</v>
      </c>
      <c r="B615" s="7" t="s">
        <v>957</v>
      </c>
      <c r="C615" s="12">
        <v>151</v>
      </c>
      <c r="D615" s="7" t="s">
        <v>958</v>
      </c>
      <c r="E615" s="13" t="s">
        <v>842</v>
      </c>
      <c r="F615" t="str">
        <f t="shared" si="45"/>
        <v>Treasure</v>
      </c>
      <c r="G615" t="str">
        <f t="shared" si="46"/>
        <v>Treasure151San Antonio</v>
      </c>
      <c r="H615" t="s">
        <v>31473</v>
      </c>
      <c r="I615" t="s">
        <v>22906</v>
      </c>
      <c r="J615" t="str">
        <f t="shared" si="47"/>
        <v>E:\PropInv\MF</v>
      </c>
      <c r="K615" s="103" t="str">
        <f>HYPERLINK("E:\PropInv\MF\San Antonio\Treasure Way_151_Chelsea_San Antonio_00741","Treasure Way_151_Chelsea_San Antonio_00741" )</f>
        <v>Treasure Way_151_Chelsea_San Antonio_00741</v>
      </c>
      <c r="L615" s="104" t="s">
        <v>22253</v>
      </c>
      <c r="M615" s="103" t="str">
        <f t="shared" si="48"/>
        <v>http://oconnordata.com/mlink/modules/profile/index.cfm?action=profile&amp;prop_id=741</v>
      </c>
      <c r="N615" s="1" t="str">
        <f t="shared" si="49"/>
        <v>00741</v>
      </c>
    </row>
    <row r="616" spans="1:14" x14ac:dyDescent="0.3">
      <c r="A616" s="1">
        <v>742</v>
      </c>
      <c r="B616" s="7" t="s">
        <v>887</v>
      </c>
      <c r="C616" s="12">
        <v>901</v>
      </c>
      <c r="D616" s="7" t="s">
        <v>959</v>
      </c>
      <c r="E616" s="13" t="s">
        <v>842</v>
      </c>
      <c r="F616" t="str">
        <f t="shared" si="45"/>
        <v>Silver</v>
      </c>
      <c r="G616" t="str">
        <f t="shared" si="46"/>
        <v>Silver901San Antonio</v>
      </c>
      <c r="H616" t="s">
        <v>31474</v>
      </c>
      <c r="I616" t="s">
        <v>22907</v>
      </c>
      <c r="J616" t="str">
        <f t="shared" si="47"/>
        <v>E:\PropInv\MF</v>
      </c>
      <c r="K616" s="103" t="str">
        <f>HYPERLINK("E:\PropInv\MF\San Antonio\Silver Sands W_901_Chestnut Park_San Antonio_00742","Silver Sands W_901_Chestnut Park_San Antonio_00742" )</f>
        <v>Silver Sands W_901_Chestnut Park_San Antonio_00742</v>
      </c>
      <c r="L616" s="104" t="s">
        <v>22253</v>
      </c>
      <c r="M616" s="103" t="str">
        <f t="shared" si="48"/>
        <v>http://oconnordata.com/mlink/modules/profile/index.cfm?action=profile&amp;prop_id=742</v>
      </c>
      <c r="N616" s="1" t="str">
        <f t="shared" si="49"/>
        <v>00742</v>
      </c>
    </row>
    <row r="617" spans="1:14" x14ac:dyDescent="0.3">
      <c r="A617" s="1">
        <v>743</v>
      </c>
      <c r="B617" s="7" t="s">
        <v>960</v>
      </c>
      <c r="C617" s="12">
        <v>1422</v>
      </c>
      <c r="D617" s="7" t="s">
        <v>110</v>
      </c>
      <c r="E617" s="13" t="s">
        <v>842</v>
      </c>
      <c r="F617" t="str">
        <f t="shared" si="45"/>
        <v>410</v>
      </c>
      <c r="G617" t="str">
        <f t="shared" si="46"/>
        <v>4101422San Antonio</v>
      </c>
      <c r="H617" t="s">
        <v>31475</v>
      </c>
      <c r="I617" t="s">
        <v>22908</v>
      </c>
      <c r="J617" t="str">
        <f t="shared" si="47"/>
        <v>E:\PropInv\MF</v>
      </c>
      <c r="K617" s="103" t="str">
        <f>HYPERLINK("E:\PropInv\MF\San Antonio\410 Loop NE_1422_Chevy Chase_San Antonio_00743","410 Loop NE_1422_Chevy Chase_San Antonio_00743" )</f>
        <v>410 Loop NE_1422_Chevy Chase_San Antonio_00743</v>
      </c>
      <c r="L617" s="104" t="s">
        <v>22253</v>
      </c>
      <c r="M617" s="103" t="str">
        <f t="shared" si="48"/>
        <v>http://oconnordata.com/mlink/modules/profile/index.cfm?action=profile&amp;prop_id=743</v>
      </c>
      <c r="N617" s="1" t="str">
        <f t="shared" si="49"/>
        <v>00743</v>
      </c>
    </row>
    <row r="618" spans="1:14" x14ac:dyDescent="0.3">
      <c r="A618" s="1">
        <v>744</v>
      </c>
      <c r="B618" s="7" t="s">
        <v>961</v>
      </c>
      <c r="C618" s="12">
        <v>1950</v>
      </c>
      <c r="D618" s="7" t="s">
        <v>962</v>
      </c>
      <c r="E618" s="13" t="s">
        <v>864</v>
      </c>
      <c r="F618" t="str">
        <f t="shared" si="45"/>
        <v>Universal</v>
      </c>
      <c r="G618" t="str">
        <f t="shared" si="46"/>
        <v>Universal1950Universal City</v>
      </c>
      <c r="H618" t="s">
        <v>31476</v>
      </c>
      <c r="I618" t="s">
        <v>22909</v>
      </c>
      <c r="J618" t="str">
        <f t="shared" si="47"/>
        <v>E:\PropInv\MF</v>
      </c>
      <c r="K618" s="103" t="str">
        <f>HYPERLINK("E:\PropInv\MF\Universal City\Universal City Blvd_1950_Cimarron City_Universal City_00744","Universal City Blvd_1950_Cimarron City_Universal City_00744" )</f>
        <v>Universal City Blvd_1950_Cimarron City_Universal City_00744</v>
      </c>
      <c r="L618" s="104" t="s">
        <v>22253</v>
      </c>
      <c r="M618" s="103" t="str">
        <f t="shared" si="48"/>
        <v>http://oconnordata.com/mlink/modules/profile/index.cfm?action=profile&amp;prop_id=744</v>
      </c>
      <c r="N618" s="1" t="str">
        <f t="shared" si="49"/>
        <v>00744</v>
      </c>
    </row>
    <row r="619" spans="1:14" x14ac:dyDescent="0.3">
      <c r="A619" s="1">
        <v>745</v>
      </c>
      <c r="B619" s="7" t="s">
        <v>963</v>
      </c>
      <c r="C619" s="12">
        <v>9109</v>
      </c>
      <c r="D619" s="7" t="s">
        <v>964</v>
      </c>
      <c r="E619" s="13" t="s">
        <v>842</v>
      </c>
      <c r="F619" t="str">
        <f t="shared" si="45"/>
        <v>Dartbrook</v>
      </c>
      <c r="G619" t="str">
        <f t="shared" si="46"/>
        <v>Dartbrook9109San Antonio</v>
      </c>
      <c r="H619" t="s">
        <v>31477</v>
      </c>
      <c r="I619" t="s">
        <v>22910</v>
      </c>
      <c r="J619" t="str">
        <f t="shared" si="47"/>
        <v>E:\PropInv\MF</v>
      </c>
      <c r="K619" s="103" t="str">
        <f>HYPERLINK("E:\PropInv\MF\San Antonio\Dartbrook_9109_Cinnamon Creek_San Antonio_00745","Dartbrook_9109_Cinnamon Creek_San Antonio_00745" )</f>
        <v>Dartbrook_9109_Cinnamon Creek_San Antonio_00745</v>
      </c>
      <c r="L619" s="104" t="s">
        <v>22253</v>
      </c>
      <c r="M619" s="103" t="str">
        <f t="shared" si="48"/>
        <v>http://oconnordata.com/mlink/modules/profile/index.cfm?action=profile&amp;prop_id=745</v>
      </c>
      <c r="N619" s="1" t="str">
        <f t="shared" si="49"/>
        <v>00745</v>
      </c>
    </row>
    <row r="620" spans="1:14" x14ac:dyDescent="0.3">
      <c r="A620" s="1">
        <v>746</v>
      </c>
      <c r="B620" s="7" t="s">
        <v>965</v>
      </c>
      <c r="C620" s="12">
        <v>1100</v>
      </c>
      <c r="D620" s="7" t="s">
        <v>966</v>
      </c>
      <c r="E620" s="13" t="s">
        <v>842</v>
      </c>
      <c r="F620" t="str">
        <f t="shared" si="45"/>
        <v>Frio</v>
      </c>
      <c r="G620" t="str">
        <f t="shared" si="46"/>
        <v>Frio1100San Antonio</v>
      </c>
      <c r="H620" t="s">
        <v>31478</v>
      </c>
      <c r="I620" t="s">
        <v>22911</v>
      </c>
      <c r="J620" t="str">
        <f t="shared" si="47"/>
        <v>E:\PropInv\MF</v>
      </c>
      <c r="K620" s="103" t="str">
        <f>HYPERLINK("E:\PropInv\MF\San Antonio\Frio St N_1100_City Gate_San Antonio_00746","Frio St N_1100_City Gate_San Antonio_00746" )</f>
        <v>Frio St N_1100_City Gate_San Antonio_00746</v>
      </c>
      <c r="L620" s="104" t="s">
        <v>22253</v>
      </c>
      <c r="M620" s="103" t="str">
        <f t="shared" si="48"/>
        <v>http://oconnordata.com/mlink/modules/profile/index.cfm?action=profile&amp;prop_id=746</v>
      </c>
      <c r="N620" s="1" t="str">
        <f t="shared" si="49"/>
        <v>00746</v>
      </c>
    </row>
    <row r="621" spans="1:14" x14ac:dyDescent="0.3">
      <c r="A621" s="1">
        <v>747</v>
      </c>
      <c r="B621" s="7" t="s">
        <v>967</v>
      </c>
      <c r="C621" s="12">
        <v>7914</v>
      </c>
      <c r="D621" s="7" t="s">
        <v>968</v>
      </c>
      <c r="E621" s="13" t="s">
        <v>842</v>
      </c>
      <c r="F621" t="str">
        <f t="shared" si="45"/>
        <v>Ray</v>
      </c>
      <c r="G621" t="str">
        <f t="shared" si="46"/>
        <v>Ray7914San Antonio</v>
      </c>
      <c r="H621" t="s">
        <v>31479</v>
      </c>
      <c r="I621" t="s">
        <v>22912</v>
      </c>
      <c r="J621" t="str">
        <f t="shared" si="47"/>
        <v>E:\PropInv\MF</v>
      </c>
      <c r="K621" s="103" t="str">
        <f>HYPERLINK("E:\PropInv\MF\San Antonio\Ray Bon_7914_Cobblestone Village_San Antonio_00747","Ray Bon_7914_Cobblestone Village_San Antonio_00747" )</f>
        <v>Ray Bon_7914_Cobblestone Village_San Antonio_00747</v>
      </c>
      <c r="L621" s="104" t="s">
        <v>22253</v>
      </c>
      <c r="M621" s="103" t="str">
        <f t="shared" si="48"/>
        <v>http://oconnordata.com/mlink/modules/profile/index.cfm?action=profile&amp;prop_id=747</v>
      </c>
      <c r="N621" s="1" t="str">
        <f t="shared" si="49"/>
        <v>00747</v>
      </c>
    </row>
    <row r="622" spans="1:14" x14ac:dyDescent="0.3">
      <c r="A622" s="1">
        <v>748</v>
      </c>
      <c r="B622" s="7" t="s">
        <v>879</v>
      </c>
      <c r="C622" s="12">
        <v>2650</v>
      </c>
      <c r="D622" s="7" t="s">
        <v>969</v>
      </c>
      <c r="E622" s="13" t="s">
        <v>842</v>
      </c>
      <c r="F622" t="str">
        <f t="shared" si="45"/>
        <v>Thousand</v>
      </c>
      <c r="G622" t="str">
        <f t="shared" si="46"/>
        <v>Thousand2650San Antonio</v>
      </c>
      <c r="H622" t="s">
        <v>31480</v>
      </c>
      <c r="I622" t="s">
        <v>22913</v>
      </c>
      <c r="J622" t="str">
        <f t="shared" si="47"/>
        <v>E:\PropInv\MF</v>
      </c>
      <c r="K622" s="103" t="str">
        <f>HYPERLINK("E:\PropInv\MF\San Antonio\Thousand Oaks Dr_2650_Connemara Estates_San Antonio_00748","Thousand Oaks Dr_2650_Connemara Estates_San Antonio_00748" )</f>
        <v>Thousand Oaks Dr_2650_Connemara Estates_San Antonio_00748</v>
      </c>
      <c r="L622" s="104" t="s">
        <v>22253</v>
      </c>
      <c r="M622" s="103" t="str">
        <f t="shared" si="48"/>
        <v>http://oconnordata.com/mlink/modules/profile/index.cfm?action=profile&amp;prop_id=748</v>
      </c>
      <c r="N622" s="1" t="str">
        <f t="shared" si="49"/>
        <v>00748</v>
      </c>
    </row>
    <row r="623" spans="1:14" x14ac:dyDescent="0.3">
      <c r="A623" s="1">
        <v>749</v>
      </c>
      <c r="B623" s="7" t="s">
        <v>970</v>
      </c>
      <c r="C623" s="12">
        <v>3102</v>
      </c>
      <c r="D623" s="7" t="s">
        <v>971</v>
      </c>
      <c r="E623" s="13" t="s">
        <v>842</v>
      </c>
      <c r="F623" t="str">
        <f t="shared" si="45"/>
        <v>Hillcrest</v>
      </c>
      <c r="G623" t="str">
        <f t="shared" si="46"/>
        <v>Hillcrest3102San Antonio</v>
      </c>
      <c r="H623" t="s">
        <v>31481</v>
      </c>
      <c r="I623" t="s">
        <v>22914</v>
      </c>
      <c r="J623" t="str">
        <f t="shared" si="47"/>
        <v>E:\PropInv\MF</v>
      </c>
      <c r="K623" s="103" t="str">
        <f>HYPERLINK("E:\PropInv\MF\San Antonio\Hillcrest Dr_3102_Continental_San Antonio_00749","Hillcrest Dr_3102_Continental_San Antonio_00749" )</f>
        <v>Hillcrest Dr_3102_Continental_San Antonio_00749</v>
      </c>
      <c r="L623" s="104" t="s">
        <v>22253</v>
      </c>
      <c r="M623" s="103" t="str">
        <f t="shared" si="48"/>
        <v>http://oconnordata.com/mlink/modules/profile/index.cfm?action=profile&amp;prop_id=749</v>
      </c>
      <c r="N623" s="1" t="str">
        <f t="shared" si="49"/>
        <v>00749</v>
      </c>
    </row>
    <row r="624" spans="1:14" x14ac:dyDescent="0.3">
      <c r="A624" s="1">
        <v>750</v>
      </c>
      <c r="B624" s="7" t="s">
        <v>972</v>
      </c>
      <c r="C624" s="12">
        <v>1441</v>
      </c>
      <c r="D624" s="7" t="s">
        <v>973</v>
      </c>
      <c r="E624" s="13" t="s">
        <v>842</v>
      </c>
      <c r="F624" t="str">
        <f t="shared" si="45"/>
        <v>Contour</v>
      </c>
      <c r="G624" t="str">
        <f t="shared" si="46"/>
        <v>Contour1441San Antonio</v>
      </c>
      <c r="H624" t="s">
        <v>31482</v>
      </c>
      <c r="I624" t="s">
        <v>22915</v>
      </c>
      <c r="J624" t="str">
        <f t="shared" si="47"/>
        <v>E:\PropInv\MF</v>
      </c>
      <c r="K624" s="103" t="str">
        <f>HYPERLINK("E:\PropInv\MF\San Antonio\Contour Dr W_1441_Contour Place_San Antonio_00750","Contour Dr W_1441_Contour Place_San Antonio_00750" )</f>
        <v>Contour Dr W_1441_Contour Place_San Antonio_00750</v>
      </c>
      <c r="L624" s="104" t="s">
        <v>22253</v>
      </c>
      <c r="M624" s="103" t="str">
        <f t="shared" si="48"/>
        <v>http://oconnordata.com/mlink/modules/profile/index.cfm?action=profile&amp;prop_id=750</v>
      </c>
      <c r="N624" s="1" t="str">
        <f t="shared" si="49"/>
        <v>00750</v>
      </c>
    </row>
    <row r="625" spans="1:14" x14ac:dyDescent="0.3">
      <c r="A625" s="1">
        <v>751</v>
      </c>
      <c r="B625" s="7" t="s">
        <v>974</v>
      </c>
      <c r="C625" s="12">
        <v>5827</v>
      </c>
      <c r="D625" s="7" t="s">
        <v>126</v>
      </c>
      <c r="E625" s="13" t="s">
        <v>842</v>
      </c>
      <c r="F625" t="str">
        <f t="shared" si="45"/>
        <v>410</v>
      </c>
      <c r="G625" t="str">
        <f t="shared" si="46"/>
        <v>4105827San Antonio</v>
      </c>
      <c r="H625" t="s">
        <v>31483</v>
      </c>
      <c r="I625" t="s">
        <v>22916</v>
      </c>
      <c r="J625" t="str">
        <f t="shared" si="47"/>
        <v>E:\PropInv\MF</v>
      </c>
      <c r="K625" s="103" t="str">
        <f>HYPERLINK("E:\PropInv\MF\San Antonio\410 Loop NW_5827_Copper Mill_San Antonio_00751","410 Loop NW_5827_Copper Mill_San Antonio_00751" )</f>
        <v>410 Loop NW_5827_Copper Mill_San Antonio_00751</v>
      </c>
      <c r="L625" s="104" t="s">
        <v>22253</v>
      </c>
      <c r="M625" s="103" t="str">
        <f t="shared" si="48"/>
        <v>http://oconnordata.com/mlink/modules/profile/index.cfm?action=profile&amp;prop_id=751</v>
      </c>
      <c r="N625" s="1" t="str">
        <f t="shared" si="49"/>
        <v>00751</v>
      </c>
    </row>
    <row r="626" spans="1:14" x14ac:dyDescent="0.3">
      <c r="A626" s="1">
        <v>752</v>
      </c>
      <c r="B626" s="7" t="s">
        <v>975</v>
      </c>
      <c r="C626" s="12">
        <v>11245</v>
      </c>
      <c r="D626" s="7" t="s">
        <v>976</v>
      </c>
      <c r="E626" s="13" t="s">
        <v>842</v>
      </c>
      <c r="F626" t="str">
        <f t="shared" si="45"/>
        <v>Sir</v>
      </c>
      <c r="G626" t="str">
        <f t="shared" si="46"/>
        <v>Sir11245San Antonio</v>
      </c>
      <c r="H626" t="s">
        <v>31484</v>
      </c>
      <c r="I626" t="s">
        <v>22917</v>
      </c>
      <c r="J626" t="str">
        <f t="shared" si="47"/>
        <v>E:\PropInv\MF</v>
      </c>
      <c r="K626" s="103" t="str">
        <f>HYPERLINK("E:\PropInv\MF\San Antonio\Sir Winston Dr_11245_Copperfield_San Antonio_00752","Sir Winston Dr_11245_Copperfield_San Antonio_00752" )</f>
        <v>Sir Winston Dr_11245_Copperfield_San Antonio_00752</v>
      </c>
      <c r="L626" s="104" t="s">
        <v>22253</v>
      </c>
      <c r="M626" s="103" t="str">
        <f t="shared" si="48"/>
        <v>http://oconnordata.com/mlink/modules/profile/index.cfm?action=profile&amp;prop_id=752</v>
      </c>
      <c r="N626" s="1" t="str">
        <f t="shared" si="49"/>
        <v>00752</v>
      </c>
    </row>
    <row r="627" spans="1:14" x14ac:dyDescent="0.3">
      <c r="A627" s="1">
        <v>753</v>
      </c>
      <c r="B627" s="7" t="s">
        <v>977</v>
      </c>
      <c r="C627" s="12">
        <v>8506</v>
      </c>
      <c r="D627" s="7" t="s">
        <v>978</v>
      </c>
      <c r="E627" s="13" t="s">
        <v>842</v>
      </c>
      <c r="F627" t="str">
        <f t="shared" si="45"/>
        <v>Wakefield</v>
      </c>
      <c r="G627" t="str">
        <f t="shared" si="46"/>
        <v>Wakefield8506San Antonio</v>
      </c>
      <c r="H627" t="s">
        <v>31485</v>
      </c>
      <c r="I627" t="s">
        <v>22918</v>
      </c>
      <c r="J627" t="str">
        <f t="shared" si="47"/>
        <v>E:\PropInv\MF</v>
      </c>
      <c r="K627" s="103" t="str">
        <f>HYPERLINK("E:\PropInv\MF\San Antonio\Wakefield Dr_8506_Coral Ridge_San Antonio_00753","Wakefield Dr_8506_Coral Ridge_San Antonio_00753" )</f>
        <v>Wakefield Dr_8506_Coral Ridge_San Antonio_00753</v>
      </c>
      <c r="L627" s="104" t="s">
        <v>22253</v>
      </c>
      <c r="M627" s="103" t="str">
        <f t="shared" si="48"/>
        <v>http://oconnordata.com/mlink/modules/profile/index.cfm?action=profile&amp;prop_id=753</v>
      </c>
      <c r="N627" s="1" t="str">
        <f t="shared" si="49"/>
        <v>00753</v>
      </c>
    </row>
    <row r="628" spans="1:14" x14ac:dyDescent="0.3">
      <c r="A628" s="1">
        <v>754</v>
      </c>
      <c r="B628" s="7" t="s">
        <v>979</v>
      </c>
      <c r="C628" s="12">
        <v>1002</v>
      </c>
      <c r="D628" s="7" t="s">
        <v>980</v>
      </c>
      <c r="E628" s="13" t="s">
        <v>842</v>
      </c>
      <c r="F628" t="str">
        <f t="shared" si="45"/>
        <v>Grosvenor</v>
      </c>
      <c r="G628" t="str">
        <f t="shared" si="46"/>
        <v>Grosvenor1002San Antonio</v>
      </c>
      <c r="H628" t="s">
        <v>31486</v>
      </c>
      <c r="I628" t="s">
        <v>22919</v>
      </c>
      <c r="J628" t="str">
        <f t="shared" si="47"/>
        <v>E:\PropInv\MF</v>
      </c>
      <c r="K628" s="103" t="str">
        <f>HYPERLINK("E:\PropInv\MF\San Antonio\Grosvenor Blvd_1002_Cornerstone_San Antonio_00754","Grosvenor Blvd_1002_Cornerstone_San Antonio_00754" )</f>
        <v>Grosvenor Blvd_1002_Cornerstone_San Antonio_00754</v>
      </c>
      <c r="L628" s="104" t="s">
        <v>22253</v>
      </c>
      <c r="M628" s="103" t="str">
        <f t="shared" si="48"/>
        <v>http://oconnordata.com/mlink/modules/profile/index.cfm?action=profile&amp;prop_id=754</v>
      </c>
      <c r="N628" s="1" t="str">
        <f t="shared" si="49"/>
        <v>00754</v>
      </c>
    </row>
    <row r="629" spans="1:14" x14ac:dyDescent="0.3">
      <c r="A629" s="1">
        <v>755</v>
      </c>
      <c r="B629" s="7" t="s">
        <v>981</v>
      </c>
      <c r="C629" s="12">
        <v>8502</v>
      </c>
      <c r="D629" s="7" t="s">
        <v>982</v>
      </c>
      <c r="E629" s="13" t="s">
        <v>842</v>
      </c>
      <c r="F629" t="str">
        <f t="shared" si="45"/>
        <v>Ahern</v>
      </c>
      <c r="G629" t="str">
        <f t="shared" si="46"/>
        <v>Ahern8502San Antonio</v>
      </c>
      <c r="H629" t="s">
        <v>31487</v>
      </c>
      <c r="I629" t="s">
        <v>22920</v>
      </c>
      <c r="J629" t="str">
        <f t="shared" si="47"/>
        <v>E:\PropInv\MF</v>
      </c>
      <c r="K629" s="103" t="str">
        <f>HYPERLINK("E:\PropInv\MF\San Antonio\Ahern Dr_8502_Cosmopolitan_San Antonio_00755","Ahern Dr_8502_Cosmopolitan_San Antonio_00755" )</f>
        <v>Ahern Dr_8502_Cosmopolitan_San Antonio_00755</v>
      </c>
      <c r="L629" s="104" t="s">
        <v>22253</v>
      </c>
      <c r="M629" s="103" t="str">
        <f t="shared" si="48"/>
        <v>http://oconnordata.com/mlink/modules/profile/index.cfm?action=profile&amp;prop_id=755</v>
      </c>
      <c r="N629" s="1" t="str">
        <f t="shared" si="49"/>
        <v>00755</v>
      </c>
    </row>
    <row r="630" spans="1:14" x14ac:dyDescent="0.3">
      <c r="A630" s="1">
        <v>756</v>
      </c>
      <c r="B630" s="7" t="s">
        <v>867</v>
      </c>
      <c r="C630" s="12">
        <v>16100</v>
      </c>
      <c r="D630" s="7" t="s">
        <v>983</v>
      </c>
      <c r="E630" s="13" t="s">
        <v>842</v>
      </c>
      <c r="F630" t="str">
        <f t="shared" si="45"/>
        <v>Henderson</v>
      </c>
      <c r="G630" t="str">
        <f t="shared" si="46"/>
        <v>Henderson16100San Antonio</v>
      </c>
      <c r="H630" t="s">
        <v>31488</v>
      </c>
      <c r="I630" t="s">
        <v>22921</v>
      </c>
      <c r="J630" t="str">
        <f t="shared" si="47"/>
        <v>E:\PropInv\MF</v>
      </c>
      <c r="K630" s="103" t="str">
        <f>HYPERLINK("E:\PropInv\MF\San Antonio\Henderson Pass_16100_Costa Del Sol_San Antonio_00756","Henderson Pass_16100_Costa Del Sol_San Antonio_00756" )</f>
        <v>Henderson Pass_16100_Costa Del Sol_San Antonio_00756</v>
      </c>
      <c r="L630" s="104" t="s">
        <v>22253</v>
      </c>
      <c r="M630" s="103" t="str">
        <f t="shared" si="48"/>
        <v>http://oconnordata.com/mlink/modules/profile/index.cfm?action=profile&amp;prop_id=756</v>
      </c>
      <c r="N630" s="1" t="str">
        <f t="shared" si="49"/>
        <v>00756</v>
      </c>
    </row>
    <row r="631" spans="1:14" x14ac:dyDescent="0.3">
      <c r="A631" s="1">
        <v>757</v>
      </c>
      <c r="B631" s="7" t="s">
        <v>984</v>
      </c>
      <c r="C631" s="12">
        <v>1048</v>
      </c>
      <c r="D631" s="7" t="s">
        <v>985</v>
      </c>
      <c r="E631" s="13" t="s">
        <v>986</v>
      </c>
      <c r="F631" t="str">
        <f t="shared" si="45"/>
        <v>Country</v>
      </c>
      <c r="G631" t="str">
        <f t="shared" si="46"/>
        <v>Country1048Seguin</v>
      </c>
      <c r="H631" t="s">
        <v>31489</v>
      </c>
      <c r="I631" t="s">
        <v>22922</v>
      </c>
      <c r="J631" t="str">
        <f t="shared" si="47"/>
        <v>E:\PropInv\MF</v>
      </c>
      <c r="K631" s="103" t="str">
        <f>HYPERLINK("E:\PropInv\MF\Seguin\Country Club Dr_1048_Fairway Manor_Seguin_00757","Country Club Dr_1048_Fairway Manor_Seguin_00757" )</f>
        <v>Country Club Dr_1048_Fairway Manor_Seguin_00757</v>
      </c>
      <c r="L631" s="104" t="s">
        <v>22253</v>
      </c>
      <c r="M631" s="103" t="str">
        <f t="shared" si="48"/>
        <v>http://oconnordata.com/mlink/modules/profile/index.cfm?action=profile&amp;prop_id=757</v>
      </c>
      <c r="N631" s="1" t="str">
        <f t="shared" si="49"/>
        <v>00757</v>
      </c>
    </row>
    <row r="632" spans="1:14" x14ac:dyDescent="0.3">
      <c r="A632" s="1">
        <v>758</v>
      </c>
      <c r="B632" s="7" t="s">
        <v>987</v>
      </c>
      <c r="C632" s="12">
        <v>2644</v>
      </c>
      <c r="D632" s="7" t="s">
        <v>677</v>
      </c>
      <c r="E632" s="13" t="s">
        <v>842</v>
      </c>
      <c r="F632" t="str">
        <f t="shared" si="45"/>
        <v>Ackerman</v>
      </c>
      <c r="G632" t="str">
        <f t="shared" si="46"/>
        <v>Ackerman2644San Antonio</v>
      </c>
      <c r="H632" t="s">
        <v>31490</v>
      </c>
      <c r="I632" t="s">
        <v>22923</v>
      </c>
      <c r="J632" t="str">
        <f t="shared" si="47"/>
        <v>E:\PropInv\MF</v>
      </c>
      <c r="K632" s="103" t="str">
        <f>HYPERLINK("E:\PropInv\MF\San Antonio\Ackerman Rd_2644_Country Oaks_San Antonio_00758","Ackerman Rd_2644_Country Oaks_San Antonio_00758" )</f>
        <v>Ackerman Rd_2644_Country Oaks_San Antonio_00758</v>
      </c>
      <c r="L632" s="104" t="s">
        <v>22253</v>
      </c>
      <c r="M632" s="103" t="str">
        <f t="shared" si="48"/>
        <v>http://oconnordata.com/mlink/modules/profile/index.cfm?action=profile&amp;prop_id=758</v>
      </c>
      <c r="N632" s="1" t="str">
        <f t="shared" si="49"/>
        <v>00758</v>
      </c>
    </row>
    <row r="633" spans="1:14" x14ac:dyDescent="0.3">
      <c r="A633" s="1">
        <v>759</v>
      </c>
      <c r="B633" s="7" t="s">
        <v>988</v>
      </c>
      <c r="C633" s="12">
        <v>1</v>
      </c>
      <c r="D633" s="7" t="s">
        <v>989</v>
      </c>
      <c r="E633" s="13" t="s">
        <v>990</v>
      </c>
      <c r="F633" t="str">
        <f t="shared" si="45"/>
        <v>Doeskin</v>
      </c>
      <c r="G633" t="str">
        <f t="shared" si="46"/>
        <v>Doeskin1Boerne</v>
      </c>
      <c r="H633" t="s">
        <v>31491</v>
      </c>
      <c r="I633" t="s">
        <v>22924</v>
      </c>
      <c r="J633" t="str">
        <f t="shared" si="47"/>
        <v>E:\PropInv\MF</v>
      </c>
      <c r="K633" s="103" t="str">
        <f>HYPERLINK("E:\PropInv\MF\Boerne\Doeskin Dr_1_Country View_Boerne_00759","Doeskin Dr_1_Country View_Boerne_00759" )</f>
        <v>Doeskin Dr_1_Country View_Boerne_00759</v>
      </c>
      <c r="L633" s="104" t="s">
        <v>22253</v>
      </c>
      <c r="M633" s="103" t="str">
        <f t="shared" si="48"/>
        <v>http://oconnordata.com/mlink/modules/profile/index.cfm?action=profile&amp;prop_id=759</v>
      </c>
      <c r="N633" s="1" t="str">
        <f t="shared" si="49"/>
        <v>00759</v>
      </c>
    </row>
    <row r="634" spans="1:14" x14ac:dyDescent="0.3">
      <c r="A634" s="1">
        <v>760</v>
      </c>
      <c r="B634" s="7" t="s">
        <v>855</v>
      </c>
      <c r="C634" s="12">
        <v>8727</v>
      </c>
      <c r="D634" s="7" t="s">
        <v>989</v>
      </c>
      <c r="E634" s="13" t="s">
        <v>842</v>
      </c>
      <c r="F634" t="str">
        <f t="shared" si="45"/>
        <v>Fredericksburg</v>
      </c>
      <c r="G634" t="str">
        <f t="shared" si="46"/>
        <v>Fredericksburg8727San Antonio</v>
      </c>
      <c r="H634" t="s">
        <v>31492</v>
      </c>
      <c r="I634" t="s">
        <v>22925</v>
      </c>
      <c r="J634" t="str">
        <f t="shared" si="47"/>
        <v>E:\PropInv\MF</v>
      </c>
      <c r="K634" s="103" t="str">
        <f>HYPERLINK("E:\PropInv\MF\San Antonio\Fredericksburg Rd_8727_Country View_San Antonio_00760","Fredericksburg Rd_8727_Country View_San Antonio_00760" )</f>
        <v>Fredericksburg Rd_8727_Country View_San Antonio_00760</v>
      </c>
      <c r="L634" s="104" t="s">
        <v>22253</v>
      </c>
      <c r="M634" s="103" t="str">
        <f t="shared" si="48"/>
        <v>http://oconnordata.com/mlink/modules/profile/index.cfm?action=profile&amp;prop_id=760</v>
      </c>
      <c r="N634" s="1" t="str">
        <f t="shared" si="49"/>
        <v>00760</v>
      </c>
    </row>
    <row r="635" spans="1:14" x14ac:dyDescent="0.3">
      <c r="A635" s="1">
        <v>761</v>
      </c>
      <c r="B635" s="7" t="s">
        <v>991</v>
      </c>
      <c r="C635" s="12">
        <v>950</v>
      </c>
      <c r="D635" s="7" t="s">
        <v>992</v>
      </c>
      <c r="E635" s="13" t="s">
        <v>842</v>
      </c>
      <c r="F635" t="str">
        <f t="shared" si="45"/>
        <v>Bitters</v>
      </c>
      <c r="G635" t="str">
        <f t="shared" si="46"/>
        <v>Bitters950San Antonio</v>
      </c>
      <c r="H635" t="s">
        <v>31493</v>
      </c>
      <c r="I635" t="s">
        <v>22926</v>
      </c>
      <c r="J635" t="str">
        <f t="shared" si="47"/>
        <v>E:\PropInv\MF</v>
      </c>
      <c r="K635" s="103" t="str">
        <f>HYPERLINK("E:\PropInv\MF\San Antonio\Bitters Rd E_950_Countryside_San Antonio_00761","Bitters Rd E_950_Countryside_San Antonio_00761" )</f>
        <v>Bitters Rd E_950_Countryside_San Antonio_00761</v>
      </c>
      <c r="L635" s="104" t="s">
        <v>22253</v>
      </c>
      <c r="M635" s="103" t="str">
        <f t="shared" si="48"/>
        <v>http://oconnordata.com/mlink/modules/profile/index.cfm?action=profile&amp;prop_id=761</v>
      </c>
      <c r="N635" s="1" t="str">
        <f t="shared" si="49"/>
        <v>00761</v>
      </c>
    </row>
    <row r="636" spans="1:14" x14ac:dyDescent="0.3">
      <c r="A636" s="1">
        <v>762</v>
      </c>
      <c r="B636" s="7" t="s">
        <v>993</v>
      </c>
      <c r="C636" s="12">
        <v>5940</v>
      </c>
      <c r="D636" s="7" t="s">
        <v>994</v>
      </c>
      <c r="E636" s="13" t="s">
        <v>842</v>
      </c>
      <c r="F636" t="str">
        <f t="shared" si="45"/>
        <v>Danny</v>
      </c>
      <c r="G636" t="str">
        <f t="shared" si="46"/>
        <v>Danny5940San Antonio</v>
      </c>
      <c r="H636" t="s">
        <v>31494</v>
      </c>
      <c r="I636" t="s">
        <v>22927</v>
      </c>
      <c r="J636" t="str">
        <f t="shared" si="47"/>
        <v>E:\PropInv\MF</v>
      </c>
      <c r="K636" s="103" t="str">
        <f>HYPERLINK("E:\PropInv\MF\San Antonio\Danny Kaye_5940_Courtland Heights_San Antonio_00762","Danny Kaye_5940_Courtland Heights_San Antonio_00762" )</f>
        <v>Danny Kaye_5940_Courtland Heights_San Antonio_00762</v>
      </c>
      <c r="L636" s="104" t="s">
        <v>22253</v>
      </c>
      <c r="M636" s="103" t="str">
        <f t="shared" si="48"/>
        <v>http://oconnordata.com/mlink/modules/profile/index.cfm?action=profile&amp;prop_id=762</v>
      </c>
      <c r="N636" s="1" t="str">
        <f t="shared" si="49"/>
        <v>00762</v>
      </c>
    </row>
    <row r="637" spans="1:14" x14ac:dyDescent="0.3">
      <c r="A637" s="1">
        <v>763</v>
      </c>
      <c r="B637" s="7" t="s">
        <v>995</v>
      </c>
      <c r="C637" s="12">
        <v>539</v>
      </c>
      <c r="D637" s="7" t="s">
        <v>996</v>
      </c>
      <c r="E637" s="13" t="s">
        <v>842</v>
      </c>
      <c r="F637" t="str">
        <f t="shared" si="45"/>
        <v>McCarty</v>
      </c>
      <c r="G637" t="str">
        <f t="shared" si="46"/>
        <v>McCarty539San Antonio</v>
      </c>
      <c r="H637" t="s">
        <v>31495</v>
      </c>
      <c r="I637" t="s">
        <v>22928</v>
      </c>
      <c r="J637" t="str">
        <f t="shared" si="47"/>
        <v>E:\PropInv\MF</v>
      </c>
      <c r="K637" s="103" t="str">
        <f>HYPERLINK("E:\PropInv\MF\San Antonio\McCarty Rd_539_Cove_San Antonio_00763","McCarty Rd_539_Cove_San Antonio_00763" )</f>
        <v>McCarty Rd_539_Cove_San Antonio_00763</v>
      </c>
      <c r="L637" s="104" t="s">
        <v>22253</v>
      </c>
      <c r="M637" s="103" t="str">
        <f t="shared" si="48"/>
        <v>http://oconnordata.com/mlink/modules/profile/index.cfm?action=profile&amp;prop_id=763</v>
      </c>
      <c r="N637" s="1" t="str">
        <f t="shared" si="49"/>
        <v>00763</v>
      </c>
    </row>
    <row r="638" spans="1:14" x14ac:dyDescent="0.3">
      <c r="A638" s="1">
        <v>764</v>
      </c>
      <c r="B638" s="7" t="s">
        <v>997</v>
      </c>
      <c r="C638" s="12">
        <v>5243</v>
      </c>
      <c r="D638" s="7" t="s">
        <v>998</v>
      </c>
      <c r="E638" s="13" t="s">
        <v>842</v>
      </c>
      <c r="F638" t="str">
        <f t="shared" si="45"/>
        <v>Sherri</v>
      </c>
      <c r="G638" t="str">
        <f t="shared" si="46"/>
        <v>Sherri5243San Antonio</v>
      </c>
      <c r="H638" t="s">
        <v>31496</v>
      </c>
      <c r="I638" t="s">
        <v>22929</v>
      </c>
      <c r="J638" t="str">
        <f t="shared" si="47"/>
        <v>E:\PropInv\MF</v>
      </c>
      <c r="K638" s="103" t="str">
        <f>HYPERLINK("E:\PropInv\MF\San Antonio\Sherri Ann_5243_Covina Plaza_San Antonio_00764","Sherri Ann_5243_Covina Plaza_San Antonio_00764" )</f>
        <v>Sherri Ann_5243_Covina Plaza_San Antonio_00764</v>
      </c>
      <c r="L638" s="104" t="s">
        <v>22253</v>
      </c>
      <c r="M638" s="103" t="str">
        <f t="shared" si="48"/>
        <v>http://oconnordata.com/mlink/modules/profile/index.cfm?action=profile&amp;prop_id=764</v>
      </c>
      <c r="N638" s="1" t="str">
        <f t="shared" si="49"/>
        <v>00764</v>
      </c>
    </row>
    <row r="639" spans="1:14" x14ac:dyDescent="0.3">
      <c r="A639" s="1">
        <v>765</v>
      </c>
      <c r="B639" s="7" t="s">
        <v>875</v>
      </c>
      <c r="C639" s="12">
        <v>14900</v>
      </c>
      <c r="D639" s="7" t="s">
        <v>999</v>
      </c>
      <c r="E639" s="13" t="s">
        <v>842</v>
      </c>
      <c r="F639" t="str">
        <f t="shared" si="45"/>
        <v>Nacogdoches</v>
      </c>
      <c r="G639" t="str">
        <f t="shared" si="46"/>
        <v>Nacogdoches14900San Antonio</v>
      </c>
      <c r="H639" t="s">
        <v>31497</v>
      </c>
      <c r="I639" t="s">
        <v>22930</v>
      </c>
      <c r="J639" t="str">
        <f t="shared" si="47"/>
        <v>E:\PropInv\MF</v>
      </c>
      <c r="K639" s="103" t="str">
        <f>HYPERLINK("E:\PropInv\MF\San Antonio\Nacogdoches_14900_Creek Crossing_San Antonio_00765","Nacogdoches_14900_Creek Crossing_San Antonio_00765" )</f>
        <v>Nacogdoches_14900_Creek Crossing_San Antonio_00765</v>
      </c>
      <c r="L639" s="104" t="s">
        <v>22253</v>
      </c>
      <c r="M639" s="103" t="str">
        <f t="shared" si="48"/>
        <v>http://oconnordata.com/mlink/modules/profile/index.cfm?action=profile&amp;prop_id=765</v>
      </c>
      <c r="N639" s="1" t="str">
        <f t="shared" si="49"/>
        <v>00765</v>
      </c>
    </row>
    <row r="640" spans="1:14" x14ac:dyDescent="0.3">
      <c r="A640" s="1">
        <v>766</v>
      </c>
      <c r="B640" s="7" t="s">
        <v>1000</v>
      </c>
      <c r="C640" s="12">
        <v>3902</v>
      </c>
      <c r="D640" s="7" t="s">
        <v>1001</v>
      </c>
      <c r="E640" s="13" t="s">
        <v>842</v>
      </c>
      <c r="F640" t="str">
        <f t="shared" si="45"/>
        <v>Perrin</v>
      </c>
      <c r="G640" t="str">
        <f t="shared" si="46"/>
        <v>Perrin3902San Antonio</v>
      </c>
      <c r="H640" t="s">
        <v>31498</v>
      </c>
      <c r="I640" t="s">
        <v>22931</v>
      </c>
      <c r="J640" t="str">
        <f t="shared" si="47"/>
        <v>E:\PropInv\MF</v>
      </c>
      <c r="K640" s="103" t="str">
        <f>HYPERLINK("E:\PropInv\MF\San Antonio\Perrin Central_3902_Rock Canyon_San Antonio_00766","Perrin Central_3902_Rock Canyon_San Antonio_00766" )</f>
        <v>Perrin Central_3902_Rock Canyon_San Antonio_00766</v>
      </c>
      <c r="L640" s="104" t="s">
        <v>22253</v>
      </c>
      <c r="M640" s="103" t="str">
        <f t="shared" si="48"/>
        <v>http://oconnordata.com/mlink/modules/profile/index.cfm?action=profile&amp;prop_id=766</v>
      </c>
      <c r="N640" s="1" t="str">
        <f t="shared" si="49"/>
        <v>00766</v>
      </c>
    </row>
    <row r="641" spans="1:14" x14ac:dyDescent="0.3">
      <c r="A641" s="1">
        <v>767</v>
      </c>
      <c r="B641" s="7" t="s">
        <v>879</v>
      </c>
      <c r="C641" s="12">
        <v>4620</v>
      </c>
      <c r="D641" s="7" t="s">
        <v>1002</v>
      </c>
      <c r="E641" s="13" t="s">
        <v>842</v>
      </c>
      <c r="F641" t="str">
        <f t="shared" si="45"/>
        <v>Thousand</v>
      </c>
      <c r="G641" t="str">
        <f t="shared" si="46"/>
        <v>Thousand4620San Antonio</v>
      </c>
      <c r="H641" t="s">
        <v>31499</v>
      </c>
      <c r="I641" t="s">
        <v>22932</v>
      </c>
      <c r="J641" t="str">
        <f t="shared" si="47"/>
        <v>E:\PropInv\MF</v>
      </c>
      <c r="K641" s="103" t="str">
        <f>HYPERLINK("E:\PropInv\MF\San Antonio\Thousand Oaks Dr_4620_Vista Landing_San Antonio_00767","Thousand Oaks Dr_4620_Vista Landing_San Antonio_00767" )</f>
        <v>Thousand Oaks Dr_4620_Vista Landing_San Antonio_00767</v>
      </c>
      <c r="L641" s="104" t="s">
        <v>22253</v>
      </c>
      <c r="M641" s="103" t="str">
        <f t="shared" si="48"/>
        <v>http://oconnordata.com/mlink/modules/profile/index.cfm?action=profile&amp;prop_id=767</v>
      </c>
      <c r="N641" s="1" t="str">
        <f t="shared" si="49"/>
        <v>00767</v>
      </c>
    </row>
    <row r="642" spans="1:14" x14ac:dyDescent="0.3">
      <c r="A642" s="1">
        <v>768</v>
      </c>
      <c r="B642" s="7" t="s">
        <v>1003</v>
      </c>
      <c r="C642" s="12">
        <v>3431</v>
      </c>
      <c r="D642" s="7" t="s">
        <v>1004</v>
      </c>
      <c r="E642" s="13" t="s">
        <v>842</v>
      </c>
      <c r="F642" t="str">
        <f t="shared" ref="F642:F705" si="50">IFERROR(LEFT(B642,FIND(" ",B642)-1),B642)</f>
        <v>Oakdale</v>
      </c>
      <c r="G642" t="str">
        <f t="shared" ref="G642:G705" si="51">F642&amp;C642&amp;E642</f>
        <v>Oakdale3431San Antonio</v>
      </c>
      <c r="H642" t="s">
        <v>31500</v>
      </c>
      <c r="I642" t="s">
        <v>22933</v>
      </c>
      <c r="J642" t="str">
        <f t="shared" ref="J642:J705" si="52">IF(L642="TX",Folder_Path,Folder_Path&amp;"\State_"&amp;L642)</f>
        <v>E:\PropInv\MF</v>
      </c>
      <c r="K642" s="103" t="str">
        <f>HYPERLINK("E:\PropInv\MF\San Antonio\Oakdale_3431_Sage Crossing_San Antonio_00768","Oakdale_3431_Sage Crossing_San Antonio_00768" )</f>
        <v>Oakdale_3431_Sage Crossing_San Antonio_00768</v>
      </c>
      <c r="L642" s="104" t="s">
        <v>22253</v>
      </c>
      <c r="M642" s="103" t="str">
        <f t="shared" ref="M642:M705" si="53">HYPERLINK("http://oconnordata.com/mlink/modules/profile/index.cfm?action=profile&amp;prop_id="&amp;A642)</f>
        <v>http://oconnordata.com/mlink/modules/profile/index.cfm?action=profile&amp;prop_id=768</v>
      </c>
      <c r="N642" s="1" t="str">
        <f t="shared" ref="N642:N705" si="54">IF(LEN(A642)=1,"0000"&amp;A642,IF(LEN(A642)=2,"000"&amp;A642,IF(LEN(A642)=3,"00"&amp;A642,IF(LEN(A642)=4,"0"&amp;A642,IF(LEN(A642)=5,IF(LEFT(A642,1)="3",A642+30000,A642))))))</f>
        <v>00768</v>
      </c>
    </row>
    <row r="643" spans="1:14" x14ac:dyDescent="0.3">
      <c r="A643" s="1">
        <v>769</v>
      </c>
      <c r="B643" s="7" t="s">
        <v>1005</v>
      </c>
      <c r="C643" s="12">
        <v>901</v>
      </c>
      <c r="D643" s="7" t="s">
        <v>1006</v>
      </c>
      <c r="E643" s="13" t="s">
        <v>842</v>
      </c>
      <c r="F643" t="str">
        <f t="shared" si="50"/>
        <v>Dewhurst</v>
      </c>
      <c r="G643" t="str">
        <f t="shared" si="51"/>
        <v>Dewhurst901San Antonio</v>
      </c>
      <c r="H643" t="s">
        <v>31501</v>
      </c>
      <c r="I643" t="s">
        <v>22934</v>
      </c>
      <c r="J643" t="str">
        <f t="shared" si="52"/>
        <v>E:\PropInv\MF</v>
      </c>
      <c r="K643" s="103" t="str">
        <f>HYPERLINK("E:\PropInv\MF\San Antonio\Dewhurst Rd_901_Alegria Del Sol_San Antonio_00769","Dewhurst Rd_901_Alegria Del Sol_San Antonio_00769" )</f>
        <v>Dewhurst Rd_901_Alegria Del Sol_San Antonio_00769</v>
      </c>
      <c r="L643" s="104" t="s">
        <v>22253</v>
      </c>
      <c r="M643" s="103" t="str">
        <f t="shared" si="53"/>
        <v>http://oconnordata.com/mlink/modules/profile/index.cfm?action=profile&amp;prop_id=769</v>
      </c>
      <c r="N643" s="1" t="str">
        <f t="shared" si="54"/>
        <v>00769</v>
      </c>
    </row>
    <row r="644" spans="1:14" x14ac:dyDescent="0.3">
      <c r="A644" s="1">
        <v>770</v>
      </c>
      <c r="B644" s="7" t="s">
        <v>1007</v>
      </c>
      <c r="C644" s="12">
        <v>700</v>
      </c>
      <c r="D644" s="7" t="s">
        <v>1008</v>
      </c>
      <c r="E644" s="13" t="s">
        <v>842</v>
      </c>
      <c r="F644" t="str">
        <f t="shared" si="50"/>
        <v>Gentleman</v>
      </c>
      <c r="G644" t="str">
        <f t="shared" si="51"/>
        <v>Gentleman700San Antonio</v>
      </c>
      <c r="H644" t="s">
        <v>31502</v>
      </c>
      <c r="I644" t="s">
        <v>22935</v>
      </c>
      <c r="J644" t="str">
        <f t="shared" si="52"/>
        <v>E:\PropInv\MF</v>
      </c>
      <c r="K644" s="103" t="str">
        <f>HYPERLINK("E:\PropInv\MF\San Antonio\Gentleman Rd_700_Cumberland_San Antonio_00770","Gentleman Rd_700_Cumberland_San Antonio_00770" )</f>
        <v>Gentleman Rd_700_Cumberland_San Antonio_00770</v>
      </c>
      <c r="L644" s="104" t="s">
        <v>22253</v>
      </c>
      <c r="M644" s="103" t="str">
        <f t="shared" si="53"/>
        <v>http://oconnordata.com/mlink/modules/profile/index.cfm?action=profile&amp;prop_id=770</v>
      </c>
      <c r="N644" s="1" t="str">
        <f t="shared" si="54"/>
        <v>00770</v>
      </c>
    </row>
    <row r="645" spans="1:14" x14ac:dyDescent="0.3">
      <c r="A645" s="1">
        <v>771</v>
      </c>
      <c r="B645" s="7" t="s">
        <v>974</v>
      </c>
      <c r="C645" s="12">
        <v>6100</v>
      </c>
      <c r="D645" s="7" t="s">
        <v>1009</v>
      </c>
      <c r="E645" s="13" t="s">
        <v>842</v>
      </c>
      <c r="F645" t="str">
        <f t="shared" si="50"/>
        <v>410</v>
      </c>
      <c r="G645" t="str">
        <f t="shared" si="51"/>
        <v>4106100San Antonio</v>
      </c>
      <c r="H645" t="s">
        <v>31503</v>
      </c>
      <c r="I645" t="s">
        <v>22936</v>
      </c>
      <c r="J645" t="str">
        <f t="shared" si="52"/>
        <v>E:\PropInv\MF</v>
      </c>
      <c r="K645" s="103" t="str">
        <f>HYPERLINK("E:\PropInv\MF\San Antonio\410 Loop NW_6100_Cypress Cove_San Antonio_00771","410 Loop NW_6100_Cypress Cove_San Antonio_00771" )</f>
        <v>410 Loop NW_6100_Cypress Cove_San Antonio_00771</v>
      </c>
      <c r="L645" s="104" t="s">
        <v>22253</v>
      </c>
      <c r="M645" s="103" t="str">
        <f t="shared" si="53"/>
        <v>http://oconnordata.com/mlink/modules/profile/index.cfm?action=profile&amp;prop_id=771</v>
      </c>
      <c r="N645" s="1" t="str">
        <f t="shared" si="54"/>
        <v>00771</v>
      </c>
    </row>
    <row r="646" spans="1:14" x14ac:dyDescent="0.3">
      <c r="A646" s="1">
        <v>772</v>
      </c>
      <c r="B646" s="7" t="s">
        <v>1010</v>
      </c>
      <c r="C646" s="12">
        <v>811</v>
      </c>
      <c r="D646" s="7" t="s">
        <v>1011</v>
      </c>
      <c r="E646" s="13" t="s">
        <v>842</v>
      </c>
      <c r="F646" t="str">
        <f t="shared" si="50"/>
        <v>Darby</v>
      </c>
      <c r="G646" t="str">
        <f t="shared" si="51"/>
        <v>Darby811San Antonio</v>
      </c>
      <c r="H646" t="s">
        <v>31504</v>
      </c>
      <c r="I646" t="s">
        <v>22937</v>
      </c>
      <c r="J646" t="str">
        <f t="shared" si="52"/>
        <v>E:\PropInv\MF</v>
      </c>
      <c r="K646" s="103" t="str">
        <f>HYPERLINK("E:\PropInv\MF\San Antonio\Darby Blvd_811_Darby Square_San Antonio_00772","Darby Blvd_811_Darby Square_San Antonio_00772" )</f>
        <v>Darby Blvd_811_Darby Square_San Antonio_00772</v>
      </c>
      <c r="L646" s="104" t="s">
        <v>22253</v>
      </c>
      <c r="M646" s="103" t="str">
        <f t="shared" si="53"/>
        <v>http://oconnordata.com/mlink/modules/profile/index.cfm?action=profile&amp;prop_id=772</v>
      </c>
      <c r="N646" s="1" t="str">
        <f t="shared" si="54"/>
        <v>00772</v>
      </c>
    </row>
    <row r="647" spans="1:14" x14ac:dyDescent="0.3">
      <c r="A647" s="1">
        <v>773</v>
      </c>
      <c r="B647" s="7" t="s">
        <v>1012</v>
      </c>
      <c r="C647" s="12">
        <v>6033</v>
      </c>
      <c r="D647" s="7" t="s">
        <v>1013</v>
      </c>
      <c r="E647" s="13" t="s">
        <v>842</v>
      </c>
      <c r="F647" t="str">
        <f t="shared" si="50"/>
        <v>DeZavala</v>
      </c>
      <c r="G647" t="str">
        <f t="shared" si="51"/>
        <v>DeZavala6033San Antonio</v>
      </c>
      <c r="H647" t="s">
        <v>31505</v>
      </c>
      <c r="I647" t="s">
        <v>22938</v>
      </c>
      <c r="J647" t="str">
        <f t="shared" si="52"/>
        <v>E:\PropInv\MF</v>
      </c>
      <c r="K647" s="103" t="str">
        <f>HYPERLINK("E:\PropInv\MF\San Antonio\DeZavala Rd_6033_DeZavala Oaks_San Antonio_00773","DeZavala Rd_6033_DeZavala Oaks_San Antonio_00773" )</f>
        <v>DeZavala Rd_6033_DeZavala Oaks_San Antonio_00773</v>
      </c>
      <c r="L647" s="104" t="s">
        <v>22253</v>
      </c>
      <c r="M647" s="103" t="str">
        <f t="shared" si="53"/>
        <v>http://oconnordata.com/mlink/modules/profile/index.cfm?action=profile&amp;prop_id=773</v>
      </c>
      <c r="N647" s="1" t="str">
        <f t="shared" si="54"/>
        <v>00773</v>
      </c>
    </row>
    <row r="648" spans="1:14" x14ac:dyDescent="0.3">
      <c r="A648" s="1">
        <v>774</v>
      </c>
      <c r="B648" s="7" t="s">
        <v>1014</v>
      </c>
      <c r="C648" s="12">
        <v>6061</v>
      </c>
      <c r="D648" s="7" t="s">
        <v>1015</v>
      </c>
      <c r="E648" s="13" t="s">
        <v>842</v>
      </c>
      <c r="F648" t="str">
        <f t="shared" si="50"/>
        <v>De</v>
      </c>
      <c r="G648" t="str">
        <f t="shared" si="51"/>
        <v>De6061San Antonio</v>
      </c>
      <c r="H648" t="s">
        <v>31506</v>
      </c>
      <c r="I648" t="s">
        <v>22939</v>
      </c>
      <c r="J648" t="str">
        <f t="shared" si="52"/>
        <v>E:\PropInv\MF</v>
      </c>
      <c r="K648" s="103" t="str">
        <f>HYPERLINK("E:\PropInv\MF\San Antonio\De Zavala Rd_6061_DeZavala Park_San Antonio_00774","De Zavala Rd_6061_DeZavala Park_San Antonio_00774" )</f>
        <v>De Zavala Rd_6061_DeZavala Park_San Antonio_00774</v>
      </c>
      <c r="L648" s="104" t="s">
        <v>22253</v>
      </c>
      <c r="M648" s="103" t="str">
        <f t="shared" si="53"/>
        <v>http://oconnordata.com/mlink/modules/profile/index.cfm?action=profile&amp;prop_id=774</v>
      </c>
      <c r="N648" s="1" t="str">
        <f t="shared" si="54"/>
        <v>00774</v>
      </c>
    </row>
    <row r="649" spans="1:14" x14ac:dyDescent="0.3">
      <c r="A649" s="1">
        <v>775</v>
      </c>
      <c r="B649" s="7" t="s">
        <v>930</v>
      </c>
      <c r="C649" s="12">
        <v>7230</v>
      </c>
      <c r="D649" s="7" t="s">
        <v>1016</v>
      </c>
      <c r="E649" s="13" t="s">
        <v>842</v>
      </c>
      <c r="F649" t="str">
        <f t="shared" si="50"/>
        <v>Wurzbach</v>
      </c>
      <c r="G649" t="str">
        <f t="shared" si="51"/>
        <v>Wurzbach7230San Antonio</v>
      </c>
      <c r="H649" t="s">
        <v>31507</v>
      </c>
      <c r="I649" t="s">
        <v>22940</v>
      </c>
      <c r="J649" t="str">
        <f t="shared" si="52"/>
        <v>E:\PropInv\MF</v>
      </c>
      <c r="K649" s="103" t="str">
        <f>HYPERLINK("E:\PropInv\MF\San Antonio\Wurzbach Rd_7230_Deer Oaks_San Antonio_00775","Wurzbach Rd_7230_Deer Oaks_San Antonio_00775" )</f>
        <v>Wurzbach Rd_7230_Deer Oaks_San Antonio_00775</v>
      </c>
      <c r="L649" s="104" t="s">
        <v>22253</v>
      </c>
      <c r="M649" s="103" t="str">
        <f t="shared" si="53"/>
        <v>http://oconnordata.com/mlink/modules/profile/index.cfm?action=profile&amp;prop_id=775</v>
      </c>
      <c r="N649" s="1" t="str">
        <f t="shared" si="54"/>
        <v>00775</v>
      </c>
    </row>
    <row r="650" spans="1:14" x14ac:dyDescent="0.3">
      <c r="A650" s="1">
        <v>776</v>
      </c>
      <c r="B650" s="7" t="s">
        <v>1017</v>
      </c>
      <c r="C650" s="12">
        <v>1955</v>
      </c>
      <c r="D650" s="7" t="s">
        <v>1018</v>
      </c>
      <c r="E650" s="13" t="s">
        <v>842</v>
      </c>
      <c r="F650" t="str">
        <f t="shared" si="50"/>
        <v>Larkspur</v>
      </c>
      <c r="G650" t="str">
        <f t="shared" si="51"/>
        <v>Larkspur1955San Antonio</v>
      </c>
      <c r="H650" t="s">
        <v>31508</v>
      </c>
      <c r="I650" t="s">
        <v>22941</v>
      </c>
      <c r="J650" t="str">
        <f t="shared" si="52"/>
        <v>E:\PropInv\MF</v>
      </c>
      <c r="K650" s="103" t="str">
        <f>HYPERLINK("E:\PropInv\MF\San Antonio\Larkspur_1955_Amesbury at Deerfield_San Antonio_00776","Larkspur_1955_Amesbury at Deerfield_San Antonio_00776" )</f>
        <v>Larkspur_1955_Amesbury at Deerfield_San Antonio_00776</v>
      </c>
      <c r="L650" s="104" t="s">
        <v>22253</v>
      </c>
      <c r="M650" s="103" t="str">
        <f t="shared" si="53"/>
        <v>http://oconnordata.com/mlink/modules/profile/index.cfm?action=profile&amp;prop_id=776</v>
      </c>
      <c r="N650" s="1" t="str">
        <f t="shared" si="54"/>
        <v>00776</v>
      </c>
    </row>
    <row r="651" spans="1:14" x14ac:dyDescent="0.3">
      <c r="A651" s="1">
        <v>777</v>
      </c>
      <c r="B651" s="7" t="s">
        <v>1019</v>
      </c>
      <c r="C651" s="12">
        <v>227</v>
      </c>
      <c r="D651" s="7" t="s">
        <v>1020</v>
      </c>
      <c r="E651" s="13" t="s">
        <v>842</v>
      </c>
      <c r="F651" t="str">
        <f t="shared" si="50"/>
        <v>Deerwood</v>
      </c>
      <c r="G651" t="str">
        <f t="shared" si="51"/>
        <v>Deerwood227San Antonio</v>
      </c>
      <c r="H651" t="s">
        <v>31509</v>
      </c>
      <c r="I651" t="s">
        <v>22942</v>
      </c>
      <c r="J651" t="str">
        <f t="shared" si="52"/>
        <v>E:\PropInv\MF</v>
      </c>
      <c r="K651" s="103" t="str">
        <f>HYPERLINK("E:\PropInv\MF\San Antonio\Deerwood_227_The Montecito_San Antonio_00777","Deerwood_227_The Montecito_San Antonio_00777" )</f>
        <v>Deerwood_227_The Montecito_San Antonio_00777</v>
      </c>
      <c r="L651" s="104" t="s">
        <v>22253</v>
      </c>
      <c r="M651" s="103" t="str">
        <f t="shared" si="53"/>
        <v>http://oconnordata.com/mlink/modules/profile/index.cfm?action=profile&amp;prop_id=777</v>
      </c>
      <c r="N651" s="1" t="str">
        <f t="shared" si="54"/>
        <v>00777</v>
      </c>
    </row>
    <row r="652" spans="1:14" x14ac:dyDescent="0.3">
      <c r="A652" s="1">
        <v>778</v>
      </c>
      <c r="B652" s="7" t="s">
        <v>859</v>
      </c>
      <c r="C652" s="12">
        <v>550</v>
      </c>
      <c r="D652" s="7" t="s">
        <v>1021</v>
      </c>
      <c r="E652" s="13" t="s">
        <v>842</v>
      </c>
      <c r="F652" t="str">
        <f t="shared" si="50"/>
        <v>Heimer</v>
      </c>
      <c r="G652" t="str">
        <f t="shared" si="51"/>
        <v>Heimer550San Antonio</v>
      </c>
      <c r="H652" t="s">
        <v>31510</v>
      </c>
      <c r="I652" t="s">
        <v>22943</v>
      </c>
      <c r="J652" t="str">
        <f t="shared" si="52"/>
        <v>E:\PropInv\MF</v>
      </c>
      <c r="K652" s="103" t="str">
        <f>HYPERLINK("E:\PropInv\MF\San Antonio\Heimer Rd_550_Desert Shadows_San Antonio_00778","Heimer Rd_550_Desert Shadows_San Antonio_00778" )</f>
        <v>Heimer Rd_550_Desert Shadows_San Antonio_00778</v>
      </c>
      <c r="L652" s="104" t="s">
        <v>22253</v>
      </c>
      <c r="M652" s="103" t="str">
        <f t="shared" si="53"/>
        <v>http://oconnordata.com/mlink/modules/profile/index.cfm?action=profile&amp;prop_id=778</v>
      </c>
      <c r="N652" s="1" t="str">
        <f t="shared" si="54"/>
        <v>00778</v>
      </c>
    </row>
    <row r="653" spans="1:14" x14ac:dyDescent="0.3">
      <c r="A653" s="1">
        <v>779</v>
      </c>
      <c r="B653" s="7" t="s">
        <v>877</v>
      </c>
      <c r="C653" s="12">
        <v>11843</v>
      </c>
      <c r="D653" s="7" t="s">
        <v>1022</v>
      </c>
      <c r="E653" s="13" t="s">
        <v>842</v>
      </c>
      <c r="F653" t="str">
        <f t="shared" si="50"/>
        <v>Braesview</v>
      </c>
      <c r="G653" t="str">
        <f t="shared" si="51"/>
        <v>Braesview11843San Antonio</v>
      </c>
      <c r="H653" t="s">
        <v>31511</v>
      </c>
      <c r="I653" t="s">
        <v>22944</v>
      </c>
      <c r="J653" t="str">
        <f t="shared" si="52"/>
        <v>E:\PropInv\MF</v>
      </c>
      <c r="K653" s="103" t="str">
        <f>HYPERLINK("E:\PropInv\MF\San Antonio\Braesview_11843_Devonshire Condo Apts_San Antonio_00779","Braesview_11843_Devonshire Condo Apts_San Antonio_00779" )</f>
        <v>Braesview_11843_Devonshire Condo Apts_San Antonio_00779</v>
      </c>
      <c r="L653" s="104" t="s">
        <v>22253</v>
      </c>
      <c r="M653" s="103" t="str">
        <f t="shared" si="53"/>
        <v>http://oconnordata.com/mlink/modules/profile/index.cfm?action=profile&amp;prop_id=779</v>
      </c>
      <c r="N653" s="1" t="str">
        <f t="shared" si="54"/>
        <v>00779</v>
      </c>
    </row>
    <row r="654" spans="1:14" x14ac:dyDescent="0.3">
      <c r="A654" s="1">
        <v>781</v>
      </c>
      <c r="B654" s="7" t="s">
        <v>1023</v>
      </c>
      <c r="C654" s="12">
        <v>1869</v>
      </c>
      <c r="D654" s="7" t="s">
        <v>1024</v>
      </c>
      <c r="E654" s="13" t="s">
        <v>842</v>
      </c>
      <c r="F654" t="str">
        <f t="shared" si="50"/>
        <v>Thompson</v>
      </c>
      <c r="G654" t="str">
        <f t="shared" si="51"/>
        <v>Thompson1869San Antonio</v>
      </c>
      <c r="H654" t="s">
        <v>31512</v>
      </c>
      <c r="I654" t="s">
        <v>22945</v>
      </c>
      <c r="J654" t="str">
        <f t="shared" si="52"/>
        <v>E:\PropInv\MF</v>
      </c>
      <c r="K654" s="103" t="str">
        <f>HYPERLINK("E:\PropInv\MF\San Antonio\Thompson Place W_1869_Diplomat_San Antonio_00781","Thompson Place W_1869_Diplomat_San Antonio_00781" )</f>
        <v>Thompson Place W_1869_Diplomat_San Antonio_00781</v>
      </c>
      <c r="L654" s="104" t="s">
        <v>22253</v>
      </c>
      <c r="M654" s="103" t="str">
        <f t="shared" si="53"/>
        <v>http://oconnordata.com/mlink/modules/profile/index.cfm?action=profile&amp;prop_id=781</v>
      </c>
      <c r="N654" s="1" t="str">
        <f t="shared" si="54"/>
        <v>00781</v>
      </c>
    </row>
    <row r="655" spans="1:14" x14ac:dyDescent="0.3">
      <c r="A655" s="1">
        <v>782</v>
      </c>
      <c r="B655" s="7" t="s">
        <v>1025</v>
      </c>
      <c r="C655" s="12">
        <v>1315</v>
      </c>
      <c r="D655" s="7" t="s">
        <v>1026</v>
      </c>
      <c r="E655" s="13" t="s">
        <v>842</v>
      </c>
      <c r="F655" t="str">
        <f t="shared" si="50"/>
        <v>Donaldson</v>
      </c>
      <c r="G655" t="str">
        <f t="shared" si="51"/>
        <v>Donaldson1315San Antonio</v>
      </c>
      <c r="H655" t="s">
        <v>31513</v>
      </c>
      <c r="I655" t="s">
        <v>22946</v>
      </c>
      <c r="J655" t="str">
        <f t="shared" si="52"/>
        <v>E:\PropInv\MF</v>
      </c>
      <c r="K655" s="103" t="str">
        <f>HYPERLINK("E:\PropInv\MF\San Antonio\Donaldson Ave_1315_Donaldson Villas_San Antonio_00782","Donaldson Ave_1315_Donaldson Villas_San Antonio_00782" )</f>
        <v>Donaldson Ave_1315_Donaldson Villas_San Antonio_00782</v>
      </c>
      <c r="L655" s="104" t="s">
        <v>22253</v>
      </c>
      <c r="M655" s="103" t="str">
        <f t="shared" si="53"/>
        <v>http://oconnordata.com/mlink/modules/profile/index.cfm?action=profile&amp;prop_id=782</v>
      </c>
      <c r="N655" s="1" t="str">
        <f t="shared" si="54"/>
        <v>00782</v>
      </c>
    </row>
    <row r="656" spans="1:14" x14ac:dyDescent="0.3">
      <c r="A656" s="1">
        <v>783</v>
      </c>
      <c r="B656" s="7" t="s">
        <v>1027</v>
      </c>
      <c r="C656" s="12">
        <v>7750</v>
      </c>
      <c r="D656" s="7" t="s">
        <v>1028</v>
      </c>
      <c r="E656" s="13" t="s">
        <v>842</v>
      </c>
      <c r="F656" t="str">
        <f t="shared" si="50"/>
        <v>Culebra</v>
      </c>
      <c r="G656" t="str">
        <f t="shared" si="51"/>
        <v>Culebra7750San Antonio</v>
      </c>
      <c r="H656" t="s">
        <v>31514</v>
      </c>
      <c r="I656" t="s">
        <v>22947</v>
      </c>
      <c r="J656" t="str">
        <f t="shared" si="52"/>
        <v>E:\PropInv\MF</v>
      </c>
      <c r="K656" s="103" t="str">
        <f>HYPERLINK("E:\PropInv\MF\San Antonio\Culebra Rd_7750_Doral Club_San Antonio_00783","Culebra Rd_7750_Doral Club_San Antonio_00783" )</f>
        <v>Culebra Rd_7750_Doral Club_San Antonio_00783</v>
      </c>
      <c r="L656" s="104" t="s">
        <v>22253</v>
      </c>
      <c r="M656" s="103" t="str">
        <f t="shared" si="53"/>
        <v>http://oconnordata.com/mlink/modules/profile/index.cfm?action=profile&amp;prop_id=783</v>
      </c>
      <c r="N656" s="1" t="str">
        <f t="shared" si="54"/>
        <v>00783</v>
      </c>
    </row>
    <row r="657" spans="1:14" x14ac:dyDescent="0.3">
      <c r="A657" s="1">
        <v>784</v>
      </c>
      <c r="B657" s="7" t="s">
        <v>873</v>
      </c>
      <c r="C657" s="12">
        <v>4515</v>
      </c>
      <c r="D657" s="7" t="s">
        <v>1029</v>
      </c>
      <c r="E657" s="13" t="s">
        <v>842</v>
      </c>
      <c r="F657" t="str">
        <f t="shared" si="50"/>
        <v>Gardendale</v>
      </c>
      <c r="G657" t="str">
        <f t="shared" si="51"/>
        <v>Gardendale4515San Antonio</v>
      </c>
      <c r="H657" t="s">
        <v>31515</v>
      </c>
      <c r="I657" t="s">
        <v>22948</v>
      </c>
      <c r="J657" t="str">
        <f t="shared" si="52"/>
        <v>E:\PropInv\MF</v>
      </c>
      <c r="K657" s="103" t="str">
        <f>HYPERLINK("E:\PropInv\MF\San Antonio\Gardendale_4515_Dove Tree_San Antonio_00784","Gardendale_4515_Dove Tree_San Antonio_00784" )</f>
        <v>Gardendale_4515_Dove Tree_San Antonio_00784</v>
      </c>
      <c r="L657" s="104" t="s">
        <v>22253</v>
      </c>
      <c r="M657" s="103" t="str">
        <f t="shared" si="53"/>
        <v>http://oconnordata.com/mlink/modules/profile/index.cfm?action=profile&amp;prop_id=784</v>
      </c>
      <c r="N657" s="1" t="str">
        <f t="shared" si="54"/>
        <v>00784</v>
      </c>
    </row>
    <row r="658" spans="1:14" x14ac:dyDescent="0.3">
      <c r="A658" s="1">
        <v>785</v>
      </c>
      <c r="B658" s="7" t="s">
        <v>1030</v>
      </c>
      <c r="C658" s="12">
        <v>3935</v>
      </c>
      <c r="D658" s="7" t="s">
        <v>1031</v>
      </c>
      <c r="E658" s="13" t="s">
        <v>842</v>
      </c>
      <c r="F658" t="str">
        <f t="shared" si="50"/>
        <v>Thousand</v>
      </c>
      <c r="G658" t="str">
        <f t="shared" si="51"/>
        <v>Thousand3935San Antonio</v>
      </c>
      <c r="H658" t="s">
        <v>31516</v>
      </c>
      <c r="I658" t="s">
        <v>22949</v>
      </c>
      <c r="J658" t="str">
        <f t="shared" si="52"/>
        <v>E:\PropInv\MF</v>
      </c>
      <c r="K658" s="103" t="str">
        <f>HYPERLINK("E:\PropInv\MF\San Antonio\Thousand Oaks Rd_3935_Dublin_San Antonio_00785","Thousand Oaks Rd_3935_Dublin_San Antonio_00785" )</f>
        <v>Thousand Oaks Rd_3935_Dublin_San Antonio_00785</v>
      </c>
      <c r="L658" s="104" t="s">
        <v>22253</v>
      </c>
      <c r="M658" s="103" t="str">
        <f t="shared" si="53"/>
        <v>http://oconnordata.com/mlink/modules/profile/index.cfm?action=profile&amp;prop_id=785</v>
      </c>
      <c r="N658" s="1" t="str">
        <f t="shared" si="54"/>
        <v>00785</v>
      </c>
    </row>
    <row r="659" spans="1:14" x14ac:dyDescent="0.3">
      <c r="A659" s="1">
        <v>786</v>
      </c>
      <c r="B659" s="7" t="s">
        <v>1032</v>
      </c>
      <c r="C659" s="12">
        <v>6218</v>
      </c>
      <c r="D659" s="7" t="s">
        <v>1033</v>
      </c>
      <c r="E659" s="13" t="s">
        <v>842</v>
      </c>
      <c r="F659" t="str">
        <f t="shared" si="50"/>
        <v>New</v>
      </c>
      <c r="G659" t="str">
        <f t="shared" si="51"/>
        <v>New6218San Antonio</v>
      </c>
      <c r="H659" t="s">
        <v>31517</v>
      </c>
      <c r="I659" t="s">
        <v>22950</v>
      </c>
      <c r="J659" t="str">
        <f t="shared" si="52"/>
        <v>E:\PropInv\MF</v>
      </c>
      <c r="K659" s="103" t="str">
        <f>HYPERLINK("E:\PropInv\MF\San Antonio\New Braunfels Ave S_6218_The Dunes_San Antonio_00786","New Braunfels Ave S_6218_The Dunes_San Antonio_00786" )</f>
        <v>New Braunfels Ave S_6218_The Dunes_San Antonio_00786</v>
      </c>
      <c r="L659" s="104" t="s">
        <v>22253</v>
      </c>
      <c r="M659" s="103" t="str">
        <f t="shared" si="53"/>
        <v>http://oconnordata.com/mlink/modules/profile/index.cfm?action=profile&amp;prop_id=786</v>
      </c>
      <c r="N659" s="1" t="str">
        <f t="shared" si="54"/>
        <v>00786</v>
      </c>
    </row>
    <row r="660" spans="1:14" x14ac:dyDescent="0.3">
      <c r="A660" s="1">
        <v>787</v>
      </c>
      <c r="B660" s="7" t="s">
        <v>1034</v>
      </c>
      <c r="C660" s="12">
        <v>7999</v>
      </c>
      <c r="D660" s="7" t="s">
        <v>1035</v>
      </c>
      <c r="E660" s="13" t="s">
        <v>842</v>
      </c>
      <c r="F660" t="str">
        <f t="shared" si="50"/>
        <v>Potranco</v>
      </c>
      <c r="G660" t="str">
        <f t="shared" si="51"/>
        <v>Potranco7999San Antonio</v>
      </c>
      <c r="H660" t="s">
        <v>31518</v>
      </c>
      <c r="I660" t="s">
        <v>22951</v>
      </c>
      <c r="J660" t="str">
        <f t="shared" si="52"/>
        <v>E:\PropInv\MF</v>
      </c>
      <c r="K660" s="103" t="str">
        <f>HYPERLINK("E:\PropInv\MF\San Antonio\Potranco Rd_7999_Dymaxion_San Antonio_00787","Potranco Rd_7999_Dymaxion_San Antonio_00787" )</f>
        <v>Potranco Rd_7999_Dymaxion_San Antonio_00787</v>
      </c>
      <c r="L660" s="104" t="s">
        <v>22253</v>
      </c>
      <c r="M660" s="103" t="str">
        <f t="shared" si="53"/>
        <v>http://oconnordata.com/mlink/modules/profile/index.cfm?action=profile&amp;prop_id=787</v>
      </c>
      <c r="N660" s="1" t="str">
        <f t="shared" si="54"/>
        <v>00787</v>
      </c>
    </row>
    <row r="661" spans="1:14" x14ac:dyDescent="0.3">
      <c r="A661" s="1">
        <v>788</v>
      </c>
      <c r="B661" s="7" t="s">
        <v>893</v>
      </c>
      <c r="C661" s="12">
        <v>4822</v>
      </c>
      <c r="D661" s="7" t="s">
        <v>1036</v>
      </c>
      <c r="E661" s="13" t="s">
        <v>842</v>
      </c>
      <c r="F661" t="str">
        <f t="shared" si="50"/>
        <v>Gus</v>
      </c>
      <c r="G661" t="str">
        <f t="shared" si="51"/>
        <v>Gus4822San Antonio</v>
      </c>
      <c r="H661" t="s">
        <v>31519</v>
      </c>
      <c r="I661" t="s">
        <v>22952</v>
      </c>
      <c r="J661" t="str">
        <f t="shared" si="52"/>
        <v>E:\PropInv\MF</v>
      </c>
      <c r="K661" s="103" t="str">
        <f>HYPERLINK("E:\PropInv\MF\San Antonio\Gus Eckert_4822_Silver Creek_San Antonio_00788","Gus Eckert_4822_Silver Creek_San Antonio_00788" )</f>
        <v>Gus Eckert_4822_Silver Creek_San Antonio_00788</v>
      </c>
      <c r="L661" s="104" t="s">
        <v>22253</v>
      </c>
      <c r="M661" s="103" t="str">
        <f t="shared" si="53"/>
        <v>http://oconnordata.com/mlink/modules/profile/index.cfm?action=profile&amp;prop_id=788</v>
      </c>
      <c r="N661" s="1" t="str">
        <f t="shared" si="54"/>
        <v>00788</v>
      </c>
    </row>
    <row r="662" spans="1:14" x14ac:dyDescent="0.3">
      <c r="A662" s="1">
        <v>789</v>
      </c>
      <c r="B662" s="7" t="s">
        <v>855</v>
      </c>
      <c r="C662" s="12">
        <v>5211</v>
      </c>
      <c r="D662" s="7" t="s">
        <v>1037</v>
      </c>
      <c r="E662" s="13" t="s">
        <v>842</v>
      </c>
      <c r="F662" t="str">
        <f t="shared" si="50"/>
        <v>Fredericksburg</v>
      </c>
      <c r="G662" t="str">
        <f t="shared" si="51"/>
        <v>Fredericksburg5211San Antonio</v>
      </c>
      <c r="H662" t="s">
        <v>31520</v>
      </c>
      <c r="I662" t="s">
        <v>22953</v>
      </c>
      <c r="J662" t="str">
        <f t="shared" si="52"/>
        <v>E:\PropInv\MF</v>
      </c>
      <c r="K662" s="103" t="str">
        <f>HYPERLINK("E:\PropInv\MF\San Antonio\Fredericksburg Rd_5211_Eagles Nest_San Antonio_00789","Fredericksburg Rd_5211_Eagles Nest_San Antonio_00789" )</f>
        <v>Fredericksburg Rd_5211_Eagles Nest_San Antonio_00789</v>
      </c>
      <c r="L662" s="104" t="s">
        <v>22253</v>
      </c>
      <c r="M662" s="103" t="str">
        <f t="shared" si="53"/>
        <v>http://oconnordata.com/mlink/modules/profile/index.cfm?action=profile&amp;prop_id=789</v>
      </c>
      <c r="N662" s="1" t="str">
        <f t="shared" si="54"/>
        <v>00789</v>
      </c>
    </row>
    <row r="663" spans="1:14" x14ac:dyDescent="0.3">
      <c r="A663" s="1">
        <v>790</v>
      </c>
      <c r="B663" s="7" t="s">
        <v>869</v>
      </c>
      <c r="C663" s="12">
        <v>3819</v>
      </c>
      <c r="D663" s="7" t="s">
        <v>1038</v>
      </c>
      <c r="E663" s="13" t="s">
        <v>842</v>
      </c>
      <c r="F663" t="str">
        <f t="shared" si="50"/>
        <v>Harry</v>
      </c>
      <c r="G663" t="str">
        <f t="shared" si="51"/>
        <v>Harry3819San Antonio</v>
      </c>
      <c r="H663" t="s">
        <v>31521</v>
      </c>
      <c r="I663" t="s">
        <v>22954</v>
      </c>
      <c r="J663" t="str">
        <f t="shared" si="52"/>
        <v>E:\PropInv\MF</v>
      </c>
      <c r="K663" s="103" t="str">
        <f>HYPERLINK("E:\PropInv\MF\San Antonio\Harry Wurzbach_3819_El Chaparral_San Antonio_00790","Harry Wurzbach_3819_El Chaparral_San Antonio_00790" )</f>
        <v>Harry Wurzbach_3819_El Chaparral_San Antonio_00790</v>
      </c>
      <c r="L663" s="104" t="s">
        <v>22253</v>
      </c>
      <c r="M663" s="103" t="str">
        <f t="shared" si="53"/>
        <v>http://oconnordata.com/mlink/modules/profile/index.cfm?action=profile&amp;prop_id=790</v>
      </c>
      <c r="N663" s="1" t="str">
        <f t="shared" si="54"/>
        <v>00790</v>
      </c>
    </row>
    <row r="664" spans="1:14" x14ac:dyDescent="0.3">
      <c r="A664" s="1">
        <v>791</v>
      </c>
      <c r="B664" s="7" t="s">
        <v>1039</v>
      </c>
      <c r="C664" s="12">
        <v>10202</v>
      </c>
      <c r="D664" s="7" t="s">
        <v>1040</v>
      </c>
      <c r="E664" s="13" t="s">
        <v>842</v>
      </c>
      <c r="F664" t="str">
        <f t="shared" si="50"/>
        <v>Desert</v>
      </c>
      <c r="G664" t="str">
        <f t="shared" si="51"/>
        <v>Desert10202San Antonio</v>
      </c>
      <c r="H664" t="s">
        <v>31522</v>
      </c>
      <c r="I664" t="s">
        <v>22955</v>
      </c>
      <c r="J664" t="str">
        <f t="shared" si="52"/>
        <v>E:\PropInv\MF</v>
      </c>
      <c r="K664" s="103" t="str">
        <f>HYPERLINK("E:\PropInv\MF\San Antonio\Desert Sands_10202_Sunny Glen II_San Antonio_00791","Desert Sands_10202_Sunny Glen II_San Antonio_00791" )</f>
        <v>Desert Sands_10202_Sunny Glen II_San Antonio_00791</v>
      </c>
      <c r="L664" s="104" t="s">
        <v>22253</v>
      </c>
      <c r="M664" s="103" t="str">
        <f t="shared" si="53"/>
        <v>http://oconnordata.com/mlink/modules/profile/index.cfm?action=profile&amp;prop_id=791</v>
      </c>
      <c r="N664" s="1" t="str">
        <f t="shared" si="54"/>
        <v>00791</v>
      </c>
    </row>
    <row r="665" spans="1:14" x14ac:dyDescent="0.3">
      <c r="A665" s="1">
        <v>793</v>
      </c>
      <c r="B665" s="7" t="s">
        <v>960</v>
      </c>
      <c r="C665" s="12">
        <v>2555</v>
      </c>
      <c r="D665" s="7" t="s">
        <v>1041</v>
      </c>
      <c r="E665" s="13" t="s">
        <v>842</v>
      </c>
      <c r="F665" t="str">
        <f t="shared" si="50"/>
        <v>410</v>
      </c>
      <c r="G665" t="str">
        <f t="shared" si="51"/>
        <v>4102555San Antonio</v>
      </c>
      <c r="H665" t="s">
        <v>31523</v>
      </c>
      <c r="I665" t="s">
        <v>22956</v>
      </c>
      <c r="J665" t="str">
        <f t="shared" si="52"/>
        <v>E:\PropInv\MF</v>
      </c>
      <c r="K665" s="103" t="str">
        <f>HYPERLINK("E:\PropInv\MF\San Antonio\410 Loop NE_2555_The Enclave_San Antonio_00793","410 Loop NE_2555_The Enclave_San Antonio_00793" )</f>
        <v>410 Loop NE_2555_The Enclave_San Antonio_00793</v>
      </c>
      <c r="L665" s="104" t="s">
        <v>22253</v>
      </c>
      <c r="M665" s="103" t="str">
        <f t="shared" si="53"/>
        <v>http://oconnordata.com/mlink/modules/profile/index.cfm?action=profile&amp;prop_id=793</v>
      </c>
      <c r="N665" s="1" t="str">
        <f t="shared" si="54"/>
        <v>00793</v>
      </c>
    </row>
    <row r="666" spans="1:14" x14ac:dyDescent="0.3">
      <c r="A666" s="1">
        <v>794</v>
      </c>
      <c r="B666" s="7" t="s">
        <v>1042</v>
      </c>
      <c r="C666" s="12">
        <v>326</v>
      </c>
      <c r="D666" s="7" t="s">
        <v>1043</v>
      </c>
      <c r="E666" s="13" t="s">
        <v>842</v>
      </c>
      <c r="F666" t="str">
        <f t="shared" si="50"/>
        <v>Whitewood</v>
      </c>
      <c r="G666" t="str">
        <f t="shared" si="51"/>
        <v>Whitewood326San Antonio</v>
      </c>
      <c r="H666" t="s">
        <v>31524</v>
      </c>
      <c r="I666" t="s">
        <v>22957</v>
      </c>
      <c r="J666" t="str">
        <f t="shared" si="52"/>
        <v>E:\PropInv\MF</v>
      </c>
      <c r="K666" s="103" t="str">
        <f>HYPERLINK("E:\PropInv\MF\San Antonio\Whitewood Dr_326_Establishment_San Antonio_00794","Whitewood Dr_326_Establishment_San Antonio_00794" )</f>
        <v>Whitewood Dr_326_Establishment_San Antonio_00794</v>
      </c>
      <c r="L666" s="104" t="s">
        <v>22253</v>
      </c>
      <c r="M666" s="103" t="str">
        <f t="shared" si="53"/>
        <v>http://oconnordata.com/mlink/modules/profile/index.cfm?action=profile&amp;prop_id=794</v>
      </c>
      <c r="N666" s="1" t="str">
        <f t="shared" si="54"/>
        <v>00794</v>
      </c>
    </row>
    <row r="667" spans="1:14" x14ac:dyDescent="0.3">
      <c r="A667" s="1">
        <v>795</v>
      </c>
      <c r="B667" s="7" t="s">
        <v>1044</v>
      </c>
      <c r="C667" s="12">
        <v>158</v>
      </c>
      <c r="D667" s="7" t="s">
        <v>1045</v>
      </c>
      <c r="E667" s="13" t="s">
        <v>842</v>
      </c>
      <c r="F667" t="str">
        <f t="shared" si="50"/>
        <v>De</v>
      </c>
      <c r="G667" t="str">
        <f t="shared" si="51"/>
        <v>De158San Antonio</v>
      </c>
      <c r="H667" t="s">
        <v>31525</v>
      </c>
      <c r="I667" t="s">
        <v>22958</v>
      </c>
      <c r="J667" t="str">
        <f t="shared" si="52"/>
        <v>E:\PropInv\MF</v>
      </c>
      <c r="K667" s="103" t="str">
        <f>HYPERLINK("E:\PropInv\MF\San Antonio\De Chantle Rd_158_Executive_San Antonio_00795","De Chantle Rd_158_Executive_San Antonio_00795" )</f>
        <v>De Chantle Rd_158_Executive_San Antonio_00795</v>
      </c>
      <c r="L667" s="104" t="s">
        <v>22253</v>
      </c>
      <c r="M667" s="103" t="str">
        <f t="shared" si="53"/>
        <v>http://oconnordata.com/mlink/modules/profile/index.cfm?action=profile&amp;prop_id=795</v>
      </c>
      <c r="N667" s="1" t="str">
        <f t="shared" si="54"/>
        <v>00795</v>
      </c>
    </row>
    <row r="668" spans="1:14" x14ac:dyDescent="0.3">
      <c r="A668" s="1">
        <v>796</v>
      </c>
      <c r="B668" s="7" t="s">
        <v>1046</v>
      </c>
      <c r="C668" s="12">
        <v>6600</v>
      </c>
      <c r="D668" s="7" t="s">
        <v>1046</v>
      </c>
      <c r="E668" s="13" t="s">
        <v>842</v>
      </c>
      <c r="F668" t="str">
        <f t="shared" si="50"/>
        <v>Fairdale</v>
      </c>
      <c r="G668" t="str">
        <f t="shared" si="51"/>
        <v>Fairdale6600San Antonio</v>
      </c>
      <c r="H668" t="s">
        <v>31526</v>
      </c>
      <c r="I668" t="s">
        <v>22959</v>
      </c>
      <c r="J668" t="str">
        <f t="shared" si="52"/>
        <v>E:\PropInv\MF</v>
      </c>
      <c r="K668" s="103" t="str">
        <f>HYPERLINK("E:\PropInv\MF\San Antonio\Fairdale_6600_Fairdale_San Antonio_00796","Fairdale_6600_Fairdale_San Antonio_00796" )</f>
        <v>Fairdale_6600_Fairdale_San Antonio_00796</v>
      </c>
      <c r="L668" s="104" t="s">
        <v>22253</v>
      </c>
      <c r="M668" s="103" t="str">
        <f t="shared" si="53"/>
        <v>http://oconnordata.com/mlink/modules/profile/index.cfm?action=profile&amp;prop_id=796</v>
      </c>
      <c r="N668" s="1" t="str">
        <f t="shared" si="54"/>
        <v>00796</v>
      </c>
    </row>
    <row r="669" spans="1:14" x14ac:dyDescent="0.3">
      <c r="A669" s="1">
        <v>797</v>
      </c>
      <c r="B669" s="7" t="s">
        <v>1047</v>
      </c>
      <c r="C669" s="12">
        <v>4100</v>
      </c>
      <c r="D669" s="7" t="s">
        <v>1048</v>
      </c>
      <c r="E669" s="13" t="s">
        <v>842</v>
      </c>
      <c r="F669" t="str">
        <f t="shared" si="50"/>
        <v>Parkdale</v>
      </c>
      <c r="G669" t="str">
        <f t="shared" si="51"/>
        <v>Parkdale4100San Antonio</v>
      </c>
      <c r="H669" t="s">
        <v>31527</v>
      </c>
      <c r="I669" t="s">
        <v>22960</v>
      </c>
      <c r="J669" t="str">
        <f t="shared" si="52"/>
        <v>E:\PropInv\MF</v>
      </c>
      <c r="K669" s="103" t="str">
        <f>HYPERLINK("E:\PropInv\MF\San Antonio\Parkdale_4100_Ashler Oaks_San Antonio_00797","Parkdale_4100_Ashler Oaks_San Antonio_00797" )</f>
        <v>Parkdale_4100_Ashler Oaks_San Antonio_00797</v>
      </c>
      <c r="L669" s="104" t="s">
        <v>22253</v>
      </c>
      <c r="M669" s="103" t="str">
        <f t="shared" si="53"/>
        <v>http://oconnordata.com/mlink/modules/profile/index.cfm?action=profile&amp;prop_id=797</v>
      </c>
      <c r="N669" s="1" t="str">
        <f t="shared" si="54"/>
        <v>00797</v>
      </c>
    </row>
    <row r="670" spans="1:14" x14ac:dyDescent="0.3">
      <c r="A670" s="1">
        <v>798</v>
      </c>
      <c r="B670" s="7" t="s">
        <v>1049</v>
      </c>
      <c r="C670" s="12">
        <v>8710</v>
      </c>
      <c r="D670" s="7" t="s">
        <v>1050</v>
      </c>
      <c r="E670" s="13" t="s">
        <v>842</v>
      </c>
      <c r="F670" t="str">
        <f t="shared" si="50"/>
        <v>Data</v>
      </c>
      <c r="G670" t="str">
        <f t="shared" si="51"/>
        <v>Data8710San Antonio</v>
      </c>
      <c r="H670" t="s">
        <v>31528</v>
      </c>
      <c r="I670" t="s">
        <v>22961</v>
      </c>
      <c r="J670" t="str">
        <f t="shared" si="52"/>
        <v>E:\PropInv\MF</v>
      </c>
      <c r="K670" s="103" t="str">
        <f>HYPERLINK("E:\PropInv\MF\San Antonio\Data Point_8710_Fairways V_San Antonio_00798","Data Point_8710_Fairways V_San Antonio_00798" )</f>
        <v>Data Point_8710_Fairways V_San Antonio_00798</v>
      </c>
      <c r="L670" s="104" t="s">
        <v>22253</v>
      </c>
      <c r="M670" s="103" t="str">
        <f t="shared" si="53"/>
        <v>http://oconnordata.com/mlink/modules/profile/index.cfm?action=profile&amp;prop_id=798</v>
      </c>
      <c r="N670" s="1" t="str">
        <f t="shared" si="54"/>
        <v>00798</v>
      </c>
    </row>
    <row r="671" spans="1:14" x14ac:dyDescent="0.3">
      <c r="A671" s="1">
        <v>799</v>
      </c>
      <c r="B671" s="7" t="s">
        <v>1051</v>
      </c>
      <c r="C671" s="12">
        <v>11530</v>
      </c>
      <c r="D671" s="7" t="s">
        <v>1052</v>
      </c>
      <c r="E671" s="13" t="s">
        <v>842</v>
      </c>
      <c r="F671" t="str">
        <f t="shared" si="50"/>
        <v>Vance</v>
      </c>
      <c r="G671" t="str">
        <f t="shared" si="51"/>
        <v>Vance11530San Antonio</v>
      </c>
      <c r="H671" t="s">
        <v>31529</v>
      </c>
      <c r="I671" t="s">
        <v>22962</v>
      </c>
      <c r="J671" t="str">
        <f t="shared" si="52"/>
        <v>E:\PropInv\MF</v>
      </c>
      <c r="K671" s="103" t="str">
        <f>HYPERLINK("E:\PropInv\MF\San Antonio\Vance Jackson Rd_11530_Fifth Avenue_San Antonio_00799","Vance Jackson Rd_11530_Fifth Avenue_San Antonio_00799" )</f>
        <v>Vance Jackson Rd_11530_Fifth Avenue_San Antonio_00799</v>
      </c>
      <c r="L671" s="104" t="s">
        <v>22253</v>
      </c>
      <c r="M671" s="103" t="str">
        <f t="shared" si="53"/>
        <v>http://oconnordata.com/mlink/modules/profile/index.cfm?action=profile&amp;prop_id=799</v>
      </c>
      <c r="N671" s="1" t="str">
        <f t="shared" si="54"/>
        <v>00799</v>
      </c>
    </row>
    <row r="672" spans="1:14" x14ac:dyDescent="0.3">
      <c r="A672" s="1">
        <v>800</v>
      </c>
      <c r="B672" s="7" t="s">
        <v>1053</v>
      </c>
      <c r="C672" s="12">
        <v>6313</v>
      </c>
      <c r="D672" s="7" t="s">
        <v>1054</v>
      </c>
      <c r="E672" s="13" t="s">
        <v>842</v>
      </c>
      <c r="F672" t="str">
        <f t="shared" si="50"/>
        <v>Evers</v>
      </c>
      <c r="G672" t="str">
        <f t="shared" si="51"/>
        <v>Evers6313San Antonio</v>
      </c>
      <c r="H672" t="s">
        <v>31530</v>
      </c>
      <c r="I672" t="s">
        <v>22963</v>
      </c>
      <c r="J672" t="str">
        <f t="shared" si="52"/>
        <v>E:\PropInv\MF</v>
      </c>
      <c r="K672" s="103" t="str">
        <f>HYPERLINK("E:\PropInv\MF\San Antonio\Evers Rd_6313_Forest Oaks_San Antonio_00800","Evers Rd_6313_Forest Oaks_San Antonio_00800" )</f>
        <v>Evers Rd_6313_Forest Oaks_San Antonio_00800</v>
      </c>
      <c r="L672" s="104" t="s">
        <v>22253</v>
      </c>
      <c r="M672" s="103" t="str">
        <f t="shared" si="53"/>
        <v>http://oconnordata.com/mlink/modules/profile/index.cfm?action=profile&amp;prop_id=800</v>
      </c>
      <c r="N672" s="1" t="str">
        <f t="shared" si="54"/>
        <v>00800</v>
      </c>
    </row>
    <row r="673" spans="1:14" x14ac:dyDescent="0.3">
      <c r="A673" s="97">
        <v>801</v>
      </c>
      <c r="B673" s="7" t="s">
        <v>1051</v>
      </c>
      <c r="C673" s="12">
        <v>11707</v>
      </c>
      <c r="D673" s="7" t="s">
        <v>1055</v>
      </c>
      <c r="E673" s="13" t="s">
        <v>842</v>
      </c>
      <c r="F673" t="str">
        <f t="shared" si="50"/>
        <v>Vance</v>
      </c>
      <c r="G673" t="str">
        <f t="shared" si="51"/>
        <v>Vance11707San Antonio</v>
      </c>
      <c r="H673" t="s">
        <v>31531</v>
      </c>
      <c r="I673" t="s">
        <v>22964</v>
      </c>
      <c r="J673" t="str">
        <f t="shared" si="52"/>
        <v>E:\PropInv\MF</v>
      </c>
      <c r="K673" s="103" t="str">
        <f>HYPERLINK("E:\PropInv\MF\San Antonio\Vance Jackson Rd_11707_Woods of Elm Creek_San Antonio_00801","Vance Jackson Rd_11707_Woods of Elm Creek_San Antonio_00801" )</f>
        <v>Vance Jackson Rd_11707_Woods of Elm Creek_San Antonio_00801</v>
      </c>
      <c r="L673" s="104" t="s">
        <v>22253</v>
      </c>
      <c r="M673" s="103" t="str">
        <f t="shared" si="53"/>
        <v>http://oconnordata.com/mlink/modules/profile/index.cfm?action=profile&amp;prop_id=801</v>
      </c>
      <c r="N673" s="1" t="str">
        <f t="shared" si="54"/>
        <v>00801</v>
      </c>
    </row>
    <row r="674" spans="1:14" x14ac:dyDescent="0.3">
      <c r="A674" s="1">
        <v>802</v>
      </c>
      <c r="B674" s="7" t="s">
        <v>1056</v>
      </c>
      <c r="C674" s="12">
        <v>4400</v>
      </c>
      <c r="D674" s="7" t="s">
        <v>1057</v>
      </c>
      <c r="E674" s="13" t="s">
        <v>842</v>
      </c>
      <c r="F674" t="str">
        <f t="shared" si="50"/>
        <v>Horizon</v>
      </c>
      <c r="G674" t="str">
        <f t="shared" si="51"/>
        <v>Horizon4400San Antonio</v>
      </c>
      <c r="H674" t="s">
        <v>31532</v>
      </c>
      <c r="I674" t="s">
        <v>22965</v>
      </c>
      <c r="J674" t="str">
        <f t="shared" si="52"/>
        <v>E:\PropInv\MF</v>
      </c>
      <c r="K674" s="103" t="str">
        <f>HYPERLINK("E:\PropInv\MF\San Antonio\Horizon Hill_4400_Fountainhead_San Antonio_00802","Horizon Hill_4400_Fountainhead_San Antonio_00802" )</f>
        <v>Horizon Hill_4400_Fountainhead_San Antonio_00802</v>
      </c>
      <c r="L674" s="104" t="s">
        <v>22253</v>
      </c>
      <c r="M674" s="103" t="str">
        <f t="shared" si="53"/>
        <v>http://oconnordata.com/mlink/modules/profile/index.cfm?action=profile&amp;prop_id=802</v>
      </c>
      <c r="N674" s="1" t="str">
        <f t="shared" si="54"/>
        <v>00802</v>
      </c>
    </row>
    <row r="675" spans="1:14" x14ac:dyDescent="0.3">
      <c r="A675" s="1">
        <v>803</v>
      </c>
      <c r="B675" s="7" t="s">
        <v>1058</v>
      </c>
      <c r="C675" s="12">
        <v>8630</v>
      </c>
      <c r="D675" s="7" t="s">
        <v>1059</v>
      </c>
      <c r="E675" s="13" t="s">
        <v>842</v>
      </c>
      <c r="F675" t="str">
        <f t="shared" si="50"/>
        <v>Fairhaven</v>
      </c>
      <c r="G675" t="str">
        <f t="shared" si="51"/>
        <v>Fairhaven8630San Antonio</v>
      </c>
      <c r="H675" t="s">
        <v>31533</v>
      </c>
      <c r="I675" t="s">
        <v>22966</v>
      </c>
      <c r="J675" t="str">
        <f t="shared" si="52"/>
        <v>E:\PropInv\MF</v>
      </c>
      <c r="K675" s="103" t="str">
        <f>HYPERLINK("E:\PropInv\MF\San Antonio\Fairhaven_8630_Fountains of San Antonio_San Antonio_00803","Fairhaven_8630_Fountains of San Antonio_San Antonio_00803" )</f>
        <v>Fairhaven_8630_Fountains of San Antonio_San Antonio_00803</v>
      </c>
      <c r="L675" s="104" t="s">
        <v>22253</v>
      </c>
      <c r="M675" s="103" t="str">
        <f t="shared" si="53"/>
        <v>http://oconnordata.com/mlink/modules/profile/index.cfm?action=profile&amp;prop_id=803</v>
      </c>
      <c r="N675" s="1" t="str">
        <f t="shared" si="54"/>
        <v>00803</v>
      </c>
    </row>
    <row r="676" spans="1:14" x14ac:dyDescent="0.3">
      <c r="A676" s="1">
        <v>804</v>
      </c>
      <c r="B676" s="7" t="s">
        <v>865</v>
      </c>
      <c r="C676" s="12">
        <v>12221</v>
      </c>
      <c r="D676" s="7" t="s">
        <v>1060</v>
      </c>
      <c r="E676" s="13" t="s">
        <v>842</v>
      </c>
      <c r="F676" t="str">
        <f t="shared" si="50"/>
        <v>Blanco</v>
      </c>
      <c r="G676" t="str">
        <f t="shared" si="51"/>
        <v>Blanco12221San Antonio</v>
      </c>
      <c r="H676" t="s">
        <v>31534</v>
      </c>
      <c r="I676" t="s">
        <v>22967</v>
      </c>
      <c r="J676" t="str">
        <f t="shared" si="52"/>
        <v>E:\PropInv\MF</v>
      </c>
      <c r="K676" s="103" t="str">
        <f>HYPERLINK("E:\PropInv\MF\San Antonio\Blanco Rd_12221_Fox Fire_San Antonio_00804","Blanco Rd_12221_Fox Fire_San Antonio_00804" )</f>
        <v>Blanco Rd_12221_Fox Fire_San Antonio_00804</v>
      </c>
      <c r="L676" s="104" t="s">
        <v>22253</v>
      </c>
      <c r="M676" s="103" t="str">
        <f t="shared" si="53"/>
        <v>http://oconnordata.com/mlink/modules/profile/index.cfm?action=profile&amp;prop_id=804</v>
      </c>
      <c r="N676" s="1" t="str">
        <f t="shared" si="54"/>
        <v>00804</v>
      </c>
    </row>
    <row r="677" spans="1:14" x14ac:dyDescent="0.3">
      <c r="A677" s="1">
        <v>805</v>
      </c>
      <c r="B677" s="10" t="s">
        <v>919</v>
      </c>
      <c r="C677" s="9">
        <v>10014</v>
      </c>
      <c r="D677" s="10" t="s">
        <v>1061</v>
      </c>
      <c r="E677" s="11" t="s">
        <v>842</v>
      </c>
      <c r="F677" t="str">
        <f t="shared" si="50"/>
        <v>Broadway</v>
      </c>
      <c r="G677" t="str">
        <f t="shared" si="51"/>
        <v>Broadway10014San Antonio</v>
      </c>
      <c r="H677" t="s">
        <v>31535</v>
      </c>
      <c r="I677" t="s">
        <v>22968</v>
      </c>
      <c r="J677" t="str">
        <f t="shared" si="52"/>
        <v>E:\PropInv\MF</v>
      </c>
      <c r="K677" s="103" t="str">
        <f>HYPERLINK("E:\PropInv\MF\San Antonio\Broadway_10014_Fox Run_San Antonio_00805","Broadway_10014_Fox Run_San Antonio_00805" )</f>
        <v>Broadway_10014_Fox Run_San Antonio_00805</v>
      </c>
      <c r="L677" s="104" t="s">
        <v>22253</v>
      </c>
      <c r="M677" s="103" t="str">
        <f t="shared" si="53"/>
        <v>http://oconnordata.com/mlink/modules/profile/index.cfm?action=profile&amp;prop_id=805</v>
      </c>
      <c r="N677" s="1" t="str">
        <f t="shared" si="54"/>
        <v>00805</v>
      </c>
    </row>
    <row r="678" spans="1:14" x14ac:dyDescent="0.3">
      <c r="A678" s="1">
        <v>806</v>
      </c>
      <c r="B678" s="10" t="s">
        <v>855</v>
      </c>
      <c r="C678" s="9">
        <v>3435</v>
      </c>
      <c r="D678" s="10" t="s">
        <v>1062</v>
      </c>
      <c r="E678" s="11" t="s">
        <v>842</v>
      </c>
      <c r="F678" t="str">
        <f t="shared" si="50"/>
        <v>Fredericksburg</v>
      </c>
      <c r="G678" t="str">
        <f t="shared" si="51"/>
        <v>Fredericksburg3435San Antonio</v>
      </c>
      <c r="H678" t="s">
        <v>31536</v>
      </c>
      <c r="I678" t="s">
        <v>22969</v>
      </c>
      <c r="J678" t="str">
        <f t="shared" si="52"/>
        <v>E:\PropInv\MF</v>
      </c>
      <c r="K678" s="103" t="str">
        <f>HYPERLINK("E:\PropInv\MF\San Antonio\Fredericksburg Rd_3435_Fredericksburg Place_San Antonio_00806","Fredericksburg Rd_3435_Fredericksburg Place_San Antonio_00806" )</f>
        <v>Fredericksburg Rd_3435_Fredericksburg Place_San Antonio_00806</v>
      </c>
      <c r="L678" s="104" t="s">
        <v>22253</v>
      </c>
      <c r="M678" s="103" t="str">
        <f t="shared" si="53"/>
        <v>http://oconnordata.com/mlink/modules/profile/index.cfm?action=profile&amp;prop_id=806</v>
      </c>
      <c r="N678" s="1" t="str">
        <f t="shared" si="54"/>
        <v>00806</v>
      </c>
    </row>
    <row r="679" spans="1:14" x14ac:dyDescent="0.3">
      <c r="A679" s="1">
        <v>807</v>
      </c>
      <c r="B679" s="10" t="s">
        <v>840</v>
      </c>
      <c r="C679" s="9">
        <v>1650</v>
      </c>
      <c r="D679" s="16" t="s">
        <v>1063</v>
      </c>
      <c r="E679" s="11" t="s">
        <v>842</v>
      </c>
      <c r="F679" t="str">
        <f t="shared" si="50"/>
        <v>Jackson</v>
      </c>
      <c r="G679" t="str">
        <f t="shared" si="51"/>
        <v>Jackson1650San Antonio</v>
      </c>
      <c r="H679" t="s">
        <v>31537</v>
      </c>
      <c r="I679" t="s">
        <v>18784</v>
      </c>
      <c r="J679" t="str">
        <f t="shared" si="52"/>
        <v>E:\PropInv\MF</v>
      </c>
      <c r="K679" s="103" t="str">
        <f>HYPERLINK("E:\PropInv\MF\San Antonio\Jackson Keller_1650_French Chalet_San Antonio_00807","Jackson Keller_1650_French Chalet_San Antonio_00807" )</f>
        <v>Jackson Keller_1650_French Chalet_San Antonio_00807</v>
      </c>
      <c r="L679" s="104" t="s">
        <v>22253</v>
      </c>
      <c r="M679" s="103" t="str">
        <f t="shared" si="53"/>
        <v>http://oconnordata.com/mlink/modules/profile/index.cfm?action=profile&amp;prop_id=807</v>
      </c>
      <c r="N679" s="1" t="str">
        <f t="shared" si="54"/>
        <v>00807</v>
      </c>
    </row>
    <row r="680" spans="1:14" x14ac:dyDescent="0.3">
      <c r="A680" s="1">
        <v>808</v>
      </c>
      <c r="B680" s="10" t="s">
        <v>1064</v>
      </c>
      <c r="C680" s="9">
        <v>109</v>
      </c>
      <c r="D680" s="10" t="s">
        <v>1065</v>
      </c>
      <c r="E680" s="11" t="s">
        <v>842</v>
      </c>
      <c r="F680" t="str">
        <f t="shared" si="50"/>
        <v>French</v>
      </c>
      <c r="G680" t="str">
        <f t="shared" si="51"/>
        <v>French109San Antonio</v>
      </c>
      <c r="H680" t="s">
        <v>31538</v>
      </c>
      <c r="I680" t="s">
        <v>22970</v>
      </c>
      <c r="J680" t="str">
        <f t="shared" si="52"/>
        <v>E:\PropInv\MF</v>
      </c>
      <c r="K680" s="103" t="str">
        <f>HYPERLINK("E:\PropInv\MF\San Antonio\French Place W_109_French Place_San Antonio_00808","French Place W_109_French Place_San Antonio_00808" )</f>
        <v>French Place W_109_French Place_San Antonio_00808</v>
      </c>
      <c r="L680" s="104" t="s">
        <v>22253</v>
      </c>
      <c r="M680" s="103" t="str">
        <f t="shared" si="53"/>
        <v>http://oconnordata.com/mlink/modules/profile/index.cfm?action=profile&amp;prop_id=808</v>
      </c>
      <c r="N680" s="1" t="str">
        <f t="shared" si="54"/>
        <v>00808</v>
      </c>
    </row>
    <row r="681" spans="1:14" x14ac:dyDescent="0.3">
      <c r="A681" s="1">
        <v>809</v>
      </c>
      <c r="B681" s="10" t="s">
        <v>1066</v>
      </c>
      <c r="C681" s="9">
        <v>9898</v>
      </c>
      <c r="D681" s="10" t="s">
        <v>1067</v>
      </c>
      <c r="E681" s="11" t="s">
        <v>842</v>
      </c>
      <c r="F681" t="str">
        <f t="shared" si="50"/>
        <v>Colonnade</v>
      </c>
      <c r="G681" t="str">
        <f t="shared" si="51"/>
        <v>Colonnade9898San Antonio</v>
      </c>
      <c r="H681" t="s">
        <v>31539</v>
      </c>
      <c r="I681" t="s">
        <v>22971</v>
      </c>
      <c r="J681" t="str">
        <f t="shared" si="52"/>
        <v>E:\PropInv\MF</v>
      </c>
      <c r="K681" s="103" t="str">
        <f>HYPERLINK("E:\PropInv\MF\San Antonio\Colonnade Blvd_9898_Colonnade_San Antonio_00809","Colonnade Blvd_9898_Colonnade_San Antonio_00809" )</f>
        <v>Colonnade Blvd_9898_Colonnade_San Antonio_00809</v>
      </c>
      <c r="L681" s="104" t="s">
        <v>22253</v>
      </c>
      <c r="M681" s="103" t="str">
        <f t="shared" si="53"/>
        <v>http://oconnordata.com/mlink/modules/profile/index.cfm?action=profile&amp;prop_id=809</v>
      </c>
      <c r="N681" s="1" t="str">
        <f t="shared" si="54"/>
        <v>00809</v>
      </c>
    </row>
    <row r="682" spans="1:14" x14ac:dyDescent="0.3">
      <c r="A682" s="1">
        <v>810</v>
      </c>
      <c r="B682" s="10" t="s">
        <v>1068</v>
      </c>
      <c r="C682" s="9">
        <v>11700</v>
      </c>
      <c r="D682" s="10" t="s">
        <v>1069</v>
      </c>
      <c r="E682" s="11" t="s">
        <v>842</v>
      </c>
      <c r="F682" t="str">
        <f t="shared" si="50"/>
        <v>Wall</v>
      </c>
      <c r="G682" t="str">
        <f t="shared" si="51"/>
        <v>Wall11700San Antonio</v>
      </c>
      <c r="H682" t="s">
        <v>31540</v>
      </c>
      <c r="I682" t="s">
        <v>22972</v>
      </c>
      <c r="J682" t="str">
        <f t="shared" si="52"/>
        <v>E:\PropInv\MF</v>
      </c>
      <c r="K682" s="103" t="str">
        <f>HYPERLINK("E:\PropInv\MF\San Antonio\Wall St_11700_Providence at Wall Street_San Antonio_00810","Wall St_11700_Providence at Wall Street_San Antonio_00810" )</f>
        <v>Wall St_11700_Providence at Wall Street_San Antonio_00810</v>
      </c>
      <c r="L682" s="104" t="s">
        <v>22253</v>
      </c>
      <c r="M682" s="103" t="str">
        <f t="shared" si="53"/>
        <v>http://oconnordata.com/mlink/modules/profile/index.cfm?action=profile&amp;prop_id=810</v>
      </c>
      <c r="N682" s="1" t="str">
        <f t="shared" si="54"/>
        <v>00810</v>
      </c>
    </row>
    <row r="683" spans="1:14" x14ac:dyDescent="0.3">
      <c r="A683" s="1">
        <v>811</v>
      </c>
      <c r="B683" s="10" t="s">
        <v>1070</v>
      </c>
      <c r="C683" s="9">
        <v>11660</v>
      </c>
      <c r="D683" s="10" t="s">
        <v>1071</v>
      </c>
      <c r="E683" s="11" t="s">
        <v>842</v>
      </c>
      <c r="F683" t="str">
        <f t="shared" si="50"/>
        <v>Huebner</v>
      </c>
      <c r="G683" t="str">
        <f t="shared" si="51"/>
        <v>Huebner11660San Antonio</v>
      </c>
      <c r="H683" t="s">
        <v>31541</v>
      </c>
      <c r="I683" t="s">
        <v>22973</v>
      </c>
      <c r="J683" t="str">
        <f t="shared" si="52"/>
        <v>E:\PropInv\MF</v>
      </c>
      <c r="K683" s="103" t="str">
        <f>HYPERLINK("E:\PropInv\MF\San Antonio\Huebner Rd_11660_The Gables_San Antonio_00811","Huebner Rd_11660_The Gables_San Antonio_00811" )</f>
        <v>Huebner Rd_11660_The Gables_San Antonio_00811</v>
      </c>
      <c r="L683" s="104" t="s">
        <v>22253</v>
      </c>
      <c r="M683" s="103" t="str">
        <f t="shared" si="53"/>
        <v>http://oconnordata.com/mlink/modules/profile/index.cfm?action=profile&amp;prop_id=811</v>
      </c>
      <c r="N683" s="1" t="str">
        <f t="shared" si="54"/>
        <v>00811</v>
      </c>
    </row>
    <row r="684" spans="1:14" x14ac:dyDescent="0.3">
      <c r="A684" s="1">
        <v>812</v>
      </c>
      <c r="B684" s="10" t="s">
        <v>1072</v>
      </c>
      <c r="C684" s="9">
        <v>2431</v>
      </c>
      <c r="D684" s="10" t="s">
        <v>1073</v>
      </c>
      <c r="E684" s="11" t="s">
        <v>842</v>
      </c>
      <c r="F684" t="str">
        <f t="shared" si="50"/>
        <v>Pinn</v>
      </c>
      <c r="G684" t="str">
        <f t="shared" si="51"/>
        <v>Pinn2431San Antonio</v>
      </c>
      <c r="H684" t="s">
        <v>31542</v>
      </c>
      <c r="I684" t="s">
        <v>22974</v>
      </c>
      <c r="J684" t="str">
        <f t="shared" si="52"/>
        <v>E:\PropInv\MF</v>
      </c>
      <c r="K684" s="103" t="str">
        <f>HYPERLINK("E:\PropInv\MF\San Antonio\Pinn Rd_2431_Hacienda Apts_San Antonio_00812","Pinn Rd_2431_Hacienda Apts_San Antonio_00812" )</f>
        <v>Pinn Rd_2431_Hacienda Apts_San Antonio_00812</v>
      </c>
      <c r="L684" s="104" t="s">
        <v>22253</v>
      </c>
      <c r="M684" s="103" t="str">
        <f t="shared" si="53"/>
        <v>http://oconnordata.com/mlink/modules/profile/index.cfm?action=profile&amp;prop_id=812</v>
      </c>
      <c r="N684" s="1" t="str">
        <f t="shared" si="54"/>
        <v>00812</v>
      </c>
    </row>
    <row r="685" spans="1:14" x14ac:dyDescent="0.3">
      <c r="A685" s="1">
        <v>813</v>
      </c>
      <c r="B685" s="10" t="s">
        <v>583</v>
      </c>
      <c r="C685" s="9">
        <v>149</v>
      </c>
      <c r="D685" s="10" t="s">
        <v>1074</v>
      </c>
      <c r="E685" s="11" t="s">
        <v>864</v>
      </c>
      <c r="F685" t="str">
        <f t="shared" si="50"/>
        <v>Village</v>
      </c>
      <c r="G685" t="str">
        <f t="shared" si="51"/>
        <v>Village149Universal City</v>
      </c>
      <c r="H685" t="s">
        <v>31543</v>
      </c>
      <c r="I685" t="s">
        <v>22975</v>
      </c>
      <c r="J685" t="str">
        <f t="shared" si="52"/>
        <v>E:\PropInv\MF</v>
      </c>
      <c r="K685" s="103" t="str">
        <f>HYPERLINK("E:\PropInv\MF\Universal City\Village Green_149_Gold Talon_Universal City_00813","Village Green_149_Gold Talon_Universal City_00813" )</f>
        <v>Village Green_149_Gold Talon_Universal City_00813</v>
      </c>
      <c r="L685" s="104" t="s">
        <v>22253</v>
      </c>
      <c r="M685" s="103" t="str">
        <f t="shared" si="53"/>
        <v>http://oconnordata.com/mlink/modules/profile/index.cfm?action=profile&amp;prop_id=813</v>
      </c>
      <c r="N685" s="1" t="str">
        <f t="shared" si="54"/>
        <v>00813</v>
      </c>
    </row>
    <row r="686" spans="1:14" x14ac:dyDescent="0.3">
      <c r="A686" s="1">
        <v>814</v>
      </c>
      <c r="B686" s="7" t="s">
        <v>1075</v>
      </c>
      <c r="C686" s="12">
        <v>2819</v>
      </c>
      <c r="D686" s="7" t="s">
        <v>1076</v>
      </c>
      <c r="E686" s="13" t="s">
        <v>842</v>
      </c>
      <c r="F686" t="str">
        <f t="shared" si="50"/>
        <v>Military</v>
      </c>
      <c r="G686" t="str">
        <f t="shared" si="51"/>
        <v>Military2819San Antonio</v>
      </c>
      <c r="H686" t="s">
        <v>31544</v>
      </c>
      <c r="I686" t="s">
        <v>22976</v>
      </c>
      <c r="J686" t="str">
        <f t="shared" si="52"/>
        <v>E:\PropInv\MF</v>
      </c>
      <c r="K686" s="103" t="str">
        <f>HYPERLINK("E:\PropInv\MF\San Antonio\Military Dr SE_2819_Cielo Hills_San Antonio_00814","Military Dr SE_2819_Cielo Hills_San Antonio_00814" )</f>
        <v>Military Dr SE_2819_Cielo Hills_San Antonio_00814</v>
      </c>
      <c r="L686" s="104" t="s">
        <v>22253</v>
      </c>
      <c r="M686" s="103" t="str">
        <f t="shared" si="53"/>
        <v>http://oconnordata.com/mlink/modules/profile/index.cfm?action=profile&amp;prop_id=814</v>
      </c>
      <c r="N686" s="1" t="str">
        <f t="shared" si="54"/>
        <v>00814</v>
      </c>
    </row>
    <row r="687" spans="1:14" x14ac:dyDescent="0.3">
      <c r="A687" s="1">
        <v>815</v>
      </c>
      <c r="B687" s="7" t="s">
        <v>1077</v>
      </c>
      <c r="C687" s="12">
        <v>453</v>
      </c>
      <c r="D687" s="7" t="s">
        <v>1078</v>
      </c>
      <c r="E687" s="13" t="s">
        <v>912</v>
      </c>
      <c r="F687" t="str">
        <f t="shared" si="50"/>
        <v>35</v>
      </c>
      <c r="G687" t="str">
        <f t="shared" si="51"/>
        <v>35453New Braunfels</v>
      </c>
      <c r="H687" t="s">
        <v>31545</v>
      </c>
      <c r="I687" t="s">
        <v>22977</v>
      </c>
      <c r="J687" t="str">
        <f t="shared" si="52"/>
        <v>E:\PropInv\MF</v>
      </c>
      <c r="K687" s="103" t="str">
        <f>HYPERLINK("E:\PropInv\MF\New Braunfels\35 IH Business_453_Grand Cypress_New Braunfels_00815","35 IH Business_453_Grand Cypress_New Braunfels_00815" )</f>
        <v>35 IH Business_453_Grand Cypress_New Braunfels_00815</v>
      </c>
      <c r="L687" s="104" t="s">
        <v>22253</v>
      </c>
      <c r="M687" s="103" t="str">
        <f t="shared" si="53"/>
        <v>http://oconnordata.com/mlink/modules/profile/index.cfm?action=profile&amp;prop_id=815</v>
      </c>
      <c r="N687" s="1" t="str">
        <f t="shared" si="54"/>
        <v>00815</v>
      </c>
    </row>
    <row r="688" spans="1:14" x14ac:dyDescent="0.3">
      <c r="A688" s="1">
        <v>816</v>
      </c>
      <c r="B688" s="10" t="s">
        <v>1070</v>
      </c>
      <c r="C688" s="9">
        <v>11600</v>
      </c>
      <c r="D688" s="10" t="s">
        <v>1079</v>
      </c>
      <c r="E688" s="11" t="s">
        <v>842</v>
      </c>
      <c r="F688" t="str">
        <f t="shared" si="50"/>
        <v>Huebner</v>
      </c>
      <c r="G688" t="str">
        <f t="shared" si="51"/>
        <v>Huebner11600San Antonio</v>
      </c>
      <c r="H688" t="s">
        <v>31546</v>
      </c>
      <c r="I688" t="s">
        <v>22978</v>
      </c>
      <c r="J688" t="str">
        <f t="shared" si="52"/>
        <v>E:\PropInv\MF</v>
      </c>
      <c r="K688" s="103" t="str">
        <f>HYPERLINK("E:\PropInv\MF\San Antonio\Huebner Rd_11600_Forest Glen_San Antonio_00816","Huebner Rd_11600_Forest Glen_San Antonio_00816" )</f>
        <v>Huebner Rd_11600_Forest Glen_San Antonio_00816</v>
      </c>
      <c r="L688" s="104" t="s">
        <v>22253</v>
      </c>
      <c r="M688" s="103" t="str">
        <f t="shared" si="53"/>
        <v>http://oconnordata.com/mlink/modules/profile/index.cfm?action=profile&amp;prop_id=816</v>
      </c>
      <c r="N688" s="1" t="str">
        <f t="shared" si="54"/>
        <v>00816</v>
      </c>
    </row>
    <row r="689" spans="1:14" x14ac:dyDescent="0.3">
      <c r="A689" s="1">
        <v>817</v>
      </c>
      <c r="B689" s="7" t="s">
        <v>1080</v>
      </c>
      <c r="C689" s="12">
        <v>8535</v>
      </c>
      <c r="D689" s="7" t="s">
        <v>1080</v>
      </c>
      <c r="E689" s="13" t="s">
        <v>842</v>
      </c>
      <c r="F689" t="str">
        <f t="shared" si="50"/>
        <v>Greenbriar</v>
      </c>
      <c r="G689" t="str">
        <f t="shared" si="51"/>
        <v>Greenbriar8535San Antonio</v>
      </c>
      <c r="H689" t="s">
        <v>31547</v>
      </c>
      <c r="I689" t="s">
        <v>22979</v>
      </c>
      <c r="J689" t="str">
        <f t="shared" si="52"/>
        <v>E:\PropInv\MF</v>
      </c>
      <c r="K689" s="103" t="str">
        <f>HYPERLINK("E:\PropInv\MF\San Antonio\Greenbriar_8535_Greenbriar_San Antonio_00817","Greenbriar_8535_Greenbriar_San Antonio_00817" )</f>
        <v>Greenbriar_8535_Greenbriar_San Antonio_00817</v>
      </c>
      <c r="L689" s="104" t="s">
        <v>22253</v>
      </c>
      <c r="M689" s="103" t="str">
        <f t="shared" si="53"/>
        <v>http://oconnordata.com/mlink/modules/profile/index.cfm?action=profile&amp;prop_id=817</v>
      </c>
      <c r="N689" s="1" t="str">
        <f t="shared" si="54"/>
        <v>00817</v>
      </c>
    </row>
    <row r="690" spans="1:14" ht="15" thickBot="1" x14ac:dyDescent="0.35">
      <c r="A690" s="1">
        <v>818</v>
      </c>
      <c r="B690" s="26" t="s">
        <v>840</v>
      </c>
      <c r="C690" s="27">
        <v>215</v>
      </c>
      <c r="D690" s="26" t="s">
        <v>1081</v>
      </c>
      <c r="E690" s="28" t="s">
        <v>842</v>
      </c>
      <c r="F690" t="str">
        <f t="shared" si="50"/>
        <v>Jackson</v>
      </c>
      <c r="G690" t="str">
        <f t="shared" si="51"/>
        <v>Jackson215San Antonio</v>
      </c>
      <c r="H690" t="s">
        <v>31548</v>
      </c>
      <c r="I690" t="s">
        <v>22980</v>
      </c>
      <c r="J690" t="str">
        <f t="shared" si="52"/>
        <v>E:\PropInv\MF</v>
      </c>
      <c r="K690" s="103" t="str">
        <f>HYPERLINK("E:\PropInv\MF\San Antonio\Jackson Keller_215_Greenwich Village_San Antonio_00818","Jackson Keller_215_Greenwich Village_San Antonio_00818" )</f>
        <v>Jackson Keller_215_Greenwich Village_San Antonio_00818</v>
      </c>
      <c r="L690" s="104" t="s">
        <v>22253</v>
      </c>
      <c r="M690" s="103" t="str">
        <f t="shared" si="53"/>
        <v>http://oconnordata.com/mlink/modules/profile/index.cfm?action=profile&amp;prop_id=818</v>
      </c>
      <c r="N690" s="1" t="str">
        <f t="shared" si="54"/>
        <v>00818</v>
      </c>
    </row>
    <row r="691" spans="1:14" x14ac:dyDescent="0.3">
      <c r="A691" s="1">
        <v>819</v>
      </c>
      <c r="B691" s="7" t="s">
        <v>1082</v>
      </c>
      <c r="C691" s="12">
        <v>301</v>
      </c>
      <c r="D691" s="7" t="s">
        <v>1083</v>
      </c>
      <c r="E691" s="13" t="s">
        <v>912</v>
      </c>
      <c r="F691" t="str">
        <f t="shared" si="50"/>
        <v>Castlewood</v>
      </c>
      <c r="G691" t="str">
        <f t="shared" si="51"/>
        <v>Castlewood301New Braunfels</v>
      </c>
      <c r="H691" t="s">
        <v>31549</v>
      </c>
      <c r="I691" t="s">
        <v>22981</v>
      </c>
      <c r="J691" t="str">
        <f t="shared" si="52"/>
        <v>E:\PropInv\MF</v>
      </c>
      <c r="K691" s="103" t="str">
        <f>HYPERLINK("E:\PropInv\MF\New Braunfels\Castlewood Dr_301_Gruenewood Villas_New Braunfels_00819","Castlewood Dr_301_Gruenewood Villas_New Braunfels_00819" )</f>
        <v>Castlewood Dr_301_Gruenewood Villas_New Braunfels_00819</v>
      </c>
      <c r="L691" s="104" t="s">
        <v>22253</v>
      </c>
      <c r="M691" s="103" t="str">
        <f t="shared" si="53"/>
        <v>http://oconnordata.com/mlink/modules/profile/index.cfm?action=profile&amp;prop_id=819</v>
      </c>
      <c r="N691" s="1" t="str">
        <f t="shared" si="54"/>
        <v>00819</v>
      </c>
    </row>
    <row r="692" spans="1:14" x14ac:dyDescent="0.3">
      <c r="A692" s="1">
        <v>820</v>
      </c>
      <c r="B692" s="7" t="s">
        <v>1084</v>
      </c>
      <c r="C692" s="12">
        <v>7585</v>
      </c>
      <c r="D692" s="7" t="s">
        <v>1085</v>
      </c>
      <c r="E692" s="13" t="s">
        <v>842</v>
      </c>
      <c r="F692" t="str">
        <f t="shared" si="50"/>
        <v>Ingram</v>
      </c>
      <c r="G692" t="str">
        <f t="shared" si="51"/>
        <v>Ingram7585San Antonio</v>
      </c>
      <c r="H692" t="s">
        <v>31550</v>
      </c>
      <c r="I692" t="s">
        <v>22982</v>
      </c>
      <c r="J692" t="str">
        <f t="shared" si="52"/>
        <v>E:\PropInv\MF</v>
      </c>
      <c r="K692" s="103" t="str">
        <f>HYPERLINK("E:\PropInv\MF\San Antonio\Ingram Rd_7585_Silver Oaks_San Antonio_00820","Ingram Rd_7585_Silver Oaks_San Antonio_00820" )</f>
        <v>Ingram Rd_7585_Silver Oaks_San Antonio_00820</v>
      </c>
      <c r="L692" s="104" t="s">
        <v>22253</v>
      </c>
      <c r="M692" s="103" t="str">
        <f t="shared" si="53"/>
        <v>http://oconnordata.com/mlink/modules/profile/index.cfm?action=profile&amp;prop_id=820</v>
      </c>
      <c r="N692" s="1" t="str">
        <f t="shared" si="54"/>
        <v>00820</v>
      </c>
    </row>
    <row r="693" spans="1:14" x14ac:dyDescent="0.3">
      <c r="A693" s="1">
        <v>821</v>
      </c>
      <c r="B693" s="7" t="s">
        <v>1086</v>
      </c>
      <c r="C693" s="12">
        <v>9180</v>
      </c>
      <c r="D693" s="7" t="s">
        <v>396</v>
      </c>
      <c r="E693" s="13" t="s">
        <v>1087</v>
      </c>
      <c r="F693" t="str">
        <f t="shared" si="50"/>
        <v>Shadow</v>
      </c>
      <c r="G693" t="str">
        <f t="shared" si="51"/>
        <v>Shadow9180Converse</v>
      </c>
      <c r="H693" t="s">
        <v>31551</v>
      </c>
      <c r="I693" t="s">
        <v>22983</v>
      </c>
      <c r="J693" t="str">
        <f t="shared" si="52"/>
        <v>E:\PropInv\MF</v>
      </c>
      <c r="K693" s="103" t="str">
        <f>HYPERLINK("E:\PropInv\MF\Converse\Shadow Creek Ln_9180_Shadow Creek_Converse_00821","Shadow Creek Ln_9180_Shadow Creek_Converse_00821" )</f>
        <v>Shadow Creek Ln_9180_Shadow Creek_Converse_00821</v>
      </c>
      <c r="L693" s="104" t="s">
        <v>22253</v>
      </c>
      <c r="M693" s="103" t="str">
        <f t="shared" si="53"/>
        <v>http://oconnordata.com/mlink/modules/profile/index.cfm?action=profile&amp;prop_id=821</v>
      </c>
      <c r="N693" s="1" t="str">
        <f t="shared" si="54"/>
        <v>00821</v>
      </c>
    </row>
    <row r="694" spans="1:14" x14ac:dyDescent="0.3">
      <c r="A694" s="1">
        <v>822</v>
      </c>
      <c r="B694" s="7" t="s">
        <v>1088</v>
      </c>
      <c r="C694" s="12">
        <v>2566</v>
      </c>
      <c r="D694" s="7" t="s">
        <v>1089</v>
      </c>
      <c r="E694" s="13" t="s">
        <v>842</v>
      </c>
      <c r="F694" t="str">
        <f t="shared" si="50"/>
        <v>Goliad</v>
      </c>
      <c r="G694" t="str">
        <f t="shared" si="51"/>
        <v>Goliad2566San Antonio</v>
      </c>
      <c r="H694" t="s">
        <v>31552</v>
      </c>
      <c r="I694" t="s">
        <v>22984</v>
      </c>
      <c r="J694" t="str">
        <f t="shared" si="52"/>
        <v>E:\PropInv\MF</v>
      </c>
      <c r="K694" s="103" t="str">
        <f>HYPERLINK("E:\PropInv\MF\San Antonio\Goliad Rd_2566_Grove Park_San Antonio_00822","Goliad Rd_2566_Grove Park_San Antonio_00822" )</f>
        <v>Goliad Rd_2566_Grove Park_San Antonio_00822</v>
      </c>
      <c r="L694" s="104" t="s">
        <v>22253</v>
      </c>
      <c r="M694" s="103" t="str">
        <f t="shared" si="53"/>
        <v>http://oconnordata.com/mlink/modules/profile/index.cfm?action=profile&amp;prop_id=822</v>
      </c>
      <c r="N694" s="1" t="str">
        <f t="shared" si="54"/>
        <v>00822</v>
      </c>
    </row>
    <row r="695" spans="1:14" x14ac:dyDescent="0.3">
      <c r="A695" s="1">
        <v>823</v>
      </c>
      <c r="B695" s="7" t="s">
        <v>981</v>
      </c>
      <c r="C695" s="12">
        <v>8425</v>
      </c>
      <c r="D695" s="7" t="s">
        <v>1090</v>
      </c>
      <c r="E695" s="13" t="s">
        <v>842</v>
      </c>
      <c r="F695" t="str">
        <f t="shared" si="50"/>
        <v>Ahern</v>
      </c>
      <c r="G695" t="str">
        <f t="shared" si="51"/>
        <v>Ahern8425San Antonio</v>
      </c>
      <c r="H695" t="s">
        <v>31553</v>
      </c>
      <c r="I695" t="s">
        <v>22985</v>
      </c>
      <c r="J695" t="str">
        <f t="shared" si="52"/>
        <v>E:\PropInv\MF</v>
      </c>
      <c r="K695" s="103" t="str">
        <f>HYPERLINK("E:\PropInv\MF\San Antonio\Ahern Dr_8425_Hallmark_San Antonio_00823","Ahern Dr_8425_Hallmark_San Antonio_00823" )</f>
        <v>Ahern Dr_8425_Hallmark_San Antonio_00823</v>
      </c>
      <c r="L695" s="104" t="s">
        <v>22253</v>
      </c>
      <c r="M695" s="103" t="str">
        <f t="shared" si="53"/>
        <v>http://oconnordata.com/mlink/modules/profile/index.cfm?action=profile&amp;prop_id=823</v>
      </c>
      <c r="N695" s="1" t="str">
        <f t="shared" si="54"/>
        <v>00823</v>
      </c>
    </row>
    <row r="696" spans="1:14" x14ac:dyDescent="0.3">
      <c r="A696" s="1">
        <v>824</v>
      </c>
      <c r="B696" s="7" t="s">
        <v>960</v>
      </c>
      <c r="C696" s="12">
        <v>2600</v>
      </c>
      <c r="D696" s="7" t="s">
        <v>1091</v>
      </c>
      <c r="E696" s="13" t="s">
        <v>842</v>
      </c>
      <c r="F696" t="str">
        <f t="shared" si="50"/>
        <v>410</v>
      </c>
      <c r="G696" t="str">
        <f t="shared" si="51"/>
        <v>4102600San Antonio</v>
      </c>
      <c r="H696" t="s">
        <v>31554</v>
      </c>
      <c r="I696" t="s">
        <v>22986</v>
      </c>
      <c r="J696" t="str">
        <f t="shared" si="52"/>
        <v>E:\PropInv\MF</v>
      </c>
      <c r="K696" s="103" t="str">
        <f>HYPERLINK("E:\PropInv\MF\San Antonio\410 Loop NE_2600_Hampton Green_San Antonio_00824","410 Loop NE_2600_Hampton Green_San Antonio_00824" )</f>
        <v>410 Loop NE_2600_Hampton Green_San Antonio_00824</v>
      </c>
      <c r="L696" s="104" t="s">
        <v>22253</v>
      </c>
      <c r="M696" s="103" t="str">
        <f t="shared" si="53"/>
        <v>http://oconnordata.com/mlink/modules/profile/index.cfm?action=profile&amp;prop_id=824</v>
      </c>
      <c r="N696" s="1" t="str">
        <f t="shared" si="54"/>
        <v>00824</v>
      </c>
    </row>
    <row r="697" spans="1:14" x14ac:dyDescent="0.3">
      <c r="A697" s="1">
        <v>825</v>
      </c>
      <c r="B697" s="7" t="s">
        <v>849</v>
      </c>
      <c r="C697" s="12">
        <v>12324</v>
      </c>
      <c r="D697" s="7" t="s">
        <v>1092</v>
      </c>
      <c r="E697" s="13" t="s">
        <v>842</v>
      </c>
      <c r="F697" t="str">
        <f t="shared" si="50"/>
        <v>Starcrest</v>
      </c>
      <c r="G697" t="str">
        <f t="shared" si="51"/>
        <v>Starcrest12324San Antonio</v>
      </c>
      <c r="H697" t="s">
        <v>31555</v>
      </c>
      <c r="I697" t="s">
        <v>22987</v>
      </c>
      <c r="J697" t="str">
        <f t="shared" si="52"/>
        <v>E:\PropInv\MF</v>
      </c>
      <c r="K697" s="103" t="str">
        <f>HYPERLINK("E:\PropInv\MF\San Antonio\Starcrest Dr_12324_Hampton North_San Antonio_00825","Starcrest Dr_12324_Hampton North_San Antonio_00825" )</f>
        <v>Starcrest Dr_12324_Hampton North_San Antonio_00825</v>
      </c>
      <c r="L697" s="104" t="s">
        <v>22253</v>
      </c>
      <c r="M697" s="103" t="str">
        <f t="shared" si="53"/>
        <v>http://oconnordata.com/mlink/modules/profile/index.cfm?action=profile&amp;prop_id=825</v>
      </c>
      <c r="N697" s="1" t="str">
        <f t="shared" si="54"/>
        <v>00825</v>
      </c>
    </row>
    <row r="698" spans="1:14" x14ac:dyDescent="0.3">
      <c r="A698" s="1">
        <v>826</v>
      </c>
      <c r="B698" s="7" t="s">
        <v>950</v>
      </c>
      <c r="C698" s="12">
        <v>1300</v>
      </c>
      <c r="D698" s="7" t="s">
        <v>1093</v>
      </c>
      <c r="E698" s="13" t="s">
        <v>842</v>
      </c>
      <c r="F698" t="str">
        <f t="shared" si="50"/>
        <v>Patricia</v>
      </c>
      <c r="G698" t="str">
        <f t="shared" si="51"/>
        <v>Patricia1300San Antonio</v>
      </c>
      <c r="H698" t="s">
        <v>31556</v>
      </c>
      <c r="I698" t="s">
        <v>22988</v>
      </c>
      <c r="J698" t="str">
        <f t="shared" si="52"/>
        <v>E:\PropInv\MF</v>
      </c>
      <c r="K698" s="103" t="str">
        <f>HYPERLINK("E:\PropInv\MF\San Antonio\Patricia Dr_1300_Rockport Landing_San Antonio_00826","Patricia Dr_1300_Rockport Landing_San Antonio_00826" )</f>
        <v>Patricia Dr_1300_Rockport Landing_San Antonio_00826</v>
      </c>
      <c r="L698" s="104" t="s">
        <v>22253</v>
      </c>
      <c r="M698" s="103" t="str">
        <f t="shared" si="53"/>
        <v>http://oconnordata.com/mlink/modules/profile/index.cfm?action=profile&amp;prop_id=826</v>
      </c>
      <c r="N698" s="1" t="str">
        <f t="shared" si="54"/>
        <v>00826</v>
      </c>
    </row>
    <row r="699" spans="1:14" x14ac:dyDescent="0.3">
      <c r="A699" s="97">
        <v>827</v>
      </c>
      <c r="B699" s="7" t="s">
        <v>1051</v>
      </c>
      <c r="C699" s="12">
        <v>12222</v>
      </c>
      <c r="D699" s="7" t="s">
        <v>1094</v>
      </c>
      <c r="E699" s="13" t="s">
        <v>842</v>
      </c>
      <c r="F699" t="str">
        <f t="shared" si="50"/>
        <v>Vance</v>
      </c>
      <c r="G699" t="str">
        <f t="shared" si="51"/>
        <v>Vance12222San Antonio</v>
      </c>
      <c r="H699" t="s">
        <v>31557</v>
      </c>
      <c r="I699" t="s">
        <v>22989</v>
      </c>
      <c r="J699" t="str">
        <f t="shared" si="52"/>
        <v>E:\PropInv\MF</v>
      </c>
      <c r="K699" s="103" t="str">
        <f>HYPERLINK("E:\PropInv\MF\San Antonio\Vance Jackson Rd_12222_Windsor House_San Antonio_00827","Vance Jackson Rd_12222_Windsor House_San Antonio_00827" )</f>
        <v>Vance Jackson Rd_12222_Windsor House_San Antonio_00827</v>
      </c>
      <c r="L699" s="104" t="s">
        <v>22253</v>
      </c>
      <c r="M699" s="103" t="str">
        <f t="shared" si="53"/>
        <v>http://oconnordata.com/mlink/modules/profile/index.cfm?action=profile&amp;prop_id=827</v>
      </c>
      <c r="N699" s="1" t="str">
        <f t="shared" si="54"/>
        <v>00827</v>
      </c>
    </row>
    <row r="700" spans="1:14" x14ac:dyDescent="0.3">
      <c r="A700" s="1">
        <v>828</v>
      </c>
      <c r="B700" s="7" t="s">
        <v>1095</v>
      </c>
      <c r="C700" s="12">
        <v>8801</v>
      </c>
      <c r="D700" s="7" t="s">
        <v>1096</v>
      </c>
      <c r="E700" s="13" t="s">
        <v>842</v>
      </c>
      <c r="F700" t="str">
        <f t="shared" si="50"/>
        <v>Cinnamon</v>
      </c>
      <c r="G700" t="str">
        <f t="shared" si="51"/>
        <v>Cinnamon8801San Antonio</v>
      </c>
      <c r="H700" t="s">
        <v>31558</v>
      </c>
      <c r="I700" t="s">
        <v>22990</v>
      </c>
      <c r="J700" t="str">
        <f t="shared" si="52"/>
        <v>E:\PropInv\MF</v>
      </c>
      <c r="K700" s="103" t="str">
        <f>HYPERLINK("E:\PropInv\MF\San Antonio\Cinnamon Creek Dr_8801_Hearthstone_San Antonio_00828","Cinnamon Creek Dr_8801_Hearthstone_San Antonio_00828" )</f>
        <v>Cinnamon Creek Dr_8801_Hearthstone_San Antonio_00828</v>
      </c>
      <c r="L700" s="104" t="s">
        <v>22253</v>
      </c>
      <c r="M700" s="103" t="str">
        <f t="shared" si="53"/>
        <v>http://oconnordata.com/mlink/modules/profile/index.cfm?action=profile&amp;prop_id=828</v>
      </c>
      <c r="N700" s="1" t="str">
        <f t="shared" si="54"/>
        <v>00828</v>
      </c>
    </row>
    <row r="701" spans="1:14" x14ac:dyDescent="0.3">
      <c r="A701" s="1">
        <v>829</v>
      </c>
      <c r="B701" s="7" t="s">
        <v>942</v>
      </c>
      <c r="C701" s="12">
        <v>1543</v>
      </c>
      <c r="D701" s="7" t="s">
        <v>1097</v>
      </c>
      <c r="E701" s="13" t="s">
        <v>842</v>
      </c>
      <c r="F701" t="str">
        <f t="shared" si="50"/>
        <v>Babcock</v>
      </c>
      <c r="G701" t="str">
        <f t="shared" si="51"/>
        <v>Babcock1543San Antonio</v>
      </c>
      <c r="H701" t="s">
        <v>31559</v>
      </c>
      <c r="I701" t="s">
        <v>22991</v>
      </c>
      <c r="J701" t="str">
        <f t="shared" si="52"/>
        <v>E:\PropInv\MF</v>
      </c>
      <c r="K701" s="103" t="str">
        <f>HYPERLINK("E:\PropInv\MF\San Antonio\Babcock Rd_1543_Heritage Park_San Antonio_00829","Babcock Rd_1543_Heritage Park_San Antonio_00829" )</f>
        <v>Babcock Rd_1543_Heritage Park_San Antonio_00829</v>
      </c>
      <c r="L701" s="104" t="s">
        <v>22253</v>
      </c>
      <c r="M701" s="103" t="str">
        <f t="shared" si="53"/>
        <v>http://oconnordata.com/mlink/modules/profile/index.cfm?action=profile&amp;prop_id=829</v>
      </c>
      <c r="N701" s="1" t="str">
        <f t="shared" si="54"/>
        <v>00829</v>
      </c>
    </row>
    <row r="702" spans="1:14" x14ac:dyDescent="0.3">
      <c r="A702" s="1">
        <v>830</v>
      </c>
      <c r="B702" s="7" t="s">
        <v>930</v>
      </c>
      <c r="C702" s="12">
        <v>5959</v>
      </c>
      <c r="D702" s="7" t="s">
        <v>1098</v>
      </c>
      <c r="E702" s="13" t="s">
        <v>842</v>
      </c>
      <c r="F702" t="str">
        <f t="shared" si="50"/>
        <v>Wurzbach</v>
      </c>
      <c r="G702" t="str">
        <f t="shared" si="51"/>
        <v>Wurzbach5959San Antonio</v>
      </c>
      <c r="H702" t="s">
        <v>31560</v>
      </c>
      <c r="I702" t="s">
        <v>22992</v>
      </c>
      <c r="J702" t="str">
        <f t="shared" si="52"/>
        <v>E:\PropInv\MF</v>
      </c>
      <c r="K702" s="103" t="str">
        <f>HYPERLINK("E:\PropInv\MF\San Antonio\Wurzbach Rd_5959_Hidden Meadow_San Antonio_00830","Wurzbach Rd_5959_Hidden Meadow_San Antonio_00830" )</f>
        <v>Wurzbach Rd_5959_Hidden Meadow_San Antonio_00830</v>
      </c>
      <c r="L702" s="104" t="s">
        <v>22253</v>
      </c>
      <c r="M702" s="103" t="str">
        <f t="shared" si="53"/>
        <v>http://oconnordata.com/mlink/modules/profile/index.cfm?action=profile&amp;prop_id=830</v>
      </c>
      <c r="N702" s="1" t="str">
        <f t="shared" si="54"/>
        <v>00830</v>
      </c>
    </row>
    <row r="703" spans="1:14" x14ac:dyDescent="0.3">
      <c r="A703" s="1">
        <v>831</v>
      </c>
      <c r="B703" s="7" t="s">
        <v>1099</v>
      </c>
      <c r="C703" s="12">
        <v>13129</v>
      </c>
      <c r="D703" s="7" t="s">
        <v>1100</v>
      </c>
      <c r="E703" s="13" t="s">
        <v>842</v>
      </c>
      <c r="F703" t="str">
        <f t="shared" si="50"/>
        <v>Military</v>
      </c>
      <c r="G703" t="str">
        <f t="shared" si="51"/>
        <v>Military13129San Antonio</v>
      </c>
      <c r="H703" t="s">
        <v>31561</v>
      </c>
      <c r="I703" t="s">
        <v>22993</v>
      </c>
      <c r="J703" t="str">
        <f t="shared" si="52"/>
        <v>E:\PropInv\MF</v>
      </c>
      <c r="K703" s="103" t="str">
        <f>HYPERLINK("E:\PropInv\MF\San Antonio\Military Hwy NW_13129_Hidden Oaks_San Antonio_00831","Military Hwy NW_13129_Hidden Oaks_San Antonio_00831" )</f>
        <v>Military Hwy NW_13129_Hidden Oaks_San Antonio_00831</v>
      </c>
      <c r="L703" s="104" t="s">
        <v>22253</v>
      </c>
      <c r="M703" s="103" t="str">
        <f t="shared" si="53"/>
        <v>http://oconnordata.com/mlink/modules/profile/index.cfm?action=profile&amp;prop_id=831</v>
      </c>
      <c r="N703" s="1" t="str">
        <f t="shared" si="54"/>
        <v>00831</v>
      </c>
    </row>
    <row r="704" spans="1:14" x14ac:dyDescent="0.3">
      <c r="A704" s="1">
        <v>832</v>
      </c>
      <c r="B704" s="7" t="s">
        <v>1101</v>
      </c>
      <c r="C704" s="12">
        <v>807</v>
      </c>
      <c r="D704" s="7" t="s">
        <v>562</v>
      </c>
      <c r="E704" s="13" t="s">
        <v>842</v>
      </c>
      <c r="F704" t="str">
        <f t="shared" si="50"/>
        <v>Flame</v>
      </c>
      <c r="G704" t="str">
        <f t="shared" si="51"/>
        <v>Flame807San Antonio</v>
      </c>
      <c r="H704" t="s">
        <v>31562</v>
      </c>
      <c r="I704" t="s">
        <v>22994</v>
      </c>
      <c r="J704" t="str">
        <f t="shared" si="52"/>
        <v>E:\PropInv\MF</v>
      </c>
      <c r="K704" s="103" t="str">
        <f>HYPERLINK("E:\PropInv\MF\San Antonio\Flame Cir_807_Hidden Village_San Antonio_00832","Flame Cir_807_Hidden Village_San Antonio_00832" )</f>
        <v>Flame Cir_807_Hidden Village_San Antonio_00832</v>
      </c>
      <c r="L704" s="104" t="s">
        <v>22253</v>
      </c>
      <c r="M704" s="103" t="str">
        <f t="shared" si="53"/>
        <v>http://oconnordata.com/mlink/modules/profile/index.cfm?action=profile&amp;prop_id=832</v>
      </c>
      <c r="N704" s="1" t="str">
        <f t="shared" si="54"/>
        <v>00832</v>
      </c>
    </row>
    <row r="705" spans="1:14" x14ac:dyDescent="0.3">
      <c r="A705" s="1">
        <v>833</v>
      </c>
      <c r="B705" s="7" t="s">
        <v>1102</v>
      </c>
      <c r="C705" s="12">
        <v>13012</v>
      </c>
      <c r="D705" s="7" t="s">
        <v>1103</v>
      </c>
      <c r="E705" s="13" t="s">
        <v>842</v>
      </c>
      <c r="F705" t="str">
        <f t="shared" si="50"/>
        <v>Oak</v>
      </c>
      <c r="G705" t="str">
        <f t="shared" si="51"/>
        <v>Oak13012San Antonio</v>
      </c>
      <c r="H705" t="s">
        <v>31563</v>
      </c>
      <c r="I705" t="s">
        <v>22995</v>
      </c>
      <c r="J705" t="str">
        <f t="shared" si="52"/>
        <v>E:\PropInv\MF</v>
      </c>
      <c r="K705" s="103" t="str">
        <f>HYPERLINK("E:\PropInv\MF\San Antonio\Oak Terrace Dr_13012_High Key_San Antonio_00833","Oak Terrace Dr_13012_High Key_San Antonio_00833" )</f>
        <v>Oak Terrace Dr_13012_High Key_San Antonio_00833</v>
      </c>
      <c r="L705" s="104" t="s">
        <v>22253</v>
      </c>
      <c r="M705" s="103" t="str">
        <f t="shared" si="53"/>
        <v>http://oconnordata.com/mlink/modules/profile/index.cfm?action=profile&amp;prop_id=833</v>
      </c>
      <c r="N705" s="1" t="str">
        <f t="shared" si="54"/>
        <v>00833</v>
      </c>
    </row>
    <row r="706" spans="1:14" x14ac:dyDescent="0.3">
      <c r="A706" s="1">
        <v>834</v>
      </c>
      <c r="B706" s="7" t="s">
        <v>928</v>
      </c>
      <c r="C706" s="12">
        <v>7810</v>
      </c>
      <c r="D706" s="7" t="s">
        <v>1104</v>
      </c>
      <c r="E706" s="13" t="s">
        <v>842</v>
      </c>
      <c r="F706" t="str">
        <f t="shared" ref="F706:F769" si="55">IFERROR(LEFT(B706,FIND(" ",B706)-1),B706)</f>
        <v>Callaghan</v>
      </c>
      <c r="G706" t="str">
        <f t="shared" ref="G706:G769" si="56">F706&amp;C706&amp;E706</f>
        <v>Callaghan7810San Antonio</v>
      </c>
      <c r="H706" t="s">
        <v>31564</v>
      </c>
      <c r="I706" t="s">
        <v>22996</v>
      </c>
      <c r="J706" t="str">
        <f t="shared" ref="J706:J769" si="57">IF(L706="TX",Folder_Path,Folder_Path&amp;"\State_"&amp;L706)</f>
        <v>E:\PropInv\MF</v>
      </c>
      <c r="K706" s="103" t="str">
        <f>HYPERLINK("E:\PropInv\MF\San Antonio\Callaghan Rd_7810_Cordoba_San Antonio_00834","Callaghan Rd_7810_Cordoba_San Antonio_00834" )</f>
        <v>Callaghan Rd_7810_Cordoba_San Antonio_00834</v>
      </c>
      <c r="L706" s="104" t="s">
        <v>22253</v>
      </c>
      <c r="M706" s="103" t="str">
        <f t="shared" ref="M706:M769" si="58">HYPERLINK("http://oconnordata.com/mlink/modules/profile/index.cfm?action=profile&amp;prop_id="&amp;A706)</f>
        <v>http://oconnordata.com/mlink/modules/profile/index.cfm?action=profile&amp;prop_id=834</v>
      </c>
      <c r="N706" s="1" t="str">
        <f t="shared" ref="N706:N769" si="59">IF(LEN(A706)=1,"0000"&amp;A706,IF(LEN(A706)=2,"000"&amp;A706,IF(LEN(A706)=3,"00"&amp;A706,IF(LEN(A706)=4,"0"&amp;A706,IF(LEN(A706)=5,IF(LEFT(A706,1)="3",A706+30000,A706))))))</f>
        <v>00834</v>
      </c>
    </row>
    <row r="707" spans="1:14" x14ac:dyDescent="0.3">
      <c r="A707" s="1">
        <v>835</v>
      </c>
      <c r="B707" s="7" t="s">
        <v>1105</v>
      </c>
      <c r="C707" s="12">
        <v>3003</v>
      </c>
      <c r="D707" s="7" t="s">
        <v>1106</v>
      </c>
      <c r="E707" s="13" t="s">
        <v>842</v>
      </c>
      <c r="F707" t="str">
        <f t="shared" si="55"/>
        <v>Southcross</v>
      </c>
      <c r="G707" t="str">
        <f t="shared" si="56"/>
        <v>Southcross3003San Antonio</v>
      </c>
      <c r="H707" t="s">
        <v>31565</v>
      </c>
      <c r="I707" t="s">
        <v>22997</v>
      </c>
      <c r="J707" t="str">
        <f t="shared" si="57"/>
        <v>E:\PropInv\MF</v>
      </c>
      <c r="K707" s="103" t="str">
        <f>HYPERLINK("E:\PropInv\MF\San Antonio\Southcross Blvd E_3003_Highland Hills Duplexes_San Antonio_00835","Southcross Blvd E_3003_Highland Hills Duplexes_San Antonio_00835" )</f>
        <v>Southcross Blvd E_3003_Highland Hills Duplexes_San Antonio_00835</v>
      </c>
      <c r="L707" s="104" t="s">
        <v>22253</v>
      </c>
      <c r="M707" s="103" t="str">
        <f t="shared" si="58"/>
        <v>http://oconnordata.com/mlink/modules/profile/index.cfm?action=profile&amp;prop_id=835</v>
      </c>
      <c r="N707" s="1" t="str">
        <f t="shared" si="59"/>
        <v>00835</v>
      </c>
    </row>
    <row r="708" spans="1:14" x14ac:dyDescent="0.3">
      <c r="A708" s="1">
        <v>836</v>
      </c>
      <c r="B708" s="7" t="s">
        <v>1107</v>
      </c>
      <c r="C708" s="12">
        <v>10951</v>
      </c>
      <c r="D708" s="7" t="s">
        <v>1108</v>
      </c>
      <c r="E708" s="13" t="s">
        <v>842</v>
      </c>
      <c r="F708" t="str">
        <f t="shared" si="55"/>
        <v>Laureate</v>
      </c>
      <c r="G708" t="str">
        <f t="shared" si="56"/>
        <v>Laureate10951San Antonio</v>
      </c>
      <c r="H708" t="s">
        <v>31566</v>
      </c>
      <c r="I708" t="s">
        <v>22998</v>
      </c>
      <c r="J708" t="str">
        <f t="shared" si="57"/>
        <v>E:\PropInv\MF</v>
      </c>
      <c r="K708" s="103" t="str">
        <f>HYPERLINK("E:\PropInv\MF\San Antonio\Laureate Dr_10951_Hill at Woodway_San Antonio_00836","Laureate Dr_10951_Hill at Woodway_San Antonio_00836" )</f>
        <v>Laureate Dr_10951_Hill at Woodway_San Antonio_00836</v>
      </c>
      <c r="L708" s="104" t="s">
        <v>22253</v>
      </c>
      <c r="M708" s="103" t="str">
        <f t="shared" si="58"/>
        <v>http://oconnordata.com/mlink/modules/profile/index.cfm?action=profile&amp;prop_id=836</v>
      </c>
      <c r="N708" s="1" t="str">
        <f t="shared" si="59"/>
        <v>00836</v>
      </c>
    </row>
    <row r="709" spans="1:14" x14ac:dyDescent="0.3">
      <c r="A709" s="1">
        <v>837</v>
      </c>
      <c r="B709" s="7" t="s">
        <v>1109</v>
      </c>
      <c r="C709" s="12">
        <v>501</v>
      </c>
      <c r="D709" s="7" t="s">
        <v>1110</v>
      </c>
      <c r="E709" s="13" t="s">
        <v>842</v>
      </c>
      <c r="F709" t="str">
        <f t="shared" si="55"/>
        <v>Koehler</v>
      </c>
      <c r="G709" t="str">
        <f t="shared" si="56"/>
        <v>Koehler501San Antonio</v>
      </c>
      <c r="H709" t="s">
        <v>31567</v>
      </c>
      <c r="I709" t="s">
        <v>22999</v>
      </c>
      <c r="J709" t="str">
        <f t="shared" si="57"/>
        <v>E:\PropInv\MF</v>
      </c>
      <c r="K709" s="103" t="str">
        <f>HYPERLINK("E:\PropInv\MF\San Antonio\Koehler Ct_501_Hillside Manor_San Antonio_00837","Koehler Ct_501_Hillside Manor_San Antonio_00837" )</f>
        <v>Koehler Ct_501_Hillside Manor_San Antonio_00837</v>
      </c>
      <c r="L709" s="104" t="s">
        <v>22253</v>
      </c>
      <c r="M709" s="103" t="str">
        <f t="shared" si="58"/>
        <v>http://oconnordata.com/mlink/modules/profile/index.cfm?action=profile&amp;prop_id=837</v>
      </c>
      <c r="N709" s="1" t="str">
        <f t="shared" si="59"/>
        <v>00837</v>
      </c>
    </row>
    <row r="710" spans="1:14" x14ac:dyDescent="0.3">
      <c r="A710" s="1">
        <v>838</v>
      </c>
      <c r="B710" s="7" t="s">
        <v>1034</v>
      </c>
      <c r="C710" s="12">
        <v>7520</v>
      </c>
      <c r="D710" s="7" t="s">
        <v>1111</v>
      </c>
      <c r="E710" s="13" t="s">
        <v>842</v>
      </c>
      <c r="F710" t="str">
        <f t="shared" si="55"/>
        <v>Potranco</v>
      </c>
      <c r="G710" t="str">
        <f t="shared" si="56"/>
        <v>Potranco7520San Antonio</v>
      </c>
      <c r="H710" t="s">
        <v>31568</v>
      </c>
      <c r="I710" t="s">
        <v>23000</v>
      </c>
      <c r="J710" t="str">
        <f t="shared" si="57"/>
        <v>E:\PropInv\MF</v>
      </c>
      <c r="K710" s="103" t="str">
        <f>HYPERLINK("E:\PropInv\MF\San Antonio\Potranco Rd_7520_The Hollows_San Antonio_00838","Potranco Rd_7520_The Hollows_San Antonio_00838" )</f>
        <v>Potranco Rd_7520_The Hollows_San Antonio_00838</v>
      </c>
      <c r="L710" s="104" t="s">
        <v>22253</v>
      </c>
      <c r="M710" s="103" t="str">
        <f t="shared" si="58"/>
        <v>http://oconnordata.com/mlink/modules/profile/index.cfm?action=profile&amp;prop_id=838</v>
      </c>
      <c r="N710" s="1" t="str">
        <f t="shared" si="59"/>
        <v>00838</v>
      </c>
    </row>
    <row r="711" spans="1:14" x14ac:dyDescent="0.3">
      <c r="A711" s="1">
        <v>839</v>
      </c>
      <c r="B711" s="7" t="s">
        <v>1070</v>
      </c>
      <c r="C711" s="12">
        <v>8727</v>
      </c>
      <c r="D711" s="7" t="s">
        <v>1112</v>
      </c>
      <c r="E711" s="13" t="s">
        <v>842</v>
      </c>
      <c r="F711" t="str">
        <f t="shared" si="55"/>
        <v>Huebner</v>
      </c>
      <c r="G711" t="str">
        <f t="shared" si="56"/>
        <v>Huebner8727San Antonio</v>
      </c>
      <c r="H711" t="s">
        <v>31569</v>
      </c>
      <c r="I711" t="s">
        <v>23001</v>
      </c>
      <c r="J711" t="str">
        <f t="shared" si="57"/>
        <v>E:\PropInv\MF</v>
      </c>
      <c r="K711" s="103" t="str">
        <f>HYPERLINK("E:\PropInv\MF\San Antonio\Huebner Rd_8727_Huebner Country_San Antonio_00839","Huebner Rd_8727_Huebner Country_San Antonio_00839" )</f>
        <v>Huebner Rd_8727_Huebner Country_San Antonio_00839</v>
      </c>
      <c r="L711" s="104" t="s">
        <v>22253</v>
      </c>
      <c r="M711" s="103" t="str">
        <f t="shared" si="58"/>
        <v>http://oconnordata.com/mlink/modules/profile/index.cfm?action=profile&amp;prop_id=839</v>
      </c>
      <c r="N711" s="1" t="str">
        <f t="shared" si="59"/>
        <v>00839</v>
      </c>
    </row>
    <row r="712" spans="1:14" x14ac:dyDescent="0.3">
      <c r="A712" s="1">
        <v>840</v>
      </c>
      <c r="B712" s="7" t="s">
        <v>1049</v>
      </c>
      <c r="C712" s="12">
        <v>8715</v>
      </c>
      <c r="D712" s="7" t="s">
        <v>1113</v>
      </c>
      <c r="E712" s="13" t="s">
        <v>842</v>
      </c>
      <c r="F712" t="str">
        <f t="shared" si="55"/>
        <v>Data</v>
      </c>
      <c r="G712" t="str">
        <f t="shared" si="56"/>
        <v>Data8715San Antonio</v>
      </c>
      <c r="H712" t="s">
        <v>31570</v>
      </c>
      <c r="I712" t="s">
        <v>23002</v>
      </c>
      <c r="J712" t="str">
        <f t="shared" si="57"/>
        <v>E:\PropInv\MF</v>
      </c>
      <c r="K712" s="103" t="str">
        <f>HYPERLINK("E:\PropInv\MF\San Antonio\Data Point_8715_Hunters Glen_San Antonio_00840","Data Point_8715_Hunters Glen_San Antonio_00840" )</f>
        <v>Data Point_8715_Hunters Glen_San Antonio_00840</v>
      </c>
      <c r="L712" s="104" t="s">
        <v>22253</v>
      </c>
      <c r="M712" s="103" t="str">
        <f t="shared" si="58"/>
        <v>http://oconnordata.com/mlink/modules/profile/index.cfm?action=profile&amp;prop_id=840</v>
      </c>
      <c r="N712" s="1" t="str">
        <f t="shared" si="59"/>
        <v>00840</v>
      </c>
    </row>
    <row r="713" spans="1:14" x14ac:dyDescent="0.3">
      <c r="A713" s="1">
        <v>841</v>
      </c>
      <c r="B713" s="7" t="s">
        <v>1099</v>
      </c>
      <c r="C713" s="12">
        <v>2358</v>
      </c>
      <c r="D713" s="7" t="s">
        <v>213</v>
      </c>
      <c r="E713" s="13" t="s">
        <v>842</v>
      </c>
      <c r="F713" t="str">
        <f t="shared" si="55"/>
        <v>Military</v>
      </c>
      <c r="G713" t="str">
        <f t="shared" si="56"/>
        <v>Military2358San Antonio</v>
      </c>
      <c r="H713" t="s">
        <v>31571</v>
      </c>
      <c r="I713" t="s">
        <v>23003</v>
      </c>
      <c r="J713" t="str">
        <f t="shared" si="57"/>
        <v>E:\PropInv\MF</v>
      </c>
      <c r="K713" s="103" t="str">
        <f>HYPERLINK("E:\PropInv\MF\San Antonio\Military Hwy NW_2358_Hunters Ridge_San Antonio_00841","Military Hwy NW_2358_Hunters Ridge_San Antonio_00841" )</f>
        <v>Military Hwy NW_2358_Hunters Ridge_San Antonio_00841</v>
      </c>
      <c r="L713" s="104" t="s">
        <v>22253</v>
      </c>
      <c r="M713" s="103" t="str">
        <f t="shared" si="58"/>
        <v>http://oconnordata.com/mlink/modules/profile/index.cfm?action=profile&amp;prop_id=841</v>
      </c>
      <c r="N713" s="1" t="str">
        <f t="shared" si="59"/>
        <v>00841</v>
      </c>
    </row>
    <row r="714" spans="1:14" x14ac:dyDescent="0.3">
      <c r="A714" s="1">
        <v>842</v>
      </c>
      <c r="B714" s="7" t="s">
        <v>1114</v>
      </c>
      <c r="C714" s="12">
        <v>7770</v>
      </c>
      <c r="D714" s="7" t="s">
        <v>1115</v>
      </c>
      <c r="E714" s="13" t="s">
        <v>842</v>
      </c>
      <c r="F714" t="str">
        <f t="shared" si="55"/>
        <v>Pipers</v>
      </c>
      <c r="G714" t="str">
        <f t="shared" si="56"/>
        <v>Pipers7770San Antonio</v>
      </c>
      <c r="H714" t="s">
        <v>31572</v>
      </c>
      <c r="I714" t="s">
        <v>23004</v>
      </c>
      <c r="J714" t="str">
        <f t="shared" si="57"/>
        <v>E:\PropInv\MF</v>
      </c>
      <c r="K714" s="103" t="str">
        <f>HYPERLINK("E:\PropInv\MF\San Antonio\Pipers Ln_7770_Huntington_San Antonio_00842","Pipers Ln_7770_Huntington_San Antonio_00842" )</f>
        <v>Pipers Ln_7770_Huntington_San Antonio_00842</v>
      </c>
      <c r="L714" s="104" t="s">
        <v>22253</v>
      </c>
      <c r="M714" s="103" t="str">
        <f t="shared" si="58"/>
        <v>http://oconnordata.com/mlink/modules/profile/index.cfm?action=profile&amp;prop_id=842</v>
      </c>
      <c r="N714" s="1" t="str">
        <f t="shared" si="59"/>
        <v>00842</v>
      </c>
    </row>
    <row r="715" spans="1:14" x14ac:dyDescent="0.3">
      <c r="A715" s="1">
        <v>843</v>
      </c>
      <c r="B715" s="7" t="s">
        <v>1116</v>
      </c>
      <c r="C715" s="12">
        <v>8525</v>
      </c>
      <c r="D715" s="7" t="s">
        <v>1117</v>
      </c>
      <c r="E715" s="13" t="s">
        <v>842</v>
      </c>
      <c r="F715" t="str">
        <f t="shared" si="55"/>
        <v>Floyd</v>
      </c>
      <c r="G715" t="str">
        <f t="shared" si="56"/>
        <v>Floyd8525San Antonio</v>
      </c>
      <c r="H715" t="s">
        <v>31573</v>
      </c>
      <c r="I715" t="s">
        <v>23005</v>
      </c>
      <c r="J715" t="str">
        <f t="shared" si="57"/>
        <v>E:\PropInv\MF</v>
      </c>
      <c r="K715" s="103" t="str">
        <f>HYPERLINK("E:\PropInv\MF\San Antonio\Floyd Curl Dr_8525_Hyperion_San Antonio_00843","Floyd Curl Dr_8525_Hyperion_San Antonio_00843" )</f>
        <v>Floyd Curl Dr_8525_Hyperion_San Antonio_00843</v>
      </c>
      <c r="L715" s="104" t="s">
        <v>22253</v>
      </c>
      <c r="M715" s="103" t="str">
        <f t="shared" si="58"/>
        <v>http://oconnordata.com/mlink/modules/profile/index.cfm?action=profile&amp;prop_id=843</v>
      </c>
      <c r="N715" s="1" t="str">
        <f t="shared" si="59"/>
        <v>00843</v>
      </c>
    </row>
    <row r="716" spans="1:14" x14ac:dyDescent="0.3">
      <c r="A716" s="1">
        <v>844</v>
      </c>
      <c r="B716" s="21" t="s">
        <v>235</v>
      </c>
      <c r="C716" s="12">
        <v>12701</v>
      </c>
      <c r="D716" s="7" t="s">
        <v>1118</v>
      </c>
      <c r="E716" s="13" t="s">
        <v>842</v>
      </c>
      <c r="F716" t="str">
        <f t="shared" si="55"/>
        <v>W</v>
      </c>
      <c r="G716" t="str">
        <f t="shared" si="56"/>
        <v>W12701San Antonio</v>
      </c>
      <c r="H716" t="s">
        <v>31574</v>
      </c>
      <c r="I716" t="s">
        <v>23006</v>
      </c>
      <c r="J716" t="str">
        <f t="shared" si="57"/>
        <v>E:\PropInv\MF</v>
      </c>
      <c r="K716" s="103" t="str">
        <f>HYPERLINK("E:\PropInv\MF\San Antonio\W Ave_12701_Indian Hollow_San Antonio_00844","W Ave_12701_Indian Hollow_San Antonio_00844" )</f>
        <v>W Ave_12701_Indian Hollow_San Antonio_00844</v>
      </c>
      <c r="L716" s="104" t="s">
        <v>22253</v>
      </c>
      <c r="M716" s="103" t="str">
        <f t="shared" si="58"/>
        <v>http://oconnordata.com/mlink/modules/profile/index.cfm?action=profile&amp;prop_id=844</v>
      </c>
      <c r="N716" s="1" t="str">
        <f t="shared" si="59"/>
        <v>00844</v>
      </c>
    </row>
    <row r="717" spans="1:14" x14ac:dyDescent="0.3">
      <c r="A717" s="1">
        <v>845</v>
      </c>
      <c r="B717" s="7" t="s">
        <v>1095</v>
      </c>
      <c r="C717" s="12">
        <v>8722</v>
      </c>
      <c r="D717" s="7" t="s">
        <v>1119</v>
      </c>
      <c r="E717" s="13" t="s">
        <v>842</v>
      </c>
      <c r="F717" t="str">
        <f t="shared" si="55"/>
        <v>Cinnamon</v>
      </c>
      <c r="G717" t="str">
        <f t="shared" si="56"/>
        <v>Cinnamon8722San Antonio</v>
      </c>
      <c r="H717" t="s">
        <v>31575</v>
      </c>
      <c r="I717" t="s">
        <v>23007</v>
      </c>
      <c r="J717" t="str">
        <f t="shared" si="57"/>
        <v>E:\PropInv\MF</v>
      </c>
      <c r="K717" s="103" t="str">
        <f>HYPERLINK("E:\PropInv\MF\San Antonio\Cinnamon Creek Dr_8722_Villages Of Cinnamon Creek_San Antonio_00845","Cinnamon Creek Dr_8722_Villages Of Cinnamon Creek_San Antonio_00845" )</f>
        <v>Cinnamon Creek Dr_8722_Villages Of Cinnamon Creek_San Antonio_00845</v>
      </c>
      <c r="L717" s="104" t="s">
        <v>22253</v>
      </c>
      <c r="M717" s="103" t="str">
        <f t="shared" si="58"/>
        <v>http://oconnordata.com/mlink/modules/profile/index.cfm?action=profile&amp;prop_id=845</v>
      </c>
      <c r="N717" s="1" t="str">
        <f t="shared" si="59"/>
        <v>00845</v>
      </c>
    </row>
    <row r="718" spans="1:14" x14ac:dyDescent="0.3">
      <c r="A718" s="1">
        <v>846</v>
      </c>
      <c r="B718" s="7" t="s">
        <v>1120</v>
      </c>
      <c r="C718" s="12">
        <v>330</v>
      </c>
      <c r="D718" s="7" t="s">
        <v>1121</v>
      </c>
      <c r="E718" s="13" t="s">
        <v>864</v>
      </c>
      <c r="F718" t="str">
        <f t="shared" si="55"/>
        <v>Kitty</v>
      </c>
      <c r="G718" t="str">
        <f t="shared" si="56"/>
        <v>Kitty330Universal City</v>
      </c>
      <c r="H718" t="s">
        <v>31576</v>
      </c>
      <c r="I718" t="s">
        <v>23008</v>
      </c>
      <c r="J718" t="str">
        <f t="shared" si="57"/>
        <v>E:\PropInv\MF</v>
      </c>
      <c r="K718" s="103" t="str">
        <f>HYPERLINK("E:\PropInv\MF\Universal City\Kitty Hawk Rd_330_Sable Ridge_Universal City_00846","Kitty Hawk Rd_330_Sable Ridge_Universal City_00846" )</f>
        <v>Kitty Hawk Rd_330_Sable Ridge_Universal City_00846</v>
      </c>
      <c r="L718" s="104" t="s">
        <v>22253</v>
      </c>
      <c r="M718" s="103" t="str">
        <f t="shared" si="58"/>
        <v>http://oconnordata.com/mlink/modules/profile/index.cfm?action=profile&amp;prop_id=846</v>
      </c>
      <c r="N718" s="1" t="str">
        <f t="shared" si="59"/>
        <v>00846</v>
      </c>
    </row>
    <row r="719" spans="1:14" x14ac:dyDescent="0.3">
      <c r="A719" s="1">
        <v>847</v>
      </c>
      <c r="B719" s="10" t="s">
        <v>1122</v>
      </c>
      <c r="C719" s="9">
        <v>8835</v>
      </c>
      <c r="D719" s="10" t="s">
        <v>1123</v>
      </c>
      <c r="E719" s="11" t="s">
        <v>842</v>
      </c>
      <c r="F719" t="str">
        <f t="shared" si="55"/>
        <v>Willmon</v>
      </c>
      <c r="G719" t="str">
        <f t="shared" si="56"/>
        <v>Willmon8835San Antonio</v>
      </c>
      <c r="H719" t="s">
        <v>31577</v>
      </c>
      <c r="I719" t="s">
        <v>23009</v>
      </c>
      <c r="J719" t="str">
        <f t="shared" si="57"/>
        <v>E:\PropInv\MF</v>
      </c>
      <c r="K719" s="103" t="str">
        <f>HYPERLINK("E:\PropInv\MF\San Antonio\Willmon Way_8835_Villas of Windcrest_San Antonio_00847","Willmon Way_8835_Villas of Windcrest_San Antonio_00847" )</f>
        <v>Willmon Way_8835_Villas of Windcrest_San Antonio_00847</v>
      </c>
      <c r="L719" s="104" t="s">
        <v>22253</v>
      </c>
      <c r="M719" s="103" t="str">
        <f t="shared" si="58"/>
        <v>http://oconnordata.com/mlink/modules/profile/index.cfm?action=profile&amp;prop_id=847</v>
      </c>
      <c r="N719" s="1" t="str">
        <f t="shared" si="59"/>
        <v>00847</v>
      </c>
    </row>
    <row r="720" spans="1:14" x14ac:dyDescent="0.3">
      <c r="A720" s="1">
        <v>848</v>
      </c>
      <c r="B720" s="7" t="s">
        <v>840</v>
      </c>
      <c r="C720" s="12">
        <v>2500</v>
      </c>
      <c r="D720" s="7" t="s">
        <v>1124</v>
      </c>
      <c r="E720" s="13" t="s">
        <v>842</v>
      </c>
      <c r="F720" t="str">
        <f t="shared" si="55"/>
        <v>Jackson</v>
      </c>
      <c r="G720" t="str">
        <f t="shared" si="56"/>
        <v>Jackson2500San Antonio</v>
      </c>
      <c r="H720" t="s">
        <v>31578</v>
      </c>
      <c r="I720" t="s">
        <v>23010</v>
      </c>
      <c r="J720" t="str">
        <f t="shared" si="57"/>
        <v>E:\PropInv\MF</v>
      </c>
      <c r="K720" s="103" t="str">
        <f>HYPERLINK("E:\PropInv\MF\San Antonio\Jackson Keller_2500_Jackson Square_San Antonio_00848","Jackson Keller_2500_Jackson Square_San Antonio_00848" )</f>
        <v>Jackson Keller_2500_Jackson Square_San Antonio_00848</v>
      </c>
      <c r="L720" s="104" t="s">
        <v>22253</v>
      </c>
      <c r="M720" s="103" t="str">
        <f t="shared" si="58"/>
        <v>http://oconnordata.com/mlink/modules/profile/index.cfm?action=profile&amp;prop_id=848</v>
      </c>
      <c r="N720" s="1" t="str">
        <f t="shared" si="59"/>
        <v>00848</v>
      </c>
    </row>
    <row r="721" spans="1:14" x14ac:dyDescent="0.3">
      <c r="A721" s="97">
        <v>849</v>
      </c>
      <c r="B721" s="7" t="s">
        <v>1125</v>
      </c>
      <c r="C721" s="12">
        <v>2506</v>
      </c>
      <c r="D721" s="7" t="s">
        <v>1126</v>
      </c>
      <c r="E721" s="13" t="s">
        <v>842</v>
      </c>
      <c r="F721" t="str">
        <f t="shared" si="55"/>
        <v>General</v>
      </c>
      <c r="G721" t="str">
        <f t="shared" si="56"/>
        <v>General2506San Antonio</v>
      </c>
      <c r="H721" t="s">
        <v>31579</v>
      </c>
      <c r="I721" t="s">
        <v>23011</v>
      </c>
      <c r="J721" t="str">
        <f t="shared" si="57"/>
        <v>E:\PropInv\MF</v>
      </c>
      <c r="K721" s="103" t="str">
        <f>HYPERLINK("E:\PropInv\MF\San Antonio\General McMullen S_2506_Winston Square_San Antonio_00849","General McMullen S_2506_Winston Square_San Antonio_00849" )</f>
        <v>General McMullen S_2506_Winston Square_San Antonio_00849</v>
      </c>
      <c r="L721" s="104" t="s">
        <v>22253</v>
      </c>
      <c r="M721" s="103" t="str">
        <f t="shared" si="58"/>
        <v>http://oconnordata.com/mlink/modules/profile/index.cfm?action=profile&amp;prop_id=849</v>
      </c>
      <c r="N721" s="1" t="str">
        <f t="shared" si="59"/>
        <v>00849</v>
      </c>
    </row>
    <row r="722" spans="1:14" x14ac:dyDescent="0.3">
      <c r="A722" s="1">
        <v>850</v>
      </c>
      <c r="B722" s="7" t="s">
        <v>1127</v>
      </c>
      <c r="C722" s="12">
        <v>1919</v>
      </c>
      <c r="D722" s="7" t="s">
        <v>1128</v>
      </c>
      <c r="E722" s="13" t="s">
        <v>842</v>
      </c>
      <c r="F722" t="str">
        <f t="shared" si="55"/>
        <v>Jamar</v>
      </c>
      <c r="G722" t="str">
        <f t="shared" si="56"/>
        <v>Jamar1919San Antonio</v>
      </c>
      <c r="H722" t="s">
        <v>31580</v>
      </c>
      <c r="I722" t="s">
        <v>23012</v>
      </c>
      <c r="J722" t="str">
        <f t="shared" si="57"/>
        <v>E:\PropInv\MF</v>
      </c>
      <c r="K722" s="103" t="str">
        <f>HYPERLINK("E:\PropInv\MF\San Antonio\Jamar_1919_Kennedy Arms_San Antonio_00850","Jamar_1919_Kennedy Arms_San Antonio_00850" )</f>
        <v>Jamar_1919_Kennedy Arms_San Antonio_00850</v>
      </c>
      <c r="L722" s="104" t="s">
        <v>22253</v>
      </c>
      <c r="M722" s="103" t="str">
        <f t="shared" si="58"/>
        <v>http://oconnordata.com/mlink/modules/profile/index.cfm?action=profile&amp;prop_id=850</v>
      </c>
      <c r="N722" s="1" t="str">
        <f t="shared" si="59"/>
        <v>00850</v>
      </c>
    </row>
    <row r="723" spans="1:14" x14ac:dyDescent="0.3">
      <c r="A723" s="1">
        <v>851</v>
      </c>
      <c r="B723" s="7" t="s">
        <v>1129</v>
      </c>
      <c r="C723" s="12">
        <v>4550</v>
      </c>
      <c r="D723" s="7" t="s">
        <v>1130</v>
      </c>
      <c r="E723" s="13" t="s">
        <v>842</v>
      </c>
      <c r="F723" t="str">
        <f t="shared" si="55"/>
        <v>Lavender</v>
      </c>
      <c r="G723" t="str">
        <f t="shared" si="56"/>
        <v>Lavender4550San Antonio</v>
      </c>
      <c r="H723" t="s">
        <v>31581</v>
      </c>
      <c r="I723" t="s">
        <v>23013</v>
      </c>
      <c r="J723" t="str">
        <f t="shared" si="57"/>
        <v>E:\PropInv\MF</v>
      </c>
      <c r="K723" s="103" t="str">
        <f>HYPERLINK("E:\PropInv\MF\San Antonio\Lavender Ln_4550_Acadia Place_San Antonio_00851","Lavender Ln_4550_Acadia Place_San Antonio_00851" )</f>
        <v>Lavender Ln_4550_Acadia Place_San Antonio_00851</v>
      </c>
      <c r="L723" s="104" t="s">
        <v>22253</v>
      </c>
      <c r="M723" s="103" t="str">
        <f t="shared" si="58"/>
        <v>http://oconnordata.com/mlink/modules/profile/index.cfm?action=profile&amp;prop_id=851</v>
      </c>
      <c r="N723" s="1" t="str">
        <f t="shared" si="59"/>
        <v>00851</v>
      </c>
    </row>
    <row r="724" spans="1:14" x14ac:dyDescent="0.3">
      <c r="A724" s="1">
        <v>852</v>
      </c>
      <c r="B724" s="7" t="s">
        <v>1131</v>
      </c>
      <c r="C724" s="12">
        <v>7811</v>
      </c>
      <c r="D724" s="7" t="s">
        <v>1132</v>
      </c>
      <c r="E724" s="13" t="s">
        <v>842</v>
      </c>
      <c r="F724" t="str">
        <f t="shared" si="55"/>
        <v>Chambers</v>
      </c>
      <c r="G724" t="str">
        <f t="shared" si="56"/>
        <v>Chambers7811San Antonio</v>
      </c>
      <c r="H724" t="s">
        <v>31582</v>
      </c>
      <c r="I724" t="s">
        <v>23014</v>
      </c>
      <c r="J724" t="str">
        <f t="shared" si="57"/>
        <v>E:\PropInv\MF</v>
      </c>
      <c r="K724" s="103" t="str">
        <f>HYPERLINK("E:\PropInv\MF\San Antonio\Chambers Rd_7811_Forest Ridge I_San Antonio_00852","Chambers Rd_7811_Forest Ridge I_San Antonio_00852" )</f>
        <v>Chambers Rd_7811_Forest Ridge I_San Antonio_00852</v>
      </c>
      <c r="L724" s="104" t="s">
        <v>22253</v>
      </c>
      <c r="M724" s="103" t="str">
        <f t="shared" si="58"/>
        <v>http://oconnordata.com/mlink/modules/profile/index.cfm?action=profile&amp;prop_id=852</v>
      </c>
      <c r="N724" s="1" t="str">
        <f t="shared" si="59"/>
        <v>00852</v>
      </c>
    </row>
    <row r="725" spans="1:14" x14ac:dyDescent="0.3">
      <c r="A725" s="1">
        <v>853</v>
      </c>
      <c r="B725" s="7" t="s">
        <v>928</v>
      </c>
      <c r="C725" s="12">
        <v>4411</v>
      </c>
      <c r="D725" s="7" t="s">
        <v>1133</v>
      </c>
      <c r="E725" s="13" t="s">
        <v>842</v>
      </c>
      <c r="F725" t="str">
        <f t="shared" si="55"/>
        <v>Callaghan</v>
      </c>
      <c r="G725" t="str">
        <f t="shared" si="56"/>
        <v>Callaghan4411San Antonio</v>
      </c>
      <c r="H725" t="s">
        <v>31583</v>
      </c>
      <c r="I725" t="s">
        <v>23015</v>
      </c>
      <c r="J725" t="str">
        <f t="shared" si="57"/>
        <v>E:\PropInv\MF</v>
      </c>
      <c r="K725" s="103" t="str">
        <f>HYPERLINK("E:\PropInv\MF\San Antonio\Callaghan Rd_4411_Kingswood Manor_San Antonio_00853","Callaghan Rd_4411_Kingswood Manor_San Antonio_00853" )</f>
        <v>Callaghan Rd_4411_Kingswood Manor_San Antonio_00853</v>
      </c>
      <c r="L725" s="104" t="s">
        <v>22253</v>
      </c>
      <c r="M725" s="103" t="str">
        <f t="shared" si="58"/>
        <v>http://oconnordata.com/mlink/modules/profile/index.cfm?action=profile&amp;prop_id=853</v>
      </c>
      <c r="N725" s="1" t="str">
        <f t="shared" si="59"/>
        <v>00853</v>
      </c>
    </row>
    <row r="726" spans="1:14" x14ac:dyDescent="0.3">
      <c r="A726" s="1">
        <v>854</v>
      </c>
      <c r="B726" s="7" t="s">
        <v>1134</v>
      </c>
      <c r="C726" s="12">
        <v>1171</v>
      </c>
      <c r="D726" s="7" t="s">
        <v>1135</v>
      </c>
      <c r="E726" s="13" t="s">
        <v>842</v>
      </c>
      <c r="F726" t="str">
        <f t="shared" si="55"/>
        <v>Bandera</v>
      </c>
      <c r="G726" t="str">
        <f t="shared" si="56"/>
        <v>Bandera1171San Antonio</v>
      </c>
      <c r="H726" t="s">
        <v>31584</v>
      </c>
      <c r="I726" t="s">
        <v>23016</v>
      </c>
      <c r="J726" t="str">
        <f t="shared" si="57"/>
        <v>E:\PropInv\MF</v>
      </c>
      <c r="K726" s="103" t="str">
        <f>HYPERLINK("E:\PropInv\MF\San Antonio\Bandera Rd_1171_The Oaks on Bandera_San Antonio_00854","Bandera Rd_1171_The Oaks on Bandera_San Antonio_00854" )</f>
        <v>Bandera Rd_1171_The Oaks on Bandera_San Antonio_00854</v>
      </c>
      <c r="L726" s="104" t="s">
        <v>22253</v>
      </c>
      <c r="M726" s="103" t="str">
        <f t="shared" si="58"/>
        <v>http://oconnordata.com/mlink/modules/profile/index.cfm?action=profile&amp;prop_id=854</v>
      </c>
      <c r="N726" s="1" t="str">
        <f t="shared" si="59"/>
        <v>00854</v>
      </c>
    </row>
    <row r="727" spans="1:14" x14ac:dyDescent="0.3">
      <c r="A727" s="1">
        <v>855</v>
      </c>
      <c r="B727" s="7" t="s">
        <v>859</v>
      </c>
      <c r="C727" s="12">
        <v>403</v>
      </c>
      <c r="D727" s="7" t="s">
        <v>1136</v>
      </c>
      <c r="E727" s="13" t="s">
        <v>842</v>
      </c>
      <c r="F727" t="str">
        <f t="shared" si="55"/>
        <v>Heimer</v>
      </c>
      <c r="G727" t="str">
        <f t="shared" si="56"/>
        <v>Heimer403San Antonio</v>
      </c>
      <c r="H727" t="s">
        <v>31585</v>
      </c>
      <c r="I727" t="s">
        <v>23017</v>
      </c>
      <c r="J727" t="str">
        <f t="shared" si="57"/>
        <v>E:\PropInv\MF</v>
      </c>
      <c r="K727" s="103" t="str">
        <f>HYPERLINK("E:\PropInv\MF\San Antonio\Heimer Rd_403_La Calera_San Antonio_00855","Heimer Rd_403_La Calera_San Antonio_00855" )</f>
        <v>Heimer Rd_403_La Calera_San Antonio_00855</v>
      </c>
      <c r="L727" s="104" t="s">
        <v>22253</v>
      </c>
      <c r="M727" s="103" t="str">
        <f t="shared" si="58"/>
        <v>http://oconnordata.com/mlink/modules/profile/index.cfm?action=profile&amp;prop_id=855</v>
      </c>
      <c r="N727" s="1" t="str">
        <f t="shared" si="59"/>
        <v>00855</v>
      </c>
    </row>
    <row r="728" spans="1:14" x14ac:dyDescent="0.3">
      <c r="A728" s="1">
        <v>856</v>
      </c>
      <c r="B728" s="7" t="s">
        <v>1137</v>
      </c>
      <c r="C728" s="12">
        <v>301</v>
      </c>
      <c r="D728" s="7" t="s">
        <v>1137</v>
      </c>
      <c r="E728" s="13" t="s">
        <v>1138</v>
      </c>
      <c r="F728" t="str">
        <f t="shared" si="55"/>
        <v>La</v>
      </c>
      <c r="G728" t="str">
        <f t="shared" si="56"/>
        <v>La301Kerrville</v>
      </c>
      <c r="H728" t="s">
        <v>31586</v>
      </c>
      <c r="I728" t="s">
        <v>23018</v>
      </c>
      <c r="J728" t="str">
        <f t="shared" si="57"/>
        <v>E:\PropInv\MF</v>
      </c>
      <c r="K728" s="103" t="str">
        <f>HYPERLINK("E:\PropInv\MF\Kerrville\La Casa_301_La Casa_Kerrville_00856","La Casa_301_La Casa_Kerrville_00856" )</f>
        <v>La Casa_301_La Casa_Kerrville_00856</v>
      </c>
      <c r="L728" s="104" t="s">
        <v>22253</v>
      </c>
      <c r="M728" s="103" t="str">
        <f t="shared" si="58"/>
        <v>http://oconnordata.com/mlink/modules/profile/index.cfm?action=profile&amp;prop_id=856</v>
      </c>
      <c r="N728" s="1" t="str">
        <f t="shared" si="59"/>
        <v>00856</v>
      </c>
    </row>
    <row r="729" spans="1:14" x14ac:dyDescent="0.3">
      <c r="A729" s="1">
        <v>857</v>
      </c>
      <c r="B729" s="7" t="s">
        <v>1139</v>
      </c>
      <c r="C729" s="12">
        <v>6900</v>
      </c>
      <c r="D729" s="7" t="s">
        <v>1140</v>
      </c>
      <c r="E729" s="13" t="s">
        <v>842</v>
      </c>
      <c r="F729" t="str">
        <f t="shared" si="55"/>
        <v>Vandiver</v>
      </c>
      <c r="G729" t="str">
        <f t="shared" si="56"/>
        <v>Vandiver6900San Antonio</v>
      </c>
      <c r="H729" t="s">
        <v>31587</v>
      </c>
      <c r="I729" t="s">
        <v>23019</v>
      </c>
      <c r="J729" t="str">
        <f t="shared" si="57"/>
        <v>E:\PropInv\MF</v>
      </c>
      <c r="K729" s="103" t="str">
        <f>HYPERLINK("E:\PropInv\MF\San Antonio\Vandiver N_6900_La Fiesta_San Antonio_00857","Vandiver N_6900_La Fiesta_San Antonio_00857" )</f>
        <v>Vandiver N_6900_La Fiesta_San Antonio_00857</v>
      </c>
      <c r="L729" s="104" t="s">
        <v>22253</v>
      </c>
      <c r="M729" s="103" t="str">
        <f t="shared" si="58"/>
        <v>http://oconnordata.com/mlink/modules/profile/index.cfm?action=profile&amp;prop_id=857</v>
      </c>
      <c r="N729" s="1" t="str">
        <f t="shared" si="59"/>
        <v>00857</v>
      </c>
    </row>
    <row r="730" spans="1:14" x14ac:dyDescent="0.3">
      <c r="A730" s="1">
        <v>858</v>
      </c>
      <c r="B730" s="7" t="s">
        <v>1141</v>
      </c>
      <c r="C730" s="12">
        <v>10707</v>
      </c>
      <c r="D730" s="7" t="s">
        <v>1142</v>
      </c>
      <c r="E730" s="13" t="s">
        <v>842</v>
      </c>
      <c r="F730" t="str">
        <f t="shared" si="55"/>
        <v>10</v>
      </c>
      <c r="G730" t="str">
        <f t="shared" si="56"/>
        <v>1010707San Antonio</v>
      </c>
      <c r="H730" t="s">
        <v>31588</v>
      </c>
      <c r="I730" t="s">
        <v>23020</v>
      </c>
      <c r="J730" t="str">
        <f t="shared" si="57"/>
        <v>E:\PropInv\MF</v>
      </c>
      <c r="K730" s="103" t="str">
        <f>HYPERLINK("E:\PropInv\MF\San Antonio\10 IH W_10707_La Jolla de San Antonio_San Antonio_00858","10 IH W_10707_La Jolla de San Antonio_San Antonio_00858" )</f>
        <v>10 IH W_10707_La Jolla de San Antonio_San Antonio_00858</v>
      </c>
      <c r="L730" s="104" t="s">
        <v>22253</v>
      </c>
      <c r="M730" s="103" t="str">
        <f t="shared" si="58"/>
        <v>http://oconnordata.com/mlink/modules/profile/index.cfm?action=profile&amp;prop_id=858</v>
      </c>
      <c r="N730" s="1" t="str">
        <f t="shared" si="59"/>
        <v>00858</v>
      </c>
    </row>
    <row r="731" spans="1:14" x14ac:dyDescent="0.3">
      <c r="A731" s="1">
        <v>859</v>
      </c>
      <c r="B731" s="7" t="s">
        <v>928</v>
      </c>
      <c r="C731" s="12">
        <v>7600</v>
      </c>
      <c r="D731" s="7" t="s">
        <v>1143</v>
      </c>
      <c r="E731" s="13" t="s">
        <v>842</v>
      </c>
      <c r="F731" t="str">
        <f t="shared" si="55"/>
        <v>Callaghan</v>
      </c>
      <c r="G731" t="str">
        <f t="shared" si="56"/>
        <v>Callaghan7600San Antonio</v>
      </c>
      <c r="H731" t="s">
        <v>31589</v>
      </c>
      <c r="I731" t="s">
        <v>23021</v>
      </c>
      <c r="J731" t="str">
        <f t="shared" si="57"/>
        <v>E:\PropInv\MF</v>
      </c>
      <c r="K731" s="103" t="str">
        <f>HYPERLINK("E:\PropInv\MF\San Antonio\Callaghan Rd_7600_La Maison_San Antonio_00859","Callaghan Rd_7600_La Maison_San Antonio_00859" )</f>
        <v>Callaghan Rd_7600_La Maison_San Antonio_00859</v>
      </c>
      <c r="L731" s="104" t="s">
        <v>22253</v>
      </c>
      <c r="M731" s="103" t="str">
        <f t="shared" si="58"/>
        <v>http://oconnordata.com/mlink/modules/profile/index.cfm?action=profile&amp;prop_id=859</v>
      </c>
      <c r="N731" s="1" t="str">
        <f t="shared" si="59"/>
        <v>00859</v>
      </c>
    </row>
    <row r="732" spans="1:14" x14ac:dyDescent="0.3">
      <c r="A732" s="1">
        <v>860</v>
      </c>
      <c r="B732" s="7" t="s">
        <v>1144</v>
      </c>
      <c r="C732" s="12">
        <v>102</v>
      </c>
      <c r="D732" s="7" t="s">
        <v>1145</v>
      </c>
      <c r="E732" s="13" t="s">
        <v>842</v>
      </c>
      <c r="F732" t="str">
        <f t="shared" si="55"/>
        <v>Rampart</v>
      </c>
      <c r="G732" t="str">
        <f t="shared" si="56"/>
        <v>Rampart102San Antonio</v>
      </c>
      <c r="H732" t="s">
        <v>31590</v>
      </c>
      <c r="I732" t="s">
        <v>23022</v>
      </c>
      <c r="J732" t="str">
        <f t="shared" si="57"/>
        <v>E:\PropInv\MF</v>
      </c>
      <c r="K732" s="103" t="str">
        <f>HYPERLINK("E:\PropInv\MF\San Antonio\Rampart W_102_La Paloma_San Antonio_00860","Rampart W_102_La Paloma_San Antonio_00860" )</f>
        <v>Rampart W_102_La Paloma_San Antonio_00860</v>
      </c>
      <c r="L732" s="104" t="s">
        <v>22253</v>
      </c>
      <c r="M732" s="103" t="str">
        <f t="shared" si="58"/>
        <v>http://oconnordata.com/mlink/modules/profile/index.cfm?action=profile&amp;prop_id=860</v>
      </c>
      <c r="N732" s="1" t="str">
        <f t="shared" si="59"/>
        <v>00860</v>
      </c>
    </row>
    <row r="733" spans="1:14" x14ac:dyDescent="0.3">
      <c r="A733" s="1">
        <v>861</v>
      </c>
      <c r="B733" s="7" t="s">
        <v>942</v>
      </c>
      <c r="C733" s="12">
        <v>800</v>
      </c>
      <c r="D733" s="7" t="s">
        <v>1146</v>
      </c>
      <c r="E733" s="13" t="s">
        <v>842</v>
      </c>
      <c r="F733" t="str">
        <f t="shared" si="55"/>
        <v>Babcock</v>
      </c>
      <c r="G733" t="str">
        <f t="shared" si="56"/>
        <v>Babcock800San Antonio</v>
      </c>
      <c r="H733" t="s">
        <v>31591</v>
      </c>
      <c r="I733" t="s">
        <v>23023</v>
      </c>
      <c r="J733" t="str">
        <f t="shared" si="57"/>
        <v>E:\PropInv\MF</v>
      </c>
      <c r="K733" s="103" t="str">
        <f>HYPERLINK("E:\PropInv\MF\San Antonio\Babcock Rd_800_La Risa_San Antonio_00861","Babcock Rd_800_La Risa_San Antonio_00861" )</f>
        <v>Babcock Rd_800_La Risa_San Antonio_00861</v>
      </c>
      <c r="L733" s="104" t="s">
        <v>22253</v>
      </c>
      <c r="M733" s="103" t="str">
        <f t="shared" si="58"/>
        <v>http://oconnordata.com/mlink/modules/profile/index.cfm?action=profile&amp;prop_id=861</v>
      </c>
      <c r="N733" s="1" t="str">
        <f t="shared" si="59"/>
        <v>00861</v>
      </c>
    </row>
    <row r="734" spans="1:14" x14ac:dyDescent="0.3">
      <c r="A734" s="1">
        <v>862</v>
      </c>
      <c r="B734" s="7" t="s">
        <v>1147</v>
      </c>
      <c r="C734" s="12">
        <v>103</v>
      </c>
      <c r="D734" s="7" t="s">
        <v>1148</v>
      </c>
      <c r="E734" s="13" t="s">
        <v>842</v>
      </c>
      <c r="F734" t="str">
        <f t="shared" si="55"/>
        <v>Jackson</v>
      </c>
      <c r="G734" t="str">
        <f t="shared" si="56"/>
        <v>Jackson103San Antonio</v>
      </c>
      <c r="H734" t="s">
        <v>31592</v>
      </c>
      <c r="I734" t="s">
        <v>23024</v>
      </c>
      <c r="J734" t="str">
        <f t="shared" si="57"/>
        <v>E:\PropInv\MF</v>
      </c>
      <c r="K734" s="103" t="str">
        <f>HYPERLINK("E:\PropInv\MF\San Antonio\Jackson Keller Rd_103_Flats at Olmos_San Antonio_00862","Jackson Keller Rd_103_Flats at Olmos_San Antonio_00862" )</f>
        <v>Jackson Keller Rd_103_Flats at Olmos_San Antonio_00862</v>
      </c>
      <c r="L734" s="104" t="s">
        <v>22253</v>
      </c>
      <c r="M734" s="103" t="str">
        <f t="shared" si="58"/>
        <v>http://oconnordata.com/mlink/modules/profile/index.cfm?action=profile&amp;prop_id=862</v>
      </c>
      <c r="N734" s="1" t="str">
        <f t="shared" si="59"/>
        <v>00862</v>
      </c>
    </row>
    <row r="735" spans="1:14" x14ac:dyDescent="0.3">
      <c r="A735" s="1">
        <v>863</v>
      </c>
      <c r="B735" s="7" t="s">
        <v>1149</v>
      </c>
      <c r="C735" s="12">
        <v>115</v>
      </c>
      <c r="D735" s="7" t="s">
        <v>1150</v>
      </c>
      <c r="E735" s="13" t="s">
        <v>1138</v>
      </c>
      <c r="F735" t="str">
        <f t="shared" si="55"/>
        <v>Plaza</v>
      </c>
      <c r="G735" t="str">
        <f t="shared" si="56"/>
        <v>Plaza115Kerrville</v>
      </c>
      <c r="H735" t="s">
        <v>31593</v>
      </c>
      <c r="I735" t="s">
        <v>23025</v>
      </c>
      <c r="J735" t="str">
        <f t="shared" si="57"/>
        <v>E:\PropInv\MF</v>
      </c>
      <c r="K735" s="103" t="str">
        <f>HYPERLINK("E:\PropInv\MF\Kerrville\Plaza Dr_115_Lakeside_Kerrville_00863","Plaza Dr_115_Lakeside_Kerrville_00863" )</f>
        <v>Plaza Dr_115_Lakeside_Kerrville_00863</v>
      </c>
      <c r="L735" s="104" t="s">
        <v>22253</v>
      </c>
      <c r="M735" s="103" t="str">
        <f t="shared" si="58"/>
        <v>http://oconnordata.com/mlink/modules/profile/index.cfm?action=profile&amp;prop_id=863</v>
      </c>
      <c r="N735" s="1" t="str">
        <f t="shared" si="59"/>
        <v>00863</v>
      </c>
    </row>
    <row r="736" spans="1:14" x14ac:dyDescent="0.3">
      <c r="A736" s="1">
        <v>864</v>
      </c>
      <c r="B736" s="10" t="s">
        <v>1151</v>
      </c>
      <c r="C736" s="9">
        <v>8555</v>
      </c>
      <c r="D736" s="16" t="s">
        <v>1152</v>
      </c>
      <c r="E736" s="11" t="s">
        <v>842</v>
      </c>
      <c r="F736" t="str">
        <f t="shared" si="55"/>
        <v>Lauren</v>
      </c>
      <c r="G736" t="str">
        <f t="shared" si="56"/>
        <v>Lauren8555San Antonio</v>
      </c>
      <c r="H736" t="s">
        <v>31594</v>
      </c>
      <c r="I736" t="s">
        <v>23026</v>
      </c>
      <c r="J736" t="str">
        <f t="shared" si="57"/>
        <v>E:\PropInv\MF</v>
      </c>
      <c r="K736" s="103" t="str">
        <f>HYPERLINK("E:\PropInv\MF\San Antonio\Lauren Ln_8555_Lakeside Villas_San Antonio_00864","Lauren Ln_8555_Lakeside Villas_San Antonio_00864" )</f>
        <v>Lauren Ln_8555_Lakeside Villas_San Antonio_00864</v>
      </c>
      <c r="L736" s="104" t="s">
        <v>22253</v>
      </c>
      <c r="M736" s="103" t="str">
        <f t="shared" si="58"/>
        <v>http://oconnordata.com/mlink/modules/profile/index.cfm?action=profile&amp;prop_id=864</v>
      </c>
      <c r="N736" s="1" t="str">
        <f t="shared" si="59"/>
        <v>00864</v>
      </c>
    </row>
    <row r="737" spans="1:14" x14ac:dyDescent="0.3">
      <c r="A737" s="1">
        <v>865</v>
      </c>
      <c r="B737" s="10" t="s">
        <v>1153</v>
      </c>
      <c r="C737" s="9">
        <v>200</v>
      </c>
      <c r="D737" s="10" t="s">
        <v>1154</v>
      </c>
      <c r="E737" s="11" t="s">
        <v>912</v>
      </c>
      <c r="F737" t="str">
        <f t="shared" si="55"/>
        <v>Primrose</v>
      </c>
      <c r="G737" t="str">
        <f t="shared" si="56"/>
        <v>Primrose200New Braunfels</v>
      </c>
      <c r="H737" t="s">
        <v>31595</v>
      </c>
      <c r="I737" t="s">
        <v>23027</v>
      </c>
      <c r="J737" t="str">
        <f t="shared" si="57"/>
        <v>E:\PropInv\MF</v>
      </c>
      <c r="K737" s="103" t="str">
        <f>HYPERLINK("E:\PropInv\MF\New Braunfels\Primrose Cir_200_Landa_New Braunfels_00865","Primrose Cir_200_Landa_New Braunfels_00865" )</f>
        <v>Primrose Cir_200_Landa_New Braunfels_00865</v>
      </c>
      <c r="L737" s="104" t="s">
        <v>22253</v>
      </c>
      <c r="M737" s="103" t="str">
        <f t="shared" si="58"/>
        <v>http://oconnordata.com/mlink/modules/profile/index.cfm?action=profile&amp;prop_id=865</v>
      </c>
      <c r="N737" s="1" t="str">
        <f t="shared" si="59"/>
        <v>00865</v>
      </c>
    </row>
    <row r="738" spans="1:14" x14ac:dyDescent="0.3">
      <c r="A738" s="1">
        <v>866</v>
      </c>
      <c r="B738" s="7" t="s">
        <v>865</v>
      </c>
      <c r="C738" s="12">
        <v>13400</v>
      </c>
      <c r="D738" s="7" t="s">
        <v>1155</v>
      </c>
      <c r="E738" s="13" t="s">
        <v>842</v>
      </c>
      <c r="F738" t="str">
        <f t="shared" si="55"/>
        <v>Blanco</v>
      </c>
      <c r="G738" t="str">
        <f t="shared" si="56"/>
        <v>Blanco13400San Antonio</v>
      </c>
      <c r="H738" t="s">
        <v>31596</v>
      </c>
      <c r="I738" t="s">
        <v>23028</v>
      </c>
      <c r="J738" t="str">
        <f t="shared" si="57"/>
        <v>E:\PropInv\MF</v>
      </c>
      <c r="K738" s="103" t="str">
        <f>HYPERLINK("E:\PropInv\MF\San Antonio\Blanco Rd_13400_Landera_San Antonio_00866","Blanco Rd_13400_Landera_San Antonio_00866" )</f>
        <v>Blanco Rd_13400_Landera_San Antonio_00866</v>
      </c>
      <c r="L738" s="104" t="s">
        <v>22253</v>
      </c>
      <c r="M738" s="103" t="str">
        <f t="shared" si="58"/>
        <v>http://oconnordata.com/mlink/modules/profile/index.cfm?action=profile&amp;prop_id=866</v>
      </c>
      <c r="N738" s="1" t="str">
        <f t="shared" si="59"/>
        <v>00866</v>
      </c>
    </row>
    <row r="739" spans="1:14" x14ac:dyDescent="0.3">
      <c r="A739" s="1">
        <v>867</v>
      </c>
      <c r="B739" s="21" t="s">
        <v>1156</v>
      </c>
      <c r="C739" s="12">
        <v>3400</v>
      </c>
      <c r="D739" s="7" t="s">
        <v>1157</v>
      </c>
      <c r="E739" s="13" t="s">
        <v>842</v>
      </c>
      <c r="F739" t="str">
        <f t="shared" si="55"/>
        <v>NE</v>
      </c>
      <c r="G739" t="str">
        <f t="shared" si="56"/>
        <v>NE3400San Antonio</v>
      </c>
      <c r="H739" t="s">
        <v>31597</v>
      </c>
      <c r="I739" t="s">
        <v>23029</v>
      </c>
      <c r="J739" t="str">
        <f t="shared" si="57"/>
        <v>E:\PropInv\MF</v>
      </c>
      <c r="K739" s="103" t="str">
        <f>HYPERLINK("E:\PropInv\MF\San Antonio\NE Pkwy_3400_Landing_San Antonio_00867","NE Pkwy_3400_Landing_San Antonio_00867" )</f>
        <v>NE Pkwy_3400_Landing_San Antonio_00867</v>
      </c>
      <c r="L739" s="104" t="s">
        <v>22253</v>
      </c>
      <c r="M739" s="103" t="str">
        <f t="shared" si="58"/>
        <v>http://oconnordata.com/mlink/modules/profile/index.cfm?action=profile&amp;prop_id=867</v>
      </c>
      <c r="N739" s="1" t="str">
        <f t="shared" si="59"/>
        <v>00867</v>
      </c>
    </row>
    <row r="740" spans="1:14" x14ac:dyDescent="0.3">
      <c r="A740" s="1">
        <v>868</v>
      </c>
      <c r="B740" s="7" t="s">
        <v>1158</v>
      </c>
      <c r="C740" s="12">
        <v>1565</v>
      </c>
      <c r="D740" s="19" t="s">
        <v>1159</v>
      </c>
      <c r="E740" s="13" t="s">
        <v>912</v>
      </c>
      <c r="F740" t="str">
        <f t="shared" si="55"/>
        <v>35</v>
      </c>
      <c r="G740" t="str">
        <f t="shared" si="56"/>
        <v>351565New Braunfels</v>
      </c>
      <c r="H740" t="s">
        <v>31598</v>
      </c>
      <c r="I740" t="s">
        <v>23030</v>
      </c>
      <c r="J740" t="str">
        <f t="shared" si="57"/>
        <v>E:\PropInv\MF</v>
      </c>
      <c r="K740" s="103" t="str">
        <f>HYPERLINK("E:\PropInv\MF\New Braunfels\35 IH Business N_1565_Langtry Village_New Braunfels_00868","35 IH Business N_1565_Langtry Village_New Braunfels_00868" )</f>
        <v>35 IH Business N_1565_Langtry Village_New Braunfels_00868</v>
      </c>
      <c r="L740" s="104" t="s">
        <v>22253</v>
      </c>
      <c r="M740" s="103" t="str">
        <f t="shared" si="58"/>
        <v>http://oconnordata.com/mlink/modules/profile/index.cfm?action=profile&amp;prop_id=868</v>
      </c>
      <c r="N740" s="1" t="str">
        <f t="shared" si="59"/>
        <v>00868</v>
      </c>
    </row>
    <row r="741" spans="1:14" x14ac:dyDescent="0.3">
      <c r="A741" s="1">
        <v>869</v>
      </c>
      <c r="B741" s="7" t="s">
        <v>1051</v>
      </c>
      <c r="C741" s="12">
        <v>4603</v>
      </c>
      <c r="D741" s="7" t="s">
        <v>236</v>
      </c>
      <c r="E741" s="13" t="s">
        <v>842</v>
      </c>
      <c r="F741" t="str">
        <f t="shared" si="55"/>
        <v>Vance</v>
      </c>
      <c r="G741" t="str">
        <f t="shared" si="56"/>
        <v>Vance4603San Antonio</v>
      </c>
      <c r="H741" t="s">
        <v>31599</v>
      </c>
      <c r="I741" t="s">
        <v>23031</v>
      </c>
      <c r="J741" t="str">
        <f t="shared" si="57"/>
        <v>E:\PropInv\MF</v>
      </c>
      <c r="K741" s="103" t="str">
        <f>HYPERLINK("E:\PropInv\MF\San Antonio\Vance Jackson Rd_4603_Lantana_San Antonio_00869","Vance Jackson Rd_4603_Lantana_San Antonio_00869" )</f>
        <v>Vance Jackson Rd_4603_Lantana_San Antonio_00869</v>
      </c>
      <c r="L741" s="104" t="s">
        <v>22253</v>
      </c>
      <c r="M741" s="103" t="str">
        <f t="shared" si="58"/>
        <v>http://oconnordata.com/mlink/modules/profile/index.cfm?action=profile&amp;prop_id=869</v>
      </c>
      <c r="N741" s="1" t="str">
        <f t="shared" si="59"/>
        <v>00869</v>
      </c>
    </row>
    <row r="742" spans="1:14" x14ac:dyDescent="0.3">
      <c r="A742" s="1">
        <v>870</v>
      </c>
      <c r="B742" s="7" t="s">
        <v>865</v>
      </c>
      <c r="C742" s="12">
        <v>12626</v>
      </c>
      <c r="D742" s="7" t="s">
        <v>1160</v>
      </c>
      <c r="E742" s="13" t="s">
        <v>842</v>
      </c>
      <c r="F742" t="str">
        <f t="shared" si="55"/>
        <v>Blanco</v>
      </c>
      <c r="G742" t="str">
        <f t="shared" si="56"/>
        <v>Blanco12626San Antonio</v>
      </c>
      <c r="H742" t="s">
        <v>31600</v>
      </c>
      <c r="I742" t="s">
        <v>23032</v>
      </c>
      <c r="J742" t="str">
        <f t="shared" si="57"/>
        <v>E:\PropInv\MF</v>
      </c>
      <c r="K742" s="103" t="str">
        <f>HYPERLINK("E:\PropInv\MF\San Antonio\Blanco Rd_12626_Las Brisas_San Antonio_00870","Blanco Rd_12626_Las Brisas_San Antonio_00870" )</f>
        <v>Blanco Rd_12626_Las Brisas_San Antonio_00870</v>
      </c>
      <c r="L742" s="104" t="s">
        <v>22253</v>
      </c>
      <c r="M742" s="103" t="str">
        <f t="shared" si="58"/>
        <v>http://oconnordata.com/mlink/modules/profile/index.cfm?action=profile&amp;prop_id=870</v>
      </c>
      <c r="N742" s="1" t="str">
        <f t="shared" si="59"/>
        <v>00870</v>
      </c>
    </row>
    <row r="743" spans="1:14" x14ac:dyDescent="0.3">
      <c r="A743" s="1">
        <v>871</v>
      </c>
      <c r="B743" s="7" t="s">
        <v>855</v>
      </c>
      <c r="C743" s="12">
        <v>8331</v>
      </c>
      <c r="D743" s="7" t="s">
        <v>1161</v>
      </c>
      <c r="E743" s="13" t="s">
        <v>842</v>
      </c>
      <c r="F743" t="str">
        <f t="shared" si="55"/>
        <v>Fredericksburg</v>
      </c>
      <c r="G743" t="str">
        <f t="shared" si="56"/>
        <v>Fredericksburg8331San Antonio</v>
      </c>
      <c r="H743" t="s">
        <v>31601</v>
      </c>
      <c r="I743" t="s">
        <v>23033</v>
      </c>
      <c r="J743" t="str">
        <f t="shared" si="57"/>
        <v>E:\PropInv\MF</v>
      </c>
      <c r="K743" s="103" t="str">
        <f>HYPERLINK("E:\PropInv\MF\San Antonio\Fredericksburg Rd_8331_Las Cimas_San Antonio_00871","Fredericksburg Rd_8331_Las Cimas_San Antonio_00871" )</f>
        <v>Fredericksburg Rd_8331_Las Cimas_San Antonio_00871</v>
      </c>
      <c r="L743" s="104" t="s">
        <v>22253</v>
      </c>
      <c r="M743" s="103" t="str">
        <f t="shared" si="58"/>
        <v>http://oconnordata.com/mlink/modules/profile/index.cfm?action=profile&amp;prop_id=871</v>
      </c>
      <c r="N743" s="1" t="str">
        <f t="shared" si="59"/>
        <v>00871</v>
      </c>
    </row>
    <row r="744" spans="1:14" x14ac:dyDescent="0.3">
      <c r="A744" s="1">
        <v>872</v>
      </c>
      <c r="B744" s="7" t="s">
        <v>954</v>
      </c>
      <c r="C744" s="12">
        <v>15800</v>
      </c>
      <c r="D744" s="7" t="s">
        <v>1162</v>
      </c>
      <c r="E744" s="13" t="s">
        <v>842</v>
      </c>
      <c r="F744" t="str">
        <f t="shared" si="55"/>
        <v>Chase</v>
      </c>
      <c r="G744" t="str">
        <f t="shared" si="56"/>
        <v>Chase15800San Antonio</v>
      </c>
      <c r="H744" t="s">
        <v>31602</v>
      </c>
      <c r="I744" t="s">
        <v>23034</v>
      </c>
      <c r="J744" t="str">
        <f t="shared" si="57"/>
        <v>E:\PropInv\MF</v>
      </c>
      <c r="K744" s="103" t="str">
        <f>HYPERLINK("E:\PropInv\MF\San Antonio\Chase Hill Blvd_15800_Las Colinas_San Antonio_00872","Chase Hill Blvd_15800_Las Colinas_San Antonio_00872" )</f>
        <v>Chase Hill Blvd_15800_Las Colinas_San Antonio_00872</v>
      </c>
      <c r="L744" s="104" t="s">
        <v>22253</v>
      </c>
      <c r="M744" s="103" t="str">
        <f t="shared" si="58"/>
        <v>http://oconnordata.com/mlink/modules/profile/index.cfm?action=profile&amp;prop_id=872</v>
      </c>
      <c r="N744" s="1" t="str">
        <f t="shared" si="59"/>
        <v>00872</v>
      </c>
    </row>
    <row r="745" spans="1:14" x14ac:dyDescent="0.3">
      <c r="A745" s="1">
        <v>873</v>
      </c>
      <c r="B745" s="7" t="s">
        <v>1163</v>
      </c>
      <c r="C745" s="12">
        <v>1014</v>
      </c>
      <c r="D745" s="7" t="s">
        <v>1164</v>
      </c>
      <c r="E745" s="13" t="s">
        <v>842</v>
      </c>
      <c r="F745" t="str">
        <f t="shared" si="55"/>
        <v>San</v>
      </c>
      <c r="G745" t="str">
        <f t="shared" si="56"/>
        <v>San1014San Antonio</v>
      </c>
      <c r="H745" t="s">
        <v>31603</v>
      </c>
      <c r="I745" t="s">
        <v>23035</v>
      </c>
      <c r="J745" t="str">
        <f t="shared" si="57"/>
        <v>E:\PropInv\MF</v>
      </c>
      <c r="K745" s="103" t="str">
        <f>HYPERLINK("E:\PropInv\MF\San Antonio\San Eduardo Ave S_1014_Las Palmas Gardens_San Antonio_00873","San Eduardo Ave S_1014_Las Palmas Gardens_San Antonio_00873" )</f>
        <v>San Eduardo Ave S_1014_Las Palmas Gardens_San Antonio_00873</v>
      </c>
      <c r="L745" s="104" t="s">
        <v>22253</v>
      </c>
      <c r="M745" s="103" t="str">
        <f t="shared" si="58"/>
        <v>http://oconnordata.com/mlink/modules/profile/index.cfm?action=profile&amp;prop_id=873</v>
      </c>
      <c r="N745" s="1" t="str">
        <f t="shared" si="59"/>
        <v>00873</v>
      </c>
    </row>
    <row r="746" spans="1:14" x14ac:dyDescent="0.3">
      <c r="A746" s="1">
        <v>874</v>
      </c>
      <c r="B746" s="7" t="s">
        <v>1165</v>
      </c>
      <c r="C746" s="12">
        <v>321</v>
      </c>
      <c r="D746" s="7" t="s">
        <v>1166</v>
      </c>
      <c r="E746" s="13" t="s">
        <v>842</v>
      </c>
      <c r="F746" t="str">
        <f t="shared" si="55"/>
        <v>Laurel</v>
      </c>
      <c r="G746" t="str">
        <f t="shared" si="56"/>
        <v>Laurel321San Antonio</v>
      </c>
      <c r="H746" t="s">
        <v>31604</v>
      </c>
      <c r="I746" t="s">
        <v>23036</v>
      </c>
      <c r="J746" t="str">
        <f t="shared" si="57"/>
        <v>E:\PropInv\MF</v>
      </c>
      <c r="K746" s="103" t="str">
        <f>HYPERLINK("E:\PropInv\MF\San Antonio\Laurel St W_321_Laurel_San Antonio_00874","Laurel St W_321_Laurel_San Antonio_00874" )</f>
        <v>Laurel St W_321_Laurel_San Antonio_00874</v>
      </c>
      <c r="L746" s="104" t="s">
        <v>22253</v>
      </c>
      <c r="M746" s="103" t="str">
        <f t="shared" si="58"/>
        <v>http://oconnordata.com/mlink/modules/profile/index.cfm?action=profile&amp;prop_id=874</v>
      </c>
      <c r="N746" s="1" t="str">
        <f t="shared" si="59"/>
        <v>00874</v>
      </c>
    </row>
    <row r="747" spans="1:14" x14ac:dyDescent="0.3">
      <c r="A747" s="1">
        <v>875</v>
      </c>
      <c r="B747" s="7" t="s">
        <v>942</v>
      </c>
      <c r="C747" s="12">
        <v>1415</v>
      </c>
      <c r="D747" s="7" t="s">
        <v>1167</v>
      </c>
      <c r="E747" s="13" t="s">
        <v>842</v>
      </c>
      <c r="F747" t="str">
        <f t="shared" si="55"/>
        <v>Babcock</v>
      </c>
      <c r="G747" t="str">
        <f t="shared" si="56"/>
        <v>Babcock1415San Antonio</v>
      </c>
      <c r="H747" t="s">
        <v>31605</v>
      </c>
      <c r="I747" t="s">
        <v>23037</v>
      </c>
      <c r="J747" t="str">
        <f t="shared" si="57"/>
        <v>E:\PropInv\MF</v>
      </c>
      <c r="K747" s="103" t="str">
        <f>HYPERLINK("E:\PropInv\MF\San Antonio\Babcock Rd_1415_Laurel Crossing_San Antonio_00875","Babcock Rd_1415_Laurel Crossing_San Antonio_00875" )</f>
        <v>Babcock Rd_1415_Laurel Crossing_San Antonio_00875</v>
      </c>
      <c r="L747" s="104" t="s">
        <v>22253</v>
      </c>
      <c r="M747" s="103" t="str">
        <f t="shared" si="58"/>
        <v>http://oconnordata.com/mlink/modules/profile/index.cfm?action=profile&amp;prop_id=875</v>
      </c>
      <c r="N747" s="1" t="str">
        <f t="shared" si="59"/>
        <v>00875</v>
      </c>
    </row>
    <row r="748" spans="1:14" x14ac:dyDescent="0.3">
      <c r="A748" s="1">
        <v>876</v>
      </c>
      <c r="B748" s="7" t="s">
        <v>1168</v>
      </c>
      <c r="C748" s="12">
        <v>483</v>
      </c>
      <c r="D748" s="7" t="s">
        <v>1169</v>
      </c>
      <c r="E748" s="13" t="s">
        <v>912</v>
      </c>
      <c r="F748" t="str">
        <f t="shared" si="55"/>
        <v>Laurel</v>
      </c>
      <c r="G748" t="str">
        <f t="shared" si="56"/>
        <v>Laurel483New Braunfels</v>
      </c>
      <c r="H748" t="s">
        <v>31606</v>
      </c>
      <c r="I748" t="s">
        <v>23038</v>
      </c>
      <c r="J748" t="str">
        <f t="shared" si="57"/>
        <v>E:\PropInv\MF</v>
      </c>
      <c r="K748" s="103" t="str">
        <f>HYPERLINK("E:\PropInv\MF\New Braunfels\Laurel Ln_483_Laurel Heights_New Braunfels_00876","Laurel Ln_483_Laurel Heights_New Braunfels_00876" )</f>
        <v>Laurel Ln_483_Laurel Heights_New Braunfels_00876</v>
      </c>
      <c r="L748" s="104" t="s">
        <v>22253</v>
      </c>
      <c r="M748" s="103" t="str">
        <f t="shared" si="58"/>
        <v>http://oconnordata.com/mlink/modules/profile/index.cfm?action=profile&amp;prop_id=876</v>
      </c>
      <c r="N748" s="1" t="str">
        <f t="shared" si="59"/>
        <v>00876</v>
      </c>
    </row>
    <row r="749" spans="1:14" x14ac:dyDescent="0.3">
      <c r="A749" s="1">
        <v>877</v>
      </c>
      <c r="B749" s="7" t="s">
        <v>1170</v>
      </c>
      <c r="C749" s="12">
        <v>3301</v>
      </c>
      <c r="D749" s="7" t="s">
        <v>1171</v>
      </c>
      <c r="E749" s="13" t="s">
        <v>842</v>
      </c>
      <c r="F749" t="str">
        <f t="shared" si="55"/>
        <v>Woodlawn</v>
      </c>
      <c r="G749" t="str">
        <f t="shared" si="56"/>
        <v>Woodlawn3301San Antonio</v>
      </c>
      <c r="H749" t="s">
        <v>31607</v>
      </c>
      <c r="I749" t="s">
        <v>23039</v>
      </c>
      <c r="J749" t="str">
        <f t="shared" si="57"/>
        <v>E:\PropInv\MF</v>
      </c>
      <c r="K749" s="103" t="str">
        <f>HYPERLINK("E:\PropInv\MF\San Antonio\Woodlawn Ave N_3301_Lawnwood_San Antonio_00877","Woodlawn Ave N_3301_Lawnwood_San Antonio_00877" )</f>
        <v>Woodlawn Ave N_3301_Lawnwood_San Antonio_00877</v>
      </c>
      <c r="L749" s="104" t="s">
        <v>22253</v>
      </c>
      <c r="M749" s="103" t="str">
        <f t="shared" si="58"/>
        <v>http://oconnordata.com/mlink/modules/profile/index.cfm?action=profile&amp;prop_id=877</v>
      </c>
      <c r="N749" s="1" t="str">
        <f t="shared" si="59"/>
        <v>00877</v>
      </c>
    </row>
    <row r="750" spans="1:14" x14ac:dyDescent="0.3">
      <c r="A750" s="1">
        <v>878</v>
      </c>
      <c r="B750" s="7" t="s">
        <v>1172</v>
      </c>
      <c r="C750" s="12">
        <v>431</v>
      </c>
      <c r="D750" s="7" t="s">
        <v>1173</v>
      </c>
      <c r="E750" s="13" t="s">
        <v>842</v>
      </c>
      <c r="F750" t="str">
        <f t="shared" si="55"/>
        <v>Rene</v>
      </c>
      <c r="G750" t="str">
        <f t="shared" si="56"/>
        <v>Rene431San Antonio</v>
      </c>
      <c r="H750" t="s">
        <v>31608</v>
      </c>
      <c r="I750" t="s">
        <v>23040</v>
      </c>
      <c r="J750" t="str">
        <f t="shared" si="57"/>
        <v>E:\PropInv\MF</v>
      </c>
      <c r="K750" s="103" t="str">
        <f>HYPERLINK("E:\PropInv\MF\San Antonio\Rene Levy_431_Levy Townhome Condominiums_San Antonio_00878","Rene Levy_431_Levy Townhome Condominiums_San Antonio_00878" )</f>
        <v>Rene Levy_431_Levy Townhome Condominiums_San Antonio_00878</v>
      </c>
      <c r="L750" s="104" t="s">
        <v>22253</v>
      </c>
      <c r="M750" s="103" t="str">
        <f t="shared" si="58"/>
        <v>http://oconnordata.com/mlink/modules/profile/index.cfm?action=profile&amp;prop_id=878</v>
      </c>
      <c r="N750" s="1" t="str">
        <f t="shared" si="59"/>
        <v>00878</v>
      </c>
    </row>
    <row r="751" spans="1:14" x14ac:dyDescent="0.3">
      <c r="A751" s="1">
        <v>879</v>
      </c>
      <c r="B751" s="7" t="s">
        <v>1174</v>
      </c>
      <c r="C751" s="12">
        <v>12550</v>
      </c>
      <c r="D751" s="7" t="s">
        <v>1175</v>
      </c>
      <c r="E751" s="13" t="s">
        <v>842</v>
      </c>
      <c r="F751" t="str">
        <f t="shared" si="55"/>
        <v>Vista</v>
      </c>
      <c r="G751" t="str">
        <f t="shared" si="56"/>
        <v>Vista12550San Antonio</v>
      </c>
      <c r="H751" t="s">
        <v>31609</v>
      </c>
      <c r="I751" t="s">
        <v>23041</v>
      </c>
      <c r="J751" t="str">
        <f t="shared" si="57"/>
        <v>E:\PropInv\MF</v>
      </c>
      <c r="K751" s="103" t="str">
        <f>HYPERLINK("E:\PropInv\MF\San Antonio\Vista View St_12550_The Lexington_San Antonio_00879","Vista View St_12550_The Lexington_San Antonio_00879" )</f>
        <v>Vista View St_12550_The Lexington_San Antonio_00879</v>
      </c>
      <c r="L751" s="104" t="s">
        <v>22253</v>
      </c>
      <c r="M751" s="103" t="str">
        <f t="shared" si="58"/>
        <v>http://oconnordata.com/mlink/modules/profile/index.cfm?action=profile&amp;prop_id=879</v>
      </c>
      <c r="N751" s="1" t="str">
        <f t="shared" si="59"/>
        <v>00879</v>
      </c>
    </row>
    <row r="752" spans="1:14" x14ac:dyDescent="0.3">
      <c r="A752" s="1">
        <v>880</v>
      </c>
      <c r="B752" s="7" t="s">
        <v>974</v>
      </c>
      <c r="C752" s="12">
        <v>5940</v>
      </c>
      <c r="D752" s="7" t="s">
        <v>1176</v>
      </c>
      <c r="E752" s="13" t="s">
        <v>842</v>
      </c>
      <c r="F752" t="str">
        <f t="shared" si="55"/>
        <v>410</v>
      </c>
      <c r="G752" t="str">
        <f t="shared" si="56"/>
        <v>4105940San Antonio</v>
      </c>
      <c r="H752" t="s">
        <v>31610</v>
      </c>
      <c r="I752" t="s">
        <v>23042</v>
      </c>
      <c r="J752" t="str">
        <f t="shared" si="57"/>
        <v>E:\PropInv\MF</v>
      </c>
      <c r="K752" s="103" t="str">
        <f>HYPERLINK("E:\PropInv\MF\San Antonio\410 Loop NW_5940_Liberty Ridge_San Antonio_00880","410 Loop NW_5940_Liberty Ridge_San Antonio_00880" )</f>
        <v>410 Loop NW_5940_Liberty Ridge_San Antonio_00880</v>
      </c>
      <c r="L752" s="104" t="s">
        <v>22253</v>
      </c>
      <c r="M752" s="103" t="str">
        <f t="shared" si="58"/>
        <v>http://oconnordata.com/mlink/modules/profile/index.cfm?action=profile&amp;prop_id=880</v>
      </c>
      <c r="N752" s="1" t="str">
        <f t="shared" si="59"/>
        <v>00880</v>
      </c>
    </row>
    <row r="753" spans="1:14" x14ac:dyDescent="0.3">
      <c r="A753" s="1">
        <v>881</v>
      </c>
      <c r="B753" s="7" t="s">
        <v>1177</v>
      </c>
      <c r="C753" s="12">
        <v>1800</v>
      </c>
      <c r="D753" s="7" t="s">
        <v>1178</v>
      </c>
      <c r="E753" s="13" t="s">
        <v>1138</v>
      </c>
      <c r="F753" t="str">
        <f t="shared" si="55"/>
        <v>Junction</v>
      </c>
      <c r="G753" t="str">
        <f t="shared" si="56"/>
        <v>Junction1800Kerrville</v>
      </c>
      <c r="H753" t="s">
        <v>31611</v>
      </c>
      <c r="I753" t="s">
        <v>23043</v>
      </c>
      <c r="J753" t="str">
        <f t="shared" si="57"/>
        <v>E:\PropInv\MF</v>
      </c>
      <c r="K753" s="103" t="str">
        <f>HYPERLINK("E:\PropInv\MF\Kerrville\Junction Hwy_1800_Lime Creek_Kerrville_00881","Junction Hwy_1800_Lime Creek_Kerrville_00881" )</f>
        <v>Junction Hwy_1800_Lime Creek_Kerrville_00881</v>
      </c>
      <c r="L753" s="104" t="s">
        <v>22253</v>
      </c>
      <c r="M753" s="103" t="str">
        <f t="shared" si="58"/>
        <v>http://oconnordata.com/mlink/modules/profile/index.cfm?action=profile&amp;prop_id=881</v>
      </c>
      <c r="N753" s="1" t="str">
        <f t="shared" si="59"/>
        <v>00881</v>
      </c>
    </row>
    <row r="754" spans="1:14" x14ac:dyDescent="0.3">
      <c r="A754" s="1">
        <v>882</v>
      </c>
      <c r="B754" s="7" t="s">
        <v>877</v>
      </c>
      <c r="C754" s="12">
        <v>11800</v>
      </c>
      <c r="D754" s="7" t="s">
        <v>1179</v>
      </c>
      <c r="E754" s="13" t="s">
        <v>842</v>
      </c>
      <c r="F754" t="str">
        <f t="shared" si="55"/>
        <v>Braesview</v>
      </c>
      <c r="G754" t="str">
        <f t="shared" si="56"/>
        <v>Braesview11800San Antonio</v>
      </c>
      <c r="H754" t="s">
        <v>31612</v>
      </c>
      <c r="I754" t="s">
        <v>23044</v>
      </c>
      <c r="J754" t="str">
        <f t="shared" si="57"/>
        <v>E:\PropInv\MF</v>
      </c>
      <c r="K754" s="103" t="str">
        <f>HYPERLINK("E:\PropInv\MF\San Antonio\Braesview_11800_The Place at Castle Hills_San Antonio_00882","Braesview_11800_The Place at Castle Hills_San Antonio_00882" )</f>
        <v>Braesview_11800_The Place at Castle Hills_San Antonio_00882</v>
      </c>
      <c r="L754" s="104" t="s">
        <v>22253</v>
      </c>
      <c r="M754" s="103" t="str">
        <f t="shared" si="58"/>
        <v>http://oconnordata.com/mlink/modules/profile/index.cfm?action=profile&amp;prop_id=882</v>
      </c>
      <c r="N754" s="1" t="str">
        <f t="shared" si="59"/>
        <v>00882</v>
      </c>
    </row>
    <row r="755" spans="1:14" x14ac:dyDescent="0.3">
      <c r="A755" s="1">
        <v>883</v>
      </c>
      <c r="B755" s="7" t="s">
        <v>840</v>
      </c>
      <c r="C755" s="12">
        <v>1700</v>
      </c>
      <c r="D755" s="7" t="s">
        <v>1180</v>
      </c>
      <c r="E755" s="13" t="s">
        <v>842</v>
      </c>
      <c r="F755" t="str">
        <f t="shared" si="55"/>
        <v>Jackson</v>
      </c>
      <c r="G755" t="str">
        <f t="shared" si="56"/>
        <v>Jackson1700San Antonio</v>
      </c>
      <c r="H755" t="s">
        <v>31613</v>
      </c>
      <c r="I755" t="s">
        <v>23045</v>
      </c>
      <c r="J755" t="str">
        <f t="shared" si="57"/>
        <v>E:\PropInv\MF</v>
      </c>
      <c r="K755" s="103" t="str">
        <f>HYPERLINK("E:\PropInv\MF\San Antonio\Jackson Keller_1700_Lincoln Village_San Antonio_00883","Jackson Keller_1700_Lincoln Village_San Antonio_00883" )</f>
        <v>Jackson Keller_1700_Lincoln Village_San Antonio_00883</v>
      </c>
      <c r="L755" s="104" t="s">
        <v>22253</v>
      </c>
      <c r="M755" s="103" t="str">
        <f t="shared" si="58"/>
        <v>http://oconnordata.com/mlink/modules/profile/index.cfm?action=profile&amp;prop_id=883</v>
      </c>
      <c r="N755" s="1" t="str">
        <f t="shared" si="59"/>
        <v>00883</v>
      </c>
    </row>
    <row r="756" spans="1:14" x14ac:dyDescent="0.3">
      <c r="A756" s="1">
        <v>884</v>
      </c>
      <c r="B756" s="7" t="s">
        <v>910</v>
      </c>
      <c r="C756" s="12">
        <v>235</v>
      </c>
      <c r="D756" s="7" t="s">
        <v>1181</v>
      </c>
      <c r="E756" s="13" t="s">
        <v>842</v>
      </c>
      <c r="F756" t="str">
        <f t="shared" si="55"/>
        <v>Howard</v>
      </c>
      <c r="G756" t="str">
        <f t="shared" si="56"/>
        <v>Howard235San Antonio</v>
      </c>
      <c r="H756" t="s">
        <v>31614</v>
      </c>
      <c r="I756" t="s">
        <v>23046</v>
      </c>
      <c r="J756" t="str">
        <f t="shared" si="57"/>
        <v>E:\PropInv\MF</v>
      </c>
      <c r="K756" s="103" t="str">
        <f>HYPERLINK("E:\PropInv\MF\San Antonio\Howard St_235_Linda_San Antonio_00884","Howard St_235_Linda_San Antonio_00884" )</f>
        <v>Howard St_235_Linda_San Antonio_00884</v>
      </c>
      <c r="L756" s="104" t="s">
        <v>22253</v>
      </c>
      <c r="M756" s="103" t="str">
        <f t="shared" si="58"/>
        <v>http://oconnordata.com/mlink/modules/profile/index.cfm?action=profile&amp;prop_id=884</v>
      </c>
      <c r="N756" s="1" t="str">
        <f t="shared" si="59"/>
        <v>00884</v>
      </c>
    </row>
    <row r="757" spans="1:14" x14ac:dyDescent="0.3">
      <c r="A757" s="1">
        <v>885</v>
      </c>
      <c r="B757" s="7" t="s">
        <v>1182</v>
      </c>
      <c r="C757" s="12">
        <v>4900</v>
      </c>
      <c r="D757" s="7" t="s">
        <v>1183</v>
      </c>
      <c r="E757" s="13" t="s">
        <v>842</v>
      </c>
      <c r="F757" t="str">
        <f t="shared" si="55"/>
        <v>Medical</v>
      </c>
      <c r="G757" t="str">
        <f t="shared" si="56"/>
        <v>Medical4900San Antonio</v>
      </c>
      <c r="H757" t="s">
        <v>31615</v>
      </c>
      <c r="I757" t="s">
        <v>23047</v>
      </c>
      <c r="J757" t="str">
        <f t="shared" si="57"/>
        <v>E:\PropInv\MF</v>
      </c>
      <c r="K757" s="103" t="str">
        <f>HYPERLINK("E:\PropInv\MF\San Antonio\Medical Dr_4900_Broadstone on Medical_San Antonio_00885","Medical Dr_4900_Broadstone on Medical_San Antonio_00885" )</f>
        <v>Medical Dr_4900_Broadstone on Medical_San Antonio_00885</v>
      </c>
      <c r="L757" s="104" t="s">
        <v>22253</v>
      </c>
      <c r="M757" s="103" t="str">
        <f t="shared" si="58"/>
        <v>http://oconnordata.com/mlink/modules/profile/index.cfm?action=profile&amp;prop_id=885</v>
      </c>
      <c r="N757" s="1" t="str">
        <f t="shared" si="59"/>
        <v>00885</v>
      </c>
    </row>
    <row r="758" spans="1:14" x14ac:dyDescent="0.3">
      <c r="A758" s="1">
        <v>887</v>
      </c>
      <c r="B758" s="19" t="s">
        <v>889</v>
      </c>
      <c r="C758" s="18">
        <v>7203</v>
      </c>
      <c r="D758" s="19" t="s">
        <v>1184</v>
      </c>
      <c r="E758" s="20" t="s">
        <v>842</v>
      </c>
      <c r="F758" t="str">
        <f t="shared" si="55"/>
        <v>Marbach</v>
      </c>
      <c r="G758" t="str">
        <f t="shared" si="56"/>
        <v>Marbach7203San Antonio</v>
      </c>
      <c r="H758" t="s">
        <v>31616</v>
      </c>
      <c r="I758" t="s">
        <v>23048</v>
      </c>
      <c r="J758" t="str">
        <f t="shared" si="57"/>
        <v>E:\PropInv\MF</v>
      </c>
      <c r="K758" s="103" t="str">
        <f>HYPERLINK("E:\PropInv\MF\San Antonio\Marbach Rd_7203_Marbach Manor_San Antonio_00887","Marbach Rd_7203_Marbach Manor_San Antonio_00887" )</f>
        <v>Marbach Rd_7203_Marbach Manor_San Antonio_00887</v>
      </c>
      <c r="L758" s="104" t="s">
        <v>22253</v>
      </c>
      <c r="M758" s="103" t="str">
        <f t="shared" si="58"/>
        <v>http://oconnordata.com/mlink/modules/profile/index.cfm?action=profile&amp;prop_id=887</v>
      </c>
      <c r="N758" s="1" t="str">
        <f t="shared" si="59"/>
        <v>00887</v>
      </c>
    </row>
    <row r="759" spans="1:14" x14ac:dyDescent="0.3">
      <c r="A759" s="1">
        <v>888</v>
      </c>
      <c r="B759" s="7" t="s">
        <v>1185</v>
      </c>
      <c r="C759" s="12">
        <v>1880</v>
      </c>
      <c r="D759" s="7" t="s">
        <v>1186</v>
      </c>
      <c r="E759" s="13" t="s">
        <v>842</v>
      </c>
      <c r="F759" t="str">
        <f t="shared" si="55"/>
        <v>Horal</v>
      </c>
      <c r="G759" t="str">
        <f t="shared" si="56"/>
        <v>Horal1880San Antonio</v>
      </c>
      <c r="H759" t="s">
        <v>31617</v>
      </c>
      <c r="I759" t="s">
        <v>23049</v>
      </c>
      <c r="J759" t="str">
        <f t="shared" si="57"/>
        <v>E:\PropInv\MF</v>
      </c>
      <c r="K759" s="103" t="str">
        <f>HYPERLINK("E:\PropInv\MF\San Antonio\Horal Dr_1880_Marbach Park_San Antonio_00888","Horal Dr_1880_Marbach Park_San Antonio_00888" )</f>
        <v>Horal Dr_1880_Marbach Park_San Antonio_00888</v>
      </c>
      <c r="L759" s="104" t="s">
        <v>22253</v>
      </c>
      <c r="M759" s="103" t="str">
        <f t="shared" si="58"/>
        <v>http://oconnordata.com/mlink/modules/profile/index.cfm?action=profile&amp;prop_id=888</v>
      </c>
      <c r="N759" s="1" t="str">
        <f t="shared" si="59"/>
        <v>00888</v>
      </c>
    </row>
    <row r="760" spans="1:14" x14ac:dyDescent="0.3">
      <c r="A760" s="1">
        <v>889</v>
      </c>
      <c r="B760" s="7" t="s">
        <v>1088</v>
      </c>
      <c r="C760" s="12">
        <v>2303</v>
      </c>
      <c r="D760" s="7" t="s">
        <v>1187</v>
      </c>
      <c r="E760" s="13" t="s">
        <v>842</v>
      </c>
      <c r="F760" t="str">
        <f t="shared" si="55"/>
        <v>Goliad</v>
      </c>
      <c r="G760" t="str">
        <f t="shared" si="56"/>
        <v>Goliad2303San Antonio</v>
      </c>
      <c r="H760" t="s">
        <v>31618</v>
      </c>
      <c r="I760" t="s">
        <v>23050</v>
      </c>
      <c r="J760" t="str">
        <f t="shared" si="57"/>
        <v>E:\PropInv\MF</v>
      </c>
      <c r="K760" s="103" t="str">
        <f>HYPERLINK("E:\PropInv\MF\San Antonio\Goliad Rd_2303_Marigold_San Antonio_00889","Goliad Rd_2303_Marigold_San Antonio_00889" )</f>
        <v>Goliad Rd_2303_Marigold_San Antonio_00889</v>
      </c>
      <c r="L760" s="104" t="s">
        <v>22253</v>
      </c>
      <c r="M760" s="103" t="str">
        <f t="shared" si="58"/>
        <v>http://oconnordata.com/mlink/modules/profile/index.cfm?action=profile&amp;prop_id=889</v>
      </c>
      <c r="N760" s="1" t="str">
        <f t="shared" si="59"/>
        <v>00889</v>
      </c>
    </row>
    <row r="761" spans="1:14" x14ac:dyDescent="0.3">
      <c r="A761" s="1">
        <v>890</v>
      </c>
      <c r="B761" s="7" t="s">
        <v>1188</v>
      </c>
      <c r="C761" s="12">
        <v>444</v>
      </c>
      <c r="D761" s="7" t="s">
        <v>1189</v>
      </c>
      <c r="E761" s="13" t="s">
        <v>842</v>
      </c>
      <c r="F761" t="str">
        <f t="shared" si="55"/>
        <v>Utopia</v>
      </c>
      <c r="G761" t="str">
        <f t="shared" si="56"/>
        <v>Utopia444San Antonio</v>
      </c>
      <c r="H761" t="s">
        <v>31619</v>
      </c>
      <c r="I761" t="s">
        <v>23051</v>
      </c>
      <c r="J761" t="str">
        <f t="shared" si="57"/>
        <v>E:\PropInv\MF</v>
      </c>
      <c r="K761" s="103" t="str">
        <f>HYPERLINK("E:\PropInv\MF\San Antonio\Utopia Ln_444_The Encinal_San Antonio_00890","Utopia Ln_444_The Encinal_San Antonio_00890" )</f>
        <v>Utopia Ln_444_The Encinal_San Antonio_00890</v>
      </c>
      <c r="L761" s="104" t="s">
        <v>22253</v>
      </c>
      <c r="M761" s="103" t="str">
        <f t="shared" si="58"/>
        <v>http://oconnordata.com/mlink/modules/profile/index.cfm?action=profile&amp;prop_id=890</v>
      </c>
      <c r="N761" s="1" t="str">
        <f t="shared" si="59"/>
        <v>00890</v>
      </c>
    </row>
    <row r="762" spans="1:14" x14ac:dyDescent="0.3">
      <c r="A762" s="1">
        <v>891</v>
      </c>
      <c r="B762" s="7" t="s">
        <v>915</v>
      </c>
      <c r="C762" s="12">
        <v>7918</v>
      </c>
      <c r="D762" s="7" t="s">
        <v>1190</v>
      </c>
      <c r="E762" s="13" t="s">
        <v>842</v>
      </c>
      <c r="F762" t="str">
        <f t="shared" si="55"/>
        <v>Jones</v>
      </c>
      <c r="G762" t="str">
        <f t="shared" si="56"/>
        <v>Jones7918San Antonio</v>
      </c>
      <c r="H762" t="s">
        <v>31620</v>
      </c>
      <c r="I762" t="s">
        <v>23052</v>
      </c>
      <c r="J762" t="str">
        <f t="shared" si="57"/>
        <v>E:\PropInv\MF</v>
      </c>
      <c r="K762" s="103" t="str">
        <f>HYPERLINK("E:\PropInv\MF\San Antonio\Jones Maltsberger_7918_Mariposa_San Antonio_00891","Jones Maltsberger_7918_Mariposa_San Antonio_00891" )</f>
        <v>Jones Maltsberger_7918_Mariposa_San Antonio_00891</v>
      </c>
      <c r="L762" s="104" t="s">
        <v>22253</v>
      </c>
      <c r="M762" s="103" t="str">
        <f t="shared" si="58"/>
        <v>http://oconnordata.com/mlink/modules/profile/index.cfm?action=profile&amp;prop_id=891</v>
      </c>
      <c r="N762" s="1" t="str">
        <f t="shared" si="59"/>
        <v>00891</v>
      </c>
    </row>
    <row r="763" spans="1:14" x14ac:dyDescent="0.3">
      <c r="A763" s="1">
        <v>892</v>
      </c>
      <c r="B763" s="7" t="s">
        <v>904</v>
      </c>
      <c r="C763" s="12">
        <v>11721</v>
      </c>
      <c r="D763" s="7" t="s">
        <v>1191</v>
      </c>
      <c r="E763" s="13" t="s">
        <v>842</v>
      </c>
      <c r="F763" t="str">
        <f t="shared" si="55"/>
        <v>Parliament</v>
      </c>
      <c r="G763" t="str">
        <f t="shared" si="56"/>
        <v>Parliament11721San Antonio</v>
      </c>
      <c r="H763" t="s">
        <v>31621</v>
      </c>
      <c r="I763" t="s">
        <v>23053</v>
      </c>
      <c r="J763" t="str">
        <f t="shared" si="57"/>
        <v>E:\PropInv\MF</v>
      </c>
      <c r="K763" s="103" t="str">
        <f>HYPERLINK("E:\PropInv\MF\San Antonio\Parliament Dr_11721_Mark at Parliament_San Antonio_00892","Parliament Dr_11721_Mark at Parliament_San Antonio_00892" )</f>
        <v>Parliament Dr_11721_Mark at Parliament_San Antonio_00892</v>
      </c>
      <c r="L763" s="104" t="s">
        <v>22253</v>
      </c>
      <c r="M763" s="103" t="str">
        <f t="shared" si="58"/>
        <v>http://oconnordata.com/mlink/modules/profile/index.cfm?action=profile&amp;prop_id=892</v>
      </c>
      <c r="N763" s="1" t="str">
        <f t="shared" si="59"/>
        <v>00892</v>
      </c>
    </row>
    <row r="764" spans="1:14" x14ac:dyDescent="0.3">
      <c r="A764" s="1">
        <v>893</v>
      </c>
      <c r="B764" s="7" t="s">
        <v>1192</v>
      </c>
      <c r="C764" s="12">
        <v>9525</v>
      </c>
      <c r="D764" s="7" t="s">
        <v>1193</v>
      </c>
      <c r="E764" s="13" t="s">
        <v>842</v>
      </c>
      <c r="F764" t="str">
        <f t="shared" si="55"/>
        <v>Lorene</v>
      </c>
      <c r="G764" t="str">
        <f t="shared" si="56"/>
        <v>Lorene9525San Antonio</v>
      </c>
      <c r="H764" t="s">
        <v>31622</v>
      </c>
      <c r="I764" t="s">
        <v>23054</v>
      </c>
      <c r="J764" t="str">
        <f t="shared" si="57"/>
        <v>E:\PropInv\MF</v>
      </c>
      <c r="K764" s="103" t="str">
        <f>HYPERLINK("E:\PropInv\MF\San Antonio\Lorene Ln_9525_The Coronado_San Antonio_00893","Lorene Ln_9525_The Coronado_San Antonio_00893" )</f>
        <v>Lorene Ln_9525_The Coronado_San Antonio_00893</v>
      </c>
      <c r="L764" s="104" t="s">
        <v>22253</v>
      </c>
      <c r="M764" s="103" t="str">
        <f t="shared" si="58"/>
        <v>http://oconnordata.com/mlink/modules/profile/index.cfm?action=profile&amp;prop_id=893</v>
      </c>
      <c r="N764" s="1" t="str">
        <f t="shared" si="59"/>
        <v>00893</v>
      </c>
    </row>
    <row r="765" spans="1:14" x14ac:dyDescent="0.3">
      <c r="A765" s="1">
        <v>894</v>
      </c>
      <c r="B765" s="7" t="s">
        <v>1194</v>
      </c>
      <c r="C765" s="12">
        <v>14001</v>
      </c>
      <c r="D765" s="7" t="s">
        <v>1195</v>
      </c>
      <c r="E765" s="13" t="s">
        <v>864</v>
      </c>
      <c r="F765" t="str">
        <f t="shared" si="55"/>
        <v>Oak</v>
      </c>
      <c r="G765" t="str">
        <f t="shared" si="56"/>
        <v>Oak14001Universal City</v>
      </c>
      <c r="H765" t="s">
        <v>31623</v>
      </c>
      <c r="I765" t="s">
        <v>23055</v>
      </c>
      <c r="J765" t="str">
        <f t="shared" si="57"/>
        <v>E:\PropInv\MF</v>
      </c>
      <c r="K765" s="103" t="str">
        <f>HYPERLINK("E:\PropInv\MF\Universal City\Oak Meadows_14001_Meadows_Universal City_00894","Oak Meadows_14001_Meadows_Universal City_00894" )</f>
        <v>Oak Meadows_14001_Meadows_Universal City_00894</v>
      </c>
      <c r="L765" s="104" t="s">
        <v>22253</v>
      </c>
      <c r="M765" s="103" t="str">
        <f t="shared" si="58"/>
        <v>http://oconnordata.com/mlink/modules/profile/index.cfm?action=profile&amp;prop_id=894</v>
      </c>
      <c r="N765" s="1" t="str">
        <f t="shared" si="59"/>
        <v>00894</v>
      </c>
    </row>
    <row r="766" spans="1:14" x14ac:dyDescent="0.3">
      <c r="A766" s="1">
        <v>895</v>
      </c>
      <c r="B766" s="7" t="s">
        <v>840</v>
      </c>
      <c r="C766" s="12">
        <v>1502</v>
      </c>
      <c r="D766" s="7" t="s">
        <v>1196</v>
      </c>
      <c r="E766" s="13" t="s">
        <v>842</v>
      </c>
      <c r="F766" t="str">
        <f t="shared" si="55"/>
        <v>Jackson</v>
      </c>
      <c r="G766" t="str">
        <f t="shared" si="56"/>
        <v>Jackson1502San Antonio</v>
      </c>
      <c r="H766" t="s">
        <v>31624</v>
      </c>
      <c r="I766" t="s">
        <v>23056</v>
      </c>
      <c r="J766" t="str">
        <f t="shared" si="57"/>
        <v>E:\PropInv\MF</v>
      </c>
      <c r="K766" s="103" t="str">
        <f>HYPERLINK("E:\PropInv\MF\San Antonio\Jackson Keller_1502_Mediterranean Villa_San Antonio_00895","Jackson Keller_1502_Mediterranean Villa_San Antonio_00895" )</f>
        <v>Jackson Keller_1502_Mediterranean Villa_San Antonio_00895</v>
      </c>
      <c r="L766" s="104" t="s">
        <v>22253</v>
      </c>
      <c r="M766" s="103" t="str">
        <f t="shared" si="58"/>
        <v>http://oconnordata.com/mlink/modules/profile/index.cfm?action=profile&amp;prop_id=895</v>
      </c>
      <c r="N766" s="1" t="str">
        <f t="shared" si="59"/>
        <v>00895</v>
      </c>
    </row>
    <row r="767" spans="1:14" x14ac:dyDescent="0.3">
      <c r="A767" s="1">
        <v>896</v>
      </c>
      <c r="B767" s="7" t="s">
        <v>1197</v>
      </c>
      <c r="C767" s="12">
        <v>150</v>
      </c>
      <c r="D767" s="7" t="s">
        <v>1198</v>
      </c>
      <c r="E767" s="13" t="s">
        <v>842</v>
      </c>
      <c r="F767" t="str">
        <f t="shared" si="55"/>
        <v>Rustleaf</v>
      </c>
      <c r="G767" t="str">
        <f t="shared" si="56"/>
        <v>Rustleaf150San Antonio</v>
      </c>
      <c r="H767" t="s">
        <v>31625</v>
      </c>
      <c r="I767" t="s">
        <v>23057</v>
      </c>
      <c r="J767" t="str">
        <f t="shared" si="57"/>
        <v>E:\PropInv\MF</v>
      </c>
      <c r="K767" s="103" t="str">
        <f>HYPERLINK("E:\PropInv\MF\San Antonio\Rustleaf Dr_150_Merry Oaks_San Antonio_00896","Rustleaf Dr_150_Merry Oaks_San Antonio_00896" )</f>
        <v>Rustleaf Dr_150_Merry Oaks_San Antonio_00896</v>
      </c>
      <c r="L767" s="104" t="s">
        <v>22253</v>
      </c>
      <c r="M767" s="103" t="str">
        <f t="shared" si="58"/>
        <v>http://oconnordata.com/mlink/modules/profile/index.cfm?action=profile&amp;prop_id=896</v>
      </c>
      <c r="N767" s="1" t="str">
        <f t="shared" si="59"/>
        <v>00896</v>
      </c>
    </row>
    <row r="768" spans="1:14" x14ac:dyDescent="0.3">
      <c r="A768" s="1">
        <v>897</v>
      </c>
      <c r="B768" s="7" t="s">
        <v>857</v>
      </c>
      <c r="C768" s="12">
        <v>4900</v>
      </c>
      <c r="D768" s="7" t="s">
        <v>1199</v>
      </c>
      <c r="E768" s="13" t="s">
        <v>842</v>
      </c>
      <c r="F768" t="str">
        <f t="shared" si="55"/>
        <v>USAA</v>
      </c>
      <c r="G768" t="str">
        <f t="shared" si="56"/>
        <v>USAA4900San Antonio</v>
      </c>
      <c r="H768" t="s">
        <v>31626</v>
      </c>
      <c r="I768" t="s">
        <v>23058</v>
      </c>
      <c r="J768" t="str">
        <f t="shared" si="57"/>
        <v>E:\PropInv\MF</v>
      </c>
      <c r="K768" s="103" t="str">
        <f>HYPERLINK("E:\PropInv\MF\San Antonio\USAA Blvd_4900_Mesa Ridge_San Antonio_00897","USAA Blvd_4900_Mesa Ridge_San Antonio_00897" )</f>
        <v>USAA Blvd_4900_Mesa Ridge_San Antonio_00897</v>
      </c>
      <c r="L768" s="104" t="s">
        <v>22253</v>
      </c>
      <c r="M768" s="103" t="str">
        <f t="shared" si="58"/>
        <v>http://oconnordata.com/mlink/modules/profile/index.cfm?action=profile&amp;prop_id=897</v>
      </c>
      <c r="N768" s="1" t="str">
        <f t="shared" si="59"/>
        <v>00897</v>
      </c>
    </row>
    <row r="769" spans="1:14" x14ac:dyDescent="0.3">
      <c r="A769" s="1">
        <v>898</v>
      </c>
      <c r="B769" s="7" t="s">
        <v>1200</v>
      </c>
      <c r="C769" s="12">
        <v>1111</v>
      </c>
      <c r="D769" s="7" t="s">
        <v>1201</v>
      </c>
      <c r="E769" s="13" t="s">
        <v>986</v>
      </c>
      <c r="F769" t="str">
        <f t="shared" si="55"/>
        <v>123</v>
      </c>
      <c r="G769" t="str">
        <f t="shared" si="56"/>
        <v>1231111Seguin</v>
      </c>
      <c r="H769" t="s">
        <v>31627</v>
      </c>
      <c r="I769" t="s">
        <v>23059</v>
      </c>
      <c r="J769" t="str">
        <f t="shared" si="57"/>
        <v>E:\PropInv\MF</v>
      </c>
      <c r="K769" s="103" t="str">
        <f>HYPERLINK("E:\PropInv\MF\Seguin\123 Hwy Bypass N_1111_Middletowne Apts_Seguin_00898","123 Hwy Bypass N_1111_Middletowne Apts_Seguin_00898" )</f>
        <v>123 Hwy Bypass N_1111_Middletowne Apts_Seguin_00898</v>
      </c>
      <c r="L769" s="104" t="s">
        <v>22253</v>
      </c>
      <c r="M769" s="103" t="str">
        <f t="shared" si="58"/>
        <v>http://oconnordata.com/mlink/modules/profile/index.cfm?action=profile&amp;prop_id=898</v>
      </c>
      <c r="N769" s="1" t="str">
        <f t="shared" si="59"/>
        <v>00898</v>
      </c>
    </row>
    <row r="770" spans="1:14" x14ac:dyDescent="0.3">
      <c r="A770" s="1">
        <v>899</v>
      </c>
      <c r="B770" s="21" t="s">
        <v>235</v>
      </c>
      <c r="C770" s="12">
        <v>13515</v>
      </c>
      <c r="D770" s="7" t="s">
        <v>1202</v>
      </c>
      <c r="E770" s="13" t="s">
        <v>842</v>
      </c>
      <c r="F770" t="str">
        <f t="shared" ref="F770:F833" si="60">IFERROR(LEFT(B770,FIND(" ",B770)-1),B770)</f>
        <v>W</v>
      </c>
      <c r="G770" t="str">
        <f t="shared" ref="G770:G833" si="61">F770&amp;C770&amp;E770</f>
        <v>W13515San Antonio</v>
      </c>
      <c r="H770" t="s">
        <v>31628</v>
      </c>
      <c r="I770" t="s">
        <v>23060</v>
      </c>
      <c r="J770" t="str">
        <f t="shared" ref="J770:J833" si="62">IF(L770="TX",Folder_Path,Folder_Path&amp;"\State_"&amp;L770)</f>
        <v>E:\PropInv\MF</v>
      </c>
      <c r="K770" s="103" t="str">
        <f>HYPERLINK("E:\PropInv\MF\San Antonio\W Ave_13515_Mirada_San Antonio_00899","W Ave_13515_Mirada_San Antonio_00899" )</f>
        <v>W Ave_13515_Mirada_San Antonio_00899</v>
      </c>
      <c r="L770" s="104" t="s">
        <v>22253</v>
      </c>
      <c r="M770" s="103" t="str">
        <f t="shared" ref="M770:M833" si="63">HYPERLINK("http://oconnordata.com/mlink/modules/profile/index.cfm?action=profile&amp;prop_id="&amp;A770)</f>
        <v>http://oconnordata.com/mlink/modules/profile/index.cfm?action=profile&amp;prop_id=899</v>
      </c>
      <c r="N770" s="1" t="str">
        <f t="shared" ref="N770:N833" si="64">IF(LEN(A770)=1,"0000"&amp;A770,IF(LEN(A770)=2,"000"&amp;A770,IF(LEN(A770)=3,"00"&amp;A770,IF(LEN(A770)=4,"0"&amp;A770,IF(LEN(A770)=5,IF(LEFT(A770,1)="3",A770+30000,A770))))))</f>
        <v>00899</v>
      </c>
    </row>
    <row r="771" spans="1:14" x14ac:dyDescent="0.3">
      <c r="A771" s="1">
        <v>900</v>
      </c>
      <c r="B771" s="7" t="s">
        <v>1203</v>
      </c>
      <c r="C771" s="12">
        <v>4400</v>
      </c>
      <c r="D771" s="7" t="s">
        <v>1204</v>
      </c>
      <c r="E771" s="13" t="s">
        <v>842</v>
      </c>
      <c r="F771" t="str">
        <f t="shared" si="60"/>
        <v>Bluemel</v>
      </c>
      <c r="G771" t="str">
        <f t="shared" si="61"/>
        <v>Bluemel4400San Antonio</v>
      </c>
      <c r="H771" t="s">
        <v>31629</v>
      </c>
      <c r="I771" t="s">
        <v>23061</v>
      </c>
      <c r="J771" t="str">
        <f t="shared" si="62"/>
        <v>E:\PropInv\MF</v>
      </c>
      <c r="K771" s="103" t="str">
        <f>HYPERLINK("E:\PropInv\MF\San Antonio\Bluemel Rd_4400_TH at Limestone Oaks_San Antonio_00900","Bluemel Rd_4400_TH at Limestone Oaks_San Antonio_00900" )</f>
        <v>Bluemel Rd_4400_TH at Limestone Oaks_San Antonio_00900</v>
      </c>
      <c r="L771" s="104" t="s">
        <v>22253</v>
      </c>
      <c r="M771" s="103" t="str">
        <f t="shared" si="63"/>
        <v>http://oconnordata.com/mlink/modules/profile/index.cfm?action=profile&amp;prop_id=900</v>
      </c>
      <c r="N771" s="1" t="str">
        <f t="shared" si="64"/>
        <v>00900</v>
      </c>
    </row>
    <row r="772" spans="1:14" x14ac:dyDescent="0.3">
      <c r="A772" s="1">
        <v>901</v>
      </c>
      <c r="B772" s="7" t="s">
        <v>1205</v>
      </c>
      <c r="C772" s="12">
        <v>244</v>
      </c>
      <c r="D772" s="7" t="s">
        <v>1206</v>
      </c>
      <c r="E772" s="13" t="s">
        <v>842</v>
      </c>
      <c r="F772" t="str">
        <f t="shared" si="60"/>
        <v>Gillmore</v>
      </c>
      <c r="G772" t="str">
        <f t="shared" si="61"/>
        <v>Gillmore244San Antonio</v>
      </c>
      <c r="H772" t="s">
        <v>31630</v>
      </c>
      <c r="I772" t="s">
        <v>23062</v>
      </c>
      <c r="J772" t="str">
        <f t="shared" si="62"/>
        <v>E:\PropInv\MF</v>
      </c>
      <c r="K772" s="103" t="str">
        <f>HYPERLINK("E:\PropInv\MF\San Antonio\Gillmore_244_Mitchell Village_San Antonio_00901","Gillmore_244_Mitchell Village_San Antonio_00901" )</f>
        <v>Gillmore_244_Mitchell Village_San Antonio_00901</v>
      </c>
      <c r="L772" s="104" t="s">
        <v>22253</v>
      </c>
      <c r="M772" s="103" t="str">
        <f t="shared" si="63"/>
        <v>http://oconnordata.com/mlink/modules/profile/index.cfm?action=profile&amp;prop_id=901</v>
      </c>
      <c r="N772" s="1" t="str">
        <f t="shared" si="64"/>
        <v>00901</v>
      </c>
    </row>
    <row r="773" spans="1:14" x14ac:dyDescent="0.3">
      <c r="A773" s="1">
        <v>902</v>
      </c>
      <c r="B773" s="7" t="s">
        <v>1207</v>
      </c>
      <c r="C773" s="12">
        <v>5534</v>
      </c>
      <c r="D773" s="7" t="s">
        <v>1208</v>
      </c>
      <c r="E773" s="13" t="s">
        <v>842</v>
      </c>
      <c r="F773" t="str">
        <f t="shared" si="60"/>
        <v>Fredericksburg</v>
      </c>
      <c r="G773" t="str">
        <f t="shared" si="61"/>
        <v>Fredericksburg5534San Antonio</v>
      </c>
      <c r="H773" t="s">
        <v>31631</v>
      </c>
      <c r="I773" t="s">
        <v>23063</v>
      </c>
      <c r="J773" t="str">
        <f t="shared" si="62"/>
        <v>E:\PropInv\MF</v>
      </c>
      <c r="K773" s="103" t="str">
        <f>HYPERLINK("E:\PropInv\MF\San Antonio\Fredericksburg Rd E_5534_Montebello_San Antonio_00902","Fredericksburg Rd E_5534_Montebello_San Antonio_00902" )</f>
        <v>Fredericksburg Rd E_5534_Montebello_San Antonio_00902</v>
      </c>
      <c r="L773" s="104" t="s">
        <v>22253</v>
      </c>
      <c r="M773" s="103" t="str">
        <f t="shared" si="63"/>
        <v>http://oconnordata.com/mlink/modules/profile/index.cfm?action=profile&amp;prop_id=902</v>
      </c>
      <c r="N773" s="1" t="str">
        <f t="shared" si="64"/>
        <v>00902</v>
      </c>
    </row>
    <row r="774" spans="1:14" x14ac:dyDescent="0.3">
      <c r="A774" s="1">
        <v>903</v>
      </c>
      <c r="B774" s="7" t="s">
        <v>1209</v>
      </c>
      <c r="C774" s="12">
        <v>6060</v>
      </c>
      <c r="D774" s="7" t="s">
        <v>1210</v>
      </c>
      <c r="E774" s="13" t="s">
        <v>842</v>
      </c>
      <c r="F774" t="str">
        <f t="shared" si="60"/>
        <v>Commerce</v>
      </c>
      <c r="G774" t="str">
        <f t="shared" si="61"/>
        <v>Commerce6060San Antonio</v>
      </c>
      <c r="H774" t="s">
        <v>31632</v>
      </c>
      <c r="I774" t="s">
        <v>23064</v>
      </c>
      <c r="J774" t="str">
        <f t="shared" si="62"/>
        <v>E:\PropInv\MF</v>
      </c>
      <c r="K774" s="103" t="str">
        <f>HYPERLINK("E:\PropInv\MF\San Antonio\Commerce St W_6060_Monterrey Park_San Antonio_00903","Commerce St W_6060_Monterrey Park_San Antonio_00903" )</f>
        <v>Commerce St W_6060_Monterrey Park_San Antonio_00903</v>
      </c>
      <c r="L774" s="104" t="s">
        <v>22253</v>
      </c>
      <c r="M774" s="103" t="str">
        <f t="shared" si="63"/>
        <v>http://oconnordata.com/mlink/modules/profile/index.cfm?action=profile&amp;prop_id=903</v>
      </c>
      <c r="N774" s="1" t="str">
        <f t="shared" si="64"/>
        <v>00903</v>
      </c>
    </row>
    <row r="775" spans="1:14" x14ac:dyDescent="0.3">
      <c r="A775" s="1">
        <v>904</v>
      </c>
      <c r="B775" s="7" t="s">
        <v>1211</v>
      </c>
      <c r="C775" s="12">
        <v>1130</v>
      </c>
      <c r="D775" s="7" t="s">
        <v>1212</v>
      </c>
      <c r="E775" s="13" t="s">
        <v>842</v>
      </c>
      <c r="F775" t="str">
        <f t="shared" si="60"/>
        <v>Mulberry</v>
      </c>
      <c r="G775" t="str">
        <f t="shared" si="61"/>
        <v>Mulberry1130San Antonio</v>
      </c>
      <c r="H775" t="s">
        <v>31633</v>
      </c>
      <c r="I775" t="s">
        <v>23065</v>
      </c>
      <c r="J775" t="str">
        <f t="shared" si="62"/>
        <v>E:\PropInv\MF</v>
      </c>
      <c r="K775" s="103" t="str">
        <f>HYPERLINK("E:\PropInv\MF\San Antonio\Mulberry Ave E_1130_Brackenridge Hill_San Antonio_00904","Mulberry Ave E_1130_Brackenridge Hill_San Antonio_00904" )</f>
        <v>Mulberry Ave E_1130_Brackenridge Hill_San Antonio_00904</v>
      </c>
      <c r="L775" s="104" t="s">
        <v>22253</v>
      </c>
      <c r="M775" s="103" t="str">
        <f t="shared" si="63"/>
        <v>http://oconnordata.com/mlink/modules/profile/index.cfm?action=profile&amp;prop_id=904</v>
      </c>
      <c r="N775" s="1" t="str">
        <f t="shared" si="64"/>
        <v>00904</v>
      </c>
    </row>
    <row r="776" spans="1:14" x14ac:dyDescent="0.3">
      <c r="A776" s="1">
        <v>905</v>
      </c>
      <c r="B776" s="19" t="s">
        <v>928</v>
      </c>
      <c r="C776" s="12">
        <v>7626</v>
      </c>
      <c r="D776" s="7" t="s">
        <v>1213</v>
      </c>
      <c r="E776" s="13" t="s">
        <v>842</v>
      </c>
      <c r="F776" t="str">
        <f t="shared" si="60"/>
        <v>Callaghan</v>
      </c>
      <c r="G776" t="str">
        <f t="shared" si="61"/>
        <v>Callaghan7626San Antonio</v>
      </c>
      <c r="H776" t="s">
        <v>31634</v>
      </c>
      <c r="I776" t="s">
        <v>23066</v>
      </c>
      <c r="J776" t="str">
        <f t="shared" si="62"/>
        <v>E:\PropInv\MF</v>
      </c>
      <c r="K776" s="103" t="str">
        <f>HYPERLINK("E:\PropInv\MF\San Antonio\Callaghan Rd_7626_Nob Hill_San Antonio_00905","Callaghan Rd_7626_Nob Hill_San Antonio_00905" )</f>
        <v>Callaghan Rd_7626_Nob Hill_San Antonio_00905</v>
      </c>
      <c r="L776" s="104" t="s">
        <v>22253</v>
      </c>
      <c r="M776" s="103" t="str">
        <f t="shared" si="63"/>
        <v>http://oconnordata.com/mlink/modules/profile/index.cfm?action=profile&amp;prop_id=905</v>
      </c>
      <c r="N776" s="1" t="str">
        <f t="shared" si="64"/>
        <v>00905</v>
      </c>
    </row>
    <row r="777" spans="1:14" x14ac:dyDescent="0.3">
      <c r="A777" s="1">
        <v>906</v>
      </c>
      <c r="B777" s="7" t="s">
        <v>855</v>
      </c>
      <c r="C777" s="12">
        <v>5550</v>
      </c>
      <c r="D777" s="7" t="s">
        <v>1214</v>
      </c>
      <c r="E777" s="13" t="s">
        <v>842</v>
      </c>
      <c r="F777" t="str">
        <f t="shared" si="60"/>
        <v>Fredericksburg</v>
      </c>
      <c r="G777" t="str">
        <f t="shared" si="61"/>
        <v>Fredericksburg5550San Antonio</v>
      </c>
      <c r="H777" t="s">
        <v>31635</v>
      </c>
      <c r="I777" t="s">
        <v>23067</v>
      </c>
      <c r="J777" t="str">
        <f t="shared" si="62"/>
        <v>E:\PropInv\MF</v>
      </c>
      <c r="K777" s="103" t="str">
        <f>HYPERLINK("E:\PropInv\MF\San Antonio\Fredericksburg Rd_5550_Forest Ridge II_San Antonio_00906","Fredericksburg Rd_5550_Forest Ridge II_San Antonio_00906" )</f>
        <v>Fredericksburg Rd_5550_Forest Ridge II_San Antonio_00906</v>
      </c>
      <c r="L777" s="104" t="s">
        <v>22253</v>
      </c>
      <c r="M777" s="103" t="str">
        <f t="shared" si="63"/>
        <v>http://oconnordata.com/mlink/modules/profile/index.cfm?action=profile&amp;prop_id=906</v>
      </c>
      <c r="N777" s="1" t="str">
        <f t="shared" si="64"/>
        <v>00906</v>
      </c>
    </row>
    <row r="778" spans="1:14" x14ac:dyDescent="0.3">
      <c r="A778" s="1">
        <v>907</v>
      </c>
      <c r="B778" s="7" t="s">
        <v>1215</v>
      </c>
      <c r="C778" s="12">
        <v>7771</v>
      </c>
      <c r="D778" s="7" t="s">
        <v>1216</v>
      </c>
      <c r="E778" s="13" t="s">
        <v>842</v>
      </c>
      <c r="F778" t="str">
        <f t="shared" si="60"/>
        <v>Joe</v>
      </c>
      <c r="G778" t="str">
        <f t="shared" si="61"/>
        <v>Joe7771San Antonio</v>
      </c>
      <c r="H778" t="s">
        <v>31636</v>
      </c>
      <c r="I778" t="s">
        <v>23068</v>
      </c>
      <c r="J778" t="str">
        <f t="shared" si="62"/>
        <v>E:\PropInv\MF</v>
      </c>
      <c r="K778" s="103" t="str">
        <f>HYPERLINK("E:\PropInv\MF\San Antonio\Joe Newton St_7771_The Granite at Tuscany Hills_San Antonio_00907","Joe Newton St_7771_The Granite at Tuscany Hills_San Antonio_00907" )</f>
        <v>Joe Newton St_7771_The Granite at Tuscany Hills_San Antonio_00907</v>
      </c>
      <c r="L778" s="104" t="s">
        <v>22253</v>
      </c>
      <c r="M778" s="103" t="str">
        <f t="shared" si="63"/>
        <v>http://oconnordata.com/mlink/modules/profile/index.cfm?action=profile&amp;prop_id=907</v>
      </c>
      <c r="N778" s="1" t="str">
        <f t="shared" si="64"/>
        <v>00907</v>
      </c>
    </row>
    <row r="779" spans="1:14" x14ac:dyDescent="0.3">
      <c r="A779" s="1">
        <v>908</v>
      </c>
      <c r="B779" s="7" t="s">
        <v>1217</v>
      </c>
      <c r="C779" s="12">
        <v>8142</v>
      </c>
      <c r="D779" s="7" t="s">
        <v>1218</v>
      </c>
      <c r="E779" s="13" t="s">
        <v>842</v>
      </c>
      <c r="F779" t="str">
        <f t="shared" si="60"/>
        <v>Glen</v>
      </c>
      <c r="G779" t="str">
        <f t="shared" si="61"/>
        <v>Glen8142San Antonio</v>
      </c>
      <c r="H779" t="s">
        <v>31637</v>
      </c>
      <c r="I779" t="s">
        <v>23069</v>
      </c>
      <c r="J779" t="str">
        <f t="shared" si="62"/>
        <v>E:\PropInv\MF</v>
      </c>
      <c r="K779" s="103" t="str">
        <f>HYPERLINK("E:\PropInv\MF\San Antonio\Glen Mont_8142_North Pointe Terrace Fourplexes_San Antonio_00908","Glen Mont_8142_North Pointe Terrace Fourplexes_San Antonio_00908" )</f>
        <v>Glen Mont_8142_North Pointe Terrace Fourplexes_San Antonio_00908</v>
      </c>
      <c r="L779" s="104" t="s">
        <v>22253</v>
      </c>
      <c r="M779" s="103" t="str">
        <f t="shared" si="63"/>
        <v>http://oconnordata.com/mlink/modules/profile/index.cfm?action=profile&amp;prop_id=908</v>
      </c>
      <c r="N779" s="1" t="str">
        <f t="shared" si="64"/>
        <v>00908</v>
      </c>
    </row>
    <row r="780" spans="1:14" x14ac:dyDescent="0.3">
      <c r="A780" s="1">
        <v>909</v>
      </c>
      <c r="B780" s="7" t="s">
        <v>1219</v>
      </c>
      <c r="C780" s="12">
        <v>5700</v>
      </c>
      <c r="D780" s="7" t="s">
        <v>1220</v>
      </c>
      <c r="E780" s="13" t="s">
        <v>842</v>
      </c>
      <c r="F780" t="str">
        <f t="shared" si="60"/>
        <v>Knoll</v>
      </c>
      <c r="G780" t="str">
        <f t="shared" si="61"/>
        <v>Knoll5700San Antonio</v>
      </c>
      <c r="H780" t="s">
        <v>31638</v>
      </c>
      <c r="I780" t="s">
        <v>23070</v>
      </c>
      <c r="J780" t="str">
        <f t="shared" si="62"/>
        <v>E:\PropInv\MF</v>
      </c>
      <c r="K780" s="103" t="str">
        <f>HYPERLINK("E:\PropInv\MF\San Antonio\Knoll N_5700_Northgate Village_San Antonio_00909","Knoll N_5700_Northgate Village_San Antonio_00909" )</f>
        <v>Knoll N_5700_Northgate Village_San Antonio_00909</v>
      </c>
      <c r="L780" s="104" t="s">
        <v>22253</v>
      </c>
      <c r="M780" s="103" t="str">
        <f t="shared" si="63"/>
        <v>http://oconnordata.com/mlink/modules/profile/index.cfm?action=profile&amp;prop_id=909</v>
      </c>
      <c r="N780" s="1" t="str">
        <f t="shared" si="64"/>
        <v>00909</v>
      </c>
    </row>
    <row r="781" spans="1:14" x14ac:dyDescent="0.3">
      <c r="A781" s="1">
        <v>910</v>
      </c>
      <c r="B781" s="7" t="s">
        <v>1221</v>
      </c>
      <c r="C781" s="12">
        <v>8841</v>
      </c>
      <c r="D781" s="7" t="s">
        <v>1222</v>
      </c>
      <c r="E781" s="13" t="s">
        <v>842</v>
      </c>
      <c r="F781" t="str">
        <f t="shared" si="60"/>
        <v>Timber</v>
      </c>
      <c r="G781" t="str">
        <f t="shared" si="61"/>
        <v>Timber8841San Antonio</v>
      </c>
      <c r="H781" t="s">
        <v>31639</v>
      </c>
      <c r="I781" t="s">
        <v>23071</v>
      </c>
      <c r="J781" t="str">
        <f t="shared" si="62"/>
        <v>E:\PropInv\MF</v>
      </c>
      <c r="K781" s="103" t="str">
        <f>HYPERLINK("E:\PropInv\MF\San Antonio\Timber Path_8841_Villas de Sendero_San Antonio_00910","Timber Path_8841_Villas de Sendero_San Antonio_00910" )</f>
        <v>Timber Path_8841_Villas de Sendero_San Antonio_00910</v>
      </c>
      <c r="L781" s="104" t="s">
        <v>22253</v>
      </c>
      <c r="M781" s="103" t="str">
        <f t="shared" si="63"/>
        <v>http://oconnordata.com/mlink/modules/profile/index.cfm?action=profile&amp;prop_id=910</v>
      </c>
      <c r="N781" s="1" t="str">
        <f t="shared" si="64"/>
        <v>00910</v>
      </c>
    </row>
    <row r="782" spans="1:14" x14ac:dyDescent="0.3">
      <c r="A782" s="1">
        <v>911</v>
      </c>
      <c r="B782" s="7" t="s">
        <v>1139</v>
      </c>
      <c r="C782" s="12">
        <v>8315</v>
      </c>
      <c r="D782" s="7" t="s">
        <v>1223</v>
      </c>
      <c r="E782" s="13" t="s">
        <v>842</v>
      </c>
      <c r="F782" t="str">
        <f t="shared" si="60"/>
        <v>Vandiver</v>
      </c>
      <c r="G782" t="str">
        <f t="shared" si="61"/>
        <v>Vandiver8315San Antonio</v>
      </c>
      <c r="H782" t="s">
        <v>31640</v>
      </c>
      <c r="I782" t="s">
        <v>23072</v>
      </c>
      <c r="J782" t="str">
        <f t="shared" si="62"/>
        <v>E:\PropInv\MF</v>
      </c>
      <c r="K782" s="103" t="str">
        <f>HYPERLINK("E:\PropInv\MF\San Antonio\Vandiver N_8315_Northwood_San Antonio_00911","Vandiver N_8315_Northwood_San Antonio_00911" )</f>
        <v>Vandiver N_8315_Northwood_San Antonio_00911</v>
      </c>
      <c r="L782" s="104" t="s">
        <v>22253</v>
      </c>
      <c r="M782" s="103" t="str">
        <f t="shared" si="63"/>
        <v>http://oconnordata.com/mlink/modules/profile/index.cfm?action=profile&amp;prop_id=911</v>
      </c>
      <c r="N782" s="1" t="str">
        <f t="shared" si="64"/>
        <v>00911</v>
      </c>
    </row>
    <row r="783" spans="1:14" x14ac:dyDescent="0.3">
      <c r="A783" s="1">
        <v>912</v>
      </c>
      <c r="B783" s="7" t="s">
        <v>1051</v>
      </c>
      <c r="C783" s="12">
        <v>6111</v>
      </c>
      <c r="D783" s="7" t="s">
        <v>275</v>
      </c>
      <c r="E783" s="13" t="s">
        <v>842</v>
      </c>
      <c r="F783" t="str">
        <f t="shared" si="60"/>
        <v>Vance</v>
      </c>
      <c r="G783" t="str">
        <f t="shared" si="61"/>
        <v>Vance6111San Antonio</v>
      </c>
      <c r="H783" t="s">
        <v>31641</v>
      </c>
      <c r="I783" t="s">
        <v>23073</v>
      </c>
      <c r="J783" t="str">
        <f t="shared" si="62"/>
        <v>E:\PropInv\MF</v>
      </c>
      <c r="K783" s="103" t="str">
        <f>HYPERLINK("E:\PropInv\MF\San Antonio\Vance Jackson Rd_6111_Oak Creek_San Antonio_00912","Vance Jackson Rd_6111_Oak Creek_San Antonio_00912" )</f>
        <v>Vance Jackson Rd_6111_Oak Creek_San Antonio_00912</v>
      </c>
      <c r="L783" s="104" t="s">
        <v>22253</v>
      </c>
      <c r="M783" s="103" t="str">
        <f t="shared" si="63"/>
        <v>http://oconnordata.com/mlink/modules/profile/index.cfm?action=profile&amp;prop_id=912</v>
      </c>
      <c r="N783" s="1" t="str">
        <f t="shared" si="64"/>
        <v>00912</v>
      </c>
    </row>
    <row r="784" spans="1:14" x14ac:dyDescent="0.3">
      <c r="A784" s="1">
        <v>913</v>
      </c>
      <c r="B784" s="7" t="s">
        <v>1224</v>
      </c>
      <c r="C784" s="12">
        <v>7314</v>
      </c>
      <c r="D784" s="7" t="s">
        <v>1225</v>
      </c>
      <c r="E784" s="13" t="s">
        <v>842</v>
      </c>
      <c r="F784" t="str">
        <f t="shared" si="60"/>
        <v>Oak</v>
      </c>
      <c r="G784" t="str">
        <f t="shared" si="61"/>
        <v>Oak7314San Antonio</v>
      </c>
      <c r="H784" t="s">
        <v>31642</v>
      </c>
      <c r="I784" t="s">
        <v>23074</v>
      </c>
      <c r="J784" t="str">
        <f t="shared" si="62"/>
        <v>E:\PropInv\MF</v>
      </c>
      <c r="K784" s="103" t="str">
        <f>HYPERLINK("E:\PropInv\MF\San Antonio\Oak Manor Dr_7314_The Villas of Oak Hills_San Antonio_00913","Oak Manor Dr_7314_The Villas of Oak Hills_San Antonio_00913" )</f>
        <v>Oak Manor Dr_7314_The Villas of Oak Hills_San Antonio_00913</v>
      </c>
      <c r="L784" s="104" t="s">
        <v>22253</v>
      </c>
      <c r="M784" s="103" t="str">
        <f t="shared" si="63"/>
        <v>http://oconnordata.com/mlink/modules/profile/index.cfm?action=profile&amp;prop_id=913</v>
      </c>
      <c r="N784" s="1" t="str">
        <f t="shared" si="64"/>
        <v>00913</v>
      </c>
    </row>
    <row r="785" spans="1:14" x14ac:dyDescent="0.3">
      <c r="A785" s="1">
        <v>914</v>
      </c>
      <c r="B785" s="7" t="s">
        <v>942</v>
      </c>
      <c r="C785" s="12">
        <v>1847</v>
      </c>
      <c r="D785" s="7" t="s">
        <v>1226</v>
      </c>
      <c r="E785" s="13" t="s">
        <v>842</v>
      </c>
      <c r="F785" t="str">
        <f t="shared" si="60"/>
        <v>Babcock</v>
      </c>
      <c r="G785" t="str">
        <f t="shared" si="61"/>
        <v>Babcock1847San Antonio</v>
      </c>
      <c r="H785" t="s">
        <v>31643</v>
      </c>
      <c r="I785" t="s">
        <v>23075</v>
      </c>
      <c r="J785" t="str">
        <f t="shared" si="62"/>
        <v>E:\PropInv\MF</v>
      </c>
      <c r="K785" s="103" t="str">
        <f>HYPERLINK("E:\PropInv\MF\San Antonio\Babcock Rd_1847_Oak Hills Village_San Antonio_00914","Babcock Rd_1847_Oak Hills Village_San Antonio_00914" )</f>
        <v>Babcock Rd_1847_Oak Hills Village_San Antonio_00914</v>
      </c>
      <c r="L785" s="104" t="s">
        <v>22253</v>
      </c>
      <c r="M785" s="103" t="str">
        <f t="shared" si="63"/>
        <v>http://oconnordata.com/mlink/modules/profile/index.cfm?action=profile&amp;prop_id=914</v>
      </c>
      <c r="N785" s="1" t="str">
        <f t="shared" si="64"/>
        <v>00914</v>
      </c>
    </row>
    <row r="786" spans="1:14" x14ac:dyDescent="0.3">
      <c r="A786" s="1">
        <v>915</v>
      </c>
      <c r="B786" s="7" t="s">
        <v>1227</v>
      </c>
      <c r="C786" s="12">
        <v>3903</v>
      </c>
      <c r="D786" s="7" t="s">
        <v>1228</v>
      </c>
      <c r="E786" s="13" t="s">
        <v>842</v>
      </c>
      <c r="F786" t="str">
        <f t="shared" si="60"/>
        <v>Barrington</v>
      </c>
      <c r="G786" t="str">
        <f t="shared" si="61"/>
        <v>Barrington3903San Antonio</v>
      </c>
      <c r="H786" t="s">
        <v>31644</v>
      </c>
      <c r="I786" t="s">
        <v>23076</v>
      </c>
      <c r="J786" t="str">
        <f t="shared" si="62"/>
        <v>E:\PropInv\MF</v>
      </c>
      <c r="K786" s="103" t="str">
        <f>HYPERLINK("E:\PropInv\MF\San Antonio\Barrington Dr_3903_Park at Ventana_San Antonio_00915","Barrington Dr_3903_Park at Ventana_San Antonio_00915" )</f>
        <v>Barrington Dr_3903_Park at Ventana_San Antonio_00915</v>
      </c>
      <c r="L786" s="104" t="s">
        <v>22253</v>
      </c>
      <c r="M786" s="103" t="str">
        <f t="shared" si="63"/>
        <v>http://oconnordata.com/mlink/modules/profile/index.cfm?action=profile&amp;prop_id=915</v>
      </c>
      <c r="N786" s="1" t="str">
        <f t="shared" si="64"/>
        <v>00915</v>
      </c>
    </row>
    <row r="787" spans="1:14" x14ac:dyDescent="0.3">
      <c r="A787" s="1">
        <v>916</v>
      </c>
      <c r="B787" s="7" t="s">
        <v>871</v>
      </c>
      <c r="C787" s="12">
        <v>11200</v>
      </c>
      <c r="D787" s="7" t="s">
        <v>282</v>
      </c>
      <c r="E787" s="13" t="s">
        <v>842</v>
      </c>
      <c r="F787" t="str">
        <f t="shared" si="60"/>
        <v>Perrin</v>
      </c>
      <c r="G787" t="str">
        <f t="shared" si="61"/>
        <v>Perrin11200San Antonio</v>
      </c>
      <c r="H787" t="s">
        <v>31645</v>
      </c>
      <c r="I787" t="s">
        <v>23077</v>
      </c>
      <c r="J787" t="str">
        <f t="shared" si="62"/>
        <v>E:\PropInv\MF</v>
      </c>
      <c r="K787" s="103" t="str">
        <f>HYPERLINK("E:\PropInv\MF\San Antonio\Perrin Beitel_11200_Oak Ridge_San Antonio_00916","Perrin Beitel_11200_Oak Ridge_San Antonio_00916" )</f>
        <v>Perrin Beitel_11200_Oak Ridge_San Antonio_00916</v>
      </c>
      <c r="L787" s="104" t="s">
        <v>22253</v>
      </c>
      <c r="M787" s="103" t="str">
        <f t="shared" si="63"/>
        <v>http://oconnordata.com/mlink/modules/profile/index.cfm?action=profile&amp;prop_id=916</v>
      </c>
      <c r="N787" s="1" t="str">
        <f t="shared" si="64"/>
        <v>00916</v>
      </c>
    </row>
    <row r="788" spans="1:14" x14ac:dyDescent="0.3">
      <c r="A788" s="1">
        <v>917</v>
      </c>
      <c r="B788" s="7" t="s">
        <v>875</v>
      </c>
      <c r="C788" s="12">
        <v>3270</v>
      </c>
      <c r="D788" s="7" t="s">
        <v>1229</v>
      </c>
      <c r="E788" s="13" t="s">
        <v>842</v>
      </c>
      <c r="F788" t="str">
        <f t="shared" si="60"/>
        <v>Nacogdoches</v>
      </c>
      <c r="G788" t="str">
        <f t="shared" si="61"/>
        <v>Nacogdoches3270San Antonio</v>
      </c>
      <c r="H788" t="s">
        <v>31646</v>
      </c>
      <c r="I788" t="s">
        <v>23078</v>
      </c>
      <c r="J788" t="str">
        <f t="shared" si="62"/>
        <v>E:\PropInv\MF</v>
      </c>
      <c r="K788" s="103" t="str">
        <f>HYPERLINK("E:\PropInv\MF\San Antonio\Nacogdoches_3270_Aguila Oaks_San Antonio_00917","Nacogdoches_3270_Aguila Oaks_San Antonio_00917" )</f>
        <v>Nacogdoches_3270_Aguila Oaks_San Antonio_00917</v>
      </c>
      <c r="L788" s="104" t="s">
        <v>22253</v>
      </c>
      <c r="M788" s="103" t="str">
        <f t="shared" si="63"/>
        <v>http://oconnordata.com/mlink/modules/profile/index.cfm?action=profile&amp;prop_id=917</v>
      </c>
      <c r="N788" s="1" t="str">
        <f t="shared" si="64"/>
        <v>00917</v>
      </c>
    </row>
    <row r="789" spans="1:14" x14ac:dyDescent="0.3">
      <c r="A789" s="1">
        <v>918</v>
      </c>
      <c r="B789" s="7" t="s">
        <v>1000</v>
      </c>
      <c r="C789" s="12">
        <v>3919</v>
      </c>
      <c r="D789" s="7" t="s">
        <v>1230</v>
      </c>
      <c r="E789" s="13" t="s">
        <v>842</v>
      </c>
      <c r="F789" t="str">
        <f t="shared" si="60"/>
        <v>Perrin</v>
      </c>
      <c r="G789" t="str">
        <f t="shared" si="61"/>
        <v>Perrin3919San Antonio</v>
      </c>
      <c r="H789" t="s">
        <v>31647</v>
      </c>
      <c r="I789" t="s">
        <v>23079</v>
      </c>
      <c r="J789" t="str">
        <f t="shared" si="62"/>
        <v>E:\PropInv\MF</v>
      </c>
      <c r="K789" s="103" t="str">
        <f>HYPERLINK("E:\PropInv\MF\San Antonio\Perrin Central_3919_Oak Springs_San Antonio_00918","Perrin Central_3919_Oak Springs_San Antonio_00918" )</f>
        <v>Perrin Central_3919_Oak Springs_San Antonio_00918</v>
      </c>
      <c r="L789" s="104" t="s">
        <v>22253</v>
      </c>
      <c r="M789" s="103" t="str">
        <f t="shared" si="63"/>
        <v>http://oconnordata.com/mlink/modules/profile/index.cfm?action=profile&amp;prop_id=918</v>
      </c>
      <c r="N789" s="1" t="str">
        <f t="shared" si="64"/>
        <v>00918</v>
      </c>
    </row>
    <row r="790" spans="1:14" x14ac:dyDescent="0.3">
      <c r="A790" s="1">
        <v>919</v>
      </c>
      <c r="B790" s="7" t="s">
        <v>993</v>
      </c>
      <c r="C790" s="12">
        <v>6020</v>
      </c>
      <c r="D790" s="7" t="s">
        <v>1231</v>
      </c>
      <c r="E790" s="13" t="s">
        <v>842</v>
      </c>
      <c r="F790" t="str">
        <f t="shared" si="60"/>
        <v>Danny</v>
      </c>
      <c r="G790" t="str">
        <f t="shared" si="61"/>
        <v>Danny6020San Antonio</v>
      </c>
      <c r="H790" t="s">
        <v>31648</v>
      </c>
      <c r="I790" t="s">
        <v>23080</v>
      </c>
      <c r="J790" t="str">
        <f t="shared" si="62"/>
        <v>E:\PropInv\MF</v>
      </c>
      <c r="K790" s="103" t="str">
        <f>HYPERLINK("E:\PropInv\MF\San Antonio\Danny Kaye_6020_Oakdell Way_San Antonio_00919","Danny Kaye_6020_Oakdell Way_San Antonio_00919" )</f>
        <v>Danny Kaye_6020_Oakdell Way_San Antonio_00919</v>
      </c>
      <c r="L790" s="104" t="s">
        <v>22253</v>
      </c>
      <c r="M790" s="103" t="str">
        <f t="shared" si="63"/>
        <v>http://oconnordata.com/mlink/modules/profile/index.cfm?action=profile&amp;prop_id=919</v>
      </c>
      <c r="N790" s="1" t="str">
        <f t="shared" si="64"/>
        <v>00919</v>
      </c>
    </row>
    <row r="791" spans="1:14" x14ac:dyDescent="0.3">
      <c r="A791" s="1">
        <v>920</v>
      </c>
      <c r="B791" s="7" t="s">
        <v>1232</v>
      </c>
      <c r="C791" s="12">
        <v>1983</v>
      </c>
      <c r="D791" s="7" t="s">
        <v>1233</v>
      </c>
      <c r="E791" s="13" t="s">
        <v>842</v>
      </c>
      <c r="F791" t="str">
        <f t="shared" si="60"/>
        <v>Oakwell</v>
      </c>
      <c r="G791" t="str">
        <f t="shared" si="61"/>
        <v>Oakwell1983San Antonio</v>
      </c>
      <c r="H791" t="s">
        <v>31649</v>
      </c>
      <c r="I791" t="s">
        <v>23081</v>
      </c>
      <c r="J791" t="str">
        <f t="shared" si="62"/>
        <v>E:\PropInv\MF</v>
      </c>
      <c r="K791" s="103" t="str">
        <f>HYPERLINK("E:\PropInv\MF\San Antonio\Oakwell Farms Pkwy_1983_Oakhampton Place_San Antonio_00920","Oakwell Farms Pkwy_1983_Oakhampton Place_San Antonio_00920" )</f>
        <v>Oakwell Farms Pkwy_1983_Oakhampton Place_San Antonio_00920</v>
      </c>
      <c r="L791" s="104" t="s">
        <v>22253</v>
      </c>
      <c r="M791" s="103" t="str">
        <f t="shared" si="63"/>
        <v>http://oconnordata.com/mlink/modules/profile/index.cfm?action=profile&amp;prop_id=920</v>
      </c>
      <c r="N791" s="1" t="str">
        <f t="shared" si="64"/>
        <v>00920</v>
      </c>
    </row>
    <row r="792" spans="1:14" x14ac:dyDescent="0.3">
      <c r="A792" s="1">
        <v>921</v>
      </c>
      <c r="B792" s="7" t="s">
        <v>1234</v>
      </c>
      <c r="C792" s="12">
        <v>2003</v>
      </c>
      <c r="D792" s="7" t="s">
        <v>1235</v>
      </c>
      <c r="E792" s="13" t="s">
        <v>842</v>
      </c>
      <c r="F792" t="str">
        <f t="shared" si="60"/>
        <v>Oakhill</v>
      </c>
      <c r="G792" t="str">
        <f t="shared" si="61"/>
        <v>Oakhill2003San Antonio</v>
      </c>
      <c r="H792" t="s">
        <v>31650</v>
      </c>
      <c r="I792" t="s">
        <v>23082</v>
      </c>
      <c r="J792" t="str">
        <f t="shared" si="62"/>
        <v>E:\PropInv\MF</v>
      </c>
      <c r="K792" s="103" t="str">
        <f>HYPERLINK("E:\PropInv\MF\San Antonio\Oakhill Rd_2003_The Bell Tower_San Antonio_00921","Oakhill Rd_2003_The Bell Tower_San Antonio_00921" )</f>
        <v>Oakhill Rd_2003_The Bell Tower_San Antonio_00921</v>
      </c>
      <c r="L792" s="104" t="s">
        <v>22253</v>
      </c>
      <c r="M792" s="103" t="str">
        <f t="shared" si="63"/>
        <v>http://oconnordata.com/mlink/modules/profile/index.cfm?action=profile&amp;prop_id=921</v>
      </c>
      <c r="N792" s="1" t="str">
        <f t="shared" si="64"/>
        <v>00921</v>
      </c>
    </row>
    <row r="793" spans="1:14" x14ac:dyDescent="0.3">
      <c r="A793" s="1">
        <v>922</v>
      </c>
      <c r="B793" s="7" t="s">
        <v>849</v>
      </c>
      <c r="C793" s="12">
        <v>8800</v>
      </c>
      <c r="D793" s="7" t="s">
        <v>1236</v>
      </c>
      <c r="E793" s="13" t="s">
        <v>842</v>
      </c>
      <c r="F793" t="str">
        <f t="shared" si="60"/>
        <v>Starcrest</v>
      </c>
      <c r="G793" t="str">
        <f t="shared" si="61"/>
        <v>Starcrest8800San Antonio</v>
      </c>
      <c r="H793" t="s">
        <v>31651</v>
      </c>
      <c r="I793" t="s">
        <v>23083</v>
      </c>
      <c r="J793" t="str">
        <f t="shared" si="62"/>
        <v>E:\PropInv\MF</v>
      </c>
      <c r="K793" s="103" t="str">
        <f>HYPERLINK("E:\PropInv\MF\San Antonio\Starcrest Dr_8800_Oaks of Marymount_San Antonio_00922","Starcrest Dr_8800_Oaks of Marymount_San Antonio_00922" )</f>
        <v>Starcrest Dr_8800_Oaks of Marymount_San Antonio_00922</v>
      </c>
      <c r="L793" s="104" t="s">
        <v>22253</v>
      </c>
      <c r="M793" s="103" t="str">
        <f t="shared" si="63"/>
        <v>http://oconnordata.com/mlink/modules/profile/index.cfm?action=profile&amp;prop_id=922</v>
      </c>
      <c r="N793" s="1" t="str">
        <f t="shared" si="64"/>
        <v>00922</v>
      </c>
    </row>
    <row r="794" spans="1:14" x14ac:dyDescent="0.3">
      <c r="A794" s="1">
        <v>923</v>
      </c>
      <c r="B794" s="7" t="s">
        <v>1231</v>
      </c>
      <c r="C794" s="12">
        <v>8000</v>
      </c>
      <c r="D794" s="7" t="s">
        <v>1237</v>
      </c>
      <c r="E794" s="13" t="s">
        <v>842</v>
      </c>
      <c r="F794" t="str">
        <f t="shared" si="60"/>
        <v>Oakdell</v>
      </c>
      <c r="G794" t="str">
        <f t="shared" si="61"/>
        <v>Oakdell8000San Antonio</v>
      </c>
      <c r="H794" t="s">
        <v>31652</v>
      </c>
      <c r="I794" t="s">
        <v>23084</v>
      </c>
      <c r="J794" t="str">
        <f t="shared" si="62"/>
        <v>E:\PropInv\MF</v>
      </c>
      <c r="K794" s="103" t="str">
        <f>HYPERLINK("E:\PropInv\MF\San Antonio\Oakdell Way_8000_Oaks of Northgate_San Antonio_00923","Oakdell Way_8000_Oaks of Northgate_San Antonio_00923" )</f>
        <v>Oakdell Way_8000_Oaks of Northgate_San Antonio_00923</v>
      </c>
      <c r="L794" s="104" t="s">
        <v>22253</v>
      </c>
      <c r="M794" s="103" t="str">
        <f t="shared" si="63"/>
        <v>http://oconnordata.com/mlink/modules/profile/index.cfm?action=profile&amp;prop_id=923</v>
      </c>
      <c r="N794" s="1" t="str">
        <f t="shared" si="64"/>
        <v>00923</v>
      </c>
    </row>
    <row r="795" spans="1:14" x14ac:dyDescent="0.3">
      <c r="A795" s="1">
        <v>924</v>
      </c>
      <c r="B795" s="7" t="s">
        <v>1238</v>
      </c>
      <c r="C795" s="12">
        <v>534</v>
      </c>
      <c r="D795" s="7" t="s">
        <v>1239</v>
      </c>
      <c r="E795" s="13" t="s">
        <v>842</v>
      </c>
      <c r="F795" t="str">
        <f t="shared" si="60"/>
        <v>Hunt</v>
      </c>
      <c r="G795" t="str">
        <f t="shared" si="61"/>
        <v>Hunt534San Antonio</v>
      </c>
      <c r="H795" t="s">
        <v>31653</v>
      </c>
      <c r="I795" t="s">
        <v>23085</v>
      </c>
      <c r="J795" t="str">
        <f t="shared" si="62"/>
        <v>E:\PropInv\MF</v>
      </c>
      <c r="K795" s="103" t="str">
        <f>HYPERLINK("E:\PropInv\MF\San Antonio\Hunt Ln_534_Oaks of Westlakes_San Antonio_00924","Hunt Ln_534_Oaks of Westlakes_San Antonio_00924" )</f>
        <v>Hunt Ln_534_Oaks of Westlakes_San Antonio_00924</v>
      </c>
      <c r="L795" s="104" t="s">
        <v>22253</v>
      </c>
      <c r="M795" s="103" t="str">
        <f t="shared" si="63"/>
        <v>http://oconnordata.com/mlink/modules/profile/index.cfm?action=profile&amp;prop_id=924</v>
      </c>
      <c r="N795" s="1" t="str">
        <f t="shared" si="64"/>
        <v>00924</v>
      </c>
    </row>
    <row r="796" spans="1:14" x14ac:dyDescent="0.3">
      <c r="A796" s="1">
        <v>925</v>
      </c>
      <c r="B796" s="7" t="s">
        <v>1240</v>
      </c>
      <c r="C796" s="12">
        <v>777</v>
      </c>
      <c r="D796" s="7" t="s">
        <v>1241</v>
      </c>
      <c r="E796" s="13" t="s">
        <v>842</v>
      </c>
      <c r="F796" t="str">
        <f t="shared" si="60"/>
        <v>Isom</v>
      </c>
      <c r="G796" t="str">
        <f t="shared" si="61"/>
        <v>Isom777San Antonio</v>
      </c>
      <c r="H796" t="s">
        <v>31654</v>
      </c>
      <c r="I796" t="s">
        <v>23086</v>
      </c>
      <c r="J796" t="str">
        <f t="shared" si="62"/>
        <v>E:\PropInv\MF</v>
      </c>
      <c r="K796" s="103" t="str">
        <f>HYPERLINK("E:\PropInv\MF\San Antonio\Isom_777_Oasis_San Antonio_00925","Isom_777_Oasis_San Antonio_00925" )</f>
        <v>Isom_777_Oasis_San Antonio_00925</v>
      </c>
      <c r="L796" s="104" t="s">
        <v>22253</v>
      </c>
      <c r="M796" s="103" t="str">
        <f t="shared" si="63"/>
        <v>http://oconnordata.com/mlink/modules/profile/index.cfm?action=profile&amp;prop_id=925</v>
      </c>
      <c r="N796" s="1" t="str">
        <f t="shared" si="64"/>
        <v>00925</v>
      </c>
    </row>
    <row r="797" spans="1:14" x14ac:dyDescent="0.3">
      <c r="A797" s="1">
        <v>926</v>
      </c>
      <c r="B797" s="7" t="s">
        <v>1242</v>
      </c>
      <c r="C797" s="12">
        <v>327</v>
      </c>
      <c r="D797" s="7" t="s">
        <v>1243</v>
      </c>
      <c r="E797" s="13" t="s">
        <v>842</v>
      </c>
      <c r="F797" t="str">
        <f t="shared" si="60"/>
        <v>Sunset</v>
      </c>
      <c r="G797" t="str">
        <f t="shared" si="61"/>
        <v>Sunset327San Antonio</v>
      </c>
      <c r="H797" t="s">
        <v>31655</v>
      </c>
      <c r="I797" t="s">
        <v>23087</v>
      </c>
      <c r="J797" t="str">
        <f t="shared" si="62"/>
        <v>E:\PropInv\MF</v>
      </c>
      <c r="K797" s="103" t="str">
        <f>HYPERLINK("E:\PropInv\MF\San Antonio\Sunset Rd W_327_Olive Tree_San Antonio_00926","Sunset Rd W_327_Olive Tree_San Antonio_00926" )</f>
        <v>Sunset Rd W_327_Olive Tree_San Antonio_00926</v>
      </c>
      <c r="L797" s="104" t="s">
        <v>22253</v>
      </c>
      <c r="M797" s="103" t="str">
        <f t="shared" si="63"/>
        <v>http://oconnordata.com/mlink/modules/profile/index.cfm?action=profile&amp;prop_id=926</v>
      </c>
      <c r="N797" s="1" t="str">
        <f t="shared" si="64"/>
        <v>00926</v>
      </c>
    </row>
    <row r="798" spans="1:14" x14ac:dyDescent="0.3">
      <c r="A798" s="1">
        <v>927</v>
      </c>
      <c r="B798" s="7" t="s">
        <v>1244</v>
      </c>
      <c r="C798" s="12">
        <v>800</v>
      </c>
      <c r="D798" s="7" t="s">
        <v>1245</v>
      </c>
      <c r="E798" s="13" t="s">
        <v>842</v>
      </c>
      <c r="F798" t="str">
        <f t="shared" si="60"/>
        <v>Basse</v>
      </c>
      <c r="G798" t="str">
        <f t="shared" si="61"/>
        <v>Basse800San Antonio</v>
      </c>
      <c r="H798" t="s">
        <v>31656</v>
      </c>
      <c r="I798" t="s">
        <v>23088</v>
      </c>
      <c r="J798" t="str">
        <f t="shared" si="62"/>
        <v>E:\PropInv\MF</v>
      </c>
      <c r="K798" s="103" t="str">
        <f>HYPERLINK("E:\PropInv\MF\San Antonio\Basse Rd_800_Olmos Club_San Antonio_00927","Basse Rd_800_Olmos Club_San Antonio_00927" )</f>
        <v>Basse Rd_800_Olmos Club_San Antonio_00927</v>
      </c>
      <c r="L798" s="104" t="s">
        <v>22253</v>
      </c>
      <c r="M798" s="103" t="str">
        <f t="shared" si="63"/>
        <v>http://oconnordata.com/mlink/modules/profile/index.cfm?action=profile&amp;prop_id=927</v>
      </c>
      <c r="N798" s="1" t="str">
        <f t="shared" si="64"/>
        <v>00927</v>
      </c>
    </row>
    <row r="799" spans="1:14" x14ac:dyDescent="0.3">
      <c r="A799" s="1">
        <v>928</v>
      </c>
      <c r="B799" s="19" t="s">
        <v>1246</v>
      </c>
      <c r="C799" s="18">
        <v>111</v>
      </c>
      <c r="D799" s="19" t="s">
        <v>1247</v>
      </c>
      <c r="E799" s="20" t="s">
        <v>842</v>
      </c>
      <c r="F799" t="str">
        <f t="shared" si="60"/>
        <v>Dot</v>
      </c>
      <c r="G799" t="str">
        <f t="shared" si="61"/>
        <v>Dot111San Antonio</v>
      </c>
      <c r="H799" t="s">
        <v>31657</v>
      </c>
      <c r="I799" t="s">
        <v>23089</v>
      </c>
      <c r="J799" t="str">
        <f t="shared" si="62"/>
        <v>E:\PropInv\MF</v>
      </c>
      <c r="K799" s="103" t="str">
        <f>HYPERLINK("E:\PropInv\MF\San Antonio\Dot Dr_111_111 Dot Drive Apts_San Antonio_00928","Dot Dr_111_111 Dot Drive Apts_San Antonio_00928" )</f>
        <v>Dot Dr_111_111 Dot Drive Apts_San Antonio_00928</v>
      </c>
      <c r="L799" s="104" t="s">
        <v>22253</v>
      </c>
      <c r="M799" s="103" t="str">
        <f t="shared" si="63"/>
        <v>http://oconnordata.com/mlink/modules/profile/index.cfm?action=profile&amp;prop_id=928</v>
      </c>
      <c r="N799" s="1" t="str">
        <f t="shared" si="64"/>
        <v>00928</v>
      </c>
    </row>
    <row r="800" spans="1:14" x14ac:dyDescent="0.3">
      <c r="A800" s="1">
        <v>929</v>
      </c>
      <c r="B800" s="7" t="s">
        <v>1248</v>
      </c>
      <c r="C800" s="12">
        <v>4934</v>
      </c>
      <c r="D800" s="7" t="s">
        <v>1249</v>
      </c>
      <c r="E800" s="13" t="s">
        <v>842</v>
      </c>
      <c r="F800" t="str">
        <f t="shared" si="60"/>
        <v>Woodstone</v>
      </c>
      <c r="G800" t="str">
        <f t="shared" si="61"/>
        <v>Woodstone4934San Antonio</v>
      </c>
      <c r="H800" t="s">
        <v>31658</v>
      </c>
      <c r="I800" t="s">
        <v>23090</v>
      </c>
      <c r="J800" t="str">
        <f t="shared" si="62"/>
        <v>E:\PropInv\MF</v>
      </c>
      <c r="K800" s="103" t="str">
        <f>HYPERLINK("E:\PropInv\MF\San Antonio\Woodstone Dr_4934_The Place at Overlook_San Antonio_00929","Woodstone Dr_4934_The Place at Overlook_San Antonio_00929" )</f>
        <v>Woodstone Dr_4934_The Place at Overlook_San Antonio_00929</v>
      </c>
      <c r="L800" s="104" t="s">
        <v>22253</v>
      </c>
      <c r="M800" s="103" t="str">
        <f t="shared" si="63"/>
        <v>http://oconnordata.com/mlink/modules/profile/index.cfm?action=profile&amp;prop_id=929</v>
      </c>
      <c r="N800" s="1" t="str">
        <f t="shared" si="64"/>
        <v>00929</v>
      </c>
    </row>
    <row r="801" spans="1:14" x14ac:dyDescent="0.3">
      <c r="A801" s="1">
        <v>930</v>
      </c>
      <c r="B801" s="7" t="s">
        <v>1250</v>
      </c>
      <c r="C801" s="12">
        <v>165</v>
      </c>
      <c r="D801" s="7" t="s">
        <v>1251</v>
      </c>
      <c r="E801" s="13" t="s">
        <v>864</v>
      </c>
      <c r="F801" t="str">
        <f t="shared" si="60"/>
        <v>Palisades</v>
      </c>
      <c r="G801" t="str">
        <f t="shared" si="61"/>
        <v>Palisades165Universal City</v>
      </c>
      <c r="H801" t="s">
        <v>31659</v>
      </c>
      <c r="I801" t="s">
        <v>23091</v>
      </c>
      <c r="J801" t="str">
        <f t="shared" si="62"/>
        <v>E:\PropInv\MF</v>
      </c>
      <c r="K801" s="103" t="str">
        <f>HYPERLINK("E:\PropInv\MF\Universal City\Palisades Dr_165_Palisades Park_Universal City_00930","Palisades Dr_165_Palisades Park_Universal City_00930" )</f>
        <v>Palisades Dr_165_Palisades Park_Universal City_00930</v>
      </c>
      <c r="L801" s="104" t="s">
        <v>22253</v>
      </c>
      <c r="M801" s="103" t="str">
        <f t="shared" si="63"/>
        <v>http://oconnordata.com/mlink/modules/profile/index.cfm?action=profile&amp;prop_id=930</v>
      </c>
      <c r="N801" s="1" t="str">
        <f t="shared" si="64"/>
        <v>00930</v>
      </c>
    </row>
    <row r="802" spans="1:14" x14ac:dyDescent="0.3">
      <c r="A802" s="1">
        <v>931</v>
      </c>
      <c r="B802" s="7" t="s">
        <v>865</v>
      </c>
      <c r="C802" s="12">
        <v>16585</v>
      </c>
      <c r="D802" s="7" t="s">
        <v>1252</v>
      </c>
      <c r="E802" s="13" t="s">
        <v>842</v>
      </c>
      <c r="F802" t="str">
        <f t="shared" si="60"/>
        <v>Blanco</v>
      </c>
      <c r="G802" t="str">
        <f t="shared" si="61"/>
        <v>Blanco16585San Antonio</v>
      </c>
      <c r="H802" t="s">
        <v>31660</v>
      </c>
      <c r="I802" t="s">
        <v>23092</v>
      </c>
      <c r="J802" t="str">
        <f t="shared" si="62"/>
        <v>E:\PropInv\MF</v>
      </c>
      <c r="K802" s="103" t="str">
        <f>HYPERLINK("E:\PropInv\MF\San Antonio\Blanco Rd_16585_Panther Springs_San Antonio_00931","Blanco Rd_16585_Panther Springs_San Antonio_00931" )</f>
        <v>Blanco Rd_16585_Panther Springs_San Antonio_00931</v>
      </c>
      <c r="L802" s="104" t="s">
        <v>22253</v>
      </c>
      <c r="M802" s="103" t="str">
        <f t="shared" si="63"/>
        <v>http://oconnordata.com/mlink/modules/profile/index.cfm?action=profile&amp;prop_id=931</v>
      </c>
      <c r="N802" s="1" t="str">
        <f t="shared" si="64"/>
        <v>00931</v>
      </c>
    </row>
    <row r="803" spans="1:14" x14ac:dyDescent="0.3">
      <c r="A803" s="1">
        <v>932</v>
      </c>
      <c r="B803" s="7" t="s">
        <v>1047</v>
      </c>
      <c r="C803" s="12">
        <v>3815</v>
      </c>
      <c r="D803" s="7" t="s">
        <v>1253</v>
      </c>
      <c r="E803" s="13" t="s">
        <v>842</v>
      </c>
      <c r="F803" t="str">
        <f t="shared" si="60"/>
        <v>Parkdale</v>
      </c>
      <c r="G803" t="str">
        <f t="shared" si="61"/>
        <v>Parkdale3815San Antonio</v>
      </c>
      <c r="H803" t="s">
        <v>31661</v>
      </c>
      <c r="I803" t="s">
        <v>23093</v>
      </c>
      <c r="J803" t="str">
        <f t="shared" si="62"/>
        <v>E:\PropInv\MF</v>
      </c>
      <c r="K803" s="103" t="str">
        <f>HYPERLINK("E:\PropInv\MF\San Antonio\Parkdale_3815_Park at Colonnade_San Antonio_00932","Parkdale_3815_Park at Colonnade_San Antonio_00932" )</f>
        <v>Parkdale_3815_Park at Colonnade_San Antonio_00932</v>
      </c>
      <c r="L803" s="104" t="s">
        <v>22253</v>
      </c>
      <c r="M803" s="103" t="str">
        <f t="shared" si="63"/>
        <v>http://oconnordata.com/mlink/modules/profile/index.cfm?action=profile&amp;prop_id=932</v>
      </c>
      <c r="N803" s="1" t="str">
        <f t="shared" si="64"/>
        <v>00932</v>
      </c>
    </row>
    <row r="804" spans="1:14" x14ac:dyDescent="0.3">
      <c r="A804" s="1">
        <v>933</v>
      </c>
      <c r="B804" s="7" t="s">
        <v>1075</v>
      </c>
      <c r="C804" s="12">
        <v>2233</v>
      </c>
      <c r="D804" s="7" t="s">
        <v>1254</v>
      </c>
      <c r="E804" s="13" t="s">
        <v>842</v>
      </c>
      <c r="F804" t="str">
        <f t="shared" si="60"/>
        <v>Military</v>
      </c>
      <c r="G804" t="str">
        <f t="shared" si="61"/>
        <v>Military2233San Antonio</v>
      </c>
      <c r="H804" t="s">
        <v>31662</v>
      </c>
      <c r="I804" t="s">
        <v>23094</v>
      </c>
      <c r="J804" t="str">
        <f t="shared" si="62"/>
        <v>E:\PropInv\MF</v>
      </c>
      <c r="K804" s="103" t="str">
        <f>HYPERLINK("E:\PropInv\MF\San Antonio\Military Dr SE_2233_The Park at Presa_San Antonio_00933","Military Dr SE_2233_The Park at Presa_San Antonio_00933" )</f>
        <v>Military Dr SE_2233_The Park at Presa_San Antonio_00933</v>
      </c>
      <c r="L804" s="104" t="s">
        <v>22253</v>
      </c>
      <c r="M804" s="103" t="str">
        <f t="shared" si="63"/>
        <v>http://oconnordata.com/mlink/modules/profile/index.cfm?action=profile&amp;prop_id=933</v>
      </c>
      <c r="N804" s="1" t="str">
        <f t="shared" si="64"/>
        <v>00933</v>
      </c>
    </row>
    <row r="805" spans="1:14" x14ac:dyDescent="0.3">
      <c r="A805" s="1">
        <v>934</v>
      </c>
      <c r="B805" s="7" t="s">
        <v>1255</v>
      </c>
      <c r="C805" s="12">
        <v>13031</v>
      </c>
      <c r="D805" s="7" t="s">
        <v>1256</v>
      </c>
      <c r="E805" s="13" t="s">
        <v>842</v>
      </c>
      <c r="F805" t="str">
        <f t="shared" si="60"/>
        <v>Park</v>
      </c>
      <c r="G805" t="str">
        <f t="shared" si="61"/>
        <v>Park13031San Antonio</v>
      </c>
      <c r="H805" t="s">
        <v>31663</v>
      </c>
      <c r="I805" t="s">
        <v>23095</v>
      </c>
      <c r="J805" t="str">
        <f t="shared" si="62"/>
        <v>E:\PropInv\MF</v>
      </c>
      <c r="K805" s="103" t="str">
        <f>HYPERLINK("E:\PropInv\MF\San Antonio\Park Crossing_13031_Park Greene TH_San Antonio_00934","Park Crossing_13031_Park Greene TH_San Antonio_00934" )</f>
        <v>Park Crossing_13031_Park Greene TH_San Antonio_00934</v>
      </c>
      <c r="L805" s="104" t="s">
        <v>22253</v>
      </c>
      <c r="M805" s="103" t="str">
        <f t="shared" si="63"/>
        <v>http://oconnordata.com/mlink/modules/profile/index.cfm?action=profile&amp;prop_id=934</v>
      </c>
      <c r="N805" s="1" t="str">
        <f t="shared" si="64"/>
        <v>00934</v>
      </c>
    </row>
    <row r="806" spans="1:14" x14ac:dyDescent="0.3">
      <c r="A806" s="1">
        <v>935</v>
      </c>
      <c r="B806" s="7" t="s">
        <v>855</v>
      </c>
      <c r="C806" s="12">
        <v>9939</v>
      </c>
      <c r="D806" s="7" t="s">
        <v>819</v>
      </c>
      <c r="E806" s="13" t="s">
        <v>842</v>
      </c>
      <c r="F806" t="str">
        <f t="shared" si="60"/>
        <v>Fredericksburg</v>
      </c>
      <c r="G806" t="str">
        <f t="shared" si="61"/>
        <v>Fredericksburg9939San Antonio</v>
      </c>
      <c r="H806" t="s">
        <v>31664</v>
      </c>
      <c r="I806" t="s">
        <v>23096</v>
      </c>
      <c r="J806" t="str">
        <f t="shared" si="62"/>
        <v>E:\PropInv\MF</v>
      </c>
      <c r="K806" s="103" t="str">
        <f>HYPERLINK("E:\PropInv\MF\San Antonio\Fredericksburg Rd_9939_Park Hill_San Antonio_00935","Fredericksburg Rd_9939_Park Hill_San Antonio_00935" )</f>
        <v>Fredericksburg Rd_9939_Park Hill_San Antonio_00935</v>
      </c>
      <c r="L806" s="104" t="s">
        <v>22253</v>
      </c>
      <c r="M806" s="103" t="str">
        <f t="shared" si="63"/>
        <v>http://oconnordata.com/mlink/modules/profile/index.cfm?action=profile&amp;prop_id=935</v>
      </c>
      <c r="N806" s="1" t="str">
        <f t="shared" si="64"/>
        <v>00935</v>
      </c>
    </row>
    <row r="807" spans="1:14" x14ac:dyDescent="0.3">
      <c r="A807" s="1">
        <v>936</v>
      </c>
      <c r="B807" s="7" t="s">
        <v>1134</v>
      </c>
      <c r="C807" s="12">
        <v>2011</v>
      </c>
      <c r="D807" s="7" t="s">
        <v>1257</v>
      </c>
      <c r="E807" s="13" t="s">
        <v>842</v>
      </c>
      <c r="F807" t="str">
        <f t="shared" si="60"/>
        <v>Bandera</v>
      </c>
      <c r="G807" t="str">
        <f t="shared" si="61"/>
        <v>Bandera2011San Antonio</v>
      </c>
      <c r="H807" t="s">
        <v>31665</v>
      </c>
      <c r="I807" t="s">
        <v>23097</v>
      </c>
      <c r="J807" t="str">
        <f t="shared" si="62"/>
        <v>E:\PropInv\MF</v>
      </c>
      <c r="K807" s="103" t="str">
        <f>HYPERLINK("E:\PropInv\MF\San Antonio\Bandera Rd_2011_The Park on Bandera_San Antonio_00936","Bandera Rd_2011_The Park on Bandera_San Antonio_00936" )</f>
        <v>Bandera Rd_2011_The Park on Bandera_San Antonio_00936</v>
      </c>
      <c r="L807" s="104" t="s">
        <v>22253</v>
      </c>
      <c r="M807" s="103" t="str">
        <f t="shared" si="63"/>
        <v>http://oconnordata.com/mlink/modules/profile/index.cfm?action=profile&amp;prop_id=936</v>
      </c>
      <c r="N807" s="1" t="str">
        <f t="shared" si="64"/>
        <v>00936</v>
      </c>
    </row>
    <row r="808" spans="1:14" x14ac:dyDescent="0.3">
      <c r="A808" s="1">
        <v>937</v>
      </c>
      <c r="B808" s="7" t="s">
        <v>875</v>
      </c>
      <c r="C808" s="12">
        <v>14310</v>
      </c>
      <c r="D808" s="7" t="s">
        <v>548</v>
      </c>
      <c r="E808" s="13" t="s">
        <v>842</v>
      </c>
      <c r="F808" t="str">
        <f t="shared" si="60"/>
        <v>Nacogdoches</v>
      </c>
      <c r="G808" t="str">
        <f t="shared" si="61"/>
        <v>Nacogdoches14310San Antonio</v>
      </c>
      <c r="H808" t="s">
        <v>31666</v>
      </c>
      <c r="I808" t="s">
        <v>23098</v>
      </c>
      <c r="J808" t="str">
        <f t="shared" si="62"/>
        <v>E:\PropInv\MF</v>
      </c>
      <c r="K808" s="103" t="str">
        <f>HYPERLINK("E:\PropInv\MF\San Antonio\Nacogdoches_14310_Park Place_San Antonio_00937","Nacogdoches_14310_Park Place_San Antonio_00937" )</f>
        <v>Nacogdoches_14310_Park Place_San Antonio_00937</v>
      </c>
      <c r="L808" s="104" t="s">
        <v>22253</v>
      </c>
      <c r="M808" s="103" t="str">
        <f t="shared" si="63"/>
        <v>http://oconnordata.com/mlink/modules/profile/index.cfm?action=profile&amp;prop_id=937</v>
      </c>
      <c r="N808" s="1" t="str">
        <f t="shared" si="64"/>
        <v>00937</v>
      </c>
    </row>
    <row r="809" spans="1:14" x14ac:dyDescent="0.3">
      <c r="A809" s="1">
        <v>938</v>
      </c>
      <c r="B809" s="7" t="s">
        <v>1258</v>
      </c>
      <c r="C809" s="12">
        <v>5314</v>
      </c>
      <c r="D809" s="7" t="s">
        <v>1259</v>
      </c>
      <c r="E809" s="13" t="s">
        <v>842</v>
      </c>
      <c r="F809" t="str">
        <f t="shared" si="60"/>
        <v>Randolph</v>
      </c>
      <c r="G809" t="str">
        <f t="shared" si="61"/>
        <v>Randolph5314San Antonio</v>
      </c>
      <c r="H809" t="s">
        <v>31667</v>
      </c>
      <c r="I809" t="s">
        <v>23099</v>
      </c>
      <c r="J809" t="str">
        <f t="shared" si="62"/>
        <v>E:\PropInv\MF</v>
      </c>
      <c r="K809" s="103" t="str">
        <f>HYPERLINK("E:\PropInv\MF\San Antonio\Randolph Blvd_5314_Park Ridge_San Antonio_00938","Randolph Blvd_5314_Park Ridge_San Antonio_00938" )</f>
        <v>Randolph Blvd_5314_Park Ridge_San Antonio_00938</v>
      </c>
      <c r="L809" s="104" t="s">
        <v>22253</v>
      </c>
      <c r="M809" s="103" t="str">
        <f t="shared" si="63"/>
        <v>http://oconnordata.com/mlink/modules/profile/index.cfm?action=profile&amp;prop_id=938</v>
      </c>
      <c r="N809" s="1" t="str">
        <f t="shared" si="64"/>
        <v>00938</v>
      </c>
    </row>
    <row r="810" spans="1:14" x14ac:dyDescent="0.3">
      <c r="A810" s="1">
        <v>939</v>
      </c>
      <c r="B810" s="21" t="s">
        <v>235</v>
      </c>
      <c r="C810" s="12">
        <v>11845</v>
      </c>
      <c r="D810" s="7" t="s">
        <v>1260</v>
      </c>
      <c r="E810" s="13" t="s">
        <v>842</v>
      </c>
      <c r="F810" t="str">
        <f t="shared" si="60"/>
        <v>W</v>
      </c>
      <c r="G810" t="str">
        <f t="shared" si="61"/>
        <v>W11845San Antonio</v>
      </c>
      <c r="H810" t="s">
        <v>31668</v>
      </c>
      <c r="I810" t="s">
        <v>23100</v>
      </c>
      <c r="J810" t="str">
        <f t="shared" si="62"/>
        <v>E:\PropInv\MF</v>
      </c>
      <c r="K810" s="103" t="str">
        <f>HYPERLINK("E:\PropInv\MF\San Antonio\W Ave_11845_Park West_San Antonio_00939","W Ave_11845_Park West_San Antonio_00939" )</f>
        <v>W Ave_11845_Park West_San Antonio_00939</v>
      </c>
      <c r="L810" s="104" t="s">
        <v>22253</v>
      </c>
      <c r="M810" s="103" t="str">
        <f t="shared" si="63"/>
        <v>http://oconnordata.com/mlink/modules/profile/index.cfm?action=profile&amp;prop_id=939</v>
      </c>
      <c r="N810" s="1" t="str">
        <f t="shared" si="64"/>
        <v>00939</v>
      </c>
    </row>
    <row r="811" spans="1:14" x14ac:dyDescent="0.3">
      <c r="A811" s="1">
        <v>940</v>
      </c>
      <c r="B811" s="7" t="s">
        <v>1051</v>
      </c>
      <c r="C811" s="12">
        <v>4019</v>
      </c>
      <c r="D811" s="7" t="s">
        <v>1047</v>
      </c>
      <c r="E811" s="13" t="s">
        <v>842</v>
      </c>
      <c r="F811" t="str">
        <f t="shared" si="60"/>
        <v>Vance</v>
      </c>
      <c r="G811" t="str">
        <f t="shared" si="61"/>
        <v>Vance4019San Antonio</v>
      </c>
      <c r="H811" t="s">
        <v>31669</v>
      </c>
      <c r="I811" t="s">
        <v>23101</v>
      </c>
      <c r="J811" t="str">
        <f t="shared" si="62"/>
        <v>E:\PropInv\MF</v>
      </c>
      <c r="K811" s="103" t="str">
        <f>HYPERLINK("E:\PropInv\MF\San Antonio\Vance Jackson Rd_4019_Parkdale_San Antonio_00940","Vance Jackson Rd_4019_Parkdale_San Antonio_00940" )</f>
        <v>Vance Jackson Rd_4019_Parkdale_San Antonio_00940</v>
      </c>
      <c r="L811" s="104" t="s">
        <v>22253</v>
      </c>
      <c r="M811" s="103" t="str">
        <f t="shared" si="63"/>
        <v>http://oconnordata.com/mlink/modules/profile/index.cfm?action=profile&amp;prop_id=940</v>
      </c>
      <c r="N811" s="1" t="str">
        <f t="shared" si="64"/>
        <v>00940</v>
      </c>
    </row>
    <row r="812" spans="1:14" x14ac:dyDescent="0.3">
      <c r="A812" s="1">
        <v>941</v>
      </c>
      <c r="B812" s="7" t="s">
        <v>965</v>
      </c>
      <c r="C812" s="12">
        <v>1010</v>
      </c>
      <c r="D812" s="7" t="s">
        <v>1261</v>
      </c>
      <c r="E812" s="13" t="s">
        <v>842</v>
      </c>
      <c r="F812" t="str">
        <f t="shared" si="60"/>
        <v>Frio</v>
      </c>
      <c r="G812" t="str">
        <f t="shared" si="61"/>
        <v>Frio1010San Antonio</v>
      </c>
      <c r="H812" t="s">
        <v>31670</v>
      </c>
      <c r="I812" t="s">
        <v>23102</v>
      </c>
      <c r="J812" t="str">
        <f t="shared" si="62"/>
        <v>E:\PropInv\MF</v>
      </c>
      <c r="K812" s="103" t="str">
        <f>HYPERLINK("E:\PropInv\MF\San Antonio\Frio St N_1010_Parkside_San Antonio_00941","Frio St N_1010_Parkside_San Antonio_00941" )</f>
        <v>Frio St N_1010_Parkside_San Antonio_00941</v>
      </c>
      <c r="L812" s="104" t="s">
        <v>22253</v>
      </c>
      <c r="M812" s="103" t="str">
        <f t="shared" si="63"/>
        <v>http://oconnordata.com/mlink/modules/profile/index.cfm?action=profile&amp;prop_id=941</v>
      </c>
      <c r="N812" s="1" t="str">
        <f t="shared" si="64"/>
        <v>00941</v>
      </c>
    </row>
    <row r="813" spans="1:14" x14ac:dyDescent="0.3">
      <c r="A813" s="1">
        <v>942</v>
      </c>
      <c r="B813" s="7" t="s">
        <v>1262</v>
      </c>
      <c r="C813" s="12">
        <v>2105</v>
      </c>
      <c r="D813" s="7" t="s">
        <v>1263</v>
      </c>
      <c r="E813" s="13" t="s">
        <v>1138</v>
      </c>
      <c r="F813" t="str">
        <f t="shared" si="60"/>
        <v>Singing</v>
      </c>
      <c r="G813" t="str">
        <f t="shared" si="61"/>
        <v>Singing2105Kerrville</v>
      </c>
      <c r="H813" t="s">
        <v>31671</v>
      </c>
      <c r="I813" t="s">
        <v>23103</v>
      </c>
      <c r="J813" t="str">
        <f t="shared" si="62"/>
        <v>E:\PropInv\MF</v>
      </c>
      <c r="K813" s="103" t="str">
        <f>HYPERLINK("E:\PropInv\MF\Kerrville\Singing Wind Dr_2105_Singing Wind_Kerrville_00942","Singing Wind Dr_2105_Singing Wind_Kerrville_00942" )</f>
        <v>Singing Wind Dr_2105_Singing Wind_Kerrville_00942</v>
      </c>
      <c r="L813" s="104" t="s">
        <v>22253</v>
      </c>
      <c r="M813" s="103" t="str">
        <f t="shared" si="63"/>
        <v>http://oconnordata.com/mlink/modules/profile/index.cfm?action=profile&amp;prop_id=942</v>
      </c>
      <c r="N813" s="1" t="str">
        <f t="shared" si="64"/>
        <v>00942</v>
      </c>
    </row>
    <row r="814" spans="1:14" x14ac:dyDescent="0.3">
      <c r="A814" s="1">
        <v>943</v>
      </c>
      <c r="B814" s="7" t="s">
        <v>904</v>
      </c>
      <c r="C814" s="12">
        <v>11838</v>
      </c>
      <c r="D814" s="7" t="s">
        <v>1264</v>
      </c>
      <c r="E814" s="13" t="s">
        <v>842</v>
      </c>
      <c r="F814" t="str">
        <f t="shared" si="60"/>
        <v>Parliament</v>
      </c>
      <c r="G814" t="str">
        <f t="shared" si="61"/>
        <v>Parliament11838San Antonio</v>
      </c>
      <c r="H814" t="s">
        <v>31672</v>
      </c>
      <c r="I814" t="s">
        <v>23104</v>
      </c>
      <c r="J814" t="str">
        <f t="shared" si="62"/>
        <v>E:\PropInv\MF</v>
      </c>
      <c r="K814" s="103" t="str">
        <f>HYPERLINK("E:\PropInv\MF\San Antonio\Parliament Dr_11838_Parliament Bend_San Antonio_00943","Parliament Dr_11838_Parliament Bend_San Antonio_00943" )</f>
        <v>Parliament Dr_11838_Parliament Bend_San Antonio_00943</v>
      </c>
      <c r="L814" s="104" t="s">
        <v>22253</v>
      </c>
      <c r="M814" s="103" t="str">
        <f t="shared" si="63"/>
        <v>http://oconnordata.com/mlink/modules/profile/index.cfm?action=profile&amp;prop_id=943</v>
      </c>
      <c r="N814" s="1" t="str">
        <f t="shared" si="64"/>
        <v>00943</v>
      </c>
    </row>
    <row r="815" spans="1:14" x14ac:dyDescent="0.3">
      <c r="A815" s="1">
        <v>944</v>
      </c>
      <c r="B815" s="21" t="s">
        <v>235</v>
      </c>
      <c r="C815" s="12">
        <v>11726</v>
      </c>
      <c r="D815" s="7" t="s">
        <v>1265</v>
      </c>
      <c r="E815" s="13" t="s">
        <v>842</v>
      </c>
      <c r="F815" t="str">
        <f t="shared" si="60"/>
        <v>W</v>
      </c>
      <c r="G815" t="str">
        <f t="shared" si="61"/>
        <v>W11726San Antonio</v>
      </c>
      <c r="H815" t="s">
        <v>31673</v>
      </c>
      <c r="I815" t="s">
        <v>23105</v>
      </c>
      <c r="J815" t="str">
        <f t="shared" si="62"/>
        <v>E:\PropInv\MF</v>
      </c>
      <c r="K815" s="103" t="str">
        <f>HYPERLINK("E:\PropInv\MF\San Antonio\W Ave_11726_Autumn Brook_San Antonio_00944","W Ave_11726_Autumn Brook_San Antonio_00944" )</f>
        <v>W Ave_11726_Autumn Brook_San Antonio_00944</v>
      </c>
      <c r="L815" s="104" t="s">
        <v>22253</v>
      </c>
      <c r="M815" s="103" t="str">
        <f t="shared" si="63"/>
        <v>http://oconnordata.com/mlink/modules/profile/index.cfm?action=profile&amp;prop_id=944</v>
      </c>
      <c r="N815" s="1" t="str">
        <f t="shared" si="64"/>
        <v>00944</v>
      </c>
    </row>
    <row r="816" spans="1:14" x14ac:dyDescent="0.3">
      <c r="A816" s="1">
        <v>945</v>
      </c>
      <c r="B816" s="7" t="s">
        <v>1266</v>
      </c>
      <c r="C816" s="12">
        <v>6840</v>
      </c>
      <c r="D816" s="7" t="s">
        <v>1267</v>
      </c>
      <c r="E816" s="13" t="s">
        <v>842</v>
      </c>
      <c r="F816" t="str">
        <f t="shared" si="60"/>
        <v>Pecan</v>
      </c>
      <c r="G816" t="str">
        <f t="shared" si="61"/>
        <v>Pecan6840San Antonio</v>
      </c>
      <c r="H816" t="s">
        <v>31674</v>
      </c>
      <c r="I816" t="s">
        <v>23106</v>
      </c>
      <c r="J816" t="str">
        <f t="shared" si="62"/>
        <v>E:\PropInv\MF</v>
      </c>
      <c r="K816" s="103" t="str">
        <f>HYPERLINK("E:\PropInv\MF\San Antonio\Pecan Valley Dr_6840_Villas of Pecan Manor_San Antonio_00945","Pecan Valley Dr_6840_Villas of Pecan Manor_San Antonio_00945" )</f>
        <v>Pecan Valley Dr_6840_Villas of Pecan Manor_San Antonio_00945</v>
      </c>
      <c r="L816" s="104" t="s">
        <v>22253</v>
      </c>
      <c r="M816" s="103" t="str">
        <f t="shared" si="63"/>
        <v>http://oconnordata.com/mlink/modules/profile/index.cfm?action=profile&amp;prop_id=945</v>
      </c>
      <c r="N816" s="1" t="str">
        <f t="shared" si="64"/>
        <v>00945</v>
      </c>
    </row>
    <row r="817" spans="1:14" x14ac:dyDescent="0.3">
      <c r="A817" s="1">
        <v>946</v>
      </c>
      <c r="B817" s="7" t="s">
        <v>1105</v>
      </c>
      <c r="C817" s="12">
        <v>3450</v>
      </c>
      <c r="D817" s="7" t="s">
        <v>1268</v>
      </c>
      <c r="E817" s="13" t="s">
        <v>842</v>
      </c>
      <c r="F817" t="str">
        <f t="shared" si="60"/>
        <v>Southcross</v>
      </c>
      <c r="G817" t="str">
        <f t="shared" si="61"/>
        <v>Southcross3450San Antonio</v>
      </c>
      <c r="H817" t="s">
        <v>31675</v>
      </c>
      <c r="I817" t="s">
        <v>23107</v>
      </c>
      <c r="J817" t="str">
        <f t="shared" si="62"/>
        <v>E:\PropInv\MF</v>
      </c>
      <c r="K817" s="103" t="str">
        <f>HYPERLINK("E:\PropInv\MF\San Antonio\Southcross Blvd E_3450_Pecan Valley_San Antonio_00946","Southcross Blvd E_3450_Pecan Valley_San Antonio_00946" )</f>
        <v>Southcross Blvd E_3450_Pecan Valley_San Antonio_00946</v>
      </c>
      <c r="L817" s="104" t="s">
        <v>22253</v>
      </c>
      <c r="M817" s="103" t="str">
        <f t="shared" si="63"/>
        <v>http://oconnordata.com/mlink/modules/profile/index.cfm?action=profile&amp;prop_id=946</v>
      </c>
      <c r="N817" s="1" t="str">
        <f t="shared" si="64"/>
        <v>00946</v>
      </c>
    </row>
    <row r="818" spans="1:14" x14ac:dyDescent="0.3">
      <c r="A818" s="1">
        <v>947</v>
      </c>
      <c r="B818" s="7" t="s">
        <v>1051</v>
      </c>
      <c r="C818" s="12">
        <v>1011</v>
      </c>
      <c r="D818" s="7" t="s">
        <v>1269</v>
      </c>
      <c r="E818" s="13" t="s">
        <v>842</v>
      </c>
      <c r="F818" t="str">
        <f t="shared" si="60"/>
        <v>Vance</v>
      </c>
      <c r="G818" t="str">
        <f t="shared" si="61"/>
        <v>Vance1011San Antonio</v>
      </c>
      <c r="H818" t="s">
        <v>31676</v>
      </c>
      <c r="I818" t="s">
        <v>23108</v>
      </c>
      <c r="J818" t="str">
        <f t="shared" si="62"/>
        <v>E:\PropInv\MF</v>
      </c>
      <c r="K818" s="103" t="str">
        <f>HYPERLINK("E:\PropInv\MF\San Antonio\Vance Jackson Rd_1011_Pepperidge_San Antonio_00947","Vance Jackson Rd_1011_Pepperidge_San Antonio_00947" )</f>
        <v>Vance Jackson Rd_1011_Pepperidge_San Antonio_00947</v>
      </c>
      <c r="L818" s="104" t="s">
        <v>22253</v>
      </c>
      <c r="M818" s="103" t="str">
        <f t="shared" si="63"/>
        <v>http://oconnordata.com/mlink/modules/profile/index.cfm?action=profile&amp;prop_id=947</v>
      </c>
      <c r="N818" s="1" t="str">
        <f t="shared" si="64"/>
        <v>00947</v>
      </c>
    </row>
    <row r="819" spans="1:14" x14ac:dyDescent="0.3">
      <c r="A819" s="1">
        <v>948</v>
      </c>
      <c r="B819" s="7" t="s">
        <v>961</v>
      </c>
      <c r="C819" s="12">
        <v>2125</v>
      </c>
      <c r="D819" s="7" t="s">
        <v>1270</v>
      </c>
      <c r="E819" s="13" t="s">
        <v>864</v>
      </c>
      <c r="F819" t="str">
        <f t="shared" si="60"/>
        <v>Universal</v>
      </c>
      <c r="G819" t="str">
        <f t="shared" si="61"/>
        <v>Universal2125Universal City</v>
      </c>
      <c r="H819" t="s">
        <v>31677</v>
      </c>
      <c r="I819" t="s">
        <v>23109</v>
      </c>
      <c r="J819" t="str">
        <f t="shared" si="62"/>
        <v>E:\PropInv\MF</v>
      </c>
      <c r="K819" s="103" t="str">
        <f>HYPERLINK("E:\PropInv\MF\Universal City\Universal City Blvd_2125_Peppermill_Universal City_00948","Universal City Blvd_2125_Peppermill_Universal City_00948" )</f>
        <v>Universal City Blvd_2125_Peppermill_Universal City_00948</v>
      </c>
      <c r="L819" s="104" t="s">
        <v>22253</v>
      </c>
      <c r="M819" s="103" t="str">
        <f t="shared" si="63"/>
        <v>http://oconnordata.com/mlink/modules/profile/index.cfm?action=profile&amp;prop_id=948</v>
      </c>
      <c r="N819" s="1" t="str">
        <f t="shared" si="64"/>
        <v>00948</v>
      </c>
    </row>
    <row r="820" spans="1:14" x14ac:dyDescent="0.3">
      <c r="A820" s="1">
        <v>949</v>
      </c>
      <c r="B820" s="7" t="s">
        <v>1271</v>
      </c>
      <c r="C820" s="12">
        <v>12660</v>
      </c>
      <c r="D820" s="7" t="s">
        <v>1272</v>
      </c>
      <c r="E820" s="13" t="s">
        <v>842</v>
      </c>
      <c r="F820" t="str">
        <f t="shared" si="60"/>
        <v>Uhr</v>
      </c>
      <c r="G820" t="str">
        <f t="shared" si="61"/>
        <v>Uhr12660San Antonio</v>
      </c>
      <c r="H820" t="s">
        <v>31678</v>
      </c>
      <c r="I820" t="s">
        <v>23110</v>
      </c>
      <c r="J820" t="str">
        <f t="shared" si="62"/>
        <v>E:\PropInv\MF</v>
      </c>
      <c r="K820" s="103" t="str">
        <f>HYPERLINK("E:\PropInv\MF\San Antonio\Uhr Ln_12660_Perrin Crest_San Antonio_00949","Uhr Ln_12660_Perrin Crest_San Antonio_00949" )</f>
        <v>Uhr Ln_12660_Perrin Crest_San Antonio_00949</v>
      </c>
      <c r="L820" s="104" t="s">
        <v>22253</v>
      </c>
      <c r="M820" s="103" t="str">
        <f t="shared" si="63"/>
        <v>http://oconnordata.com/mlink/modules/profile/index.cfm?action=profile&amp;prop_id=949</v>
      </c>
      <c r="N820" s="1" t="str">
        <f t="shared" si="64"/>
        <v>00949</v>
      </c>
    </row>
    <row r="821" spans="1:14" x14ac:dyDescent="0.3">
      <c r="A821" s="1">
        <v>950</v>
      </c>
      <c r="B821" s="7" t="s">
        <v>871</v>
      </c>
      <c r="C821" s="12">
        <v>9511</v>
      </c>
      <c r="D821" s="7" t="s">
        <v>1273</v>
      </c>
      <c r="E821" s="13" t="s">
        <v>842</v>
      </c>
      <c r="F821" t="str">
        <f t="shared" si="60"/>
        <v>Perrin</v>
      </c>
      <c r="G821" t="str">
        <f t="shared" si="61"/>
        <v>Perrin9511San Antonio</v>
      </c>
      <c r="H821" t="s">
        <v>31679</v>
      </c>
      <c r="I821" t="s">
        <v>23111</v>
      </c>
      <c r="J821" t="str">
        <f t="shared" si="62"/>
        <v>E:\PropInv\MF</v>
      </c>
      <c r="K821" s="103" t="str">
        <f>HYPERLINK("E:\PropInv\MF\San Antonio\Perrin Beitel_9511_Perrin Square_San Antonio_00950","Perrin Beitel_9511_Perrin Square_San Antonio_00950" )</f>
        <v>Perrin Beitel_9511_Perrin Square_San Antonio_00950</v>
      </c>
      <c r="L821" s="104" t="s">
        <v>22253</v>
      </c>
      <c r="M821" s="103" t="str">
        <f t="shared" si="63"/>
        <v>http://oconnordata.com/mlink/modules/profile/index.cfm?action=profile&amp;prop_id=950</v>
      </c>
      <c r="N821" s="1" t="str">
        <f t="shared" si="64"/>
        <v>00950</v>
      </c>
    </row>
    <row r="822" spans="1:14" x14ac:dyDescent="0.3">
      <c r="A822" s="1">
        <v>951</v>
      </c>
      <c r="B822" s="7" t="s">
        <v>960</v>
      </c>
      <c r="C822" s="12">
        <v>1946</v>
      </c>
      <c r="D822" s="7" t="s">
        <v>1274</v>
      </c>
      <c r="E822" s="13" t="s">
        <v>842</v>
      </c>
      <c r="F822" t="str">
        <f t="shared" si="60"/>
        <v>410</v>
      </c>
      <c r="G822" t="str">
        <f t="shared" si="61"/>
        <v>4101946San Antonio</v>
      </c>
      <c r="H822" t="s">
        <v>31680</v>
      </c>
      <c r="I822" t="s">
        <v>23112</v>
      </c>
      <c r="J822" t="str">
        <f t="shared" si="62"/>
        <v>E:\PropInv\MF</v>
      </c>
      <c r="K822" s="103" t="str">
        <f>HYPERLINK("E:\PropInv\MF\San Antonio\410 Loop NE_1946_Oakwell Springs_San Antonio_00951","410 Loop NE_1946_Oakwell Springs_San Antonio_00951" )</f>
        <v>410 Loop NE_1946_Oakwell Springs_San Antonio_00951</v>
      </c>
      <c r="L822" s="104" t="s">
        <v>22253</v>
      </c>
      <c r="M822" s="103" t="str">
        <f t="shared" si="63"/>
        <v>http://oconnordata.com/mlink/modules/profile/index.cfm?action=profile&amp;prop_id=951</v>
      </c>
      <c r="N822" s="1" t="str">
        <f t="shared" si="64"/>
        <v>00951</v>
      </c>
    </row>
    <row r="823" spans="1:14" x14ac:dyDescent="0.3">
      <c r="A823" s="1">
        <v>952</v>
      </c>
      <c r="B823" s="7" t="s">
        <v>1275</v>
      </c>
      <c r="C823" s="12">
        <v>7678</v>
      </c>
      <c r="D823" s="7" t="s">
        <v>1276</v>
      </c>
      <c r="E823" s="13" t="s">
        <v>842</v>
      </c>
      <c r="F823" t="str">
        <f t="shared" si="60"/>
        <v>90</v>
      </c>
      <c r="G823" t="str">
        <f t="shared" si="61"/>
        <v>907678San Antonio</v>
      </c>
      <c r="H823" t="s">
        <v>31681</v>
      </c>
      <c r="I823" t="s">
        <v>23113</v>
      </c>
      <c r="J823" t="str">
        <f t="shared" si="62"/>
        <v>E:\PropInv\MF</v>
      </c>
      <c r="K823" s="103" t="str">
        <f>HYPERLINK("E:\PropInv\MF\San Antonio\90 Hwy W_7678_Vaquero Place_San Antonio_00952","90 Hwy W_7678_Vaquero Place_San Antonio_00952" )</f>
        <v>90 Hwy W_7678_Vaquero Place_San Antonio_00952</v>
      </c>
      <c r="L823" s="104" t="s">
        <v>22253</v>
      </c>
      <c r="M823" s="103" t="str">
        <f t="shared" si="63"/>
        <v>http://oconnordata.com/mlink/modules/profile/index.cfm?action=profile&amp;prop_id=952</v>
      </c>
      <c r="N823" s="1" t="str">
        <f t="shared" si="64"/>
        <v>00952</v>
      </c>
    </row>
    <row r="824" spans="1:14" x14ac:dyDescent="0.3">
      <c r="A824" s="1">
        <v>953</v>
      </c>
      <c r="B824" s="7" t="s">
        <v>1277</v>
      </c>
      <c r="C824" s="12">
        <v>7940</v>
      </c>
      <c r="D824" s="7" t="s">
        <v>1278</v>
      </c>
      <c r="E824" s="13" t="s">
        <v>842</v>
      </c>
      <c r="F824" t="str">
        <f t="shared" si="60"/>
        <v>Pipers</v>
      </c>
      <c r="G824" t="str">
        <f t="shared" si="61"/>
        <v>Pipers7940San Antonio</v>
      </c>
      <c r="H824" t="s">
        <v>31682</v>
      </c>
      <c r="I824" t="s">
        <v>23114</v>
      </c>
      <c r="J824" t="str">
        <f t="shared" si="62"/>
        <v>E:\PropInv\MF</v>
      </c>
      <c r="K824" s="103" t="str">
        <f>HYPERLINK("E:\PropInv\MF\San Antonio\Pipers Creek_7940_Hillstone Creek_San Antonio_00953","Pipers Creek_7940_Hillstone Creek_San Antonio_00953" )</f>
        <v>Pipers Creek_7940_Hillstone Creek_San Antonio_00953</v>
      </c>
      <c r="L824" s="104" t="s">
        <v>22253</v>
      </c>
      <c r="M824" s="103" t="str">
        <f t="shared" si="63"/>
        <v>http://oconnordata.com/mlink/modules/profile/index.cfm?action=profile&amp;prop_id=953</v>
      </c>
      <c r="N824" s="1" t="str">
        <f t="shared" si="64"/>
        <v>00953</v>
      </c>
    </row>
    <row r="825" spans="1:14" x14ac:dyDescent="0.3">
      <c r="A825" s="1">
        <v>954</v>
      </c>
      <c r="B825" s="7" t="s">
        <v>1114</v>
      </c>
      <c r="C825" s="12">
        <v>7750</v>
      </c>
      <c r="D825" s="7" t="s">
        <v>1279</v>
      </c>
      <c r="E825" s="13" t="s">
        <v>842</v>
      </c>
      <c r="F825" t="str">
        <f t="shared" si="60"/>
        <v>Pipers</v>
      </c>
      <c r="G825" t="str">
        <f t="shared" si="61"/>
        <v>Pipers7750San Antonio</v>
      </c>
      <c r="H825" t="s">
        <v>31683</v>
      </c>
      <c r="I825" t="s">
        <v>23115</v>
      </c>
      <c r="J825" t="str">
        <f t="shared" si="62"/>
        <v>E:\PropInv\MF</v>
      </c>
      <c r="K825" s="103" t="str">
        <f>HYPERLINK("E:\PropInv\MF\San Antonio\Pipers Ln_7750_Pipers Square_San Antonio_00954","Pipers Ln_7750_Pipers Square_San Antonio_00954" )</f>
        <v>Pipers Ln_7750_Pipers Square_San Antonio_00954</v>
      </c>
      <c r="L825" s="104" t="s">
        <v>22253</v>
      </c>
      <c r="M825" s="103" t="str">
        <f t="shared" si="63"/>
        <v>http://oconnordata.com/mlink/modules/profile/index.cfm?action=profile&amp;prop_id=954</v>
      </c>
      <c r="N825" s="1" t="str">
        <f t="shared" si="64"/>
        <v>00954</v>
      </c>
    </row>
    <row r="826" spans="1:14" x14ac:dyDescent="0.3">
      <c r="A826" s="1">
        <v>955</v>
      </c>
      <c r="B826" s="7" t="s">
        <v>1280</v>
      </c>
      <c r="C826" s="12">
        <v>5903</v>
      </c>
      <c r="D826" s="7" t="s">
        <v>1281</v>
      </c>
      <c r="E826" s="13" t="s">
        <v>842</v>
      </c>
      <c r="F826" t="str">
        <f t="shared" si="60"/>
        <v>Eckhert</v>
      </c>
      <c r="G826" t="str">
        <f t="shared" si="61"/>
        <v>Eckhert5903San Antonio</v>
      </c>
      <c r="H826" t="s">
        <v>31684</v>
      </c>
      <c r="I826" t="s">
        <v>23116</v>
      </c>
      <c r="J826" t="str">
        <f t="shared" si="62"/>
        <v>E:\PropInv\MF</v>
      </c>
      <c r="K826" s="103" t="str">
        <f>HYPERLINK("E:\PropInv\MF\San Antonio\Eckhert Blvd_5903_Plaza de Ville_San Antonio_00955","Eckhert Blvd_5903_Plaza de Ville_San Antonio_00955" )</f>
        <v>Eckhert Blvd_5903_Plaza de Ville_San Antonio_00955</v>
      </c>
      <c r="L826" s="104" t="s">
        <v>22253</v>
      </c>
      <c r="M826" s="103" t="str">
        <f t="shared" si="63"/>
        <v>http://oconnordata.com/mlink/modules/profile/index.cfm?action=profile&amp;prop_id=955</v>
      </c>
      <c r="N826" s="1" t="str">
        <f t="shared" si="64"/>
        <v>00955</v>
      </c>
    </row>
    <row r="827" spans="1:14" x14ac:dyDescent="0.3">
      <c r="A827" s="1">
        <v>956</v>
      </c>
      <c r="B827" s="7" t="s">
        <v>1070</v>
      </c>
      <c r="C827" s="12">
        <v>20211</v>
      </c>
      <c r="D827" s="7" t="s">
        <v>1282</v>
      </c>
      <c r="E827" s="13" t="s">
        <v>842</v>
      </c>
      <c r="F827" t="str">
        <f t="shared" si="60"/>
        <v>Huebner</v>
      </c>
      <c r="G827" t="str">
        <f t="shared" si="61"/>
        <v>Huebner20211San Antonio</v>
      </c>
      <c r="H827" t="s">
        <v>31685</v>
      </c>
      <c r="I827" t="s">
        <v>23117</v>
      </c>
      <c r="J827" t="str">
        <f t="shared" si="62"/>
        <v>E:\PropInv\MF</v>
      </c>
      <c r="K827" s="103" t="str">
        <f>HYPERLINK("E:\PropInv\MF\San Antonio\Huebner Rd_20211_Villas at Sonterra_San Antonio_00956","Huebner Rd_20211_Villas at Sonterra_San Antonio_00956" )</f>
        <v>Huebner Rd_20211_Villas at Sonterra_San Antonio_00956</v>
      </c>
      <c r="L827" s="104" t="s">
        <v>22253</v>
      </c>
      <c r="M827" s="103" t="str">
        <f t="shared" si="63"/>
        <v>http://oconnordata.com/mlink/modules/profile/index.cfm?action=profile&amp;prop_id=956</v>
      </c>
      <c r="N827" s="1" t="str">
        <f t="shared" si="64"/>
        <v>00956</v>
      </c>
    </row>
    <row r="828" spans="1:14" x14ac:dyDescent="0.3">
      <c r="A828" s="1">
        <v>957</v>
      </c>
      <c r="B828" s="7" t="s">
        <v>1283</v>
      </c>
      <c r="C828" s="12">
        <v>3735</v>
      </c>
      <c r="D828" s="7" t="s">
        <v>1284</v>
      </c>
      <c r="E828" s="13" t="s">
        <v>842</v>
      </c>
      <c r="F828" t="str">
        <f t="shared" si="60"/>
        <v>Pleasanton</v>
      </c>
      <c r="G828" t="str">
        <f t="shared" si="61"/>
        <v>Pleasanton3735San Antonio</v>
      </c>
      <c r="H828" t="s">
        <v>31686</v>
      </c>
      <c r="I828" t="s">
        <v>23118</v>
      </c>
      <c r="J828" t="str">
        <f t="shared" si="62"/>
        <v>E:\PropInv\MF</v>
      </c>
      <c r="K828" s="103" t="str">
        <f>HYPERLINK("E:\PropInv\MF\San Antonio\Pleasanton Rd_3735_Mandalay Villa_San Antonio_00957","Pleasanton Rd_3735_Mandalay Villa_San Antonio_00957" )</f>
        <v>Pleasanton Rd_3735_Mandalay Villa_San Antonio_00957</v>
      </c>
      <c r="L828" s="104" t="s">
        <v>22253</v>
      </c>
      <c r="M828" s="103" t="str">
        <f t="shared" si="63"/>
        <v>http://oconnordata.com/mlink/modules/profile/index.cfm?action=profile&amp;prop_id=957</v>
      </c>
      <c r="N828" s="1" t="str">
        <f t="shared" si="64"/>
        <v>00957</v>
      </c>
    </row>
    <row r="829" spans="1:14" x14ac:dyDescent="0.3">
      <c r="A829" s="1">
        <v>958</v>
      </c>
      <c r="B829" s="7" t="s">
        <v>1285</v>
      </c>
      <c r="C829" s="12">
        <v>247</v>
      </c>
      <c r="D829" s="7" t="s">
        <v>1286</v>
      </c>
      <c r="E829" s="13" t="s">
        <v>842</v>
      </c>
      <c r="F829" t="str">
        <f t="shared" si="60"/>
        <v>Dickson</v>
      </c>
      <c r="G829" t="str">
        <f t="shared" si="61"/>
        <v>Dickson247San Antonio</v>
      </c>
      <c r="H829" t="s">
        <v>31687</v>
      </c>
      <c r="I829" t="s">
        <v>23119</v>
      </c>
      <c r="J829" t="str">
        <f t="shared" si="62"/>
        <v>E:\PropInv\MF</v>
      </c>
      <c r="K829" s="103" t="str">
        <f>HYPERLINK("E:\PropInv\MF\San Antonio\Dickson W_247_Pollyanna_San Antonio_00958","Dickson W_247_Pollyanna_San Antonio_00958" )</f>
        <v>Dickson W_247_Pollyanna_San Antonio_00958</v>
      </c>
      <c r="L829" s="104" t="s">
        <v>22253</v>
      </c>
      <c r="M829" s="103" t="str">
        <f t="shared" si="63"/>
        <v>http://oconnordata.com/mlink/modules/profile/index.cfm?action=profile&amp;prop_id=958</v>
      </c>
      <c r="N829" s="1" t="str">
        <f t="shared" si="64"/>
        <v>00958</v>
      </c>
    </row>
    <row r="830" spans="1:14" x14ac:dyDescent="0.3">
      <c r="A830" s="1">
        <v>959</v>
      </c>
      <c r="B830" s="7" t="s">
        <v>1051</v>
      </c>
      <c r="C830" s="12">
        <v>2222</v>
      </c>
      <c r="D830" s="7" t="s">
        <v>1287</v>
      </c>
      <c r="E830" s="13" t="s">
        <v>842</v>
      </c>
      <c r="F830" t="str">
        <f t="shared" si="60"/>
        <v>Vance</v>
      </c>
      <c r="G830" t="str">
        <f t="shared" si="61"/>
        <v>Vance2222San Antonio</v>
      </c>
      <c r="H830" t="s">
        <v>31688</v>
      </c>
      <c r="I830" t="s">
        <v>23120</v>
      </c>
      <c r="J830" t="str">
        <f t="shared" si="62"/>
        <v>E:\PropInv\MF</v>
      </c>
      <c r="K830" s="103" t="str">
        <f>HYPERLINK("E:\PropInv\MF\San Antonio\Vance Jackson Rd_2222_Ponderosa_San Antonio_00959","Vance Jackson Rd_2222_Ponderosa_San Antonio_00959" )</f>
        <v>Vance Jackson Rd_2222_Ponderosa_San Antonio_00959</v>
      </c>
      <c r="L830" s="104" t="s">
        <v>22253</v>
      </c>
      <c r="M830" s="103" t="str">
        <f t="shared" si="63"/>
        <v>http://oconnordata.com/mlink/modules/profile/index.cfm?action=profile&amp;prop_id=959</v>
      </c>
      <c r="N830" s="1" t="str">
        <f t="shared" si="64"/>
        <v>00959</v>
      </c>
    </row>
    <row r="831" spans="1:14" x14ac:dyDescent="0.3">
      <c r="A831" s="1">
        <v>960</v>
      </c>
      <c r="B831" s="7" t="s">
        <v>1288</v>
      </c>
      <c r="C831" s="12">
        <v>9603</v>
      </c>
      <c r="D831" s="7" t="s">
        <v>1289</v>
      </c>
      <c r="E831" s="13" t="s">
        <v>842</v>
      </c>
      <c r="F831" t="str">
        <f t="shared" si="60"/>
        <v>Powhatan</v>
      </c>
      <c r="G831" t="str">
        <f t="shared" si="61"/>
        <v>Powhatan9603San Antonio</v>
      </c>
      <c r="H831" t="s">
        <v>31689</v>
      </c>
      <c r="I831" t="s">
        <v>23121</v>
      </c>
      <c r="J831" t="str">
        <f t="shared" si="62"/>
        <v>E:\PropInv\MF</v>
      </c>
      <c r="K831" s="103" t="str">
        <f>HYPERLINK("E:\PropInv\MF\San Antonio\Powhatan_9603_Oak Terrace_San Antonio_00960","Powhatan_9603_Oak Terrace_San Antonio_00960" )</f>
        <v>Powhatan_9603_Oak Terrace_San Antonio_00960</v>
      </c>
      <c r="L831" s="104" t="s">
        <v>22253</v>
      </c>
      <c r="M831" s="103" t="str">
        <f t="shared" si="63"/>
        <v>http://oconnordata.com/mlink/modules/profile/index.cfm?action=profile&amp;prop_id=960</v>
      </c>
      <c r="N831" s="1" t="str">
        <f t="shared" si="64"/>
        <v>00960</v>
      </c>
    </row>
    <row r="832" spans="1:14" x14ac:dyDescent="0.3">
      <c r="A832" s="1">
        <v>961</v>
      </c>
      <c r="B832" s="7" t="s">
        <v>1182</v>
      </c>
      <c r="C832" s="12">
        <v>4114</v>
      </c>
      <c r="D832" s="7" t="s">
        <v>1290</v>
      </c>
      <c r="E832" s="13" t="s">
        <v>842</v>
      </c>
      <c r="F832" t="str">
        <f t="shared" si="60"/>
        <v>Medical</v>
      </c>
      <c r="G832" t="str">
        <f t="shared" si="61"/>
        <v>Medical4114San Antonio</v>
      </c>
      <c r="H832" t="s">
        <v>31690</v>
      </c>
      <c r="I832" t="s">
        <v>23122</v>
      </c>
      <c r="J832" t="str">
        <f t="shared" si="62"/>
        <v>E:\PropInv\MF</v>
      </c>
      <c r="K832" s="103" t="str">
        <f>HYPERLINK("E:\PropInv\MF\San Antonio\Medical Dr_4114_Promontory Pointe_San Antonio_00961","Medical Dr_4114_Promontory Pointe_San Antonio_00961" )</f>
        <v>Medical Dr_4114_Promontory Pointe_San Antonio_00961</v>
      </c>
      <c r="L832" s="104" t="s">
        <v>22253</v>
      </c>
      <c r="M832" s="103" t="str">
        <f t="shared" si="63"/>
        <v>http://oconnordata.com/mlink/modules/profile/index.cfm?action=profile&amp;prop_id=961</v>
      </c>
      <c r="N832" s="1" t="str">
        <f t="shared" si="64"/>
        <v>00961</v>
      </c>
    </row>
    <row r="833" spans="1:14" x14ac:dyDescent="0.3">
      <c r="A833" s="1">
        <v>962</v>
      </c>
      <c r="B833" s="7" t="s">
        <v>1291</v>
      </c>
      <c r="C833" s="12">
        <v>8438</v>
      </c>
      <c r="D833" s="7" t="s">
        <v>1292</v>
      </c>
      <c r="E833" s="13" t="s">
        <v>842</v>
      </c>
      <c r="F833" t="str">
        <f t="shared" si="60"/>
        <v>Quail</v>
      </c>
      <c r="G833" t="str">
        <f t="shared" si="61"/>
        <v>Quail8438San Antonio</v>
      </c>
      <c r="H833" t="s">
        <v>31691</v>
      </c>
      <c r="I833" t="s">
        <v>23123</v>
      </c>
      <c r="J833" t="str">
        <f t="shared" si="62"/>
        <v>E:\PropInv\MF</v>
      </c>
      <c r="K833" s="103" t="str">
        <f>HYPERLINK("E:\PropInv\MF\San Antonio\Quail Creek Dr_8438_Silver Ridge_San Antonio_00962","Quail Creek Dr_8438_Silver Ridge_San Antonio_00962" )</f>
        <v>Quail Creek Dr_8438_Silver Ridge_San Antonio_00962</v>
      </c>
      <c r="L833" s="104" t="s">
        <v>22253</v>
      </c>
      <c r="M833" s="103" t="str">
        <f t="shared" si="63"/>
        <v>http://oconnordata.com/mlink/modules/profile/index.cfm?action=profile&amp;prop_id=962</v>
      </c>
      <c r="N833" s="1" t="str">
        <f t="shared" si="64"/>
        <v>00962</v>
      </c>
    </row>
    <row r="834" spans="1:14" x14ac:dyDescent="0.3">
      <c r="A834" s="1">
        <v>963</v>
      </c>
      <c r="B834" s="7" t="s">
        <v>1293</v>
      </c>
      <c r="C834" s="12">
        <v>609</v>
      </c>
      <c r="D834" s="7" t="s">
        <v>1294</v>
      </c>
      <c r="E834" s="13" t="s">
        <v>842</v>
      </c>
      <c r="F834" t="str">
        <f t="shared" ref="F834:F897" si="65">IFERROR(LEFT(B834,FIND(" ",B834)-1),B834)</f>
        <v>Tarasco</v>
      </c>
      <c r="G834" t="str">
        <f t="shared" ref="G834:G897" si="66">F834&amp;C834&amp;E834</f>
        <v>Tarasco609San Antonio</v>
      </c>
      <c r="H834" t="s">
        <v>31692</v>
      </c>
      <c r="I834" t="s">
        <v>23124</v>
      </c>
      <c r="J834" t="str">
        <f t="shared" ref="J834:J897" si="67">IF(L834="TX",Folder_Path,Folder_Path&amp;"\State_"&amp;L834)</f>
        <v>E:\PropInv\MF</v>
      </c>
      <c r="K834" s="103" t="str">
        <f>HYPERLINK("E:\PropInv\MF\San Antonio\Tarasco_609_Rainbow Hills Duplexes_San Antonio_00963","Tarasco_609_Rainbow Hills Duplexes_San Antonio_00963" )</f>
        <v>Tarasco_609_Rainbow Hills Duplexes_San Antonio_00963</v>
      </c>
      <c r="L834" s="104" t="s">
        <v>22253</v>
      </c>
      <c r="M834" s="103" t="str">
        <f t="shared" ref="M834:M897" si="68">HYPERLINK("http://oconnordata.com/mlink/modules/profile/index.cfm?action=profile&amp;prop_id="&amp;A834)</f>
        <v>http://oconnordata.com/mlink/modules/profile/index.cfm?action=profile&amp;prop_id=963</v>
      </c>
      <c r="N834" s="1" t="str">
        <f t="shared" ref="N834:N897" si="69">IF(LEN(A834)=1,"0000"&amp;A834,IF(LEN(A834)=2,"000"&amp;A834,IF(LEN(A834)=3,"00"&amp;A834,IF(LEN(A834)=4,"0"&amp;A834,IF(LEN(A834)=5,IF(LEFT(A834,1)="3",A834+30000,A834))))))</f>
        <v>00963</v>
      </c>
    </row>
    <row r="835" spans="1:14" x14ac:dyDescent="0.3">
      <c r="A835" s="1">
        <v>964</v>
      </c>
      <c r="B835" s="7" t="s">
        <v>1234</v>
      </c>
      <c r="C835" s="12">
        <v>2400</v>
      </c>
      <c r="D835" s="7" t="s">
        <v>1295</v>
      </c>
      <c r="E835" s="13" t="s">
        <v>842</v>
      </c>
      <c r="F835" t="str">
        <f t="shared" si="65"/>
        <v>Oakhill</v>
      </c>
      <c r="G835" t="str">
        <f t="shared" si="66"/>
        <v>Oakhill2400San Antonio</v>
      </c>
      <c r="H835" t="s">
        <v>31693</v>
      </c>
      <c r="I835" t="s">
        <v>23125</v>
      </c>
      <c r="J835" t="str">
        <f t="shared" si="67"/>
        <v>E:\PropInv\MF</v>
      </c>
      <c r="K835" s="103" t="str">
        <f>HYPERLINK("E:\PropInv\MF\San Antonio\Oakhill Rd_2400_Ingram Ranch_San Antonio_00964","Oakhill Rd_2400_Ingram Ranch_San Antonio_00964" )</f>
        <v>Oakhill Rd_2400_Ingram Ranch_San Antonio_00964</v>
      </c>
      <c r="L835" s="104" t="s">
        <v>22253</v>
      </c>
      <c r="M835" s="103" t="str">
        <f t="shared" si="68"/>
        <v>http://oconnordata.com/mlink/modules/profile/index.cfm?action=profile&amp;prop_id=964</v>
      </c>
      <c r="N835" s="1" t="str">
        <f t="shared" si="69"/>
        <v>00964</v>
      </c>
    </row>
    <row r="836" spans="1:14" x14ac:dyDescent="0.3">
      <c r="A836" s="1">
        <v>965</v>
      </c>
      <c r="B836" s="7" t="s">
        <v>1296</v>
      </c>
      <c r="C836" s="12">
        <v>123</v>
      </c>
      <c r="D836" s="7" t="s">
        <v>1297</v>
      </c>
      <c r="E836" s="13" t="s">
        <v>842</v>
      </c>
      <c r="F836" t="str">
        <f t="shared" si="65"/>
        <v>Rampart</v>
      </c>
      <c r="G836" t="str">
        <f t="shared" si="66"/>
        <v>Rampart123San Antonio</v>
      </c>
      <c r="H836" t="s">
        <v>31694</v>
      </c>
      <c r="I836" t="s">
        <v>23126</v>
      </c>
      <c r="J836" t="str">
        <f t="shared" si="67"/>
        <v>E:\PropInv\MF</v>
      </c>
      <c r="K836" s="103" t="str">
        <f>HYPERLINK("E:\PropInv\MF\San Antonio\Rampart E_123_Rampart House_San Antonio_00965","Rampart E_123_Rampart House_San Antonio_00965" )</f>
        <v>Rampart E_123_Rampart House_San Antonio_00965</v>
      </c>
      <c r="L836" s="104" t="s">
        <v>22253</v>
      </c>
      <c r="M836" s="103" t="str">
        <f t="shared" si="68"/>
        <v>http://oconnordata.com/mlink/modules/profile/index.cfm?action=profile&amp;prop_id=965</v>
      </c>
      <c r="N836" s="1" t="str">
        <f t="shared" si="69"/>
        <v>00965</v>
      </c>
    </row>
    <row r="837" spans="1:14" x14ac:dyDescent="0.3">
      <c r="A837" s="1">
        <v>966</v>
      </c>
      <c r="B837" s="7" t="s">
        <v>993</v>
      </c>
      <c r="C837" s="12">
        <v>5903</v>
      </c>
      <c r="D837" s="7" t="s">
        <v>1298</v>
      </c>
      <c r="E837" s="13" t="s">
        <v>842</v>
      </c>
      <c r="F837" t="str">
        <f t="shared" si="65"/>
        <v>Danny</v>
      </c>
      <c r="G837" t="str">
        <f t="shared" si="66"/>
        <v>Danny5903San Antonio</v>
      </c>
      <c r="H837" t="s">
        <v>31695</v>
      </c>
      <c r="I837" t="s">
        <v>23127</v>
      </c>
      <c r="J837" t="str">
        <f t="shared" si="67"/>
        <v>E:\PropInv\MF</v>
      </c>
      <c r="K837" s="103" t="str">
        <f>HYPERLINK("E:\PropInv\MF\San Antonio\Danny Kaye_5903_Seven Oaks_San Antonio_00966","Danny Kaye_5903_Seven Oaks_San Antonio_00966" )</f>
        <v>Danny Kaye_5903_Seven Oaks_San Antonio_00966</v>
      </c>
      <c r="L837" s="104" t="s">
        <v>22253</v>
      </c>
      <c r="M837" s="103" t="str">
        <f t="shared" si="68"/>
        <v>http://oconnordata.com/mlink/modules/profile/index.cfm?action=profile&amp;prop_id=966</v>
      </c>
      <c r="N837" s="1" t="str">
        <f t="shared" si="69"/>
        <v>00966</v>
      </c>
    </row>
    <row r="838" spans="1:14" x14ac:dyDescent="0.3">
      <c r="A838" s="1">
        <v>967</v>
      </c>
      <c r="B838" s="7" t="s">
        <v>1299</v>
      </c>
      <c r="C838" s="12">
        <v>1009</v>
      </c>
      <c r="D838" s="7" t="s">
        <v>1300</v>
      </c>
      <c r="E838" s="13" t="s">
        <v>864</v>
      </c>
      <c r="F838" t="str">
        <f t="shared" si="65"/>
        <v>Pat</v>
      </c>
      <c r="G838" t="str">
        <f t="shared" si="66"/>
        <v>Pat1009Universal City</v>
      </c>
      <c r="H838" t="s">
        <v>31696</v>
      </c>
      <c r="I838" t="s">
        <v>23128</v>
      </c>
      <c r="J838" t="str">
        <f t="shared" si="67"/>
        <v>E:\PropInv\MF</v>
      </c>
      <c r="K838" s="103" t="str">
        <f>HYPERLINK("E:\PropInv\MF\Universal City\Pat Booker Rd_1009_Randolph Plaza_Universal City_00967","Pat Booker Rd_1009_Randolph Plaza_Universal City_00967" )</f>
        <v>Pat Booker Rd_1009_Randolph Plaza_Universal City_00967</v>
      </c>
      <c r="L838" s="104" t="s">
        <v>22253</v>
      </c>
      <c r="M838" s="103" t="str">
        <f t="shared" si="68"/>
        <v>http://oconnordata.com/mlink/modules/profile/index.cfm?action=profile&amp;prop_id=967</v>
      </c>
      <c r="N838" s="1" t="str">
        <f t="shared" si="69"/>
        <v>00967</v>
      </c>
    </row>
    <row r="839" spans="1:14" x14ac:dyDescent="0.3">
      <c r="A839" s="1">
        <v>968</v>
      </c>
      <c r="B839" s="7" t="s">
        <v>1301</v>
      </c>
      <c r="C839" s="12">
        <v>12635</v>
      </c>
      <c r="D839" s="7" t="s">
        <v>229</v>
      </c>
      <c r="E839" s="13" t="s">
        <v>842</v>
      </c>
      <c r="F839" t="str">
        <f t="shared" si="65"/>
        <v>Scarsdale</v>
      </c>
      <c r="G839" t="str">
        <f t="shared" si="66"/>
        <v>Scarsdale12635San Antonio</v>
      </c>
      <c r="H839" t="s">
        <v>31697</v>
      </c>
      <c r="I839" t="s">
        <v>23129</v>
      </c>
      <c r="J839" t="str">
        <f t="shared" si="67"/>
        <v>E:\PropInv\MF</v>
      </c>
      <c r="K839" s="103" t="str">
        <f>HYPERLINK("E:\PropInv\MF\San Antonio\Scarsdale Dr_12635_Regatta_San Antonio_00968","Scarsdale Dr_12635_Regatta_San Antonio_00968" )</f>
        <v>Scarsdale Dr_12635_Regatta_San Antonio_00968</v>
      </c>
      <c r="L839" s="104" t="s">
        <v>22253</v>
      </c>
      <c r="M839" s="103" t="str">
        <f t="shared" si="68"/>
        <v>http://oconnordata.com/mlink/modules/profile/index.cfm?action=profile&amp;prop_id=968</v>
      </c>
      <c r="N839" s="1" t="str">
        <f t="shared" si="69"/>
        <v>00968</v>
      </c>
    </row>
    <row r="840" spans="1:14" x14ac:dyDescent="0.3">
      <c r="A840" s="97">
        <v>969</v>
      </c>
      <c r="B840" s="7" t="s">
        <v>845</v>
      </c>
      <c r="C840" s="12">
        <v>10362</v>
      </c>
      <c r="D840" s="7" t="s">
        <v>465</v>
      </c>
      <c r="E840" s="13" t="s">
        <v>842</v>
      </c>
      <c r="F840" t="str">
        <f t="shared" si="65"/>
        <v>Sahara</v>
      </c>
      <c r="G840" t="str">
        <f t="shared" si="66"/>
        <v>Sahara10362San Antonio</v>
      </c>
      <c r="H840" t="s">
        <v>31698</v>
      </c>
      <c r="I840" t="s">
        <v>23130</v>
      </c>
      <c r="J840" t="str">
        <f t="shared" si="67"/>
        <v>E:\PropInv\MF</v>
      </c>
      <c r="K840" s="103" t="str">
        <f>HYPERLINK("E:\PropInv\MF\San Antonio\Sahara Dr_10362_Woodhollow_San Antonio_00969","Sahara Dr_10362_Woodhollow_San Antonio_00969" )</f>
        <v>Sahara Dr_10362_Woodhollow_San Antonio_00969</v>
      </c>
      <c r="L840" s="104" t="s">
        <v>22253</v>
      </c>
      <c r="M840" s="103" t="str">
        <f t="shared" si="68"/>
        <v>http://oconnordata.com/mlink/modules/profile/index.cfm?action=profile&amp;prop_id=969</v>
      </c>
      <c r="N840" s="1" t="str">
        <f t="shared" si="69"/>
        <v>00969</v>
      </c>
    </row>
    <row r="841" spans="1:14" x14ac:dyDescent="0.3">
      <c r="A841" s="1">
        <v>970</v>
      </c>
      <c r="B841" s="7" t="s">
        <v>879</v>
      </c>
      <c r="C841" s="12">
        <v>1570</v>
      </c>
      <c r="D841" s="7" t="s">
        <v>1302</v>
      </c>
      <c r="E841" s="13" t="s">
        <v>842</v>
      </c>
      <c r="F841" t="str">
        <f t="shared" si="65"/>
        <v>Thousand</v>
      </c>
      <c r="G841" t="str">
        <f t="shared" si="66"/>
        <v>Thousand1570San Antonio</v>
      </c>
      <c r="H841" t="s">
        <v>31699</v>
      </c>
      <c r="I841" t="s">
        <v>23131</v>
      </c>
      <c r="J841" t="str">
        <f t="shared" si="67"/>
        <v>E:\PropInv\MF</v>
      </c>
      <c r="K841" s="103" t="str">
        <f>HYPERLINK("E:\PropInv\MF\San Antonio\Thousand Oaks Dr_1570_The Remington_San Antonio_00970","Thousand Oaks Dr_1570_The Remington_San Antonio_00970" )</f>
        <v>Thousand Oaks Dr_1570_The Remington_San Antonio_00970</v>
      </c>
      <c r="L841" s="104" t="s">
        <v>22253</v>
      </c>
      <c r="M841" s="103" t="str">
        <f t="shared" si="68"/>
        <v>http://oconnordata.com/mlink/modules/profile/index.cfm?action=profile&amp;prop_id=970</v>
      </c>
      <c r="N841" s="1" t="str">
        <f t="shared" si="69"/>
        <v>00970</v>
      </c>
    </row>
    <row r="842" spans="1:14" x14ac:dyDescent="0.3">
      <c r="A842" s="1">
        <v>971</v>
      </c>
      <c r="B842" s="7" t="s">
        <v>1303</v>
      </c>
      <c r="C842" s="12">
        <v>7135</v>
      </c>
      <c r="D842" s="7" t="s">
        <v>1304</v>
      </c>
      <c r="E842" s="13" t="s">
        <v>842</v>
      </c>
      <c r="F842" t="str">
        <f t="shared" si="65"/>
        <v>Oaklawn</v>
      </c>
      <c r="G842" t="str">
        <f t="shared" si="66"/>
        <v>Oaklawn7135San Antonio</v>
      </c>
      <c r="H842" t="s">
        <v>31700</v>
      </c>
      <c r="I842" t="s">
        <v>23132</v>
      </c>
      <c r="J842" t="str">
        <f t="shared" si="67"/>
        <v>E:\PropInv\MF</v>
      </c>
      <c r="K842" s="103" t="str">
        <f>HYPERLINK("E:\PropInv\MF\San Antonio\Oaklawn Dr_7135_Oaklawn_San Antonio_00971","Oaklawn Dr_7135_Oaklawn_San Antonio_00971" )</f>
        <v>Oaklawn Dr_7135_Oaklawn_San Antonio_00971</v>
      </c>
      <c r="L842" s="104" t="s">
        <v>22253</v>
      </c>
      <c r="M842" s="103" t="str">
        <f t="shared" si="68"/>
        <v>http://oconnordata.com/mlink/modules/profile/index.cfm?action=profile&amp;prop_id=971</v>
      </c>
      <c r="N842" s="1" t="str">
        <f t="shared" si="69"/>
        <v>00971</v>
      </c>
    </row>
    <row r="843" spans="1:14" x14ac:dyDescent="0.3">
      <c r="A843" s="1">
        <v>972</v>
      </c>
      <c r="B843" s="7" t="s">
        <v>1305</v>
      </c>
      <c r="C843" s="12">
        <v>7791</v>
      </c>
      <c r="D843" s="7" t="s">
        <v>1306</v>
      </c>
      <c r="E843" s="13" t="s">
        <v>842</v>
      </c>
      <c r="F843" t="str">
        <f t="shared" si="65"/>
        <v>Woodchase</v>
      </c>
      <c r="G843" t="str">
        <f t="shared" si="66"/>
        <v>Woodchase7791San Antonio</v>
      </c>
      <c r="H843" t="s">
        <v>31701</v>
      </c>
      <c r="I843" t="s">
        <v>23133</v>
      </c>
      <c r="J843" t="str">
        <f t="shared" si="67"/>
        <v>E:\PropInv\MF</v>
      </c>
      <c r="K843" s="103" t="str">
        <f>HYPERLINK("E:\PropInv\MF\San Antonio\Woodchase Dr_7791_Richland Trace_San Antonio_00972","Woodchase Dr_7791_Richland Trace_San Antonio_00972" )</f>
        <v>Woodchase Dr_7791_Richland Trace_San Antonio_00972</v>
      </c>
      <c r="L843" s="104" t="s">
        <v>22253</v>
      </c>
      <c r="M843" s="103" t="str">
        <f t="shared" si="68"/>
        <v>http://oconnordata.com/mlink/modules/profile/index.cfm?action=profile&amp;prop_id=972</v>
      </c>
      <c r="N843" s="1" t="str">
        <f t="shared" si="69"/>
        <v>00972</v>
      </c>
    </row>
    <row r="844" spans="1:14" x14ac:dyDescent="0.3">
      <c r="A844" s="1">
        <v>973</v>
      </c>
      <c r="B844" s="7" t="s">
        <v>934</v>
      </c>
      <c r="C844" s="12">
        <v>2929</v>
      </c>
      <c r="D844" s="7" t="s">
        <v>1307</v>
      </c>
      <c r="E844" s="13" t="s">
        <v>842</v>
      </c>
      <c r="F844" t="str">
        <f t="shared" si="65"/>
        <v>Rigsby</v>
      </c>
      <c r="G844" t="str">
        <f t="shared" si="66"/>
        <v>Rigsby2929San Antonio</v>
      </c>
      <c r="H844" t="s">
        <v>31702</v>
      </c>
      <c r="I844" t="s">
        <v>23134</v>
      </c>
      <c r="J844" t="str">
        <f t="shared" si="67"/>
        <v>E:\PropInv\MF</v>
      </c>
      <c r="K844" s="103" t="str">
        <f>HYPERLINK("E:\PropInv\MF\San Antonio\Rigsby Ave_2929_Oak Meadow Villas_San Antonio_00973","Rigsby Ave_2929_Oak Meadow Villas_San Antonio_00973" )</f>
        <v>Rigsby Ave_2929_Oak Meadow Villas_San Antonio_00973</v>
      </c>
      <c r="L844" s="104" t="s">
        <v>22253</v>
      </c>
      <c r="M844" s="103" t="str">
        <f t="shared" si="68"/>
        <v>http://oconnordata.com/mlink/modules/profile/index.cfm?action=profile&amp;prop_id=973</v>
      </c>
      <c r="N844" s="1" t="str">
        <f t="shared" si="69"/>
        <v>00973</v>
      </c>
    </row>
    <row r="845" spans="1:14" x14ac:dyDescent="0.3">
      <c r="A845" s="1">
        <v>974</v>
      </c>
      <c r="B845" s="7" t="s">
        <v>1308</v>
      </c>
      <c r="C845" s="12">
        <v>1350</v>
      </c>
      <c r="D845" s="7" t="s">
        <v>1309</v>
      </c>
      <c r="E845" s="13" t="s">
        <v>1138</v>
      </c>
      <c r="F845" t="str">
        <f t="shared" si="65"/>
        <v>Bandera</v>
      </c>
      <c r="G845" t="str">
        <f t="shared" si="66"/>
        <v>Bandera1350Kerrville</v>
      </c>
      <c r="H845" t="s">
        <v>31703</v>
      </c>
      <c r="I845" t="s">
        <v>23135</v>
      </c>
      <c r="J845" t="str">
        <f t="shared" si="67"/>
        <v>E:\PropInv\MF</v>
      </c>
      <c r="K845" s="103" t="str">
        <f>HYPERLINK("E:\PropInv\MF\Kerrville\Bandera Hwy_1350_River Hills_Kerrville_00974","Bandera Hwy_1350_River Hills_Kerrville_00974" )</f>
        <v>Bandera Hwy_1350_River Hills_Kerrville_00974</v>
      </c>
      <c r="L845" s="104" t="s">
        <v>22253</v>
      </c>
      <c r="M845" s="103" t="str">
        <f t="shared" si="68"/>
        <v>http://oconnordata.com/mlink/modules/profile/index.cfm?action=profile&amp;prop_id=974</v>
      </c>
      <c r="N845" s="1" t="str">
        <f t="shared" si="69"/>
        <v>00974</v>
      </c>
    </row>
    <row r="846" spans="1:14" x14ac:dyDescent="0.3">
      <c r="A846" s="1">
        <v>975</v>
      </c>
      <c r="B846" s="7" t="s">
        <v>1051</v>
      </c>
      <c r="C846" s="12">
        <v>11130</v>
      </c>
      <c r="D846" s="7" t="s">
        <v>1310</v>
      </c>
      <c r="E846" s="13" t="s">
        <v>842</v>
      </c>
      <c r="F846" t="str">
        <f t="shared" si="65"/>
        <v>Vance</v>
      </c>
      <c r="G846" t="str">
        <f t="shared" si="66"/>
        <v>Vance11130San Antonio</v>
      </c>
      <c r="H846" t="s">
        <v>31704</v>
      </c>
      <c r="I846" t="s">
        <v>23136</v>
      </c>
      <c r="J846" t="str">
        <f t="shared" si="67"/>
        <v>E:\PropInv\MF</v>
      </c>
      <c r="K846" s="103" t="str">
        <f>HYPERLINK("E:\PropInv\MF\San Antonio\Vance Jackson Rd_11130_Terrace at River Oaks II_San Antonio_00975","Vance Jackson Rd_11130_Terrace at River Oaks II_San Antonio_00975" )</f>
        <v>Vance Jackson Rd_11130_Terrace at River Oaks II_San Antonio_00975</v>
      </c>
      <c r="L846" s="104" t="s">
        <v>22253</v>
      </c>
      <c r="M846" s="103" t="str">
        <f t="shared" si="68"/>
        <v>http://oconnordata.com/mlink/modules/profile/index.cfm?action=profile&amp;prop_id=975</v>
      </c>
      <c r="N846" s="1" t="str">
        <f t="shared" si="69"/>
        <v>00975</v>
      </c>
    </row>
    <row r="847" spans="1:14" x14ac:dyDescent="0.3">
      <c r="A847" s="1">
        <v>976</v>
      </c>
      <c r="B847" s="7" t="s">
        <v>1311</v>
      </c>
      <c r="C847" s="12">
        <v>241</v>
      </c>
      <c r="D847" s="7" t="s">
        <v>1312</v>
      </c>
      <c r="E847" s="13" t="s">
        <v>912</v>
      </c>
      <c r="F847" t="str">
        <f t="shared" si="65"/>
        <v>Seville</v>
      </c>
      <c r="G847" t="str">
        <f t="shared" si="66"/>
        <v>Seville241New Braunfels</v>
      </c>
      <c r="H847" t="s">
        <v>31705</v>
      </c>
      <c r="I847" t="s">
        <v>23137</v>
      </c>
      <c r="J847" t="str">
        <f t="shared" si="67"/>
        <v>E:\PropInv\MF</v>
      </c>
      <c r="K847" s="103" t="str">
        <f>HYPERLINK("E:\PropInv\MF\New Braunfels\Seville Dr_241_River Park Apts_New Braunfels_00976","Seville Dr_241_River Park Apts_New Braunfels_00976" )</f>
        <v>Seville Dr_241_River Park Apts_New Braunfels_00976</v>
      </c>
      <c r="L847" s="104" t="s">
        <v>22253</v>
      </c>
      <c r="M847" s="103" t="str">
        <f t="shared" si="68"/>
        <v>http://oconnordata.com/mlink/modules/profile/index.cfm?action=profile&amp;prop_id=976</v>
      </c>
      <c r="N847" s="1" t="str">
        <f t="shared" si="69"/>
        <v>00976</v>
      </c>
    </row>
    <row r="848" spans="1:14" x14ac:dyDescent="0.3">
      <c r="A848" s="1">
        <v>977</v>
      </c>
      <c r="B848" s="7" t="s">
        <v>1095</v>
      </c>
      <c r="C848" s="12">
        <v>8711</v>
      </c>
      <c r="D848" s="7" t="s">
        <v>1313</v>
      </c>
      <c r="E848" s="13" t="s">
        <v>842</v>
      </c>
      <c r="F848" t="str">
        <f t="shared" si="65"/>
        <v>Cinnamon</v>
      </c>
      <c r="G848" t="str">
        <f t="shared" si="66"/>
        <v>Cinnamon8711San Antonio</v>
      </c>
      <c r="H848" t="s">
        <v>31706</v>
      </c>
      <c r="I848" t="s">
        <v>23138</v>
      </c>
      <c r="J848" t="str">
        <f t="shared" si="67"/>
        <v>E:\PropInv\MF</v>
      </c>
      <c r="K848" s="103" t="str">
        <f>HYPERLINK("E:\PropInv\MF\San Antonio\Cinnamon Creek Dr_8711_Riverstone_San Antonio_00977","Cinnamon Creek Dr_8711_Riverstone_San Antonio_00977" )</f>
        <v>Cinnamon Creek Dr_8711_Riverstone_San Antonio_00977</v>
      </c>
      <c r="L848" s="104" t="s">
        <v>22253</v>
      </c>
      <c r="M848" s="103" t="str">
        <f t="shared" si="68"/>
        <v>http://oconnordata.com/mlink/modules/profile/index.cfm?action=profile&amp;prop_id=977</v>
      </c>
      <c r="N848" s="1" t="str">
        <f t="shared" si="69"/>
        <v>00977</v>
      </c>
    </row>
    <row r="849" spans="1:14" x14ac:dyDescent="0.3">
      <c r="A849" s="1">
        <v>978</v>
      </c>
      <c r="B849" s="7" t="s">
        <v>1314</v>
      </c>
      <c r="C849" s="12">
        <v>2011</v>
      </c>
      <c r="D849" s="7" t="s">
        <v>1315</v>
      </c>
      <c r="E849" s="13" t="s">
        <v>842</v>
      </c>
      <c r="F849" t="str">
        <f t="shared" si="65"/>
        <v>Dollarhide</v>
      </c>
      <c r="G849" t="str">
        <f t="shared" si="66"/>
        <v>Dollarhide2011San Antonio</v>
      </c>
      <c r="H849" t="s">
        <v>31707</v>
      </c>
      <c r="I849" t="s">
        <v>23139</v>
      </c>
      <c r="J849" t="str">
        <f t="shared" si="67"/>
        <v>E:\PropInv\MF</v>
      </c>
      <c r="K849" s="103" t="str">
        <f>HYPERLINK("E:\PropInv\MF\San Antonio\Dollarhide_2011_Riviera_San Antonio_00978","Dollarhide_2011_Riviera_San Antonio_00978" )</f>
        <v>Dollarhide_2011_Riviera_San Antonio_00978</v>
      </c>
      <c r="L849" s="104" t="s">
        <v>22253</v>
      </c>
      <c r="M849" s="103" t="str">
        <f t="shared" si="68"/>
        <v>http://oconnordata.com/mlink/modules/profile/index.cfm?action=profile&amp;prop_id=978</v>
      </c>
      <c r="N849" s="1" t="str">
        <f t="shared" si="69"/>
        <v>00978</v>
      </c>
    </row>
    <row r="850" spans="1:14" x14ac:dyDescent="0.3">
      <c r="A850" s="1">
        <v>980</v>
      </c>
      <c r="B850" s="7" t="s">
        <v>1316</v>
      </c>
      <c r="C850" s="12">
        <v>3346</v>
      </c>
      <c r="D850" s="7" t="s">
        <v>1316</v>
      </c>
      <c r="E850" s="13" t="s">
        <v>842</v>
      </c>
      <c r="F850" t="str">
        <f t="shared" si="65"/>
        <v>Roselawn</v>
      </c>
      <c r="G850" t="str">
        <f t="shared" si="66"/>
        <v>Roselawn3346San Antonio</v>
      </c>
      <c r="H850" t="s">
        <v>31708</v>
      </c>
      <c r="I850" t="s">
        <v>23140</v>
      </c>
      <c r="J850" t="str">
        <f t="shared" si="67"/>
        <v>E:\PropInv\MF</v>
      </c>
      <c r="K850" s="103" t="str">
        <f>HYPERLINK("E:\PropInv\MF\San Antonio\Roselawn_3346_Roselawn_San Antonio_00980","Roselawn_3346_Roselawn_San Antonio_00980" )</f>
        <v>Roselawn_3346_Roselawn_San Antonio_00980</v>
      </c>
      <c r="L850" s="104" t="s">
        <v>22253</v>
      </c>
      <c r="M850" s="103" t="str">
        <f t="shared" si="68"/>
        <v>http://oconnordata.com/mlink/modules/profile/index.cfm?action=profile&amp;prop_id=980</v>
      </c>
      <c r="N850" s="1" t="str">
        <f t="shared" si="69"/>
        <v>00980</v>
      </c>
    </row>
    <row r="851" spans="1:14" x14ac:dyDescent="0.3">
      <c r="A851" s="1">
        <v>981</v>
      </c>
      <c r="B851" s="7" t="s">
        <v>1317</v>
      </c>
      <c r="C851" s="12">
        <v>402</v>
      </c>
      <c r="D851" s="7" t="s">
        <v>1318</v>
      </c>
      <c r="E851" s="13" t="s">
        <v>842</v>
      </c>
      <c r="F851" t="str">
        <f t="shared" si="65"/>
        <v>Holland</v>
      </c>
      <c r="G851" t="str">
        <f t="shared" si="66"/>
        <v>Holland402San Antonio</v>
      </c>
      <c r="H851" t="s">
        <v>31709</v>
      </c>
      <c r="I851" t="s">
        <v>23141</v>
      </c>
      <c r="J851" t="str">
        <f t="shared" si="67"/>
        <v>E:\PropInv\MF</v>
      </c>
      <c r="K851" s="103" t="str">
        <f>HYPERLINK("E:\PropInv\MF\San Antonio\Holland Ave_402_Rosemont Olmos Park_San Antonio_00981","Holland Ave_402_Rosemont Olmos Park_San Antonio_00981" )</f>
        <v>Holland Ave_402_Rosemont Olmos Park_San Antonio_00981</v>
      </c>
      <c r="L851" s="104" t="s">
        <v>22253</v>
      </c>
      <c r="M851" s="103" t="str">
        <f t="shared" si="68"/>
        <v>http://oconnordata.com/mlink/modules/profile/index.cfm?action=profile&amp;prop_id=981</v>
      </c>
      <c r="N851" s="1" t="str">
        <f t="shared" si="69"/>
        <v>00981</v>
      </c>
    </row>
    <row r="852" spans="1:14" x14ac:dyDescent="0.3">
      <c r="A852" s="1">
        <v>982</v>
      </c>
      <c r="B852" s="7" t="s">
        <v>1049</v>
      </c>
      <c r="C852" s="12">
        <v>8916</v>
      </c>
      <c r="D852" s="7" t="s">
        <v>1319</v>
      </c>
      <c r="E852" s="13" t="s">
        <v>842</v>
      </c>
      <c r="F852" t="str">
        <f t="shared" si="65"/>
        <v>Data</v>
      </c>
      <c r="G852" t="str">
        <f t="shared" si="66"/>
        <v>Data8916San Antonio</v>
      </c>
      <c r="H852" t="s">
        <v>31710</v>
      </c>
      <c r="I852" t="s">
        <v>23142</v>
      </c>
      <c r="J852" t="str">
        <f t="shared" si="67"/>
        <v>E:\PropInv\MF</v>
      </c>
      <c r="K852" s="103" t="str">
        <f>HYPERLINK("E:\PropInv\MF\San Antonio\Data Point_8916_Rosemont Crossing_San Antonio_00982","Data Point_8916_Rosemont Crossing_San Antonio_00982" )</f>
        <v>Data Point_8916_Rosemont Crossing_San Antonio_00982</v>
      </c>
      <c r="L852" s="104" t="s">
        <v>22253</v>
      </c>
      <c r="M852" s="103" t="str">
        <f t="shared" si="68"/>
        <v>http://oconnordata.com/mlink/modules/profile/index.cfm?action=profile&amp;prop_id=982</v>
      </c>
      <c r="N852" s="1" t="str">
        <f t="shared" si="69"/>
        <v>00982</v>
      </c>
    </row>
    <row r="853" spans="1:14" x14ac:dyDescent="0.3">
      <c r="A853" s="1">
        <v>983</v>
      </c>
      <c r="B853" s="7" t="s">
        <v>1320</v>
      </c>
      <c r="C853" s="12">
        <v>5909</v>
      </c>
      <c r="D853" s="7" t="s">
        <v>1321</v>
      </c>
      <c r="E853" s="13" t="s">
        <v>842</v>
      </c>
      <c r="F853" t="str">
        <f t="shared" si="65"/>
        <v>Royalgate</v>
      </c>
      <c r="G853" t="str">
        <f t="shared" si="66"/>
        <v>Royalgate5909San Antonio</v>
      </c>
      <c r="H853" t="s">
        <v>31711</v>
      </c>
      <c r="I853" t="s">
        <v>23143</v>
      </c>
      <c r="J853" t="str">
        <f t="shared" si="67"/>
        <v>E:\PropInv\MF</v>
      </c>
      <c r="K853" s="103" t="str">
        <f>HYPERLINK("E:\PropInv\MF\San Antonio\Royalgate Dr_5909_Crestwood_San Antonio_00983","Royalgate Dr_5909_Crestwood_San Antonio_00983" )</f>
        <v>Royalgate Dr_5909_Crestwood_San Antonio_00983</v>
      </c>
      <c r="L853" s="104" t="s">
        <v>22253</v>
      </c>
      <c r="M853" s="103" t="str">
        <f t="shared" si="68"/>
        <v>http://oconnordata.com/mlink/modules/profile/index.cfm?action=profile&amp;prop_id=983</v>
      </c>
      <c r="N853" s="1" t="str">
        <f t="shared" si="69"/>
        <v>00983</v>
      </c>
    </row>
    <row r="854" spans="1:14" x14ac:dyDescent="0.3">
      <c r="A854" s="1">
        <v>984</v>
      </c>
      <c r="B854" s="7" t="s">
        <v>1105</v>
      </c>
      <c r="C854" s="12">
        <v>4032</v>
      </c>
      <c r="D854" s="7" t="s">
        <v>1322</v>
      </c>
      <c r="E854" s="13" t="s">
        <v>842</v>
      </c>
      <c r="F854" t="str">
        <f t="shared" si="65"/>
        <v>Southcross</v>
      </c>
      <c r="G854" t="str">
        <f t="shared" si="66"/>
        <v>Southcross4032San Antonio</v>
      </c>
      <c r="H854" t="s">
        <v>31712</v>
      </c>
      <c r="I854" t="s">
        <v>23144</v>
      </c>
      <c r="J854" t="str">
        <f t="shared" si="67"/>
        <v>E:\PropInv\MF</v>
      </c>
      <c r="K854" s="103" t="str">
        <f>HYPERLINK("E:\PropInv\MF\San Antonio\Southcross Blvd E_4032_The Reserve at Pecan Valley_San Antonio_00984","Southcross Blvd E_4032_The Reserve at Pecan Valley_San Antonio_00984" )</f>
        <v>Southcross Blvd E_4032_The Reserve at Pecan Valley_San Antonio_00984</v>
      </c>
      <c r="L854" s="104" t="s">
        <v>22253</v>
      </c>
      <c r="M854" s="103" t="str">
        <f t="shared" si="68"/>
        <v>http://oconnordata.com/mlink/modules/profile/index.cfm?action=profile&amp;prop_id=984</v>
      </c>
      <c r="N854" s="1" t="str">
        <f t="shared" si="69"/>
        <v>00984</v>
      </c>
    </row>
    <row r="855" spans="1:14" x14ac:dyDescent="0.3">
      <c r="A855" s="1">
        <v>985</v>
      </c>
      <c r="B855" s="7" t="s">
        <v>1084</v>
      </c>
      <c r="C855" s="12">
        <v>6130</v>
      </c>
      <c r="D855" s="7" t="s">
        <v>1323</v>
      </c>
      <c r="E855" s="13" t="s">
        <v>842</v>
      </c>
      <c r="F855" t="str">
        <f t="shared" si="65"/>
        <v>Ingram</v>
      </c>
      <c r="G855" t="str">
        <f t="shared" si="66"/>
        <v>Ingram6130San Antonio</v>
      </c>
      <c r="H855" t="s">
        <v>31713</v>
      </c>
      <c r="I855" t="s">
        <v>23145</v>
      </c>
      <c r="J855" t="str">
        <f t="shared" si="67"/>
        <v>E:\PropInv\MF</v>
      </c>
      <c r="K855" s="103" t="str">
        <f>HYPERLINK("E:\PropInv\MF\San Antonio\Ingram Rd_6130_Hilltop Oaks_San Antonio_00985","Ingram Rd_6130_Hilltop Oaks_San Antonio_00985" )</f>
        <v>Ingram Rd_6130_Hilltop Oaks_San Antonio_00985</v>
      </c>
      <c r="L855" s="104" t="s">
        <v>22253</v>
      </c>
      <c r="M855" s="103" t="str">
        <f t="shared" si="68"/>
        <v>http://oconnordata.com/mlink/modules/profile/index.cfm?action=profile&amp;prop_id=985</v>
      </c>
      <c r="N855" s="1" t="str">
        <f t="shared" si="69"/>
        <v>00985</v>
      </c>
    </row>
    <row r="856" spans="1:14" x14ac:dyDescent="0.3">
      <c r="A856" s="1">
        <v>986</v>
      </c>
      <c r="B856" s="7" t="s">
        <v>865</v>
      </c>
      <c r="C856" s="12">
        <v>13230</v>
      </c>
      <c r="D856" s="7" t="s">
        <v>1324</v>
      </c>
      <c r="E856" s="13" t="s">
        <v>842</v>
      </c>
      <c r="F856" t="str">
        <f t="shared" si="65"/>
        <v>Blanco</v>
      </c>
      <c r="G856" t="str">
        <f t="shared" si="66"/>
        <v>Blanco13230San Antonio</v>
      </c>
      <c r="H856" t="s">
        <v>31714</v>
      </c>
      <c r="I856" t="s">
        <v>23146</v>
      </c>
      <c r="J856" t="str">
        <f t="shared" si="67"/>
        <v>E:\PropInv\MF</v>
      </c>
      <c r="K856" s="103" t="str">
        <f>HYPERLINK("E:\PropInv\MF\San Antonio\Blanco Rd_13230_Salado Crossing_San Antonio_00986","Blanco Rd_13230_Salado Crossing_San Antonio_00986" )</f>
        <v>Blanco Rd_13230_Salado Crossing_San Antonio_00986</v>
      </c>
      <c r="L856" s="104" t="s">
        <v>22253</v>
      </c>
      <c r="M856" s="103" t="str">
        <f t="shared" si="68"/>
        <v>http://oconnordata.com/mlink/modules/profile/index.cfm?action=profile&amp;prop_id=986</v>
      </c>
      <c r="N856" s="1" t="str">
        <f t="shared" si="69"/>
        <v>00986</v>
      </c>
    </row>
    <row r="857" spans="1:14" x14ac:dyDescent="0.3">
      <c r="A857" s="1">
        <v>987</v>
      </c>
      <c r="B857" s="7" t="s">
        <v>1101</v>
      </c>
      <c r="C857" s="12">
        <v>803</v>
      </c>
      <c r="D857" s="7" t="s">
        <v>1325</v>
      </c>
      <c r="E857" s="13" t="s">
        <v>842</v>
      </c>
      <c r="F857" t="str">
        <f t="shared" si="65"/>
        <v>Flame</v>
      </c>
      <c r="G857" t="str">
        <f t="shared" si="66"/>
        <v>Flame803San Antonio</v>
      </c>
      <c r="H857" t="s">
        <v>31715</v>
      </c>
      <c r="I857" t="s">
        <v>23147</v>
      </c>
      <c r="J857" t="str">
        <f t="shared" si="67"/>
        <v>E:\PropInv\MF</v>
      </c>
      <c r="K857" s="103" t="str">
        <f>HYPERLINK("E:\PropInv\MF\San Antonio\Flame Cir_803_Salem Creek_San Antonio_00987","Flame Cir_803_Salem Creek_San Antonio_00987" )</f>
        <v>Flame Cir_803_Salem Creek_San Antonio_00987</v>
      </c>
      <c r="L857" s="104" t="s">
        <v>22253</v>
      </c>
      <c r="M857" s="103" t="str">
        <f t="shared" si="68"/>
        <v>http://oconnordata.com/mlink/modules/profile/index.cfm?action=profile&amp;prop_id=987</v>
      </c>
      <c r="N857" s="1" t="str">
        <f t="shared" si="69"/>
        <v>00987</v>
      </c>
    </row>
    <row r="858" spans="1:14" x14ac:dyDescent="0.3">
      <c r="A858" s="1">
        <v>988</v>
      </c>
      <c r="B858" s="7" t="s">
        <v>1326</v>
      </c>
      <c r="C858" s="12">
        <v>7458</v>
      </c>
      <c r="D858" s="7" t="s">
        <v>1327</v>
      </c>
      <c r="E858" s="13" t="s">
        <v>842</v>
      </c>
      <c r="F858" t="str">
        <f t="shared" si="65"/>
        <v>Louis</v>
      </c>
      <c r="G858" t="str">
        <f t="shared" si="66"/>
        <v>Louis7458San Antonio</v>
      </c>
      <c r="H858" t="s">
        <v>31716</v>
      </c>
      <c r="I858" t="s">
        <v>23148</v>
      </c>
      <c r="J858" t="str">
        <f t="shared" si="67"/>
        <v>E:\PropInv\MF</v>
      </c>
      <c r="K858" s="103" t="str">
        <f>HYPERLINK("E:\PropInv\MF\San Antonio\Louis Pasteur_7458_San Antonio Station_San Antonio_00988","Louis Pasteur_7458_San Antonio Station_San Antonio_00988" )</f>
        <v>Louis Pasteur_7458_San Antonio Station_San Antonio_00988</v>
      </c>
      <c r="L858" s="104" t="s">
        <v>22253</v>
      </c>
      <c r="M858" s="103" t="str">
        <f t="shared" si="68"/>
        <v>http://oconnordata.com/mlink/modules/profile/index.cfm?action=profile&amp;prop_id=988</v>
      </c>
      <c r="N858" s="1" t="str">
        <f t="shared" si="69"/>
        <v>00988</v>
      </c>
    </row>
    <row r="859" spans="1:14" x14ac:dyDescent="0.3">
      <c r="A859" s="1">
        <v>989</v>
      </c>
      <c r="B859" s="7" t="s">
        <v>1241</v>
      </c>
      <c r="C859" s="12">
        <v>10333</v>
      </c>
      <c r="D859" s="7" t="s">
        <v>1328</v>
      </c>
      <c r="E859" s="13" t="s">
        <v>842</v>
      </c>
      <c r="F859" t="str">
        <f t="shared" si="65"/>
        <v>Oasis</v>
      </c>
      <c r="G859" t="str">
        <f t="shared" si="66"/>
        <v>Oasis10333San Antonio</v>
      </c>
      <c r="H859" t="s">
        <v>31717</v>
      </c>
      <c r="I859" t="s">
        <v>23149</v>
      </c>
      <c r="J859" t="str">
        <f t="shared" si="67"/>
        <v>E:\PropInv\MF</v>
      </c>
      <c r="K859" s="103" t="str">
        <f>HYPERLINK("E:\PropInv\MF\San Antonio\Oasis_10333_Sandpiper_San Antonio_00989","Oasis_10333_Sandpiper_San Antonio_00989" )</f>
        <v>Oasis_10333_Sandpiper_San Antonio_00989</v>
      </c>
      <c r="L859" s="104" t="s">
        <v>22253</v>
      </c>
      <c r="M859" s="103" t="str">
        <f t="shared" si="68"/>
        <v>http://oconnordata.com/mlink/modules/profile/index.cfm?action=profile&amp;prop_id=989</v>
      </c>
      <c r="N859" s="1" t="str">
        <f t="shared" si="69"/>
        <v>00989</v>
      </c>
    </row>
    <row r="860" spans="1:14" x14ac:dyDescent="0.3">
      <c r="A860" s="1">
        <v>990</v>
      </c>
      <c r="B860" s="19" t="s">
        <v>915</v>
      </c>
      <c r="C860" s="12">
        <v>12315</v>
      </c>
      <c r="D860" s="19" t="s">
        <v>1329</v>
      </c>
      <c r="E860" s="13" t="s">
        <v>842</v>
      </c>
      <c r="F860" t="str">
        <f t="shared" si="65"/>
        <v>Jones</v>
      </c>
      <c r="G860" t="str">
        <f t="shared" si="66"/>
        <v>Jones12315San Antonio</v>
      </c>
      <c r="H860" t="s">
        <v>31718</v>
      </c>
      <c r="I860" t="s">
        <v>23150</v>
      </c>
      <c r="J860" t="str">
        <f t="shared" si="67"/>
        <v>E:\PropInv\MF</v>
      </c>
      <c r="K860" s="103" t="str">
        <f>HYPERLINK("E:\PropInv\MF\San Antonio\Jones Maltsberger_12315_Santa Fe_San Antonio_00990","Jones Maltsberger_12315_Santa Fe_San Antonio_00990" )</f>
        <v>Jones Maltsberger_12315_Santa Fe_San Antonio_00990</v>
      </c>
      <c r="L860" s="104" t="s">
        <v>22253</v>
      </c>
      <c r="M860" s="103" t="str">
        <f t="shared" si="68"/>
        <v>http://oconnordata.com/mlink/modules/profile/index.cfm?action=profile&amp;prop_id=990</v>
      </c>
      <c r="N860" s="1" t="str">
        <f t="shared" si="69"/>
        <v>00990</v>
      </c>
    </row>
    <row r="861" spans="1:14" x14ac:dyDescent="0.3">
      <c r="A861" s="1">
        <v>991</v>
      </c>
      <c r="B861" s="7" t="s">
        <v>881</v>
      </c>
      <c r="C861" s="12">
        <v>3900</v>
      </c>
      <c r="D861" s="7" t="s">
        <v>1330</v>
      </c>
      <c r="E861" s="13" t="s">
        <v>842</v>
      </c>
      <c r="F861" t="str">
        <f t="shared" si="65"/>
        <v>Eisenhauer</v>
      </c>
      <c r="G861" t="str">
        <f t="shared" si="66"/>
        <v>Eisenhauer3900San Antonio</v>
      </c>
      <c r="H861" t="s">
        <v>31719</v>
      </c>
      <c r="I861" t="s">
        <v>23151</v>
      </c>
      <c r="J861" t="str">
        <f t="shared" si="67"/>
        <v>E:\PropInv\MF</v>
      </c>
      <c r="K861" s="103" t="str">
        <f>HYPERLINK("E:\PropInv\MF\San Antonio\Eisenhauer_3900_Savannah Ridge_San Antonio_00991","Eisenhauer_3900_Savannah Ridge_San Antonio_00991" )</f>
        <v>Eisenhauer_3900_Savannah Ridge_San Antonio_00991</v>
      </c>
      <c r="L861" s="104" t="s">
        <v>22253</v>
      </c>
      <c r="M861" s="103" t="str">
        <f t="shared" si="68"/>
        <v>http://oconnordata.com/mlink/modules/profile/index.cfm?action=profile&amp;prop_id=991</v>
      </c>
      <c r="N861" s="1" t="str">
        <f t="shared" si="69"/>
        <v>00991</v>
      </c>
    </row>
    <row r="862" spans="1:14" x14ac:dyDescent="0.3">
      <c r="A862" s="1">
        <v>993</v>
      </c>
      <c r="B862" s="7" t="s">
        <v>855</v>
      </c>
      <c r="C862" s="12">
        <v>9400</v>
      </c>
      <c r="D862" s="7" t="s">
        <v>1331</v>
      </c>
      <c r="E862" s="13" t="s">
        <v>842</v>
      </c>
      <c r="F862" t="str">
        <f t="shared" si="65"/>
        <v>Fredericksburg</v>
      </c>
      <c r="G862" t="str">
        <f t="shared" si="66"/>
        <v>Fredericksburg9400San Antonio</v>
      </c>
      <c r="H862" t="s">
        <v>31720</v>
      </c>
      <c r="I862" t="s">
        <v>23152</v>
      </c>
      <c r="J862" t="str">
        <f t="shared" si="67"/>
        <v>E:\PropInv\MF</v>
      </c>
      <c r="K862" s="103" t="str">
        <f>HYPERLINK("E:\PropInv\MF\San Antonio\Fredericksburg Rd_9400_Portofino Apts_San Antonio_00993","Fredericksburg Rd_9400_Portofino Apts_San Antonio_00993" )</f>
        <v>Fredericksburg Rd_9400_Portofino Apts_San Antonio_00993</v>
      </c>
      <c r="L862" s="104" t="s">
        <v>22253</v>
      </c>
      <c r="M862" s="103" t="str">
        <f t="shared" si="68"/>
        <v>http://oconnordata.com/mlink/modules/profile/index.cfm?action=profile&amp;prop_id=993</v>
      </c>
      <c r="N862" s="1" t="str">
        <f t="shared" si="69"/>
        <v>00993</v>
      </c>
    </row>
    <row r="863" spans="1:14" x14ac:dyDescent="0.3">
      <c r="A863" s="1">
        <v>994</v>
      </c>
      <c r="B863" s="7" t="s">
        <v>1211</v>
      </c>
      <c r="C863" s="12">
        <v>1235</v>
      </c>
      <c r="D863" s="7" t="s">
        <v>1332</v>
      </c>
      <c r="E863" s="13" t="s">
        <v>842</v>
      </c>
      <c r="F863" t="str">
        <f t="shared" si="65"/>
        <v>Mulberry</v>
      </c>
      <c r="G863" t="str">
        <f t="shared" si="66"/>
        <v>Mulberry1235San Antonio</v>
      </c>
      <c r="H863" t="s">
        <v>31721</v>
      </c>
      <c r="I863" t="s">
        <v>23153</v>
      </c>
      <c r="J863" t="str">
        <f t="shared" si="67"/>
        <v>E:\PropInv\MF</v>
      </c>
      <c r="K863" s="103" t="str">
        <f>HYPERLINK("E:\PropInv\MF\San Antonio\Mulberry Ave E_1235_Sentinel Pointe_San Antonio_00994","Mulberry Ave E_1235_Sentinel Pointe_San Antonio_00994" )</f>
        <v>Mulberry Ave E_1235_Sentinel Pointe_San Antonio_00994</v>
      </c>
      <c r="L863" s="104" t="s">
        <v>22253</v>
      </c>
      <c r="M863" s="103" t="str">
        <f t="shared" si="68"/>
        <v>http://oconnordata.com/mlink/modules/profile/index.cfm?action=profile&amp;prop_id=994</v>
      </c>
      <c r="N863" s="1" t="str">
        <f t="shared" si="69"/>
        <v>00994</v>
      </c>
    </row>
    <row r="864" spans="1:14" x14ac:dyDescent="0.3">
      <c r="A864" s="1">
        <v>995</v>
      </c>
      <c r="B864" s="7" t="s">
        <v>1333</v>
      </c>
      <c r="C864" s="12">
        <v>8027</v>
      </c>
      <c r="D864" s="7" t="s">
        <v>1334</v>
      </c>
      <c r="E864" s="13" t="s">
        <v>842</v>
      </c>
      <c r="F864" t="str">
        <f t="shared" si="65"/>
        <v>Zarzamora</v>
      </c>
      <c r="G864" t="str">
        <f t="shared" si="66"/>
        <v>Zarzamora8027San Antonio</v>
      </c>
      <c r="H864" t="s">
        <v>31722</v>
      </c>
      <c r="I864" t="s">
        <v>23154</v>
      </c>
      <c r="J864" t="str">
        <f t="shared" si="67"/>
        <v>E:\PropInv\MF</v>
      </c>
      <c r="K864" s="103" t="str">
        <f>HYPERLINK("E:\PropInv\MF\San Antonio\Zarzamora St S_8027_Seven Pines_San Antonio_00995","Zarzamora St S_8027_Seven Pines_San Antonio_00995" )</f>
        <v>Zarzamora St S_8027_Seven Pines_San Antonio_00995</v>
      </c>
      <c r="L864" s="104" t="s">
        <v>22253</v>
      </c>
      <c r="M864" s="103" t="str">
        <f t="shared" si="68"/>
        <v>http://oconnordata.com/mlink/modules/profile/index.cfm?action=profile&amp;prop_id=995</v>
      </c>
      <c r="N864" s="1" t="str">
        <f t="shared" si="69"/>
        <v>00995</v>
      </c>
    </row>
    <row r="865" spans="1:14" x14ac:dyDescent="0.3">
      <c r="A865" s="1">
        <v>996</v>
      </c>
      <c r="B865" s="7" t="s">
        <v>865</v>
      </c>
      <c r="C865" s="12">
        <v>13330</v>
      </c>
      <c r="D865" s="7" t="s">
        <v>1335</v>
      </c>
      <c r="E865" s="13" t="s">
        <v>842</v>
      </c>
      <c r="F865" t="str">
        <f t="shared" si="65"/>
        <v>Blanco</v>
      </c>
      <c r="G865" t="str">
        <f t="shared" si="66"/>
        <v>Blanco13330San Antonio</v>
      </c>
      <c r="H865" t="s">
        <v>31723</v>
      </c>
      <c r="I865" t="s">
        <v>23155</v>
      </c>
      <c r="J865" t="str">
        <f t="shared" si="67"/>
        <v>E:\PropInv\MF</v>
      </c>
      <c r="K865" s="103" t="str">
        <f>HYPERLINK("E:\PropInv\MF\San Antonio\Blanco Rd_13330_Seville_San Antonio_00996","Blanco Rd_13330_Seville_San Antonio_00996" )</f>
        <v>Blanco Rd_13330_Seville_San Antonio_00996</v>
      </c>
      <c r="L865" s="104" t="s">
        <v>22253</v>
      </c>
      <c r="M865" s="103" t="str">
        <f t="shared" si="68"/>
        <v>http://oconnordata.com/mlink/modules/profile/index.cfm?action=profile&amp;prop_id=996</v>
      </c>
      <c r="N865" s="1" t="str">
        <f t="shared" si="69"/>
        <v>00996</v>
      </c>
    </row>
    <row r="866" spans="1:14" x14ac:dyDescent="0.3">
      <c r="A866" s="1">
        <v>997</v>
      </c>
      <c r="B866" s="7" t="s">
        <v>1336</v>
      </c>
      <c r="C866" s="12">
        <v>5650</v>
      </c>
      <c r="D866" s="7" t="s">
        <v>1337</v>
      </c>
      <c r="E866" s="13" t="s">
        <v>842</v>
      </c>
      <c r="F866" t="str">
        <f t="shared" si="65"/>
        <v>Grissom</v>
      </c>
      <c r="G866" t="str">
        <f t="shared" si="66"/>
        <v>Grissom5650San Antonio</v>
      </c>
      <c r="H866" t="s">
        <v>31724</v>
      </c>
      <c r="I866" t="s">
        <v>23156</v>
      </c>
      <c r="J866" t="str">
        <f t="shared" si="67"/>
        <v>E:\PropInv\MF</v>
      </c>
      <c r="K866" s="103" t="str">
        <f>HYPERLINK("E:\PropInv\MF\San Antonio\Grissom Rd_5650_The Place at Shadow Valley_San Antonio_00997","Grissom Rd_5650_The Place at Shadow Valley_San Antonio_00997" )</f>
        <v>Grissom Rd_5650_The Place at Shadow Valley_San Antonio_00997</v>
      </c>
      <c r="L866" s="104" t="s">
        <v>22253</v>
      </c>
      <c r="M866" s="103" t="str">
        <f t="shared" si="68"/>
        <v>http://oconnordata.com/mlink/modules/profile/index.cfm?action=profile&amp;prop_id=997</v>
      </c>
      <c r="N866" s="1" t="str">
        <f t="shared" si="69"/>
        <v>00997</v>
      </c>
    </row>
    <row r="867" spans="1:14" x14ac:dyDescent="0.3">
      <c r="A867" s="1">
        <v>998</v>
      </c>
      <c r="B867" s="7" t="s">
        <v>1338</v>
      </c>
      <c r="C867" s="12">
        <v>3601</v>
      </c>
      <c r="D867" s="7" t="s">
        <v>1339</v>
      </c>
      <c r="E867" s="13" t="s">
        <v>842</v>
      </c>
      <c r="F867" t="str">
        <f t="shared" si="65"/>
        <v>Magic</v>
      </c>
      <c r="G867" t="str">
        <f t="shared" si="66"/>
        <v>Magic3601San Antonio</v>
      </c>
      <c r="H867" t="s">
        <v>31725</v>
      </c>
      <c r="I867" t="s">
        <v>23157</v>
      </c>
      <c r="J867" t="str">
        <f t="shared" si="67"/>
        <v>E:\PropInv\MF</v>
      </c>
      <c r="K867" s="103" t="str">
        <f>HYPERLINK("E:\PropInv\MF\San Antonio\Magic Dr_3601_The Montage at North Point_San Antonio_00998","Magic Dr_3601_The Montage at North Point_San Antonio_00998" )</f>
        <v>Magic Dr_3601_The Montage at North Point_San Antonio_00998</v>
      </c>
      <c r="L867" s="104" t="s">
        <v>22253</v>
      </c>
      <c r="M867" s="103" t="str">
        <f t="shared" si="68"/>
        <v>http://oconnordata.com/mlink/modules/profile/index.cfm?action=profile&amp;prop_id=998</v>
      </c>
      <c r="N867" s="1" t="str">
        <f t="shared" si="69"/>
        <v>00998</v>
      </c>
    </row>
    <row r="868" spans="1:14" x14ac:dyDescent="0.3">
      <c r="A868" s="1">
        <v>999</v>
      </c>
      <c r="B868" s="7" t="s">
        <v>1340</v>
      </c>
      <c r="C868" s="12">
        <v>4011</v>
      </c>
      <c r="D868" s="7" t="s">
        <v>1341</v>
      </c>
      <c r="E868" s="13" t="s">
        <v>842</v>
      </c>
      <c r="F868" t="str">
        <f t="shared" si="65"/>
        <v>Sherril</v>
      </c>
      <c r="G868" t="str">
        <f t="shared" si="66"/>
        <v>Sherril4011San Antonio</v>
      </c>
      <c r="H868" t="s">
        <v>31726</v>
      </c>
      <c r="I868" t="s">
        <v>23158</v>
      </c>
      <c r="J868" t="str">
        <f t="shared" si="67"/>
        <v>E:\PropInv\MF</v>
      </c>
      <c r="K868" s="103" t="str">
        <f>HYPERLINK("E:\PropInv\MF\San Antonio\Sherril Brook Dr_4011_Sherril Oaks_San Antonio_00999","Sherril Brook Dr_4011_Sherril Oaks_San Antonio_00999" )</f>
        <v>Sherril Brook Dr_4011_Sherril Oaks_San Antonio_00999</v>
      </c>
      <c r="L868" s="104" t="s">
        <v>22253</v>
      </c>
      <c r="M868" s="103" t="str">
        <f t="shared" si="68"/>
        <v>http://oconnordata.com/mlink/modules/profile/index.cfm?action=profile&amp;prop_id=999</v>
      </c>
      <c r="N868" s="1" t="str">
        <f t="shared" si="69"/>
        <v>00999</v>
      </c>
    </row>
    <row r="869" spans="1:14" x14ac:dyDescent="0.3">
      <c r="A869" s="1">
        <v>1000</v>
      </c>
      <c r="B869" s="7" t="s">
        <v>950</v>
      </c>
      <c r="C869" s="12">
        <v>1401</v>
      </c>
      <c r="D869" s="7" t="s">
        <v>362</v>
      </c>
      <c r="E869" s="13" t="s">
        <v>842</v>
      </c>
      <c r="F869" t="str">
        <f t="shared" si="65"/>
        <v>Patricia</v>
      </c>
      <c r="G869" t="str">
        <f t="shared" si="66"/>
        <v>Patricia1401San Antonio</v>
      </c>
      <c r="H869" t="s">
        <v>31727</v>
      </c>
      <c r="I869" t="s">
        <v>23159</v>
      </c>
      <c r="J869" t="str">
        <f t="shared" si="67"/>
        <v>E:\PropInv\MF</v>
      </c>
      <c r="K869" s="103" t="str">
        <f>HYPERLINK("E:\PropInv\MF\San Antonio\Patricia Dr_1401_Sierra Ridge_San Antonio_01000","Patricia Dr_1401_Sierra Ridge_San Antonio_01000" )</f>
        <v>Patricia Dr_1401_Sierra Ridge_San Antonio_01000</v>
      </c>
      <c r="L869" s="104" t="s">
        <v>22253</v>
      </c>
      <c r="M869" s="103" t="str">
        <f t="shared" si="68"/>
        <v>http://oconnordata.com/mlink/modules/profile/index.cfm?action=profile&amp;prop_id=1000</v>
      </c>
      <c r="N869" s="1" t="str">
        <f t="shared" si="69"/>
        <v>01000</v>
      </c>
    </row>
    <row r="870" spans="1:14" x14ac:dyDescent="0.3">
      <c r="A870" s="1">
        <v>1001</v>
      </c>
      <c r="B870" s="7" t="s">
        <v>1342</v>
      </c>
      <c r="C870" s="12">
        <v>6101</v>
      </c>
      <c r="D870" s="7" t="s">
        <v>359</v>
      </c>
      <c r="E870" s="13" t="s">
        <v>842</v>
      </c>
      <c r="F870" t="str">
        <f t="shared" si="65"/>
        <v>Whitby</v>
      </c>
      <c r="G870" t="str">
        <f t="shared" si="66"/>
        <v>Whitby6101San Antonio</v>
      </c>
      <c r="H870" t="s">
        <v>31728</v>
      </c>
      <c r="I870" t="s">
        <v>23160</v>
      </c>
      <c r="J870" t="str">
        <f t="shared" si="67"/>
        <v>E:\PropInv\MF</v>
      </c>
      <c r="K870" s="103" t="str">
        <f>HYPERLINK("E:\PropInv\MF\San Antonio\Whitby Rd_6101_Sierra Vista_San Antonio_01001","Whitby Rd_6101_Sierra Vista_San Antonio_01001" )</f>
        <v>Whitby Rd_6101_Sierra Vista_San Antonio_01001</v>
      </c>
      <c r="L870" s="104" t="s">
        <v>22253</v>
      </c>
      <c r="M870" s="103" t="str">
        <f t="shared" si="68"/>
        <v>http://oconnordata.com/mlink/modules/profile/index.cfm?action=profile&amp;prop_id=1001</v>
      </c>
      <c r="N870" s="1" t="str">
        <f t="shared" si="69"/>
        <v>01001</v>
      </c>
    </row>
    <row r="871" spans="1:14" x14ac:dyDescent="0.3">
      <c r="A871" s="1">
        <v>1002</v>
      </c>
      <c r="B871" s="7" t="s">
        <v>882</v>
      </c>
      <c r="C871" s="12">
        <v>9830</v>
      </c>
      <c r="D871" s="7" t="s">
        <v>1343</v>
      </c>
      <c r="E871" s="13" t="s">
        <v>842</v>
      </c>
      <c r="F871" t="str">
        <f t="shared" si="65"/>
        <v>Camino</v>
      </c>
      <c r="G871" t="str">
        <f t="shared" si="66"/>
        <v>Camino9830San Antonio</v>
      </c>
      <c r="H871" t="s">
        <v>31729</v>
      </c>
      <c r="I871" t="s">
        <v>23161</v>
      </c>
      <c r="J871" t="str">
        <f t="shared" si="67"/>
        <v>E:\PropInv\MF</v>
      </c>
      <c r="K871" s="103" t="str">
        <f>HYPERLINK("E:\PropInv\MF\San Antonio\Camino Villa_9830_Silver Rock_San Antonio_01002","Camino Villa_9830_Silver Rock_San Antonio_01002" )</f>
        <v>Camino Villa_9830_Silver Rock_San Antonio_01002</v>
      </c>
      <c r="L871" s="104" t="s">
        <v>22253</v>
      </c>
      <c r="M871" s="103" t="str">
        <f t="shared" si="68"/>
        <v>http://oconnordata.com/mlink/modules/profile/index.cfm?action=profile&amp;prop_id=1002</v>
      </c>
      <c r="N871" s="1" t="str">
        <f t="shared" si="69"/>
        <v>01002</v>
      </c>
    </row>
    <row r="872" spans="1:14" x14ac:dyDescent="0.3">
      <c r="A872" s="1">
        <v>1003</v>
      </c>
      <c r="B872" s="7" t="s">
        <v>1344</v>
      </c>
      <c r="C872" s="12">
        <v>500</v>
      </c>
      <c r="D872" s="7" t="s">
        <v>1345</v>
      </c>
      <c r="E872" s="13" t="s">
        <v>842</v>
      </c>
      <c r="F872" t="str">
        <f t="shared" si="65"/>
        <v>Santa</v>
      </c>
      <c r="G872" t="str">
        <f t="shared" si="66"/>
        <v>Santa500San Antonio</v>
      </c>
      <c r="H872" t="s">
        <v>31730</v>
      </c>
      <c r="I872" t="s">
        <v>23162</v>
      </c>
      <c r="J872" t="str">
        <f t="shared" si="67"/>
        <v>E:\PropInv\MF</v>
      </c>
      <c r="K872" s="103" t="str">
        <f>HYPERLINK("E:\PropInv\MF\San Antonio\Santa Rosa N_500_Soap Works_San Antonio_01003","Santa Rosa N_500_Soap Works_San Antonio_01003" )</f>
        <v>Santa Rosa N_500_Soap Works_San Antonio_01003</v>
      </c>
      <c r="L872" s="104" t="s">
        <v>22253</v>
      </c>
      <c r="M872" s="103" t="str">
        <f t="shared" si="68"/>
        <v>http://oconnordata.com/mlink/modules/profile/index.cfm?action=profile&amp;prop_id=1003</v>
      </c>
      <c r="N872" s="1" t="str">
        <f t="shared" si="69"/>
        <v>01003</v>
      </c>
    </row>
    <row r="873" spans="1:14" x14ac:dyDescent="0.3">
      <c r="A873" s="1">
        <v>1004</v>
      </c>
      <c r="B873" s="7" t="s">
        <v>928</v>
      </c>
      <c r="C873" s="12">
        <v>7667</v>
      </c>
      <c r="D873" s="7" t="s">
        <v>1346</v>
      </c>
      <c r="E873" s="13" t="s">
        <v>842</v>
      </c>
      <c r="F873" t="str">
        <f t="shared" si="65"/>
        <v>Callaghan</v>
      </c>
      <c r="G873" t="str">
        <f t="shared" si="66"/>
        <v>Callaghan7667San Antonio</v>
      </c>
      <c r="H873" t="s">
        <v>31731</v>
      </c>
      <c r="I873" t="s">
        <v>23163</v>
      </c>
      <c r="J873" t="str">
        <f t="shared" si="67"/>
        <v>E:\PropInv\MF</v>
      </c>
      <c r="K873" s="103" t="str">
        <f>HYPERLINK("E:\PropInv\MF\San Antonio\Callaghan Rd_7667_Songbird_San Antonio_01004","Callaghan Rd_7667_Songbird_San Antonio_01004" )</f>
        <v>Callaghan Rd_7667_Songbird_San Antonio_01004</v>
      </c>
      <c r="L873" s="104" t="s">
        <v>22253</v>
      </c>
      <c r="M873" s="103" t="str">
        <f t="shared" si="68"/>
        <v>http://oconnordata.com/mlink/modules/profile/index.cfm?action=profile&amp;prop_id=1004</v>
      </c>
      <c r="N873" s="1" t="str">
        <f t="shared" si="69"/>
        <v>01004</v>
      </c>
    </row>
    <row r="874" spans="1:14" x14ac:dyDescent="0.3">
      <c r="A874" s="1">
        <v>1005</v>
      </c>
      <c r="B874" s="7" t="s">
        <v>1347</v>
      </c>
      <c r="C874" s="12">
        <v>2715</v>
      </c>
      <c r="D874" s="7" t="s">
        <v>519</v>
      </c>
      <c r="E874" s="13" t="s">
        <v>842</v>
      </c>
      <c r="F874" t="str">
        <f t="shared" si="65"/>
        <v>Lasses</v>
      </c>
      <c r="G874" t="str">
        <f t="shared" si="66"/>
        <v>Lasses2715San Antonio</v>
      </c>
      <c r="H874" t="s">
        <v>31732</v>
      </c>
      <c r="I874" t="s">
        <v>23164</v>
      </c>
      <c r="J874" t="str">
        <f t="shared" si="67"/>
        <v>E:\PropInv\MF</v>
      </c>
      <c r="K874" s="103" t="str">
        <f>HYPERLINK("E:\PropInv\MF\San Antonio\Lasses Blvd_2715_South Hill_San Antonio_01005","Lasses Blvd_2715_South Hill_San Antonio_01005" )</f>
        <v>Lasses Blvd_2715_South Hill_San Antonio_01005</v>
      </c>
      <c r="L874" s="104" t="s">
        <v>22253</v>
      </c>
      <c r="M874" s="103" t="str">
        <f t="shared" si="68"/>
        <v>http://oconnordata.com/mlink/modules/profile/index.cfm?action=profile&amp;prop_id=1005</v>
      </c>
      <c r="N874" s="1" t="str">
        <f t="shared" si="69"/>
        <v>01005</v>
      </c>
    </row>
    <row r="875" spans="1:14" x14ac:dyDescent="0.3">
      <c r="A875" s="1">
        <v>1006</v>
      </c>
      <c r="B875" s="7" t="s">
        <v>1032</v>
      </c>
      <c r="C875" s="12">
        <v>5500</v>
      </c>
      <c r="D875" s="7" t="s">
        <v>1348</v>
      </c>
      <c r="E875" s="13" t="s">
        <v>842</v>
      </c>
      <c r="F875" t="str">
        <f t="shared" si="65"/>
        <v>New</v>
      </c>
      <c r="G875" t="str">
        <f t="shared" si="66"/>
        <v>New5500San Antonio</v>
      </c>
      <c r="H875" t="s">
        <v>31733</v>
      </c>
      <c r="I875" t="s">
        <v>23165</v>
      </c>
      <c r="J875" t="str">
        <f t="shared" si="67"/>
        <v>E:\PropInv\MF</v>
      </c>
      <c r="K875" s="103" t="str">
        <f>HYPERLINK("E:\PropInv\MF\San Antonio\New Braunfels Ave S_5500_South Point_San Antonio_01006","New Braunfels Ave S_5500_South Point_San Antonio_01006" )</f>
        <v>New Braunfels Ave S_5500_South Point_San Antonio_01006</v>
      </c>
      <c r="L875" s="104" t="s">
        <v>22253</v>
      </c>
      <c r="M875" s="103" t="str">
        <f t="shared" si="68"/>
        <v>http://oconnordata.com/mlink/modules/profile/index.cfm?action=profile&amp;prop_id=1006</v>
      </c>
      <c r="N875" s="1" t="str">
        <f t="shared" si="69"/>
        <v>01006</v>
      </c>
    </row>
    <row r="876" spans="1:14" x14ac:dyDescent="0.3">
      <c r="A876" s="1">
        <v>1007</v>
      </c>
      <c r="B876" s="7" t="s">
        <v>1105</v>
      </c>
      <c r="C876" s="12">
        <v>3907</v>
      </c>
      <c r="D876" s="7" t="s">
        <v>1349</v>
      </c>
      <c r="E876" s="13" t="s">
        <v>842</v>
      </c>
      <c r="F876" t="str">
        <f t="shared" si="65"/>
        <v>Southcross</v>
      </c>
      <c r="G876" t="str">
        <f t="shared" si="66"/>
        <v>Southcross3907San Antonio</v>
      </c>
      <c r="H876" t="s">
        <v>31734</v>
      </c>
      <c r="I876" t="s">
        <v>23166</v>
      </c>
      <c r="J876" t="str">
        <f t="shared" si="67"/>
        <v>E:\PropInv\MF</v>
      </c>
      <c r="K876" s="103" t="str">
        <f>HYPERLINK("E:\PropInv\MF\San Antonio\Southcross Blvd E_3907_Southcross Square_San Antonio_01007","Southcross Blvd E_3907_Southcross Square_San Antonio_01007" )</f>
        <v>Southcross Blvd E_3907_Southcross Square_San Antonio_01007</v>
      </c>
      <c r="L876" s="104" t="s">
        <v>22253</v>
      </c>
      <c r="M876" s="103" t="str">
        <f t="shared" si="68"/>
        <v>http://oconnordata.com/mlink/modules/profile/index.cfm?action=profile&amp;prop_id=1007</v>
      </c>
      <c r="N876" s="1" t="str">
        <f t="shared" si="69"/>
        <v>01007</v>
      </c>
    </row>
    <row r="877" spans="1:14" x14ac:dyDescent="0.3">
      <c r="A877" s="1">
        <v>1008</v>
      </c>
      <c r="B877" s="7" t="s">
        <v>942</v>
      </c>
      <c r="C877" s="12">
        <v>1150</v>
      </c>
      <c r="D877" s="7" t="s">
        <v>1350</v>
      </c>
      <c r="E877" s="13" t="s">
        <v>842</v>
      </c>
      <c r="F877" t="str">
        <f t="shared" si="65"/>
        <v>Babcock</v>
      </c>
      <c r="G877" t="str">
        <f t="shared" si="66"/>
        <v>Babcock1150San Antonio</v>
      </c>
      <c r="H877" t="s">
        <v>31735</v>
      </c>
      <c r="I877" t="s">
        <v>23167</v>
      </c>
      <c r="J877" t="str">
        <f t="shared" si="67"/>
        <v>E:\PropInv\MF</v>
      </c>
      <c r="K877" s="103" t="str">
        <f>HYPERLINK("E:\PropInv\MF\San Antonio\Babcock Rd_1150_Spanish Keys_San Antonio_01008","Babcock Rd_1150_Spanish Keys_San Antonio_01008" )</f>
        <v>Babcock Rd_1150_Spanish Keys_San Antonio_01008</v>
      </c>
      <c r="L877" s="104" t="s">
        <v>22253</v>
      </c>
      <c r="M877" s="103" t="str">
        <f t="shared" si="68"/>
        <v>http://oconnordata.com/mlink/modules/profile/index.cfm?action=profile&amp;prop_id=1008</v>
      </c>
      <c r="N877" s="1" t="str">
        <f t="shared" si="69"/>
        <v>01008</v>
      </c>
    </row>
    <row r="878" spans="1:14" x14ac:dyDescent="0.3">
      <c r="A878" s="1">
        <v>1009</v>
      </c>
      <c r="B878" s="7" t="s">
        <v>1351</v>
      </c>
      <c r="C878" s="12">
        <v>4443</v>
      </c>
      <c r="D878" s="7" t="s">
        <v>1352</v>
      </c>
      <c r="E878" s="13" t="s">
        <v>842</v>
      </c>
      <c r="F878" t="str">
        <f t="shared" si="65"/>
        <v>Rittiman</v>
      </c>
      <c r="G878" t="str">
        <f t="shared" si="66"/>
        <v>Rittiman4443San Antonio</v>
      </c>
      <c r="H878" t="s">
        <v>31736</v>
      </c>
      <c r="I878" t="s">
        <v>23168</v>
      </c>
      <c r="J878" t="str">
        <f t="shared" si="67"/>
        <v>E:\PropInv\MF</v>
      </c>
      <c r="K878" s="103" t="str">
        <f>HYPERLINK("E:\PropInv\MF\San Antonio\Rittiman Rd_4443_Spanish Main_San Antonio_01009","Rittiman Rd_4443_Spanish Main_San Antonio_01009" )</f>
        <v>Rittiman Rd_4443_Spanish Main_San Antonio_01009</v>
      </c>
      <c r="L878" s="104" t="s">
        <v>22253</v>
      </c>
      <c r="M878" s="103" t="str">
        <f t="shared" si="68"/>
        <v>http://oconnordata.com/mlink/modules/profile/index.cfm?action=profile&amp;prop_id=1009</v>
      </c>
      <c r="N878" s="1" t="str">
        <f t="shared" si="69"/>
        <v>01009</v>
      </c>
    </row>
    <row r="879" spans="1:14" x14ac:dyDescent="0.3">
      <c r="A879" s="1">
        <v>1010</v>
      </c>
      <c r="B879" s="7" t="s">
        <v>1353</v>
      </c>
      <c r="C879" s="12">
        <v>3206</v>
      </c>
      <c r="D879" s="7" t="s">
        <v>1354</v>
      </c>
      <c r="E879" s="13" t="s">
        <v>842</v>
      </c>
      <c r="F879" t="str">
        <f t="shared" si="65"/>
        <v>Cripple</v>
      </c>
      <c r="G879" t="str">
        <f t="shared" si="66"/>
        <v>Cripple3206San Antonio</v>
      </c>
      <c r="H879" t="s">
        <v>31737</v>
      </c>
      <c r="I879" t="s">
        <v>23169</v>
      </c>
      <c r="J879" t="str">
        <f t="shared" si="67"/>
        <v>E:\PropInv\MF</v>
      </c>
      <c r="K879" s="103" t="str">
        <f>HYPERLINK("E:\PropInv\MF\San Antonio\Cripple Creek_3206_Spanish Oaks_San Antonio_01010","Cripple Creek_3206_Spanish Oaks_San Antonio_01010" )</f>
        <v>Cripple Creek_3206_Spanish Oaks_San Antonio_01010</v>
      </c>
      <c r="L879" s="104" t="s">
        <v>22253</v>
      </c>
      <c r="M879" s="103" t="str">
        <f t="shared" si="68"/>
        <v>http://oconnordata.com/mlink/modules/profile/index.cfm?action=profile&amp;prop_id=1010</v>
      </c>
      <c r="N879" s="1" t="str">
        <f t="shared" si="69"/>
        <v>01010</v>
      </c>
    </row>
    <row r="880" spans="1:14" x14ac:dyDescent="0.3">
      <c r="A880" s="1">
        <v>1011</v>
      </c>
      <c r="B880" s="7" t="s">
        <v>1266</v>
      </c>
      <c r="C880" s="12">
        <v>6835</v>
      </c>
      <c r="D880" s="7" t="s">
        <v>1355</v>
      </c>
      <c r="E880" s="13" t="s">
        <v>842</v>
      </c>
      <c r="F880" t="str">
        <f t="shared" si="65"/>
        <v>Pecan</v>
      </c>
      <c r="G880" t="str">
        <f t="shared" si="66"/>
        <v>Pecan6835San Antonio</v>
      </c>
      <c r="H880" t="s">
        <v>31738</v>
      </c>
      <c r="I880" t="s">
        <v>23170</v>
      </c>
      <c r="J880" t="str">
        <f t="shared" si="67"/>
        <v>E:\PropInv\MF</v>
      </c>
      <c r="K880" s="103" t="str">
        <f>HYPERLINK("E:\PropInv\MF\San Antonio\Pecan Valley Dr_6835_Spanish Spur_San Antonio_01011","Pecan Valley Dr_6835_Spanish Spur_San Antonio_01011" )</f>
        <v>Pecan Valley Dr_6835_Spanish Spur_San Antonio_01011</v>
      </c>
      <c r="L880" s="104" t="s">
        <v>22253</v>
      </c>
      <c r="M880" s="103" t="str">
        <f t="shared" si="68"/>
        <v>http://oconnordata.com/mlink/modules/profile/index.cfm?action=profile&amp;prop_id=1011</v>
      </c>
      <c r="N880" s="1" t="str">
        <f t="shared" si="69"/>
        <v>01011</v>
      </c>
    </row>
    <row r="881" spans="1:14" x14ac:dyDescent="0.3">
      <c r="A881" s="1">
        <v>1012</v>
      </c>
      <c r="B881" s="7" t="s">
        <v>865</v>
      </c>
      <c r="C881" s="12">
        <v>7226</v>
      </c>
      <c r="D881" s="7" t="s">
        <v>1356</v>
      </c>
      <c r="E881" s="13" t="s">
        <v>842</v>
      </c>
      <c r="F881" t="str">
        <f t="shared" si="65"/>
        <v>Blanco</v>
      </c>
      <c r="G881" t="str">
        <f t="shared" si="66"/>
        <v>Blanco7226San Antonio</v>
      </c>
      <c r="H881" t="s">
        <v>31739</v>
      </c>
      <c r="I881" t="s">
        <v>23171</v>
      </c>
      <c r="J881" t="str">
        <f t="shared" si="67"/>
        <v>E:\PropInv\MF</v>
      </c>
      <c r="K881" s="103" t="str">
        <f>HYPERLINK("E:\PropInv\MF\San Antonio\Blanco Rd_7226_Rayo del Sol_San Antonio_01012","Blanco Rd_7226_Rayo del Sol_San Antonio_01012" )</f>
        <v>Blanco Rd_7226_Rayo del Sol_San Antonio_01012</v>
      </c>
      <c r="L881" s="104" t="s">
        <v>22253</v>
      </c>
      <c r="M881" s="103" t="str">
        <f t="shared" si="68"/>
        <v>http://oconnordata.com/mlink/modules/profile/index.cfm?action=profile&amp;prop_id=1012</v>
      </c>
      <c r="N881" s="1" t="str">
        <f t="shared" si="69"/>
        <v>01012</v>
      </c>
    </row>
    <row r="882" spans="1:14" x14ac:dyDescent="0.3">
      <c r="A882" s="1">
        <v>1013</v>
      </c>
      <c r="B882" s="7" t="s">
        <v>1095</v>
      </c>
      <c r="C882" s="12">
        <v>8802</v>
      </c>
      <c r="D882" s="7" t="s">
        <v>1357</v>
      </c>
      <c r="E882" s="13" t="s">
        <v>842</v>
      </c>
      <c r="F882" t="str">
        <f t="shared" si="65"/>
        <v>Cinnamon</v>
      </c>
      <c r="G882" t="str">
        <f t="shared" si="66"/>
        <v>Cinnamon8802San Antonio</v>
      </c>
      <c r="H882" t="s">
        <v>31740</v>
      </c>
      <c r="I882" t="s">
        <v>23172</v>
      </c>
      <c r="J882" t="str">
        <f t="shared" si="67"/>
        <v>E:\PropInv\MF</v>
      </c>
      <c r="K882" s="103" t="str">
        <f>HYPERLINK("E:\PropInv\MF\San Antonio\Cinnamon Creek Dr_8802_Spice Creek_San Antonio_01013","Cinnamon Creek Dr_8802_Spice Creek_San Antonio_01013" )</f>
        <v>Cinnamon Creek Dr_8802_Spice Creek_San Antonio_01013</v>
      </c>
      <c r="L882" s="104" t="s">
        <v>22253</v>
      </c>
      <c r="M882" s="103" t="str">
        <f t="shared" si="68"/>
        <v>http://oconnordata.com/mlink/modules/profile/index.cfm?action=profile&amp;prop_id=1013</v>
      </c>
      <c r="N882" s="1" t="str">
        <f t="shared" si="69"/>
        <v>01013</v>
      </c>
    </row>
    <row r="883" spans="1:14" x14ac:dyDescent="0.3">
      <c r="A883" s="1">
        <v>1014</v>
      </c>
      <c r="B883" s="7" t="s">
        <v>967</v>
      </c>
      <c r="C883" s="12">
        <v>4830</v>
      </c>
      <c r="D883" s="7" t="s">
        <v>1358</v>
      </c>
      <c r="E883" s="13" t="s">
        <v>842</v>
      </c>
      <c r="F883" t="str">
        <f t="shared" si="65"/>
        <v>Ray</v>
      </c>
      <c r="G883" t="str">
        <f t="shared" si="66"/>
        <v>Ray4830San Antonio</v>
      </c>
      <c r="H883" t="s">
        <v>31741</v>
      </c>
      <c r="I883" t="s">
        <v>23173</v>
      </c>
      <c r="J883" t="str">
        <f t="shared" si="67"/>
        <v>E:\PropInv\MF</v>
      </c>
      <c r="K883" s="103" t="str">
        <f>HYPERLINK("E:\PropInv\MF\San Antonio\Ray Bon_4830_Spring Hill_San Antonio_01014","Ray Bon_4830_Spring Hill_San Antonio_01014" )</f>
        <v>Ray Bon_4830_Spring Hill_San Antonio_01014</v>
      </c>
      <c r="L883" s="104" t="s">
        <v>22253</v>
      </c>
      <c r="M883" s="103" t="str">
        <f t="shared" si="68"/>
        <v>http://oconnordata.com/mlink/modules/profile/index.cfm?action=profile&amp;prop_id=1014</v>
      </c>
      <c r="N883" s="1" t="str">
        <f t="shared" si="69"/>
        <v>01014</v>
      </c>
    </row>
    <row r="884" spans="1:14" x14ac:dyDescent="0.3">
      <c r="A884" s="1">
        <v>1015</v>
      </c>
      <c r="B884" s="7" t="s">
        <v>1359</v>
      </c>
      <c r="C884" s="12">
        <v>1310</v>
      </c>
      <c r="D884" s="7" t="s">
        <v>1360</v>
      </c>
      <c r="E884" s="13" t="s">
        <v>842</v>
      </c>
      <c r="F884" t="str">
        <f t="shared" si="65"/>
        <v>Springvale</v>
      </c>
      <c r="G884" t="str">
        <f t="shared" si="66"/>
        <v>Springvale1310San Antonio</v>
      </c>
      <c r="H884" t="s">
        <v>31742</v>
      </c>
      <c r="I884" t="s">
        <v>23174</v>
      </c>
      <c r="J884" t="str">
        <f t="shared" si="67"/>
        <v>E:\PropInv\MF</v>
      </c>
      <c r="K884" s="103" t="str">
        <f>HYPERLINK("E:\PropInv\MF\San Antonio\Springvale_1310_Springvale Manor_San Antonio_01015","Springvale_1310_Springvale Manor_San Antonio_01015" )</f>
        <v>Springvale_1310_Springvale Manor_San Antonio_01015</v>
      </c>
      <c r="L884" s="104" t="s">
        <v>22253</v>
      </c>
      <c r="M884" s="103" t="str">
        <f t="shared" si="68"/>
        <v>http://oconnordata.com/mlink/modules/profile/index.cfm?action=profile&amp;prop_id=1015</v>
      </c>
      <c r="N884" s="1" t="str">
        <f t="shared" si="69"/>
        <v>01015</v>
      </c>
    </row>
    <row r="885" spans="1:14" x14ac:dyDescent="0.3">
      <c r="A885" s="1">
        <v>1016</v>
      </c>
      <c r="B885" s="7" t="s">
        <v>1361</v>
      </c>
      <c r="C885" s="12">
        <v>1400</v>
      </c>
      <c r="D885" s="7" t="s">
        <v>1362</v>
      </c>
      <c r="E885" s="13" t="s">
        <v>842</v>
      </c>
      <c r="F885" t="str">
        <f t="shared" si="65"/>
        <v>Gardina</v>
      </c>
      <c r="G885" t="str">
        <f t="shared" si="66"/>
        <v>Gardina1400San Antonio</v>
      </c>
      <c r="H885" t="s">
        <v>31743</v>
      </c>
      <c r="I885" t="s">
        <v>23175</v>
      </c>
      <c r="J885" t="str">
        <f t="shared" si="67"/>
        <v>E:\PropInv\MF</v>
      </c>
      <c r="K885" s="103" t="str">
        <f>HYPERLINK("E:\PropInv\MF\San Antonio\Gardina St_1400_Springwood_San Antonio_01016","Gardina St_1400_Springwood_San Antonio_01016" )</f>
        <v>Gardina St_1400_Springwood_San Antonio_01016</v>
      </c>
      <c r="L885" s="104" t="s">
        <v>22253</v>
      </c>
      <c r="M885" s="103" t="str">
        <f t="shared" si="68"/>
        <v>http://oconnordata.com/mlink/modules/profile/index.cfm?action=profile&amp;prop_id=1016</v>
      </c>
      <c r="N885" s="1" t="str">
        <f t="shared" si="69"/>
        <v>01016</v>
      </c>
    </row>
    <row r="886" spans="1:14" x14ac:dyDescent="0.3">
      <c r="A886" s="1">
        <v>1017</v>
      </c>
      <c r="B886" s="7" t="s">
        <v>1363</v>
      </c>
      <c r="C886" s="12">
        <v>5055</v>
      </c>
      <c r="D886" s="7" t="s">
        <v>1364</v>
      </c>
      <c r="E886" s="13" t="s">
        <v>842</v>
      </c>
      <c r="F886" t="str">
        <f t="shared" si="65"/>
        <v>Von</v>
      </c>
      <c r="G886" t="str">
        <f t="shared" si="66"/>
        <v>Von5055San Antonio</v>
      </c>
      <c r="H886" t="s">
        <v>31744</v>
      </c>
      <c r="I886" t="s">
        <v>23176</v>
      </c>
      <c r="J886" t="str">
        <f t="shared" si="67"/>
        <v>E:\PropInv\MF</v>
      </c>
      <c r="K886" s="103" t="str">
        <f>HYPERLINK("E:\PropInv\MF\San Antonio\Von Scheele_5055_Medical Center Apts_San Antonio_01017","Von Scheele_5055_Medical Center Apts_San Antonio_01017" )</f>
        <v>Von Scheele_5055_Medical Center Apts_San Antonio_01017</v>
      </c>
      <c r="L886" s="104" t="s">
        <v>22253</v>
      </c>
      <c r="M886" s="103" t="str">
        <f t="shared" si="68"/>
        <v>http://oconnordata.com/mlink/modules/profile/index.cfm?action=profile&amp;prop_id=1017</v>
      </c>
      <c r="N886" s="1" t="str">
        <f t="shared" si="69"/>
        <v>01017</v>
      </c>
    </row>
    <row r="887" spans="1:14" x14ac:dyDescent="0.3">
      <c r="A887" s="1">
        <v>1018</v>
      </c>
      <c r="B887" s="7" t="s">
        <v>1365</v>
      </c>
      <c r="C887" s="12">
        <v>7737</v>
      </c>
      <c r="D887" s="7" t="s">
        <v>1366</v>
      </c>
      <c r="E887" s="13" t="s">
        <v>842</v>
      </c>
      <c r="F887" t="str">
        <f t="shared" si="65"/>
        <v>Skolout</v>
      </c>
      <c r="G887" t="str">
        <f t="shared" si="66"/>
        <v>Skolout7737San Antonio</v>
      </c>
      <c r="H887" t="s">
        <v>31745</v>
      </c>
      <c r="I887" t="s">
        <v>23177</v>
      </c>
      <c r="J887" t="str">
        <f t="shared" si="67"/>
        <v>E:\PropInv\MF</v>
      </c>
      <c r="K887" s="103" t="str">
        <f>HYPERLINK("E:\PropInv\MF\San Antonio\Skolout Dr_7737_Stepping Stone_San Antonio_01018","Skolout Dr_7737_Stepping Stone_San Antonio_01018" )</f>
        <v>Skolout Dr_7737_Stepping Stone_San Antonio_01018</v>
      </c>
      <c r="L887" s="104" t="s">
        <v>22253</v>
      </c>
      <c r="M887" s="103" t="str">
        <f t="shared" si="68"/>
        <v>http://oconnordata.com/mlink/modules/profile/index.cfm?action=profile&amp;prop_id=1018</v>
      </c>
      <c r="N887" s="1" t="str">
        <f t="shared" si="69"/>
        <v>01018</v>
      </c>
    </row>
    <row r="888" spans="1:14" x14ac:dyDescent="0.3">
      <c r="A888" s="1">
        <v>1019</v>
      </c>
      <c r="B888" s="7" t="s">
        <v>1367</v>
      </c>
      <c r="C888" s="12">
        <v>384</v>
      </c>
      <c r="D888" s="7" t="s">
        <v>1368</v>
      </c>
      <c r="E888" s="13" t="s">
        <v>842</v>
      </c>
      <c r="F888" t="str">
        <f t="shared" si="65"/>
        <v>Treeline</v>
      </c>
      <c r="G888" t="str">
        <f t="shared" si="66"/>
        <v>Treeline384San Antonio</v>
      </c>
      <c r="H888" t="s">
        <v>31746</v>
      </c>
      <c r="I888" t="s">
        <v>23178</v>
      </c>
      <c r="J888" t="str">
        <f t="shared" si="67"/>
        <v>E:\PropInv\MF</v>
      </c>
      <c r="K888" s="103" t="str">
        <f>HYPERLINK("E:\PropInv\MF\San Antonio\Treeline Park_384_Keystone at Alamo Heights_San Antonio_01019","Treeline Park_384_Keystone at Alamo Heights_San Antonio_01019" )</f>
        <v>Treeline Park_384_Keystone at Alamo Heights_San Antonio_01019</v>
      </c>
      <c r="L888" s="104" t="s">
        <v>22253</v>
      </c>
      <c r="M888" s="103" t="str">
        <f t="shared" si="68"/>
        <v>http://oconnordata.com/mlink/modules/profile/index.cfm?action=profile&amp;prop_id=1019</v>
      </c>
      <c r="N888" s="1" t="str">
        <f t="shared" si="69"/>
        <v>01019</v>
      </c>
    </row>
    <row r="889" spans="1:14" x14ac:dyDescent="0.3">
      <c r="A889" s="1">
        <v>1020</v>
      </c>
      <c r="B889" s="7" t="s">
        <v>1141</v>
      </c>
      <c r="C889" s="12">
        <v>12200</v>
      </c>
      <c r="D889" s="7" t="s">
        <v>1369</v>
      </c>
      <c r="E889" s="13" t="s">
        <v>842</v>
      </c>
      <c r="F889" t="str">
        <f t="shared" si="65"/>
        <v>10</v>
      </c>
      <c r="G889" t="str">
        <f t="shared" si="66"/>
        <v>1012200San Antonio</v>
      </c>
      <c r="H889" t="s">
        <v>31747</v>
      </c>
      <c r="I889" t="s">
        <v>23179</v>
      </c>
      <c r="J889" t="str">
        <f t="shared" si="67"/>
        <v>E:\PropInv\MF</v>
      </c>
      <c r="K889" s="103" t="str">
        <f>HYPERLINK("E:\PropInv\MF\San Antonio\10 IH W_12200_Stone Oak Place_San Antonio_01020","10 IH W_12200_Stone Oak Place_San Antonio_01020" )</f>
        <v>10 IH W_12200_Stone Oak Place_San Antonio_01020</v>
      </c>
      <c r="L889" s="104" t="s">
        <v>22253</v>
      </c>
      <c r="M889" s="103" t="str">
        <f t="shared" si="68"/>
        <v>http://oconnordata.com/mlink/modules/profile/index.cfm?action=profile&amp;prop_id=1020</v>
      </c>
      <c r="N889" s="1" t="str">
        <f t="shared" si="69"/>
        <v>01020</v>
      </c>
    </row>
    <row r="890" spans="1:14" x14ac:dyDescent="0.3">
      <c r="A890" s="1">
        <v>1021</v>
      </c>
      <c r="B890" s="7" t="s">
        <v>1070</v>
      </c>
      <c r="C890" s="12">
        <v>11500</v>
      </c>
      <c r="D890" s="7" t="s">
        <v>1370</v>
      </c>
      <c r="E890" s="13" t="s">
        <v>842</v>
      </c>
      <c r="F890" t="str">
        <f t="shared" si="65"/>
        <v>Huebner</v>
      </c>
      <c r="G890" t="str">
        <f t="shared" si="66"/>
        <v>Huebner11500San Antonio</v>
      </c>
      <c r="H890" t="s">
        <v>31748</v>
      </c>
      <c r="I890" t="s">
        <v>23180</v>
      </c>
      <c r="J890" t="str">
        <f t="shared" si="67"/>
        <v>E:\PropInv\MF</v>
      </c>
      <c r="K890" s="103" t="str">
        <f>HYPERLINK("E:\PropInv\MF\San Antonio\Huebner Rd_11500_Oak Haven_San Antonio_01021","Huebner Rd_11500_Oak Haven_San Antonio_01021" )</f>
        <v>Huebner Rd_11500_Oak Haven_San Antonio_01021</v>
      </c>
      <c r="L890" s="104" t="s">
        <v>22253</v>
      </c>
      <c r="M890" s="103" t="str">
        <f t="shared" si="68"/>
        <v>http://oconnordata.com/mlink/modules/profile/index.cfm?action=profile&amp;prop_id=1021</v>
      </c>
      <c r="N890" s="1" t="str">
        <f t="shared" si="69"/>
        <v>01021</v>
      </c>
    </row>
    <row r="891" spans="1:14" x14ac:dyDescent="0.3">
      <c r="A891" s="1">
        <v>1022</v>
      </c>
      <c r="B891" s="7" t="s">
        <v>879</v>
      </c>
      <c r="C891" s="12">
        <v>2626</v>
      </c>
      <c r="D891" s="7" t="s">
        <v>1371</v>
      </c>
      <c r="E891" s="13" t="s">
        <v>842</v>
      </c>
      <c r="F891" t="str">
        <f t="shared" si="65"/>
        <v>Thousand</v>
      </c>
      <c r="G891" t="str">
        <f t="shared" si="66"/>
        <v>Thousand2626San Antonio</v>
      </c>
      <c r="H891" t="s">
        <v>31749</v>
      </c>
      <c r="I891" t="s">
        <v>23181</v>
      </c>
      <c r="J891" t="str">
        <f t="shared" si="67"/>
        <v>E:\PropInv\MF</v>
      </c>
      <c r="K891" s="103" t="str">
        <f>HYPERLINK("E:\PropInv\MF\San Antonio\Thousand Oaks Dr_2626_Stoneleigh_San Antonio_01022","Thousand Oaks Dr_2626_Stoneleigh_San Antonio_01022" )</f>
        <v>Thousand Oaks Dr_2626_Stoneleigh_San Antonio_01022</v>
      </c>
      <c r="L891" s="104" t="s">
        <v>22253</v>
      </c>
      <c r="M891" s="103" t="str">
        <f t="shared" si="68"/>
        <v>http://oconnordata.com/mlink/modules/profile/index.cfm?action=profile&amp;prop_id=1022</v>
      </c>
      <c r="N891" s="1" t="str">
        <f t="shared" si="69"/>
        <v>01022</v>
      </c>
    </row>
    <row r="892" spans="1:14" x14ac:dyDescent="0.3">
      <c r="A892" s="1">
        <v>1023</v>
      </c>
      <c r="B892" s="7" t="s">
        <v>1372</v>
      </c>
      <c r="C892" s="12">
        <v>6933</v>
      </c>
      <c r="D892" s="7" t="s">
        <v>1373</v>
      </c>
      <c r="E892" s="13" t="s">
        <v>842</v>
      </c>
      <c r="F892" t="str">
        <f t="shared" si="65"/>
        <v>Border</v>
      </c>
      <c r="G892" t="str">
        <f t="shared" si="66"/>
        <v>Border6933San Antonio</v>
      </c>
      <c r="H892" t="s">
        <v>31750</v>
      </c>
      <c r="I892" t="s">
        <v>23182</v>
      </c>
      <c r="J892" t="str">
        <f t="shared" si="67"/>
        <v>E:\PropInv\MF</v>
      </c>
      <c r="K892" s="103" t="str">
        <f>HYPERLINK("E:\PropInv\MF\San Antonio\Border Brook_6933_Stoneybrook_San Antonio_01023","Border Brook_6933_Stoneybrook_San Antonio_01023" )</f>
        <v>Border Brook_6933_Stoneybrook_San Antonio_01023</v>
      </c>
      <c r="L892" s="104" t="s">
        <v>22253</v>
      </c>
      <c r="M892" s="103" t="str">
        <f t="shared" si="68"/>
        <v>http://oconnordata.com/mlink/modules/profile/index.cfm?action=profile&amp;prop_id=1023</v>
      </c>
      <c r="N892" s="1" t="str">
        <f t="shared" si="69"/>
        <v>01023</v>
      </c>
    </row>
    <row r="893" spans="1:14" x14ac:dyDescent="0.3">
      <c r="A893" s="1">
        <v>1024</v>
      </c>
      <c r="B893" s="7" t="s">
        <v>1182</v>
      </c>
      <c r="C893" s="12">
        <v>4041</v>
      </c>
      <c r="D893" s="7" t="s">
        <v>1374</v>
      </c>
      <c r="E893" s="13" t="s">
        <v>842</v>
      </c>
      <c r="F893" t="str">
        <f t="shared" si="65"/>
        <v>Medical</v>
      </c>
      <c r="G893" t="str">
        <f t="shared" si="66"/>
        <v>Medical4041San Antonio</v>
      </c>
      <c r="H893" t="s">
        <v>31751</v>
      </c>
      <c r="I893" t="s">
        <v>23183</v>
      </c>
      <c r="J893" t="str">
        <f t="shared" si="67"/>
        <v>E:\PropInv\MF</v>
      </c>
      <c r="K893" s="103" t="str">
        <f>HYPERLINK("E:\PropInv\MF\San Antonio\Medical Dr_4041_The Stratford_San Antonio_01024","Medical Dr_4041_The Stratford_San Antonio_01024" )</f>
        <v>Medical Dr_4041_The Stratford_San Antonio_01024</v>
      </c>
      <c r="L893" s="104" t="s">
        <v>22253</v>
      </c>
      <c r="M893" s="103" t="str">
        <f t="shared" si="68"/>
        <v>http://oconnordata.com/mlink/modules/profile/index.cfm?action=profile&amp;prop_id=1024</v>
      </c>
      <c r="N893" s="1" t="str">
        <f t="shared" si="69"/>
        <v>01024</v>
      </c>
    </row>
    <row r="894" spans="1:14" x14ac:dyDescent="0.3">
      <c r="A894" s="1">
        <v>1025</v>
      </c>
      <c r="B894" s="7" t="s">
        <v>1375</v>
      </c>
      <c r="C894" s="12">
        <v>8303</v>
      </c>
      <c r="D894" s="7" t="s">
        <v>1376</v>
      </c>
      <c r="E894" s="13" t="s">
        <v>842</v>
      </c>
      <c r="F894" t="str">
        <f t="shared" si="65"/>
        <v>Greatview</v>
      </c>
      <c r="G894" t="str">
        <f t="shared" si="66"/>
        <v>Greatview8303San Antonio</v>
      </c>
      <c r="H894" t="s">
        <v>31752</v>
      </c>
      <c r="I894" t="s">
        <v>23184</v>
      </c>
      <c r="J894" t="str">
        <f t="shared" si="67"/>
        <v>E:\PropInv\MF</v>
      </c>
      <c r="K894" s="103" t="str">
        <f>HYPERLINK("E:\PropInv\MF\San Antonio\Greatview Dr_8303_Sugar Hill_San Antonio_01025","Greatview Dr_8303_Sugar Hill_San Antonio_01025" )</f>
        <v>Greatview Dr_8303_Sugar Hill_San Antonio_01025</v>
      </c>
      <c r="L894" s="104" t="s">
        <v>22253</v>
      </c>
      <c r="M894" s="103" t="str">
        <f t="shared" si="68"/>
        <v>http://oconnordata.com/mlink/modules/profile/index.cfm?action=profile&amp;prop_id=1025</v>
      </c>
      <c r="N894" s="1" t="str">
        <f t="shared" si="69"/>
        <v>01025</v>
      </c>
    </row>
    <row r="895" spans="1:14" x14ac:dyDescent="0.3">
      <c r="A895" s="1">
        <v>1026</v>
      </c>
      <c r="B895" s="7" t="s">
        <v>950</v>
      </c>
      <c r="C895" s="12">
        <v>1400</v>
      </c>
      <c r="D895" s="7" t="s">
        <v>1377</v>
      </c>
      <c r="E895" s="13" t="s">
        <v>842</v>
      </c>
      <c r="F895" t="str">
        <f t="shared" si="65"/>
        <v>Patricia</v>
      </c>
      <c r="G895" t="str">
        <f t="shared" si="66"/>
        <v>Patricia1400San Antonio</v>
      </c>
      <c r="H895" t="s">
        <v>31753</v>
      </c>
      <c r="I895" t="s">
        <v>23185</v>
      </c>
      <c r="J895" t="str">
        <f t="shared" si="67"/>
        <v>E:\PropInv\MF</v>
      </c>
      <c r="K895" s="103" t="str">
        <f>HYPERLINK("E:\PropInv\MF\San Antonio\Patricia Dr_1400_Summer Oaks_San Antonio_01026","Patricia Dr_1400_Summer Oaks_San Antonio_01026" )</f>
        <v>Patricia Dr_1400_Summer Oaks_San Antonio_01026</v>
      </c>
      <c r="L895" s="104" t="s">
        <v>22253</v>
      </c>
      <c r="M895" s="103" t="str">
        <f t="shared" si="68"/>
        <v>http://oconnordata.com/mlink/modules/profile/index.cfm?action=profile&amp;prop_id=1026</v>
      </c>
      <c r="N895" s="1" t="str">
        <f t="shared" si="69"/>
        <v>01026</v>
      </c>
    </row>
    <row r="896" spans="1:14" x14ac:dyDescent="0.3">
      <c r="A896" s="1">
        <v>1027</v>
      </c>
      <c r="B896" s="7" t="s">
        <v>970</v>
      </c>
      <c r="C896" s="12">
        <v>1474</v>
      </c>
      <c r="D896" s="7" t="s">
        <v>1378</v>
      </c>
      <c r="E896" s="13" t="s">
        <v>842</v>
      </c>
      <c r="F896" t="str">
        <f t="shared" si="65"/>
        <v>Hillcrest</v>
      </c>
      <c r="G896" t="str">
        <f t="shared" si="66"/>
        <v>Hillcrest1474San Antonio</v>
      </c>
      <c r="H896" t="s">
        <v>31754</v>
      </c>
      <c r="I896" t="s">
        <v>23186</v>
      </c>
      <c r="J896" t="str">
        <f t="shared" si="67"/>
        <v>E:\PropInv\MF</v>
      </c>
      <c r="K896" s="103" t="str">
        <f>HYPERLINK("E:\PropInv\MF\San Antonio\Hillcrest Dr_1474_Summer Place_San Antonio_01027","Hillcrest Dr_1474_Summer Place_San Antonio_01027" )</f>
        <v>Hillcrest Dr_1474_Summer Place_San Antonio_01027</v>
      </c>
      <c r="L896" s="104" t="s">
        <v>22253</v>
      </c>
      <c r="M896" s="103" t="str">
        <f t="shared" si="68"/>
        <v>http://oconnordata.com/mlink/modules/profile/index.cfm?action=profile&amp;prop_id=1027</v>
      </c>
      <c r="N896" s="1" t="str">
        <f t="shared" si="69"/>
        <v>01027</v>
      </c>
    </row>
    <row r="897" spans="1:14" x14ac:dyDescent="0.3">
      <c r="A897" s="1">
        <v>1028</v>
      </c>
      <c r="B897" s="7" t="s">
        <v>1379</v>
      </c>
      <c r="C897" s="12">
        <v>1230</v>
      </c>
      <c r="D897" s="7" t="s">
        <v>1380</v>
      </c>
      <c r="E897" s="13" t="s">
        <v>986</v>
      </c>
      <c r="F897" t="str">
        <f t="shared" si="65"/>
        <v>Walnut</v>
      </c>
      <c r="G897" t="str">
        <f t="shared" si="66"/>
        <v>Walnut1230Seguin</v>
      </c>
      <c r="H897" t="s">
        <v>31755</v>
      </c>
      <c r="I897" t="s">
        <v>23187</v>
      </c>
      <c r="J897" t="str">
        <f t="shared" si="67"/>
        <v>E:\PropInv\MF</v>
      </c>
      <c r="K897" s="103" t="str">
        <f>HYPERLINK("E:\PropInv\MF\Seguin\Walnut St E_1230_Summers Bend Apts_Seguin_01028","Walnut St E_1230_Summers Bend Apts_Seguin_01028" )</f>
        <v>Walnut St E_1230_Summers Bend Apts_Seguin_01028</v>
      </c>
      <c r="L897" s="104" t="s">
        <v>22253</v>
      </c>
      <c r="M897" s="103" t="str">
        <f t="shared" si="68"/>
        <v>http://oconnordata.com/mlink/modules/profile/index.cfm?action=profile&amp;prop_id=1028</v>
      </c>
      <c r="N897" s="1" t="str">
        <f t="shared" si="69"/>
        <v>01028</v>
      </c>
    </row>
    <row r="898" spans="1:14" x14ac:dyDescent="0.3">
      <c r="A898" s="1">
        <v>1030</v>
      </c>
      <c r="B898" s="7" t="s">
        <v>1381</v>
      </c>
      <c r="C898" s="12">
        <v>4700</v>
      </c>
      <c r="D898" s="7" t="s">
        <v>1382</v>
      </c>
      <c r="E898" s="13" t="s">
        <v>842</v>
      </c>
      <c r="F898" t="str">
        <f t="shared" ref="F898:F961" si="70">IFERROR(LEFT(B898,FIND(" ",B898)-1),B898)</f>
        <v>Stringfellow</v>
      </c>
      <c r="G898" t="str">
        <f t="shared" ref="G898:G961" si="71">F898&amp;C898&amp;E898</f>
        <v>Stringfellow4700San Antonio</v>
      </c>
      <c r="H898" t="s">
        <v>31756</v>
      </c>
      <c r="I898" t="s">
        <v>23188</v>
      </c>
      <c r="J898" t="str">
        <f t="shared" ref="J898:J961" si="72">IF(L898="TX",Folder_Path,Folder_Path&amp;"\State_"&amp;L898)</f>
        <v>E:\PropInv\MF</v>
      </c>
      <c r="K898" s="103" t="str">
        <f>HYPERLINK("E:\PropInv\MF\San Antonio\Stringfellow Dr_4700_Summerview_San Antonio_01030","Stringfellow Dr_4700_Summerview_San Antonio_01030" )</f>
        <v>Stringfellow Dr_4700_Summerview_San Antonio_01030</v>
      </c>
      <c r="L898" s="104" t="s">
        <v>22253</v>
      </c>
      <c r="M898" s="103" t="str">
        <f t="shared" ref="M898:M961" si="73">HYPERLINK("http://oconnordata.com/mlink/modules/profile/index.cfm?action=profile&amp;prop_id="&amp;A898)</f>
        <v>http://oconnordata.com/mlink/modules/profile/index.cfm?action=profile&amp;prop_id=1030</v>
      </c>
      <c r="N898" s="1" t="str">
        <f t="shared" ref="N898:N961" si="74">IF(LEN(A898)=1,"0000"&amp;A898,IF(LEN(A898)=2,"000"&amp;A898,IF(LEN(A898)=3,"00"&amp;A898,IF(LEN(A898)=4,"0"&amp;A898,IF(LEN(A898)=5,IF(LEFT(A898,1)="3",A898+30000,A898))))))</f>
        <v>01030</v>
      </c>
    </row>
    <row r="899" spans="1:14" x14ac:dyDescent="0.3">
      <c r="A899" s="1">
        <v>1031</v>
      </c>
      <c r="B899" s="7" t="s">
        <v>855</v>
      </c>
      <c r="C899" s="12">
        <v>4210</v>
      </c>
      <c r="D899" s="7" t="s">
        <v>1383</v>
      </c>
      <c r="E899" s="13" t="s">
        <v>842</v>
      </c>
      <c r="F899" t="str">
        <f t="shared" si="70"/>
        <v>Fredericksburg</v>
      </c>
      <c r="G899" t="str">
        <f t="shared" si="71"/>
        <v>Fredericksburg4210San Antonio</v>
      </c>
      <c r="H899" t="s">
        <v>31757</v>
      </c>
      <c r="I899" t="s">
        <v>23189</v>
      </c>
      <c r="J899" t="str">
        <f t="shared" si="72"/>
        <v>E:\PropInv\MF</v>
      </c>
      <c r="K899" s="103" t="str">
        <f>HYPERLINK("E:\PropInv\MF\San Antonio\Fredericksburg Rd_4210_Santa Fe Place_San Antonio_01031","Fredericksburg Rd_4210_Santa Fe Place_San Antonio_01031" )</f>
        <v>Fredericksburg Rd_4210_Santa Fe Place_San Antonio_01031</v>
      </c>
      <c r="L899" s="104" t="s">
        <v>22253</v>
      </c>
      <c r="M899" s="103" t="str">
        <f t="shared" si="73"/>
        <v>http://oconnordata.com/mlink/modules/profile/index.cfm?action=profile&amp;prop_id=1031</v>
      </c>
      <c r="N899" s="1" t="str">
        <f t="shared" si="74"/>
        <v>01031</v>
      </c>
    </row>
    <row r="900" spans="1:14" x14ac:dyDescent="0.3">
      <c r="A900" s="1">
        <v>1032</v>
      </c>
      <c r="B900" s="7" t="s">
        <v>1051</v>
      </c>
      <c r="C900" s="12">
        <v>11444</v>
      </c>
      <c r="D900" s="7" t="s">
        <v>1384</v>
      </c>
      <c r="E900" s="13" t="s">
        <v>842</v>
      </c>
      <c r="F900" t="str">
        <f t="shared" si="70"/>
        <v>Vance</v>
      </c>
      <c r="G900" t="str">
        <f t="shared" si="71"/>
        <v>Vance11444San Antonio</v>
      </c>
      <c r="H900" t="s">
        <v>31758</v>
      </c>
      <c r="I900" t="s">
        <v>23190</v>
      </c>
      <c r="J900" t="str">
        <f t="shared" si="72"/>
        <v>E:\PropInv\MF</v>
      </c>
      <c r="K900" s="103" t="str">
        <f>HYPERLINK("E:\PropInv\MF\San Antonio\Vance Jackson Rd_11444_Trails of Elm Creek_San Antonio_01032","Vance Jackson Rd_11444_Trails of Elm Creek_San Antonio_01032" )</f>
        <v>Vance Jackson Rd_11444_Trails of Elm Creek_San Antonio_01032</v>
      </c>
      <c r="L900" s="104" t="s">
        <v>22253</v>
      </c>
      <c r="M900" s="103" t="str">
        <f t="shared" si="73"/>
        <v>http://oconnordata.com/mlink/modules/profile/index.cfm?action=profile&amp;prop_id=1032</v>
      </c>
      <c r="N900" s="1" t="str">
        <f t="shared" si="74"/>
        <v>01032</v>
      </c>
    </row>
    <row r="901" spans="1:14" x14ac:dyDescent="0.3">
      <c r="A901" s="1">
        <v>1033</v>
      </c>
      <c r="B901" s="7" t="s">
        <v>974</v>
      </c>
      <c r="C901" s="12">
        <v>5300</v>
      </c>
      <c r="D901" s="7" t="s">
        <v>1385</v>
      </c>
      <c r="E901" s="13" t="s">
        <v>842</v>
      </c>
      <c r="F901" t="str">
        <f t="shared" si="70"/>
        <v>410</v>
      </c>
      <c r="G901" t="str">
        <f t="shared" si="71"/>
        <v>4105300San Antonio</v>
      </c>
      <c r="H901" t="s">
        <v>31759</v>
      </c>
      <c r="I901" t="s">
        <v>23191</v>
      </c>
      <c r="J901" t="str">
        <f t="shared" si="72"/>
        <v>E:\PropInv\MF</v>
      </c>
      <c r="K901" s="103" t="str">
        <f>HYPERLINK("E:\PropInv\MF\San Antonio\410 Loop NW_5300_Summit Oaks_San Antonio_01033","410 Loop NW_5300_Summit Oaks_San Antonio_01033" )</f>
        <v>410 Loop NW_5300_Summit Oaks_San Antonio_01033</v>
      </c>
      <c r="L901" s="104" t="s">
        <v>22253</v>
      </c>
      <c r="M901" s="103" t="str">
        <f t="shared" si="73"/>
        <v>http://oconnordata.com/mlink/modules/profile/index.cfm?action=profile&amp;prop_id=1033</v>
      </c>
      <c r="N901" s="1" t="str">
        <f t="shared" si="74"/>
        <v>01033</v>
      </c>
    </row>
    <row r="902" spans="1:14" x14ac:dyDescent="0.3">
      <c r="A902" s="1">
        <v>1034</v>
      </c>
      <c r="B902" s="7" t="s">
        <v>879</v>
      </c>
      <c r="C902" s="12">
        <v>1550</v>
      </c>
      <c r="D902" s="7" t="s">
        <v>1386</v>
      </c>
      <c r="E902" s="13" t="s">
        <v>842</v>
      </c>
      <c r="F902" t="str">
        <f t="shared" si="70"/>
        <v>Thousand</v>
      </c>
      <c r="G902" t="str">
        <f t="shared" si="71"/>
        <v>Thousand1550San Antonio</v>
      </c>
      <c r="H902" t="s">
        <v>31760</v>
      </c>
      <c r="I902" t="s">
        <v>23192</v>
      </c>
      <c r="J902" t="str">
        <f t="shared" si="72"/>
        <v>E:\PropInv\MF</v>
      </c>
      <c r="K902" s="103" t="str">
        <f>HYPERLINK("E:\PropInv\MF\San Antonio\Thousand Oaks Dr_1550_The Summit of Thousand Oaks_San Antonio_01034","Thousand Oaks Dr_1550_The Summit of Thousand Oaks_San Antonio_01034" )</f>
        <v>Thousand Oaks Dr_1550_The Summit of Thousand Oaks_San Antonio_01034</v>
      </c>
      <c r="L902" s="104" t="s">
        <v>22253</v>
      </c>
      <c r="M902" s="103" t="str">
        <f t="shared" si="73"/>
        <v>http://oconnordata.com/mlink/modules/profile/index.cfm?action=profile&amp;prop_id=1034</v>
      </c>
      <c r="N902" s="1" t="str">
        <f t="shared" si="74"/>
        <v>01034</v>
      </c>
    </row>
    <row r="903" spans="1:14" x14ac:dyDescent="0.3">
      <c r="A903" s="1">
        <v>1035</v>
      </c>
      <c r="B903" s="7" t="s">
        <v>948</v>
      </c>
      <c r="C903" s="12">
        <v>5470</v>
      </c>
      <c r="D903" s="7" t="s">
        <v>1387</v>
      </c>
      <c r="E903" s="13" t="s">
        <v>842</v>
      </c>
      <c r="F903" t="str">
        <f t="shared" si="70"/>
        <v>Military</v>
      </c>
      <c r="G903" t="str">
        <f t="shared" si="71"/>
        <v>Military5470San Antonio</v>
      </c>
      <c r="H903" t="s">
        <v>31761</v>
      </c>
      <c r="I903" t="s">
        <v>23193</v>
      </c>
      <c r="J903" t="str">
        <f t="shared" si="72"/>
        <v>E:\PropInv\MF</v>
      </c>
      <c r="K903" s="103" t="str">
        <f>HYPERLINK("E:\PropInv\MF\San Antonio\Military Dr W_5470_Avion Place_San Antonio_01035","Military Dr W_5470_Avion Place_San Antonio_01035" )</f>
        <v>Military Dr W_5470_Avion Place_San Antonio_01035</v>
      </c>
      <c r="L903" s="104" t="s">
        <v>22253</v>
      </c>
      <c r="M903" s="103" t="str">
        <f t="shared" si="73"/>
        <v>http://oconnordata.com/mlink/modules/profile/index.cfm?action=profile&amp;prop_id=1035</v>
      </c>
      <c r="N903" s="1" t="str">
        <f t="shared" si="74"/>
        <v>01035</v>
      </c>
    </row>
    <row r="904" spans="1:14" x14ac:dyDescent="0.3">
      <c r="A904" s="1">
        <v>1036</v>
      </c>
      <c r="B904" s="7" t="s">
        <v>873</v>
      </c>
      <c r="C904" s="12">
        <v>4615</v>
      </c>
      <c r="D904" s="7" t="s">
        <v>407</v>
      </c>
      <c r="E904" s="13" t="s">
        <v>842</v>
      </c>
      <c r="F904" t="str">
        <f t="shared" si="70"/>
        <v>Gardendale</v>
      </c>
      <c r="G904" t="str">
        <f t="shared" si="71"/>
        <v>Gardendale4615San Antonio</v>
      </c>
      <c r="H904" t="s">
        <v>31762</v>
      </c>
      <c r="I904" t="s">
        <v>23194</v>
      </c>
      <c r="J904" t="str">
        <f t="shared" si="72"/>
        <v>E:\PropInv\MF</v>
      </c>
      <c r="K904" s="103" t="str">
        <f>HYPERLINK("E:\PropInv\MF\San Antonio\Gardendale_4615_Sundance_San Antonio_01036","Gardendale_4615_Sundance_San Antonio_01036" )</f>
        <v>Gardendale_4615_Sundance_San Antonio_01036</v>
      </c>
      <c r="L904" s="104" t="s">
        <v>22253</v>
      </c>
      <c r="M904" s="103" t="str">
        <f t="shared" si="73"/>
        <v>http://oconnordata.com/mlink/modules/profile/index.cfm?action=profile&amp;prop_id=1036</v>
      </c>
      <c r="N904" s="1" t="str">
        <f t="shared" si="74"/>
        <v>01036</v>
      </c>
    </row>
    <row r="905" spans="1:14" x14ac:dyDescent="0.3">
      <c r="A905" s="1">
        <v>1037</v>
      </c>
      <c r="B905" s="7" t="s">
        <v>960</v>
      </c>
      <c r="C905" s="12">
        <v>2554</v>
      </c>
      <c r="D905" s="7" t="s">
        <v>1388</v>
      </c>
      <c r="E905" s="13" t="s">
        <v>842</v>
      </c>
      <c r="F905" t="str">
        <f t="shared" si="70"/>
        <v>410</v>
      </c>
      <c r="G905" t="str">
        <f t="shared" si="71"/>
        <v>4102554San Antonio</v>
      </c>
      <c r="H905" t="s">
        <v>31763</v>
      </c>
      <c r="I905" t="s">
        <v>23195</v>
      </c>
      <c r="J905" t="str">
        <f t="shared" si="72"/>
        <v>E:\PropInv\MF</v>
      </c>
      <c r="K905" s="103" t="str">
        <f>HYPERLINK("E:\PropInv\MF\San Antonio\410 Loop NE_2554_Saddlewood_San Antonio_01037","410 Loop NE_2554_Saddlewood_San Antonio_01037" )</f>
        <v>410 Loop NE_2554_Saddlewood_San Antonio_01037</v>
      </c>
      <c r="L905" s="104" t="s">
        <v>22253</v>
      </c>
      <c r="M905" s="103" t="str">
        <f t="shared" si="73"/>
        <v>http://oconnordata.com/mlink/modules/profile/index.cfm?action=profile&amp;prop_id=1037</v>
      </c>
      <c r="N905" s="1" t="str">
        <f t="shared" si="74"/>
        <v>01037</v>
      </c>
    </row>
    <row r="906" spans="1:14" x14ac:dyDescent="0.3">
      <c r="A906" s="1">
        <v>1038</v>
      </c>
      <c r="B906" s="7" t="s">
        <v>871</v>
      </c>
      <c r="C906" s="12">
        <v>4227</v>
      </c>
      <c r="D906" s="7" t="s">
        <v>1389</v>
      </c>
      <c r="E906" s="13" t="s">
        <v>842</v>
      </c>
      <c r="F906" t="str">
        <f t="shared" si="70"/>
        <v>Perrin</v>
      </c>
      <c r="G906" t="str">
        <f t="shared" si="71"/>
        <v>Perrin4227San Antonio</v>
      </c>
      <c r="H906" t="s">
        <v>31764</v>
      </c>
      <c r="I906" t="s">
        <v>23196</v>
      </c>
      <c r="J906" t="str">
        <f t="shared" si="72"/>
        <v>E:\PropInv\MF</v>
      </c>
      <c r="K906" s="103" t="str">
        <f>HYPERLINK("E:\PropInv\MF\San Antonio\Perrin Beitel_4227_Sungate Village_San Antonio_01038","Perrin Beitel_4227_Sungate Village_San Antonio_01038" )</f>
        <v>Perrin Beitel_4227_Sungate Village_San Antonio_01038</v>
      </c>
      <c r="L906" s="104" t="s">
        <v>22253</v>
      </c>
      <c r="M906" s="103" t="str">
        <f t="shared" si="73"/>
        <v>http://oconnordata.com/mlink/modules/profile/index.cfm?action=profile&amp;prop_id=1038</v>
      </c>
      <c r="N906" s="1" t="str">
        <f t="shared" si="74"/>
        <v>01038</v>
      </c>
    </row>
    <row r="907" spans="1:14" x14ac:dyDescent="0.3">
      <c r="A907" s="1">
        <v>1039</v>
      </c>
      <c r="B907" s="7" t="s">
        <v>845</v>
      </c>
      <c r="C907" s="12">
        <v>10343</v>
      </c>
      <c r="D907" s="7" t="s">
        <v>1390</v>
      </c>
      <c r="E907" s="13" t="s">
        <v>842</v>
      </c>
      <c r="F907" t="str">
        <f t="shared" si="70"/>
        <v>Sahara</v>
      </c>
      <c r="G907" t="str">
        <f t="shared" si="71"/>
        <v>Sahara10343San Antonio</v>
      </c>
      <c r="H907" t="s">
        <v>31765</v>
      </c>
      <c r="I907" t="s">
        <v>23197</v>
      </c>
      <c r="J907" t="str">
        <f t="shared" si="72"/>
        <v>E:\PropInv\MF</v>
      </c>
      <c r="K907" s="103" t="str">
        <f>HYPERLINK("E:\PropInv\MF\San Antonio\Sahara Dr_10343_Sunny Glen_San Antonio_01039","Sahara Dr_10343_Sunny Glen_San Antonio_01039" )</f>
        <v>Sahara Dr_10343_Sunny Glen_San Antonio_01039</v>
      </c>
      <c r="L907" s="104" t="s">
        <v>22253</v>
      </c>
      <c r="M907" s="103" t="str">
        <f t="shared" si="73"/>
        <v>http://oconnordata.com/mlink/modules/profile/index.cfm?action=profile&amp;prop_id=1039</v>
      </c>
      <c r="N907" s="1" t="str">
        <f t="shared" si="74"/>
        <v>01039</v>
      </c>
    </row>
    <row r="908" spans="1:14" x14ac:dyDescent="0.3">
      <c r="A908" s="1">
        <v>1040</v>
      </c>
      <c r="B908" s="7" t="s">
        <v>1134</v>
      </c>
      <c r="C908" s="12">
        <v>1830</v>
      </c>
      <c r="D908" s="7" t="s">
        <v>1391</v>
      </c>
      <c r="E908" s="13" t="s">
        <v>842</v>
      </c>
      <c r="F908" t="str">
        <f t="shared" si="70"/>
        <v>Bandera</v>
      </c>
      <c r="G908" t="str">
        <f t="shared" si="71"/>
        <v>Bandera1830San Antonio</v>
      </c>
      <c r="H908" t="s">
        <v>31766</v>
      </c>
      <c r="I908" t="s">
        <v>23198</v>
      </c>
      <c r="J908" t="str">
        <f t="shared" si="72"/>
        <v>E:\PropInv\MF</v>
      </c>
      <c r="K908" s="103" t="str">
        <f>HYPERLINK("E:\PropInv\MF\San Antonio\Bandera Rd_1830_Sun Park_San Antonio_01040","Bandera Rd_1830_Sun Park_San Antonio_01040" )</f>
        <v>Bandera Rd_1830_Sun Park_San Antonio_01040</v>
      </c>
      <c r="L908" s="104" t="s">
        <v>22253</v>
      </c>
      <c r="M908" s="103" t="str">
        <f t="shared" si="73"/>
        <v>http://oconnordata.com/mlink/modules/profile/index.cfm?action=profile&amp;prop_id=1040</v>
      </c>
      <c r="N908" s="1" t="str">
        <f t="shared" si="74"/>
        <v>01040</v>
      </c>
    </row>
    <row r="909" spans="1:14" x14ac:dyDescent="0.3">
      <c r="A909" s="1">
        <v>1041</v>
      </c>
      <c r="B909" s="7" t="s">
        <v>865</v>
      </c>
      <c r="C909" s="12">
        <v>7600</v>
      </c>
      <c r="D909" s="7" t="s">
        <v>1392</v>
      </c>
      <c r="E909" s="13" t="s">
        <v>842</v>
      </c>
      <c r="F909" t="str">
        <f t="shared" si="70"/>
        <v>Blanco</v>
      </c>
      <c r="G909" t="str">
        <f t="shared" si="71"/>
        <v>Blanco7600San Antonio</v>
      </c>
      <c r="H909" t="s">
        <v>31767</v>
      </c>
      <c r="I909" t="s">
        <v>23199</v>
      </c>
      <c r="J909" t="str">
        <f t="shared" si="72"/>
        <v>E:\PropInv\MF</v>
      </c>
      <c r="K909" s="103" t="str">
        <f>HYPERLINK("E:\PropInv\MF\San Antonio\Blanco Rd_7600_Sunray_San Antonio_01041","Blanco Rd_7600_Sunray_San Antonio_01041" )</f>
        <v>Blanco Rd_7600_Sunray_San Antonio_01041</v>
      </c>
      <c r="L909" s="104" t="s">
        <v>22253</v>
      </c>
      <c r="M909" s="103" t="str">
        <f t="shared" si="73"/>
        <v>http://oconnordata.com/mlink/modules/profile/index.cfm?action=profile&amp;prop_id=1041</v>
      </c>
      <c r="N909" s="1" t="str">
        <f t="shared" si="74"/>
        <v>01041</v>
      </c>
    </row>
    <row r="910" spans="1:14" x14ac:dyDescent="0.3">
      <c r="A910" s="1">
        <v>1042</v>
      </c>
      <c r="B910" s="7" t="s">
        <v>1393</v>
      </c>
      <c r="C910" s="12">
        <v>425</v>
      </c>
      <c r="D910" s="7" t="s">
        <v>1394</v>
      </c>
      <c r="E910" s="13" t="s">
        <v>842</v>
      </c>
      <c r="F910" t="str">
        <f t="shared" si="70"/>
        <v>Cloverleaf</v>
      </c>
      <c r="G910" t="str">
        <f t="shared" si="71"/>
        <v>Cloverleaf425San Antonio</v>
      </c>
      <c r="H910" t="s">
        <v>31768</v>
      </c>
      <c r="I910" t="s">
        <v>23200</v>
      </c>
      <c r="J910" t="str">
        <f t="shared" si="72"/>
        <v>E:\PropInv\MF</v>
      </c>
      <c r="K910" s="103" t="str">
        <f>HYPERLINK("E:\PropInv\MF\San Antonio\Cloverleaf_425_Sunset Ridge_San Antonio_01042","Cloverleaf_425_Sunset Ridge_San Antonio_01042" )</f>
        <v>Cloverleaf_425_Sunset Ridge_San Antonio_01042</v>
      </c>
      <c r="L910" s="104" t="s">
        <v>22253</v>
      </c>
      <c r="M910" s="103" t="str">
        <f t="shared" si="73"/>
        <v>http://oconnordata.com/mlink/modules/profile/index.cfm?action=profile&amp;prop_id=1042</v>
      </c>
      <c r="N910" s="1" t="str">
        <f t="shared" si="74"/>
        <v>01042</v>
      </c>
    </row>
    <row r="911" spans="1:14" x14ac:dyDescent="0.3">
      <c r="A911" s="1">
        <v>1043</v>
      </c>
      <c r="B911" s="7" t="s">
        <v>904</v>
      </c>
      <c r="C911" s="12">
        <v>11955</v>
      </c>
      <c r="D911" s="7" t="s">
        <v>1395</v>
      </c>
      <c r="E911" s="13" t="s">
        <v>842</v>
      </c>
      <c r="F911" t="str">
        <f t="shared" si="70"/>
        <v>Parliament</v>
      </c>
      <c r="G911" t="str">
        <f t="shared" si="71"/>
        <v>Parliament11955San Antonio</v>
      </c>
      <c r="H911" t="s">
        <v>31769</v>
      </c>
      <c r="I911" t="s">
        <v>23201</v>
      </c>
      <c r="J911" t="str">
        <f t="shared" si="72"/>
        <v>E:\PropInv\MF</v>
      </c>
      <c r="K911" s="103" t="str">
        <f>HYPERLINK("E:\PropInv\MF\San Antonio\Parliament Dr_11955_Sutters Mill_San Antonio_01043","Parliament Dr_11955_Sutters Mill_San Antonio_01043" )</f>
        <v>Parliament Dr_11955_Sutters Mill_San Antonio_01043</v>
      </c>
      <c r="L911" s="104" t="s">
        <v>22253</v>
      </c>
      <c r="M911" s="103" t="str">
        <f t="shared" si="73"/>
        <v>http://oconnordata.com/mlink/modules/profile/index.cfm?action=profile&amp;prop_id=1043</v>
      </c>
      <c r="N911" s="1" t="str">
        <f t="shared" si="74"/>
        <v>01043</v>
      </c>
    </row>
    <row r="912" spans="1:14" x14ac:dyDescent="0.3">
      <c r="A912" s="1">
        <v>1044</v>
      </c>
      <c r="B912" s="7" t="s">
        <v>1068</v>
      </c>
      <c r="C912" s="12">
        <v>11711</v>
      </c>
      <c r="D912" s="7" t="s">
        <v>1396</v>
      </c>
      <c r="E912" s="13" t="s">
        <v>842</v>
      </c>
      <c r="F912" t="str">
        <f t="shared" si="70"/>
        <v>Wall</v>
      </c>
      <c r="G912" t="str">
        <f t="shared" si="71"/>
        <v>Wall11711San Antonio</v>
      </c>
      <c r="H912" t="s">
        <v>31770</v>
      </c>
      <c r="I912" t="s">
        <v>23202</v>
      </c>
      <c r="J912" t="str">
        <f t="shared" si="72"/>
        <v>E:\PropInv\MF</v>
      </c>
      <c r="K912" s="103" t="str">
        <f>HYPERLINK("E:\PropInv\MF\San Antonio\Wall St_11711_Sutton House_San Antonio_01044","Wall St_11711_Sutton House_San Antonio_01044" )</f>
        <v>Wall St_11711_Sutton House_San Antonio_01044</v>
      </c>
      <c r="L912" s="104" t="s">
        <v>22253</v>
      </c>
      <c r="M912" s="103" t="str">
        <f t="shared" si="73"/>
        <v>http://oconnordata.com/mlink/modules/profile/index.cfm?action=profile&amp;prop_id=1044</v>
      </c>
      <c r="N912" s="1" t="str">
        <f t="shared" si="74"/>
        <v>01044</v>
      </c>
    </row>
    <row r="913" spans="1:14" x14ac:dyDescent="0.3">
      <c r="A913" s="1">
        <v>1045</v>
      </c>
      <c r="B913" s="7" t="s">
        <v>1397</v>
      </c>
      <c r="C913" s="12">
        <v>1000</v>
      </c>
      <c r="D913" s="7" t="s">
        <v>1398</v>
      </c>
      <c r="E913" s="13" t="s">
        <v>1399</v>
      </c>
      <c r="F913" t="str">
        <f t="shared" si="70"/>
        <v>Elbel</v>
      </c>
      <c r="G913" t="str">
        <f t="shared" si="71"/>
        <v>Elbel1000Schertz</v>
      </c>
      <c r="H913" t="s">
        <v>31771</v>
      </c>
      <c r="I913" t="s">
        <v>23203</v>
      </c>
      <c r="J913" t="str">
        <f t="shared" si="72"/>
        <v>E:\PropInv\MF</v>
      </c>
      <c r="K913" s="103" t="str">
        <f>HYPERLINK("E:\PropInv\MF\Schertz\Elbel Rd_1000_Sycamore Creek_Schertz_01045","Elbel Rd_1000_Sycamore Creek_Schertz_01045" )</f>
        <v>Elbel Rd_1000_Sycamore Creek_Schertz_01045</v>
      </c>
      <c r="L913" s="104" t="s">
        <v>22253</v>
      </c>
      <c r="M913" s="103" t="str">
        <f t="shared" si="73"/>
        <v>http://oconnordata.com/mlink/modules/profile/index.cfm?action=profile&amp;prop_id=1045</v>
      </c>
      <c r="N913" s="1" t="str">
        <f t="shared" si="74"/>
        <v>01045</v>
      </c>
    </row>
    <row r="914" spans="1:14" x14ac:dyDescent="0.3">
      <c r="A914" s="1">
        <v>1048</v>
      </c>
      <c r="B914" s="7" t="s">
        <v>1400</v>
      </c>
      <c r="C914" s="12">
        <v>67</v>
      </c>
      <c r="D914" s="7" t="s">
        <v>1401</v>
      </c>
      <c r="E914" s="13" t="s">
        <v>842</v>
      </c>
      <c r="F914" t="str">
        <f t="shared" si="70"/>
        <v>Brees</v>
      </c>
      <c r="G914" t="str">
        <f t="shared" si="71"/>
        <v>Brees67San Antonio</v>
      </c>
      <c r="H914" t="s">
        <v>31772</v>
      </c>
      <c r="I914" t="s">
        <v>23204</v>
      </c>
      <c r="J914" t="str">
        <f t="shared" si="72"/>
        <v>E:\PropInv\MF</v>
      </c>
      <c r="K914" s="103" t="str">
        <f>HYPERLINK("E:\PropInv\MF\San Antonio\Brees Blvd_67_Tanglewood AH_San Antonio_01048","Brees Blvd_67_Tanglewood AH_San Antonio_01048" )</f>
        <v>Brees Blvd_67_Tanglewood AH_San Antonio_01048</v>
      </c>
      <c r="L914" s="104" t="s">
        <v>22253</v>
      </c>
      <c r="M914" s="103" t="str">
        <f t="shared" si="73"/>
        <v>http://oconnordata.com/mlink/modules/profile/index.cfm?action=profile&amp;prop_id=1048</v>
      </c>
      <c r="N914" s="1" t="str">
        <f t="shared" si="74"/>
        <v>01048</v>
      </c>
    </row>
    <row r="915" spans="1:14" x14ac:dyDescent="0.3">
      <c r="A915" s="1">
        <v>1049</v>
      </c>
      <c r="B915" s="7" t="s">
        <v>919</v>
      </c>
      <c r="C915" s="12">
        <v>8051</v>
      </c>
      <c r="D915" s="7" t="s">
        <v>1402</v>
      </c>
      <c r="E915" s="13" t="s">
        <v>842</v>
      </c>
      <c r="F915" t="str">
        <f t="shared" si="70"/>
        <v>Broadway</v>
      </c>
      <c r="G915" t="str">
        <f t="shared" si="71"/>
        <v>Broadway8051San Antonio</v>
      </c>
      <c r="H915" t="s">
        <v>31773</v>
      </c>
      <c r="I915" t="s">
        <v>23205</v>
      </c>
      <c r="J915" t="str">
        <f t="shared" si="72"/>
        <v>E:\PropInv\MF</v>
      </c>
      <c r="K915" s="103" t="str">
        <f>HYPERLINK("E:\PropInv\MF\San Antonio\Broadway_8051_Tara_San Antonio_01049","Broadway_8051_Tara_San Antonio_01049" )</f>
        <v>Broadway_8051_Tara_San Antonio_01049</v>
      </c>
      <c r="L915" s="104" t="s">
        <v>22253</v>
      </c>
      <c r="M915" s="103" t="str">
        <f t="shared" si="73"/>
        <v>http://oconnordata.com/mlink/modules/profile/index.cfm?action=profile&amp;prop_id=1049</v>
      </c>
      <c r="N915" s="1" t="str">
        <f t="shared" si="74"/>
        <v>01049</v>
      </c>
    </row>
    <row r="916" spans="1:14" x14ac:dyDescent="0.3">
      <c r="A916" s="1">
        <v>1050</v>
      </c>
      <c r="B916" s="7" t="s">
        <v>1007</v>
      </c>
      <c r="C916" s="12">
        <v>801</v>
      </c>
      <c r="D916" s="7" t="s">
        <v>1403</v>
      </c>
      <c r="E916" s="13" t="s">
        <v>842</v>
      </c>
      <c r="F916" t="str">
        <f t="shared" si="70"/>
        <v>Gentleman</v>
      </c>
      <c r="G916" t="str">
        <f t="shared" si="71"/>
        <v>Gentleman801San Antonio</v>
      </c>
      <c r="H916" t="s">
        <v>31774</v>
      </c>
      <c r="I916" t="s">
        <v>23206</v>
      </c>
      <c r="J916" t="str">
        <f t="shared" si="72"/>
        <v>E:\PropInv\MF</v>
      </c>
      <c r="K916" s="103" t="str">
        <f>HYPERLINK("E:\PropInv\MF\San Antonio\Gentleman Rd_801_Terrace House_San Antonio_01050","Gentleman Rd_801_Terrace House_San Antonio_01050" )</f>
        <v>Gentleman Rd_801_Terrace House_San Antonio_01050</v>
      </c>
      <c r="L916" s="104" t="s">
        <v>22253</v>
      </c>
      <c r="M916" s="103" t="str">
        <f t="shared" si="73"/>
        <v>http://oconnordata.com/mlink/modules/profile/index.cfm?action=profile&amp;prop_id=1050</v>
      </c>
      <c r="N916" s="1" t="str">
        <f t="shared" si="74"/>
        <v>01050</v>
      </c>
    </row>
    <row r="917" spans="1:14" x14ac:dyDescent="0.3">
      <c r="A917" s="1">
        <v>1051</v>
      </c>
      <c r="B917" s="7" t="s">
        <v>1404</v>
      </c>
      <c r="C917" s="12">
        <v>216</v>
      </c>
      <c r="D917" s="7" t="s">
        <v>1405</v>
      </c>
      <c r="E917" s="13" t="s">
        <v>990</v>
      </c>
      <c r="F917" t="str">
        <f t="shared" si="70"/>
        <v>Ivy</v>
      </c>
      <c r="G917" t="str">
        <f t="shared" si="71"/>
        <v>Ivy216Boerne</v>
      </c>
      <c r="H917" t="s">
        <v>31775</v>
      </c>
      <c r="I917" t="s">
        <v>23207</v>
      </c>
      <c r="J917" t="str">
        <f t="shared" si="72"/>
        <v>E:\PropInv\MF</v>
      </c>
      <c r="K917" s="103" t="str">
        <f>HYPERLINK("E:\PropInv\MF\Boerne\Ivy Ln_216_Boerne Arbors_Boerne_01051","Ivy Ln_216_Boerne Arbors_Boerne_01051" )</f>
        <v>Ivy Ln_216_Boerne Arbors_Boerne_01051</v>
      </c>
      <c r="L917" s="104" t="s">
        <v>22253</v>
      </c>
      <c r="M917" s="103" t="str">
        <f t="shared" si="73"/>
        <v>http://oconnordata.com/mlink/modules/profile/index.cfm?action=profile&amp;prop_id=1051</v>
      </c>
      <c r="N917" s="1" t="str">
        <f t="shared" si="74"/>
        <v>01051</v>
      </c>
    </row>
    <row r="918" spans="1:14" x14ac:dyDescent="0.3">
      <c r="A918" s="1">
        <v>1052</v>
      </c>
      <c r="B918" s="7" t="s">
        <v>1367</v>
      </c>
      <c r="C918" s="12">
        <v>340</v>
      </c>
      <c r="D918" s="7" t="s">
        <v>1406</v>
      </c>
      <c r="E918" s="13" t="s">
        <v>842</v>
      </c>
      <c r="F918" t="str">
        <f t="shared" si="70"/>
        <v>Treeline</v>
      </c>
      <c r="G918" t="str">
        <f t="shared" si="71"/>
        <v>Treeline340San Antonio</v>
      </c>
      <c r="H918" t="s">
        <v>31776</v>
      </c>
      <c r="I918" t="s">
        <v>19045</v>
      </c>
      <c r="J918" t="str">
        <f t="shared" si="72"/>
        <v>E:\PropInv\MF</v>
      </c>
      <c r="K918" s="103" t="str">
        <f>HYPERLINK("E:\PropInv\MF\San Antonio\Treeline Park_340_The Crescent_San Antonio_01052","Treeline Park_340_The Crescent_San Antonio_01052" )</f>
        <v>Treeline Park_340_The Crescent_San Antonio_01052</v>
      </c>
      <c r="L918" s="104" t="s">
        <v>22253</v>
      </c>
      <c r="M918" s="103" t="str">
        <f t="shared" si="73"/>
        <v>http://oconnordata.com/mlink/modules/profile/index.cfm?action=profile&amp;prop_id=1052</v>
      </c>
      <c r="N918" s="1" t="str">
        <f t="shared" si="74"/>
        <v>01052</v>
      </c>
    </row>
    <row r="919" spans="1:14" x14ac:dyDescent="0.3">
      <c r="A919" s="1">
        <v>1053</v>
      </c>
      <c r="B919" s="7" t="s">
        <v>970</v>
      </c>
      <c r="C919" s="12">
        <v>3110</v>
      </c>
      <c r="D919" s="7" t="s">
        <v>1407</v>
      </c>
      <c r="E919" s="13" t="s">
        <v>842</v>
      </c>
      <c r="F919" t="str">
        <f t="shared" si="70"/>
        <v>Hillcrest</v>
      </c>
      <c r="G919" t="str">
        <f t="shared" si="71"/>
        <v>Hillcrest3110San Antonio</v>
      </c>
      <c r="H919" t="s">
        <v>31777</v>
      </c>
      <c r="I919" t="s">
        <v>23208</v>
      </c>
      <c r="J919" t="str">
        <f t="shared" si="72"/>
        <v>E:\PropInv\MF</v>
      </c>
      <c r="K919" s="103" t="str">
        <f>HYPERLINK("E:\PropInv\MF\San Antonio\Hillcrest Dr_3110_The Dakota_San Antonio_01053","Hillcrest Dr_3110_The Dakota_San Antonio_01053" )</f>
        <v>Hillcrest Dr_3110_The Dakota_San Antonio_01053</v>
      </c>
      <c r="L919" s="104" t="s">
        <v>22253</v>
      </c>
      <c r="M919" s="103" t="str">
        <f t="shared" si="73"/>
        <v>http://oconnordata.com/mlink/modules/profile/index.cfm?action=profile&amp;prop_id=1053</v>
      </c>
      <c r="N919" s="1" t="str">
        <f t="shared" si="74"/>
        <v>01053</v>
      </c>
    </row>
    <row r="920" spans="1:14" x14ac:dyDescent="0.3">
      <c r="A920" s="1">
        <v>1054</v>
      </c>
      <c r="B920" s="7" t="s">
        <v>1070</v>
      </c>
      <c r="C920" s="12">
        <v>16650</v>
      </c>
      <c r="D920" s="7" t="s">
        <v>1408</v>
      </c>
      <c r="E920" s="13" t="s">
        <v>842</v>
      </c>
      <c r="F920" t="str">
        <f t="shared" si="70"/>
        <v>Huebner</v>
      </c>
      <c r="G920" t="str">
        <f t="shared" si="71"/>
        <v>Huebner16650San Antonio</v>
      </c>
      <c r="H920" t="s">
        <v>31778</v>
      </c>
      <c r="I920" t="s">
        <v>23209</v>
      </c>
      <c r="J920" t="str">
        <f t="shared" si="72"/>
        <v>E:\PropInv\MF</v>
      </c>
      <c r="K920" s="103" t="str">
        <f>HYPERLINK("E:\PropInv\MF\San Antonio\Huebner Rd_16650_The Marquis at Deerfield_San Antonio_01054","Huebner Rd_16650_The Marquis at Deerfield_San Antonio_01054" )</f>
        <v>Huebner Rd_16650_The Marquis at Deerfield_San Antonio_01054</v>
      </c>
      <c r="L920" s="104" t="s">
        <v>22253</v>
      </c>
      <c r="M920" s="103" t="str">
        <f t="shared" si="73"/>
        <v>http://oconnordata.com/mlink/modules/profile/index.cfm?action=profile&amp;prop_id=1054</v>
      </c>
      <c r="N920" s="1" t="str">
        <f t="shared" si="74"/>
        <v>01054</v>
      </c>
    </row>
    <row r="921" spans="1:14" x14ac:dyDescent="0.3">
      <c r="A921" s="1">
        <v>1055</v>
      </c>
      <c r="B921" s="7" t="s">
        <v>1409</v>
      </c>
      <c r="C921" s="12">
        <v>680</v>
      </c>
      <c r="D921" s="7" t="s">
        <v>1410</v>
      </c>
      <c r="E921" s="13" t="s">
        <v>842</v>
      </c>
      <c r="F921" t="str">
        <f t="shared" si="70"/>
        <v>Basse</v>
      </c>
      <c r="G921" t="str">
        <f t="shared" si="71"/>
        <v>Basse680San Antonio</v>
      </c>
      <c r="H921" t="s">
        <v>31779</v>
      </c>
      <c r="I921" t="s">
        <v>23210</v>
      </c>
      <c r="J921" t="str">
        <f t="shared" si="72"/>
        <v>E:\PropInv\MF</v>
      </c>
      <c r="K921" s="103" t="str">
        <f>HYPERLINK("E:\PropInv\MF\San Antonio\Basse Rd E_680_The Meridian_San Antonio_01055","Basse Rd E_680_The Meridian_San Antonio_01055" )</f>
        <v>Basse Rd E_680_The Meridian_San Antonio_01055</v>
      </c>
      <c r="L921" s="104" t="s">
        <v>22253</v>
      </c>
      <c r="M921" s="103" t="str">
        <f t="shared" si="73"/>
        <v>http://oconnordata.com/mlink/modules/profile/index.cfm?action=profile&amp;prop_id=1055</v>
      </c>
      <c r="N921" s="1" t="str">
        <f t="shared" si="74"/>
        <v>01055</v>
      </c>
    </row>
    <row r="922" spans="1:14" x14ac:dyDescent="0.3">
      <c r="A922" s="1">
        <v>1056</v>
      </c>
      <c r="B922" s="7" t="s">
        <v>1326</v>
      </c>
      <c r="C922" s="12">
        <v>7733</v>
      </c>
      <c r="D922" s="7" t="s">
        <v>1411</v>
      </c>
      <c r="E922" s="13" t="s">
        <v>842</v>
      </c>
      <c r="F922" t="str">
        <f t="shared" si="70"/>
        <v>Louis</v>
      </c>
      <c r="G922" t="str">
        <f t="shared" si="71"/>
        <v>Louis7733San Antonio</v>
      </c>
      <c r="H922" t="s">
        <v>31780</v>
      </c>
      <c r="I922" t="s">
        <v>23211</v>
      </c>
      <c r="J922" t="str">
        <f t="shared" si="72"/>
        <v>E:\PropInv\MF</v>
      </c>
      <c r="K922" s="103" t="str">
        <f>HYPERLINK("E:\PropInv\MF\San Antonio\Louis Pasteur_7733_The Vintage_San Antonio_01056","Louis Pasteur_7733_The Vintage_San Antonio_01056" )</f>
        <v>Louis Pasteur_7733_The Vintage_San Antonio_01056</v>
      </c>
      <c r="L922" s="104" t="s">
        <v>22253</v>
      </c>
      <c r="M922" s="103" t="str">
        <f t="shared" si="73"/>
        <v>http://oconnordata.com/mlink/modules/profile/index.cfm?action=profile&amp;prop_id=1056</v>
      </c>
      <c r="N922" s="1" t="str">
        <f t="shared" si="74"/>
        <v>01056</v>
      </c>
    </row>
    <row r="923" spans="1:14" x14ac:dyDescent="0.3">
      <c r="A923" s="1">
        <v>1057</v>
      </c>
      <c r="B923" s="7" t="s">
        <v>1023</v>
      </c>
      <c r="C923" s="12">
        <v>1727</v>
      </c>
      <c r="D923" s="7" t="s">
        <v>1412</v>
      </c>
      <c r="E923" s="13" t="s">
        <v>842</v>
      </c>
      <c r="F923" t="str">
        <f t="shared" si="70"/>
        <v>Thompson</v>
      </c>
      <c r="G923" t="str">
        <f t="shared" si="71"/>
        <v>Thompson1727San Antonio</v>
      </c>
      <c r="H923" t="s">
        <v>31781</v>
      </c>
      <c r="I923" t="s">
        <v>23212</v>
      </c>
      <c r="J923" t="str">
        <f t="shared" si="72"/>
        <v>E:\PropInv\MF</v>
      </c>
      <c r="K923" s="103" t="str">
        <f>HYPERLINK("E:\PropInv\MF\San Antonio\Thompson Place W_1727_Thompson Place_San Antonio_01057","Thompson Place W_1727_Thompson Place_San Antonio_01057" )</f>
        <v>Thompson Place W_1727_Thompson Place_San Antonio_01057</v>
      </c>
      <c r="L923" s="104" t="s">
        <v>22253</v>
      </c>
      <c r="M923" s="103" t="str">
        <f t="shared" si="73"/>
        <v>http://oconnordata.com/mlink/modules/profile/index.cfm?action=profile&amp;prop_id=1057</v>
      </c>
      <c r="N923" s="1" t="str">
        <f t="shared" si="74"/>
        <v>01057</v>
      </c>
    </row>
    <row r="924" spans="1:14" x14ac:dyDescent="0.3">
      <c r="A924" s="1">
        <v>1058</v>
      </c>
      <c r="B924" s="7" t="s">
        <v>1064</v>
      </c>
      <c r="C924" s="12">
        <v>211</v>
      </c>
      <c r="D924" s="7" t="s">
        <v>1413</v>
      </c>
      <c r="E924" s="13" t="s">
        <v>842</v>
      </c>
      <c r="F924" t="str">
        <f t="shared" si="70"/>
        <v>French</v>
      </c>
      <c r="G924" t="str">
        <f t="shared" si="71"/>
        <v>French211San Antonio</v>
      </c>
      <c r="H924" t="s">
        <v>31782</v>
      </c>
      <c r="I924" t="s">
        <v>23213</v>
      </c>
      <c r="J924" t="str">
        <f t="shared" si="72"/>
        <v>E:\PropInv\MF</v>
      </c>
      <c r="K924" s="103" t="str">
        <f>HYPERLINK("E:\PropInv\MF\San Antonio\French Place W_211_Thunderbird_San Antonio_01058","French Place W_211_Thunderbird_San Antonio_01058" )</f>
        <v>French Place W_211_Thunderbird_San Antonio_01058</v>
      </c>
      <c r="L924" s="104" t="s">
        <v>22253</v>
      </c>
      <c r="M924" s="103" t="str">
        <f t="shared" si="73"/>
        <v>http://oconnordata.com/mlink/modules/profile/index.cfm?action=profile&amp;prop_id=1058</v>
      </c>
      <c r="N924" s="1" t="str">
        <f t="shared" si="74"/>
        <v>01058</v>
      </c>
    </row>
    <row r="925" spans="1:14" x14ac:dyDescent="0.3">
      <c r="A925" s="1">
        <v>1059</v>
      </c>
      <c r="B925" s="7" t="s">
        <v>1414</v>
      </c>
      <c r="C925" s="12">
        <v>3200</v>
      </c>
      <c r="D925" s="7" t="s">
        <v>1415</v>
      </c>
      <c r="E925" s="13" t="s">
        <v>842</v>
      </c>
      <c r="F925" t="str">
        <f t="shared" si="70"/>
        <v>Timber</v>
      </c>
      <c r="G925" t="str">
        <f t="shared" si="71"/>
        <v>Timber3200San Antonio</v>
      </c>
      <c r="H925" t="s">
        <v>31783</v>
      </c>
      <c r="I925" t="s">
        <v>23214</v>
      </c>
      <c r="J925" t="str">
        <f t="shared" si="72"/>
        <v>E:\PropInv\MF</v>
      </c>
      <c r="K925" s="103" t="str">
        <f>HYPERLINK("E:\PropInv\MF\San Antonio\Timber View_3200_Timber Ridge_San Antonio_01059","Timber View_3200_Timber Ridge_San Antonio_01059" )</f>
        <v>Timber View_3200_Timber Ridge_San Antonio_01059</v>
      </c>
      <c r="L925" s="104" t="s">
        <v>22253</v>
      </c>
      <c r="M925" s="103" t="str">
        <f t="shared" si="73"/>
        <v>http://oconnordata.com/mlink/modules/profile/index.cfm?action=profile&amp;prop_id=1059</v>
      </c>
      <c r="N925" s="1" t="str">
        <f t="shared" si="74"/>
        <v>01059</v>
      </c>
    </row>
    <row r="926" spans="1:14" x14ac:dyDescent="0.3">
      <c r="A926" s="1">
        <v>1060</v>
      </c>
      <c r="B926" s="7" t="s">
        <v>1416</v>
      </c>
      <c r="C926" s="12">
        <v>5544</v>
      </c>
      <c r="D926" s="7" t="s">
        <v>1417</v>
      </c>
      <c r="E926" s="13" t="s">
        <v>842</v>
      </c>
      <c r="F926" t="str">
        <f t="shared" si="70"/>
        <v>Timberhill</v>
      </c>
      <c r="G926" t="str">
        <f t="shared" si="71"/>
        <v>Timberhill5544San Antonio</v>
      </c>
      <c r="H926" t="s">
        <v>31784</v>
      </c>
      <c r="I926" t="s">
        <v>23215</v>
      </c>
      <c r="J926" t="str">
        <f t="shared" si="72"/>
        <v>E:\PropInv\MF</v>
      </c>
      <c r="K926" s="103" t="str">
        <f>HYPERLINK("E:\PropInv\MF\San Antonio\Timberhill_5544_Lodge at Timberhill_San Antonio_01060","Timberhill_5544_Lodge at Timberhill_San Antonio_01060" )</f>
        <v>Timberhill_5544_Lodge at Timberhill_San Antonio_01060</v>
      </c>
      <c r="L926" s="104" t="s">
        <v>22253</v>
      </c>
      <c r="M926" s="103" t="str">
        <f t="shared" si="73"/>
        <v>http://oconnordata.com/mlink/modules/profile/index.cfm?action=profile&amp;prop_id=1060</v>
      </c>
      <c r="N926" s="1" t="str">
        <f t="shared" si="74"/>
        <v>01060</v>
      </c>
    </row>
    <row r="927" spans="1:14" x14ac:dyDescent="0.3">
      <c r="A927" s="1">
        <v>1061</v>
      </c>
      <c r="B927" s="7" t="s">
        <v>865</v>
      </c>
      <c r="C927" s="12">
        <v>12301</v>
      </c>
      <c r="D927" s="7" t="s">
        <v>1418</v>
      </c>
      <c r="E927" s="13" t="s">
        <v>842</v>
      </c>
      <c r="F927" t="str">
        <f t="shared" si="70"/>
        <v>Blanco</v>
      </c>
      <c r="G927" t="str">
        <f t="shared" si="71"/>
        <v>Blanco12301San Antonio</v>
      </c>
      <c r="H927" t="s">
        <v>31785</v>
      </c>
      <c r="I927" t="s">
        <v>23216</v>
      </c>
      <c r="J927" t="str">
        <f t="shared" si="72"/>
        <v>E:\PropInv\MF</v>
      </c>
      <c r="K927" s="103" t="str">
        <f>HYPERLINK("E:\PropInv\MF\San Antonio\Blanco Rd_12301_Timbermill_San Antonio_01061","Blanco Rd_12301_Timbermill_San Antonio_01061" )</f>
        <v>Blanco Rd_12301_Timbermill_San Antonio_01061</v>
      </c>
      <c r="L927" s="104" t="s">
        <v>22253</v>
      </c>
      <c r="M927" s="103" t="str">
        <f t="shared" si="73"/>
        <v>http://oconnordata.com/mlink/modules/profile/index.cfm?action=profile&amp;prop_id=1061</v>
      </c>
      <c r="N927" s="1" t="str">
        <f t="shared" si="74"/>
        <v>01061</v>
      </c>
    </row>
    <row r="928" spans="1:14" x14ac:dyDescent="0.3">
      <c r="A928" s="1">
        <v>1062</v>
      </c>
      <c r="B928" s="7" t="s">
        <v>889</v>
      </c>
      <c r="C928" s="12">
        <v>7220</v>
      </c>
      <c r="D928" s="7" t="s">
        <v>1419</v>
      </c>
      <c r="E928" s="13" t="s">
        <v>842</v>
      </c>
      <c r="F928" t="str">
        <f t="shared" si="70"/>
        <v>Marbach</v>
      </c>
      <c r="G928" t="str">
        <f t="shared" si="71"/>
        <v>Marbach7220San Antonio</v>
      </c>
      <c r="H928" t="s">
        <v>31786</v>
      </c>
      <c r="I928" t="s">
        <v>23217</v>
      </c>
      <c r="J928" t="str">
        <f t="shared" si="72"/>
        <v>E:\PropInv\MF</v>
      </c>
      <c r="K928" s="103" t="str">
        <f>HYPERLINK("E:\PropInv\MF\San Antonio\Marbach Rd_7220_Timberock_San Antonio_01062","Marbach Rd_7220_Timberock_San Antonio_01062" )</f>
        <v>Marbach Rd_7220_Timberock_San Antonio_01062</v>
      </c>
      <c r="L928" s="104" t="s">
        <v>22253</v>
      </c>
      <c r="M928" s="103" t="str">
        <f t="shared" si="73"/>
        <v>http://oconnordata.com/mlink/modules/profile/index.cfm?action=profile&amp;prop_id=1062</v>
      </c>
      <c r="N928" s="1" t="str">
        <f t="shared" si="74"/>
        <v>01062</v>
      </c>
    </row>
    <row r="929" spans="1:14" x14ac:dyDescent="0.3">
      <c r="A929" s="1">
        <v>1063</v>
      </c>
      <c r="B929" s="7" t="s">
        <v>1372</v>
      </c>
      <c r="C929" s="12">
        <v>6903</v>
      </c>
      <c r="D929" s="7" t="s">
        <v>1420</v>
      </c>
      <c r="E929" s="13" t="s">
        <v>842</v>
      </c>
      <c r="F929" t="str">
        <f t="shared" si="70"/>
        <v>Border</v>
      </c>
      <c r="G929" t="str">
        <f t="shared" si="71"/>
        <v>Border6903San Antonio</v>
      </c>
      <c r="H929" t="s">
        <v>31787</v>
      </c>
      <c r="I929" t="s">
        <v>23218</v>
      </c>
      <c r="J929" t="str">
        <f t="shared" si="72"/>
        <v>E:\PropInv\MF</v>
      </c>
      <c r="K929" s="103" t="str">
        <f>HYPERLINK("E:\PropInv\MF\San Antonio\Border Brook_6903_Timbers Edge_San Antonio_01063","Border Brook_6903_Timbers Edge_San Antonio_01063" )</f>
        <v>Border Brook_6903_Timbers Edge_San Antonio_01063</v>
      </c>
      <c r="L929" s="104" t="s">
        <v>22253</v>
      </c>
      <c r="M929" s="103" t="str">
        <f t="shared" si="73"/>
        <v>http://oconnordata.com/mlink/modules/profile/index.cfm?action=profile&amp;prop_id=1063</v>
      </c>
      <c r="N929" s="1" t="str">
        <f t="shared" si="74"/>
        <v>01063</v>
      </c>
    </row>
    <row r="930" spans="1:14" x14ac:dyDescent="0.3">
      <c r="A930" s="1">
        <v>1064</v>
      </c>
      <c r="B930" s="7" t="s">
        <v>1421</v>
      </c>
      <c r="C930" s="12">
        <v>575</v>
      </c>
      <c r="D930" s="7" t="s">
        <v>1422</v>
      </c>
      <c r="E930" s="13" t="s">
        <v>912</v>
      </c>
      <c r="F930" t="str">
        <f t="shared" si="70"/>
        <v>Torrey</v>
      </c>
      <c r="G930" t="str">
        <f t="shared" si="71"/>
        <v>Torrey575New Braunfels</v>
      </c>
      <c r="H930" t="s">
        <v>31788</v>
      </c>
      <c r="I930" t="s">
        <v>23219</v>
      </c>
      <c r="J930" t="str">
        <f t="shared" si="72"/>
        <v>E:\PropInv\MF</v>
      </c>
      <c r="K930" s="103" t="str">
        <f>HYPERLINK("E:\PropInv\MF\New Braunfels\Torrey St E_575_Torrey Place_New Braunfels_01064","Torrey St E_575_Torrey Place_New Braunfels_01064" )</f>
        <v>Torrey St E_575_Torrey Place_New Braunfels_01064</v>
      </c>
      <c r="L930" s="104" t="s">
        <v>22253</v>
      </c>
      <c r="M930" s="103" t="str">
        <f t="shared" si="73"/>
        <v>http://oconnordata.com/mlink/modules/profile/index.cfm?action=profile&amp;prop_id=1064</v>
      </c>
      <c r="N930" s="1" t="str">
        <f t="shared" si="74"/>
        <v>01064</v>
      </c>
    </row>
    <row r="931" spans="1:14" x14ac:dyDescent="0.3">
      <c r="A931" s="1">
        <v>1065</v>
      </c>
      <c r="B931" s="7" t="s">
        <v>1423</v>
      </c>
      <c r="C931" s="12">
        <v>7738</v>
      </c>
      <c r="D931" s="7" t="s">
        <v>1424</v>
      </c>
      <c r="E931" s="13" t="s">
        <v>842</v>
      </c>
      <c r="F931" t="str">
        <f t="shared" si="70"/>
        <v>Chambers</v>
      </c>
      <c r="G931" t="str">
        <f t="shared" si="71"/>
        <v>Chambers7738San Antonio</v>
      </c>
      <c r="H931" t="s">
        <v>31789</v>
      </c>
      <c r="I931" t="s">
        <v>23220</v>
      </c>
      <c r="J931" t="str">
        <f t="shared" si="72"/>
        <v>E:\PropInv\MF</v>
      </c>
      <c r="K931" s="103" t="str">
        <f>HYPERLINK("E:\PropInv\MF\San Antonio\Chambers_7738_Tower Point Condo Apts_San Antonio_01065","Chambers_7738_Tower Point Condo Apts_San Antonio_01065" )</f>
        <v>Chambers_7738_Tower Point Condo Apts_San Antonio_01065</v>
      </c>
      <c r="L931" s="104" t="s">
        <v>22253</v>
      </c>
      <c r="M931" s="103" t="str">
        <f t="shared" si="73"/>
        <v>http://oconnordata.com/mlink/modules/profile/index.cfm?action=profile&amp;prop_id=1065</v>
      </c>
      <c r="N931" s="1" t="str">
        <f t="shared" si="74"/>
        <v>01065</v>
      </c>
    </row>
    <row r="932" spans="1:14" x14ac:dyDescent="0.3">
      <c r="A932" s="1">
        <v>1066</v>
      </c>
      <c r="B932" s="7" t="s">
        <v>1231</v>
      </c>
      <c r="C932" s="12">
        <v>7710</v>
      </c>
      <c r="D932" s="7" t="s">
        <v>1425</v>
      </c>
      <c r="E932" s="13" t="s">
        <v>842</v>
      </c>
      <c r="F932" t="str">
        <f t="shared" si="70"/>
        <v>Oakdell</v>
      </c>
      <c r="G932" t="str">
        <f t="shared" si="71"/>
        <v>Oakdell7710San Antonio</v>
      </c>
      <c r="H932" t="s">
        <v>31790</v>
      </c>
      <c r="I932" t="s">
        <v>23221</v>
      </c>
      <c r="J932" t="str">
        <f t="shared" si="72"/>
        <v>E:\PropInv\MF</v>
      </c>
      <c r="K932" s="103" t="str">
        <f>HYPERLINK("E:\PropInv\MF\San Antonio\Oakdell Way_7710_Towering Oaks_San Antonio_01066","Oakdell Way_7710_Towering Oaks_San Antonio_01066" )</f>
        <v>Oakdell Way_7710_Towering Oaks_San Antonio_01066</v>
      </c>
      <c r="L932" s="104" t="s">
        <v>22253</v>
      </c>
      <c r="M932" s="103" t="str">
        <f t="shared" si="73"/>
        <v>http://oconnordata.com/mlink/modules/profile/index.cfm?action=profile&amp;prop_id=1066</v>
      </c>
      <c r="N932" s="1" t="str">
        <f t="shared" si="74"/>
        <v>01066</v>
      </c>
    </row>
    <row r="933" spans="1:14" x14ac:dyDescent="0.3">
      <c r="A933" s="1">
        <v>1067</v>
      </c>
      <c r="B933" s="7" t="s">
        <v>1344</v>
      </c>
      <c r="C933" s="12">
        <v>601</v>
      </c>
      <c r="D933" s="7" t="s">
        <v>1426</v>
      </c>
      <c r="E933" s="13" t="s">
        <v>842</v>
      </c>
      <c r="F933" t="str">
        <f t="shared" si="70"/>
        <v>Santa</v>
      </c>
      <c r="G933" t="str">
        <f t="shared" si="71"/>
        <v>Santa601San Antonio</v>
      </c>
      <c r="H933" t="s">
        <v>31791</v>
      </c>
      <c r="I933" t="s">
        <v>23222</v>
      </c>
      <c r="J933" t="str">
        <f t="shared" si="72"/>
        <v>E:\PropInv\MF</v>
      </c>
      <c r="K933" s="103" t="str">
        <f>HYPERLINK("E:\PropInv\MF\San Antonio\Santa Rosa N_601_Towne Center_San Antonio_01067","Santa Rosa N_601_Towne Center_San Antonio_01067" )</f>
        <v>Santa Rosa N_601_Towne Center_San Antonio_01067</v>
      </c>
      <c r="L933" s="104" t="s">
        <v>22253</v>
      </c>
      <c r="M933" s="103" t="str">
        <f t="shared" si="73"/>
        <v>http://oconnordata.com/mlink/modules/profile/index.cfm?action=profile&amp;prop_id=1067</v>
      </c>
      <c r="N933" s="1" t="str">
        <f t="shared" si="74"/>
        <v>01067</v>
      </c>
    </row>
    <row r="934" spans="1:14" x14ac:dyDescent="0.3">
      <c r="A934" s="1">
        <v>1068</v>
      </c>
      <c r="B934" s="7" t="s">
        <v>1427</v>
      </c>
      <c r="C934" s="12">
        <v>9060</v>
      </c>
      <c r="D934" s="7" t="s">
        <v>1428</v>
      </c>
      <c r="E934" s="13" t="s">
        <v>1087</v>
      </c>
      <c r="F934" t="str">
        <f t="shared" si="70"/>
        <v>78</v>
      </c>
      <c r="G934" t="str">
        <f t="shared" si="71"/>
        <v>789060Converse</v>
      </c>
      <c r="H934" t="s">
        <v>31792</v>
      </c>
      <c r="I934" t="s">
        <v>23223</v>
      </c>
      <c r="J934" t="str">
        <f t="shared" si="72"/>
        <v>E:\PropInv\MF</v>
      </c>
      <c r="K934" s="103" t="str">
        <f>HYPERLINK("E:\PropInv\MF\Converse\78 FM_9060_Towne East Village_Converse_01068","78 FM_9060_Towne East Village_Converse_01068" )</f>
        <v>78 FM_9060_Towne East Village_Converse_01068</v>
      </c>
      <c r="L934" s="104" t="s">
        <v>22253</v>
      </c>
      <c r="M934" s="103" t="str">
        <f t="shared" si="73"/>
        <v>http://oconnordata.com/mlink/modules/profile/index.cfm?action=profile&amp;prop_id=1068</v>
      </c>
      <c r="N934" s="1" t="str">
        <f t="shared" si="74"/>
        <v>01068</v>
      </c>
    </row>
    <row r="935" spans="1:14" x14ac:dyDescent="0.3">
      <c r="A935" s="1">
        <v>1069</v>
      </c>
      <c r="B935" s="7" t="s">
        <v>928</v>
      </c>
      <c r="C935" s="12">
        <v>4015</v>
      </c>
      <c r="D935" s="7" t="s">
        <v>1429</v>
      </c>
      <c r="E935" s="13" t="s">
        <v>842</v>
      </c>
      <c r="F935" t="str">
        <f t="shared" si="70"/>
        <v>Callaghan</v>
      </c>
      <c r="G935" t="str">
        <f t="shared" si="71"/>
        <v>Callaghan4015San Antonio</v>
      </c>
      <c r="H935" t="s">
        <v>31793</v>
      </c>
      <c r="I935" t="s">
        <v>23224</v>
      </c>
      <c r="J935" t="str">
        <f t="shared" si="72"/>
        <v>E:\PropInv\MF</v>
      </c>
      <c r="K935" s="103" t="str">
        <f>HYPERLINK("E:\PropInv\MF\San Antonio\Callaghan Rd_4015_Townview Place_San Antonio_01069","Callaghan Rd_4015_Townview Place_San Antonio_01069" )</f>
        <v>Callaghan Rd_4015_Townview Place_San Antonio_01069</v>
      </c>
      <c r="L935" s="104" t="s">
        <v>22253</v>
      </c>
      <c r="M935" s="103" t="str">
        <f t="shared" si="73"/>
        <v>http://oconnordata.com/mlink/modules/profile/index.cfm?action=profile&amp;prop_id=1069</v>
      </c>
      <c r="N935" s="1" t="str">
        <f t="shared" si="74"/>
        <v>01069</v>
      </c>
    </row>
    <row r="936" spans="1:14" x14ac:dyDescent="0.3">
      <c r="A936" s="1">
        <v>1070</v>
      </c>
      <c r="B936" s="7" t="s">
        <v>1430</v>
      </c>
      <c r="C936" s="12">
        <v>8802</v>
      </c>
      <c r="D936" s="7" t="s">
        <v>1431</v>
      </c>
      <c r="E936" s="13" t="s">
        <v>842</v>
      </c>
      <c r="F936" t="str">
        <f t="shared" si="70"/>
        <v>Tradewind</v>
      </c>
      <c r="G936" t="str">
        <f t="shared" si="71"/>
        <v>Tradewind8802San Antonio</v>
      </c>
      <c r="H936" t="s">
        <v>31794</v>
      </c>
      <c r="I936" t="s">
        <v>23225</v>
      </c>
      <c r="J936" t="str">
        <f t="shared" si="72"/>
        <v>E:\PropInv\MF</v>
      </c>
      <c r="K936" s="103" t="str">
        <f>HYPERLINK("E:\PropInv\MF\San Antonio\Tradewind Dr_8802_Tradewinds_San Antonio_01070","Tradewind Dr_8802_Tradewinds_San Antonio_01070" )</f>
        <v>Tradewind Dr_8802_Tradewinds_San Antonio_01070</v>
      </c>
      <c r="L936" s="104" t="s">
        <v>22253</v>
      </c>
      <c r="M936" s="103" t="str">
        <f t="shared" si="73"/>
        <v>http://oconnordata.com/mlink/modules/profile/index.cfm?action=profile&amp;prop_id=1070</v>
      </c>
      <c r="N936" s="1" t="str">
        <f t="shared" si="74"/>
        <v>01070</v>
      </c>
    </row>
    <row r="937" spans="1:14" x14ac:dyDescent="0.3">
      <c r="A937" s="1">
        <v>1071</v>
      </c>
      <c r="B937" s="7" t="s">
        <v>960</v>
      </c>
      <c r="C937" s="12">
        <v>2439</v>
      </c>
      <c r="D937" s="7" t="s">
        <v>1432</v>
      </c>
      <c r="E937" s="13" t="s">
        <v>842</v>
      </c>
      <c r="F937" t="str">
        <f t="shared" si="70"/>
        <v>410</v>
      </c>
      <c r="G937" t="str">
        <f t="shared" si="71"/>
        <v>4102439San Antonio</v>
      </c>
      <c r="H937" t="s">
        <v>31795</v>
      </c>
      <c r="I937" t="s">
        <v>23226</v>
      </c>
      <c r="J937" t="str">
        <f t="shared" si="72"/>
        <v>E:\PropInv\MF</v>
      </c>
      <c r="K937" s="103" t="str">
        <f>HYPERLINK("E:\PropInv\MF\San Antonio\410 Loop NE_2439_Iron Horse Valley_San Antonio_01071","410 Loop NE_2439_Iron Horse Valley_San Antonio_01071" )</f>
        <v>410 Loop NE_2439_Iron Horse Valley_San Antonio_01071</v>
      </c>
      <c r="L937" s="104" t="s">
        <v>22253</v>
      </c>
      <c r="M937" s="103" t="str">
        <f t="shared" si="73"/>
        <v>http://oconnordata.com/mlink/modules/profile/index.cfm?action=profile&amp;prop_id=1071</v>
      </c>
      <c r="N937" s="1" t="str">
        <f t="shared" si="74"/>
        <v>01071</v>
      </c>
    </row>
    <row r="938" spans="1:14" x14ac:dyDescent="0.3">
      <c r="A938" s="1">
        <v>1072</v>
      </c>
      <c r="B938" s="7" t="s">
        <v>1433</v>
      </c>
      <c r="C938" s="12">
        <v>1431</v>
      </c>
      <c r="D938" s="7" t="s">
        <v>1434</v>
      </c>
      <c r="E938" s="13" t="s">
        <v>842</v>
      </c>
      <c r="F938" t="str">
        <f t="shared" si="70"/>
        <v>Cable</v>
      </c>
      <c r="G938" t="str">
        <f t="shared" si="71"/>
        <v>Cable1431San Antonio</v>
      </c>
      <c r="H938" t="s">
        <v>31796</v>
      </c>
      <c r="I938" t="s">
        <v>23227</v>
      </c>
      <c r="J938" t="str">
        <f t="shared" si="72"/>
        <v>E:\PropInv\MF</v>
      </c>
      <c r="K938" s="103" t="str">
        <f>HYPERLINK("E:\PropInv\MF\San Antonio\Cable Ranch Rd_1431_Trails of Westlakes_San Antonio_01072","Cable Ranch Rd_1431_Trails of Westlakes_San Antonio_01072" )</f>
        <v>Cable Ranch Rd_1431_Trails of Westlakes_San Antonio_01072</v>
      </c>
      <c r="L938" s="104" t="s">
        <v>22253</v>
      </c>
      <c r="M938" s="103" t="str">
        <f t="shared" si="73"/>
        <v>http://oconnordata.com/mlink/modules/profile/index.cfm?action=profile&amp;prop_id=1072</v>
      </c>
      <c r="N938" s="1" t="str">
        <f t="shared" si="74"/>
        <v>01072</v>
      </c>
    </row>
    <row r="939" spans="1:14" x14ac:dyDescent="0.3">
      <c r="A939" s="1">
        <v>1073</v>
      </c>
      <c r="B939" s="7" t="s">
        <v>1058</v>
      </c>
      <c r="C939" s="12">
        <v>8631</v>
      </c>
      <c r="D939" s="7" t="s">
        <v>1435</v>
      </c>
      <c r="E939" s="13" t="s">
        <v>842</v>
      </c>
      <c r="F939" t="str">
        <f t="shared" si="70"/>
        <v>Fairhaven</v>
      </c>
      <c r="G939" t="str">
        <f t="shared" si="71"/>
        <v>Fairhaven8631San Antonio</v>
      </c>
      <c r="H939" t="s">
        <v>31797</v>
      </c>
      <c r="I939" t="s">
        <v>23228</v>
      </c>
      <c r="J939" t="str">
        <f t="shared" si="72"/>
        <v>E:\PropInv\MF</v>
      </c>
      <c r="K939" s="103" t="str">
        <f>HYPERLINK("E:\PropInv\MF\San Antonio\Fairhaven_8631_Sonoma Canyon_San Antonio_01073","Fairhaven_8631_Sonoma Canyon_San Antonio_01073" )</f>
        <v>Fairhaven_8631_Sonoma Canyon_San Antonio_01073</v>
      </c>
      <c r="L939" s="104" t="s">
        <v>22253</v>
      </c>
      <c r="M939" s="103" t="str">
        <f t="shared" si="73"/>
        <v>http://oconnordata.com/mlink/modules/profile/index.cfm?action=profile&amp;prop_id=1073</v>
      </c>
      <c r="N939" s="1" t="str">
        <f t="shared" si="74"/>
        <v>01073</v>
      </c>
    </row>
    <row r="940" spans="1:14" x14ac:dyDescent="0.3">
      <c r="A940" s="1">
        <v>1074</v>
      </c>
      <c r="B940" s="7" t="s">
        <v>1182</v>
      </c>
      <c r="C940" s="12">
        <v>3629</v>
      </c>
      <c r="D940" s="7" t="s">
        <v>1436</v>
      </c>
      <c r="E940" s="13" t="s">
        <v>842</v>
      </c>
      <c r="F940" t="str">
        <f t="shared" si="70"/>
        <v>Medical</v>
      </c>
      <c r="G940" t="str">
        <f t="shared" si="71"/>
        <v>Medical3629San Antonio</v>
      </c>
      <c r="H940" t="s">
        <v>31798</v>
      </c>
      <c r="I940" t="s">
        <v>23229</v>
      </c>
      <c r="J940" t="str">
        <f t="shared" si="72"/>
        <v>E:\PropInv\MF</v>
      </c>
      <c r="K940" s="103" t="str">
        <f>HYPERLINK("E:\PropInv\MF\San Antonio\Medical Dr_3629_Turtle Creek Vista_San Antonio_01074","Medical Dr_3629_Turtle Creek Vista_San Antonio_01074" )</f>
        <v>Medical Dr_3629_Turtle Creek Vista_San Antonio_01074</v>
      </c>
      <c r="L940" s="104" t="s">
        <v>22253</v>
      </c>
      <c r="M940" s="103" t="str">
        <f t="shared" si="73"/>
        <v>http://oconnordata.com/mlink/modules/profile/index.cfm?action=profile&amp;prop_id=1074</v>
      </c>
      <c r="N940" s="1" t="str">
        <f t="shared" si="74"/>
        <v>01074</v>
      </c>
    </row>
    <row r="941" spans="1:14" x14ac:dyDescent="0.3">
      <c r="A941" s="1">
        <v>1075</v>
      </c>
      <c r="B941" s="7" t="s">
        <v>1437</v>
      </c>
      <c r="C941" s="12">
        <v>3333</v>
      </c>
      <c r="D941" s="7" t="s">
        <v>1438</v>
      </c>
      <c r="E941" s="13" t="s">
        <v>842</v>
      </c>
      <c r="F941" t="str">
        <f t="shared" si="70"/>
        <v>Oakwell</v>
      </c>
      <c r="G941" t="str">
        <f t="shared" si="71"/>
        <v>Oakwell3333San Antonio</v>
      </c>
      <c r="H941" t="s">
        <v>31799</v>
      </c>
      <c r="I941" t="s">
        <v>23230</v>
      </c>
      <c r="J941" t="str">
        <f t="shared" si="72"/>
        <v>E:\PropInv\MF</v>
      </c>
      <c r="K941" s="103" t="str">
        <f>HYPERLINK("E:\PropInv\MF\San Antonio\Oakwell Ct_3333_The Villas of Oakwell Farms_San Antonio_01075","Oakwell Ct_3333_The Villas of Oakwell Farms_San Antonio_01075" )</f>
        <v>Oakwell Ct_3333_The Villas of Oakwell Farms_San Antonio_01075</v>
      </c>
      <c r="L941" s="104" t="s">
        <v>22253</v>
      </c>
      <c r="M941" s="103" t="str">
        <f t="shared" si="73"/>
        <v>http://oconnordata.com/mlink/modules/profile/index.cfm?action=profile&amp;prop_id=1075</v>
      </c>
      <c r="N941" s="1" t="str">
        <f t="shared" si="74"/>
        <v>01075</v>
      </c>
    </row>
    <row r="942" spans="1:14" x14ac:dyDescent="0.3">
      <c r="A942" s="1">
        <v>1076</v>
      </c>
      <c r="B942" s="7" t="s">
        <v>1439</v>
      </c>
      <c r="C942" s="12">
        <v>7302</v>
      </c>
      <c r="D942" s="7" t="s">
        <v>1440</v>
      </c>
      <c r="E942" s="13" t="s">
        <v>842</v>
      </c>
      <c r="F942" t="str">
        <f t="shared" si="70"/>
        <v>University</v>
      </c>
      <c r="G942" t="str">
        <f t="shared" si="71"/>
        <v>University7302San Antonio</v>
      </c>
      <c r="H942" t="s">
        <v>31800</v>
      </c>
      <c r="I942" t="s">
        <v>23231</v>
      </c>
      <c r="J942" t="str">
        <f t="shared" si="72"/>
        <v>E:\PropInv\MF</v>
      </c>
      <c r="K942" s="103" t="str">
        <f>HYPERLINK("E:\PropInv\MF\San Antonio\University Row_7302_Blue Bonnet Hills_San Antonio_01076","University Row_7302_Blue Bonnet Hills_San Antonio_01076" )</f>
        <v>University Row_7302_Blue Bonnet Hills_San Antonio_01076</v>
      </c>
      <c r="L942" s="104" t="s">
        <v>22253</v>
      </c>
      <c r="M942" s="103" t="str">
        <f t="shared" si="73"/>
        <v>http://oconnordata.com/mlink/modules/profile/index.cfm?action=profile&amp;prop_id=1076</v>
      </c>
      <c r="N942" s="1" t="str">
        <f t="shared" si="74"/>
        <v>01076</v>
      </c>
    </row>
    <row r="943" spans="1:14" x14ac:dyDescent="0.3">
      <c r="A943" s="1">
        <v>1077</v>
      </c>
      <c r="B943" s="7" t="s">
        <v>1441</v>
      </c>
      <c r="C943" s="12">
        <v>2531</v>
      </c>
      <c r="D943" s="7" t="s">
        <v>1442</v>
      </c>
      <c r="E943" s="13" t="s">
        <v>842</v>
      </c>
      <c r="F943" t="str">
        <f t="shared" si="70"/>
        <v>Clara</v>
      </c>
      <c r="G943" t="str">
        <f t="shared" si="71"/>
        <v>Clara2531San Antonio</v>
      </c>
      <c r="H943" t="s">
        <v>31801</v>
      </c>
      <c r="I943" t="s">
        <v>23232</v>
      </c>
      <c r="J943" t="str">
        <f t="shared" si="72"/>
        <v>E:\PropInv\MF</v>
      </c>
      <c r="K943" s="103" t="str">
        <f>HYPERLINK("E:\PropInv\MF\San Antonio\Clara Ln_2531_Vance Jackson_San Antonio_01077","Clara Ln_2531_Vance Jackson_San Antonio_01077" )</f>
        <v>Clara Ln_2531_Vance Jackson_San Antonio_01077</v>
      </c>
      <c r="L943" s="104" t="s">
        <v>22253</v>
      </c>
      <c r="M943" s="103" t="str">
        <f t="shared" si="73"/>
        <v>http://oconnordata.com/mlink/modules/profile/index.cfm?action=profile&amp;prop_id=1077</v>
      </c>
      <c r="N943" s="1" t="str">
        <f t="shared" si="74"/>
        <v>01077</v>
      </c>
    </row>
    <row r="944" spans="1:14" x14ac:dyDescent="0.3">
      <c r="A944" s="1">
        <v>1078</v>
      </c>
      <c r="B944" s="7" t="s">
        <v>1051</v>
      </c>
      <c r="C944" s="12">
        <v>423</v>
      </c>
      <c r="D944" s="7" t="s">
        <v>1443</v>
      </c>
      <c r="E944" s="13" t="s">
        <v>842</v>
      </c>
      <c r="F944" t="str">
        <f t="shared" si="70"/>
        <v>Vance</v>
      </c>
      <c r="G944" t="str">
        <f t="shared" si="71"/>
        <v>Vance423San Antonio</v>
      </c>
      <c r="H944" t="s">
        <v>31802</v>
      </c>
      <c r="I944" t="s">
        <v>23233</v>
      </c>
      <c r="J944" t="str">
        <f t="shared" si="72"/>
        <v>E:\PropInv\MF</v>
      </c>
      <c r="K944" s="103" t="str">
        <f>HYPERLINK("E:\PropInv\MF\San Antonio\Vance Jackson Rd_423_Tradewind Villas_San Antonio_01078","Vance Jackson Rd_423_Tradewind Villas_San Antonio_01078" )</f>
        <v>Vance Jackson Rd_423_Tradewind Villas_San Antonio_01078</v>
      </c>
      <c r="L944" s="104" t="s">
        <v>22253</v>
      </c>
      <c r="M944" s="103" t="str">
        <f t="shared" si="73"/>
        <v>http://oconnordata.com/mlink/modules/profile/index.cfm?action=profile&amp;prop_id=1078</v>
      </c>
      <c r="N944" s="1" t="str">
        <f t="shared" si="74"/>
        <v>01078</v>
      </c>
    </row>
    <row r="945" spans="1:14" x14ac:dyDescent="0.3">
      <c r="A945" s="1">
        <v>1079</v>
      </c>
      <c r="B945" s="7" t="s">
        <v>858</v>
      </c>
      <c r="C945" s="12">
        <v>11020</v>
      </c>
      <c r="D945" s="7" t="s">
        <v>1444</v>
      </c>
      <c r="E945" s="13" t="s">
        <v>842</v>
      </c>
      <c r="F945" t="str">
        <f t="shared" si="70"/>
        <v>Huebner</v>
      </c>
      <c r="G945" t="str">
        <f t="shared" si="71"/>
        <v>Huebner11020San Antonio</v>
      </c>
      <c r="H945" t="s">
        <v>31803</v>
      </c>
      <c r="I945" t="s">
        <v>23234</v>
      </c>
      <c r="J945" t="str">
        <f t="shared" si="72"/>
        <v>E:\PropInv\MF</v>
      </c>
      <c r="K945" s="103" t="str">
        <f>HYPERLINK("E:\PropInv\MF\San Antonio\Huebner Oaks_11020_Ventana_San Antonio_01079","Huebner Oaks_11020_Ventana_San Antonio_01079" )</f>
        <v>Huebner Oaks_11020_Ventana_San Antonio_01079</v>
      </c>
      <c r="L945" s="104" t="s">
        <v>22253</v>
      </c>
      <c r="M945" s="103" t="str">
        <f t="shared" si="73"/>
        <v>http://oconnordata.com/mlink/modules/profile/index.cfm?action=profile&amp;prop_id=1079</v>
      </c>
      <c r="N945" s="1" t="str">
        <f t="shared" si="74"/>
        <v>01079</v>
      </c>
    </row>
    <row r="946" spans="1:14" x14ac:dyDescent="0.3">
      <c r="A946" s="1">
        <v>1080</v>
      </c>
      <c r="B946" s="7" t="s">
        <v>1445</v>
      </c>
      <c r="C946" s="12">
        <v>5315</v>
      </c>
      <c r="D946" s="7" t="s">
        <v>1446</v>
      </c>
      <c r="E946" s="13" t="s">
        <v>842</v>
      </c>
      <c r="F946" t="str">
        <f t="shared" si="70"/>
        <v>Gawain</v>
      </c>
      <c r="G946" t="str">
        <f t="shared" si="71"/>
        <v>Gawain5315San Antonio</v>
      </c>
      <c r="H946" t="s">
        <v>31804</v>
      </c>
      <c r="I946" t="s">
        <v>23235</v>
      </c>
      <c r="J946" t="str">
        <f t="shared" si="72"/>
        <v>E:\PropInv\MF</v>
      </c>
      <c r="K946" s="103" t="str">
        <f>HYPERLINK("E:\PropInv\MF\San Antonio\Gawain Dr_5315_Victorian Village_San Antonio_01080","Gawain Dr_5315_Victorian Village_San Antonio_01080" )</f>
        <v>Gawain Dr_5315_Victorian Village_San Antonio_01080</v>
      </c>
      <c r="L946" s="104" t="s">
        <v>22253</v>
      </c>
      <c r="M946" s="103" t="str">
        <f t="shared" si="73"/>
        <v>http://oconnordata.com/mlink/modules/profile/index.cfm?action=profile&amp;prop_id=1080</v>
      </c>
      <c r="N946" s="1" t="str">
        <f t="shared" si="74"/>
        <v>01080</v>
      </c>
    </row>
    <row r="947" spans="1:14" x14ac:dyDescent="0.3">
      <c r="A947" s="1">
        <v>1081</v>
      </c>
      <c r="B947" s="7" t="s">
        <v>1241</v>
      </c>
      <c r="C947" s="12">
        <v>10334</v>
      </c>
      <c r="D947" s="7" t="s">
        <v>1447</v>
      </c>
      <c r="E947" s="13" t="s">
        <v>842</v>
      </c>
      <c r="F947" t="str">
        <f t="shared" si="70"/>
        <v>Oasis</v>
      </c>
      <c r="G947" t="str">
        <f t="shared" si="71"/>
        <v>Oasis10334San Antonio</v>
      </c>
      <c r="H947" t="s">
        <v>31805</v>
      </c>
      <c r="I947" t="s">
        <v>23236</v>
      </c>
      <c r="J947" t="str">
        <f t="shared" si="72"/>
        <v>E:\PropInv\MF</v>
      </c>
      <c r="K947" s="103" t="str">
        <f>HYPERLINK("E:\PropInv\MF\San Antonio\Oasis_10334_View Point_San Antonio_01081","Oasis_10334_View Point_San Antonio_01081" )</f>
        <v>Oasis_10334_View Point_San Antonio_01081</v>
      </c>
      <c r="L947" s="104" t="s">
        <v>22253</v>
      </c>
      <c r="M947" s="103" t="str">
        <f t="shared" si="73"/>
        <v>http://oconnordata.com/mlink/modules/profile/index.cfm?action=profile&amp;prop_id=1081</v>
      </c>
      <c r="N947" s="1" t="str">
        <f t="shared" si="74"/>
        <v>01081</v>
      </c>
    </row>
    <row r="948" spans="1:14" x14ac:dyDescent="0.3">
      <c r="A948" s="1">
        <v>1082</v>
      </c>
      <c r="B948" s="7" t="s">
        <v>1448</v>
      </c>
      <c r="C948" s="12">
        <v>130</v>
      </c>
      <c r="D948" s="7" t="s">
        <v>1449</v>
      </c>
      <c r="E948" s="13" t="s">
        <v>842</v>
      </c>
      <c r="F948" t="str">
        <f t="shared" si="70"/>
        <v>Camino</v>
      </c>
      <c r="G948" t="str">
        <f t="shared" si="71"/>
        <v>Camino130San Antonio</v>
      </c>
      <c r="H948" t="s">
        <v>31806</v>
      </c>
      <c r="I948" t="s">
        <v>23237</v>
      </c>
      <c r="J948" t="str">
        <f t="shared" si="72"/>
        <v>E:\PropInv\MF</v>
      </c>
      <c r="K948" s="103" t="str">
        <f>HYPERLINK("E:\PropInv\MF\San Antonio\Camino De Oro_130_Villa de Oro_San Antonio_01082","Camino De Oro_130_Villa de Oro_San Antonio_01082" )</f>
        <v>Camino De Oro_130_Villa de Oro_San Antonio_01082</v>
      </c>
      <c r="L948" s="104" t="s">
        <v>22253</v>
      </c>
      <c r="M948" s="103" t="str">
        <f t="shared" si="73"/>
        <v>http://oconnordata.com/mlink/modules/profile/index.cfm?action=profile&amp;prop_id=1082</v>
      </c>
      <c r="N948" s="1" t="str">
        <f t="shared" si="74"/>
        <v>01082</v>
      </c>
    </row>
    <row r="949" spans="1:14" x14ac:dyDescent="0.3">
      <c r="A949" s="1">
        <v>1083</v>
      </c>
      <c r="B949" s="7" t="s">
        <v>1450</v>
      </c>
      <c r="C949" s="12">
        <v>123</v>
      </c>
      <c r="D949" s="7" t="s">
        <v>1451</v>
      </c>
      <c r="E949" s="13" t="s">
        <v>842</v>
      </c>
      <c r="F949" t="str">
        <f t="shared" si="70"/>
        <v>Brackenridge</v>
      </c>
      <c r="G949" t="str">
        <f t="shared" si="71"/>
        <v>Brackenridge123San Antonio</v>
      </c>
      <c r="H949" t="s">
        <v>31807</v>
      </c>
      <c r="I949" t="s">
        <v>23238</v>
      </c>
      <c r="J949" t="str">
        <f t="shared" si="72"/>
        <v>E:\PropInv\MF</v>
      </c>
      <c r="K949" s="103" t="str">
        <f>HYPERLINK("E:\PropInv\MF\San Antonio\Brackenridge_123_Villa Fontana_San Antonio_01083","Brackenridge_123_Villa Fontana_San Antonio_01083" )</f>
        <v>Brackenridge_123_Villa Fontana_San Antonio_01083</v>
      </c>
      <c r="L949" s="104" t="s">
        <v>22253</v>
      </c>
      <c r="M949" s="103" t="str">
        <f t="shared" si="73"/>
        <v>http://oconnordata.com/mlink/modules/profile/index.cfm?action=profile&amp;prop_id=1083</v>
      </c>
      <c r="N949" s="1" t="str">
        <f t="shared" si="74"/>
        <v>01083</v>
      </c>
    </row>
    <row r="950" spans="1:14" x14ac:dyDescent="0.3">
      <c r="A950" s="1">
        <v>1084</v>
      </c>
      <c r="B950" s="7" t="s">
        <v>1007</v>
      </c>
      <c r="C950" s="12">
        <v>800</v>
      </c>
      <c r="D950" s="7" t="s">
        <v>1452</v>
      </c>
      <c r="E950" s="13" t="s">
        <v>842</v>
      </c>
      <c r="F950" t="str">
        <f t="shared" si="70"/>
        <v>Gentleman</v>
      </c>
      <c r="G950" t="str">
        <f t="shared" si="71"/>
        <v>Gentleman800San Antonio</v>
      </c>
      <c r="H950" t="s">
        <v>31808</v>
      </c>
      <c r="I950" t="s">
        <v>23239</v>
      </c>
      <c r="J950" t="str">
        <f t="shared" si="72"/>
        <v>E:\PropInv\MF</v>
      </c>
      <c r="K950" s="103" t="str">
        <f>HYPERLINK("E:\PropInv\MF\San Antonio\Gentleman Rd_800_Villa Madrid_San Antonio_01084","Gentleman Rd_800_Villa Madrid_San Antonio_01084" )</f>
        <v>Gentleman Rd_800_Villa Madrid_San Antonio_01084</v>
      </c>
      <c r="L950" s="104" t="s">
        <v>22253</v>
      </c>
      <c r="M950" s="103" t="str">
        <f t="shared" si="73"/>
        <v>http://oconnordata.com/mlink/modules/profile/index.cfm?action=profile&amp;prop_id=1084</v>
      </c>
      <c r="N950" s="1" t="str">
        <f t="shared" si="74"/>
        <v>01084</v>
      </c>
    </row>
    <row r="951" spans="1:14" x14ac:dyDescent="0.3">
      <c r="A951" s="1">
        <v>1085</v>
      </c>
      <c r="B951" s="7" t="s">
        <v>849</v>
      </c>
      <c r="C951" s="12">
        <v>9310</v>
      </c>
      <c r="D951" s="7" t="s">
        <v>1453</v>
      </c>
      <c r="E951" s="13" t="s">
        <v>842</v>
      </c>
      <c r="F951" t="str">
        <f t="shared" si="70"/>
        <v>Starcrest</v>
      </c>
      <c r="G951" t="str">
        <f t="shared" si="71"/>
        <v>Starcrest9310San Antonio</v>
      </c>
      <c r="H951" t="s">
        <v>31809</v>
      </c>
      <c r="I951" t="s">
        <v>23240</v>
      </c>
      <c r="J951" t="str">
        <f t="shared" si="72"/>
        <v>E:\PropInv\MF</v>
      </c>
      <c r="K951" s="103" t="str">
        <f>HYPERLINK("E:\PropInv\MF\San Antonio\Starcrest Dr_9310_Villa Navarone_San Antonio_01085","Starcrest Dr_9310_Villa Navarone_San Antonio_01085" )</f>
        <v>Starcrest Dr_9310_Villa Navarone_San Antonio_01085</v>
      </c>
      <c r="L951" s="104" t="s">
        <v>22253</v>
      </c>
      <c r="M951" s="103" t="str">
        <f t="shared" si="73"/>
        <v>http://oconnordata.com/mlink/modules/profile/index.cfm?action=profile&amp;prop_id=1085</v>
      </c>
      <c r="N951" s="1" t="str">
        <f t="shared" si="74"/>
        <v>01085</v>
      </c>
    </row>
    <row r="952" spans="1:14" x14ac:dyDescent="0.3">
      <c r="A952" s="1">
        <v>1086</v>
      </c>
      <c r="B952" s="7" t="s">
        <v>1454</v>
      </c>
      <c r="C952" s="12">
        <v>8011</v>
      </c>
      <c r="D952" s="7" t="s">
        <v>435</v>
      </c>
      <c r="E952" s="13" t="s">
        <v>842</v>
      </c>
      <c r="F952" t="str">
        <f t="shared" si="70"/>
        <v>New</v>
      </c>
      <c r="G952" t="str">
        <f t="shared" si="71"/>
        <v>New8011San Antonio</v>
      </c>
      <c r="H952" t="s">
        <v>31810</v>
      </c>
      <c r="I952" t="s">
        <v>23241</v>
      </c>
      <c r="J952" t="str">
        <f t="shared" si="72"/>
        <v>E:\PropInv\MF</v>
      </c>
      <c r="K952" s="103" t="str">
        <f>HYPERLINK("E:\PropInv\MF\San Antonio\New Braunfels Ave N_8011_Village Oaks_San Antonio_01086","New Braunfels Ave N_8011_Village Oaks_San Antonio_01086" )</f>
        <v>New Braunfels Ave N_8011_Village Oaks_San Antonio_01086</v>
      </c>
      <c r="L952" s="104" t="s">
        <v>22253</v>
      </c>
      <c r="M952" s="103" t="str">
        <f t="shared" si="73"/>
        <v>http://oconnordata.com/mlink/modules/profile/index.cfm?action=profile&amp;prop_id=1086</v>
      </c>
      <c r="N952" s="1" t="str">
        <f t="shared" si="74"/>
        <v>01086</v>
      </c>
    </row>
    <row r="953" spans="1:14" x14ac:dyDescent="0.3">
      <c r="A953" s="1">
        <v>1087</v>
      </c>
      <c r="B953" s="7" t="s">
        <v>1455</v>
      </c>
      <c r="C953" s="12">
        <v>11300</v>
      </c>
      <c r="D953" s="7" t="s">
        <v>1456</v>
      </c>
      <c r="E953" s="13" t="s">
        <v>842</v>
      </c>
      <c r="F953" t="str">
        <f t="shared" si="70"/>
        <v>Expo</v>
      </c>
      <c r="G953" t="str">
        <f t="shared" si="71"/>
        <v>Expo11300San Antonio</v>
      </c>
      <c r="H953" t="s">
        <v>31811</v>
      </c>
      <c r="I953" t="s">
        <v>23242</v>
      </c>
      <c r="J953" t="str">
        <f t="shared" si="72"/>
        <v>E:\PropInv\MF</v>
      </c>
      <c r="K953" s="103" t="str">
        <f>HYPERLINK("E:\PropInv\MF\San Antonio\Expo Blvd_11300_Village of Hampton Cove_San Antonio_01087","Expo Blvd_11300_Village of Hampton Cove_San Antonio_01087" )</f>
        <v>Expo Blvd_11300_Village of Hampton Cove_San Antonio_01087</v>
      </c>
      <c r="L953" s="104" t="s">
        <v>22253</v>
      </c>
      <c r="M953" s="103" t="str">
        <f t="shared" si="73"/>
        <v>http://oconnordata.com/mlink/modules/profile/index.cfm?action=profile&amp;prop_id=1087</v>
      </c>
      <c r="N953" s="1" t="str">
        <f t="shared" si="74"/>
        <v>01087</v>
      </c>
    </row>
    <row r="954" spans="1:14" x14ac:dyDescent="0.3">
      <c r="A954" s="1">
        <v>1088</v>
      </c>
      <c r="B954" s="7" t="s">
        <v>865</v>
      </c>
      <c r="C954" s="12">
        <v>14555</v>
      </c>
      <c r="D954" s="7" t="s">
        <v>1457</v>
      </c>
      <c r="E954" s="13" t="s">
        <v>842</v>
      </c>
      <c r="F954" t="str">
        <f t="shared" si="70"/>
        <v>Blanco</v>
      </c>
      <c r="G954" t="str">
        <f t="shared" si="71"/>
        <v>Blanco14555San Antonio</v>
      </c>
      <c r="H954" t="s">
        <v>31812</v>
      </c>
      <c r="I954" t="s">
        <v>23243</v>
      </c>
      <c r="J954" t="str">
        <f t="shared" si="72"/>
        <v>E:\PropInv\MF</v>
      </c>
      <c r="K954" s="103" t="str">
        <f>HYPERLINK("E:\PropInv\MF\San Antonio\Blanco Rd_14555_Park at Walkers Ranch_San Antonio_01088","Blanco Rd_14555_Park at Walkers Ranch_San Antonio_01088" )</f>
        <v>Blanco Rd_14555_Park at Walkers Ranch_San Antonio_01088</v>
      </c>
      <c r="L954" s="104" t="s">
        <v>22253</v>
      </c>
      <c r="M954" s="103" t="str">
        <f t="shared" si="73"/>
        <v>http://oconnordata.com/mlink/modules/profile/index.cfm?action=profile&amp;prop_id=1088</v>
      </c>
      <c r="N954" s="1" t="str">
        <f t="shared" si="74"/>
        <v>01088</v>
      </c>
    </row>
    <row r="955" spans="1:14" x14ac:dyDescent="0.3">
      <c r="A955" s="1">
        <v>1089</v>
      </c>
      <c r="B955" s="7" t="s">
        <v>879</v>
      </c>
      <c r="C955" s="12">
        <v>2170</v>
      </c>
      <c r="D955" s="7" t="s">
        <v>1458</v>
      </c>
      <c r="E955" s="13" t="s">
        <v>842</v>
      </c>
      <c r="F955" t="str">
        <f t="shared" si="70"/>
        <v>Thousand</v>
      </c>
      <c r="G955" t="str">
        <f t="shared" si="71"/>
        <v>Thousand2170San Antonio</v>
      </c>
      <c r="H955" t="s">
        <v>31813</v>
      </c>
      <c r="I955" t="s">
        <v>23244</v>
      </c>
      <c r="J955" t="str">
        <f t="shared" si="72"/>
        <v>E:\PropInv\MF</v>
      </c>
      <c r="K955" s="103" t="str">
        <f>HYPERLINK("E:\PropInv\MF\San Antonio\Thousand Oaks Dr_2170_Sunset Canyon_San Antonio_01089","Thousand Oaks Dr_2170_Sunset Canyon_San Antonio_01089" )</f>
        <v>Thousand Oaks Dr_2170_Sunset Canyon_San Antonio_01089</v>
      </c>
      <c r="L955" s="104" t="s">
        <v>22253</v>
      </c>
      <c r="M955" s="103" t="str">
        <f t="shared" si="73"/>
        <v>http://oconnordata.com/mlink/modules/profile/index.cfm?action=profile&amp;prop_id=1089</v>
      </c>
      <c r="N955" s="1" t="str">
        <f t="shared" si="74"/>
        <v>01089</v>
      </c>
    </row>
    <row r="956" spans="1:14" x14ac:dyDescent="0.3">
      <c r="A956" s="1">
        <v>1090</v>
      </c>
      <c r="B956" s="7" t="s">
        <v>1147</v>
      </c>
      <c r="C956" s="12">
        <v>1000</v>
      </c>
      <c r="D956" s="7" t="s">
        <v>1459</v>
      </c>
      <c r="E956" s="13" t="s">
        <v>842</v>
      </c>
      <c r="F956" t="str">
        <f t="shared" si="70"/>
        <v>Jackson</v>
      </c>
      <c r="G956" t="str">
        <f t="shared" si="71"/>
        <v>Jackson1000San Antonio</v>
      </c>
      <c r="H956" t="s">
        <v>31814</v>
      </c>
      <c r="I956" t="s">
        <v>23245</v>
      </c>
      <c r="J956" t="str">
        <f t="shared" si="72"/>
        <v>E:\PropInv\MF</v>
      </c>
      <c r="K956" s="103" t="str">
        <f>HYPERLINK("E:\PropInv\MF\San Antonio\Jackson Keller Rd_1000_Villas of Castle Hills_San Antonio_01090","Jackson Keller Rd_1000_Villas of Castle Hills_San Antonio_01090" )</f>
        <v>Jackson Keller Rd_1000_Villas of Castle Hills_San Antonio_01090</v>
      </c>
      <c r="L956" s="104" t="s">
        <v>22253</v>
      </c>
      <c r="M956" s="103" t="str">
        <f t="shared" si="73"/>
        <v>http://oconnordata.com/mlink/modules/profile/index.cfm?action=profile&amp;prop_id=1090</v>
      </c>
      <c r="N956" s="1" t="str">
        <f t="shared" si="74"/>
        <v>01090</v>
      </c>
    </row>
    <row r="957" spans="1:14" x14ac:dyDescent="0.3">
      <c r="A957" s="1">
        <v>1091</v>
      </c>
      <c r="B957" s="7" t="s">
        <v>867</v>
      </c>
      <c r="C957" s="12">
        <v>16465</v>
      </c>
      <c r="D957" s="7" t="s">
        <v>1460</v>
      </c>
      <c r="E957" s="13" t="s">
        <v>842</v>
      </c>
      <c r="F957" t="str">
        <f t="shared" si="70"/>
        <v>Henderson</v>
      </c>
      <c r="G957" t="str">
        <f t="shared" si="71"/>
        <v>Henderson16465San Antonio</v>
      </c>
      <c r="H957" t="s">
        <v>31815</v>
      </c>
      <c r="I957" t="s">
        <v>23246</v>
      </c>
      <c r="J957" t="str">
        <f t="shared" si="72"/>
        <v>E:\PropInv\MF</v>
      </c>
      <c r="K957" s="103" t="str">
        <f>HYPERLINK("E:\PropInv\MF\San Antonio\Henderson Pass_16465_Villas of Henderson Pass_San Antonio_01091","Henderson Pass_16465_Villas of Henderson Pass_San Antonio_01091" )</f>
        <v>Henderson Pass_16465_Villas of Henderson Pass_San Antonio_01091</v>
      </c>
      <c r="L957" s="104" t="s">
        <v>22253</v>
      </c>
      <c r="M957" s="103" t="str">
        <f t="shared" si="73"/>
        <v>http://oconnordata.com/mlink/modules/profile/index.cfm?action=profile&amp;prop_id=1091</v>
      </c>
      <c r="N957" s="1" t="str">
        <f t="shared" si="74"/>
        <v>01091</v>
      </c>
    </row>
    <row r="958" spans="1:14" x14ac:dyDescent="0.3">
      <c r="A958" s="1">
        <v>1092</v>
      </c>
      <c r="B958" s="7" t="s">
        <v>855</v>
      </c>
      <c r="C958" s="12">
        <v>5315</v>
      </c>
      <c r="D958" s="7" t="s">
        <v>1461</v>
      </c>
      <c r="E958" s="13" t="s">
        <v>842</v>
      </c>
      <c r="F958" t="str">
        <f t="shared" si="70"/>
        <v>Fredericksburg</v>
      </c>
      <c r="G958" t="str">
        <f t="shared" si="71"/>
        <v>Fredericksburg5315San Antonio</v>
      </c>
      <c r="H958" t="s">
        <v>31816</v>
      </c>
      <c r="I958" t="s">
        <v>23247</v>
      </c>
      <c r="J958" t="str">
        <f t="shared" si="72"/>
        <v>E:\PropInv\MF</v>
      </c>
      <c r="K958" s="103" t="str">
        <f>HYPERLINK("E:\PropInv\MF\San Antonio\Fredericksburg Rd_5315_Villas of Oak Creste_San Antonio_01092","Fredericksburg Rd_5315_Villas of Oak Creste_San Antonio_01092" )</f>
        <v>Fredericksburg Rd_5315_Villas of Oak Creste_San Antonio_01092</v>
      </c>
      <c r="L958" s="104" t="s">
        <v>22253</v>
      </c>
      <c r="M958" s="103" t="str">
        <f t="shared" si="73"/>
        <v>http://oconnordata.com/mlink/modules/profile/index.cfm?action=profile&amp;prop_id=1092</v>
      </c>
      <c r="N958" s="1" t="str">
        <f t="shared" si="74"/>
        <v>01092</v>
      </c>
    </row>
    <row r="959" spans="1:14" x14ac:dyDescent="0.3">
      <c r="A959" s="1">
        <v>1093</v>
      </c>
      <c r="B959" s="7" t="s">
        <v>1462</v>
      </c>
      <c r="C959" s="12">
        <v>7221</v>
      </c>
      <c r="D959" s="7" t="s">
        <v>1463</v>
      </c>
      <c r="E959" s="13" t="s">
        <v>842</v>
      </c>
      <c r="F959" t="str">
        <f t="shared" si="70"/>
        <v>Lamb</v>
      </c>
      <c r="G959" t="str">
        <f t="shared" si="71"/>
        <v>Lamb7221San Antonio</v>
      </c>
      <c r="H959" t="s">
        <v>31817</v>
      </c>
      <c r="I959" t="s">
        <v>23248</v>
      </c>
      <c r="J959" t="str">
        <f t="shared" si="72"/>
        <v>E:\PropInv\MF</v>
      </c>
      <c r="K959" s="103" t="str">
        <f>HYPERLINK("E:\PropInv\MF\San Antonio\Lamb Rd_7221_Villas of St. Moritz_San Antonio_01093","Lamb Rd_7221_Villas of St. Moritz_San Antonio_01093" )</f>
        <v>Lamb Rd_7221_Villas of St. Moritz_San Antonio_01093</v>
      </c>
      <c r="L959" s="104" t="s">
        <v>22253</v>
      </c>
      <c r="M959" s="103" t="str">
        <f t="shared" si="73"/>
        <v>http://oconnordata.com/mlink/modules/profile/index.cfm?action=profile&amp;prop_id=1093</v>
      </c>
      <c r="N959" s="1" t="str">
        <f t="shared" si="74"/>
        <v>01093</v>
      </c>
    </row>
    <row r="960" spans="1:14" x14ac:dyDescent="0.3">
      <c r="A960" s="1">
        <v>1094</v>
      </c>
      <c r="B960" s="7" t="s">
        <v>1056</v>
      </c>
      <c r="C960" s="12">
        <v>4000</v>
      </c>
      <c r="D960" s="7" t="s">
        <v>1464</v>
      </c>
      <c r="E960" s="13" t="s">
        <v>842</v>
      </c>
      <c r="F960" t="str">
        <f t="shared" si="70"/>
        <v>Horizon</v>
      </c>
      <c r="G960" t="str">
        <f t="shared" si="71"/>
        <v>Horizon4000San Antonio</v>
      </c>
      <c r="H960" t="s">
        <v>31818</v>
      </c>
      <c r="I960" t="s">
        <v>23249</v>
      </c>
      <c r="J960" t="str">
        <f t="shared" si="72"/>
        <v>E:\PropInv\MF</v>
      </c>
      <c r="K960" s="103" t="str">
        <f>HYPERLINK("E:\PropInv\MF\San Antonio\Horizon Hill_4000_St. Tropez_San Antonio_01094","Horizon Hill_4000_St. Tropez_San Antonio_01094" )</f>
        <v>Horizon Hill_4000_St. Tropez_San Antonio_01094</v>
      </c>
      <c r="L960" s="104" t="s">
        <v>22253</v>
      </c>
      <c r="M960" s="103" t="str">
        <f t="shared" si="73"/>
        <v>http://oconnordata.com/mlink/modules/profile/index.cfm?action=profile&amp;prop_id=1094</v>
      </c>
      <c r="N960" s="1" t="str">
        <f t="shared" si="74"/>
        <v>01094</v>
      </c>
    </row>
    <row r="961" spans="1:14" x14ac:dyDescent="0.3">
      <c r="A961" s="1">
        <v>1095</v>
      </c>
      <c r="B961" s="10" t="s">
        <v>928</v>
      </c>
      <c r="C961" s="9">
        <v>7473</v>
      </c>
      <c r="D961" s="10" t="s">
        <v>1465</v>
      </c>
      <c r="E961" s="11" t="s">
        <v>842</v>
      </c>
      <c r="F961" t="str">
        <f t="shared" si="70"/>
        <v>Callaghan</v>
      </c>
      <c r="G961" t="str">
        <f t="shared" si="71"/>
        <v>Callaghan7473San Antonio</v>
      </c>
      <c r="H961" t="s">
        <v>31819</v>
      </c>
      <c r="I961" t="s">
        <v>23250</v>
      </c>
      <c r="J961" t="str">
        <f t="shared" si="72"/>
        <v>E:\PropInv\MF</v>
      </c>
      <c r="K961" s="103" t="str">
        <f>HYPERLINK("E:\PropInv\MF\San Antonio\Callaghan Rd_7473_Vineyard Gardens_San Antonio_01095","Callaghan Rd_7473_Vineyard Gardens_San Antonio_01095" )</f>
        <v>Callaghan Rd_7473_Vineyard Gardens_San Antonio_01095</v>
      </c>
      <c r="L961" s="104" t="s">
        <v>22253</v>
      </c>
      <c r="M961" s="103" t="str">
        <f t="shared" si="73"/>
        <v>http://oconnordata.com/mlink/modules/profile/index.cfm?action=profile&amp;prop_id=1095</v>
      </c>
      <c r="N961" s="1" t="str">
        <f t="shared" si="74"/>
        <v>01095</v>
      </c>
    </row>
    <row r="962" spans="1:14" x14ac:dyDescent="0.3">
      <c r="A962" s="1">
        <v>1096</v>
      </c>
      <c r="B962" s="7" t="s">
        <v>898</v>
      </c>
      <c r="C962" s="12">
        <v>1110</v>
      </c>
      <c r="D962" s="7" t="s">
        <v>1466</v>
      </c>
      <c r="E962" s="13" t="s">
        <v>842</v>
      </c>
      <c r="F962" t="str">
        <f t="shared" ref="F962:F1025" si="75">IFERROR(LEFT(B962,FIND(" ",B962)-1),B962)</f>
        <v>Vista</v>
      </c>
      <c r="G962" t="str">
        <f t="shared" ref="G962:G1025" si="76">F962&amp;C962&amp;E962</f>
        <v>Vista1110San Antonio</v>
      </c>
      <c r="H962" t="s">
        <v>31820</v>
      </c>
      <c r="I962" t="s">
        <v>23251</v>
      </c>
      <c r="J962" t="str">
        <f t="shared" ref="J962:J1025" si="77">IF(L962="TX",Folder_Path,Folder_Path&amp;"\State_"&amp;L962)</f>
        <v>E:\PropInv\MF</v>
      </c>
      <c r="K962" s="103" t="str">
        <f>HYPERLINK("E:\PropInv\MF\San Antonio\Vista Valet_1110_Vista Crossing_San Antonio_01096","Vista Valet_1110_Vista Crossing_San Antonio_01096" )</f>
        <v>Vista Valet_1110_Vista Crossing_San Antonio_01096</v>
      </c>
      <c r="L962" s="104" t="s">
        <v>22253</v>
      </c>
      <c r="M962" s="103" t="str">
        <f t="shared" ref="M962:M1025" si="78">HYPERLINK("http://oconnordata.com/mlink/modules/profile/index.cfm?action=profile&amp;prop_id="&amp;A962)</f>
        <v>http://oconnordata.com/mlink/modules/profile/index.cfm?action=profile&amp;prop_id=1096</v>
      </c>
      <c r="N962" s="1" t="str">
        <f t="shared" ref="N962:N1025" si="79">IF(LEN(A962)=1,"0000"&amp;A962,IF(LEN(A962)=2,"000"&amp;A962,IF(LEN(A962)=3,"00"&amp;A962,IF(LEN(A962)=4,"0"&amp;A962,IF(LEN(A962)=5,IF(LEFT(A962,1)="3",A962+30000,A962))))))</f>
        <v>01096</v>
      </c>
    </row>
    <row r="963" spans="1:14" x14ac:dyDescent="0.3">
      <c r="A963" s="1">
        <v>1098</v>
      </c>
      <c r="B963" s="7" t="s">
        <v>1053</v>
      </c>
      <c r="C963" s="12">
        <v>5622</v>
      </c>
      <c r="D963" s="7" t="s">
        <v>1467</v>
      </c>
      <c r="E963" s="13" t="s">
        <v>842</v>
      </c>
      <c r="F963" t="str">
        <f t="shared" si="75"/>
        <v>Evers</v>
      </c>
      <c r="G963" t="str">
        <f t="shared" si="76"/>
        <v>Evers5622San Antonio</v>
      </c>
      <c r="H963" t="s">
        <v>31821</v>
      </c>
      <c r="I963" t="s">
        <v>23252</v>
      </c>
      <c r="J963" t="str">
        <f t="shared" si="77"/>
        <v>E:\PropInv\MF</v>
      </c>
      <c r="K963" s="103" t="str">
        <f>HYPERLINK("E:\PropInv\MF\San Antonio\Evers Rd_5622_Vista del Rey_San Antonio_01098","Evers Rd_5622_Vista del Rey_San Antonio_01098" )</f>
        <v>Evers Rd_5622_Vista del Rey_San Antonio_01098</v>
      </c>
      <c r="L963" s="104" t="s">
        <v>22253</v>
      </c>
      <c r="M963" s="103" t="str">
        <f t="shared" si="78"/>
        <v>http://oconnordata.com/mlink/modules/profile/index.cfm?action=profile&amp;prop_id=1098</v>
      </c>
      <c r="N963" s="1" t="str">
        <f t="shared" si="79"/>
        <v>01098</v>
      </c>
    </row>
    <row r="964" spans="1:14" x14ac:dyDescent="0.3">
      <c r="A964" s="1">
        <v>1099</v>
      </c>
      <c r="B964" s="7" t="s">
        <v>1468</v>
      </c>
      <c r="C964" s="12">
        <v>5450</v>
      </c>
      <c r="D964" s="7" t="s">
        <v>1469</v>
      </c>
      <c r="E964" s="13" t="s">
        <v>842</v>
      </c>
      <c r="F964" t="str">
        <f t="shared" si="75"/>
        <v>Rowley</v>
      </c>
      <c r="G964" t="str">
        <f t="shared" si="76"/>
        <v>Rowley5450San Antonio</v>
      </c>
      <c r="H964" t="s">
        <v>31822</v>
      </c>
      <c r="I964" t="s">
        <v>23253</v>
      </c>
      <c r="J964" t="str">
        <f t="shared" si="77"/>
        <v>E:\PropInv\MF</v>
      </c>
      <c r="K964" s="103" t="str">
        <f>HYPERLINK("E:\PropInv\MF\San Antonio\Rowley Rd_5450_The Abbey at Medical Center_San Antonio_01099","Rowley Rd_5450_The Abbey at Medical Center_San Antonio_01099" )</f>
        <v>Rowley Rd_5450_The Abbey at Medical Center_San Antonio_01099</v>
      </c>
      <c r="L964" s="104" t="s">
        <v>22253</v>
      </c>
      <c r="M964" s="103" t="str">
        <f t="shared" si="78"/>
        <v>http://oconnordata.com/mlink/modules/profile/index.cfm?action=profile&amp;prop_id=1099</v>
      </c>
      <c r="N964" s="1" t="str">
        <f t="shared" si="79"/>
        <v>01099</v>
      </c>
    </row>
    <row r="965" spans="1:14" x14ac:dyDescent="0.3">
      <c r="A965" s="1">
        <v>1100</v>
      </c>
      <c r="B965" s="10" t="s">
        <v>1470</v>
      </c>
      <c r="C965" s="9">
        <v>8120</v>
      </c>
      <c r="D965" s="10" t="s">
        <v>1471</v>
      </c>
      <c r="E965" s="11" t="s">
        <v>842</v>
      </c>
      <c r="F965" t="str">
        <f t="shared" si="75"/>
        <v>Mainland</v>
      </c>
      <c r="G965" t="str">
        <f t="shared" si="76"/>
        <v>Mainland8120San Antonio</v>
      </c>
      <c r="H965" t="s">
        <v>31823</v>
      </c>
      <c r="I965" t="s">
        <v>23254</v>
      </c>
      <c r="J965" t="str">
        <f t="shared" si="77"/>
        <v>E:\PropInv\MF</v>
      </c>
      <c r="K965" s="103" t="str">
        <f>HYPERLINK("E:\PropInv\MF\San Antonio\Mainland Dr_8120_Bandera Commons_San Antonio_01100","Mainland Dr_8120_Bandera Commons_San Antonio_01100" )</f>
        <v>Mainland Dr_8120_Bandera Commons_San Antonio_01100</v>
      </c>
      <c r="L965" s="104" t="s">
        <v>22253</v>
      </c>
      <c r="M965" s="103" t="str">
        <f t="shared" si="78"/>
        <v>http://oconnordata.com/mlink/modules/profile/index.cfm?action=profile&amp;prop_id=1100</v>
      </c>
      <c r="N965" s="1" t="str">
        <f t="shared" si="79"/>
        <v>01100</v>
      </c>
    </row>
    <row r="966" spans="1:14" x14ac:dyDescent="0.3">
      <c r="A966" s="1">
        <v>1101</v>
      </c>
      <c r="B966" s="10" t="s">
        <v>942</v>
      </c>
      <c r="C966" s="9">
        <v>2626</v>
      </c>
      <c r="D966" s="10" t="s">
        <v>1472</v>
      </c>
      <c r="E966" s="11" t="s">
        <v>842</v>
      </c>
      <c r="F966" t="str">
        <f t="shared" si="75"/>
        <v>Babcock</v>
      </c>
      <c r="G966" t="str">
        <f t="shared" si="76"/>
        <v>Babcock2626San Antonio</v>
      </c>
      <c r="H966" t="s">
        <v>31824</v>
      </c>
      <c r="I966" t="s">
        <v>23255</v>
      </c>
      <c r="J966" t="str">
        <f t="shared" si="77"/>
        <v>E:\PropInv\MF</v>
      </c>
      <c r="K966" s="103" t="str">
        <f>HYPERLINK("E:\PropInv\MF\San Antonio\Babcock Rd_2626_Walnut Hill_San Antonio_01101","Babcock Rd_2626_Walnut Hill_San Antonio_01101" )</f>
        <v>Babcock Rd_2626_Walnut Hill_San Antonio_01101</v>
      </c>
      <c r="L966" s="104" t="s">
        <v>22253</v>
      </c>
      <c r="M966" s="103" t="str">
        <f t="shared" si="78"/>
        <v>http://oconnordata.com/mlink/modules/profile/index.cfm?action=profile&amp;prop_id=1101</v>
      </c>
      <c r="N966" s="1" t="str">
        <f t="shared" si="79"/>
        <v>01101</v>
      </c>
    </row>
    <row r="967" spans="1:14" x14ac:dyDescent="0.3">
      <c r="A967" s="1">
        <v>1102</v>
      </c>
      <c r="B967" s="10" t="s">
        <v>1182</v>
      </c>
      <c r="C967" s="9">
        <v>5380</v>
      </c>
      <c r="D967" s="10" t="s">
        <v>1473</v>
      </c>
      <c r="E967" s="11" t="s">
        <v>842</v>
      </c>
      <c r="F967" t="str">
        <f t="shared" si="75"/>
        <v>Medical</v>
      </c>
      <c r="G967" t="str">
        <f t="shared" si="76"/>
        <v>Medical5380San Antonio</v>
      </c>
      <c r="H967" t="s">
        <v>31825</v>
      </c>
      <c r="I967" t="s">
        <v>23256</v>
      </c>
      <c r="J967" t="str">
        <f t="shared" si="77"/>
        <v>E:\PropInv\MF</v>
      </c>
      <c r="K967" s="103" t="str">
        <f>HYPERLINK("E:\PropInv\MF\San Antonio\Medical Dr_5380_Crescent Oaks at Medical_San Antonio_01102","Medical Dr_5380_Crescent Oaks at Medical_San Antonio_01102" )</f>
        <v>Medical Dr_5380_Crescent Oaks at Medical_San Antonio_01102</v>
      </c>
      <c r="L967" s="104" t="s">
        <v>22253</v>
      </c>
      <c r="M967" s="103" t="str">
        <f t="shared" si="78"/>
        <v>http://oconnordata.com/mlink/modules/profile/index.cfm?action=profile&amp;prop_id=1102</v>
      </c>
      <c r="N967" s="1" t="str">
        <f t="shared" si="79"/>
        <v>01102</v>
      </c>
    </row>
    <row r="968" spans="1:14" x14ac:dyDescent="0.3">
      <c r="A968" s="1">
        <v>1103</v>
      </c>
      <c r="B968" s="10" t="s">
        <v>1139</v>
      </c>
      <c r="C968" s="9">
        <v>6700</v>
      </c>
      <c r="D968" s="10" t="s">
        <v>1474</v>
      </c>
      <c r="E968" s="11" t="s">
        <v>842</v>
      </c>
      <c r="F968" t="str">
        <f t="shared" si="75"/>
        <v>Vandiver</v>
      </c>
      <c r="G968" t="str">
        <f t="shared" si="76"/>
        <v>Vandiver6700San Antonio</v>
      </c>
      <c r="H968" t="s">
        <v>31826</v>
      </c>
      <c r="I968" t="s">
        <v>23257</v>
      </c>
      <c r="J968" t="str">
        <f t="shared" si="77"/>
        <v>E:\PropInv\MF</v>
      </c>
      <c r="K968" s="103" t="str">
        <f>HYPERLINK("E:\PropInv\MF\San Antonio\Vandiver N_6700_Waterford_San Antonio_01103","Vandiver N_6700_Waterford_San Antonio_01103" )</f>
        <v>Vandiver N_6700_Waterford_San Antonio_01103</v>
      </c>
      <c r="L968" s="104" t="s">
        <v>22253</v>
      </c>
      <c r="M968" s="103" t="str">
        <f t="shared" si="78"/>
        <v>http://oconnordata.com/mlink/modules/profile/index.cfm?action=profile&amp;prop_id=1103</v>
      </c>
      <c r="N968" s="1" t="str">
        <f t="shared" si="79"/>
        <v>01103</v>
      </c>
    </row>
    <row r="969" spans="1:14" x14ac:dyDescent="0.3">
      <c r="A969" s="1">
        <v>1104</v>
      </c>
      <c r="B969" s="10" t="s">
        <v>879</v>
      </c>
      <c r="C969" s="9">
        <v>4031</v>
      </c>
      <c r="D969" s="10" t="s">
        <v>1475</v>
      </c>
      <c r="E969" s="11" t="s">
        <v>842</v>
      </c>
      <c r="F969" t="str">
        <f t="shared" si="75"/>
        <v>Thousand</v>
      </c>
      <c r="G969" t="str">
        <f t="shared" si="76"/>
        <v>Thousand4031San Antonio</v>
      </c>
      <c r="H969" t="s">
        <v>31827</v>
      </c>
      <c r="I969" t="s">
        <v>23258</v>
      </c>
      <c r="J969" t="str">
        <f t="shared" si="77"/>
        <v>E:\PropInv\MF</v>
      </c>
      <c r="K969" s="103" t="str">
        <f>HYPERLINK("E:\PropInv\MF\San Antonio\Thousand Oaks Dr_4031_Waters at Northern Hills Marina_San Antonio_01104","Thousand Oaks Dr_4031_Waters at Northern Hills Marina_San Antonio_01104" )</f>
        <v>Thousand Oaks Dr_4031_Waters at Northern Hills Marina_San Antonio_01104</v>
      </c>
      <c r="L969" s="104" t="s">
        <v>22253</v>
      </c>
      <c r="M969" s="103" t="str">
        <f t="shared" si="78"/>
        <v>http://oconnordata.com/mlink/modules/profile/index.cfm?action=profile&amp;prop_id=1104</v>
      </c>
      <c r="N969" s="1" t="str">
        <f t="shared" si="79"/>
        <v>01104</v>
      </c>
    </row>
    <row r="970" spans="1:14" x14ac:dyDescent="0.3">
      <c r="A970" s="1">
        <v>1105</v>
      </c>
      <c r="B970" s="10" t="s">
        <v>865</v>
      </c>
      <c r="C970" s="9">
        <v>6701</v>
      </c>
      <c r="D970" s="10" t="s">
        <v>1476</v>
      </c>
      <c r="E970" s="11" t="s">
        <v>842</v>
      </c>
      <c r="F970" t="str">
        <f t="shared" si="75"/>
        <v>Blanco</v>
      </c>
      <c r="G970" t="str">
        <f t="shared" si="76"/>
        <v>Blanco6701San Antonio</v>
      </c>
      <c r="H970" t="s">
        <v>31828</v>
      </c>
      <c r="I970" t="s">
        <v>23259</v>
      </c>
      <c r="J970" t="str">
        <f t="shared" si="77"/>
        <v>E:\PropInv\MF</v>
      </c>
      <c r="K970" s="103" t="str">
        <f>HYPERLINK("E:\PropInv\MF\San Antonio\Blanco Rd_6701_Wedgwood Highrise_San Antonio_01105","Blanco Rd_6701_Wedgwood Highrise_San Antonio_01105" )</f>
        <v>Blanco Rd_6701_Wedgwood Highrise_San Antonio_01105</v>
      </c>
      <c r="L970" s="104" t="s">
        <v>22253</v>
      </c>
      <c r="M970" s="103" t="str">
        <f t="shared" si="78"/>
        <v>http://oconnordata.com/mlink/modules/profile/index.cfm?action=profile&amp;prop_id=1105</v>
      </c>
      <c r="N970" s="1" t="str">
        <f t="shared" si="79"/>
        <v>01105</v>
      </c>
    </row>
    <row r="971" spans="1:14" x14ac:dyDescent="0.3">
      <c r="A971" s="1">
        <v>1106</v>
      </c>
      <c r="B971" s="10" t="s">
        <v>928</v>
      </c>
      <c r="C971" s="9">
        <v>6623</v>
      </c>
      <c r="D971" s="10" t="s">
        <v>1477</v>
      </c>
      <c r="E971" s="11" t="s">
        <v>842</v>
      </c>
      <c r="F971" t="str">
        <f t="shared" si="75"/>
        <v>Callaghan</v>
      </c>
      <c r="G971" t="str">
        <f t="shared" si="76"/>
        <v>Callaghan6623San Antonio</v>
      </c>
      <c r="H971" t="s">
        <v>31829</v>
      </c>
      <c r="I971" t="s">
        <v>23260</v>
      </c>
      <c r="J971" t="str">
        <f t="shared" si="77"/>
        <v>E:\PropInv\MF</v>
      </c>
      <c r="K971" s="103" t="str">
        <f>HYPERLINK("E:\PropInv\MF\San Antonio\Callaghan Rd_6623_Wellington Estates_San Antonio_01106","Callaghan Rd_6623_Wellington Estates_San Antonio_01106" )</f>
        <v>Callaghan Rd_6623_Wellington Estates_San Antonio_01106</v>
      </c>
      <c r="L971" s="104" t="s">
        <v>22253</v>
      </c>
      <c r="M971" s="103" t="str">
        <f t="shared" si="78"/>
        <v>http://oconnordata.com/mlink/modules/profile/index.cfm?action=profile&amp;prop_id=1106</v>
      </c>
      <c r="N971" s="1" t="str">
        <f t="shared" si="79"/>
        <v>01106</v>
      </c>
    </row>
    <row r="972" spans="1:14" x14ac:dyDescent="0.3">
      <c r="A972" s="1">
        <v>1107</v>
      </c>
      <c r="B972" s="10" t="s">
        <v>1305</v>
      </c>
      <c r="C972" s="9">
        <v>7820</v>
      </c>
      <c r="D972" s="10" t="s">
        <v>1478</v>
      </c>
      <c r="E972" s="11" t="s">
        <v>842</v>
      </c>
      <c r="F972" t="str">
        <f t="shared" si="75"/>
        <v>Woodchase</v>
      </c>
      <c r="G972" t="str">
        <f t="shared" si="76"/>
        <v>Woodchase7820San Antonio</v>
      </c>
      <c r="H972" t="s">
        <v>31830</v>
      </c>
      <c r="I972" t="s">
        <v>23261</v>
      </c>
      <c r="J972" t="str">
        <f t="shared" si="77"/>
        <v>E:\PropInv\MF</v>
      </c>
      <c r="K972" s="103" t="str">
        <f>HYPERLINK("E:\PropInv\MF\San Antonio\Woodchase Dr_7820_Westchase_San Antonio_01107","Woodchase Dr_7820_Westchase_San Antonio_01107" )</f>
        <v>Woodchase Dr_7820_Westchase_San Antonio_01107</v>
      </c>
      <c r="L972" s="104" t="s">
        <v>22253</v>
      </c>
      <c r="M972" s="103" t="str">
        <f t="shared" si="78"/>
        <v>http://oconnordata.com/mlink/modules/profile/index.cfm?action=profile&amp;prop_id=1107</v>
      </c>
      <c r="N972" s="1" t="str">
        <f t="shared" si="79"/>
        <v>01107</v>
      </c>
    </row>
    <row r="973" spans="1:14" x14ac:dyDescent="0.3">
      <c r="A973" s="1">
        <v>1108</v>
      </c>
      <c r="B973" s="10" t="s">
        <v>1433</v>
      </c>
      <c r="C973" s="9">
        <v>1455</v>
      </c>
      <c r="D973" s="10" t="s">
        <v>1479</v>
      </c>
      <c r="E973" s="11" t="s">
        <v>842</v>
      </c>
      <c r="F973" t="str">
        <f t="shared" si="75"/>
        <v>Cable</v>
      </c>
      <c r="G973" t="str">
        <f t="shared" si="76"/>
        <v>Cable1455San Antonio</v>
      </c>
      <c r="H973" t="s">
        <v>31831</v>
      </c>
      <c r="I973" t="s">
        <v>23262</v>
      </c>
      <c r="J973" t="str">
        <f t="shared" si="77"/>
        <v>E:\PropInv\MF</v>
      </c>
      <c r="K973" s="103" t="str">
        <f>HYPERLINK("E:\PropInv\MF\San Antonio\Cable Ranch Rd_1455_Westlakes Villas_San Antonio_01108","Cable Ranch Rd_1455_Westlakes Villas_San Antonio_01108" )</f>
        <v>Cable Ranch Rd_1455_Westlakes Villas_San Antonio_01108</v>
      </c>
      <c r="L973" s="104" t="s">
        <v>22253</v>
      </c>
      <c r="M973" s="103" t="str">
        <f t="shared" si="78"/>
        <v>http://oconnordata.com/mlink/modules/profile/index.cfm?action=profile&amp;prop_id=1108</v>
      </c>
      <c r="N973" s="1" t="str">
        <f t="shared" si="79"/>
        <v>01108</v>
      </c>
    </row>
    <row r="974" spans="1:14" x14ac:dyDescent="0.3">
      <c r="A974" s="1">
        <v>1109</v>
      </c>
      <c r="B974" s="10" t="s">
        <v>1480</v>
      </c>
      <c r="C974" s="9">
        <v>2903</v>
      </c>
      <c r="D974" s="10" t="s">
        <v>1481</v>
      </c>
      <c r="E974" s="11" t="s">
        <v>842</v>
      </c>
      <c r="F974" t="str">
        <f t="shared" si="75"/>
        <v>Colt</v>
      </c>
      <c r="G974" t="str">
        <f t="shared" si="76"/>
        <v>Colt2903San Antonio</v>
      </c>
      <c r="H974" t="s">
        <v>31832</v>
      </c>
      <c r="I974" t="s">
        <v>23263</v>
      </c>
      <c r="J974" t="str">
        <f t="shared" si="77"/>
        <v>E:\PropInv\MF</v>
      </c>
      <c r="K974" s="103" t="str">
        <f>HYPERLINK("E:\PropInv\MF\San Antonio\Colt Dr_2903_Westwinds_San Antonio_01109","Colt Dr_2903_Westwinds_San Antonio_01109" )</f>
        <v>Colt Dr_2903_Westwinds_San Antonio_01109</v>
      </c>
      <c r="L974" s="104" t="s">
        <v>22253</v>
      </c>
      <c r="M974" s="103" t="str">
        <f t="shared" si="78"/>
        <v>http://oconnordata.com/mlink/modules/profile/index.cfm?action=profile&amp;prop_id=1109</v>
      </c>
      <c r="N974" s="1" t="str">
        <f t="shared" si="79"/>
        <v>01109</v>
      </c>
    </row>
    <row r="975" spans="1:14" x14ac:dyDescent="0.3">
      <c r="A975" s="1">
        <v>1110</v>
      </c>
      <c r="B975" s="10" t="s">
        <v>1482</v>
      </c>
      <c r="C975" s="9">
        <v>5303</v>
      </c>
      <c r="D975" s="10" t="s">
        <v>1483</v>
      </c>
      <c r="E975" s="11" t="s">
        <v>842</v>
      </c>
      <c r="F975" t="str">
        <f t="shared" si="75"/>
        <v>Hamilton</v>
      </c>
      <c r="G975" t="str">
        <f t="shared" si="76"/>
        <v>Hamilton5303San Antonio</v>
      </c>
      <c r="H975" t="s">
        <v>31833</v>
      </c>
      <c r="I975" t="s">
        <v>23264</v>
      </c>
      <c r="J975" t="str">
        <f t="shared" si="77"/>
        <v>E:\PropInv\MF</v>
      </c>
      <c r="K975" s="103" t="str">
        <f>HYPERLINK("E:\PropInv\MF\San Antonio\Hamilton Wolfe_5303_Whispering Creek Villas_San Antonio_01110","Hamilton Wolfe_5303_Whispering Creek Villas_San Antonio_01110" )</f>
        <v>Hamilton Wolfe_5303_Whispering Creek Villas_San Antonio_01110</v>
      </c>
      <c r="L975" s="104" t="s">
        <v>22253</v>
      </c>
      <c r="M975" s="103" t="str">
        <f t="shared" si="78"/>
        <v>http://oconnordata.com/mlink/modules/profile/index.cfm?action=profile&amp;prop_id=1110</v>
      </c>
      <c r="N975" s="1" t="str">
        <f t="shared" si="79"/>
        <v>01110</v>
      </c>
    </row>
    <row r="976" spans="1:14" x14ac:dyDescent="0.3">
      <c r="A976" s="1">
        <v>1111</v>
      </c>
      <c r="B976" s="10" t="s">
        <v>1484</v>
      </c>
      <c r="C976" s="9">
        <v>13658</v>
      </c>
      <c r="D976" s="10" t="s">
        <v>1485</v>
      </c>
      <c r="E976" s="11" t="s">
        <v>842</v>
      </c>
      <c r="F976" t="str">
        <f t="shared" si="75"/>
        <v>O'Connor</v>
      </c>
      <c r="G976" t="str">
        <f t="shared" si="76"/>
        <v>O'Connor13658San Antonio</v>
      </c>
      <c r="H976" t="s">
        <v>31834</v>
      </c>
      <c r="I976" t="s">
        <v>23265</v>
      </c>
      <c r="J976" t="str">
        <f t="shared" si="77"/>
        <v>E:\PropInv\MF</v>
      </c>
      <c r="K976" s="103" t="str">
        <f>HYPERLINK("E:\PropInv\MF\San Antonio\O'Connor Rd_13658_Whispering Hills_San Antonio_01111","O'Connor Rd_13658_Whispering Hills_San Antonio_01111" )</f>
        <v>O'Connor Rd_13658_Whispering Hills_San Antonio_01111</v>
      </c>
      <c r="L976" s="104" t="s">
        <v>22253</v>
      </c>
      <c r="M976" s="103" t="str">
        <f t="shared" si="78"/>
        <v>http://oconnordata.com/mlink/modules/profile/index.cfm?action=profile&amp;prop_id=1111</v>
      </c>
      <c r="N976" s="1" t="str">
        <f t="shared" si="79"/>
        <v>01111</v>
      </c>
    </row>
    <row r="977" spans="1:14" x14ac:dyDescent="0.3">
      <c r="A977" s="1">
        <v>1112</v>
      </c>
      <c r="B977" s="10" t="s">
        <v>1099</v>
      </c>
      <c r="C977" s="9">
        <v>2370</v>
      </c>
      <c r="D977" s="10" t="s">
        <v>1486</v>
      </c>
      <c r="E977" s="11" t="s">
        <v>842</v>
      </c>
      <c r="F977" t="str">
        <f t="shared" si="75"/>
        <v>Military</v>
      </c>
      <c r="G977" t="str">
        <f t="shared" si="76"/>
        <v>Military2370San Antonio</v>
      </c>
      <c r="H977" t="s">
        <v>31835</v>
      </c>
      <c r="I977" t="s">
        <v>23266</v>
      </c>
      <c r="J977" t="str">
        <f t="shared" si="77"/>
        <v>E:\PropInv\MF</v>
      </c>
      <c r="K977" s="103" t="str">
        <f>HYPERLINK("E:\PropInv\MF\San Antonio\Military Hwy NW_2370_Whispering Oaks_San Antonio_01112","Military Hwy NW_2370_Whispering Oaks_San Antonio_01112" )</f>
        <v>Military Hwy NW_2370_Whispering Oaks_San Antonio_01112</v>
      </c>
      <c r="L977" s="104" t="s">
        <v>22253</v>
      </c>
      <c r="M977" s="103" t="str">
        <f t="shared" si="78"/>
        <v>http://oconnordata.com/mlink/modules/profile/index.cfm?action=profile&amp;prop_id=1112</v>
      </c>
      <c r="N977" s="1" t="str">
        <f t="shared" si="79"/>
        <v>01112</v>
      </c>
    </row>
    <row r="978" spans="1:14" x14ac:dyDescent="0.3">
      <c r="A978" s="1">
        <v>1113</v>
      </c>
      <c r="B978" s="10" t="s">
        <v>1042</v>
      </c>
      <c r="C978" s="9">
        <v>200</v>
      </c>
      <c r="D978" s="10" t="s">
        <v>1487</v>
      </c>
      <c r="E978" s="11" t="s">
        <v>842</v>
      </c>
      <c r="F978" t="str">
        <f t="shared" si="75"/>
        <v>Whitewood</v>
      </c>
      <c r="G978" t="str">
        <f t="shared" si="76"/>
        <v>Whitewood200San Antonio</v>
      </c>
      <c r="H978" t="s">
        <v>31836</v>
      </c>
      <c r="I978" t="s">
        <v>23267</v>
      </c>
      <c r="J978" t="str">
        <f t="shared" si="77"/>
        <v>E:\PropInv\MF</v>
      </c>
      <c r="K978" s="103" t="str">
        <f>HYPERLINK("E:\PropInv\MF\San Antonio\Whitewood Dr_200_Whitewood Oaks_San Antonio_01113","Whitewood Dr_200_Whitewood Oaks_San Antonio_01113" )</f>
        <v>Whitewood Dr_200_Whitewood Oaks_San Antonio_01113</v>
      </c>
      <c r="L978" s="104" t="s">
        <v>22253</v>
      </c>
      <c r="M978" s="103" t="str">
        <f t="shared" si="78"/>
        <v>http://oconnordata.com/mlink/modules/profile/index.cfm?action=profile&amp;prop_id=1113</v>
      </c>
      <c r="N978" s="1" t="str">
        <f t="shared" si="79"/>
        <v>01113</v>
      </c>
    </row>
    <row r="979" spans="1:14" x14ac:dyDescent="0.3">
      <c r="A979" s="1">
        <v>1114</v>
      </c>
      <c r="B979" s="10" t="s">
        <v>22283</v>
      </c>
      <c r="C979" s="9">
        <v>1530</v>
      </c>
      <c r="D979" s="10" t="s">
        <v>1488</v>
      </c>
      <c r="E979" s="11" t="s">
        <v>842</v>
      </c>
      <c r="F979" t="str">
        <f t="shared" si="75"/>
        <v>NW</v>
      </c>
      <c r="G979" t="str">
        <f t="shared" si="76"/>
        <v>NW1530San Antonio</v>
      </c>
      <c r="H979" t="s">
        <v>31837</v>
      </c>
      <c r="I979" t="s">
        <v>23268</v>
      </c>
      <c r="J979" t="str">
        <f t="shared" si="77"/>
        <v>E:\PropInv\MF</v>
      </c>
      <c r="K979" s="103" t="str">
        <f>HYPERLINK("E:\PropInv\MF\San Antonio\NW Crossroads_1530_Willow Creek_San Antonio_01114","NW Crossroads_1530_Willow Creek_San Antonio_01114" )</f>
        <v>NW Crossroads_1530_Willow Creek_San Antonio_01114</v>
      </c>
      <c r="L979" s="104" t="s">
        <v>22253</v>
      </c>
      <c r="M979" s="103" t="str">
        <f t="shared" si="78"/>
        <v>http://oconnordata.com/mlink/modules/profile/index.cfm?action=profile&amp;prop_id=1114</v>
      </c>
      <c r="N979" s="1" t="str">
        <f t="shared" si="79"/>
        <v>01114</v>
      </c>
    </row>
    <row r="980" spans="1:14" x14ac:dyDescent="0.3">
      <c r="A980" s="1">
        <v>1115</v>
      </c>
      <c r="B980" s="10" t="s">
        <v>930</v>
      </c>
      <c r="C980" s="9">
        <v>6400</v>
      </c>
      <c r="D980" s="10" t="s">
        <v>479</v>
      </c>
      <c r="E980" s="11" t="s">
        <v>842</v>
      </c>
      <c r="F980" t="str">
        <f t="shared" si="75"/>
        <v>Wurzbach</v>
      </c>
      <c r="G980" t="str">
        <f t="shared" si="76"/>
        <v>Wurzbach6400San Antonio</v>
      </c>
      <c r="H980" t="s">
        <v>31838</v>
      </c>
      <c r="I980" t="s">
        <v>23269</v>
      </c>
      <c r="J980" t="str">
        <f t="shared" si="77"/>
        <v>E:\PropInv\MF</v>
      </c>
      <c r="K980" s="103" t="str">
        <f>HYPERLINK("E:\PropInv\MF\San Antonio\Wurzbach Rd_6400_The Willows_San Antonio_01115","Wurzbach Rd_6400_The Willows_San Antonio_01115" )</f>
        <v>Wurzbach Rd_6400_The Willows_San Antonio_01115</v>
      </c>
      <c r="L980" s="104" t="s">
        <v>22253</v>
      </c>
      <c r="M980" s="103" t="str">
        <f t="shared" si="78"/>
        <v>http://oconnordata.com/mlink/modules/profile/index.cfm?action=profile&amp;prop_id=1115</v>
      </c>
      <c r="N980" s="1" t="str">
        <f t="shared" si="79"/>
        <v>01115</v>
      </c>
    </row>
    <row r="981" spans="1:14" x14ac:dyDescent="0.3">
      <c r="A981" s="1">
        <v>1116</v>
      </c>
      <c r="B981" s="10" t="s">
        <v>1489</v>
      </c>
      <c r="C981" s="9">
        <v>8000</v>
      </c>
      <c r="D981" s="10" t="s">
        <v>1490</v>
      </c>
      <c r="E981" s="11" t="s">
        <v>842</v>
      </c>
      <c r="F981" t="str">
        <f t="shared" si="75"/>
        <v>Midcrown</v>
      </c>
      <c r="G981" t="str">
        <f t="shared" si="76"/>
        <v>Midcrown8000San Antonio</v>
      </c>
      <c r="H981" t="s">
        <v>31839</v>
      </c>
      <c r="I981" t="s">
        <v>23270</v>
      </c>
      <c r="J981" t="str">
        <f t="shared" si="77"/>
        <v>E:\PropInv\MF</v>
      </c>
      <c r="K981" s="103" t="str">
        <f>HYPERLINK("E:\PropInv\MF\San Antonio\Midcrown Dr_8000_The Heights at MidCrown_San Antonio_01116","Midcrown Dr_8000_The Heights at MidCrown_San Antonio_01116" )</f>
        <v>Midcrown Dr_8000_The Heights at MidCrown_San Antonio_01116</v>
      </c>
      <c r="L981" s="104" t="s">
        <v>22253</v>
      </c>
      <c r="M981" s="103" t="str">
        <f t="shared" si="78"/>
        <v>http://oconnordata.com/mlink/modules/profile/index.cfm?action=profile&amp;prop_id=1116</v>
      </c>
      <c r="N981" s="1" t="str">
        <f t="shared" si="79"/>
        <v>01116</v>
      </c>
    </row>
    <row r="982" spans="1:14" x14ac:dyDescent="0.3">
      <c r="A982" s="97">
        <v>1117</v>
      </c>
      <c r="B982" s="10" t="s">
        <v>1099</v>
      </c>
      <c r="C982" s="9">
        <v>13121</v>
      </c>
      <c r="D982" s="10" t="s">
        <v>1491</v>
      </c>
      <c r="E982" s="11" t="s">
        <v>842</v>
      </c>
      <c r="F982" t="str">
        <f t="shared" si="75"/>
        <v>Military</v>
      </c>
      <c r="G982" t="str">
        <f t="shared" si="76"/>
        <v>Military13121San Antonio</v>
      </c>
      <c r="H982" t="s">
        <v>31840</v>
      </c>
      <c r="I982" t="s">
        <v>23271</v>
      </c>
      <c r="J982" t="str">
        <f t="shared" si="77"/>
        <v>E:\PropInv\MF</v>
      </c>
      <c r="K982" s="103" t="str">
        <f>HYPERLINK("E:\PropInv\MF\San Antonio\Military Hwy NW_13121_Winding Creek_San Antonio_01117","Military Hwy NW_13121_Winding Creek_San Antonio_01117" )</f>
        <v>Military Hwy NW_13121_Winding Creek_San Antonio_01117</v>
      </c>
      <c r="L982" s="104" t="s">
        <v>22253</v>
      </c>
      <c r="M982" s="103" t="str">
        <f t="shared" si="78"/>
        <v>http://oconnordata.com/mlink/modules/profile/index.cfm?action=profile&amp;prop_id=1117</v>
      </c>
      <c r="N982" s="1" t="str">
        <f t="shared" si="79"/>
        <v>01117</v>
      </c>
    </row>
    <row r="983" spans="1:14" x14ac:dyDescent="0.3">
      <c r="A983" s="97">
        <v>1118</v>
      </c>
      <c r="B983" s="10" t="s">
        <v>942</v>
      </c>
      <c r="C983" s="9">
        <v>2502</v>
      </c>
      <c r="D983" s="10" t="s">
        <v>1492</v>
      </c>
      <c r="E983" s="11" t="s">
        <v>842</v>
      </c>
      <c r="F983" t="str">
        <f t="shared" si="75"/>
        <v>Babcock</v>
      </c>
      <c r="G983" t="str">
        <f t="shared" si="76"/>
        <v>Babcock2502San Antonio</v>
      </c>
      <c r="H983" t="s">
        <v>31841</v>
      </c>
      <c r="I983" t="s">
        <v>23272</v>
      </c>
      <c r="J983" t="str">
        <f t="shared" si="77"/>
        <v>E:\PropInv\MF</v>
      </c>
      <c r="K983" s="103" t="str">
        <f>HYPERLINK("E:\PropInv\MF\San Antonio\Babcock Rd_2502_Windridge_San Antonio_01118","Babcock Rd_2502_Windridge_San Antonio_01118" )</f>
        <v>Babcock Rd_2502_Windridge_San Antonio_01118</v>
      </c>
      <c r="L983" s="104" t="s">
        <v>22253</v>
      </c>
      <c r="M983" s="103" t="str">
        <f t="shared" si="78"/>
        <v>http://oconnordata.com/mlink/modules/profile/index.cfm?action=profile&amp;prop_id=1118</v>
      </c>
      <c r="N983" s="1" t="str">
        <f t="shared" si="79"/>
        <v>01118</v>
      </c>
    </row>
    <row r="984" spans="1:14" x14ac:dyDescent="0.3">
      <c r="A984" s="97">
        <v>1119</v>
      </c>
      <c r="B984" s="7" t="s">
        <v>1493</v>
      </c>
      <c r="C984" s="12">
        <v>2447</v>
      </c>
      <c r="D984" s="7" t="s">
        <v>1494</v>
      </c>
      <c r="E984" s="13" t="s">
        <v>842</v>
      </c>
      <c r="F984" t="str">
        <f t="shared" si="75"/>
        <v>Lockhill</v>
      </c>
      <c r="G984" t="str">
        <f t="shared" si="76"/>
        <v>Lockhill2447San Antonio</v>
      </c>
      <c r="H984" t="s">
        <v>31842</v>
      </c>
      <c r="I984" t="s">
        <v>23273</v>
      </c>
      <c r="J984" t="str">
        <f t="shared" si="77"/>
        <v>E:\PropInv\MF</v>
      </c>
      <c r="K984" s="103" t="str">
        <f>HYPERLINK("E:\PropInv\MF\San Antonio\Lockhill Selma_2447_Windrush_San Antonio_01119","Lockhill Selma_2447_Windrush_San Antonio_01119" )</f>
        <v>Lockhill Selma_2447_Windrush_San Antonio_01119</v>
      </c>
      <c r="L984" s="104" t="s">
        <v>22253</v>
      </c>
      <c r="M984" s="103" t="str">
        <f t="shared" si="78"/>
        <v>http://oconnordata.com/mlink/modules/profile/index.cfm?action=profile&amp;prop_id=1119</v>
      </c>
      <c r="N984" s="1" t="str">
        <f t="shared" si="79"/>
        <v>01119</v>
      </c>
    </row>
    <row r="985" spans="1:14" x14ac:dyDescent="0.3">
      <c r="A985" s="97">
        <v>1120</v>
      </c>
      <c r="B985" s="10" t="s">
        <v>1445</v>
      </c>
      <c r="C985" s="9">
        <v>5341</v>
      </c>
      <c r="D985" s="10" t="s">
        <v>1495</v>
      </c>
      <c r="E985" s="11" t="s">
        <v>842</v>
      </c>
      <c r="F985" t="str">
        <f t="shared" si="75"/>
        <v>Gawain</v>
      </c>
      <c r="G985" t="str">
        <f t="shared" si="76"/>
        <v>Gawain5341San Antonio</v>
      </c>
      <c r="H985" t="s">
        <v>31843</v>
      </c>
      <c r="I985" t="s">
        <v>23274</v>
      </c>
      <c r="J985" t="str">
        <f t="shared" si="77"/>
        <v>E:\PropInv\MF</v>
      </c>
      <c r="K985" s="103" t="str">
        <f>HYPERLINK("E:\PropInv\MF\San Antonio\Gawain Dr_5341_Windsor Village_San Antonio_01120","Gawain Dr_5341_Windsor Village_San Antonio_01120" )</f>
        <v>Gawain Dr_5341_Windsor Village_San Antonio_01120</v>
      </c>
      <c r="L985" s="104" t="s">
        <v>22253</v>
      </c>
      <c r="M985" s="103" t="str">
        <f t="shared" si="78"/>
        <v>http://oconnordata.com/mlink/modules/profile/index.cfm?action=profile&amp;prop_id=1120</v>
      </c>
      <c r="N985" s="1" t="str">
        <f t="shared" si="79"/>
        <v>01120</v>
      </c>
    </row>
    <row r="986" spans="1:14" x14ac:dyDescent="0.3">
      <c r="A986" s="97">
        <v>1121</v>
      </c>
      <c r="B986" s="10" t="s">
        <v>1496</v>
      </c>
      <c r="C986" s="9">
        <v>717</v>
      </c>
      <c r="D986" s="10" t="s">
        <v>1497</v>
      </c>
      <c r="E986" s="11" t="s">
        <v>1138</v>
      </c>
      <c r="F986" t="str">
        <f t="shared" si="75"/>
        <v>Hill</v>
      </c>
      <c r="G986" t="str">
        <f t="shared" si="76"/>
        <v>Hill717Kerrville</v>
      </c>
      <c r="H986" t="s">
        <v>31844</v>
      </c>
      <c r="I986" t="s">
        <v>23275</v>
      </c>
      <c r="J986" t="str">
        <f t="shared" si="77"/>
        <v>E:\PropInv\MF</v>
      </c>
      <c r="K986" s="103" t="str">
        <f>HYPERLINK("E:\PropInv\MF\Kerrville\Hill Country Dr_717_Winnwood Club_Kerrville_01121","Hill Country Dr_717_Winnwood Club_Kerrville_01121" )</f>
        <v>Hill Country Dr_717_Winnwood Club_Kerrville_01121</v>
      </c>
      <c r="L986" s="104" t="s">
        <v>22253</v>
      </c>
      <c r="M986" s="103" t="str">
        <f t="shared" si="78"/>
        <v>http://oconnordata.com/mlink/modules/profile/index.cfm?action=profile&amp;prop_id=1121</v>
      </c>
      <c r="N986" s="1" t="str">
        <f t="shared" si="79"/>
        <v>01121</v>
      </c>
    </row>
    <row r="987" spans="1:14" x14ac:dyDescent="0.3">
      <c r="A987" s="1">
        <v>1122</v>
      </c>
      <c r="B987" s="10" t="s">
        <v>975</v>
      </c>
      <c r="C987" s="9">
        <v>11246</v>
      </c>
      <c r="D987" s="10" t="s">
        <v>1498</v>
      </c>
      <c r="E987" s="11" t="s">
        <v>842</v>
      </c>
      <c r="F987" t="str">
        <f t="shared" si="75"/>
        <v>Sir</v>
      </c>
      <c r="G987" t="str">
        <f t="shared" si="76"/>
        <v>Sir11246San Antonio</v>
      </c>
      <c r="H987" t="s">
        <v>31845</v>
      </c>
      <c r="I987" t="s">
        <v>23276</v>
      </c>
      <c r="J987" t="str">
        <f t="shared" si="77"/>
        <v>E:\PropInv\MF</v>
      </c>
      <c r="K987" s="103" t="str">
        <f>HYPERLINK("E:\PropInv\MF\San Antonio\Sir Winston Dr_11246_The Winston_San Antonio_01122","Sir Winston Dr_11246_The Winston_San Antonio_01122" )</f>
        <v>Sir Winston Dr_11246_The Winston_San Antonio_01122</v>
      </c>
      <c r="L987" s="104" t="s">
        <v>22253</v>
      </c>
      <c r="M987" s="103" t="str">
        <f t="shared" si="78"/>
        <v>http://oconnordata.com/mlink/modules/profile/index.cfm?action=profile&amp;prop_id=1122</v>
      </c>
      <c r="N987" s="1" t="str">
        <f t="shared" si="79"/>
        <v>01122</v>
      </c>
    </row>
    <row r="988" spans="1:14" x14ac:dyDescent="0.3">
      <c r="A988" s="97">
        <v>1123</v>
      </c>
      <c r="B988" s="10" t="s">
        <v>1095</v>
      </c>
      <c r="C988" s="9">
        <v>8602</v>
      </c>
      <c r="D988" s="10" t="s">
        <v>1499</v>
      </c>
      <c r="E988" s="11" t="s">
        <v>842</v>
      </c>
      <c r="F988" t="str">
        <f t="shared" si="75"/>
        <v>Cinnamon</v>
      </c>
      <c r="G988" t="str">
        <f t="shared" si="76"/>
        <v>Cinnamon8602San Antonio</v>
      </c>
      <c r="H988" t="s">
        <v>31846</v>
      </c>
      <c r="I988" t="s">
        <v>23277</v>
      </c>
      <c r="J988" t="str">
        <f t="shared" si="77"/>
        <v>E:\PropInv\MF</v>
      </c>
      <c r="K988" s="103" t="str">
        <f>HYPERLINK("E:\PropInv\MF\San Antonio\Cinnamon Creek Dr_8602_Wolfe Run_San Antonio_01123","Cinnamon Creek Dr_8602_Wolfe Run_San Antonio_01123" )</f>
        <v>Cinnamon Creek Dr_8602_Wolfe Run_San Antonio_01123</v>
      </c>
      <c r="L988" s="104" t="s">
        <v>22253</v>
      </c>
      <c r="M988" s="103" t="str">
        <f t="shared" si="78"/>
        <v>http://oconnordata.com/mlink/modules/profile/index.cfm?action=profile&amp;prop_id=1123</v>
      </c>
      <c r="N988" s="1" t="str">
        <f t="shared" si="79"/>
        <v>01123</v>
      </c>
    </row>
    <row r="989" spans="1:14" x14ac:dyDescent="0.3">
      <c r="A989" s="97">
        <v>1124</v>
      </c>
      <c r="B989" s="7" t="s">
        <v>1500</v>
      </c>
      <c r="C989" s="12">
        <v>3500</v>
      </c>
      <c r="D989" s="7" t="s">
        <v>1501</v>
      </c>
      <c r="E989" s="13" t="s">
        <v>842</v>
      </c>
      <c r="F989" t="str">
        <f t="shared" si="75"/>
        <v>Oakgate</v>
      </c>
      <c r="G989" t="str">
        <f t="shared" si="76"/>
        <v>Oakgate3500San Antonio</v>
      </c>
      <c r="H989" t="s">
        <v>31847</v>
      </c>
      <c r="I989" t="s">
        <v>23278</v>
      </c>
      <c r="J989" t="str">
        <f t="shared" si="77"/>
        <v>E:\PropInv\MF</v>
      </c>
      <c r="K989" s="103" t="str">
        <f>HYPERLINK("E:\PropInv\MF\San Antonio\Oakgate_3500_Woodbridge_San Antonio_01124","Oakgate_3500_Woodbridge_San Antonio_01124" )</f>
        <v>Oakgate_3500_Woodbridge_San Antonio_01124</v>
      </c>
      <c r="L989" s="104" t="s">
        <v>22253</v>
      </c>
      <c r="M989" s="103" t="str">
        <f t="shared" si="78"/>
        <v>http://oconnordata.com/mlink/modules/profile/index.cfm?action=profile&amp;prop_id=1124</v>
      </c>
      <c r="N989" s="1" t="str">
        <f t="shared" si="79"/>
        <v>01124</v>
      </c>
    </row>
    <row r="990" spans="1:14" x14ac:dyDescent="0.3">
      <c r="A990" s="97">
        <v>1125</v>
      </c>
      <c r="B990" s="7" t="s">
        <v>1502</v>
      </c>
      <c r="C990" s="12">
        <v>2834</v>
      </c>
      <c r="D990" s="7" t="s">
        <v>1503</v>
      </c>
      <c r="E990" s="13" t="s">
        <v>842</v>
      </c>
      <c r="F990" t="str">
        <f t="shared" si="75"/>
        <v>Woodbury</v>
      </c>
      <c r="G990" t="str">
        <f t="shared" si="76"/>
        <v>Woodbury2834San Antonio</v>
      </c>
      <c r="H990" t="s">
        <v>31848</v>
      </c>
      <c r="I990" t="s">
        <v>23279</v>
      </c>
      <c r="J990" t="str">
        <f t="shared" si="77"/>
        <v>E:\PropInv\MF</v>
      </c>
      <c r="K990" s="103" t="str">
        <f>HYPERLINK("E:\PropInv\MF\San Antonio\Woodbury Dr_2834_Woodbury Place_San Antonio_01125","Woodbury Dr_2834_Woodbury Place_San Antonio_01125" )</f>
        <v>Woodbury Dr_2834_Woodbury Place_San Antonio_01125</v>
      </c>
      <c r="L990" s="104" t="s">
        <v>22253</v>
      </c>
      <c r="M990" s="103" t="str">
        <f t="shared" si="78"/>
        <v>http://oconnordata.com/mlink/modules/profile/index.cfm?action=profile&amp;prop_id=1125</v>
      </c>
      <c r="N990" s="1" t="str">
        <f t="shared" si="79"/>
        <v>01125</v>
      </c>
    </row>
    <row r="991" spans="1:14" x14ac:dyDescent="0.3">
      <c r="A991" s="97">
        <v>1126</v>
      </c>
      <c r="B991" s="10" t="s">
        <v>475</v>
      </c>
      <c r="C991" s="9">
        <v>4909</v>
      </c>
      <c r="D991" s="10" t="s">
        <v>1504</v>
      </c>
      <c r="E991" s="11" t="s">
        <v>842</v>
      </c>
      <c r="F991" t="str">
        <f t="shared" si="75"/>
        <v>Woodstone</v>
      </c>
      <c r="G991" t="str">
        <f t="shared" si="76"/>
        <v>Woodstone4909San Antonio</v>
      </c>
      <c r="H991" t="s">
        <v>31849</v>
      </c>
      <c r="I991" t="s">
        <v>23280</v>
      </c>
      <c r="J991" t="str">
        <f t="shared" si="77"/>
        <v>E:\PropInv\MF</v>
      </c>
      <c r="K991" s="103" t="str">
        <f>HYPERLINK("E:\PropInv\MF\San Antonio\Woodstone_4909_Woodhill_San Antonio_01126","Woodstone_4909_Woodhill_San Antonio_01126" )</f>
        <v>Woodstone_4909_Woodhill_San Antonio_01126</v>
      </c>
      <c r="L991" s="104" t="s">
        <v>22253</v>
      </c>
      <c r="M991" s="103" t="str">
        <f t="shared" si="78"/>
        <v>http://oconnordata.com/mlink/modules/profile/index.cfm?action=profile&amp;prop_id=1126</v>
      </c>
      <c r="N991" s="1" t="str">
        <f t="shared" si="79"/>
        <v>01126</v>
      </c>
    </row>
    <row r="992" spans="1:14" x14ac:dyDescent="0.3">
      <c r="A992" s="97">
        <v>1127</v>
      </c>
      <c r="B992" s="10" t="s">
        <v>1505</v>
      </c>
      <c r="C992" s="9">
        <v>6000</v>
      </c>
      <c r="D992" s="10" t="s">
        <v>1506</v>
      </c>
      <c r="E992" s="11" t="s">
        <v>842</v>
      </c>
      <c r="F992" t="str">
        <f t="shared" si="75"/>
        <v>Woodlake</v>
      </c>
      <c r="G992" t="str">
        <f t="shared" si="76"/>
        <v>Woodlake6000San Antonio</v>
      </c>
      <c r="H992" t="s">
        <v>31850</v>
      </c>
      <c r="I992" t="s">
        <v>23281</v>
      </c>
      <c r="J992" t="str">
        <f t="shared" si="77"/>
        <v>E:\PropInv\MF</v>
      </c>
      <c r="K992" s="103" t="str">
        <f>HYPERLINK("E:\PropInv\MF\San Antonio\Woodlake Pkwy_6000_Woodlake Village_San Antonio_01127","Woodlake Pkwy_6000_Woodlake Village_San Antonio_01127" )</f>
        <v>Woodlake Pkwy_6000_Woodlake Village_San Antonio_01127</v>
      </c>
      <c r="L992" s="104" t="s">
        <v>22253</v>
      </c>
      <c r="M992" s="103" t="str">
        <f t="shared" si="78"/>
        <v>http://oconnordata.com/mlink/modules/profile/index.cfm?action=profile&amp;prop_id=1127</v>
      </c>
      <c r="N992" s="1" t="str">
        <f t="shared" si="79"/>
        <v>01127</v>
      </c>
    </row>
    <row r="993" spans="1:14" x14ac:dyDescent="0.3">
      <c r="A993" s="1">
        <v>1128</v>
      </c>
      <c r="B993" s="10" t="s">
        <v>1051</v>
      </c>
      <c r="C993" s="9">
        <v>11146</v>
      </c>
      <c r="D993" s="10" t="s">
        <v>1507</v>
      </c>
      <c r="E993" s="11" t="s">
        <v>842</v>
      </c>
      <c r="F993" t="str">
        <f t="shared" si="75"/>
        <v>Vance</v>
      </c>
      <c r="G993" t="str">
        <f t="shared" si="76"/>
        <v>Vance11146San Antonio</v>
      </c>
      <c r="H993" t="s">
        <v>31851</v>
      </c>
      <c r="I993" t="s">
        <v>23282</v>
      </c>
      <c r="J993" t="str">
        <f t="shared" si="77"/>
        <v>E:\PropInv\MF</v>
      </c>
      <c r="K993" s="103" t="str">
        <f>HYPERLINK("E:\PropInv\MF\San Antonio\Vance Jackson Rd_11146_Terrace at River Oaks I_San Antonio_01128","Vance Jackson Rd_11146_Terrace at River Oaks I_San Antonio_01128" )</f>
        <v>Vance Jackson Rd_11146_Terrace at River Oaks I_San Antonio_01128</v>
      </c>
      <c r="L993" s="104" t="s">
        <v>22253</v>
      </c>
      <c r="M993" s="103" t="str">
        <f t="shared" si="78"/>
        <v>http://oconnordata.com/mlink/modules/profile/index.cfm?action=profile&amp;prop_id=1128</v>
      </c>
      <c r="N993" s="1" t="str">
        <f t="shared" si="79"/>
        <v>01128</v>
      </c>
    </row>
    <row r="994" spans="1:14" x14ac:dyDescent="0.3">
      <c r="A994" s="1">
        <v>1129</v>
      </c>
      <c r="B994" s="7" t="s">
        <v>919</v>
      </c>
      <c r="C994" s="12">
        <v>10010</v>
      </c>
      <c r="D994" s="7" t="s">
        <v>1508</v>
      </c>
      <c r="E994" s="13" t="s">
        <v>842</v>
      </c>
      <c r="F994" t="str">
        <f t="shared" si="75"/>
        <v>Broadway</v>
      </c>
      <c r="G994" t="str">
        <f t="shared" si="76"/>
        <v>Broadway10010San Antonio</v>
      </c>
      <c r="H994" t="s">
        <v>31852</v>
      </c>
      <c r="I994" t="s">
        <v>23283</v>
      </c>
      <c r="J994" t="str">
        <f t="shared" si="77"/>
        <v>E:\PropInv\MF</v>
      </c>
      <c r="K994" s="103" t="str">
        <f>HYPERLINK("E:\PropInv\MF\San Antonio\Broadway_10010_The Woodlands_San Antonio_01129","Broadway_10010_The Woodlands_San Antonio_01129" )</f>
        <v>Broadway_10010_The Woodlands_San Antonio_01129</v>
      </c>
      <c r="L994" s="104" t="s">
        <v>22253</v>
      </c>
      <c r="M994" s="103" t="str">
        <f t="shared" si="78"/>
        <v>http://oconnordata.com/mlink/modules/profile/index.cfm?action=profile&amp;prop_id=1129</v>
      </c>
      <c r="N994" s="1" t="str">
        <f t="shared" si="79"/>
        <v>01129</v>
      </c>
    </row>
    <row r="995" spans="1:14" x14ac:dyDescent="0.3">
      <c r="A995" s="97">
        <v>1130</v>
      </c>
      <c r="B995" s="7" t="s">
        <v>970</v>
      </c>
      <c r="C995" s="12">
        <v>3253</v>
      </c>
      <c r="D995" s="7" t="s">
        <v>1509</v>
      </c>
      <c r="E995" s="13" t="s">
        <v>842</v>
      </c>
      <c r="F995" t="str">
        <f t="shared" si="75"/>
        <v>Hillcrest</v>
      </c>
      <c r="G995" t="str">
        <f t="shared" si="76"/>
        <v>Hillcrest3253San Antonio</v>
      </c>
      <c r="H995" t="s">
        <v>31853</v>
      </c>
      <c r="I995" t="s">
        <v>23284</v>
      </c>
      <c r="J995" t="str">
        <f t="shared" si="77"/>
        <v>E:\PropInv\MF</v>
      </c>
      <c r="K995" s="103" t="str">
        <f>HYPERLINK("E:\PropInv\MF\San Antonio\Hillcrest Dr_3253_Woods of Brookhollow_San Antonio_01130","Hillcrest Dr_3253_Woods of Brookhollow_San Antonio_01130" )</f>
        <v>Hillcrest Dr_3253_Woods of Brookhollow_San Antonio_01130</v>
      </c>
      <c r="L995" s="104" t="s">
        <v>22253</v>
      </c>
      <c r="M995" s="103" t="str">
        <f t="shared" si="78"/>
        <v>http://oconnordata.com/mlink/modules/profile/index.cfm?action=profile&amp;prop_id=1130</v>
      </c>
      <c r="N995" s="1" t="str">
        <f t="shared" si="79"/>
        <v>01130</v>
      </c>
    </row>
    <row r="996" spans="1:14" x14ac:dyDescent="0.3">
      <c r="A996" s="1">
        <v>1131</v>
      </c>
      <c r="B996" s="7" t="s">
        <v>930</v>
      </c>
      <c r="C996" s="12">
        <v>9001</v>
      </c>
      <c r="D996" s="7" t="s">
        <v>1510</v>
      </c>
      <c r="E996" s="13" t="s">
        <v>842</v>
      </c>
      <c r="F996" t="str">
        <f t="shared" si="75"/>
        <v>Wurzbach</v>
      </c>
      <c r="G996" t="str">
        <f t="shared" si="76"/>
        <v>Wurzbach9001San Antonio</v>
      </c>
      <c r="H996" t="s">
        <v>31854</v>
      </c>
      <c r="I996" t="s">
        <v>23285</v>
      </c>
      <c r="J996" t="str">
        <f t="shared" si="77"/>
        <v>E:\PropInv\MF</v>
      </c>
      <c r="K996" s="103" t="str">
        <f>HYPERLINK("E:\PropInv\MF\San Antonio\Wurzbach Rd_9001_Limestone Oaks_San Antonio_01131","Wurzbach Rd_9001_Limestone Oaks_San Antonio_01131" )</f>
        <v>Wurzbach Rd_9001_Limestone Oaks_San Antonio_01131</v>
      </c>
      <c r="L996" s="104" t="s">
        <v>22253</v>
      </c>
      <c r="M996" s="103" t="str">
        <f t="shared" si="78"/>
        <v>http://oconnordata.com/mlink/modules/profile/index.cfm?action=profile&amp;prop_id=1131</v>
      </c>
      <c r="N996" s="1" t="str">
        <f t="shared" si="79"/>
        <v>01131</v>
      </c>
    </row>
    <row r="997" spans="1:14" x14ac:dyDescent="0.3">
      <c r="A997" s="97">
        <v>1132</v>
      </c>
      <c r="B997" s="7" t="s">
        <v>1511</v>
      </c>
      <c r="C997" s="12">
        <v>8100</v>
      </c>
      <c r="D997" s="7" t="s">
        <v>1512</v>
      </c>
      <c r="E997" s="13" t="s">
        <v>842</v>
      </c>
      <c r="F997" t="str">
        <f t="shared" si="75"/>
        <v>Pinebrook</v>
      </c>
      <c r="G997" t="str">
        <f t="shared" si="76"/>
        <v>Pinebrook8100San Antonio</v>
      </c>
      <c r="H997" t="s">
        <v>31855</v>
      </c>
      <c r="I997" t="s">
        <v>23286</v>
      </c>
      <c r="J997" t="str">
        <f t="shared" si="77"/>
        <v>E:\PropInv\MF</v>
      </c>
      <c r="K997" s="103" t="str">
        <f>HYPERLINK("E:\PropInv\MF\San Antonio\Pinebrook_8100_Woodway Court_San Antonio_01132","Pinebrook_8100_Woodway Court_San Antonio_01132" )</f>
        <v>Pinebrook_8100_Woodway Court_San Antonio_01132</v>
      </c>
      <c r="L997" s="104" t="s">
        <v>22253</v>
      </c>
      <c r="M997" s="103" t="str">
        <f t="shared" si="78"/>
        <v>http://oconnordata.com/mlink/modules/profile/index.cfm?action=profile&amp;prop_id=1132</v>
      </c>
      <c r="N997" s="1" t="str">
        <f t="shared" si="79"/>
        <v>01132</v>
      </c>
    </row>
    <row r="998" spans="1:14" x14ac:dyDescent="0.3">
      <c r="A998" s="1">
        <v>1133</v>
      </c>
      <c r="B998" s="7" t="s">
        <v>1513</v>
      </c>
      <c r="C998" s="12">
        <v>205</v>
      </c>
      <c r="D998" s="7" t="s">
        <v>1514</v>
      </c>
      <c r="E998" s="13" t="s">
        <v>842</v>
      </c>
      <c r="F998" t="str">
        <f t="shared" si="75"/>
        <v>Huisache</v>
      </c>
      <c r="G998" t="str">
        <f t="shared" si="76"/>
        <v>Huisache205San Antonio</v>
      </c>
      <c r="H998" t="s">
        <v>31856</v>
      </c>
      <c r="I998" t="s">
        <v>23287</v>
      </c>
      <c r="J998" t="str">
        <f t="shared" si="77"/>
        <v>E:\PropInv\MF</v>
      </c>
      <c r="K998" s="103" t="str">
        <f>HYPERLINK("E:\PropInv\MF\San Antonio\Huisache E_205_Miller Manor_San Antonio_01133","Huisache E_205_Miller Manor_San Antonio_01133" )</f>
        <v>Huisache E_205_Miller Manor_San Antonio_01133</v>
      </c>
      <c r="L998" s="104" t="s">
        <v>22253</v>
      </c>
      <c r="M998" s="103" t="str">
        <f t="shared" si="78"/>
        <v>http://oconnordata.com/mlink/modules/profile/index.cfm?action=profile&amp;prop_id=1133</v>
      </c>
      <c r="N998" s="1" t="str">
        <f t="shared" si="79"/>
        <v>01133</v>
      </c>
    </row>
    <row r="999" spans="1:14" x14ac:dyDescent="0.3">
      <c r="A999" s="1">
        <v>1134</v>
      </c>
      <c r="B999" s="10" t="s">
        <v>1211</v>
      </c>
      <c r="C999" s="9">
        <v>1201</v>
      </c>
      <c r="D999" s="10" t="s">
        <v>1515</v>
      </c>
      <c r="E999" s="11" t="s">
        <v>842</v>
      </c>
      <c r="F999" t="str">
        <f t="shared" si="75"/>
        <v>Mulberry</v>
      </c>
      <c r="G999" t="str">
        <f t="shared" si="76"/>
        <v>Mulberry1201San Antonio</v>
      </c>
      <c r="H999" t="s">
        <v>31857</v>
      </c>
      <c r="I999" t="s">
        <v>23288</v>
      </c>
      <c r="J999" t="str">
        <f t="shared" si="77"/>
        <v>E:\PropInv\MF</v>
      </c>
      <c r="K999" s="103" t="str">
        <f>HYPERLINK("E:\PropInv\MF\San Antonio\Mulberry Ave E_1201_Broadway Heights_San Antonio_01134","Mulberry Ave E_1201_Broadway Heights_San Antonio_01134" )</f>
        <v>Mulberry Ave E_1201_Broadway Heights_San Antonio_01134</v>
      </c>
      <c r="L999" s="104" t="s">
        <v>22253</v>
      </c>
      <c r="M999" s="103" t="str">
        <f t="shared" si="78"/>
        <v>http://oconnordata.com/mlink/modules/profile/index.cfm?action=profile&amp;prop_id=1134</v>
      </c>
      <c r="N999" s="1" t="str">
        <f t="shared" si="79"/>
        <v>01134</v>
      </c>
    </row>
    <row r="1000" spans="1:14" x14ac:dyDescent="0.3">
      <c r="A1000" s="1">
        <v>1135</v>
      </c>
      <c r="B1000" s="10" t="s">
        <v>1516</v>
      </c>
      <c r="C1000" s="9">
        <v>6822</v>
      </c>
      <c r="D1000" s="10" t="s">
        <v>1517</v>
      </c>
      <c r="E1000" s="11" t="s">
        <v>842</v>
      </c>
      <c r="F1000" t="str">
        <f t="shared" si="75"/>
        <v>Basilwood</v>
      </c>
      <c r="G1000" t="str">
        <f t="shared" si="76"/>
        <v>Basilwood6822San Antonio</v>
      </c>
      <c r="H1000" t="s">
        <v>31858</v>
      </c>
      <c r="I1000" t="s">
        <v>23289</v>
      </c>
      <c r="J1000" t="str">
        <f t="shared" si="77"/>
        <v>E:\PropInv\MF</v>
      </c>
      <c r="K1000" s="103" t="str">
        <f>HYPERLINK("E:\PropInv\MF\San Antonio\Basilwood_6822_Brookview Duplexes_San Antonio_01135","Basilwood_6822_Brookview Duplexes_San Antonio_01135" )</f>
        <v>Basilwood_6822_Brookview Duplexes_San Antonio_01135</v>
      </c>
      <c r="L1000" s="104" t="s">
        <v>22253</v>
      </c>
      <c r="M1000" s="103" t="str">
        <f t="shared" si="78"/>
        <v>http://oconnordata.com/mlink/modules/profile/index.cfm?action=profile&amp;prop_id=1135</v>
      </c>
      <c r="N1000" s="1" t="str">
        <f t="shared" si="79"/>
        <v>01135</v>
      </c>
    </row>
    <row r="1001" spans="1:14" x14ac:dyDescent="0.3">
      <c r="A1001" s="1">
        <v>1136</v>
      </c>
      <c r="B1001" s="7" t="s">
        <v>1072</v>
      </c>
      <c r="C1001" s="12">
        <v>2307</v>
      </c>
      <c r="D1001" s="7" t="s">
        <v>1518</v>
      </c>
      <c r="E1001" s="13" t="s">
        <v>842</v>
      </c>
      <c r="F1001" t="str">
        <f t="shared" si="75"/>
        <v>Pinn</v>
      </c>
      <c r="G1001" t="str">
        <f t="shared" si="76"/>
        <v>Pinn2307San Antonio</v>
      </c>
      <c r="H1001" t="s">
        <v>31859</v>
      </c>
      <c r="I1001" t="s">
        <v>23290</v>
      </c>
      <c r="J1001" t="str">
        <f t="shared" si="77"/>
        <v>E:\PropInv\MF</v>
      </c>
      <c r="K1001" s="103" t="str">
        <f>HYPERLINK("E:\PropInv\MF\San Antonio\Pinn Rd_2307_Casablanca_San Antonio_01136","Pinn Rd_2307_Casablanca_San Antonio_01136" )</f>
        <v>Pinn Rd_2307_Casablanca_San Antonio_01136</v>
      </c>
      <c r="L1001" s="104" t="s">
        <v>22253</v>
      </c>
      <c r="M1001" s="103" t="str">
        <f t="shared" si="78"/>
        <v>http://oconnordata.com/mlink/modules/profile/index.cfm?action=profile&amp;prop_id=1136</v>
      </c>
      <c r="N1001" s="1" t="str">
        <f t="shared" si="79"/>
        <v>01136</v>
      </c>
    </row>
    <row r="1002" spans="1:14" x14ac:dyDescent="0.3">
      <c r="A1002" s="1">
        <v>1137</v>
      </c>
      <c r="B1002" s="7" t="s">
        <v>891</v>
      </c>
      <c r="C1002" s="12">
        <v>8511</v>
      </c>
      <c r="D1002" s="7" t="s">
        <v>1519</v>
      </c>
      <c r="E1002" s="13" t="s">
        <v>842</v>
      </c>
      <c r="F1002" t="str">
        <f t="shared" si="75"/>
        <v>Flores</v>
      </c>
      <c r="G1002" t="str">
        <f t="shared" si="76"/>
        <v>Flores8511San Antonio</v>
      </c>
      <c r="H1002" t="s">
        <v>31860</v>
      </c>
      <c r="I1002" t="s">
        <v>23291</v>
      </c>
      <c r="J1002" t="str">
        <f t="shared" si="77"/>
        <v>E:\PropInv\MF</v>
      </c>
      <c r="K1002" s="103" t="str">
        <f>HYPERLINK("E:\PropInv\MF\San Antonio\Flores St S_8511_Deely Place_San Antonio_01137","Flores St S_8511_Deely Place_San Antonio_01137" )</f>
        <v>Flores St S_8511_Deely Place_San Antonio_01137</v>
      </c>
      <c r="L1002" s="104" t="s">
        <v>22253</v>
      </c>
      <c r="M1002" s="103" t="str">
        <f t="shared" si="78"/>
        <v>http://oconnordata.com/mlink/modules/profile/index.cfm?action=profile&amp;prop_id=1137</v>
      </c>
      <c r="N1002" s="1" t="str">
        <f t="shared" si="79"/>
        <v>01137</v>
      </c>
    </row>
    <row r="1003" spans="1:14" x14ac:dyDescent="0.3">
      <c r="A1003" s="1">
        <v>1138</v>
      </c>
      <c r="B1003" s="7" t="s">
        <v>1520</v>
      </c>
      <c r="C1003" s="12">
        <v>7200</v>
      </c>
      <c r="D1003" s="7" t="s">
        <v>1521</v>
      </c>
      <c r="E1003" s="13" t="s">
        <v>842</v>
      </c>
      <c r="F1003" t="str">
        <f t="shared" si="75"/>
        <v>Presa</v>
      </c>
      <c r="G1003" t="str">
        <f t="shared" si="76"/>
        <v>Presa7200San Antonio</v>
      </c>
      <c r="H1003" t="s">
        <v>31861</v>
      </c>
      <c r="I1003" t="s">
        <v>23292</v>
      </c>
      <c r="J1003" t="str">
        <f t="shared" si="77"/>
        <v>E:\PropInv\MF</v>
      </c>
      <c r="K1003" s="103" t="str">
        <f>HYPERLINK("E:\PropInv\MF\San Antonio\Presa S_7200_Brooks Village TH_San Antonio_01138","Presa S_7200_Brooks Village TH_San Antonio_01138" )</f>
        <v>Presa S_7200_Brooks Village TH_San Antonio_01138</v>
      </c>
      <c r="L1003" s="104" t="s">
        <v>22253</v>
      </c>
      <c r="M1003" s="103" t="str">
        <f t="shared" si="78"/>
        <v>http://oconnordata.com/mlink/modules/profile/index.cfm?action=profile&amp;prop_id=1138</v>
      </c>
      <c r="N1003" s="1" t="str">
        <f t="shared" si="79"/>
        <v>01138</v>
      </c>
    </row>
    <row r="1004" spans="1:14" x14ac:dyDescent="0.3">
      <c r="A1004" s="1">
        <v>1139</v>
      </c>
      <c r="B1004" s="7" t="s">
        <v>1522</v>
      </c>
      <c r="C1004" s="12">
        <v>5300</v>
      </c>
      <c r="D1004" s="7" t="s">
        <v>1523</v>
      </c>
      <c r="E1004" s="13" t="s">
        <v>842</v>
      </c>
      <c r="F1004" t="str">
        <f t="shared" si="75"/>
        <v>Encanta</v>
      </c>
      <c r="G1004" t="str">
        <f t="shared" si="76"/>
        <v>Encanta5300San Antonio</v>
      </c>
      <c r="H1004" t="s">
        <v>31862</v>
      </c>
      <c r="I1004" t="s">
        <v>23293</v>
      </c>
      <c r="J1004" t="str">
        <f t="shared" si="77"/>
        <v>E:\PropInv\MF</v>
      </c>
      <c r="K1004" s="103" t="str">
        <f>HYPERLINK("E:\PropInv\MF\San Antonio\Encanta_5300_Encanta Villas_San Antonio_01139","Encanta_5300_Encanta Villas_San Antonio_01139" )</f>
        <v>Encanta_5300_Encanta Villas_San Antonio_01139</v>
      </c>
      <c r="L1004" s="104" t="s">
        <v>22253</v>
      </c>
      <c r="M1004" s="103" t="str">
        <f t="shared" si="78"/>
        <v>http://oconnordata.com/mlink/modules/profile/index.cfm?action=profile&amp;prop_id=1139</v>
      </c>
      <c r="N1004" s="1" t="str">
        <f t="shared" si="79"/>
        <v>01139</v>
      </c>
    </row>
    <row r="1005" spans="1:14" x14ac:dyDescent="0.3">
      <c r="A1005" s="1">
        <v>1140</v>
      </c>
      <c r="B1005" s="7" t="s">
        <v>1361</v>
      </c>
      <c r="C1005" s="12">
        <v>1352</v>
      </c>
      <c r="D1005" s="7" t="s">
        <v>1524</v>
      </c>
      <c r="E1005" s="13" t="s">
        <v>842</v>
      </c>
      <c r="F1005" t="str">
        <f t="shared" si="75"/>
        <v>Gardina</v>
      </c>
      <c r="G1005" t="str">
        <f t="shared" si="76"/>
        <v>Gardina1352San Antonio</v>
      </c>
      <c r="H1005" t="s">
        <v>31863</v>
      </c>
      <c r="I1005" t="s">
        <v>23294</v>
      </c>
      <c r="J1005" t="str">
        <f t="shared" si="77"/>
        <v>E:\PropInv\MF</v>
      </c>
      <c r="K1005" s="103" t="str">
        <f>HYPERLINK("E:\PropInv\MF\San Antonio\Gardina St_1352_Gardenwood_San Antonio_01140","Gardina St_1352_Gardenwood_San Antonio_01140" )</f>
        <v>Gardina St_1352_Gardenwood_San Antonio_01140</v>
      </c>
      <c r="L1005" s="104" t="s">
        <v>22253</v>
      </c>
      <c r="M1005" s="103" t="str">
        <f t="shared" si="78"/>
        <v>http://oconnordata.com/mlink/modules/profile/index.cfm?action=profile&amp;prop_id=1140</v>
      </c>
      <c r="N1005" s="1" t="str">
        <f t="shared" si="79"/>
        <v>01140</v>
      </c>
    </row>
    <row r="1006" spans="1:14" x14ac:dyDescent="0.3">
      <c r="A1006" s="1">
        <v>1141</v>
      </c>
      <c r="B1006" s="7" t="s">
        <v>1525</v>
      </c>
      <c r="C1006" s="12">
        <v>5111</v>
      </c>
      <c r="D1006" s="7" t="s">
        <v>1526</v>
      </c>
      <c r="E1006" s="13" t="s">
        <v>842</v>
      </c>
      <c r="F1006" t="str">
        <f t="shared" si="75"/>
        <v>Glen</v>
      </c>
      <c r="G1006" t="str">
        <f t="shared" si="76"/>
        <v>Glen5111San Antonio</v>
      </c>
      <c r="H1006" t="s">
        <v>31864</v>
      </c>
      <c r="I1006" t="s">
        <v>23295</v>
      </c>
      <c r="J1006" t="str">
        <f t="shared" si="77"/>
        <v>E:\PropInv\MF</v>
      </c>
      <c r="K1006" s="103" t="str">
        <f>HYPERLINK("E:\PropInv\MF\San Antonio\Glen Ridge_5111_Honey Hill_San Antonio_01141","Glen Ridge_5111_Honey Hill_San Antonio_01141" )</f>
        <v>Glen Ridge_5111_Honey Hill_San Antonio_01141</v>
      </c>
      <c r="L1006" s="104" t="s">
        <v>22253</v>
      </c>
      <c r="M1006" s="103" t="str">
        <f t="shared" si="78"/>
        <v>http://oconnordata.com/mlink/modules/profile/index.cfm?action=profile&amp;prop_id=1141</v>
      </c>
      <c r="N1006" s="1" t="str">
        <f t="shared" si="79"/>
        <v>01141</v>
      </c>
    </row>
    <row r="1007" spans="1:14" x14ac:dyDescent="0.3">
      <c r="A1007" s="1">
        <v>1142</v>
      </c>
      <c r="B1007" s="7" t="s">
        <v>1527</v>
      </c>
      <c r="C1007" s="12">
        <v>14650</v>
      </c>
      <c r="D1007" s="7" t="s">
        <v>1528</v>
      </c>
      <c r="E1007" s="13" t="s">
        <v>842</v>
      </c>
      <c r="F1007" t="str">
        <f t="shared" si="75"/>
        <v>Nacogdoches</v>
      </c>
      <c r="G1007" t="str">
        <f t="shared" si="76"/>
        <v>Nacogdoches14650San Antonio</v>
      </c>
      <c r="H1007" t="s">
        <v>31865</v>
      </c>
      <c r="I1007" t="s">
        <v>23296</v>
      </c>
      <c r="J1007" t="str">
        <f t="shared" si="77"/>
        <v>E:\PropInv\MF</v>
      </c>
      <c r="K1007" s="103" t="str">
        <f>HYPERLINK("E:\PropInv\MF\San Antonio\Nacogdoches Rd_14650_Kenton Place_San Antonio_01142","Nacogdoches Rd_14650_Kenton Place_San Antonio_01142" )</f>
        <v>Nacogdoches Rd_14650_Kenton Place_San Antonio_01142</v>
      </c>
      <c r="L1007" s="104" t="s">
        <v>22253</v>
      </c>
      <c r="M1007" s="103" t="str">
        <f t="shared" si="78"/>
        <v>http://oconnordata.com/mlink/modules/profile/index.cfm?action=profile&amp;prop_id=1142</v>
      </c>
      <c r="N1007" s="1" t="str">
        <f t="shared" si="79"/>
        <v>01142</v>
      </c>
    </row>
    <row r="1008" spans="1:14" x14ac:dyDescent="0.3">
      <c r="A1008" s="1">
        <v>1143</v>
      </c>
      <c r="B1008" s="7" t="s">
        <v>960</v>
      </c>
      <c r="C1008" s="12">
        <v>2167</v>
      </c>
      <c r="D1008" s="7" t="s">
        <v>1529</v>
      </c>
      <c r="E1008" s="13" t="s">
        <v>842</v>
      </c>
      <c r="F1008" t="str">
        <f t="shared" si="75"/>
        <v>410</v>
      </c>
      <c r="G1008" t="str">
        <f t="shared" si="76"/>
        <v>4102167San Antonio</v>
      </c>
      <c r="H1008" t="s">
        <v>31866</v>
      </c>
      <c r="I1008" t="s">
        <v>23297</v>
      </c>
      <c r="J1008" t="str">
        <f t="shared" si="77"/>
        <v>E:\PropInv\MF</v>
      </c>
      <c r="K1008" s="103" t="str">
        <f>HYPERLINK("E:\PropInv\MF\San Antonio\410 Loop NE_2167_Villas de Ventana_San Antonio_01143","410 Loop NE_2167_Villas de Ventana_San Antonio_01143" )</f>
        <v>410 Loop NE_2167_Villas de Ventana_San Antonio_01143</v>
      </c>
      <c r="L1008" s="104" t="s">
        <v>22253</v>
      </c>
      <c r="M1008" s="103" t="str">
        <f t="shared" si="78"/>
        <v>http://oconnordata.com/mlink/modules/profile/index.cfm?action=profile&amp;prop_id=1143</v>
      </c>
      <c r="N1008" s="1" t="str">
        <f t="shared" si="79"/>
        <v>01143</v>
      </c>
    </row>
    <row r="1009" spans="1:14" x14ac:dyDescent="0.3">
      <c r="A1009" s="1">
        <v>1144</v>
      </c>
      <c r="B1009" s="7" t="s">
        <v>1530</v>
      </c>
      <c r="C1009" s="12">
        <v>6812</v>
      </c>
      <c r="D1009" s="7" t="s">
        <v>1531</v>
      </c>
      <c r="E1009" s="13" t="s">
        <v>842</v>
      </c>
      <c r="F1009" t="str">
        <f t="shared" si="75"/>
        <v>Poss</v>
      </c>
      <c r="G1009" t="str">
        <f t="shared" si="76"/>
        <v>Poss6812San Antonio</v>
      </c>
      <c r="H1009" t="s">
        <v>31867</v>
      </c>
      <c r="I1009" t="s">
        <v>23298</v>
      </c>
      <c r="J1009" t="str">
        <f t="shared" si="77"/>
        <v>E:\PropInv\MF</v>
      </c>
      <c r="K1009" s="103" t="str">
        <f>HYPERLINK("E:\PropInv\MF\San Antonio\Poss Rd_6812_Leon Trace_San Antonio_01144","Poss Rd_6812_Leon Trace_San Antonio_01144" )</f>
        <v>Poss Rd_6812_Leon Trace_San Antonio_01144</v>
      </c>
      <c r="L1009" s="104" t="s">
        <v>22253</v>
      </c>
      <c r="M1009" s="103" t="str">
        <f t="shared" si="78"/>
        <v>http://oconnordata.com/mlink/modules/profile/index.cfm?action=profile&amp;prop_id=1144</v>
      </c>
      <c r="N1009" s="1" t="str">
        <f t="shared" si="79"/>
        <v>01144</v>
      </c>
    </row>
    <row r="1010" spans="1:14" x14ac:dyDescent="0.3">
      <c r="A1010" s="1">
        <v>1145</v>
      </c>
      <c r="B1010" s="7" t="s">
        <v>1532</v>
      </c>
      <c r="C1010" s="12">
        <v>1202</v>
      </c>
      <c r="D1010" s="7" t="s">
        <v>1533</v>
      </c>
      <c r="E1010" s="13" t="s">
        <v>842</v>
      </c>
      <c r="F1010" t="str">
        <f t="shared" si="75"/>
        <v>Mulberry</v>
      </c>
      <c r="G1010" t="str">
        <f t="shared" si="76"/>
        <v>Mulberry1202San Antonio</v>
      </c>
      <c r="H1010" t="s">
        <v>31868</v>
      </c>
      <c r="I1010" t="s">
        <v>23299</v>
      </c>
      <c r="J1010" t="str">
        <f t="shared" si="77"/>
        <v>E:\PropInv\MF</v>
      </c>
      <c r="K1010" s="103" t="str">
        <f>HYPERLINK("E:\PropInv\MF\San Antonio\Mulberry Ave #101 E_1202_Mulberry Village_San Antonio_01145","Mulberry Ave #101 E_1202_Mulberry Village_San Antonio_01145" )</f>
        <v>Mulberry Ave #101 E_1202_Mulberry Village_San Antonio_01145</v>
      </c>
      <c r="L1010" s="104" t="s">
        <v>22253</v>
      </c>
      <c r="M1010" s="103" t="str">
        <f t="shared" si="78"/>
        <v>http://oconnordata.com/mlink/modules/profile/index.cfm?action=profile&amp;prop_id=1145</v>
      </c>
      <c r="N1010" s="1" t="str">
        <f t="shared" si="79"/>
        <v>01145</v>
      </c>
    </row>
    <row r="1011" spans="1:14" x14ac:dyDescent="0.3">
      <c r="A1011" s="1">
        <v>1146</v>
      </c>
      <c r="B1011" s="7" t="s">
        <v>1534</v>
      </c>
      <c r="C1011" s="12">
        <v>130</v>
      </c>
      <c r="D1011" s="7" t="s">
        <v>1535</v>
      </c>
      <c r="E1011" s="13" t="s">
        <v>842</v>
      </c>
      <c r="F1011" t="str">
        <f t="shared" si="75"/>
        <v>Melrose</v>
      </c>
      <c r="G1011" t="str">
        <f t="shared" si="76"/>
        <v>Melrose130San Antonio</v>
      </c>
      <c r="H1011" t="s">
        <v>31869</v>
      </c>
      <c r="I1011" t="s">
        <v>23300</v>
      </c>
      <c r="J1011" t="str">
        <f t="shared" si="77"/>
        <v>E:\PropInv\MF</v>
      </c>
      <c r="K1011" s="103" t="str">
        <f>HYPERLINK("E:\PropInv\MF\San Antonio\Melrose Dr E_130_New England Village_San Antonio_01146","Melrose Dr E_130_New England Village_San Antonio_01146" )</f>
        <v>Melrose Dr E_130_New England Village_San Antonio_01146</v>
      </c>
      <c r="L1011" s="104" t="s">
        <v>22253</v>
      </c>
      <c r="M1011" s="103" t="str">
        <f t="shared" si="78"/>
        <v>http://oconnordata.com/mlink/modules/profile/index.cfm?action=profile&amp;prop_id=1146</v>
      </c>
      <c r="N1011" s="1" t="str">
        <f t="shared" si="79"/>
        <v>01146</v>
      </c>
    </row>
    <row r="1012" spans="1:14" x14ac:dyDescent="0.3">
      <c r="A1012" s="1">
        <v>1147</v>
      </c>
      <c r="B1012" s="10" t="s">
        <v>1536</v>
      </c>
      <c r="C1012" s="9">
        <v>223</v>
      </c>
      <c r="D1012" s="7" t="s">
        <v>1537</v>
      </c>
      <c r="E1012" s="11" t="s">
        <v>842</v>
      </c>
      <c r="F1012" t="str">
        <f t="shared" si="75"/>
        <v>Rainbow</v>
      </c>
      <c r="G1012" t="str">
        <f t="shared" si="76"/>
        <v>Rainbow223San Antonio</v>
      </c>
      <c r="H1012" t="s">
        <v>31870</v>
      </c>
      <c r="I1012" t="s">
        <v>23301</v>
      </c>
      <c r="J1012" t="str">
        <f t="shared" si="77"/>
        <v>E:\PropInv\MF</v>
      </c>
      <c r="K1012" s="103" t="str">
        <f>HYPERLINK("E:\PropInv\MF\San Antonio\Rainbow Dr_223_Whispering Heights_San Antonio_01147","Rainbow Dr_223_Whispering Heights_San Antonio_01147" )</f>
        <v>Rainbow Dr_223_Whispering Heights_San Antonio_01147</v>
      </c>
      <c r="L1012" s="104" t="s">
        <v>22253</v>
      </c>
      <c r="M1012" s="103" t="str">
        <f t="shared" si="78"/>
        <v>http://oconnordata.com/mlink/modules/profile/index.cfm?action=profile&amp;prop_id=1147</v>
      </c>
      <c r="N1012" s="1" t="str">
        <f t="shared" si="79"/>
        <v>01147</v>
      </c>
    </row>
    <row r="1013" spans="1:14" x14ac:dyDescent="0.3">
      <c r="A1013" s="1">
        <v>1148</v>
      </c>
      <c r="B1013" s="10" t="s">
        <v>1538</v>
      </c>
      <c r="C1013" s="9">
        <v>8446</v>
      </c>
      <c r="D1013" s="10" t="s">
        <v>1539</v>
      </c>
      <c r="E1013" s="11" t="s">
        <v>842</v>
      </c>
      <c r="F1013" t="str">
        <f t="shared" si="75"/>
        <v>Country</v>
      </c>
      <c r="G1013" t="str">
        <f t="shared" si="76"/>
        <v>Country8446San Antonio</v>
      </c>
      <c r="H1013" t="s">
        <v>31871</v>
      </c>
      <c r="I1013" t="s">
        <v>23302</v>
      </c>
      <c r="J1013" t="str">
        <f t="shared" si="77"/>
        <v>E:\PropInv\MF</v>
      </c>
      <c r="K1013" s="103" t="str">
        <f>HYPERLINK("E:\PropInv\MF\San Antonio\Country Village St_8446_The Reserve in Alamo Heights_San Antonio_01148","Country Village St_8446_The Reserve in Alamo Heights_San Antonio_01148" )</f>
        <v>Country Village St_8446_The Reserve in Alamo Heights_San Antonio_01148</v>
      </c>
      <c r="L1013" s="104" t="s">
        <v>22253</v>
      </c>
      <c r="M1013" s="103" t="str">
        <f t="shared" si="78"/>
        <v>http://oconnordata.com/mlink/modules/profile/index.cfm?action=profile&amp;prop_id=1148</v>
      </c>
      <c r="N1013" s="1" t="str">
        <f t="shared" si="79"/>
        <v>01148</v>
      </c>
    </row>
    <row r="1014" spans="1:14" x14ac:dyDescent="0.3">
      <c r="A1014" s="1">
        <v>1149</v>
      </c>
      <c r="B1014" s="7" t="s">
        <v>1540</v>
      </c>
      <c r="C1014" s="12">
        <v>538</v>
      </c>
      <c r="D1014" s="7" t="s">
        <v>1541</v>
      </c>
      <c r="E1014" s="13" t="s">
        <v>842</v>
      </c>
      <c r="F1014" t="str">
        <f t="shared" si="75"/>
        <v>Hot</v>
      </c>
      <c r="G1014" t="str">
        <f t="shared" si="76"/>
        <v>Hot538San Antonio</v>
      </c>
      <c r="H1014" t="s">
        <v>31872</v>
      </c>
      <c r="I1014" t="s">
        <v>23303</v>
      </c>
      <c r="J1014" t="str">
        <f t="shared" si="77"/>
        <v>E:\PropInv\MF</v>
      </c>
      <c r="K1014" s="103" t="str">
        <f>HYPERLINK("E:\PropInv\MF\San Antonio\Hot Wells_538_Robins Nest_San Antonio_01149","Hot Wells_538_Robins Nest_San Antonio_01149" )</f>
        <v>Hot Wells_538_Robins Nest_San Antonio_01149</v>
      </c>
      <c r="L1014" s="104" t="s">
        <v>22253</v>
      </c>
      <c r="M1014" s="103" t="str">
        <f t="shared" si="78"/>
        <v>http://oconnordata.com/mlink/modules/profile/index.cfm?action=profile&amp;prop_id=1149</v>
      </c>
      <c r="N1014" s="1" t="str">
        <f t="shared" si="79"/>
        <v>01149</v>
      </c>
    </row>
    <row r="1015" spans="1:14" x14ac:dyDescent="0.3">
      <c r="A1015" s="1">
        <v>1151</v>
      </c>
      <c r="B1015" s="7" t="s">
        <v>1542</v>
      </c>
      <c r="C1015" s="12">
        <v>11910</v>
      </c>
      <c r="D1015" s="7" t="s">
        <v>1543</v>
      </c>
      <c r="E1015" s="13" t="s">
        <v>842</v>
      </c>
      <c r="F1015" t="str">
        <f t="shared" si="75"/>
        <v>Orsinger</v>
      </c>
      <c r="G1015" t="str">
        <f t="shared" si="76"/>
        <v>Orsinger11910San Antonio</v>
      </c>
      <c r="H1015" t="s">
        <v>31873</v>
      </c>
      <c r="I1015" t="s">
        <v>23304</v>
      </c>
      <c r="J1015" t="str">
        <f t="shared" si="77"/>
        <v>E:\PropInv\MF</v>
      </c>
      <c r="K1015" s="103" t="str">
        <f>HYPERLINK("E:\PropInv\MF\San Antonio\Orsinger Ln_11910_Waters at Elm Creek_San Antonio_01151","Orsinger Ln_11910_Waters at Elm Creek_San Antonio_01151" )</f>
        <v>Orsinger Ln_11910_Waters at Elm Creek_San Antonio_01151</v>
      </c>
      <c r="L1015" s="104" t="s">
        <v>22253</v>
      </c>
      <c r="M1015" s="103" t="str">
        <f t="shared" si="78"/>
        <v>http://oconnordata.com/mlink/modules/profile/index.cfm?action=profile&amp;prop_id=1151</v>
      </c>
      <c r="N1015" s="1" t="str">
        <f t="shared" si="79"/>
        <v>01151</v>
      </c>
    </row>
    <row r="1016" spans="1:14" x14ac:dyDescent="0.3">
      <c r="A1016" s="1">
        <v>1154</v>
      </c>
      <c r="B1016" s="7" t="s">
        <v>1231</v>
      </c>
      <c r="C1016" s="12">
        <v>8050</v>
      </c>
      <c r="D1016" s="7" t="s">
        <v>1544</v>
      </c>
      <c r="E1016" s="13" t="s">
        <v>842</v>
      </c>
      <c r="F1016" t="str">
        <f t="shared" si="75"/>
        <v>Oakdell</v>
      </c>
      <c r="G1016" t="str">
        <f t="shared" si="76"/>
        <v>Oakdell8050San Antonio</v>
      </c>
      <c r="H1016" t="s">
        <v>31874</v>
      </c>
      <c r="I1016" t="s">
        <v>23305</v>
      </c>
      <c r="J1016" t="str">
        <f t="shared" si="77"/>
        <v>E:\PropInv\MF</v>
      </c>
      <c r="K1016" s="103" t="str">
        <f>HYPERLINK("E:\PropInv\MF\San Antonio\Oakdell Way_8050_La Mirage_San Antonio_01154","Oakdell Way_8050_La Mirage_San Antonio_01154" )</f>
        <v>Oakdell Way_8050_La Mirage_San Antonio_01154</v>
      </c>
      <c r="L1016" s="104" t="s">
        <v>22253</v>
      </c>
      <c r="M1016" s="103" t="str">
        <f t="shared" si="78"/>
        <v>http://oconnordata.com/mlink/modules/profile/index.cfm?action=profile&amp;prop_id=1154</v>
      </c>
      <c r="N1016" s="1" t="str">
        <f t="shared" si="79"/>
        <v>01154</v>
      </c>
    </row>
    <row r="1017" spans="1:14" x14ac:dyDescent="0.3">
      <c r="A1017" s="1">
        <v>1155</v>
      </c>
      <c r="B1017" s="7" t="s">
        <v>1545</v>
      </c>
      <c r="C1017" s="12">
        <v>222</v>
      </c>
      <c r="D1017" s="7" t="s">
        <v>1546</v>
      </c>
      <c r="E1017" s="13" t="s">
        <v>842</v>
      </c>
      <c r="F1017" t="str">
        <f t="shared" si="75"/>
        <v>Houston</v>
      </c>
      <c r="G1017" t="str">
        <f t="shared" si="76"/>
        <v>Houston222San Antonio</v>
      </c>
      <c r="H1017" t="s">
        <v>31875</v>
      </c>
      <c r="I1017" t="s">
        <v>23306</v>
      </c>
      <c r="J1017" t="str">
        <f t="shared" si="77"/>
        <v>E:\PropInv\MF</v>
      </c>
      <c r="K1017" s="103" t="str">
        <f>HYPERLINK("E:\PropInv\MF\San Antonio\Houston St E_222_Towers at the Majestic_San Antonio_01155","Houston St E_222_Towers at the Majestic_San Antonio_01155" )</f>
        <v>Houston St E_222_Towers at the Majestic_San Antonio_01155</v>
      </c>
      <c r="L1017" s="104" t="s">
        <v>22253</v>
      </c>
      <c r="M1017" s="103" t="str">
        <f t="shared" si="78"/>
        <v>http://oconnordata.com/mlink/modules/profile/index.cfm?action=profile&amp;prop_id=1155</v>
      </c>
      <c r="N1017" s="1" t="str">
        <f t="shared" si="79"/>
        <v>01155</v>
      </c>
    </row>
    <row r="1018" spans="1:14" x14ac:dyDescent="0.3">
      <c r="A1018" s="1">
        <v>1156</v>
      </c>
      <c r="B1018" s="7" t="s">
        <v>1547</v>
      </c>
      <c r="C1018" s="12">
        <v>101</v>
      </c>
      <c r="D1018" s="7" t="s">
        <v>581</v>
      </c>
      <c r="E1018" s="13" t="s">
        <v>842</v>
      </c>
      <c r="F1018" t="str">
        <f t="shared" si="75"/>
        <v>Arcadia</v>
      </c>
      <c r="G1018" t="str">
        <f t="shared" si="76"/>
        <v>Arcadia101San Antonio</v>
      </c>
      <c r="H1018" t="s">
        <v>31876</v>
      </c>
      <c r="I1018" t="s">
        <v>23307</v>
      </c>
      <c r="J1018" t="str">
        <f t="shared" si="77"/>
        <v>E:\PropInv\MF</v>
      </c>
      <c r="K1018" s="103" t="str">
        <f>HYPERLINK("E:\PropInv\MF\San Antonio\Arcadia Place_101_Treehouse_San Antonio_01156","Arcadia Place_101_Treehouse_San Antonio_01156" )</f>
        <v>Arcadia Place_101_Treehouse_San Antonio_01156</v>
      </c>
      <c r="L1018" s="104" t="s">
        <v>22253</v>
      </c>
      <c r="M1018" s="103" t="str">
        <f t="shared" si="78"/>
        <v>http://oconnordata.com/mlink/modules/profile/index.cfm?action=profile&amp;prop_id=1156</v>
      </c>
      <c r="N1018" s="1" t="str">
        <f t="shared" si="79"/>
        <v>01156</v>
      </c>
    </row>
    <row r="1019" spans="1:14" x14ac:dyDescent="0.3">
      <c r="A1019" s="1">
        <v>1157</v>
      </c>
      <c r="B1019" s="7" t="s">
        <v>1548</v>
      </c>
      <c r="C1019" s="12">
        <v>795</v>
      </c>
      <c r="D1019" s="7" t="s">
        <v>1549</v>
      </c>
      <c r="E1019" s="13" t="s">
        <v>912</v>
      </c>
      <c r="F1019" t="str">
        <f t="shared" si="75"/>
        <v>35</v>
      </c>
      <c r="G1019" t="str">
        <f t="shared" si="76"/>
        <v>35795New Braunfels</v>
      </c>
      <c r="H1019" t="s">
        <v>31877</v>
      </c>
      <c r="I1019" t="s">
        <v>23308</v>
      </c>
      <c r="J1019" t="str">
        <f t="shared" si="77"/>
        <v>E:\PropInv\MF</v>
      </c>
      <c r="K1019" s="103" t="str">
        <f>HYPERLINK("E:\PropInv\MF\New Braunfels\35 IH W_795_Vista del Sol_New Braunfels_01157","35 IH W_795_Vista del Sol_New Braunfels_01157" )</f>
        <v>35 IH W_795_Vista del Sol_New Braunfels_01157</v>
      </c>
      <c r="L1019" s="104" t="s">
        <v>22253</v>
      </c>
      <c r="M1019" s="103" t="str">
        <f t="shared" si="78"/>
        <v>http://oconnordata.com/mlink/modules/profile/index.cfm?action=profile&amp;prop_id=1157</v>
      </c>
      <c r="N1019" s="1" t="str">
        <f t="shared" si="79"/>
        <v>01157</v>
      </c>
    </row>
    <row r="1020" spans="1:14" x14ac:dyDescent="0.3">
      <c r="A1020" s="1">
        <v>1158</v>
      </c>
      <c r="B1020" s="7" t="s">
        <v>869</v>
      </c>
      <c r="C1020" s="12">
        <v>2530</v>
      </c>
      <c r="D1020" s="7" t="s">
        <v>1550</v>
      </c>
      <c r="E1020" s="13" t="s">
        <v>842</v>
      </c>
      <c r="F1020" t="str">
        <f t="shared" si="75"/>
        <v>Harry</v>
      </c>
      <c r="G1020" t="str">
        <f t="shared" si="76"/>
        <v>Harry2530San Antonio</v>
      </c>
      <c r="H1020" t="s">
        <v>31878</v>
      </c>
      <c r="I1020" t="s">
        <v>19142</v>
      </c>
      <c r="J1020" t="str">
        <f t="shared" si="77"/>
        <v>E:\PropInv\MF</v>
      </c>
      <c r="K1020" s="103" t="str">
        <f>HYPERLINK("E:\PropInv\MF\San Antonio\Harry Wurzbach_2530_Wilshire Woods_San Antonio_01158","Harry Wurzbach_2530_Wilshire Woods_San Antonio_01158" )</f>
        <v>Harry Wurzbach_2530_Wilshire Woods_San Antonio_01158</v>
      </c>
      <c r="L1020" s="104" t="s">
        <v>22253</v>
      </c>
      <c r="M1020" s="103" t="str">
        <f t="shared" si="78"/>
        <v>http://oconnordata.com/mlink/modules/profile/index.cfm?action=profile&amp;prop_id=1158</v>
      </c>
      <c r="N1020" s="1" t="str">
        <f t="shared" si="79"/>
        <v>01158</v>
      </c>
    </row>
    <row r="1021" spans="1:14" x14ac:dyDescent="0.3">
      <c r="A1021" s="1">
        <v>1159</v>
      </c>
      <c r="B1021" s="7" t="s">
        <v>930</v>
      </c>
      <c r="C1021" s="12">
        <v>7110</v>
      </c>
      <c r="D1021" s="7" t="s">
        <v>1551</v>
      </c>
      <c r="E1021" s="13" t="s">
        <v>842</v>
      </c>
      <c r="F1021" t="str">
        <f t="shared" si="75"/>
        <v>Wurzbach</v>
      </c>
      <c r="G1021" t="str">
        <f t="shared" si="76"/>
        <v>Wurzbach7110San Antonio</v>
      </c>
      <c r="H1021" t="s">
        <v>31879</v>
      </c>
      <c r="I1021" t="s">
        <v>23309</v>
      </c>
      <c r="J1021" t="str">
        <f t="shared" si="77"/>
        <v>E:\PropInv\MF</v>
      </c>
      <c r="K1021" s="103" t="str">
        <f>HYPERLINK("E:\PropInv\MF\San Antonio\Wurzbach Rd_7110_Hunters Bend_San Antonio_01159","Wurzbach Rd_7110_Hunters Bend_San Antonio_01159" )</f>
        <v>Wurzbach Rd_7110_Hunters Bend_San Antonio_01159</v>
      </c>
      <c r="L1021" s="104" t="s">
        <v>22253</v>
      </c>
      <c r="M1021" s="103" t="str">
        <f t="shared" si="78"/>
        <v>http://oconnordata.com/mlink/modules/profile/index.cfm?action=profile&amp;prop_id=1159</v>
      </c>
      <c r="N1021" s="1" t="str">
        <f t="shared" si="79"/>
        <v>01159</v>
      </c>
    </row>
    <row r="1022" spans="1:14" x14ac:dyDescent="0.3">
      <c r="A1022" s="1">
        <v>1160</v>
      </c>
      <c r="B1022" s="7" t="s">
        <v>1361</v>
      </c>
      <c r="C1022" s="12">
        <v>1400</v>
      </c>
      <c r="D1022" s="7" t="s">
        <v>1552</v>
      </c>
      <c r="E1022" s="13" t="s">
        <v>842</v>
      </c>
      <c r="F1022" t="str">
        <f t="shared" si="75"/>
        <v>Gardina</v>
      </c>
      <c r="G1022" t="str">
        <f t="shared" si="76"/>
        <v>Gardina1400San Antonio</v>
      </c>
      <c r="H1022" t="s">
        <v>31880</v>
      </c>
      <c r="I1022" t="s">
        <v>23310</v>
      </c>
      <c r="J1022" t="str">
        <f t="shared" si="77"/>
        <v>E:\PropInv\MF</v>
      </c>
      <c r="K1022" s="103" t="str">
        <f>HYPERLINK("E:\PropInv\MF\San Antonio\Gardina St_1400_Springwood Villas_San Antonio_01160","Gardina St_1400_Springwood Villas_San Antonio_01160" )</f>
        <v>Gardina St_1400_Springwood Villas_San Antonio_01160</v>
      </c>
      <c r="L1022" s="104" t="s">
        <v>22253</v>
      </c>
      <c r="M1022" s="103" t="str">
        <f t="shared" si="78"/>
        <v>http://oconnordata.com/mlink/modules/profile/index.cfm?action=profile&amp;prop_id=1160</v>
      </c>
      <c r="N1022" s="1" t="str">
        <f t="shared" si="79"/>
        <v>01160</v>
      </c>
    </row>
    <row r="1023" spans="1:14" x14ac:dyDescent="0.3">
      <c r="A1023" s="1">
        <v>1162</v>
      </c>
      <c r="B1023" s="7" t="s">
        <v>1553</v>
      </c>
      <c r="C1023" s="12">
        <v>12900</v>
      </c>
      <c r="D1023" s="7" t="s">
        <v>1554</v>
      </c>
      <c r="E1023" s="13" t="s">
        <v>864</v>
      </c>
      <c r="F1023" t="str">
        <f t="shared" si="75"/>
        <v>1604</v>
      </c>
      <c r="G1023" t="str">
        <f t="shared" si="76"/>
        <v>160412900Universal City</v>
      </c>
      <c r="H1023" t="s">
        <v>31881</v>
      </c>
      <c r="I1023" t="s">
        <v>23311</v>
      </c>
      <c r="J1023" t="str">
        <f t="shared" si="77"/>
        <v>E:\PropInv\MF</v>
      </c>
      <c r="K1023" s="103" t="str">
        <f>HYPERLINK("E:\PropInv\MF\Universal City\1604 Loop N E_12900_Retama Ranch_Universal City_01162","1604 Loop N E_12900_Retama Ranch_Universal City_01162" )</f>
        <v>1604 Loop N E_12900_Retama Ranch_Universal City_01162</v>
      </c>
      <c r="L1023" s="104" t="s">
        <v>22253</v>
      </c>
      <c r="M1023" s="103" t="str">
        <f t="shared" si="78"/>
        <v>http://oconnordata.com/mlink/modules/profile/index.cfm?action=profile&amp;prop_id=1162</v>
      </c>
      <c r="N1023" s="1" t="str">
        <f t="shared" si="79"/>
        <v>01162</v>
      </c>
    </row>
    <row r="1024" spans="1:14" x14ac:dyDescent="0.3">
      <c r="A1024" s="1">
        <v>1163</v>
      </c>
      <c r="B1024" s="7" t="s">
        <v>1070</v>
      </c>
      <c r="C1024" s="12">
        <v>19950</v>
      </c>
      <c r="D1024" s="7" t="s">
        <v>1555</v>
      </c>
      <c r="E1024" s="13" t="s">
        <v>842</v>
      </c>
      <c r="F1024" t="str">
        <f t="shared" si="75"/>
        <v>Huebner</v>
      </c>
      <c r="G1024" t="str">
        <f t="shared" si="76"/>
        <v>Huebner19950San Antonio</v>
      </c>
      <c r="H1024" t="s">
        <v>31882</v>
      </c>
      <c r="I1024" t="s">
        <v>23312</v>
      </c>
      <c r="J1024" t="str">
        <f t="shared" si="77"/>
        <v>E:\PropInv\MF</v>
      </c>
      <c r="K1024" s="103" t="str">
        <f>HYPERLINK("E:\PropInv\MF\San Antonio\Huebner Rd_19950_Stone Manor at Sonterra_San Antonio_01163","Huebner Rd_19950_Stone Manor at Sonterra_San Antonio_01163" )</f>
        <v>Huebner Rd_19950_Stone Manor at Sonterra_San Antonio_01163</v>
      </c>
      <c r="L1024" s="104" t="s">
        <v>22253</v>
      </c>
      <c r="M1024" s="103" t="str">
        <f t="shared" si="78"/>
        <v>http://oconnordata.com/mlink/modules/profile/index.cfm?action=profile&amp;prop_id=1163</v>
      </c>
      <c r="N1024" s="1" t="str">
        <f t="shared" si="79"/>
        <v>01163</v>
      </c>
    </row>
    <row r="1025" spans="1:14" x14ac:dyDescent="0.3">
      <c r="A1025" s="1">
        <v>1164</v>
      </c>
      <c r="B1025" s="7" t="s">
        <v>1051</v>
      </c>
      <c r="C1025" s="12">
        <v>12235</v>
      </c>
      <c r="D1025" s="7" t="s">
        <v>1556</v>
      </c>
      <c r="E1025" s="13" t="s">
        <v>842</v>
      </c>
      <c r="F1025" t="str">
        <f t="shared" si="75"/>
        <v>Vance</v>
      </c>
      <c r="G1025" t="str">
        <f t="shared" si="76"/>
        <v>Vance12235San Antonio</v>
      </c>
      <c r="H1025" t="s">
        <v>31883</v>
      </c>
      <c r="I1025" t="s">
        <v>23313</v>
      </c>
      <c r="J1025" t="str">
        <f t="shared" si="77"/>
        <v>E:\PropInv\MF</v>
      </c>
      <c r="K1025" s="103" t="str">
        <f>HYPERLINK("E:\PropInv\MF\San Antonio\Vance Jackson Rd_12235_Palermo_San Antonio_01164","Vance Jackson Rd_12235_Palermo_San Antonio_01164" )</f>
        <v>Vance Jackson Rd_12235_Palermo_San Antonio_01164</v>
      </c>
      <c r="L1025" s="104" t="s">
        <v>22253</v>
      </c>
      <c r="M1025" s="103" t="str">
        <f t="shared" si="78"/>
        <v>http://oconnordata.com/mlink/modules/profile/index.cfm?action=profile&amp;prop_id=1164</v>
      </c>
      <c r="N1025" s="1" t="str">
        <f t="shared" si="79"/>
        <v>01164</v>
      </c>
    </row>
    <row r="1026" spans="1:14" x14ac:dyDescent="0.3">
      <c r="A1026" s="1">
        <v>1165</v>
      </c>
      <c r="B1026" s="7" t="s">
        <v>1014</v>
      </c>
      <c r="C1026" s="12">
        <v>4601</v>
      </c>
      <c r="D1026" s="7" t="s">
        <v>1557</v>
      </c>
      <c r="E1026" s="13" t="s">
        <v>842</v>
      </c>
      <c r="F1026" t="str">
        <f t="shared" ref="F1026:F1089" si="80">IFERROR(LEFT(B1026,FIND(" ",B1026)-1),B1026)</f>
        <v>De</v>
      </c>
      <c r="G1026" t="str">
        <f t="shared" ref="G1026:G1089" si="81">F1026&amp;C1026&amp;E1026</f>
        <v>De4601San Antonio</v>
      </c>
      <c r="H1026" t="s">
        <v>31884</v>
      </c>
      <c r="I1026" t="s">
        <v>23314</v>
      </c>
      <c r="J1026" t="str">
        <f t="shared" ref="J1026:J1089" si="82">IF(L1026="TX",Folder_Path,Folder_Path&amp;"\State_"&amp;L1026)</f>
        <v>E:\PropInv\MF</v>
      </c>
      <c r="K1026" s="103" t="str">
        <f>HYPERLINK("E:\PropInv\MF\San Antonio\De Zavala Rd_4601_Village at Shavano_San Antonio_01165","De Zavala Rd_4601_Village at Shavano_San Antonio_01165" )</f>
        <v>De Zavala Rd_4601_Village at Shavano_San Antonio_01165</v>
      </c>
      <c r="L1026" s="104" t="s">
        <v>22253</v>
      </c>
      <c r="M1026" s="103" t="str">
        <f t="shared" ref="M1026:M1089" si="83">HYPERLINK("http://oconnordata.com/mlink/modules/profile/index.cfm?action=profile&amp;prop_id="&amp;A1026)</f>
        <v>http://oconnordata.com/mlink/modules/profile/index.cfm?action=profile&amp;prop_id=1165</v>
      </c>
      <c r="N1026" s="1" t="str">
        <f t="shared" ref="N1026:N1089" si="84">IF(LEN(A1026)=1,"0000"&amp;A1026,IF(LEN(A1026)=2,"000"&amp;A1026,IF(LEN(A1026)=3,"00"&amp;A1026,IF(LEN(A1026)=4,"0"&amp;A1026,IF(LEN(A1026)=5,IF(LEFT(A1026,1)="3",A1026+30000,A1026))))))</f>
        <v>01165</v>
      </c>
    </row>
    <row r="1027" spans="1:14" x14ac:dyDescent="0.3">
      <c r="A1027" s="1">
        <v>1166</v>
      </c>
      <c r="B1027" s="7" t="s">
        <v>855</v>
      </c>
      <c r="C1027" s="12">
        <v>4300</v>
      </c>
      <c r="D1027" s="7" t="s">
        <v>1558</v>
      </c>
      <c r="E1027" s="13" t="s">
        <v>842</v>
      </c>
      <c r="F1027" t="str">
        <f t="shared" si="80"/>
        <v>Fredericksburg</v>
      </c>
      <c r="G1027" t="str">
        <f t="shared" si="81"/>
        <v>Fredericksburg4300San Antonio</v>
      </c>
      <c r="H1027" t="s">
        <v>31885</v>
      </c>
      <c r="I1027" t="s">
        <v>23315</v>
      </c>
      <c r="J1027" t="str">
        <f t="shared" si="82"/>
        <v>E:\PropInv\MF</v>
      </c>
      <c r="K1027" s="103" t="str">
        <f>HYPERLINK("E:\PropInv\MF\San Antonio\Fredericksburg Rd_4300_El Marco_San Antonio_01166","Fredericksburg Rd_4300_El Marco_San Antonio_01166" )</f>
        <v>Fredericksburg Rd_4300_El Marco_San Antonio_01166</v>
      </c>
      <c r="L1027" s="104" t="s">
        <v>22253</v>
      </c>
      <c r="M1027" s="103" t="str">
        <f t="shared" si="83"/>
        <v>http://oconnordata.com/mlink/modules/profile/index.cfm?action=profile&amp;prop_id=1166</v>
      </c>
      <c r="N1027" s="1" t="str">
        <f t="shared" si="84"/>
        <v>01166</v>
      </c>
    </row>
    <row r="1028" spans="1:14" x14ac:dyDescent="0.3">
      <c r="A1028" s="1">
        <v>1167</v>
      </c>
      <c r="B1028" s="7" t="s">
        <v>974</v>
      </c>
      <c r="C1028" s="12">
        <v>5335</v>
      </c>
      <c r="D1028" s="7" t="s">
        <v>1559</v>
      </c>
      <c r="E1028" s="13" t="s">
        <v>842</v>
      </c>
      <c r="F1028" t="str">
        <f t="shared" si="80"/>
        <v>410</v>
      </c>
      <c r="G1028" t="str">
        <f t="shared" si="81"/>
        <v>4105335San Antonio</v>
      </c>
      <c r="H1028" t="s">
        <v>31886</v>
      </c>
      <c r="I1028" t="s">
        <v>23316</v>
      </c>
      <c r="J1028" t="str">
        <f t="shared" si="82"/>
        <v>E:\PropInv\MF</v>
      </c>
      <c r="K1028" s="103" t="str">
        <f>HYPERLINK("E:\PropInv\MF\San Antonio\410 Loop NW_5335_Rolling Ridge Square I, II, III_San Antonio_01167","410 Loop NW_5335_Rolling Ridge Square I, II, III_San Antonio_01167" )</f>
        <v>410 Loop NW_5335_Rolling Ridge Square I, II, III_San Antonio_01167</v>
      </c>
      <c r="L1028" s="104" t="s">
        <v>22253</v>
      </c>
      <c r="M1028" s="103" t="str">
        <f t="shared" si="83"/>
        <v>http://oconnordata.com/mlink/modules/profile/index.cfm?action=profile&amp;prop_id=1167</v>
      </c>
      <c r="N1028" s="1" t="str">
        <f t="shared" si="84"/>
        <v>01167</v>
      </c>
    </row>
    <row r="1029" spans="1:14" x14ac:dyDescent="0.3">
      <c r="A1029" s="1">
        <v>1169</v>
      </c>
      <c r="B1029" s="7" t="s">
        <v>942</v>
      </c>
      <c r="C1029" s="12">
        <v>1243</v>
      </c>
      <c r="D1029" s="7" t="s">
        <v>1560</v>
      </c>
      <c r="E1029" s="13" t="s">
        <v>842</v>
      </c>
      <c r="F1029" t="str">
        <f t="shared" si="80"/>
        <v>Babcock</v>
      </c>
      <c r="G1029" t="str">
        <f t="shared" si="81"/>
        <v>Babcock1243San Antonio</v>
      </c>
      <c r="H1029" t="s">
        <v>31887</v>
      </c>
      <c r="I1029" t="s">
        <v>23317</v>
      </c>
      <c r="J1029" t="str">
        <f t="shared" si="82"/>
        <v>E:\PropInv\MF</v>
      </c>
      <c r="K1029" s="103" t="str">
        <f>HYPERLINK("E:\PropInv\MF\San Antonio\Babcock Rd_1243_Hillcrest I, II, III_San Antonio_01169","Babcock Rd_1243_Hillcrest I, II, III_San Antonio_01169" )</f>
        <v>Babcock Rd_1243_Hillcrest I, II, III_San Antonio_01169</v>
      </c>
      <c r="L1029" s="104" t="s">
        <v>22253</v>
      </c>
      <c r="M1029" s="103" t="str">
        <f t="shared" si="83"/>
        <v>http://oconnordata.com/mlink/modules/profile/index.cfm?action=profile&amp;prop_id=1169</v>
      </c>
      <c r="N1029" s="1" t="str">
        <f t="shared" si="84"/>
        <v>01169</v>
      </c>
    </row>
    <row r="1030" spans="1:14" x14ac:dyDescent="0.3">
      <c r="A1030" s="1">
        <v>1171</v>
      </c>
      <c r="B1030" s="7" t="s">
        <v>974</v>
      </c>
      <c r="C1030" s="12">
        <v>3222</v>
      </c>
      <c r="D1030" s="7" t="s">
        <v>537</v>
      </c>
      <c r="E1030" s="13" t="s">
        <v>842</v>
      </c>
      <c r="F1030" t="str">
        <f t="shared" si="80"/>
        <v>410</v>
      </c>
      <c r="G1030" t="str">
        <f t="shared" si="81"/>
        <v>4103222San Antonio</v>
      </c>
      <c r="H1030" t="s">
        <v>31888</v>
      </c>
      <c r="I1030" t="s">
        <v>23318</v>
      </c>
      <c r="J1030" t="str">
        <f t="shared" si="82"/>
        <v>E:\PropInv\MF</v>
      </c>
      <c r="K1030" s="103" t="str">
        <f>HYPERLINK("E:\PropInv\MF\San Antonio\410 Loop NW_3222_Warren House_San Antonio_01171","410 Loop NW_3222_Warren House_San Antonio_01171" )</f>
        <v>410 Loop NW_3222_Warren House_San Antonio_01171</v>
      </c>
      <c r="L1030" s="104" t="s">
        <v>22253</v>
      </c>
      <c r="M1030" s="103" t="str">
        <f t="shared" si="83"/>
        <v>http://oconnordata.com/mlink/modules/profile/index.cfm?action=profile&amp;prop_id=1171</v>
      </c>
      <c r="N1030" s="1" t="str">
        <f t="shared" si="84"/>
        <v>01171</v>
      </c>
    </row>
    <row r="1031" spans="1:14" x14ac:dyDescent="0.3">
      <c r="A1031" s="1">
        <v>1172</v>
      </c>
      <c r="B1031" s="7" t="s">
        <v>855</v>
      </c>
      <c r="C1031" s="12">
        <v>5050</v>
      </c>
      <c r="D1031" s="7" t="s">
        <v>1561</v>
      </c>
      <c r="E1031" s="13" t="s">
        <v>842</v>
      </c>
      <c r="F1031" t="str">
        <f t="shared" si="80"/>
        <v>Fredericksburg</v>
      </c>
      <c r="G1031" t="str">
        <f t="shared" si="81"/>
        <v>Fredericksburg5050San Antonio</v>
      </c>
      <c r="H1031" t="s">
        <v>31889</v>
      </c>
      <c r="I1031" t="s">
        <v>23319</v>
      </c>
      <c r="J1031" t="str">
        <f t="shared" si="82"/>
        <v>E:\PropInv\MF</v>
      </c>
      <c r="K1031" s="103" t="str">
        <f>HYPERLINK("E:\PropInv\MF\San Antonio\Fredericksburg Rd_5050_Warren Inn Village_San Antonio_01172","Fredericksburg Rd_5050_Warren Inn Village_San Antonio_01172" )</f>
        <v>Fredericksburg Rd_5050_Warren Inn Village_San Antonio_01172</v>
      </c>
      <c r="L1031" s="104" t="s">
        <v>22253</v>
      </c>
      <c r="M1031" s="103" t="str">
        <f t="shared" si="83"/>
        <v>http://oconnordata.com/mlink/modules/profile/index.cfm?action=profile&amp;prop_id=1172</v>
      </c>
      <c r="N1031" s="1" t="str">
        <f t="shared" si="84"/>
        <v>01172</v>
      </c>
    </row>
    <row r="1032" spans="1:14" x14ac:dyDescent="0.3">
      <c r="A1032" s="1">
        <v>1173</v>
      </c>
      <c r="B1032" s="7" t="s">
        <v>1562</v>
      </c>
      <c r="C1032" s="12">
        <v>10800</v>
      </c>
      <c r="D1032" s="7" t="s">
        <v>1563</v>
      </c>
      <c r="E1032" s="13" t="s">
        <v>842</v>
      </c>
      <c r="F1032" t="str">
        <f t="shared" si="80"/>
        <v>151</v>
      </c>
      <c r="G1032" t="str">
        <f t="shared" si="81"/>
        <v>15110800San Antonio</v>
      </c>
      <c r="H1032" t="s">
        <v>31890</v>
      </c>
      <c r="I1032" t="s">
        <v>23320</v>
      </c>
      <c r="J1032" t="str">
        <f t="shared" si="82"/>
        <v>E:\PropInv\MF</v>
      </c>
      <c r="K1032" s="103" t="str">
        <f>HYPERLINK("E:\PropInv\MF\San Antonio\151 Hwy_10800_TaraVista_San Antonio_01173","151 Hwy_10800_TaraVista_San Antonio_01173" )</f>
        <v>151 Hwy_10800_TaraVista_San Antonio_01173</v>
      </c>
      <c r="L1032" s="104" t="s">
        <v>22253</v>
      </c>
      <c r="M1032" s="103" t="str">
        <f t="shared" si="83"/>
        <v>http://oconnordata.com/mlink/modules/profile/index.cfm?action=profile&amp;prop_id=1173</v>
      </c>
      <c r="N1032" s="1" t="str">
        <f t="shared" si="84"/>
        <v>01173</v>
      </c>
    </row>
    <row r="1033" spans="1:14" x14ac:dyDescent="0.3">
      <c r="A1033" s="1">
        <v>1174</v>
      </c>
      <c r="B1033" s="7" t="s">
        <v>1564</v>
      </c>
      <c r="C1033" s="12">
        <v>2293</v>
      </c>
      <c r="D1033" s="7" t="s">
        <v>1565</v>
      </c>
      <c r="E1033" s="13" t="s">
        <v>912</v>
      </c>
      <c r="F1033" t="str">
        <f t="shared" si="80"/>
        <v>Common</v>
      </c>
      <c r="G1033" t="str">
        <f t="shared" si="81"/>
        <v>Common2293New Braunfels</v>
      </c>
      <c r="H1033" t="s">
        <v>31891</v>
      </c>
      <c r="I1033" t="s">
        <v>23321</v>
      </c>
      <c r="J1033" t="str">
        <f t="shared" si="82"/>
        <v>E:\PropInv\MF</v>
      </c>
      <c r="K1033" s="103" t="str">
        <f>HYPERLINK("E:\PropInv\MF\New Braunfels\Common St_2293_The Augusta at Gruene_New Braunfels_01174","Common St_2293_The Augusta at Gruene_New Braunfels_01174" )</f>
        <v>Common St_2293_The Augusta at Gruene_New Braunfels_01174</v>
      </c>
      <c r="L1033" s="104" t="s">
        <v>22253</v>
      </c>
      <c r="M1033" s="103" t="str">
        <f t="shared" si="83"/>
        <v>http://oconnordata.com/mlink/modules/profile/index.cfm?action=profile&amp;prop_id=1174</v>
      </c>
      <c r="N1033" s="1" t="str">
        <f t="shared" si="84"/>
        <v>01174</v>
      </c>
    </row>
    <row r="1034" spans="1:14" x14ac:dyDescent="0.3">
      <c r="A1034" s="1">
        <v>1175</v>
      </c>
      <c r="B1034" s="7" t="s">
        <v>867</v>
      </c>
      <c r="C1034" s="12">
        <v>17635</v>
      </c>
      <c r="D1034" s="7" t="s">
        <v>1566</v>
      </c>
      <c r="E1034" s="13" t="s">
        <v>842</v>
      </c>
      <c r="F1034" t="str">
        <f t="shared" si="80"/>
        <v>Henderson</v>
      </c>
      <c r="G1034" t="str">
        <f t="shared" si="81"/>
        <v>Henderson17635San Antonio</v>
      </c>
      <c r="H1034" t="s">
        <v>31892</v>
      </c>
      <c r="I1034" t="s">
        <v>23322</v>
      </c>
      <c r="J1034" t="str">
        <f t="shared" si="82"/>
        <v>E:\PropInv\MF</v>
      </c>
      <c r="K1034" s="103" t="str">
        <f>HYPERLINK("E:\PropInv\MF\San Antonio\Henderson Pass_17635_Estates of Northwoods_San Antonio_01175","Henderson Pass_17635_Estates of Northwoods_San Antonio_01175" )</f>
        <v>Henderson Pass_17635_Estates of Northwoods_San Antonio_01175</v>
      </c>
      <c r="L1034" s="104" t="s">
        <v>22253</v>
      </c>
      <c r="M1034" s="103" t="str">
        <f t="shared" si="83"/>
        <v>http://oconnordata.com/mlink/modules/profile/index.cfm?action=profile&amp;prop_id=1175</v>
      </c>
      <c r="N1034" s="1" t="str">
        <f t="shared" si="84"/>
        <v>01175</v>
      </c>
    </row>
    <row r="1035" spans="1:14" x14ac:dyDescent="0.3">
      <c r="A1035" s="1">
        <v>1176</v>
      </c>
      <c r="B1035" s="7" t="s">
        <v>1567</v>
      </c>
      <c r="C1035" s="12">
        <v>107</v>
      </c>
      <c r="D1035" s="7" t="s">
        <v>794</v>
      </c>
      <c r="E1035" s="13" t="s">
        <v>842</v>
      </c>
      <c r="F1035" t="str">
        <f t="shared" si="80"/>
        <v>Talavera</v>
      </c>
      <c r="G1035" t="str">
        <f t="shared" si="81"/>
        <v>Talavera107San Antonio</v>
      </c>
      <c r="H1035" t="s">
        <v>31893</v>
      </c>
      <c r="I1035" t="s">
        <v>23323</v>
      </c>
      <c r="J1035" t="str">
        <f t="shared" si="82"/>
        <v>E:\PropInv\MF</v>
      </c>
      <c r="K1035" s="103" t="str">
        <f>HYPERLINK("E:\PropInv\MF\San Antonio\Talavera Pkwy_107_Talavera_San Antonio_01176","Talavera Pkwy_107_Talavera_San Antonio_01176" )</f>
        <v>Talavera Pkwy_107_Talavera_San Antonio_01176</v>
      </c>
      <c r="L1035" s="104" t="s">
        <v>22253</v>
      </c>
      <c r="M1035" s="103" t="str">
        <f t="shared" si="83"/>
        <v>http://oconnordata.com/mlink/modules/profile/index.cfm?action=profile&amp;prop_id=1176</v>
      </c>
      <c r="N1035" s="1" t="str">
        <f t="shared" si="84"/>
        <v>01176</v>
      </c>
    </row>
    <row r="1036" spans="1:14" x14ac:dyDescent="0.3">
      <c r="A1036" s="1">
        <v>1177</v>
      </c>
      <c r="B1036" s="7" t="s">
        <v>1568</v>
      </c>
      <c r="C1036" s="12">
        <v>12727</v>
      </c>
      <c r="D1036" s="7" t="s">
        <v>1569</v>
      </c>
      <c r="E1036" s="13" t="s">
        <v>842</v>
      </c>
      <c r="F1036" t="str">
        <f t="shared" si="80"/>
        <v>Vista</v>
      </c>
      <c r="G1036" t="str">
        <f t="shared" si="81"/>
        <v>Vista12727San Antonio</v>
      </c>
      <c r="H1036" t="s">
        <v>31894</v>
      </c>
      <c r="I1036" t="s">
        <v>23324</v>
      </c>
      <c r="J1036" t="str">
        <f t="shared" si="82"/>
        <v>E:\PropInv\MF</v>
      </c>
      <c r="K1036" s="103" t="str">
        <f>HYPERLINK("E:\PropInv\MF\San Antonio\Vista del Norte_12727_Salado Springs_San Antonio_01177","Vista del Norte_12727_Salado Springs_San Antonio_01177" )</f>
        <v>Vista del Norte_12727_Salado Springs_San Antonio_01177</v>
      </c>
      <c r="L1036" s="104" t="s">
        <v>22253</v>
      </c>
      <c r="M1036" s="103" t="str">
        <f t="shared" si="83"/>
        <v>http://oconnordata.com/mlink/modules/profile/index.cfm?action=profile&amp;prop_id=1177</v>
      </c>
      <c r="N1036" s="1" t="str">
        <f t="shared" si="84"/>
        <v>01177</v>
      </c>
    </row>
    <row r="1037" spans="1:14" x14ac:dyDescent="0.3">
      <c r="A1037" s="1">
        <v>1178</v>
      </c>
      <c r="B1037" s="7" t="s">
        <v>1000</v>
      </c>
      <c r="C1037" s="12">
        <v>3800</v>
      </c>
      <c r="D1037" s="7" t="s">
        <v>1570</v>
      </c>
      <c r="E1037" s="13" t="s">
        <v>842</v>
      </c>
      <c r="F1037" t="str">
        <f t="shared" si="80"/>
        <v>Perrin</v>
      </c>
      <c r="G1037" t="str">
        <f t="shared" si="81"/>
        <v>Perrin3800San Antonio</v>
      </c>
      <c r="H1037" t="s">
        <v>31895</v>
      </c>
      <c r="I1037" t="s">
        <v>23325</v>
      </c>
      <c r="J1037" t="str">
        <f t="shared" si="82"/>
        <v>E:\PropInv\MF</v>
      </c>
      <c r="K1037" s="103" t="str">
        <f>HYPERLINK("E:\PropInv\MF\San Antonio\Perrin Central_3800_The Newport_San Antonio_01178","Perrin Central_3800_The Newport_San Antonio_01178" )</f>
        <v>Perrin Central_3800_The Newport_San Antonio_01178</v>
      </c>
      <c r="L1037" s="104" t="s">
        <v>22253</v>
      </c>
      <c r="M1037" s="103" t="str">
        <f t="shared" si="83"/>
        <v>http://oconnordata.com/mlink/modules/profile/index.cfm?action=profile&amp;prop_id=1178</v>
      </c>
      <c r="N1037" s="1" t="str">
        <f t="shared" si="84"/>
        <v>01178</v>
      </c>
    </row>
    <row r="1038" spans="1:14" x14ac:dyDescent="0.3">
      <c r="A1038" s="1">
        <v>1179</v>
      </c>
      <c r="B1038" s="7" t="s">
        <v>1571</v>
      </c>
      <c r="C1038" s="12">
        <v>9032</v>
      </c>
      <c r="D1038" s="7" t="s">
        <v>1572</v>
      </c>
      <c r="E1038" s="13" t="s">
        <v>842</v>
      </c>
      <c r="F1038" t="str">
        <f t="shared" si="80"/>
        <v>Dugas</v>
      </c>
      <c r="G1038" t="str">
        <f t="shared" si="81"/>
        <v>Dugas9032San Antonio</v>
      </c>
      <c r="H1038" t="s">
        <v>31896</v>
      </c>
      <c r="I1038" t="s">
        <v>23326</v>
      </c>
      <c r="J1038" t="str">
        <f t="shared" si="82"/>
        <v>E:\PropInv\MF</v>
      </c>
      <c r="K1038" s="103" t="str">
        <f>HYPERLINK("E:\PropInv\MF\San Antonio\Dugas Rd_9032_Hill Country Villas_San Antonio_01179","Dugas Rd_9032_Hill Country Villas_San Antonio_01179" )</f>
        <v>Dugas Rd_9032_Hill Country Villas_San Antonio_01179</v>
      </c>
      <c r="L1038" s="104" t="s">
        <v>22253</v>
      </c>
      <c r="M1038" s="103" t="str">
        <f t="shared" si="83"/>
        <v>http://oconnordata.com/mlink/modules/profile/index.cfm?action=profile&amp;prop_id=1179</v>
      </c>
      <c r="N1038" s="1" t="str">
        <f t="shared" si="84"/>
        <v>01179</v>
      </c>
    </row>
    <row r="1039" spans="1:14" x14ac:dyDescent="0.3">
      <c r="A1039" s="1">
        <v>1180</v>
      </c>
      <c r="B1039" s="7" t="s">
        <v>1573</v>
      </c>
      <c r="C1039" s="12">
        <v>2601</v>
      </c>
      <c r="D1039" s="7" t="s">
        <v>1574</v>
      </c>
      <c r="E1039" s="13" t="s">
        <v>842</v>
      </c>
      <c r="F1039" t="str">
        <f t="shared" si="80"/>
        <v>Westward</v>
      </c>
      <c r="G1039" t="str">
        <f t="shared" si="81"/>
        <v>Westward2601San Antonio</v>
      </c>
      <c r="H1039" t="s">
        <v>31897</v>
      </c>
      <c r="I1039" t="s">
        <v>23327</v>
      </c>
      <c r="J1039" t="str">
        <f t="shared" si="82"/>
        <v>E:\PropInv\MF</v>
      </c>
      <c r="K1039" s="103" t="str">
        <f>HYPERLINK("E:\PropInv\MF\San Antonio\Westward Dr_2601_Westwood Plaza_San Antonio_01180","Westward Dr_2601_Westwood Plaza_San Antonio_01180" )</f>
        <v>Westward Dr_2601_Westwood Plaza_San Antonio_01180</v>
      </c>
      <c r="L1039" s="104" t="s">
        <v>22253</v>
      </c>
      <c r="M1039" s="103" t="str">
        <f t="shared" si="83"/>
        <v>http://oconnordata.com/mlink/modules/profile/index.cfm?action=profile&amp;prop_id=1180</v>
      </c>
      <c r="N1039" s="1" t="str">
        <f t="shared" si="84"/>
        <v>01180</v>
      </c>
    </row>
    <row r="1040" spans="1:14" x14ac:dyDescent="0.3">
      <c r="A1040" s="1">
        <v>1183</v>
      </c>
      <c r="B1040" s="7" t="s">
        <v>1575</v>
      </c>
      <c r="C1040" s="12">
        <v>7935</v>
      </c>
      <c r="D1040" s="7" t="s">
        <v>1576</v>
      </c>
      <c r="E1040" s="13" t="s">
        <v>842</v>
      </c>
      <c r="F1040" t="str">
        <f t="shared" si="80"/>
        <v>Piper's</v>
      </c>
      <c r="G1040" t="str">
        <f t="shared" si="81"/>
        <v>Piper's7935San Antonio</v>
      </c>
      <c r="H1040" t="s">
        <v>31898</v>
      </c>
      <c r="I1040" t="s">
        <v>23328</v>
      </c>
      <c r="J1040" t="str">
        <f t="shared" si="82"/>
        <v>E:\PropInv\MF</v>
      </c>
      <c r="K1040" s="103" t="str">
        <f>HYPERLINK("E:\PropInv\MF\San Antonio\Piper's Creek_7935_Three Fountains_San Antonio_01183","Piper's Creek_7935_Three Fountains_San Antonio_01183" )</f>
        <v>Piper's Creek_7935_Three Fountains_San Antonio_01183</v>
      </c>
      <c r="L1040" s="104" t="s">
        <v>22253</v>
      </c>
      <c r="M1040" s="103" t="str">
        <f t="shared" si="83"/>
        <v>http://oconnordata.com/mlink/modules/profile/index.cfm?action=profile&amp;prop_id=1183</v>
      </c>
      <c r="N1040" s="1" t="str">
        <f t="shared" si="84"/>
        <v>01183</v>
      </c>
    </row>
    <row r="1041" spans="1:14" x14ac:dyDescent="0.3">
      <c r="A1041" s="1">
        <v>1185</v>
      </c>
      <c r="B1041" s="7" t="s">
        <v>1577</v>
      </c>
      <c r="C1041" s="12">
        <v>317</v>
      </c>
      <c r="D1041" s="7" t="s">
        <v>1578</v>
      </c>
      <c r="E1041" s="13" t="s">
        <v>842</v>
      </c>
      <c r="F1041" t="str">
        <f t="shared" si="80"/>
        <v>Lexington</v>
      </c>
      <c r="G1041" t="str">
        <f t="shared" si="81"/>
        <v>Lexington317San Antonio</v>
      </c>
      <c r="H1041" t="s">
        <v>31899</v>
      </c>
      <c r="I1041" t="s">
        <v>23329</v>
      </c>
      <c r="J1041" t="str">
        <f t="shared" si="82"/>
        <v>E:\PropInv\MF</v>
      </c>
      <c r="K1041" s="103" t="str">
        <f>HYPERLINK("E:\PropInv\MF\San Antonio\Lexington Ave_317_Cadillac Lofts_San Antonio_01185","Lexington Ave_317_Cadillac Lofts_San Antonio_01185" )</f>
        <v>Lexington Ave_317_Cadillac Lofts_San Antonio_01185</v>
      </c>
      <c r="L1041" s="104" t="s">
        <v>22253</v>
      </c>
      <c r="M1041" s="103" t="str">
        <f t="shared" si="83"/>
        <v>http://oconnordata.com/mlink/modules/profile/index.cfm?action=profile&amp;prop_id=1185</v>
      </c>
      <c r="N1041" s="1" t="str">
        <f t="shared" si="84"/>
        <v>01185</v>
      </c>
    </row>
    <row r="1042" spans="1:14" x14ac:dyDescent="0.3">
      <c r="A1042" s="1">
        <v>1186</v>
      </c>
      <c r="B1042" s="7" t="s">
        <v>1579</v>
      </c>
      <c r="C1042" s="12">
        <v>16505</v>
      </c>
      <c r="D1042" s="7" t="s">
        <v>1580</v>
      </c>
      <c r="E1042" s="13" t="s">
        <v>842</v>
      </c>
      <c r="F1042" t="str">
        <f t="shared" si="80"/>
        <v>La</v>
      </c>
      <c r="G1042" t="str">
        <f t="shared" si="81"/>
        <v>La16505San Antonio</v>
      </c>
      <c r="H1042" t="s">
        <v>31900</v>
      </c>
      <c r="I1042" t="s">
        <v>23330</v>
      </c>
      <c r="J1042" t="str">
        <f t="shared" si="82"/>
        <v>E:\PropInv\MF</v>
      </c>
      <c r="K1042" s="103" t="str">
        <f>HYPERLINK("E:\PropInv\MF\San Antonio\La Cantera Pkwy_16505_Mira Vista at La Cantera_San Antonio_01186","La Cantera Pkwy_16505_Mira Vista at La Cantera_San Antonio_01186" )</f>
        <v>La Cantera Pkwy_16505_Mira Vista at La Cantera_San Antonio_01186</v>
      </c>
      <c r="L1042" s="104" t="s">
        <v>22253</v>
      </c>
      <c r="M1042" s="103" t="str">
        <f t="shared" si="83"/>
        <v>http://oconnordata.com/mlink/modules/profile/index.cfm?action=profile&amp;prop_id=1186</v>
      </c>
      <c r="N1042" s="1" t="str">
        <f t="shared" si="84"/>
        <v>01186</v>
      </c>
    </row>
    <row r="1043" spans="1:14" x14ac:dyDescent="0.3">
      <c r="A1043" s="1">
        <v>1190</v>
      </c>
      <c r="B1043" s="7" t="s">
        <v>919</v>
      </c>
      <c r="C1043" s="12">
        <v>214</v>
      </c>
      <c r="D1043" s="7" t="s">
        <v>1581</v>
      </c>
      <c r="E1043" s="13" t="s">
        <v>842</v>
      </c>
      <c r="F1043" t="str">
        <f t="shared" si="80"/>
        <v>Broadway</v>
      </c>
      <c r="G1043" t="str">
        <f t="shared" si="81"/>
        <v>Broadway214San Antonio</v>
      </c>
      <c r="H1043" t="s">
        <v>31901</v>
      </c>
      <c r="I1043" t="s">
        <v>23331</v>
      </c>
      <c r="J1043" t="str">
        <f t="shared" si="82"/>
        <v>E:\PropInv\MF</v>
      </c>
      <c r="K1043" s="103" t="str">
        <f>HYPERLINK("E:\PropInv\MF\San Antonio\Broadway_214_Calcasieu_San Antonio_01190","Broadway_214_Calcasieu_San Antonio_01190" )</f>
        <v>Broadway_214_Calcasieu_San Antonio_01190</v>
      </c>
      <c r="L1043" s="104" t="s">
        <v>22253</v>
      </c>
      <c r="M1043" s="103" t="str">
        <f t="shared" si="83"/>
        <v>http://oconnordata.com/mlink/modules/profile/index.cfm?action=profile&amp;prop_id=1190</v>
      </c>
      <c r="N1043" s="1" t="str">
        <f t="shared" si="84"/>
        <v>01190</v>
      </c>
    </row>
    <row r="1044" spans="1:14" x14ac:dyDescent="0.3">
      <c r="A1044" s="1">
        <v>1191</v>
      </c>
      <c r="B1044" s="7" t="s">
        <v>1582</v>
      </c>
      <c r="C1044" s="12">
        <v>606</v>
      </c>
      <c r="D1044" s="7" t="s">
        <v>1583</v>
      </c>
      <c r="E1044" s="13" t="s">
        <v>842</v>
      </c>
      <c r="F1044" t="str">
        <f t="shared" si="80"/>
        <v>Presa</v>
      </c>
      <c r="G1044" t="str">
        <f t="shared" si="81"/>
        <v>Presa606San Antonio</v>
      </c>
      <c r="H1044" t="s">
        <v>31902</v>
      </c>
      <c r="I1044" t="s">
        <v>23332</v>
      </c>
      <c r="J1044" t="str">
        <f t="shared" si="82"/>
        <v>E:\PropInv\MF</v>
      </c>
      <c r="K1044" s="103" t="str">
        <f>HYPERLINK("E:\PropInv\MF\San Antonio\Presa N_606_Maverick Apts_San Antonio_01191","Presa N_606_Maverick Apts_San Antonio_01191" )</f>
        <v>Presa N_606_Maverick Apts_San Antonio_01191</v>
      </c>
      <c r="L1044" s="104" t="s">
        <v>22253</v>
      </c>
      <c r="M1044" s="103" t="str">
        <f t="shared" si="83"/>
        <v>http://oconnordata.com/mlink/modules/profile/index.cfm?action=profile&amp;prop_id=1191</v>
      </c>
      <c r="N1044" s="1" t="str">
        <f t="shared" si="84"/>
        <v>01191</v>
      </c>
    </row>
    <row r="1045" spans="1:14" x14ac:dyDescent="0.3">
      <c r="A1045" s="1">
        <v>1192</v>
      </c>
      <c r="B1045" s="7" t="s">
        <v>144</v>
      </c>
      <c r="C1045" s="12">
        <v>770</v>
      </c>
      <c r="D1045" s="7" t="s">
        <v>1584</v>
      </c>
      <c r="E1045" s="13" t="s">
        <v>912</v>
      </c>
      <c r="F1045" t="str">
        <f t="shared" si="80"/>
        <v>35</v>
      </c>
      <c r="G1045" t="str">
        <f t="shared" si="81"/>
        <v>35770New Braunfels</v>
      </c>
      <c r="H1045" t="s">
        <v>31903</v>
      </c>
      <c r="I1045" t="s">
        <v>23333</v>
      </c>
      <c r="J1045" t="str">
        <f t="shared" si="82"/>
        <v>E:\PropInv\MF</v>
      </c>
      <c r="K1045" s="103" t="str">
        <f>HYPERLINK("E:\PropInv\MF\New Braunfels\35 IH N_770_WestShore Colony_New Braunfels_01192","35 IH N_770_WestShore Colony_New Braunfels_01192" )</f>
        <v>35 IH N_770_WestShore Colony_New Braunfels_01192</v>
      </c>
      <c r="L1045" s="104" t="s">
        <v>22253</v>
      </c>
      <c r="M1045" s="103" t="str">
        <f t="shared" si="83"/>
        <v>http://oconnordata.com/mlink/modules/profile/index.cfm?action=profile&amp;prop_id=1192</v>
      </c>
      <c r="N1045" s="1" t="str">
        <f t="shared" si="84"/>
        <v>01192</v>
      </c>
    </row>
    <row r="1046" spans="1:14" x14ac:dyDescent="0.3">
      <c r="A1046" s="1">
        <v>1195</v>
      </c>
      <c r="B1046" s="7" t="s">
        <v>855</v>
      </c>
      <c r="C1046" s="12">
        <v>9835</v>
      </c>
      <c r="D1046" s="7" t="s">
        <v>1585</v>
      </c>
      <c r="E1046" s="13" t="s">
        <v>842</v>
      </c>
      <c r="F1046" t="str">
        <f t="shared" si="80"/>
        <v>Fredericksburg</v>
      </c>
      <c r="G1046" t="str">
        <f t="shared" si="81"/>
        <v>Fredericksburg9835San Antonio</v>
      </c>
      <c r="H1046" t="s">
        <v>31904</v>
      </c>
      <c r="I1046" t="s">
        <v>23334</v>
      </c>
      <c r="J1046" t="str">
        <f t="shared" si="82"/>
        <v>E:\PropInv\MF</v>
      </c>
      <c r="K1046" s="103" t="str">
        <f>HYPERLINK("E:\PropInv\MF\San Antonio\Fredericksburg Rd_9835_Dominion Park_San Antonio_01195","Fredericksburg Rd_9835_Dominion Park_San Antonio_01195" )</f>
        <v>Fredericksburg Rd_9835_Dominion Park_San Antonio_01195</v>
      </c>
      <c r="L1046" s="104" t="s">
        <v>22253</v>
      </c>
      <c r="M1046" s="103" t="str">
        <f t="shared" si="83"/>
        <v>http://oconnordata.com/mlink/modules/profile/index.cfm?action=profile&amp;prop_id=1195</v>
      </c>
      <c r="N1046" s="1" t="str">
        <f t="shared" si="84"/>
        <v>01195</v>
      </c>
    </row>
    <row r="1047" spans="1:14" x14ac:dyDescent="0.3">
      <c r="A1047" s="1">
        <v>1196</v>
      </c>
      <c r="B1047" s="7" t="s">
        <v>1586</v>
      </c>
      <c r="C1047" s="12">
        <v>1401</v>
      </c>
      <c r="D1047" s="7" t="s">
        <v>1587</v>
      </c>
      <c r="E1047" s="13" t="s">
        <v>1399</v>
      </c>
      <c r="F1047" t="str">
        <f t="shared" si="80"/>
        <v>Schertz</v>
      </c>
      <c r="G1047" t="str">
        <f t="shared" si="81"/>
        <v>Schertz1401Schertz</v>
      </c>
      <c r="H1047" t="s">
        <v>31905</v>
      </c>
      <c r="I1047" t="s">
        <v>23335</v>
      </c>
      <c r="J1047" t="str">
        <f t="shared" si="82"/>
        <v>E:\PropInv\MF</v>
      </c>
      <c r="K1047" s="103" t="str">
        <f>HYPERLINK("E:\PropInv\MF\Schertz\Schertz Pkwy_1401_Val Verde_Schertz_01196","Schertz Pkwy_1401_Val Verde_Schertz_01196" )</f>
        <v>Schertz Pkwy_1401_Val Verde_Schertz_01196</v>
      </c>
      <c r="L1047" s="104" t="s">
        <v>22253</v>
      </c>
      <c r="M1047" s="103" t="str">
        <f t="shared" si="83"/>
        <v>http://oconnordata.com/mlink/modules/profile/index.cfm?action=profile&amp;prop_id=1196</v>
      </c>
      <c r="N1047" s="1" t="str">
        <f t="shared" si="84"/>
        <v>01196</v>
      </c>
    </row>
    <row r="1048" spans="1:14" x14ac:dyDescent="0.3">
      <c r="A1048" s="1">
        <v>1197</v>
      </c>
      <c r="B1048" s="7" t="s">
        <v>1588</v>
      </c>
      <c r="C1048" s="12">
        <v>5655</v>
      </c>
      <c r="D1048" s="7" t="s">
        <v>1589</v>
      </c>
      <c r="E1048" s="13" t="s">
        <v>842</v>
      </c>
      <c r="F1048" t="str">
        <f t="shared" si="80"/>
        <v>UTSA</v>
      </c>
      <c r="G1048" t="str">
        <f t="shared" si="81"/>
        <v>UTSA5655San Antonio</v>
      </c>
      <c r="H1048" t="s">
        <v>31906</v>
      </c>
      <c r="I1048" t="s">
        <v>23336</v>
      </c>
      <c r="J1048" t="str">
        <f t="shared" si="82"/>
        <v>E:\PropInv\MF</v>
      </c>
      <c r="K1048" s="103" t="str">
        <f>HYPERLINK("E:\PropInv\MF\San Antonio\UTSA Blvd_5655_The Highlands_San Antonio_01197","UTSA Blvd_5655_The Highlands_San Antonio_01197" )</f>
        <v>UTSA Blvd_5655_The Highlands_San Antonio_01197</v>
      </c>
      <c r="L1048" s="104" t="s">
        <v>22253</v>
      </c>
      <c r="M1048" s="103" t="str">
        <f t="shared" si="83"/>
        <v>http://oconnordata.com/mlink/modules/profile/index.cfm?action=profile&amp;prop_id=1197</v>
      </c>
      <c r="N1048" s="1" t="str">
        <f t="shared" si="84"/>
        <v>01197</v>
      </c>
    </row>
    <row r="1049" spans="1:14" x14ac:dyDescent="0.3">
      <c r="A1049" s="1">
        <v>1198</v>
      </c>
      <c r="B1049" s="7" t="s">
        <v>1219</v>
      </c>
      <c r="C1049" s="12">
        <v>5711</v>
      </c>
      <c r="D1049" s="7" t="s">
        <v>1590</v>
      </c>
      <c r="E1049" s="13" t="s">
        <v>842</v>
      </c>
      <c r="F1049" t="str">
        <f t="shared" si="80"/>
        <v>Knoll</v>
      </c>
      <c r="G1049" t="str">
        <f t="shared" si="81"/>
        <v>Knoll5711San Antonio</v>
      </c>
      <c r="H1049" t="s">
        <v>31907</v>
      </c>
      <c r="I1049" t="s">
        <v>23337</v>
      </c>
      <c r="J1049" t="str">
        <f t="shared" si="82"/>
        <v>E:\PropInv\MF</v>
      </c>
      <c r="K1049" s="103" t="str">
        <f>HYPERLINK("E:\PropInv\MF\San Antonio\Knoll N_5711_Saddle Ridge_San Antonio_01198","Knoll N_5711_Saddle Ridge_San Antonio_01198" )</f>
        <v>Knoll N_5711_Saddle Ridge_San Antonio_01198</v>
      </c>
      <c r="L1049" s="104" t="s">
        <v>22253</v>
      </c>
      <c r="M1049" s="103" t="str">
        <f t="shared" si="83"/>
        <v>http://oconnordata.com/mlink/modules/profile/index.cfm?action=profile&amp;prop_id=1198</v>
      </c>
      <c r="N1049" s="1" t="str">
        <f t="shared" si="84"/>
        <v>01198</v>
      </c>
    </row>
    <row r="1050" spans="1:14" x14ac:dyDescent="0.3">
      <c r="A1050" s="1">
        <v>1199</v>
      </c>
      <c r="B1050" s="7" t="s">
        <v>1591</v>
      </c>
      <c r="C1050" s="12">
        <v>2727</v>
      </c>
      <c r="D1050" s="7" t="s">
        <v>1592</v>
      </c>
      <c r="E1050" s="13" t="s">
        <v>842</v>
      </c>
      <c r="F1050" t="str">
        <f t="shared" si="80"/>
        <v>Treble</v>
      </c>
      <c r="G1050" t="str">
        <f t="shared" si="81"/>
        <v>Treble2727San Antonio</v>
      </c>
      <c r="H1050" t="s">
        <v>31908</v>
      </c>
      <c r="I1050" t="s">
        <v>23338</v>
      </c>
      <c r="J1050" t="str">
        <f t="shared" si="82"/>
        <v>E:\PropInv\MF</v>
      </c>
      <c r="K1050" s="103" t="str">
        <f>HYPERLINK("E:\PropInv\MF\San Antonio\Treble Creek_2727_Marquis at Rogers Ranch_San Antonio_01199","Treble Creek_2727_Marquis at Rogers Ranch_San Antonio_01199" )</f>
        <v>Treble Creek_2727_Marquis at Rogers Ranch_San Antonio_01199</v>
      </c>
      <c r="L1050" s="104" t="s">
        <v>22253</v>
      </c>
      <c r="M1050" s="103" t="str">
        <f t="shared" si="83"/>
        <v>http://oconnordata.com/mlink/modules/profile/index.cfm?action=profile&amp;prop_id=1199</v>
      </c>
      <c r="N1050" s="1" t="str">
        <f t="shared" si="84"/>
        <v>01199</v>
      </c>
    </row>
    <row r="1051" spans="1:14" x14ac:dyDescent="0.3">
      <c r="A1051" s="1">
        <v>1203</v>
      </c>
      <c r="B1051" s="7" t="s">
        <v>1493</v>
      </c>
      <c r="C1051" s="12">
        <v>3838</v>
      </c>
      <c r="D1051" s="7" t="s">
        <v>1593</v>
      </c>
      <c r="E1051" s="13" t="s">
        <v>842</v>
      </c>
      <c r="F1051" t="str">
        <f t="shared" si="80"/>
        <v>Lockhill</v>
      </c>
      <c r="G1051" t="str">
        <f t="shared" si="81"/>
        <v>Lockhill3838San Antonio</v>
      </c>
      <c r="H1051" t="s">
        <v>31909</v>
      </c>
      <c r="I1051" t="s">
        <v>23339</v>
      </c>
      <c r="J1051" t="str">
        <f t="shared" si="82"/>
        <v>E:\PropInv\MF</v>
      </c>
      <c r="K1051" s="103" t="str">
        <f>HYPERLINK("E:\PropInv\MF\San Antonio\Lockhill Selma_3838_The Lodge at Shavano Park_San Antonio_01203","Lockhill Selma_3838_The Lodge at Shavano Park_San Antonio_01203" )</f>
        <v>Lockhill Selma_3838_The Lodge at Shavano Park_San Antonio_01203</v>
      </c>
      <c r="L1051" s="104" t="s">
        <v>22253</v>
      </c>
      <c r="M1051" s="103" t="str">
        <f t="shared" si="83"/>
        <v>http://oconnordata.com/mlink/modules/profile/index.cfm?action=profile&amp;prop_id=1203</v>
      </c>
      <c r="N1051" s="1" t="str">
        <f t="shared" si="84"/>
        <v>01203</v>
      </c>
    </row>
    <row r="1052" spans="1:14" x14ac:dyDescent="0.3">
      <c r="A1052" s="1">
        <v>1205</v>
      </c>
      <c r="B1052" s="7" t="s">
        <v>1493</v>
      </c>
      <c r="C1052" s="12">
        <v>1835</v>
      </c>
      <c r="D1052" s="7" t="s">
        <v>1594</v>
      </c>
      <c r="E1052" s="13" t="s">
        <v>842</v>
      </c>
      <c r="F1052" t="str">
        <f t="shared" si="80"/>
        <v>Lockhill</v>
      </c>
      <c r="G1052" t="str">
        <f t="shared" si="81"/>
        <v>Lockhill1835San Antonio</v>
      </c>
      <c r="H1052" t="s">
        <v>31910</v>
      </c>
      <c r="I1052" t="s">
        <v>23340</v>
      </c>
      <c r="J1052" t="str">
        <f t="shared" si="82"/>
        <v>E:\PropInv\MF</v>
      </c>
      <c r="K1052" s="103" t="str">
        <f>HYPERLINK("E:\PropInv\MF\San Antonio\Lockhill Selma_1835_The Manor at Castle Hills_San Antonio_01205","Lockhill Selma_1835_The Manor at Castle Hills_San Antonio_01205" )</f>
        <v>Lockhill Selma_1835_The Manor at Castle Hills_San Antonio_01205</v>
      </c>
      <c r="L1052" s="104" t="s">
        <v>22253</v>
      </c>
      <c r="M1052" s="103" t="str">
        <f t="shared" si="83"/>
        <v>http://oconnordata.com/mlink/modules/profile/index.cfm?action=profile&amp;prop_id=1205</v>
      </c>
      <c r="N1052" s="1" t="str">
        <f t="shared" si="84"/>
        <v>01205</v>
      </c>
    </row>
    <row r="1053" spans="1:14" x14ac:dyDescent="0.3">
      <c r="A1053" s="1">
        <v>1206</v>
      </c>
      <c r="B1053" s="7" t="s">
        <v>1595</v>
      </c>
      <c r="C1053" s="12">
        <v>125</v>
      </c>
      <c r="D1053" s="7" t="s">
        <v>1596</v>
      </c>
      <c r="E1053" s="13" t="s">
        <v>990</v>
      </c>
      <c r="F1053" t="str">
        <f t="shared" si="80"/>
        <v>Crosspoint</v>
      </c>
      <c r="G1053" t="str">
        <f t="shared" si="81"/>
        <v>Crosspoint125Boerne</v>
      </c>
      <c r="H1053" t="s">
        <v>31911</v>
      </c>
      <c r="I1053" t="s">
        <v>23341</v>
      </c>
      <c r="J1053" t="str">
        <f t="shared" si="82"/>
        <v>E:\PropInv\MF</v>
      </c>
      <c r="K1053" s="103" t="str">
        <f>HYPERLINK("E:\PropInv\MF\Boerne\Crosspoint Dr_125_The Vistas_Boerne_01206","Crosspoint Dr_125_The Vistas_Boerne_01206" )</f>
        <v>Crosspoint Dr_125_The Vistas_Boerne_01206</v>
      </c>
      <c r="L1053" s="104" t="s">
        <v>22253</v>
      </c>
      <c r="M1053" s="103" t="str">
        <f t="shared" si="83"/>
        <v>http://oconnordata.com/mlink/modules/profile/index.cfm?action=profile&amp;prop_id=1206</v>
      </c>
      <c r="N1053" s="1" t="str">
        <f t="shared" si="84"/>
        <v>01206</v>
      </c>
    </row>
    <row r="1054" spans="1:14" x14ac:dyDescent="0.3">
      <c r="A1054" s="1">
        <v>1207</v>
      </c>
      <c r="B1054" s="7" t="s">
        <v>1597</v>
      </c>
      <c r="C1054" s="12">
        <v>4141</v>
      </c>
      <c r="D1054" s="7" t="s">
        <v>1598</v>
      </c>
      <c r="E1054" s="13" t="s">
        <v>842</v>
      </c>
      <c r="F1054" t="str">
        <f t="shared" si="80"/>
        <v>10</v>
      </c>
      <c r="G1054" t="str">
        <f t="shared" si="81"/>
        <v>104141San Antonio</v>
      </c>
      <c r="H1054" t="s">
        <v>31912</v>
      </c>
      <c r="I1054" t="s">
        <v>23342</v>
      </c>
      <c r="J1054" t="str">
        <f t="shared" si="82"/>
        <v>E:\PropInv\MF</v>
      </c>
      <c r="K1054" s="103" t="str">
        <f>HYPERLINK("E:\PropInv\MF\San Antonio\10 IH E_4141_Casa Pointe Villa_San Antonio_01207","10 IH E_4141_Casa Pointe Villa_San Antonio_01207" )</f>
        <v>10 IH E_4141_Casa Pointe Villa_San Antonio_01207</v>
      </c>
      <c r="L1054" s="104" t="s">
        <v>22253</v>
      </c>
      <c r="M1054" s="103" t="str">
        <f t="shared" si="83"/>
        <v>http://oconnordata.com/mlink/modules/profile/index.cfm?action=profile&amp;prop_id=1207</v>
      </c>
      <c r="N1054" s="1" t="str">
        <f t="shared" si="84"/>
        <v>01207</v>
      </c>
    </row>
    <row r="1055" spans="1:14" x14ac:dyDescent="0.3">
      <c r="A1055" s="1">
        <v>1208</v>
      </c>
      <c r="B1055" s="7" t="s">
        <v>1070</v>
      </c>
      <c r="C1055" s="12">
        <v>8100</v>
      </c>
      <c r="D1055" s="7" t="s">
        <v>1599</v>
      </c>
      <c r="E1055" s="13" t="s">
        <v>842</v>
      </c>
      <c r="F1055" t="str">
        <f t="shared" si="80"/>
        <v>Huebner</v>
      </c>
      <c r="G1055" t="str">
        <f t="shared" si="81"/>
        <v>Huebner8100San Antonio</v>
      </c>
      <c r="H1055" t="s">
        <v>31913</v>
      </c>
      <c r="I1055" t="s">
        <v>23343</v>
      </c>
      <c r="J1055" t="str">
        <f t="shared" si="82"/>
        <v>E:\PropInv\MF</v>
      </c>
      <c r="K1055" s="103" t="str">
        <f>HYPERLINK("E:\PropInv\MF\San Antonio\Huebner Rd_8100_Arboretum_San Antonio_01208","Huebner Rd_8100_Arboretum_San Antonio_01208" )</f>
        <v>Huebner Rd_8100_Arboretum_San Antonio_01208</v>
      </c>
      <c r="L1055" s="104" t="s">
        <v>22253</v>
      </c>
      <c r="M1055" s="103" t="str">
        <f t="shared" si="83"/>
        <v>http://oconnordata.com/mlink/modules/profile/index.cfm?action=profile&amp;prop_id=1208</v>
      </c>
      <c r="N1055" s="1" t="str">
        <f t="shared" si="84"/>
        <v>01208</v>
      </c>
    </row>
    <row r="1056" spans="1:14" x14ac:dyDescent="0.3">
      <c r="A1056" s="1">
        <v>1209</v>
      </c>
      <c r="B1056" s="7" t="s">
        <v>1600</v>
      </c>
      <c r="C1056" s="12">
        <v>2424</v>
      </c>
      <c r="D1056" s="7" t="s">
        <v>1601</v>
      </c>
      <c r="E1056" s="13" t="s">
        <v>842</v>
      </c>
      <c r="F1056" t="str">
        <f t="shared" si="80"/>
        <v>Gold</v>
      </c>
      <c r="G1056" t="str">
        <f t="shared" si="81"/>
        <v>Gold2424San Antonio</v>
      </c>
      <c r="H1056" t="s">
        <v>31914</v>
      </c>
      <c r="I1056" t="s">
        <v>23344</v>
      </c>
      <c r="J1056" t="str">
        <f t="shared" si="82"/>
        <v>E:\PropInv\MF</v>
      </c>
      <c r="K1056" s="103" t="str">
        <f>HYPERLINK("E:\PropInv\MF\San Antonio\Gold Canyon Rd_2424_Sendero Ridge_San Antonio_01209","Gold Canyon Rd_2424_Sendero Ridge_San Antonio_01209" )</f>
        <v>Gold Canyon Rd_2424_Sendero Ridge_San Antonio_01209</v>
      </c>
      <c r="L1056" s="104" t="s">
        <v>22253</v>
      </c>
      <c r="M1056" s="103" t="str">
        <f t="shared" si="83"/>
        <v>http://oconnordata.com/mlink/modules/profile/index.cfm?action=profile&amp;prop_id=1209</v>
      </c>
      <c r="N1056" s="1" t="str">
        <f t="shared" si="84"/>
        <v>01209</v>
      </c>
    </row>
    <row r="1057" spans="1:14" x14ac:dyDescent="0.3">
      <c r="A1057" s="1">
        <v>1210</v>
      </c>
      <c r="B1057" s="7" t="s">
        <v>1367</v>
      </c>
      <c r="C1057" s="12">
        <v>250</v>
      </c>
      <c r="D1057" s="7" t="s">
        <v>1602</v>
      </c>
      <c r="E1057" s="13" t="s">
        <v>842</v>
      </c>
      <c r="F1057" t="str">
        <f t="shared" si="80"/>
        <v>Treeline</v>
      </c>
      <c r="G1057" t="str">
        <f t="shared" si="81"/>
        <v>Treeline250San Antonio</v>
      </c>
      <c r="H1057" t="s">
        <v>31915</v>
      </c>
      <c r="I1057" t="s">
        <v>23345</v>
      </c>
      <c r="J1057" t="str">
        <f t="shared" si="82"/>
        <v>E:\PropInv\MF</v>
      </c>
      <c r="K1057" s="103" t="str">
        <f>HYPERLINK("E:\PropInv\MF\San Antonio\Treeline Park_250_Quarry TH_San Antonio_01210","Treeline Park_250_Quarry TH_San Antonio_01210" )</f>
        <v>Treeline Park_250_Quarry TH_San Antonio_01210</v>
      </c>
      <c r="L1057" s="104" t="s">
        <v>22253</v>
      </c>
      <c r="M1057" s="103" t="str">
        <f t="shared" si="83"/>
        <v>http://oconnordata.com/mlink/modules/profile/index.cfm?action=profile&amp;prop_id=1210</v>
      </c>
      <c r="N1057" s="1" t="str">
        <f t="shared" si="84"/>
        <v>01210</v>
      </c>
    </row>
    <row r="1058" spans="1:14" x14ac:dyDescent="0.3">
      <c r="A1058" s="1">
        <v>1211</v>
      </c>
      <c r="B1058" s="7" t="s">
        <v>1603</v>
      </c>
      <c r="C1058" s="12">
        <v>19500</v>
      </c>
      <c r="D1058" s="7" t="s">
        <v>1604</v>
      </c>
      <c r="E1058" s="13" t="s">
        <v>842</v>
      </c>
      <c r="F1058" t="str">
        <f t="shared" si="80"/>
        <v>281</v>
      </c>
      <c r="G1058" t="str">
        <f t="shared" si="81"/>
        <v>28119500San Antonio</v>
      </c>
      <c r="H1058" t="s">
        <v>31916</v>
      </c>
      <c r="I1058" t="s">
        <v>23346</v>
      </c>
      <c r="J1058" t="str">
        <f t="shared" si="82"/>
        <v>E:\PropInv\MF</v>
      </c>
      <c r="K1058" s="103" t="str">
        <f>HYPERLINK("E:\PropInv\MF\San Antonio\281 US N_19500_The Ravinia_San Antonio_01211","281 US N_19500_The Ravinia_San Antonio_01211" )</f>
        <v>281 US N_19500_The Ravinia_San Antonio_01211</v>
      </c>
      <c r="L1058" s="104" t="s">
        <v>22253</v>
      </c>
      <c r="M1058" s="103" t="str">
        <f t="shared" si="83"/>
        <v>http://oconnordata.com/mlink/modules/profile/index.cfm?action=profile&amp;prop_id=1211</v>
      </c>
      <c r="N1058" s="1" t="str">
        <f t="shared" si="84"/>
        <v>01211</v>
      </c>
    </row>
    <row r="1059" spans="1:14" x14ac:dyDescent="0.3">
      <c r="A1059" s="1">
        <v>1212</v>
      </c>
      <c r="B1059" s="7" t="s">
        <v>1605</v>
      </c>
      <c r="C1059" s="12">
        <v>6650</v>
      </c>
      <c r="D1059" s="7" t="s">
        <v>1606</v>
      </c>
      <c r="E1059" s="13" t="s">
        <v>842</v>
      </c>
      <c r="F1059" t="str">
        <f t="shared" si="80"/>
        <v>Prue</v>
      </c>
      <c r="G1059" t="str">
        <f t="shared" si="81"/>
        <v>Prue6650San Antonio</v>
      </c>
      <c r="H1059" t="s">
        <v>31917</v>
      </c>
      <c r="I1059" t="s">
        <v>23347</v>
      </c>
      <c r="J1059" t="str">
        <f t="shared" si="82"/>
        <v>E:\PropInv\MF</v>
      </c>
      <c r="K1059" s="103" t="str">
        <f>HYPERLINK("E:\PropInv\MF\San Antonio\Prue Rd_6650_Enclave at Buckhorn Crossing_San Antonio_01212","Prue Rd_6650_Enclave at Buckhorn Crossing_San Antonio_01212" )</f>
        <v>Prue Rd_6650_Enclave at Buckhorn Crossing_San Antonio_01212</v>
      </c>
      <c r="L1059" s="104" t="s">
        <v>22253</v>
      </c>
      <c r="M1059" s="103" t="str">
        <f t="shared" si="83"/>
        <v>http://oconnordata.com/mlink/modules/profile/index.cfm?action=profile&amp;prop_id=1212</v>
      </c>
      <c r="N1059" s="1" t="str">
        <f t="shared" si="84"/>
        <v>01212</v>
      </c>
    </row>
    <row r="1060" spans="1:14" x14ac:dyDescent="0.3">
      <c r="A1060" s="1">
        <v>1213</v>
      </c>
      <c r="B1060" s="7" t="s">
        <v>1607</v>
      </c>
      <c r="C1060" s="12">
        <v>7333</v>
      </c>
      <c r="D1060" s="7" t="s">
        <v>1608</v>
      </c>
      <c r="E1060" s="13" t="s">
        <v>842</v>
      </c>
      <c r="F1060" t="str">
        <f t="shared" si="80"/>
        <v>Potranco</v>
      </c>
      <c r="G1060" t="str">
        <f t="shared" si="81"/>
        <v>Potranco7333San Antonio</v>
      </c>
      <c r="H1060" t="s">
        <v>31918</v>
      </c>
      <c r="I1060" t="s">
        <v>23348</v>
      </c>
      <c r="J1060" t="str">
        <f t="shared" si="82"/>
        <v>E:\PropInv\MF</v>
      </c>
      <c r="K1060" s="103" t="str">
        <f>HYPERLINK("E:\PropInv\MF\San Antonio\Potranco_7333_Villas of Costa Brava_San Antonio_01213","Potranco_7333_Villas of Costa Brava_San Antonio_01213" )</f>
        <v>Potranco_7333_Villas of Costa Brava_San Antonio_01213</v>
      </c>
      <c r="L1060" s="104" t="s">
        <v>22253</v>
      </c>
      <c r="M1060" s="103" t="str">
        <f t="shared" si="83"/>
        <v>http://oconnordata.com/mlink/modules/profile/index.cfm?action=profile&amp;prop_id=1213</v>
      </c>
      <c r="N1060" s="1" t="str">
        <f t="shared" si="84"/>
        <v>01213</v>
      </c>
    </row>
    <row r="1061" spans="1:14" x14ac:dyDescent="0.3">
      <c r="A1061" s="1">
        <v>1215</v>
      </c>
      <c r="B1061" s="10" t="s">
        <v>1609</v>
      </c>
      <c r="C1061" s="9">
        <v>21303</v>
      </c>
      <c r="D1061" s="10" t="s">
        <v>1610</v>
      </c>
      <c r="E1061" s="11" t="s">
        <v>842</v>
      </c>
      <c r="F1061" t="str">
        <f t="shared" si="80"/>
        <v>Encino</v>
      </c>
      <c r="G1061" t="str">
        <f t="shared" si="81"/>
        <v>Encino21303San Antonio</v>
      </c>
      <c r="H1061" t="s">
        <v>31919</v>
      </c>
      <c r="I1061" t="s">
        <v>23349</v>
      </c>
      <c r="J1061" t="str">
        <f t="shared" si="82"/>
        <v>E:\PropInv\MF</v>
      </c>
      <c r="K1061" s="103" t="str">
        <f>HYPERLINK("E:\PropInv\MF\San Antonio\Encino Commons_21303_The View at Encino Commons_San Antonio_01215","Encino Commons_21303_The View at Encino Commons_San Antonio_01215" )</f>
        <v>Encino Commons_21303_The View at Encino Commons_San Antonio_01215</v>
      </c>
      <c r="L1061" s="104" t="s">
        <v>22253</v>
      </c>
      <c r="M1061" s="103" t="str">
        <f t="shared" si="83"/>
        <v>http://oconnordata.com/mlink/modules/profile/index.cfm?action=profile&amp;prop_id=1215</v>
      </c>
      <c r="N1061" s="1" t="str">
        <f t="shared" si="84"/>
        <v>01215</v>
      </c>
    </row>
    <row r="1062" spans="1:14" x14ac:dyDescent="0.3">
      <c r="A1062" s="1">
        <v>1216</v>
      </c>
      <c r="B1062" s="7" t="s">
        <v>843</v>
      </c>
      <c r="C1062" s="12">
        <v>18777</v>
      </c>
      <c r="D1062" s="7" t="s">
        <v>1611</v>
      </c>
      <c r="E1062" s="13" t="s">
        <v>842</v>
      </c>
      <c r="F1062" t="str">
        <f t="shared" si="80"/>
        <v>Stone</v>
      </c>
      <c r="G1062" t="str">
        <f t="shared" si="81"/>
        <v>Stone18777San Antonio</v>
      </c>
      <c r="H1062" t="s">
        <v>31920</v>
      </c>
      <c r="I1062" t="s">
        <v>23350</v>
      </c>
      <c r="J1062" t="str">
        <f t="shared" si="82"/>
        <v>E:\PropInv\MF</v>
      </c>
      <c r="K1062" s="103" t="str">
        <f>HYPERLINK("E:\PropInv\MF\San Antonio\Stone Oak Pkwy_18777_Claremore_San Antonio_01216","Stone Oak Pkwy_18777_Claremore_San Antonio_01216" )</f>
        <v>Stone Oak Pkwy_18777_Claremore_San Antonio_01216</v>
      </c>
      <c r="L1062" s="104" t="s">
        <v>22253</v>
      </c>
      <c r="M1062" s="103" t="str">
        <f t="shared" si="83"/>
        <v>http://oconnordata.com/mlink/modules/profile/index.cfm?action=profile&amp;prop_id=1216</v>
      </c>
      <c r="N1062" s="1" t="str">
        <f t="shared" si="84"/>
        <v>01216</v>
      </c>
    </row>
    <row r="1063" spans="1:14" x14ac:dyDescent="0.3">
      <c r="A1063" s="1">
        <v>1217</v>
      </c>
      <c r="B1063" s="7" t="s">
        <v>1612</v>
      </c>
      <c r="C1063" s="12">
        <v>18200</v>
      </c>
      <c r="D1063" s="7" t="s">
        <v>1613</v>
      </c>
      <c r="E1063" s="13" t="s">
        <v>842</v>
      </c>
      <c r="F1063" t="str">
        <f t="shared" si="80"/>
        <v>Blanco</v>
      </c>
      <c r="G1063" t="str">
        <f t="shared" si="81"/>
        <v>Blanco18200San Antonio</v>
      </c>
      <c r="H1063" t="s">
        <v>31921</v>
      </c>
      <c r="I1063" t="s">
        <v>23351</v>
      </c>
      <c r="J1063" t="str">
        <f t="shared" si="82"/>
        <v>E:\PropInv\MF</v>
      </c>
      <c r="K1063" s="103" t="str">
        <f>HYPERLINK("E:\PropInv\MF\San Antonio\Blanco Springs Rd_18200_Vineyard Springs_San Antonio_01217","Blanco Springs Rd_18200_Vineyard Springs_San Antonio_01217" )</f>
        <v>Blanco Springs Rd_18200_Vineyard Springs_San Antonio_01217</v>
      </c>
      <c r="L1063" s="104" t="s">
        <v>22253</v>
      </c>
      <c r="M1063" s="103" t="str">
        <f t="shared" si="83"/>
        <v>http://oconnordata.com/mlink/modules/profile/index.cfm?action=profile&amp;prop_id=1217</v>
      </c>
      <c r="N1063" s="1" t="str">
        <f t="shared" si="84"/>
        <v>01217</v>
      </c>
    </row>
    <row r="1064" spans="1:14" x14ac:dyDescent="0.3">
      <c r="A1064" s="1">
        <v>1218</v>
      </c>
      <c r="B1064" s="7" t="s">
        <v>1182</v>
      </c>
      <c r="C1064" s="12">
        <v>3711</v>
      </c>
      <c r="D1064" s="7" t="s">
        <v>1614</v>
      </c>
      <c r="E1064" s="13" t="s">
        <v>842</v>
      </c>
      <c r="F1064" t="str">
        <f t="shared" si="80"/>
        <v>Medical</v>
      </c>
      <c r="G1064" t="str">
        <f t="shared" si="81"/>
        <v>Medical3711San Antonio</v>
      </c>
      <c r="H1064" t="s">
        <v>31922</v>
      </c>
      <c r="I1064" t="s">
        <v>23352</v>
      </c>
      <c r="J1064" t="str">
        <f t="shared" si="82"/>
        <v>E:\PropInv\MF</v>
      </c>
      <c r="K1064" s="103" t="str">
        <f>HYPERLINK("E:\PropInv\MF\San Antonio\Medical Dr_3711_Signature Ridge_San Antonio_01218","Medical Dr_3711_Signature Ridge_San Antonio_01218" )</f>
        <v>Medical Dr_3711_Signature Ridge_San Antonio_01218</v>
      </c>
      <c r="L1064" s="104" t="s">
        <v>22253</v>
      </c>
      <c r="M1064" s="103" t="str">
        <f t="shared" si="83"/>
        <v>http://oconnordata.com/mlink/modules/profile/index.cfm?action=profile&amp;prop_id=1218</v>
      </c>
      <c r="N1064" s="1" t="str">
        <f t="shared" si="84"/>
        <v>01218</v>
      </c>
    </row>
    <row r="1065" spans="1:14" x14ac:dyDescent="0.3">
      <c r="A1065" s="1">
        <v>1219</v>
      </c>
      <c r="B1065" s="7" t="s">
        <v>1615</v>
      </c>
      <c r="C1065" s="9">
        <v>5239</v>
      </c>
      <c r="D1065" s="10" t="s">
        <v>1616</v>
      </c>
      <c r="E1065" s="11" t="s">
        <v>842</v>
      </c>
      <c r="F1065" t="str">
        <f t="shared" si="80"/>
        <v>Eisenhauer</v>
      </c>
      <c r="G1065" t="str">
        <f t="shared" si="81"/>
        <v>Eisenhauer5239San Antonio</v>
      </c>
      <c r="H1065" t="s">
        <v>31923</v>
      </c>
      <c r="I1065" t="s">
        <v>23353</v>
      </c>
      <c r="J1065" t="str">
        <f t="shared" si="82"/>
        <v>E:\PropInv\MF</v>
      </c>
      <c r="K1065" s="103" t="str">
        <f>HYPERLINK("E:\PropInv\MF\San Antonio\Eisenhauer Rd_5239_Rosillo Creek_San Antonio_01219","Eisenhauer Rd_5239_Rosillo Creek_San Antonio_01219" )</f>
        <v>Eisenhauer Rd_5239_Rosillo Creek_San Antonio_01219</v>
      </c>
      <c r="L1065" s="104" t="s">
        <v>22253</v>
      </c>
      <c r="M1065" s="103" t="str">
        <f t="shared" si="83"/>
        <v>http://oconnordata.com/mlink/modules/profile/index.cfm?action=profile&amp;prop_id=1219</v>
      </c>
      <c r="N1065" s="1" t="str">
        <f t="shared" si="84"/>
        <v>01219</v>
      </c>
    </row>
    <row r="1066" spans="1:14" x14ac:dyDescent="0.3">
      <c r="A1066" s="1">
        <v>1220</v>
      </c>
      <c r="B1066" s="7" t="s">
        <v>1617</v>
      </c>
      <c r="C1066" s="12">
        <v>402</v>
      </c>
      <c r="D1066" s="7" t="s">
        <v>1618</v>
      </c>
      <c r="E1066" s="13" t="s">
        <v>864</v>
      </c>
      <c r="F1066" t="str">
        <f t="shared" si="80"/>
        <v>Aviation</v>
      </c>
      <c r="G1066" t="str">
        <f t="shared" si="81"/>
        <v>Aviation402Universal City</v>
      </c>
      <c r="H1066" t="s">
        <v>31924</v>
      </c>
      <c r="I1066" t="s">
        <v>23354</v>
      </c>
      <c r="J1066" t="str">
        <f t="shared" si="82"/>
        <v>E:\PropInv\MF</v>
      </c>
      <c r="K1066" s="103" t="str">
        <f>HYPERLINK("E:\PropInv\MF\Universal City\Aviation Blvd E_402_Pebble Beach Village_Universal City_01220","Aviation Blvd E_402_Pebble Beach Village_Universal City_01220" )</f>
        <v>Aviation Blvd E_402_Pebble Beach Village_Universal City_01220</v>
      </c>
      <c r="L1066" s="104" t="s">
        <v>22253</v>
      </c>
      <c r="M1066" s="103" t="str">
        <f t="shared" si="83"/>
        <v>http://oconnordata.com/mlink/modules/profile/index.cfm?action=profile&amp;prop_id=1220</v>
      </c>
      <c r="N1066" s="1" t="str">
        <f t="shared" si="84"/>
        <v>01220</v>
      </c>
    </row>
    <row r="1067" spans="1:14" x14ac:dyDescent="0.3">
      <c r="A1067" s="1">
        <v>1221</v>
      </c>
      <c r="B1067" s="10" t="s">
        <v>942</v>
      </c>
      <c r="C1067" s="9">
        <v>5600</v>
      </c>
      <c r="D1067" s="10" t="s">
        <v>1619</v>
      </c>
      <c r="E1067" s="11" t="s">
        <v>842</v>
      </c>
      <c r="F1067" t="str">
        <f t="shared" si="80"/>
        <v>Babcock</v>
      </c>
      <c r="G1067" t="str">
        <f t="shared" si="81"/>
        <v>Babcock5600San Antonio</v>
      </c>
      <c r="H1067" t="s">
        <v>31925</v>
      </c>
      <c r="I1067" t="s">
        <v>23355</v>
      </c>
      <c r="J1067" t="str">
        <f t="shared" si="82"/>
        <v>E:\PropInv\MF</v>
      </c>
      <c r="K1067" s="103" t="str">
        <f>HYPERLINK("E:\PropInv\MF\San Antonio\Babcock Rd_5600_Mission Ranch_San Antonio_01221","Babcock Rd_5600_Mission Ranch_San Antonio_01221" )</f>
        <v>Babcock Rd_5600_Mission Ranch_San Antonio_01221</v>
      </c>
      <c r="L1067" s="104" t="s">
        <v>22253</v>
      </c>
      <c r="M1067" s="103" t="str">
        <f t="shared" si="83"/>
        <v>http://oconnordata.com/mlink/modules/profile/index.cfm?action=profile&amp;prop_id=1221</v>
      </c>
      <c r="N1067" s="1" t="str">
        <f t="shared" si="84"/>
        <v>01221</v>
      </c>
    </row>
    <row r="1068" spans="1:14" x14ac:dyDescent="0.3">
      <c r="A1068" s="1">
        <v>1222</v>
      </c>
      <c r="B1068" s="7" t="s">
        <v>1620</v>
      </c>
      <c r="C1068" s="12">
        <v>1010</v>
      </c>
      <c r="D1068" s="7" t="s">
        <v>1621</v>
      </c>
      <c r="E1068" s="13" t="s">
        <v>1138</v>
      </c>
      <c r="F1068" t="str">
        <f t="shared" si="80"/>
        <v>Lois</v>
      </c>
      <c r="G1068" t="str">
        <f t="shared" si="81"/>
        <v>Lois1010Kerrville</v>
      </c>
      <c r="H1068" t="s">
        <v>31926</v>
      </c>
      <c r="I1068" t="s">
        <v>23356</v>
      </c>
      <c r="J1068" t="str">
        <f t="shared" si="82"/>
        <v>E:\PropInv\MF</v>
      </c>
      <c r="K1068" s="103" t="str">
        <f>HYPERLINK("E:\PropInv\MF\Kerrville\Lois St_1010_Colonial Oaks_Kerrville_01222","Lois St_1010_Colonial Oaks_Kerrville_01222" )</f>
        <v>Lois St_1010_Colonial Oaks_Kerrville_01222</v>
      </c>
      <c r="L1068" s="104" t="s">
        <v>22253</v>
      </c>
      <c r="M1068" s="103" t="str">
        <f t="shared" si="83"/>
        <v>http://oconnordata.com/mlink/modules/profile/index.cfm?action=profile&amp;prop_id=1222</v>
      </c>
      <c r="N1068" s="1" t="str">
        <f t="shared" si="84"/>
        <v>01222</v>
      </c>
    </row>
    <row r="1069" spans="1:14" x14ac:dyDescent="0.3">
      <c r="A1069" s="1">
        <v>1223</v>
      </c>
      <c r="B1069" s="7" t="s">
        <v>1622</v>
      </c>
      <c r="C1069" s="12">
        <v>815</v>
      </c>
      <c r="D1069" s="7" t="s">
        <v>819</v>
      </c>
      <c r="E1069" s="13" t="s">
        <v>1138</v>
      </c>
      <c r="F1069" t="str">
        <f t="shared" si="80"/>
        <v>Ranchero</v>
      </c>
      <c r="G1069" t="str">
        <f t="shared" si="81"/>
        <v>Ranchero815Kerrville</v>
      </c>
      <c r="H1069" t="s">
        <v>31927</v>
      </c>
      <c r="I1069" t="s">
        <v>23357</v>
      </c>
      <c r="J1069" t="str">
        <f t="shared" si="82"/>
        <v>E:\PropInv\MF</v>
      </c>
      <c r="K1069" s="103" t="str">
        <f>HYPERLINK("E:\PropInv\MF\Kerrville\Ranchero Rd_815_Park Hill_Kerrville_01223","Ranchero Rd_815_Park Hill_Kerrville_01223" )</f>
        <v>Ranchero Rd_815_Park Hill_Kerrville_01223</v>
      </c>
      <c r="L1069" s="104" t="s">
        <v>22253</v>
      </c>
      <c r="M1069" s="103" t="str">
        <f t="shared" si="83"/>
        <v>http://oconnordata.com/mlink/modules/profile/index.cfm?action=profile&amp;prop_id=1223</v>
      </c>
      <c r="N1069" s="1" t="str">
        <f t="shared" si="84"/>
        <v>01223</v>
      </c>
    </row>
    <row r="1070" spans="1:14" x14ac:dyDescent="0.3">
      <c r="A1070" s="1">
        <v>1224</v>
      </c>
      <c r="B1070" s="7" t="s">
        <v>1623</v>
      </c>
      <c r="C1070" s="12">
        <v>33</v>
      </c>
      <c r="D1070" s="7" t="s">
        <v>1624</v>
      </c>
      <c r="E1070" s="13" t="s">
        <v>842</v>
      </c>
      <c r="F1070" t="str">
        <f t="shared" si="80"/>
        <v>Lynn</v>
      </c>
      <c r="G1070" t="str">
        <f t="shared" si="81"/>
        <v>Lynn33San Antonio</v>
      </c>
      <c r="H1070" t="s">
        <v>31928</v>
      </c>
      <c r="I1070" t="s">
        <v>23358</v>
      </c>
      <c r="J1070" t="str">
        <f t="shared" si="82"/>
        <v>E:\PropInv\MF</v>
      </c>
      <c r="K1070" s="103" t="str">
        <f>HYPERLINK("E:\PropInv\MF\San Antonio\Lynn Batts Ln_33_Cenizo Flats Apts_San Antonio_01224","Lynn Batts Ln_33_Cenizo Flats Apts_San Antonio_01224" )</f>
        <v>Lynn Batts Ln_33_Cenizo Flats Apts_San Antonio_01224</v>
      </c>
      <c r="L1070" s="104" t="s">
        <v>22253</v>
      </c>
      <c r="M1070" s="103" t="str">
        <f t="shared" si="83"/>
        <v>http://oconnordata.com/mlink/modules/profile/index.cfm?action=profile&amp;prop_id=1224</v>
      </c>
      <c r="N1070" s="1" t="str">
        <f t="shared" si="84"/>
        <v>01224</v>
      </c>
    </row>
    <row r="1071" spans="1:14" x14ac:dyDescent="0.3">
      <c r="A1071" s="1">
        <v>1225</v>
      </c>
      <c r="B1071" s="21" t="s">
        <v>235</v>
      </c>
      <c r="C1071" s="12" t="s">
        <v>1625</v>
      </c>
      <c r="D1071" s="7" t="s">
        <v>1626</v>
      </c>
      <c r="E1071" s="13" t="s">
        <v>842</v>
      </c>
      <c r="F1071" t="str">
        <f t="shared" si="80"/>
        <v>W</v>
      </c>
      <c r="G1071" t="str">
        <f t="shared" si="81"/>
        <v>W4702-2San Antonio</v>
      </c>
      <c r="H1071" t="s">
        <v>31929</v>
      </c>
      <c r="I1071" t="s">
        <v>23359</v>
      </c>
      <c r="J1071" t="str">
        <f t="shared" si="82"/>
        <v>E:\PropInv\MF</v>
      </c>
      <c r="K1071" s="103" t="str">
        <f>HYPERLINK("E:\PropInv\MF\San Antonio\W Ave_4702-2_Bently Place Duplexes_San Antonio_01225","W Ave_4702-2_Bently Place Duplexes_San Antonio_01225" )</f>
        <v>W Ave_4702-2_Bently Place Duplexes_San Antonio_01225</v>
      </c>
      <c r="L1071" s="104" t="s">
        <v>22253</v>
      </c>
      <c r="M1071" s="103" t="str">
        <f t="shared" si="83"/>
        <v>http://oconnordata.com/mlink/modules/profile/index.cfm?action=profile&amp;prop_id=1225</v>
      </c>
      <c r="N1071" s="1" t="str">
        <f t="shared" si="84"/>
        <v>01225</v>
      </c>
    </row>
    <row r="1072" spans="1:14" x14ac:dyDescent="0.3">
      <c r="A1072" s="1">
        <v>1226</v>
      </c>
      <c r="B1072" s="7" t="s">
        <v>1627</v>
      </c>
      <c r="C1072" s="12">
        <v>1951</v>
      </c>
      <c r="D1072" s="7" t="s">
        <v>1628</v>
      </c>
      <c r="E1072" s="13" t="s">
        <v>912</v>
      </c>
      <c r="F1072" t="str">
        <f t="shared" si="80"/>
        <v>306</v>
      </c>
      <c r="G1072" t="str">
        <f t="shared" si="81"/>
        <v>3061951New Braunfels</v>
      </c>
      <c r="H1072" t="s">
        <v>31930</v>
      </c>
      <c r="I1072" t="s">
        <v>23360</v>
      </c>
      <c r="J1072" t="str">
        <f t="shared" si="82"/>
        <v>E:\PropInv\MF</v>
      </c>
      <c r="K1072" s="103" t="str">
        <f>HYPERLINK("E:\PropInv\MF\New Braunfels\306 Old FM_1951_Northwood Luxury Apts_New Braunfels_01226","306 Old FM_1951_Northwood Luxury Apts_New Braunfels_01226" )</f>
        <v>306 Old FM_1951_Northwood Luxury Apts_New Braunfels_01226</v>
      </c>
      <c r="L1072" s="104" t="s">
        <v>22253</v>
      </c>
      <c r="M1072" s="103" t="str">
        <f t="shared" si="83"/>
        <v>http://oconnordata.com/mlink/modules/profile/index.cfm?action=profile&amp;prop_id=1226</v>
      </c>
      <c r="N1072" s="1" t="str">
        <f t="shared" si="84"/>
        <v>01226</v>
      </c>
    </row>
    <row r="1073" spans="1:14" x14ac:dyDescent="0.3">
      <c r="A1073" s="1">
        <v>1227</v>
      </c>
      <c r="B1073" s="7" t="s">
        <v>954</v>
      </c>
      <c r="C1073" s="12">
        <v>15651</v>
      </c>
      <c r="D1073" s="7" t="s">
        <v>1629</v>
      </c>
      <c r="E1073" s="13" t="s">
        <v>842</v>
      </c>
      <c r="F1073" t="str">
        <f t="shared" si="80"/>
        <v>Chase</v>
      </c>
      <c r="G1073" t="str">
        <f t="shared" si="81"/>
        <v>Chase15651San Antonio</v>
      </c>
      <c r="H1073" t="s">
        <v>31931</v>
      </c>
      <c r="I1073" t="s">
        <v>23361</v>
      </c>
      <c r="J1073" t="str">
        <f t="shared" si="82"/>
        <v>E:\PropInv\MF</v>
      </c>
      <c r="K1073" s="103" t="str">
        <f>HYPERLINK("E:\PropInv\MF\San Antonio\Chase Hill Blvd_15651_Maverick Creek Villas_San Antonio_01227","Chase Hill Blvd_15651_Maverick Creek Villas_San Antonio_01227" )</f>
        <v>Chase Hill Blvd_15651_Maverick Creek Villas_San Antonio_01227</v>
      </c>
      <c r="L1073" s="104" t="s">
        <v>22253</v>
      </c>
      <c r="M1073" s="103" t="str">
        <f t="shared" si="83"/>
        <v>http://oconnordata.com/mlink/modules/profile/index.cfm?action=profile&amp;prop_id=1227</v>
      </c>
      <c r="N1073" s="1" t="str">
        <f t="shared" si="84"/>
        <v>01227</v>
      </c>
    </row>
    <row r="1074" spans="1:14" x14ac:dyDescent="0.3">
      <c r="A1074" s="1">
        <v>1228</v>
      </c>
      <c r="B1074" s="7" t="s">
        <v>867</v>
      </c>
      <c r="C1074" s="12">
        <v>17655</v>
      </c>
      <c r="D1074" s="7" t="s">
        <v>1630</v>
      </c>
      <c r="E1074" s="13" t="s">
        <v>842</v>
      </c>
      <c r="F1074" t="str">
        <f t="shared" si="80"/>
        <v>Henderson</v>
      </c>
      <c r="G1074" t="str">
        <f t="shared" si="81"/>
        <v>Henderson17655San Antonio</v>
      </c>
      <c r="H1074" t="s">
        <v>31932</v>
      </c>
      <c r="I1074" t="s">
        <v>23362</v>
      </c>
      <c r="J1074" t="str">
        <f t="shared" si="82"/>
        <v>E:\PropInv\MF</v>
      </c>
      <c r="K1074" s="103" t="str">
        <f>HYPERLINK("E:\PropInv\MF\San Antonio\Henderson Pass_17655_Sedona Ranch_San Antonio_01228","Henderson Pass_17655_Sedona Ranch_San Antonio_01228" )</f>
        <v>Henderson Pass_17655_Sedona Ranch_San Antonio_01228</v>
      </c>
      <c r="L1074" s="104" t="s">
        <v>22253</v>
      </c>
      <c r="M1074" s="103" t="str">
        <f t="shared" si="83"/>
        <v>http://oconnordata.com/mlink/modules/profile/index.cfm?action=profile&amp;prop_id=1228</v>
      </c>
      <c r="N1074" s="1" t="str">
        <f t="shared" si="84"/>
        <v>01228</v>
      </c>
    </row>
    <row r="1075" spans="1:14" x14ac:dyDescent="0.3">
      <c r="A1075" s="1">
        <v>1229</v>
      </c>
      <c r="B1075" s="7" t="s">
        <v>1631</v>
      </c>
      <c r="C1075" s="12">
        <v>24245</v>
      </c>
      <c r="D1075" s="7" t="s">
        <v>1632</v>
      </c>
      <c r="E1075" s="13" t="s">
        <v>842</v>
      </c>
      <c r="F1075" t="str">
        <f t="shared" si="80"/>
        <v>Wilderness</v>
      </c>
      <c r="G1075" t="str">
        <f t="shared" si="81"/>
        <v>Wilderness24245San Antonio</v>
      </c>
      <c r="H1075" t="s">
        <v>31933</v>
      </c>
      <c r="I1075" t="s">
        <v>23363</v>
      </c>
      <c r="J1075" t="str">
        <f t="shared" si="82"/>
        <v>E:\PropInv\MF</v>
      </c>
      <c r="K1075" s="103" t="str">
        <f>HYPERLINK("E:\PropInv\MF\San Antonio\Wilderness Oak_24245_Retreat at Canyon Springs_San Antonio_01229","Wilderness Oak_24245_Retreat at Canyon Springs_San Antonio_01229" )</f>
        <v>Wilderness Oak_24245_Retreat at Canyon Springs_San Antonio_01229</v>
      </c>
      <c r="L1075" s="104" t="s">
        <v>22253</v>
      </c>
      <c r="M1075" s="103" t="str">
        <f t="shared" si="83"/>
        <v>http://oconnordata.com/mlink/modules/profile/index.cfm?action=profile&amp;prop_id=1229</v>
      </c>
      <c r="N1075" s="1" t="str">
        <f t="shared" si="84"/>
        <v>01229</v>
      </c>
    </row>
    <row r="1076" spans="1:14" x14ac:dyDescent="0.3">
      <c r="A1076" s="1">
        <v>1230</v>
      </c>
      <c r="B1076" s="7" t="s">
        <v>1017</v>
      </c>
      <c r="C1076" s="12">
        <v>1947</v>
      </c>
      <c r="D1076" s="19" t="s">
        <v>1633</v>
      </c>
      <c r="E1076" s="13" t="s">
        <v>842</v>
      </c>
      <c r="F1076" t="str">
        <f t="shared" si="80"/>
        <v>Larkspur</v>
      </c>
      <c r="G1076" t="str">
        <f t="shared" si="81"/>
        <v>Larkspur1947San Antonio</v>
      </c>
      <c r="H1076" t="s">
        <v>31934</v>
      </c>
      <c r="I1076" t="s">
        <v>23364</v>
      </c>
      <c r="J1076" t="str">
        <f t="shared" si="82"/>
        <v>E:\PropInv\MF</v>
      </c>
      <c r="K1076" s="103" t="str">
        <f>HYPERLINK("E:\PropInv\MF\San Antonio\Larkspur_1947_Legacy TH at Castle Hills_San Antonio_01230","Larkspur_1947_Legacy TH at Castle Hills_San Antonio_01230" )</f>
        <v>Larkspur_1947_Legacy TH at Castle Hills_San Antonio_01230</v>
      </c>
      <c r="L1076" s="104" t="s">
        <v>22253</v>
      </c>
      <c r="M1076" s="103" t="str">
        <f t="shared" si="83"/>
        <v>http://oconnordata.com/mlink/modules/profile/index.cfm?action=profile&amp;prop_id=1230</v>
      </c>
      <c r="N1076" s="1" t="str">
        <f t="shared" si="84"/>
        <v>01230</v>
      </c>
    </row>
    <row r="1077" spans="1:14" x14ac:dyDescent="0.3">
      <c r="A1077" s="1">
        <v>1231</v>
      </c>
      <c r="B1077" s="7" t="s">
        <v>857</v>
      </c>
      <c r="C1077" s="12">
        <v>4980</v>
      </c>
      <c r="D1077" s="7" t="s">
        <v>1634</v>
      </c>
      <c r="E1077" s="13" t="s">
        <v>842</v>
      </c>
      <c r="F1077" t="str">
        <f t="shared" si="80"/>
        <v>USAA</v>
      </c>
      <c r="G1077" t="str">
        <f t="shared" si="81"/>
        <v>USAA4980San Antonio</v>
      </c>
      <c r="H1077" t="s">
        <v>31935</v>
      </c>
      <c r="I1077" t="s">
        <v>23365</v>
      </c>
      <c r="J1077" t="str">
        <f t="shared" si="82"/>
        <v>E:\PropInv\MF</v>
      </c>
      <c r="K1077" s="103" t="str">
        <f>HYPERLINK("E:\PropInv\MF\San Antonio\USAA Blvd_4980_Dove Valley Ranch_San Antonio_01231","USAA Blvd_4980_Dove Valley Ranch_San Antonio_01231" )</f>
        <v>USAA Blvd_4980_Dove Valley Ranch_San Antonio_01231</v>
      </c>
      <c r="L1077" s="104" t="s">
        <v>22253</v>
      </c>
      <c r="M1077" s="103" t="str">
        <f t="shared" si="83"/>
        <v>http://oconnordata.com/mlink/modules/profile/index.cfm?action=profile&amp;prop_id=1231</v>
      </c>
      <c r="N1077" s="1" t="str">
        <f t="shared" si="84"/>
        <v>01231</v>
      </c>
    </row>
    <row r="1078" spans="1:14" x14ac:dyDescent="0.3">
      <c r="A1078" s="1">
        <v>1233</v>
      </c>
      <c r="B1078" s="7" t="s">
        <v>1635</v>
      </c>
      <c r="C1078" s="12">
        <v>210</v>
      </c>
      <c r="D1078" s="7" t="s">
        <v>1636</v>
      </c>
      <c r="E1078" s="13" t="s">
        <v>842</v>
      </c>
      <c r="F1078" t="str">
        <f t="shared" si="80"/>
        <v>Sonterra</v>
      </c>
      <c r="G1078" t="str">
        <f t="shared" si="81"/>
        <v>Sonterra210San Antonio</v>
      </c>
      <c r="H1078" t="s">
        <v>31936</v>
      </c>
      <c r="I1078" t="s">
        <v>23366</v>
      </c>
      <c r="J1078" t="str">
        <f t="shared" si="82"/>
        <v>E:\PropInv\MF</v>
      </c>
      <c r="K1078" s="103" t="str">
        <f>HYPERLINK("E:\PropInv\MF\San Antonio\Sonterra Blvd E_210_The Lodge at Sonterra_San Antonio_01233","Sonterra Blvd E_210_The Lodge at Sonterra_San Antonio_01233" )</f>
        <v>Sonterra Blvd E_210_The Lodge at Sonterra_San Antonio_01233</v>
      </c>
      <c r="L1078" s="104" t="s">
        <v>22253</v>
      </c>
      <c r="M1078" s="103" t="str">
        <f t="shared" si="83"/>
        <v>http://oconnordata.com/mlink/modules/profile/index.cfm?action=profile&amp;prop_id=1233</v>
      </c>
      <c r="N1078" s="1" t="str">
        <f t="shared" si="84"/>
        <v>01233</v>
      </c>
    </row>
    <row r="1079" spans="1:14" x14ac:dyDescent="0.3">
      <c r="A1079" s="1">
        <v>1234</v>
      </c>
      <c r="B1079" s="7" t="s">
        <v>1637</v>
      </c>
      <c r="C1079" s="12">
        <v>12770</v>
      </c>
      <c r="D1079" s="7" t="s">
        <v>1638</v>
      </c>
      <c r="E1079" s="13" t="s">
        <v>1639</v>
      </c>
      <c r="F1079" t="str">
        <f t="shared" si="80"/>
        <v>Bandera</v>
      </c>
      <c r="G1079" t="str">
        <f t="shared" si="81"/>
        <v>Bandera12770Helotes</v>
      </c>
      <c r="H1079" t="s">
        <v>31937</v>
      </c>
      <c r="I1079" t="s">
        <v>23367</v>
      </c>
      <c r="J1079" t="str">
        <f t="shared" si="82"/>
        <v>E:\PropInv\MF</v>
      </c>
      <c r="K1079" s="103" t="str">
        <f>HYPERLINK("E:\PropInv\MF\Helotes\Bandera Rd E_12770_Elm Hollow_Helotes_01234","Bandera Rd E_12770_Elm Hollow_Helotes_01234" )</f>
        <v>Bandera Rd E_12770_Elm Hollow_Helotes_01234</v>
      </c>
      <c r="L1079" s="104" t="s">
        <v>22253</v>
      </c>
      <c r="M1079" s="103" t="str">
        <f t="shared" si="83"/>
        <v>http://oconnordata.com/mlink/modules/profile/index.cfm?action=profile&amp;prop_id=1234</v>
      </c>
      <c r="N1079" s="1" t="str">
        <f t="shared" si="84"/>
        <v>01234</v>
      </c>
    </row>
    <row r="1080" spans="1:14" x14ac:dyDescent="0.3">
      <c r="A1080" s="1">
        <v>1235</v>
      </c>
      <c r="B1080" s="7" t="s">
        <v>974</v>
      </c>
      <c r="C1080" s="12">
        <v>5100</v>
      </c>
      <c r="D1080" s="7" t="s">
        <v>1640</v>
      </c>
      <c r="E1080" s="13" t="s">
        <v>842</v>
      </c>
      <c r="F1080" t="str">
        <f t="shared" si="80"/>
        <v>410</v>
      </c>
      <c r="G1080" t="str">
        <f t="shared" si="81"/>
        <v>4105100San Antonio</v>
      </c>
      <c r="H1080" t="s">
        <v>31938</v>
      </c>
      <c r="I1080" t="s">
        <v>23368</v>
      </c>
      <c r="J1080" t="str">
        <f t="shared" si="82"/>
        <v>E:\PropInv\MF</v>
      </c>
      <c r="K1080" s="103" t="str">
        <f>HYPERLINK("E:\PropInv\MF\San Antonio\410 Loop NW_5100_Rolling Ridge South_San Antonio_01235","410 Loop NW_5100_Rolling Ridge South_San Antonio_01235" )</f>
        <v>410 Loop NW_5100_Rolling Ridge South_San Antonio_01235</v>
      </c>
      <c r="L1080" s="104" t="s">
        <v>22253</v>
      </c>
      <c r="M1080" s="103" t="str">
        <f t="shared" si="83"/>
        <v>http://oconnordata.com/mlink/modules/profile/index.cfm?action=profile&amp;prop_id=1235</v>
      </c>
      <c r="N1080" s="1" t="str">
        <f t="shared" si="84"/>
        <v>01235</v>
      </c>
    </row>
    <row r="1081" spans="1:14" x14ac:dyDescent="0.3">
      <c r="A1081" s="1">
        <v>1236</v>
      </c>
      <c r="B1081" s="7" t="s">
        <v>1525</v>
      </c>
      <c r="C1081" s="12">
        <v>5235</v>
      </c>
      <c r="D1081" s="7" t="s">
        <v>1641</v>
      </c>
      <c r="E1081" s="13" t="s">
        <v>842</v>
      </c>
      <c r="F1081" t="str">
        <f t="shared" si="80"/>
        <v>Glen</v>
      </c>
      <c r="G1081" t="str">
        <f t="shared" si="81"/>
        <v>Glen5235San Antonio</v>
      </c>
      <c r="H1081" t="s">
        <v>31939</v>
      </c>
      <c r="I1081" t="s">
        <v>23369</v>
      </c>
      <c r="J1081" t="str">
        <f t="shared" si="82"/>
        <v>E:\PropInv\MF</v>
      </c>
      <c r="K1081" s="103" t="str">
        <f>HYPERLINK("E:\PropInv\MF\San Antonio\Glen Ridge_5235_Rolling Ridge Square IV_San Antonio_01236","Glen Ridge_5235_Rolling Ridge Square IV_San Antonio_01236" )</f>
        <v>Glen Ridge_5235_Rolling Ridge Square IV_San Antonio_01236</v>
      </c>
      <c r="L1081" s="104" t="s">
        <v>22253</v>
      </c>
      <c r="M1081" s="103" t="str">
        <f t="shared" si="83"/>
        <v>http://oconnordata.com/mlink/modules/profile/index.cfm?action=profile&amp;prop_id=1236</v>
      </c>
      <c r="N1081" s="1" t="str">
        <f t="shared" si="84"/>
        <v>01236</v>
      </c>
    </row>
    <row r="1082" spans="1:14" x14ac:dyDescent="0.3">
      <c r="A1082" s="1">
        <v>1238</v>
      </c>
      <c r="B1082" s="7" t="s">
        <v>1177</v>
      </c>
      <c r="C1082" s="12">
        <v>2350</v>
      </c>
      <c r="D1082" s="7" t="s">
        <v>194</v>
      </c>
      <c r="E1082" s="13" t="s">
        <v>1138</v>
      </c>
      <c r="F1082" t="str">
        <f t="shared" si="80"/>
        <v>Junction</v>
      </c>
      <c r="G1082" t="str">
        <f t="shared" si="81"/>
        <v>Junction2350Kerrville</v>
      </c>
      <c r="H1082" t="s">
        <v>31940</v>
      </c>
      <c r="I1082" t="s">
        <v>23370</v>
      </c>
      <c r="J1082" t="str">
        <f t="shared" si="82"/>
        <v>E:\PropInv\MF</v>
      </c>
      <c r="K1082" s="103" t="str">
        <f>HYPERLINK("E:\PropInv\MF\Kerrville\Junction Hwy_2350_Heritage Oaks_Kerrville_01238","Junction Hwy_2350_Heritage Oaks_Kerrville_01238" )</f>
        <v>Junction Hwy_2350_Heritage Oaks_Kerrville_01238</v>
      </c>
      <c r="L1082" s="104" t="s">
        <v>22253</v>
      </c>
      <c r="M1082" s="103" t="str">
        <f t="shared" si="83"/>
        <v>http://oconnordata.com/mlink/modules/profile/index.cfm?action=profile&amp;prop_id=1238</v>
      </c>
      <c r="N1082" s="1" t="str">
        <f t="shared" si="84"/>
        <v>01238</v>
      </c>
    </row>
    <row r="1083" spans="1:14" x14ac:dyDescent="0.3">
      <c r="A1083" s="1">
        <v>1240</v>
      </c>
      <c r="B1083" s="7" t="s">
        <v>894</v>
      </c>
      <c r="C1083" s="12">
        <v>2355</v>
      </c>
      <c r="D1083" s="7" t="s">
        <v>1642</v>
      </c>
      <c r="E1083" s="13" t="s">
        <v>842</v>
      </c>
      <c r="F1083" t="str">
        <f t="shared" si="80"/>
        <v>Austin</v>
      </c>
      <c r="G1083" t="str">
        <f t="shared" si="81"/>
        <v>Austin2355San Antonio</v>
      </c>
      <c r="H1083" t="s">
        <v>31941</v>
      </c>
      <c r="I1083" t="s">
        <v>23371</v>
      </c>
      <c r="J1083" t="str">
        <f t="shared" si="82"/>
        <v>E:\PropInv\MF</v>
      </c>
      <c r="K1083" s="103" t="str">
        <f>HYPERLINK("E:\PropInv\MF\San Antonio\Austin Hwy_2355_The Lodge on Perrin Creek_San Antonio_01240","Austin Hwy_2355_The Lodge on Perrin Creek_San Antonio_01240" )</f>
        <v>Austin Hwy_2355_The Lodge on Perrin Creek_San Antonio_01240</v>
      </c>
      <c r="L1083" s="104" t="s">
        <v>22253</v>
      </c>
      <c r="M1083" s="103" t="str">
        <f t="shared" si="83"/>
        <v>http://oconnordata.com/mlink/modules/profile/index.cfm?action=profile&amp;prop_id=1240</v>
      </c>
      <c r="N1083" s="1" t="str">
        <f t="shared" si="84"/>
        <v>01240</v>
      </c>
    </row>
    <row r="1084" spans="1:14" x14ac:dyDescent="0.3">
      <c r="A1084" s="1">
        <v>1241</v>
      </c>
      <c r="B1084" s="7" t="s">
        <v>954</v>
      </c>
      <c r="C1084" s="12">
        <v>15726</v>
      </c>
      <c r="D1084" s="7" t="s">
        <v>1643</v>
      </c>
      <c r="E1084" s="13" t="s">
        <v>842</v>
      </c>
      <c r="F1084" t="str">
        <f t="shared" si="80"/>
        <v>Chase</v>
      </c>
      <c r="G1084" t="str">
        <f t="shared" si="81"/>
        <v>Chase15726San Antonio</v>
      </c>
      <c r="H1084" t="s">
        <v>31942</v>
      </c>
      <c r="I1084" t="s">
        <v>23372</v>
      </c>
      <c r="J1084" t="str">
        <f t="shared" si="82"/>
        <v>E:\PropInv\MF</v>
      </c>
      <c r="K1084" s="103" t="str">
        <f>HYPERLINK("E:\PropInv\MF\San Antonio\Chase Hill Blvd_15726_Alpin Park_San Antonio_01241","Chase Hill Blvd_15726_Alpin Park_San Antonio_01241" )</f>
        <v>Chase Hill Blvd_15726_Alpin Park_San Antonio_01241</v>
      </c>
      <c r="L1084" s="104" t="s">
        <v>22253</v>
      </c>
      <c r="M1084" s="103" t="str">
        <f t="shared" si="83"/>
        <v>http://oconnordata.com/mlink/modules/profile/index.cfm?action=profile&amp;prop_id=1241</v>
      </c>
      <c r="N1084" s="1" t="str">
        <f t="shared" si="84"/>
        <v>01241</v>
      </c>
    </row>
    <row r="1085" spans="1:14" x14ac:dyDescent="0.3">
      <c r="A1085" s="1">
        <v>1242</v>
      </c>
      <c r="B1085" s="7" t="s">
        <v>1644</v>
      </c>
      <c r="C1085" s="12">
        <v>915</v>
      </c>
      <c r="D1085" s="7" t="s">
        <v>1645</v>
      </c>
      <c r="E1085" s="13" t="s">
        <v>1646</v>
      </c>
      <c r="F1085" t="str">
        <f t="shared" si="80"/>
        <v>Baker</v>
      </c>
      <c r="G1085" t="str">
        <f t="shared" si="81"/>
        <v>Baker915Tomball</v>
      </c>
      <c r="H1085" t="s">
        <v>31943</v>
      </c>
      <c r="I1085" t="s">
        <v>23373</v>
      </c>
      <c r="J1085" t="str">
        <f t="shared" si="82"/>
        <v>E:\PropInv\MF</v>
      </c>
      <c r="K1085" s="103" t="str">
        <f>HYPERLINK("E:\PropInv\MF\Tomball\Baker St_915_Oak Bend Place_Tomball_01242","Baker St_915_Oak Bend Place_Tomball_01242" )</f>
        <v>Baker St_915_Oak Bend Place_Tomball_01242</v>
      </c>
      <c r="L1085" s="104" t="s">
        <v>22253</v>
      </c>
      <c r="M1085" s="103" t="str">
        <f t="shared" si="83"/>
        <v>http://oconnordata.com/mlink/modules/profile/index.cfm?action=profile&amp;prop_id=1242</v>
      </c>
      <c r="N1085" s="1" t="str">
        <f t="shared" si="84"/>
        <v>01242</v>
      </c>
    </row>
    <row r="1086" spans="1:14" x14ac:dyDescent="0.3">
      <c r="A1086" s="1">
        <v>1244</v>
      </c>
      <c r="B1086" s="7" t="s">
        <v>1647</v>
      </c>
      <c r="C1086" s="12">
        <v>29807</v>
      </c>
      <c r="D1086" s="7" t="s">
        <v>1648</v>
      </c>
      <c r="E1086" s="13" t="s">
        <v>1646</v>
      </c>
      <c r="F1086" t="str">
        <f t="shared" si="80"/>
        <v>Tomball</v>
      </c>
      <c r="G1086" t="str">
        <f t="shared" si="81"/>
        <v>Tomball29807Tomball</v>
      </c>
      <c r="H1086" t="s">
        <v>31944</v>
      </c>
      <c r="I1086" t="s">
        <v>23374</v>
      </c>
      <c r="J1086" t="str">
        <f t="shared" si="82"/>
        <v>E:\PropInv\MF</v>
      </c>
      <c r="K1086" s="103" t="str">
        <f>HYPERLINK("E:\PropInv\MF\Tomball\Tomball Pkwy_29807_The Park at Spring Creek_Tomball_01244","Tomball Pkwy_29807_The Park at Spring Creek_Tomball_01244" )</f>
        <v>Tomball Pkwy_29807_The Park at Spring Creek_Tomball_01244</v>
      </c>
      <c r="L1086" s="104" t="s">
        <v>22253</v>
      </c>
      <c r="M1086" s="103" t="str">
        <f t="shared" si="83"/>
        <v>http://oconnordata.com/mlink/modules/profile/index.cfm?action=profile&amp;prop_id=1244</v>
      </c>
      <c r="N1086" s="1" t="str">
        <f t="shared" si="84"/>
        <v>01244</v>
      </c>
    </row>
    <row r="1087" spans="1:14" x14ac:dyDescent="0.3">
      <c r="A1087" s="1">
        <v>1245</v>
      </c>
      <c r="B1087" s="7" t="s">
        <v>1649</v>
      </c>
      <c r="C1087" s="12">
        <v>1515</v>
      </c>
      <c r="D1087" s="7" t="s">
        <v>1650</v>
      </c>
      <c r="E1087" s="13" t="s">
        <v>1646</v>
      </c>
      <c r="F1087" t="str">
        <f t="shared" si="80"/>
        <v>Rudel</v>
      </c>
      <c r="G1087" t="str">
        <f t="shared" si="81"/>
        <v>Rudel1515Tomball</v>
      </c>
      <c r="H1087" t="s">
        <v>31945</v>
      </c>
      <c r="I1087" t="s">
        <v>23375</v>
      </c>
      <c r="J1087" t="str">
        <f t="shared" si="82"/>
        <v>E:\PropInv\MF</v>
      </c>
      <c r="K1087" s="103" t="str">
        <f>HYPERLINK("E:\PropInv\MF\Tomball\Rudel Rd_1515_Marymont_Tomball_01245","Rudel Rd_1515_Marymont_Tomball_01245" )</f>
        <v>Rudel Rd_1515_Marymont_Tomball_01245</v>
      </c>
      <c r="L1087" s="104" t="s">
        <v>22253</v>
      </c>
      <c r="M1087" s="103" t="str">
        <f t="shared" si="83"/>
        <v>http://oconnordata.com/mlink/modules/profile/index.cfm?action=profile&amp;prop_id=1245</v>
      </c>
      <c r="N1087" s="1" t="str">
        <f t="shared" si="84"/>
        <v>01245</v>
      </c>
    </row>
    <row r="1088" spans="1:14" x14ac:dyDescent="0.3">
      <c r="A1088" s="1">
        <v>1246</v>
      </c>
      <c r="B1088" s="7" t="s">
        <v>1651</v>
      </c>
      <c r="C1088" s="12">
        <v>1000</v>
      </c>
      <c r="D1088" s="7" t="s">
        <v>1652</v>
      </c>
      <c r="E1088" s="13" t="s">
        <v>1646</v>
      </c>
      <c r="F1088" t="str">
        <f t="shared" si="80"/>
        <v>Hicks</v>
      </c>
      <c r="G1088" t="str">
        <f t="shared" si="81"/>
        <v>Hicks1000Tomball</v>
      </c>
      <c r="H1088" t="s">
        <v>31946</v>
      </c>
      <c r="I1088" t="s">
        <v>23376</v>
      </c>
      <c r="J1088" t="str">
        <f t="shared" si="82"/>
        <v>E:\PropInv\MF</v>
      </c>
      <c r="K1088" s="103" t="str">
        <f>HYPERLINK("E:\PropInv\MF\Tomball\Hicks St_1000_Hickory Hill_Tomball_01246","Hicks St_1000_Hickory Hill_Tomball_01246" )</f>
        <v>Hicks St_1000_Hickory Hill_Tomball_01246</v>
      </c>
      <c r="L1088" s="104" t="s">
        <v>22253</v>
      </c>
      <c r="M1088" s="103" t="str">
        <f t="shared" si="83"/>
        <v>http://oconnordata.com/mlink/modules/profile/index.cfm?action=profile&amp;prop_id=1246</v>
      </c>
      <c r="N1088" s="1" t="str">
        <f t="shared" si="84"/>
        <v>01246</v>
      </c>
    </row>
    <row r="1089" spans="1:14" x14ac:dyDescent="0.3">
      <c r="A1089" s="1">
        <v>1247</v>
      </c>
      <c r="B1089" s="7" t="s">
        <v>1653</v>
      </c>
      <c r="C1089" s="12">
        <v>1011</v>
      </c>
      <c r="D1089" s="7" t="s">
        <v>1654</v>
      </c>
      <c r="E1089" s="13" t="s">
        <v>1646</v>
      </c>
      <c r="F1089" t="str">
        <f t="shared" si="80"/>
        <v>Village</v>
      </c>
      <c r="G1089" t="str">
        <f t="shared" si="81"/>
        <v>Village1011Tomball</v>
      </c>
      <c r="H1089" t="s">
        <v>31947</v>
      </c>
      <c r="I1089" t="s">
        <v>23377</v>
      </c>
      <c r="J1089" t="str">
        <f t="shared" si="82"/>
        <v>E:\PropInv\MF</v>
      </c>
      <c r="K1089" s="103" t="str">
        <f>HYPERLINK("E:\PropInv\MF\Tomball\Village Sq Dr_1011_Fountains of Tomball_Tomball_01247","Village Sq Dr_1011_Fountains of Tomball_Tomball_01247" )</f>
        <v>Village Sq Dr_1011_Fountains of Tomball_Tomball_01247</v>
      </c>
      <c r="L1089" s="104" t="s">
        <v>22253</v>
      </c>
      <c r="M1089" s="103" t="str">
        <f t="shared" si="83"/>
        <v>http://oconnordata.com/mlink/modules/profile/index.cfm?action=profile&amp;prop_id=1247</v>
      </c>
      <c r="N1089" s="1" t="str">
        <f t="shared" si="84"/>
        <v>01247</v>
      </c>
    </row>
    <row r="1090" spans="1:14" x14ac:dyDescent="0.3">
      <c r="A1090" s="1">
        <v>1248</v>
      </c>
      <c r="B1090" s="7" t="s">
        <v>1655</v>
      </c>
      <c r="C1090" s="12">
        <v>16700</v>
      </c>
      <c r="D1090" s="7" t="s">
        <v>1656</v>
      </c>
      <c r="E1090" s="13" t="s">
        <v>1657</v>
      </c>
      <c r="F1090" t="str">
        <f t="shared" ref="F1090:F1153" si="85">IFERROR(LEFT(B1090,FIND(" ",B1090)-1),B1090)</f>
        <v>Kuykendahl</v>
      </c>
      <c r="G1090" t="str">
        <f t="shared" ref="G1090:G1153" si="86">F1090&amp;C1090&amp;E1090</f>
        <v>Kuykendahl16700Houston</v>
      </c>
      <c r="H1090" t="s">
        <v>31948</v>
      </c>
      <c r="I1090" t="s">
        <v>23378</v>
      </c>
      <c r="J1090" t="str">
        <f t="shared" ref="J1090:J1153" si="87">IF(L1090="TX",Folder_Path,Folder_Path&amp;"\State_"&amp;L1090)</f>
        <v>E:\PropInv\MF</v>
      </c>
      <c r="K1090" s="103" t="str">
        <f>HYPERLINK("E:\PropInv\MF\Houston\Kuykendahl_16700_Emerald Cove_Houston_01248","Kuykendahl_16700_Emerald Cove_Houston_01248" )</f>
        <v>Kuykendahl_16700_Emerald Cove_Houston_01248</v>
      </c>
      <c r="L1090" s="104" t="s">
        <v>22253</v>
      </c>
      <c r="M1090" s="103" t="str">
        <f t="shared" ref="M1090:M1153" si="88">HYPERLINK("http://oconnordata.com/mlink/modules/profile/index.cfm?action=profile&amp;prop_id="&amp;A1090)</f>
        <v>http://oconnordata.com/mlink/modules/profile/index.cfm?action=profile&amp;prop_id=1248</v>
      </c>
      <c r="N1090" s="1" t="str">
        <f t="shared" ref="N1090:N1153" si="89">IF(LEN(A1090)=1,"0000"&amp;A1090,IF(LEN(A1090)=2,"000"&amp;A1090,IF(LEN(A1090)=3,"00"&amp;A1090,IF(LEN(A1090)=4,"0"&amp;A1090,IF(LEN(A1090)=5,IF(LEFT(A1090,1)="3",A1090+30000,A1090))))))</f>
        <v>01248</v>
      </c>
    </row>
    <row r="1091" spans="1:14" x14ac:dyDescent="0.3">
      <c r="A1091" s="1">
        <v>1249</v>
      </c>
      <c r="B1091" s="7" t="s">
        <v>1658</v>
      </c>
      <c r="C1091" s="12">
        <v>17033</v>
      </c>
      <c r="D1091" s="7" t="s">
        <v>1659</v>
      </c>
      <c r="E1091" s="13" t="s">
        <v>1657</v>
      </c>
      <c r="F1091" t="str">
        <f t="shared" si="85"/>
        <v>Butte</v>
      </c>
      <c r="G1091" t="str">
        <f t="shared" si="86"/>
        <v>Butte17033Houston</v>
      </c>
      <c r="H1091" t="s">
        <v>31949</v>
      </c>
      <c r="I1091" t="s">
        <v>23379</v>
      </c>
      <c r="J1091" t="str">
        <f t="shared" si="87"/>
        <v>E:\PropInv\MF</v>
      </c>
      <c r="K1091" s="103" t="str">
        <f>HYPERLINK("E:\PropInv\MF\Houston\Butte Creek_17033_Ashton Woods_Houston_01249","Butte Creek_17033_Ashton Woods_Houston_01249" )</f>
        <v>Butte Creek_17033_Ashton Woods_Houston_01249</v>
      </c>
      <c r="L1091" s="104" t="s">
        <v>22253</v>
      </c>
      <c r="M1091" s="103" t="str">
        <f t="shared" si="88"/>
        <v>http://oconnordata.com/mlink/modules/profile/index.cfm?action=profile&amp;prop_id=1249</v>
      </c>
      <c r="N1091" s="1" t="str">
        <f t="shared" si="89"/>
        <v>01249</v>
      </c>
    </row>
    <row r="1092" spans="1:14" x14ac:dyDescent="0.3">
      <c r="A1092" s="1">
        <v>1250</v>
      </c>
      <c r="B1092" s="7" t="s">
        <v>1660</v>
      </c>
      <c r="C1092" s="12">
        <v>3415</v>
      </c>
      <c r="D1092" s="7" t="s">
        <v>1661</v>
      </c>
      <c r="E1092" s="13" t="s">
        <v>1662</v>
      </c>
      <c r="F1092" t="str">
        <f t="shared" si="85"/>
        <v>Havenbrook</v>
      </c>
      <c r="G1092" t="str">
        <f t="shared" si="86"/>
        <v>Havenbrook3415Kingwood</v>
      </c>
      <c r="H1092" t="s">
        <v>31950</v>
      </c>
      <c r="I1092" t="s">
        <v>23380</v>
      </c>
      <c r="J1092" t="str">
        <f t="shared" si="87"/>
        <v>E:\PropInv\MF</v>
      </c>
      <c r="K1092" s="103" t="str">
        <f>HYPERLINK("E:\PropInv\MF\Kingwood\Havenbrook Dr_3415_Oaks of Kingwood I_Kingwood_01250","Havenbrook Dr_3415_Oaks of Kingwood I_Kingwood_01250" )</f>
        <v>Havenbrook Dr_3415_Oaks of Kingwood I_Kingwood_01250</v>
      </c>
      <c r="L1092" s="104" t="s">
        <v>22253</v>
      </c>
      <c r="M1092" s="103" t="str">
        <f t="shared" si="88"/>
        <v>http://oconnordata.com/mlink/modules/profile/index.cfm?action=profile&amp;prop_id=1250</v>
      </c>
      <c r="N1092" s="1" t="str">
        <f t="shared" si="89"/>
        <v>01250</v>
      </c>
    </row>
    <row r="1093" spans="1:14" x14ac:dyDescent="0.3">
      <c r="A1093" s="1">
        <v>1251</v>
      </c>
      <c r="B1093" s="7" t="s">
        <v>1660</v>
      </c>
      <c r="C1093" s="12">
        <v>3415</v>
      </c>
      <c r="D1093" s="7" t="s">
        <v>1663</v>
      </c>
      <c r="E1093" s="13" t="s">
        <v>1662</v>
      </c>
      <c r="F1093" t="str">
        <f t="shared" si="85"/>
        <v>Havenbrook</v>
      </c>
      <c r="G1093" t="str">
        <f t="shared" si="86"/>
        <v>Havenbrook3415Kingwood</v>
      </c>
      <c r="H1093" t="s">
        <v>31951</v>
      </c>
      <c r="I1093" t="s">
        <v>23381</v>
      </c>
      <c r="J1093" t="str">
        <f t="shared" si="87"/>
        <v>E:\PropInv\MF</v>
      </c>
      <c r="K1093" s="103" t="str">
        <f>HYPERLINK("E:\PropInv\MF\Kingwood\Havenbrook Dr_3415_Oaks of Kingwood II_Kingwood_01251","Havenbrook Dr_3415_Oaks of Kingwood II_Kingwood_01251" )</f>
        <v>Havenbrook Dr_3415_Oaks of Kingwood II_Kingwood_01251</v>
      </c>
      <c r="L1093" s="104" t="s">
        <v>22253</v>
      </c>
      <c r="M1093" s="103" t="str">
        <f t="shared" si="88"/>
        <v>http://oconnordata.com/mlink/modules/profile/index.cfm?action=profile&amp;prop_id=1251</v>
      </c>
      <c r="N1093" s="1" t="str">
        <f t="shared" si="89"/>
        <v>01251</v>
      </c>
    </row>
    <row r="1094" spans="1:14" x14ac:dyDescent="0.3">
      <c r="A1094" s="1">
        <v>1252</v>
      </c>
      <c r="B1094" s="7" t="s">
        <v>1664</v>
      </c>
      <c r="C1094" s="12">
        <v>11000</v>
      </c>
      <c r="D1094" s="7" t="s">
        <v>1665</v>
      </c>
      <c r="E1094" s="13" t="s">
        <v>1646</v>
      </c>
      <c r="F1094" t="str">
        <f t="shared" si="85"/>
        <v>Gatesden</v>
      </c>
      <c r="G1094" t="str">
        <f t="shared" si="86"/>
        <v>Gatesden11000Tomball</v>
      </c>
      <c r="H1094" t="s">
        <v>31952</v>
      </c>
      <c r="I1094" t="s">
        <v>23382</v>
      </c>
      <c r="J1094" t="str">
        <f t="shared" si="87"/>
        <v>E:\PropInv\MF</v>
      </c>
      <c r="K1094" s="103" t="str">
        <f>HYPERLINK("E:\PropInv\MF\Tomball\Gatesden_11000_Lakewood_Tomball_01252","Gatesden_11000_Lakewood_Tomball_01252" )</f>
        <v>Gatesden_11000_Lakewood_Tomball_01252</v>
      </c>
      <c r="L1094" s="104" t="s">
        <v>22253</v>
      </c>
      <c r="M1094" s="103" t="str">
        <f t="shared" si="88"/>
        <v>http://oconnordata.com/mlink/modules/profile/index.cfm?action=profile&amp;prop_id=1252</v>
      </c>
      <c r="N1094" s="1" t="str">
        <f t="shared" si="89"/>
        <v>01252</v>
      </c>
    </row>
    <row r="1095" spans="1:14" x14ac:dyDescent="0.3">
      <c r="A1095" s="1">
        <v>1253</v>
      </c>
      <c r="B1095" s="7" t="s">
        <v>1666</v>
      </c>
      <c r="C1095" s="12">
        <v>14131</v>
      </c>
      <c r="D1095" s="7" t="s">
        <v>1667</v>
      </c>
      <c r="E1095" s="13" t="s">
        <v>1657</v>
      </c>
      <c r="F1095" t="str">
        <f t="shared" si="85"/>
        <v>Cornerstone</v>
      </c>
      <c r="G1095" t="str">
        <f t="shared" si="86"/>
        <v>Cornerstone14131Houston</v>
      </c>
      <c r="H1095" t="s">
        <v>31953</v>
      </c>
      <c r="I1095" t="s">
        <v>23383</v>
      </c>
      <c r="J1095" t="str">
        <f t="shared" si="87"/>
        <v>E:\PropInv\MF</v>
      </c>
      <c r="K1095" s="103" t="str">
        <f>HYPERLINK("E:\PropInv\MF\Houston\Cornerstone Village Dr_14131_North Bend_Houston_01253","Cornerstone Village Dr_14131_North Bend_Houston_01253" )</f>
        <v>Cornerstone Village Dr_14131_North Bend_Houston_01253</v>
      </c>
      <c r="L1095" s="104" t="s">
        <v>22253</v>
      </c>
      <c r="M1095" s="103" t="str">
        <f t="shared" si="88"/>
        <v>http://oconnordata.com/mlink/modules/profile/index.cfm?action=profile&amp;prop_id=1253</v>
      </c>
      <c r="N1095" s="1" t="str">
        <f t="shared" si="89"/>
        <v>01253</v>
      </c>
    </row>
    <row r="1096" spans="1:14" x14ac:dyDescent="0.3">
      <c r="A1096" s="1">
        <v>1254</v>
      </c>
      <c r="B1096" s="7" t="s">
        <v>1666</v>
      </c>
      <c r="C1096" s="12">
        <v>14355</v>
      </c>
      <c r="D1096" s="7" t="s">
        <v>1668</v>
      </c>
      <c r="E1096" s="13" t="s">
        <v>1657</v>
      </c>
      <c r="F1096" t="str">
        <f t="shared" si="85"/>
        <v>Cornerstone</v>
      </c>
      <c r="G1096" t="str">
        <f t="shared" si="86"/>
        <v>Cornerstone14355Houston</v>
      </c>
      <c r="H1096" t="s">
        <v>31954</v>
      </c>
      <c r="I1096" t="s">
        <v>23384</v>
      </c>
      <c r="J1096" t="str">
        <f t="shared" si="87"/>
        <v>E:\PropInv\MF</v>
      </c>
      <c r="K1096" s="103" t="str">
        <f>HYPERLINK("E:\PropInv\MF\Houston\Cornerstone Village Dr_14355_Cypress Creek_Houston_01254","Cornerstone Village Dr_14355_Cypress Creek_Houston_01254" )</f>
        <v>Cornerstone Village Dr_14355_Cypress Creek_Houston_01254</v>
      </c>
      <c r="L1096" s="104" t="s">
        <v>22253</v>
      </c>
      <c r="M1096" s="103" t="str">
        <f t="shared" si="88"/>
        <v>http://oconnordata.com/mlink/modules/profile/index.cfm?action=profile&amp;prop_id=1254</v>
      </c>
      <c r="N1096" s="1" t="str">
        <f t="shared" si="89"/>
        <v>01254</v>
      </c>
    </row>
    <row r="1097" spans="1:14" x14ac:dyDescent="0.3">
      <c r="A1097" s="1">
        <v>1255</v>
      </c>
      <c r="B1097" s="7" t="s">
        <v>1669</v>
      </c>
      <c r="C1097" s="12">
        <v>7133</v>
      </c>
      <c r="D1097" s="7" t="s">
        <v>1670</v>
      </c>
      <c r="E1097" s="13" t="s">
        <v>1671</v>
      </c>
      <c r="F1097" t="str">
        <f t="shared" si="85"/>
        <v>Oakwood</v>
      </c>
      <c r="G1097" t="str">
        <f t="shared" si="86"/>
        <v>Oakwood7133Spring</v>
      </c>
      <c r="H1097" t="s">
        <v>31955</v>
      </c>
      <c r="I1097" t="s">
        <v>23385</v>
      </c>
      <c r="J1097" t="str">
        <f t="shared" si="87"/>
        <v>E:\PropInv\MF</v>
      </c>
      <c r="K1097" s="103" t="str">
        <f>HYPERLINK("E:\PropInv\MF\Spring\Oakwood Glen Blvd_7133_Spring Oaks I_Spring_01255","Oakwood Glen Blvd_7133_Spring Oaks I_Spring_01255" )</f>
        <v>Oakwood Glen Blvd_7133_Spring Oaks I_Spring_01255</v>
      </c>
      <c r="L1097" s="104" t="s">
        <v>22253</v>
      </c>
      <c r="M1097" s="103" t="str">
        <f t="shared" si="88"/>
        <v>http://oconnordata.com/mlink/modules/profile/index.cfm?action=profile&amp;prop_id=1255</v>
      </c>
      <c r="N1097" s="1" t="str">
        <f t="shared" si="89"/>
        <v>01255</v>
      </c>
    </row>
    <row r="1098" spans="1:14" x14ac:dyDescent="0.3">
      <c r="A1098" s="1">
        <v>1257</v>
      </c>
      <c r="B1098" s="7" t="s">
        <v>1672</v>
      </c>
      <c r="C1098" s="12">
        <v>7203</v>
      </c>
      <c r="D1098" s="7" t="s">
        <v>1673</v>
      </c>
      <c r="E1098" s="13" t="s">
        <v>1671</v>
      </c>
      <c r="F1098" t="str">
        <f t="shared" si="85"/>
        <v>Oakwood</v>
      </c>
      <c r="G1098" t="str">
        <f t="shared" si="86"/>
        <v>Oakwood7203Spring</v>
      </c>
      <c r="H1098" t="s">
        <v>31956</v>
      </c>
      <c r="I1098" t="s">
        <v>23386</v>
      </c>
      <c r="J1098" t="str">
        <f t="shared" si="87"/>
        <v>E:\PropInv\MF</v>
      </c>
      <c r="K1098" s="103" t="str">
        <f>HYPERLINK("E:\PropInv\MF\Spring\Oakwood Glen_7203_The Cottages of Cypresswood_Spring_01257","Oakwood Glen_7203_The Cottages of Cypresswood_Spring_01257" )</f>
        <v>Oakwood Glen_7203_The Cottages of Cypresswood_Spring_01257</v>
      </c>
      <c r="L1098" s="104" t="s">
        <v>22253</v>
      </c>
      <c r="M1098" s="103" t="str">
        <f t="shared" si="88"/>
        <v>http://oconnordata.com/mlink/modules/profile/index.cfm?action=profile&amp;prop_id=1257</v>
      </c>
      <c r="N1098" s="1" t="str">
        <f t="shared" si="89"/>
        <v>01257</v>
      </c>
    </row>
    <row r="1099" spans="1:14" x14ac:dyDescent="0.3">
      <c r="A1099" s="1">
        <v>1258</v>
      </c>
      <c r="B1099" s="7" t="s">
        <v>1674</v>
      </c>
      <c r="C1099" s="12">
        <v>16414</v>
      </c>
      <c r="D1099" s="7" t="s">
        <v>1675</v>
      </c>
      <c r="E1099" s="13" t="s">
        <v>1671</v>
      </c>
      <c r="F1099" t="str">
        <f t="shared" si="85"/>
        <v>Stuebner</v>
      </c>
      <c r="G1099" t="str">
        <f t="shared" si="86"/>
        <v>Stuebner16414Spring</v>
      </c>
      <c r="H1099" t="s">
        <v>31957</v>
      </c>
      <c r="I1099" t="s">
        <v>23387</v>
      </c>
      <c r="J1099" t="str">
        <f t="shared" si="87"/>
        <v>E:\PropInv\MF</v>
      </c>
      <c r="K1099" s="103" t="str">
        <f>HYPERLINK("E:\PropInv\MF\Spring\Stuebner Airline_16414_Oaks of Wimbledon_Spring_01258","Stuebner Airline_16414_Oaks of Wimbledon_Spring_01258" )</f>
        <v>Stuebner Airline_16414_Oaks of Wimbledon_Spring_01258</v>
      </c>
      <c r="L1099" s="104" t="s">
        <v>22253</v>
      </c>
      <c r="M1099" s="103" t="str">
        <f t="shared" si="88"/>
        <v>http://oconnordata.com/mlink/modules/profile/index.cfm?action=profile&amp;prop_id=1258</v>
      </c>
      <c r="N1099" s="1" t="str">
        <f t="shared" si="89"/>
        <v>01258</v>
      </c>
    </row>
    <row r="1100" spans="1:14" x14ac:dyDescent="0.3">
      <c r="A1100" s="1">
        <v>1260</v>
      </c>
      <c r="B1100" s="7" t="s">
        <v>1676</v>
      </c>
      <c r="C1100" s="12">
        <v>16222</v>
      </c>
      <c r="D1100" s="7" t="s">
        <v>1677</v>
      </c>
      <c r="E1100" s="13" t="s">
        <v>1671</v>
      </c>
      <c r="F1100" t="str">
        <f t="shared" si="85"/>
        <v>Stuebner</v>
      </c>
      <c r="G1100" t="str">
        <f t="shared" si="86"/>
        <v>Stuebner16222Spring</v>
      </c>
      <c r="H1100" t="s">
        <v>31958</v>
      </c>
      <c r="I1100" t="s">
        <v>23388</v>
      </c>
      <c r="J1100" t="str">
        <f t="shared" si="87"/>
        <v>E:\PropInv\MF</v>
      </c>
      <c r="K1100" s="103" t="str">
        <f>HYPERLINK("E:\PropInv\MF\Spring\Stuebner Airline Rd_16222_Wimbledon_Spring_01260","Stuebner Airline Rd_16222_Wimbledon_Spring_01260" )</f>
        <v>Stuebner Airline Rd_16222_Wimbledon_Spring_01260</v>
      </c>
      <c r="L1100" s="104" t="s">
        <v>22253</v>
      </c>
      <c r="M1100" s="103" t="str">
        <f t="shared" si="88"/>
        <v>http://oconnordata.com/mlink/modules/profile/index.cfm?action=profile&amp;prop_id=1260</v>
      </c>
      <c r="N1100" s="1" t="str">
        <f t="shared" si="89"/>
        <v>01260</v>
      </c>
    </row>
    <row r="1101" spans="1:14" x14ac:dyDescent="0.3">
      <c r="A1101" s="1">
        <v>1261</v>
      </c>
      <c r="B1101" s="7" t="s">
        <v>1674</v>
      </c>
      <c r="C1101" s="12">
        <v>16339</v>
      </c>
      <c r="D1101" s="7" t="s">
        <v>1678</v>
      </c>
      <c r="E1101" s="13" t="s">
        <v>1671</v>
      </c>
      <c r="F1101" t="str">
        <f t="shared" si="85"/>
        <v>Stuebner</v>
      </c>
      <c r="G1101" t="str">
        <f t="shared" si="86"/>
        <v>Stuebner16339Spring</v>
      </c>
      <c r="H1101" t="s">
        <v>31959</v>
      </c>
      <c r="I1101" t="s">
        <v>23389</v>
      </c>
      <c r="J1101" t="str">
        <f t="shared" si="87"/>
        <v>E:\PropInv\MF</v>
      </c>
      <c r="K1101" s="103" t="str">
        <f>HYPERLINK("E:\PropInv\MF\Spring\Stuebner Airline_16339_Mill Creek_Spring_01261","Stuebner Airline_16339_Mill Creek_Spring_01261" )</f>
        <v>Stuebner Airline_16339_Mill Creek_Spring_01261</v>
      </c>
      <c r="L1101" s="104" t="s">
        <v>22253</v>
      </c>
      <c r="M1101" s="103" t="str">
        <f t="shared" si="88"/>
        <v>http://oconnordata.com/mlink/modules/profile/index.cfm?action=profile&amp;prop_id=1261</v>
      </c>
      <c r="N1101" s="1" t="str">
        <f t="shared" si="89"/>
        <v>01261</v>
      </c>
    </row>
    <row r="1102" spans="1:14" x14ac:dyDescent="0.3">
      <c r="A1102" s="1">
        <v>1262</v>
      </c>
      <c r="B1102" s="7" t="s">
        <v>1679</v>
      </c>
      <c r="C1102" s="12">
        <v>14500</v>
      </c>
      <c r="D1102" s="7" t="s">
        <v>1680</v>
      </c>
      <c r="E1102" s="13" t="s">
        <v>1657</v>
      </c>
      <c r="F1102" t="str">
        <f t="shared" si="85"/>
        <v>Cutten</v>
      </c>
      <c r="G1102" t="str">
        <f t="shared" si="86"/>
        <v>Cutten14500Houston</v>
      </c>
      <c r="H1102" t="s">
        <v>31960</v>
      </c>
      <c r="I1102" t="s">
        <v>23390</v>
      </c>
      <c r="J1102" t="str">
        <f t="shared" si="87"/>
        <v>E:\PropInv\MF</v>
      </c>
      <c r="K1102" s="103" t="str">
        <f>HYPERLINK("E:\PropInv\MF\Houston\Cutten Rd_14500_Raveneaux_Houston_01262","Cutten Rd_14500_Raveneaux_Houston_01262" )</f>
        <v>Cutten Rd_14500_Raveneaux_Houston_01262</v>
      </c>
      <c r="L1102" s="104" t="s">
        <v>22253</v>
      </c>
      <c r="M1102" s="103" t="str">
        <f t="shared" si="88"/>
        <v>http://oconnordata.com/mlink/modules/profile/index.cfm?action=profile&amp;prop_id=1262</v>
      </c>
      <c r="N1102" s="1" t="str">
        <f t="shared" si="89"/>
        <v>01262</v>
      </c>
    </row>
    <row r="1103" spans="1:14" x14ac:dyDescent="0.3">
      <c r="A1103" s="1">
        <v>1265</v>
      </c>
      <c r="B1103" s="7" t="s">
        <v>1681</v>
      </c>
      <c r="C1103" s="12">
        <v>2911</v>
      </c>
      <c r="D1103" s="7" t="s">
        <v>1682</v>
      </c>
      <c r="E1103" s="13" t="s">
        <v>1662</v>
      </c>
      <c r="F1103" t="str">
        <f t="shared" si="85"/>
        <v>Sycamore</v>
      </c>
      <c r="G1103" t="str">
        <f t="shared" si="86"/>
        <v>Sycamore2911Kingwood</v>
      </c>
      <c r="H1103" t="s">
        <v>31961</v>
      </c>
      <c r="I1103" t="s">
        <v>23391</v>
      </c>
      <c r="J1103" t="str">
        <f t="shared" si="87"/>
        <v>E:\PropInv\MF</v>
      </c>
      <c r="K1103" s="103" t="str">
        <f>HYPERLINK("E:\PropInv\MF\Kingwood\Sycamore Springs Dr_2911_Elm Creek_Kingwood_01265","Sycamore Springs Dr_2911_Elm Creek_Kingwood_01265" )</f>
        <v>Sycamore Springs Dr_2911_Elm Creek_Kingwood_01265</v>
      </c>
      <c r="L1103" s="104" t="s">
        <v>22253</v>
      </c>
      <c r="M1103" s="103" t="str">
        <f t="shared" si="88"/>
        <v>http://oconnordata.com/mlink/modules/profile/index.cfm?action=profile&amp;prop_id=1265</v>
      </c>
      <c r="N1103" s="1" t="str">
        <f t="shared" si="89"/>
        <v>01265</v>
      </c>
    </row>
    <row r="1104" spans="1:14" x14ac:dyDescent="0.3">
      <c r="A1104" s="1">
        <v>1266</v>
      </c>
      <c r="B1104" s="7" t="s">
        <v>1681</v>
      </c>
      <c r="C1104" s="12">
        <v>2921</v>
      </c>
      <c r="D1104" s="7" t="s">
        <v>1683</v>
      </c>
      <c r="E1104" s="13" t="s">
        <v>1662</v>
      </c>
      <c r="F1104" t="str">
        <f t="shared" si="85"/>
        <v>Sycamore</v>
      </c>
      <c r="G1104" t="str">
        <f t="shared" si="86"/>
        <v>Sycamore2921Kingwood</v>
      </c>
      <c r="H1104" t="s">
        <v>31962</v>
      </c>
      <c r="I1104" t="s">
        <v>23392</v>
      </c>
      <c r="J1104" t="str">
        <f t="shared" si="87"/>
        <v>E:\PropInv\MF</v>
      </c>
      <c r="K1104" s="103" t="str">
        <f>HYPERLINK("E:\PropInv\MF\Kingwood\Sycamore Springs Dr_2921_Elm Grove_Kingwood_01266","Sycamore Springs Dr_2921_Elm Grove_Kingwood_01266" )</f>
        <v>Sycamore Springs Dr_2921_Elm Grove_Kingwood_01266</v>
      </c>
      <c r="L1104" s="104" t="s">
        <v>22253</v>
      </c>
      <c r="M1104" s="103" t="str">
        <f t="shared" si="88"/>
        <v>http://oconnordata.com/mlink/modules/profile/index.cfm?action=profile&amp;prop_id=1266</v>
      </c>
      <c r="N1104" s="1" t="str">
        <f t="shared" si="89"/>
        <v>01266</v>
      </c>
    </row>
    <row r="1105" spans="1:14" x14ac:dyDescent="0.3">
      <c r="A1105" s="1">
        <v>1267</v>
      </c>
      <c r="B1105" s="7" t="s">
        <v>1684</v>
      </c>
      <c r="C1105" s="12">
        <v>327</v>
      </c>
      <c r="D1105" s="7" t="s">
        <v>1685</v>
      </c>
      <c r="E1105" s="13" t="s">
        <v>1646</v>
      </c>
      <c r="F1105" t="str">
        <f t="shared" si="85"/>
        <v>Hufsmith</v>
      </c>
      <c r="G1105" t="str">
        <f t="shared" si="86"/>
        <v>Hufsmith327Tomball</v>
      </c>
      <c r="H1105" t="s">
        <v>31963</v>
      </c>
      <c r="I1105" t="s">
        <v>23393</v>
      </c>
      <c r="J1105" t="str">
        <f t="shared" si="87"/>
        <v>E:\PropInv\MF</v>
      </c>
      <c r="K1105" s="103" t="str">
        <f>HYPERLINK("E:\PropInv\MF\Tomball\Hufsmith W_327_Terrace Hills_Tomball_01267","Hufsmith W_327_Terrace Hills_Tomball_01267" )</f>
        <v>Hufsmith W_327_Terrace Hills_Tomball_01267</v>
      </c>
      <c r="L1105" s="104" t="s">
        <v>22253</v>
      </c>
      <c r="M1105" s="103" t="str">
        <f t="shared" si="88"/>
        <v>http://oconnordata.com/mlink/modules/profile/index.cfm?action=profile&amp;prop_id=1267</v>
      </c>
      <c r="N1105" s="1" t="str">
        <f t="shared" si="89"/>
        <v>01267</v>
      </c>
    </row>
    <row r="1106" spans="1:14" x14ac:dyDescent="0.3">
      <c r="A1106" s="1">
        <v>1270</v>
      </c>
      <c r="B1106" s="7" t="s">
        <v>1686</v>
      </c>
      <c r="C1106" s="12">
        <v>1100</v>
      </c>
      <c r="D1106" s="7" t="s">
        <v>1687</v>
      </c>
      <c r="E1106" s="13" t="s">
        <v>1646</v>
      </c>
      <c r="F1106" t="str">
        <f t="shared" si="85"/>
        <v>Graham</v>
      </c>
      <c r="G1106" t="str">
        <f t="shared" si="86"/>
        <v>Graham1100Tomball</v>
      </c>
      <c r="H1106" t="s">
        <v>31964</v>
      </c>
      <c r="I1106" t="s">
        <v>23394</v>
      </c>
      <c r="J1106" t="str">
        <f t="shared" si="87"/>
        <v>E:\PropInv\MF</v>
      </c>
      <c r="K1106" s="103" t="str">
        <f>HYPERLINK("E:\PropInv\MF\Tomball\Graham Dr_1100_Bridgewater_Tomball_01270","Graham Dr_1100_Bridgewater_Tomball_01270" )</f>
        <v>Graham Dr_1100_Bridgewater_Tomball_01270</v>
      </c>
      <c r="L1106" s="104" t="s">
        <v>22253</v>
      </c>
      <c r="M1106" s="103" t="str">
        <f t="shared" si="88"/>
        <v>http://oconnordata.com/mlink/modules/profile/index.cfm?action=profile&amp;prop_id=1270</v>
      </c>
      <c r="N1106" s="1" t="str">
        <f t="shared" si="89"/>
        <v>01270</v>
      </c>
    </row>
    <row r="1107" spans="1:14" x14ac:dyDescent="0.3">
      <c r="A1107" s="1">
        <v>1272</v>
      </c>
      <c r="B1107" s="7" t="s">
        <v>1688</v>
      </c>
      <c r="C1107" s="12">
        <v>920</v>
      </c>
      <c r="D1107" s="7" t="s">
        <v>1689</v>
      </c>
      <c r="E1107" s="13" t="s">
        <v>1646</v>
      </c>
      <c r="F1107" t="str">
        <f t="shared" si="85"/>
        <v>Lawrence</v>
      </c>
      <c r="G1107" t="str">
        <f t="shared" si="86"/>
        <v>Lawrence920Tomball</v>
      </c>
      <c r="H1107" t="s">
        <v>31965</v>
      </c>
      <c r="I1107" t="s">
        <v>23395</v>
      </c>
      <c r="J1107" t="str">
        <f t="shared" si="87"/>
        <v>E:\PropInv\MF</v>
      </c>
      <c r="K1107" s="103" t="str">
        <f>HYPERLINK("E:\PropInv\MF\Tomball\Lawrence_920_Cobble Creek_Tomball_01272","Lawrence_920_Cobble Creek_Tomball_01272" )</f>
        <v>Lawrence_920_Cobble Creek_Tomball_01272</v>
      </c>
      <c r="L1107" s="104" t="s">
        <v>22253</v>
      </c>
      <c r="M1107" s="103" t="str">
        <f t="shared" si="88"/>
        <v>http://oconnordata.com/mlink/modules/profile/index.cfm?action=profile&amp;prop_id=1272</v>
      </c>
      <c r="N1107" s="1" t="str">
        <f t="shared" si="89"/>
        <v>01272</v>
      </c>
    </row>
    <row r="1108" spans="1:14" x14ac:dyDescent="0.3">
      <c r="A1108" s="1">
        <v>1273</v>
      </c>
      <c r="B1108" s="7" t="s">
        <v>1690</v>
      </c>
      <c r="C1108" s="12">
        <v>300</v>
      </c>
      <c r="D1108" s="7" t="s">
        <v>1691</v>
      </c>
      <c r="E1108" s="13" t="s">
        <v>1646</v>
      </c>
      <c r="F1108" t="str">
        <f t="shared" si="85"/>
        <v>Belmont</v>
      </c>
      <c r="G1108" t="str">
        <f t="shared" si="86"/>
        <v>Belmont300Tomball</v>
      </c>
      <c r="H1108" t="s">
        <v>31966</v>
      </c>
      <c r="I1108" t="s">
        <v>23396</v>
      </c>
      <c r="J1108" t="str">
        <f t="shared" si="87"/>
        <v>E:\PropInv\MF</v>
      </c>
      <c r="K1108" s="103" t="str">
        <f>HYPERLINK("E:\PropInv\MF\Tomball\Belmont St_300_Hampton Place TH_Tomball_01273","Belmont St_300_Hampton Place TH_Tomball_01273" )</f>
        <v>Belmont St_300_Hampton Place TH_Tomball_01273</v>
      </c>
      <c r="L1108" s="104" t="s">
        <v>22253</v>
      </c>
      <c r="M1108" s="103" t="str">
        <f t="shared" si="88"/>
        <v>http://oconnordata.com/mlink/modules/profile/index.cfm?action=profile&amp;prop_id=1273</v>
      </c>
      <c r="N1108" s="1" t="str">
        <f t="shared" si="89"/>
        <v>01273</v>
      </c>
    </row>
    <row r="1109" spans="1:14" x14ac:dyDescent="0.3">
      <c r="A1109" s="1">
        <v>1274</v>
      </c>
      <c r="B1109" s="7" t="s">
        <v>1692</v>
      </c>
      <c r="C1109" s="12">
        <v>19700</v>
      </c>
      <c r="D1109" s="7" t="s">
        <v>1693</v>
      </c>
      <c r="E1109" s="13" t="s">
        <v>1671</v>
      </c>
      <c r="F1109" t="str">
        <f t="shared" si="85"/>
        <v>Hickory</v>
      </c>
      <c r="G1109" t="str">
        <f t="shared" si="86"/>
        <v>Hickory19700Spring</v>
      </c>
      <c r="H1109" t="s">
        <v>31967</v>
      </c>
      <c r="I1109" t="s">
        <v>23397</v>
      </c>
      <c r="J1109" t="str">
        <f t="shared" si="87"/>
        <v>E:\PropInv\MF</v>
      </c>
      <c r="K1109" s="103" t="str">
        <f>HYPERLINK("E:\PropInv\MF\Spring\Hickory Twig Way_19700_Cypresswood Crossing_Spring_01274","Hickory Twig Way_19700_Cypresswood Crossing_Spring_01274" )</f>
        <v>Hickory Twig Way_19700_Cypresswood Crossing_Spring_01274</v>
      </c>
      <c r="L1109" s="104" t="s">
        <v>22253</v>
      </c>
      <c r="M1109" s="103" t="str">
        <f t="shared" si="88"/>
        <v>http://oconnordata.com/mlink/modules/profile/index.cfm?action=profile&amp;prop_id=1274</v>
      </c>
      <c r="N1109" s="1" t="str">
        <f t="shared" si="89"/>
        <v>01274</v>
      </c>
    </row>
    <row r="1110" spans="1:14" x14ac:dyDescent="0.3">
      <c r="A1110" s="1">
        <v>1275</v>
      </c>
      <c r="B1110" s="7" t="s">
        <v>1694</v>
      </c>
      <c r="C1110" s="12">
        <v>555</v>
      </c>
      <c r="D1110" s="7" t="s">
        <v>1695</v>
      </c>
      <c r="E1110" s="13" t="s">
        <v>1671</v>
      </c>
      <c r="F1110" t="str">
        <f t="shared" si="85"/>
        <v>Spring</v>
      </c>
      <c r="G1110" t="str">
        <f t="shared" si="86"/>
        <v>Spring555Spring</v>
      </c>
      <c r="H1110" t="s">
        <v>31968</v>
      </c>
      <c r="I1110" t="s">
        <v>23398</v>
      </c>
      <c r="J1110" t="str">
        <f t="shared" si="87"/>
        <v>E:\PropInv\MF</v>
      </c>
      <c r="K1110" s="103" t="str">
        <f>HYPERLINK("E:\PropInv\MF\Spring\Spring Park Center Blvd_555_Spring Park_Spring_01275","Spring Park Center Blvd_555_Spring Park_Spring_01275" )</f>
        <v>Spring Park Center Blvd_555_Spring Park_Spring_01275</v>
      </c>
      <c r="L1110" s="104" t="s">
        <v>22253</v>
      </c>
      <c r="M1110" s="103" t="str">
        <f t="shared" si="88"/>
        <v>http://oconnordata.com/mlink/modules/profile/index.cfm?action=profile&amp;prop_id=1275</v>
      </c>
      <c r="N1110" s="1" t="str">
        <f t="shared" si="89"/>
        <v>01275</v>
      </c>
    </row>
    <row r="1111" spans="1:14" x14ac:dyDescent="0.3">
      <c r="A1111" s="97">
        <v>1276</v>
      </c>
      <c r="B1111" s="7" t="s">
        <v>1696</v>
      </c>
      <c r="C1111" s="12">
        <v>2139</v>
      </c>
      <c r="D1111" s="7" t="s">
        <v>1697</v>
      </c>
      <c r="E1111" s="13" t="s">
        <v>1662</v>
      </c>
      <c r="F1111" t="str">
        <f t="shared" si="85"/>
        <v>Lake</v>
      </c>
      <c r="G1111" t="str">
        <f t="shared" si="86"/>
        <v>Lake2139Kingwood</v>
      </c>
      <c r="H1111" t="s">
        <v>31969</v>
      </c>
      <c r="I1111" t="s">
        <v>23399</v>
      </c>
      <c r="J1111" t="str">
        <f t="shared" si="87"/>
        <v>E:\PropInv\MF</v>
      </c>
      <c r="K1111" s="103" t="str">
        <f>HYPERLINK("E:\PropInv\MF\Kingwood\Lake Hills Dr_2139_Woodland Hills Village I_Kingwood_01276","Lake Hills Dr_2139_Woodland Hills Village I_Kingwood_01276" )</f>
        <v>Lake Hills Dr_2139_Woodland Hills Village I_Kingwood_01276</v>
      </c>
      <c r="L1111" s="104" t="s">
        <v>22253</v>
      </c>
      <c r="M1111" s="103" t="str">
        <f t="shared" si="88"/>
        <v>http://oconnordata.com/mlink/modules/profile/index.cfm?action=profile&amp;prop_id=1276</v>
      </c>
      <c r="N1111" s="1" t="str">
        <f t="shared" si="89"/>
        <v>01276</v>
      </c>
    </row>
    <row r="1112" spans="1:14" x14ac:dyDescent="0.3">
      <c r="A1112" s="97">
        <v>1277</v>
      </c>
      <c r="B1112" s="7" t="s">
        <v>1696</v>
      </c>
      <c r="C1112" s="12">
        <v>2135</v>
      </c>
      <c r="D1112" s="7" t="s">
        <v>1698</v>
      </c>
      <c r="E1112" s="13" t="s">
        <v>1662</v>
      </c>
      <c r="F1112" t="str">
        <f t="shared" si="85"/>
        <v>Lake</v>
      </c>
      <c r="G1112" t="str">
        <f t="shared" si="86"/>
        <v>Lake2135Kingwood</v>
      </c>
      <c r="H1112" t="s">
        <v>31970</v>
      </c>
      <c r="I1112" t="s">
        <v>23400</v>
      </c>
      <c r="J1112" t="str">
        <f t="shared" si="87"/>
        <v>E:\PropInv\MF</v>
      </c>
      <c r="K1112" s="103" t="str">
        <f>HYPERLINK("E:\PropInv\MF\Kingwood\Lake Hills Dr_2135_Woodland Hills Village II_Kingwood_01277","Lake Hills Dr_2135_Woodland Hills Village II_Kingwood_01277" )</f>
        <v>Lake Hills Dr_2135_Woodland Hills Village II_Kingwood_01277</v>
      </c>
      <c r="L1112" s="104" t="s">
        <v>22253</v>
      </c>
      <c r="M1112" s="103" t="str">
        <f t="shared" si="88"/>
        <v>http://oconnordata.com/mlink/modules/profile/index.cfm?action=profile&amp;prop_id=1277</v>
      </c>
      <c r="N1112" s="1" t="str">
        <f t="shared" si="89"/>
        <v>01277</v>
      </c>
    </row>
    <row r="1113" spans="1:14" x14ac:dyDescent="0.3">
      <c r="A1113" s="1">
        <v>1278</v>
      </c>
      <c r="B1113" s="7" t="s">
        <v>1699</v>
      </c>
      <c r="C1113" s="12">
        <v>4500</v>
      </c>
      <c r="D1113" s="7" t="s">
        <v>1700</v>
      </c>
      <c r="E1113" s="13" t="s">
        <v>1671</v>
      </c>
      <c r="F1113" t="str">
        <f t="shared" si="85"/>
        <v>Cypresswood</v>
      </c>
      <c r="G1113" t="str">
        <f t="shared" si="86"/>
        <v>Cypresswood4500Spring</v>
      </c>
      <c r="H1113" t="s">
        <v>31971</v>
      </c>
      <c r="I1113" t="s">
        <v>23401</v>
      </c>
      <c r="J1113" t="str">
        <f t="shared" si="87"/>
        <v>E:\PropInv\MF</v>
      </c>
      <c r="K1113" s="103" t="str">
        <f>HYPERLINK("E:\PropInv\MF\Spring\Cypresswood Dr_4500_Applewood Village_Spring_01278","Cypresswood Dr_4500_Applewood Village_Spring_01278" )</f>
        <v>Cypresswood Dr_4500_Applewood Village_Spring_01278</v>
      </c>
      <c r="L1113" s="104" t="s">
        <v>22253</v>
      </c>
      <c r="M1113" s="103" t="str">
        <f t="shared" si="88"/>
        <v>http://oconnordata.com/mlink/modules/profile/index.cfm?action=profile&amp;prop_id=1278</v>
      </c>
      <c r="N1113" s="1" t="str">
        <f t="shared" si="89"/>
        <v>01278</v>
      </c>
    </row>
    <row r="1114" spans="1:14" x14ac:dyDescent="0.3">
      <c r="A1114" s="1">
        <v>1279</v>
      </c>
      <c r="B1114" s="7" t="s">
        <v>1699</v>
      </c>
      <c r="C1114" s="12">
        <v>4607</v>
      </c>
      <c r="D1114" s="7" t="s">
        <v>1701</v>
      </c>
      <c r="E1114" s="13" t="s">
        <v>1671</v>
      </c>
      <c r="F1114" t="str">
        <f t="shared" si="85"/>
        <v>Cypresswood</v>
      </c>
      <c r="G1114" t="str">
        <f t="shared" si="86"/>
        <v>Cypresswood4607Spring</v>
      </c>
      <c r="H1114" t="s">
        <v>31972</v>
      </c>
      <c r="I1114" t="s">
        <v>23402</v>
      </c>
      <c r="J1114" t="str">
        <f t="shared" si="87"/>
        <v>E:\PropInv\MF</v>
      </c>
      <c r="K1114" s="103" t="str">
        <f>HYPERLINK("E:\PropInv\MF\Spring\Cypresswood Dr_4607_Cypresswood_Spring_01279","Cypresswood Dr_4607_Cypresswood_Spring_01279" )</f>
        <v>Cypresswood Dr_4607_Cypresswood_Spring_01279</v>
      </c>
      <c r="L1114" s="104" t="s">
        <v>22253</v>
      </c>
      <c r="M1114" s="103" t="str">
        <f t="shared" si="88"/>
        <v>http://oconnordata.com/mlink/modules/profile/index.cfm?action=profile&amp;prop_id=1279</v>
      </c>
      <c r="N1114" s="1" t="str">
        <f t="shared" si="89"/>
        <v>01279</v>
      </c>
    </row>
    <row r="1115" spans="1:14" x14ac:dyDescent="0.3">
      <c r="A1115" s="1">
        <v>1280</v>
      </c>
      <c r="B1115" s="7" t="s">
        <v>1702</v>
      </c>
      <c r="C1115" s="12">
        <v>14230</v>
      </c>
      <c r="D1115" s="7" t="s">
        <v>1703</v>
      </c>
      <c r="E1115" s="13" t="s">
        <v>1657</v>
      </c>
      <c r="F1115" t="str">
        <f t="shared" si="85"/>
        <v>Wunderlich</v>
      </c>
      <c r="G1115" t="str">
        <f t="shared" si="86"/>
        <v>Wunderlich14230Houston</v>
      </c>
      <c r="H1115" t="s">
        <v>31973</v>
      </c>
      <c r="I1115" t="s">
        <v>23403</v>
      </c>
      <c r="J1115" t="str">
        <f t="shared" si="87"/>
        <v>E:\PropInv\MF</v>
      </c>
      <c r="K1115" s="103" t="str">
        <f>HYPERLINK("E:\PropInv\MF\Houston\Wunderlich_14230_Brookfield_Houston_01280","Wunderlich_14230_Brookfield_Houston_01280" )</f>
        <v>Wunderlich_14230_Brookfield_Houston_01280</v>
      </c>
      <c r="L1115" s="104" t="s">
        <v>22253</v>
      </c>
      <c r="M1115" s="103" t="str">
        <f t="shared" si="88"/>
        <v>http://oconnordata.com/mlink/modules/profile/index.cfm?action=profile&amp;prop_id=1280</v>
      </c>
      <c r="N1115" s="1" t="str">
        <f t="shared" si="89"/>
        <v>01280</v>
      </c>
    </row>
    <row r="1116" spans="1:14" x14ac:dyDescent="0.3">
      <c r="A1116" s="1">
        <v>1281</v>
      </c>
      <c r="B1116" s="10" t="s">
        <v>1704</v>
      </c>
      <c r="C1116" s="9">
        <v>4545</v>
      </c>
      <c r="D1116" s="10" t="s">
        <v>1705</v>
      </c>
      <c r="E1116" s="11" t="s">
        <v>1671</v>
      </c>
      <c r="F1116" t="str">
        <f t="shared" si="85"/>
        <v>Louetta</v>
      </c>
      <c r="G1116" t="str">
        <f t="shared" si="86"/>
        <v>Louetta4545Spring</v>
      </c>
      <c r="H1116" t="s">
        <v>31974</v>
      </c>
      <c r="I1116" t="s">
        <v>23404</v>
      </c>
      <c r="J1116" t="str">
        <f t="shared" si="87"/>
        <v>E:\PropInv\MF</v>
      </c>
      <c r="K1116" s="103" t="str">
        <f>HYPERLINK("E:\PropInv\MF\Spring\Louetta Rd_4545_Oak Falls_Spring_01281","Louetta Rd_4545_Oak Falls_Spring_01281" )</f>
        <v>Louetta Rd_4545_Oak Falls_Spring_01281</v>
      </c>
      <c r="L1116" s="104" t="s">
        <v>22253</v>
      </c>
      <c r="M1116" s="103" t="str">
        <f t="shared" si="88"/>
        <v>http://oconnordata.com/mlink/modules/profile/index.cfm?action=profile&amp;prop_id=1281</v>
      </c>
      <c r="N1116" s="1" t="str">
        <f t="shared" si="89"/>
        <v>01281</v>
      </c>
    </row>
    <row r="1117" spans="1:14" x14ac:dyDescent="0.3">
      <c r="A1117" s="1">
        <v>1282</v>
      </c>
      <c r="B1117" s="7" t="s">
        <v>1699</v>
      </c>
      <c r="C1117" s="12">
        <v>8100</v>
      </c>
      <c r="D1117" s="7" t="s">
        <v>1706</v>
      </c>
      <c r="E1117" s="13" t="s">
        <v>1657</v>
      </c>
      <c r="F1117" t="str">
        <f t="shared" si="85"/>
        <v>Cypresswood</v>
      </c>
      <c r="G1117" t="str">
        <f t="shared" si="86"/>
        <v>Cypresswood8100Houston</v>
      </c>
      <c r="H1117" t="s">
        <v>31975</v>
      </c>
      <c r="I1117" t="s">
        <v>23405</v>
      </c>
      <c r="J1117" t="str">
        <f t="shared" si="87"/>
        <v>E:\PropInv\MF</v>
      </c>
      <c r="K1117" s="103" t="str">
        <f>HYPERLINK("E:\PropInv\MF\Houston\Cypresswood Dr_8100_The Lodge at Cypresswood_Houston_01282","Cypresswood Dr_8100_The Lodge at Cypresswood_Houston_01282" )</f>
        <v>Cypresswood Dr_8100_The Lodge at Cypresswood_Houston_01282</v>
      </c>
      <c r="L1117" s="104" t="s">
        <v>22253</v>
      </c>
      <c r="M1117" s="103" t="str">
        <f t="shared" si="88"/>
        <v>http://oconnordata.com/mlink/modules/profile/index.cfm?action=profile&amp;prop_id=1282</v>
      </c>
      <c r="N1117" s="1" t="str">
        <f t="shared" si="89"/>
        <v>01282</v>
      </c>
    </row>
    <row r="1118" spans="1:14" x14ac:dyDescent="0.3">
      <c r="A1118" s="1">
        <v>1283</v>
      </c>
      <c r="B1118" s="7" t="s">
        <v>1704</v>
      </c>
      <c r="C1118" s="12">
        <v>11100</v>
      </c>
      <c r="D1118" s="7" t="s">
        <v>1707</v>
      </c>
      <c r="E1118" s="13" t="s">
        <v>1657</v>
      </c>
      <c r="F1118" t="str">
        <f t="shared" si="85"/>
        <v>Louetta</v>
      </c>
      <c r="G1118" t="str">
        <f t="shared" si="86"/>
        <v>Louetta11100Houston</v>
      </c>
      <c r="H1118" t="s">
        <v>31976</v>
      </c>
      <c r="I1118" t="s">
        <v>23406</v>
      </c>
      <c r="J1118" t="str">
        <f t="shared" si="87"/>
        <v>E:\PropInv\MF</v>
      </c>
      <c r="K1118" s="103" t="str">
        <f>HYPERLINK("E:\PropInv\MF\Houston\Louetta Rd_11100_Legacy Pines_Houston_01283","Louetta Rd_11100_Legacy Pines_Houston_01283" )</f>
        <v>Louetta Rd_11100_Legacy Pines_Houston_01283</v>
      </c>
      <c r="L1118" s="104" t="s">
        <v>22253</v>
      </c>
      <c r="M1118" s="103" t="str">
        <f t="shared" si="88"/>
        <v>http://oconnordata.com/mlink/modules/profile/index.cfm?action=profile&amp;prop_id=1283</v>
      </c>
      <c r="N1118" s="1" t="str">
        <f t="shared" si="89"/>
        <v>01283</v>
      </c>
    </row>
    <row r="1119" spans="1:14" x14ac:dyDescent="0.3">
      <c r="A1119" s="1">
        <v>1284</v>
      </c>
      <c r="B1119" s="7" t="s">
        <v>1708</v>
      </c>
      <c r="C1119" s="12">
        <v>16303</v>
      </c>
      <c r="D1119" s="7" t="s">
        <v>1709</v>
      </c>
      <c r="E1119" s="13" t="s">
        <v>1671</v>
      </c>
      <c r="F1119" t="str">
        <f t="shared" si="85"/>
        <v>Lyons</v>
      </c>
      <c r="G1119" t="str">
        <f t="shared" si="86"/>
        <v>Lyons16303Spring</v>
      </c>
      <c r="H1119" t="s">
        <v>31977</v>
      </c>
      <c r="I1119" t="s">
        <v>23407</v>
      </c>
      <c r="J1119" t="str">
        <f t="shared" si="87"/>
        <v>E:\PropInv\MF</v>
      </c>
      <c r="K1119" s="103" t="str">
        <f>HYPERLINK("E:\PropInv\MF\Spring\Lyons School Rd_16303_Lyons Court Condominiums_Spring_01284","Lyons School Rd_16303_Lyons Court Condominiums_Spring_01284" )</f>
        <v>Lyons School Rd_16303_Lyons Court Condominiums_Spring_01284</v>
      </c>
      <c r="L1119" s="104" t="s">
        <v>22253</v>
      </c>
      <c r="M1119" s="103" t="str">
        <f t="shared" si="88"/>
        <v>http://oconnordata.com/mlink/modules/profile/index.cfm?action=profile&amp;prop_id=1284</v>
      </c>
      <c r="N1119" s="1" t="str">
        <f t="shared" si="89"/>
        <v>01284</v>
      </c>
    </row>
    <row r="1120" spans="1:14" x14ac:dyDescent="0.3">
      <c r="A1120" s="1">
        <v>1285</v>
      </c>
      <c r="B1120" s="7" t="s">
        <v>1702</v>
      </c>
      <c r="C1120" s="12">
        <v>14150</v>
      </c>
      <c r="D1120" s="7" t="s">
        <v>1710</v>
      </c>
      <c r="E1120" s="13" t="s">
        <v>1657</v>
      </c>
      <c r="F1120" t="str">
        <f t="shared" si="85"/>
        <v>Wunderlich</v>
      </c>
      <c r="G1120" t="str">
        <f t="shared" si="86"/>
        <v>Wunderlich14150Houston</v>
      </c>
      <c r="H1120" t="s">
        <v>31978</v>
      </c>
      <c r="I1120" t="s">
        <v>23408</v>
      </c>
      <c r="J1120" t="str">
        <f t="shared" si="87"/>
        <v>E:\PropInv\MF</v>
      </c>
      <c r="K1120" s="103" t="str">
        <f>HYPERLINK("E:\PropInv\MF\Houston\Wunderlich_14150_Champion Oaks_Houston_01285","Wunderlich_14150_Champion Oaks_Houston_01285" )</f>
        <v>Wunderlich_14150_Champion Oaks_Houston_01285</v>
      </c>
      <c r="L1120" s="104" t="s">
        <v>22253</v>
      </c>
      <c r="M1120" s="103" t="str">
        <f t="shared" si="88"/>
        <v>http://oconnordata.com/mlink/modules/profile/index.cfm?action=profile&amp;prop_id=1285</v>
      </c>
      <c r="N1120" s="1" t="str">
        <f t="shared" si="89"/>
        <v>01285</v>
      </c>
    </row>
    <row r="1121" spans="1:14" x14ac:dyDescent="0.3">
      <c r="A1121" s="1">
        <v>1286</v>
      </c>
      <c r="B1121" s="7" t="s">
        <v>1711</v>
      </c>
      <c r="C1121" s="12">
        <v>14222</v>
      </c>
      <c r="D1121" s="7" t="s">
        <v>1712</v>
      </c>
      <c r="E1121" s="13" t="s">
        <v>1657</v>
      </c>
      <c r="F1121" t="str">
        <f t="shared" si="85"/>
        <v>Wunderlich</v>
      </c>
      <c r="G1121" t="str">
        <f t="shared" si="86"/>
        <v>Wunderlich14222Houston</v>
      </c>
      <c r="H1121" t="s">
        <v>31979</v>
      </c>
      <c r="I1121" t="s">
        <v>23409</v>
      </c>
      <c r="J1121" t="str">
        <f t="shared" si="87"/>
        <v>E:\PropInv\MF</v>
      </c>
      <c r="K1121" s="103" t="str">
        <f>HYPERLINK("E:\PropInv\MF\Houston\Wunderlich Dr_14222_The Cottages of Champions Forest_Houston_01286","Wunderlich Dr_14222_The Cottages of Champions Forest_Houston_01286" )</f>
        <v>Wunderlich Dr_14222_The Cottages of Champions Forest_Houston_01286</v>
      </c>
      <c r="L1121" s="104" t="s">
        <v>22253</v>
      </c>
      <c r="M1121" s="103" t="str">
        <f t="shared" si="88"/>
        <v>http://oconnordata.com/mlink/modules/profile/index.cfm?action=profile&amp;prop_id=1286</v>
      </c>
      <c r="N1121" s="1" t="str">
        <f t="shared" si="89"/>
        <v>01286</v>
      </c>
    </row>
    <row r="1122" spans="1:14" x14ac:dyDescent="0.3">
      <c r="A1122" s="1">
        <v>1287</v>
      </c>
      <c r="B1122" s="7" t="s">
        <v>1701</v>
      </c>
      <c r="C1122" s="12">
        <v>4603</v>
      </c>
      <c r="D1122" s="7" t="s">
        <v>708</v>
      </c>
      <c r="E1122" s="13" t="s">
        <v>1671</v>
      </c>
      <c r="F1122" t="str">
        <f t="shared" si="85"/>
        <v>Cypresswood</v>
      </c>
      <c r="G1122" t="str">
        <f t="shared" si="86"/>
        <v>Cypresswood4603Spring</v>
      </c>
      <c r="H1122" t="s">
        <v>31980</v>
      </c>
      <c r="I1122" t="s">
        <v>23410</v>
      </c>
      <c r="J1122" t="str">
        <f t="shared" si="87"/>
        <v>E:\PropInv\MF</v>
      </c>
      <c r="K1122" s="103" t="str">
        <f>HYPERLINK("E:\PropInv\MF\Spring\Cypresswood_4603_Falcon Ridge_Spring_01287","Cypresswood_4603_Falcon Ridge_Spring_01287" )</f>
        <v>Cypresswood_4603_Falcon Ridge_Spring_01287</v>
      </c>
      <c r="L1122" s="104" t="s">
        <v>22253</v>
      </c>
      <c r="M1122" s="103" t="str">
        <f t="shared" si="88"/>
        <v>http://oconnordata.com/mlink/modules/profile/index.cfm?action=profile&amp;prop_id=1287</v>
      </c>
      <c r="N1122" s="1" t="str">
        <f t="shared" si="89"/>
        <v>01287</v>
      </c>
    </row>
    <row r="1123" spans="1:14" x14ac:dyDescent="0.3">
      <c r="A1123" s="1">
        <v>1288</v>
      </c>
      <c r="B1123" s="7" t="s">
        <v>1713</v>
      </c>
      <c r="C1123" s="12">
        <v>2218</v>
      </c>
      <c r="D1123" s="7" t="s">
        <v>1714</v>
      </c>
      <c r="E1123" s="13" t="s">
        <v>1657</v>
      </c>
      <c r="F1123" t="str">
        <f t="shared" si="85"/>
        <v>Place</v>
      </c>
      <c r="G1123" t="str">
        <f t="shared" si="86"/>
        <v>Place2218Houston</v>
      </c>
      <c r="H1123" t="s">
        <v>31981</v>
      </c>
      <c r="I1123" t="s">
        <v>23411</v>
      </c>
      <c r="J1123" t="str">
        <f t="shared" si="87"/>
        <v>E:\PropInv\MF</v>
      </c>
      <c r="K1123" s="103" t="str">
        <f>HYPERLINK("E:\PropInv\MF\Houston\Place Rebecca Ln_2218_Nantucket Square II_Houston_01288","Place Rebecca Ln_2218_Nantucket Square II_Houston_01288" )</f>
        <v>Place Rebecca Ln_2218_Nantucket Square II_Houston_01288</v>
      </c>
      <c r="L1123" s="104" t="s">
        <v>22253</v>
      </c>
      <c r="M1123" s="103" t="str">
        <f t="shared" si="88"/>
        <v>http://oconnordata.com/mlink/modules/profile/index.cfm?action=profile&amp;prop_id=1288</v>
      </c>
      <c r="N1123" s="1" t="str">
        <f t="shared" si="89"/>
        <v>01288</v>
      </c>
    </row>
    <row r="1124" spans="1:14" x14ac:dyDescent="0.3">
      <c r="A1124" s="1">
        <v>1289</v>
      </c>
      <c r="B1124" s="7" t="s">
        <v>1715</v>
      </c>
      <c r="C1124" s="12">
        <v>22720</v>
      </c>
      <c r="D1124" s="7" t="s">
        <v>1716</v>
      </c>
      <c r="E1124" s="13" t="s">
        <v>1657</v>
      </c>
      <c r="F1124" t="str">
        <f t="shared" si="85"/>
        <v>Imperial</v>
      </c>
      <c r="G1124" t="str">
        <f t="shared" si="86"/>
        <v>Imperial22720Houston</v>
      </c>
      <c r="H1124" t="s">
        <v>31982</v>
      </c>
      <c r="I1124" t="s">
        <v>23412</v>
      </c>
      <c r="J1124" t="str">
        <f t="shared" si="87"/>
        <v>E:\PropInv\MF</v>
      </c>
      <c r="K1124" s="103" t="str">
        <f>HYPERLINK("E:\PropInv\MF\Houston\Imperial Valley_22720_North Park TH_Houston_01289","Imperial Valley_22720_North Park TH_Houston_01289" )</f>
        <v>Imperial Valley_22720_North Park TH_Houston_01289</v>
      </c>
      <c r="L1124" s="104" t="s">
        <v>22253</v>
      </c>
      <c r="M1124" s="103" t="str">
        <f t="shared" si="88"/>
        <v>http://oconnordata.com/mlink/modules/profile/index.cfm?action=profile&amp;prop_id=1289</v>
      </c>
      <c r="N1124" s="1" t="str">
        <f t="shared" si="89"/>
        <v>01289</v>
      </c>
    </row>
    <row r="1125" spans="1:14" x14ac:dyDescent="0.3">
      <c r="A1125" s="1">
        <v>1290</v>
      </c>
      <c r="B1125" s="7" t="s">
        <v>1717</v>
      </c>
      <c r="C1125" s="12">
        <v>22820</v>
      </c>
      <c r="D1125" s="7" t="s">
        <v>1718</v>
      </c>
      <c r="E1125" s="13" t="s">
        <v>1657</v>
      </c>
      <c r="F1125" t="str">
        <f t="shared" si="85"/>
        <v>Imperial</v>
      </c>
      <c r="G1125" t="str">
        <f t="shared" si="86"/>
        <v>Imperial22820Houston</v>
      </c>
      <c r="H1125" t="s">
        <v>31983</v>
      </c>
      <c r="I1125" t="s">
        <v>23413</v>
      </c>
      <c r="J1125" t="str">
        <f t="shared" si="87"/>
        <v>E:\PropInv\MF</v>
      </c>
      <c r="K1125" s="103" t="str">
        <f>HYPERLINK("E:\PropInv\MF\Houston\Imperial Valley Dr_22820_The Forest_Houston_01290","Imperial Valley Dr_22820_The Forest_Houston_01290" )</f>
        <v>Imperial Valley Dr_22820_The Forest_Houston_01290</v>
      </c>
      <c r="L1125" s="104" t="s">
        <v>22253</v>
      </c>
      <c r="M1125" s="103" t="str">
        <f t="shared" si="88"/>
        <v>http://oconnordata.com/mlink/modules/profile/index.cfm?action=profile&amp;prop_id=1290</v>
      </c>
      <c r="N1125" s="1" t="str">
        <f t="shared" si="89"/>
        <v>01290</v>
      </c>
    </row>
    <row r="1126" spans="1:14" x14ac:dyDescent="0.3">
      <c r="A1126" s="1">
        <v>1291</v>
      </c>
      <c r="B1126" s="7" t="s">
        <v>1719</v>
      </c>
      <c r="C1126" s="12">
        <v>200</v>
      </c>
      <c r="D1126" s="7" t="s">
        <v>804</v>
      </c>
      <c r="E1126" s="13" t="s">
        <v>1657</v>
      </c>
      <c r="F1126" t="str">
        <f t="shared" si="85"/>
        <v>Hollow</v>
      </c>
      <c r="G1126" t="str">
        <f t="shared" si="86"/>
        <v>Hollow200Houston</v>
      </c>
      <c r="H1126" t="s">
        <v>31984</v>
      </c>
      <c r="I1126" t="s">
        <v>23414</v>
      </c>
      <c r="J1126" t="str">
        <f t="shared" si="87"/>
        <v>E:\PropInv\MF</v>
      </c>
      <c r="K1126" s="103" t="str">
        <f>HYPERLINK("E:\PropInv\MF\Houston\Hollow Tree_200_Autumn Chase_Houston_01291","Hollow Tree_200_Autumn Chase_Houston_01291" )</f>
        <v>Hollow Tree_200_Autumn Chase_Houston_01291</v>
      </c>
      <c r="L1126" s="104" t="s">
        <v>22253</v>
      </c>
      <c r="M1126" s="103" t="str">
        <f t="shared" si="88"/>
        <v>http://oconnordata.com/mlink/modules/profile/index.cfm?action=profile&amp;prop_id=1291</v>
      </c>
      <c r="N1126" s="1" t="str">
        <f t="shared" si="89"/>
        <v>01291</v>
      </c>
    </row>
    <row r="1127" spans="1:14" x14ac:dyDescent="0.3">
      <c r="A1127" s="1">
        <v>1292</v>
      </c>
      <c r="B1127" s="7" t="s">
        <v>1720</v>
      </c>
      <c r="C1127" s="12">
        <v>311</v>
      </c>
      <c r="D1127" s="7" t="s">
        <v>1721</v>
      </c>
      <c r="E1127" s="13" t="s">
        <v>1657</v>
      </c>
      <c r="F1127" t="str">
        <f t="shared" si="85"/>
        <v>Highland</v>
      </c>
      <c r="G1127" t="str">
        <f t="shared" si="86"/>
        <v>Highland311Houston</v>
      </c>
      <c r="H1127" t="s">
        <v>31985</v>
      </c>
      <c r="I1127" t="s">
        <v>23415</v>
      </c>
      <c r="J1127" t="str">
        <f t="shared" si="87"/>
        <v>E:\PropInv\MF</v>
      </c>
      <c r="K1127" s="103" t="str">
        <f>HYPERLINK("E:\PropInv\MF\Houston\Highland Cross_311_Sedona Pointe_Houston_01292","Highland Cross_311_Sedona Pointe_Houston_01292" )</f>
        <v>Highland Cross_311_Sedona Pointe_Houston_01292</v>
      </c>
      <c r="L1127" s="104" t="s">
        <v>22253</v>
      </c>
      <c r="M1127" s="103" t="str">
        <f t="shared" si="88"/>
        <v>http://oconnordata.com/mlink/modules/profile/index.cfm?action=profile&amp;prop_id=1292</v>
      </c>
      <c r="N1127" s="1" t="str">
        <f t="shared" si="89"/>
        <v>01292</v>
      </c>
    </row>
    <row r="1128" spans="1:14" x14ac:dyDescent="0.3">
      <c r="A1128" s="1">
        <v>1293</v>
      </c>
      <c r="B1128" s="7" t="s">
        <v>1722</v>
      </c>
      <c r="C1128" s="12">
        <v>14545</v>
      </c>
      <c r="D1128" s="7" t="s">
        <v>1723</v>
      </c>
      <c r="E1128" s="13" t="s">
        <v>1657</v>
      </c>
      <c r="F1128" t="str">
        <f t="shared" si="85"/>
        <v>Bammel</v>
      </c>
      <c r="G1128" t="str">
        <f t="shared" si="86"/>
        <v>Bammel14545Houston</v>
      </c>
      <c r="H1128" t="s">
        <v>31986</v>
      </c>
      <c r="I1128" t="s">
        <v>23416</v>
      </c>
      <c r="J1128" t="str">
        <f t="shared" si="87"/>
        <v>E:\PropInv\MF</v>
      </c>
      <c r="K1128" s="103" t="str">
        <f>HYPERLINK("E:\PropInv\MF\Houston\Bammel Houston N_14545_London Park_Houston_01293","Bammel Houston N_14545_London Park_Houston_01293" )</f>
        <v>Bammel Houston N_14545_London Park_Houston_01293</v>
      </c>
      <c r="L1128" s="104" t="s">
        <v>22253</v>
      </c>
      <c r="M1128" s="103" t="str">
        <f t="shared" si="88"/>
        <v>http://oconnordata.com/mlink/modules/profile/index.cfm?action=profile&amp;prop_id=1293</v>
      </c>
      <c r="N1128" s="1" t="str">
        <f t="shared" si="89"/>
        <v>01293</v>
      </c>
    </row>
    <row r="1129" spans="1:14" x14ac:dyDescent="0.3">
      <c r="A1129" s="1">
        <v>1294</v>
      </c>
      <c r="B1129" s="7" t="s">
        <v>1724</v>
      </c>
      <c r="C1129" s="12">
        <v>4200</v>
      </c>
      <c r="D1129" s="7" t="s">
        <v>1725</v>
      </c>
      <c r="E1129" s="13" t="s">
        <v>1657</v>
      </c>
      <c r="F1129" t="str">
        <f t="shared" si="85"/>
        <v>1960</v>
      </c>
      <c r="G1129" t="str">
        <f t="shared" si="86"/>
        <v>19604200Houston</v>
      </c>
      <c r="H1129" t="s">
        <v>31987</v>
      </c>
      <c r="I1129" t="s">
        <v>23417</v>
      </c>
      <c r="J1129" t="str">
        <f t="shared" si="87"/>
        <v>E:\PropInv\MF</v>
      </c>
      <c r="K1129" s="103" t="str">
        <f>HYPERLINK("E:\PropInv\MF\Houston\1960 FM_4200_Timberstone_Houston_01294","1960 FM_4200_Timberstone_Houston_01294" )</f>
        <v>1960 FM_4200_Timberstone_Houston_01294</v>
      </c>
      <c r="L1129" s="104" t="s">
        <v>22253</v>
      </c>
      <c r="M1129" s="103" t="str">
        <f t="shared" si="88"/>
        <v>http://oconnordata.com/mlink/modules/profile/index.cfm?action=profile&amp;prop_id=1294</v>
      </c>
      <c r="N1129" s="1" t="str">
        <f t="shared" si="89"/>
        <v>01294</v>
      </c>
    </row>
    <row r="1130" spans="1:14" x14ac:dyDescent="0.3">
      <c r="A1130" s="1">
        <v>1295</v>
      </c>
      <c r="B1130" s="7" t="s">
        <v>1726</v>
      </c>
      <c r="C1130" s="12">
        <v>311</v>
      </c>
      <c r="D1130" s="7" t="s">
        <v>1727</v>
      </c>
      <c r="E1130" s="13" t="s">
        <v>1657</v>
      </c>
      <c r="F1130" t="str">
        <f t="shared" si="85"/>
        <v>Parramatta</v>
      </c>
      <c r="G1130" t="str">
        <f t="shared" si="86"/>
        <v>Parramatta311Houston</v>
      </c>
      <c r="H1130" t="s">
        <v>31988</v>
      </c>
      <c r="I1130" t="s">
        <v>23418</v>
      </c>
      <c r="J1130" t="str">
        <f t="shared" si="87"/>
        <v>E:\PropInv\MF</v>
      </c>
      <c r="K1130" s="103" t="str">
        <f>HYPERLINK("E:\PropInv\MF\Houston\Parramatta_311_The Chancellor_Houston_01295","Parramatta_311_The Chancellor_Houston_01295" )</f>
        <v>Parramatta_311_The Chancellor_Houston_01295</v>
      </c>
      <c r="L1130" s="104" t="s">
        <v>22253</v>
      </c>
      <c r="M1130" s="103" t="str">
        <f t="shared" si="88"/>
        <v>http://oconnordata.com/mlink/modules/profile/index.cfm?action=profile&amp;prop_id=1295</v>
      </c>
      <c r="N1130" s="1" t="str">
        <f t="shared" si="89"/>
        <v>01295</v>
      </c>
    </row>
    <row r="1131" spans="1:14" x14ac:dyDescent="0.3">
      <c r="A1131" s="1">
        <v>1296</v>
      </c>
      <c r="B1131" s="7" t="s">
        <v>1717</v>
      </c>
      <c r="C1131" s="12">
        <v>22921</v>
      </c>
      <c r="D1131" s="7" t="s">
        <v>1728</v>
      </c>
      <c r="E1131" s="13" t="s">
        <v>1657</v>
      </c>
      <c r="F1131" t="str">
        <f t="shared" si="85"/>
        <v>Imperial</v>
      </c>
      <c r="G1131" t="str">
        <f t="shared" si="86"/>
        <v>Imperial22921Houston</v>
      </c>
      <c r="H1131" t="s">
        <v>31989</v>
      </c>
      <c r="I1131" t="s">
        <v>23419</v>
      </c>
      <c r="J1131" t="str">
        <f t="shared" si="87"/>
        <v>E:\PropInv\MF</v>
      </c>
      <c r="K1131" s="103" t="str">
        <f>HYPERLINK("E:\PropInv\MF\Houston\Imperial Valley Dr_22921_Arbor Ridge_Houston_01296","Imperial Valley Dr_22921_Arbor Ridge_Houston_01296" )</f>
        <v>Imperial Valley Dr_22921_Arbor Ridge_Houston_01296</v>
      </c>
      <c r="L1131" s="104" t="s">
        <v>22253</v>
      </c>
      <c r="M1131" s="103" t="str">
        <f t="shared" si="88"/>
        <v>http://oconnordata.com/mlink/modules/profile/index.cfm?action=profile&amp;prop_id=1296</v>
      </c>
      <c r="N1131" s="1" t="str">
        <f t="shared" si="89"/>
        <v>01296</v>
      </c>
    </row>
    <row r="1132" spans="1:14" x14ac:dyDescent="0.3">
      <c r="A1132" s="1">
        <v>1297</v>
      </c>
      <c r="B1132" s="7" t="s">
        <v>1729</v>
      </c>
      <c r="C1132" s="12">
        <v>1000</v>
      </c>
      <c r="D1132" s="7" t="s">
        <v>1730</v>
      </c>
      <c r="E1132" s="13" t="s">
        <v>1657</v>
      </c>
      <c r="F1132" t="str">
        <f t="shared" si="85"/>
        <v>Cypress</v>
      </c>
      <c r="G1132" t="str">
        <f t="shared" si="86"/>
        <v>Cypress1000Houston</v>
      </c>
      <c r="H1132" t="s">
        <v>31990</v>
      </c>
      <c r="I1132" t="s">
        <v>23420</v>
      </c>
      <c r="J1132" t="str">
        <f t="shared" si="87"/>
        <v>E:\PropInv\MF</v>
      </c>
      <c r="K1132" s="103" t="str">
        <f>HYPERLINK("E:\PropInv\MF\Houston\Cypress Station Dr_1000_Oaks of Cypress Station_Houston_01297","Cypress Station Dr_1000_Oaks of Cypress Station_Houston_01297" )</f>
        <v>Cypress Station Dr_1000_Oaks of Cypress Station_Houston_01297</v>
      </c>
      <c r="L1132" s="104" t="s">
        <v>22253</v>
      </c>
      <c r="M1132" s="103" t="str">
        <f t="shared" si="88"/>
        <v>http://oconnordata.com/mlink/modules/profile/index.cfm?action=profile&amp;prop_id=1297</v>
      </c>
      <c r="N1132" s="1" t="str">
        <f t="shared" si="89"/>
        <v>01297</v>
      </c>
    </row>
    <row r="1133" spans="1:14" x14ac:dyDescent="0.3">
      <c r="A1133" s="1">
        <v>1298</v>
      </c>
      <c r="B1133" s="7" t="s">
        <v>1729</v>
      </c>
      <c r="C1133" s="12">
        <v>505</v>
      </c>
      <c r="D1133" s="7" t="s">
        <v>1731</v>
      </c>
      <c r="E1133" s="13" t="s">
        <v>1657</v>
      </c>
      <c r="F1133" t="str">
        <f t="shared" si="85"/>
        <v>Cypress</v>
      </c>
      <c r="G1133" t="str">
        <f t="shared" si="86"/>
        <v>Cypress505Houston</v>
      </c>
      <c r="H1133" t="s">
        <v>31991</v>
      </c>
      <c r="I1133" t="s">
        <v>23421</v>
      </c>
      <c r="J1133" t="str">
        <f t="shared" si="87"/>
        <v>E:\PropInv\MF</v>
      </c>
      <c r="K1133" s="103" t="str">
        <f>HYPERLINK("E:\PropInv\MF\Houston\Cypress Station Dr_505_Parkwood on Cypress Station_Houston_01298","Cypress Station Dr_505_Parkwood on Cypress Station_Houston_01298" )</f>
        <v>Cypress Station Dr_505_Parkwood on Cypress Station_Houston_01298</v>
      </c>
      <c r="L1133" s="104" t="s">
        <v>22253</v>
      </c>
      <c r="M1133" s="103" t="str">
        <f t="shared" si="88"/>
        <v>http://oconnordata.com/mlink/modules/profile/index.cfm?action=profile&amp;prop_id=1298</v>
      </c>
      <c r="N1133" s="1" t="str">
        <f t="shared" si="89"/>
        <v>01298</v>
      </c>
    </row>
    <row r="1134" spans="1:14" x14ac:dyDescent="0.3">
      <c r="A1134" s="1">
        <v>1299</v>
      </c>
      <c r="B1134" s="7" t="s">
        <v>1732</v>
      </c>
      <c r="C1134" s="12">
        <v>2402</v>
      </c>
      <c r="D1134" s="7" t="s">
        <v>1733</v>
      </c>
      <c r="E1134" s="13" t="s">
        <v>1657</v>
      </c>
      <c r="F1134" t="str">
        <f t="shared" si="85"/>
        <v>Bammelwood</v>
      </c>
      <c r="G1134" t="str">
        <f t="shared" si="86"/>
        <v>Bammelwood2402Houston</v>
      </c>
      <c r="H1134" t="s">
        <v>31992</v>
      </c>
      <c r="I1134" t="s">
        <v>23422</v>
      </c>
      <c r="J1134" t="str">
        <f t="shared" si="87"/>
        <v>E:\PropInv\MF</v>
      </c>
      <c r="K1134" s="103" t="str">
        <f>HYPERLINK("E:\PropInv\MF\Houston\Bammelwood Dr_2402_Bammelwood_Houston_01299","Bammelwood Dr_2402_Bammelwood_Houston_01299" )</f>
        <v>Bammelwood Dr_2402_Bammelwood_Houston_01299</v>
      </c>
      <c r="L1134" s="104" t="s">
        <v>22253</v>
      </c>
      <c r="M1134" s="103" t="str">
        <f t="shared" si="88"/>
        <v>http://oconnordata.com/mlink/modules/profile/index.cfm?action=profile&amp;prop_id=1299</v>
      </c>
      <c r="N1134" s="1" t="str">
        <f t="shared" si="89"/>
        <v>01299</v>
      </c>
    </row>
    <row r="1135" spans="1:14" x14ac:dyDescent="0.3">
      <c r="A1135" s="1">
        <v>1300</v>
      </c>
      <c r="B1135" s="7" t="s">
        <v>1655</v>
      </c>
      <c r="C1135" s="12">
        <v>15414</v>
      </c>
      <c r="D1135" s="7" t="s">
        <v>1734</v>
      </c>
      <c r="E1135" s="13" t="s">
        <v>1657</v>
      </c>
      <c r="F1135" t="str">
        <f t="shared" si="85"/>
        <v>Kuykendahl</v>
      </c>
      <c r="G1135" t="str">
        <f t="shared" si="86"/>
        <v>Kuykendahl15414Houston</v>
      </c>
      <c r="H1135" t="s">
        <v>31993</v>
      </c>
      <c r="I1135" t="s">
        <v>23423</v>
      </c>
      <c r="J1135" t="str">
        <f t="shared" si="87"/>
        <v>E:\PropInv\MF</v>
      </c>
      <c r="K1135" s="103" t="str">
        <f>HYPERLINK("E:\PropInv\MF\Houston\Kuykendahl_15414_Vineyard Trace_Houston_01300","Kuykendahl_15414_Vineyard Trace_Houston_01300" )</f>
        <v>Kuykendahl_15414_Vineyard Trace_Houston_01300</v>
      </c>
      <c r="L1135" s="104" t="s">
        <v>22253</v>
      </c>
      <c r="M1135" s="103" t="str">
        <f t="shared" si="88"/>
        <v>http://oconnordata.com/mlink/modules/profile/index.cfm?action=profile&amp;prop_id=1300</v>
      </c>
      <c r="N1135" s="1" t="str">
        <f t="shared" si="89"/>
        <v>01300</v>
      </c>
    </row>
    <row r="1136" spans="1:14" x14ac:dyDescent="0.3">
      <c r="A1136" s="1">
        <v>1301</v>
      </c>
      <c r="B1136" s="7" t="s">
        <v>1735</v>
      </c>
      <c r="C1136" s="12">
        <v>17601</v>
      </c>
      <c r="D1136" s="7" t="s">
        <v>1736</v>
      </c>
      <c r="E1136" s="13" t="s">
        <v>1657</v>
      </c>
      <c r="F1136" t="str">
        <f t="shared" si="85"/>
        <v>Cali</v>
      </c>
      <c r="G1136" t="str">
        <f t="shared" si="86"/>
        <v>Cali17601Houston</v>
      </c>
      <c r="H1136" t="s">
        <v>31994</v>
      </c>
      <c r="I1136" t="s">
        <v>23424</v>
      </c>
      <c r="J1136" t="str">
        <f t="shared" si="87"/>
        <v>E:\PropInv\MF</v>
      </c>
      <c r="K1136" s="103" t="str">
        <f>HYPERLINK("E:\PropInv\MF\Houston\Cali Dr_17601_Champion Court_Houston_01301","Cali Dr_17601_Champion Court_Houston_01301" )</f>
        <v>Cali Dr_17601_Champion Court_Houston_01301</v>
      </c>
      <c r="L1136" s="104" t="s">
        <v>22253</v>
      </c>
      <c r="M1136" s="103" t="str">
        <f t="shared" si="88"/>
        <v>http://oconnordata.com/mlink/modules/profile/index.cfm?action=profile&amp;prop_id=1301</v>
      </c>
      <c r="N1136" s="1" t="str">
        <f t="shared" si="89"/>
        <v>01301</v>
      </c>
    </row>
    <row r="1137" spans="1:14" x14ac:dyDescent="0.3">
      <c r="A1137" s="1">
        <v>1302</v>
      </c>
      <c r="B1137" s="7" t="s">
        <v>1735</v>
      </c>
      <c r="C1137" s="12">
        <v>17610</v>
      </c>
      <c r="D1137" s="7" t="s">
        <v>1737</v>
      </c>
      <c r="E1137" s="13" t="s">
        <v>1657</v>
      </c>
      <c r="F1137" t="str">
        <f t="shared" si="85"/>
        <v>Cali</v>
      </c>
      <c r="G1137" t="str">
        <f t="shared" si="86"/>
        <v>Cali17610Houston</v>
      </c>
      <c r="H1137" t="s">
        <v>31995</v>
      </c>
      <c r="I1137" t="s">
        <v>23425</v>
      </c>
      <c r="J1137" t="str">
        <f t="shared" si="87"/>
        <v>E:\PropInv\MF</v>
      </c>
      <c r="K1137" s="103" t="str">
        <f>HYPERLINK("E:\PropInv\MF\Houston\Cali Dr_17610_The Country Club_Houston_01302","Cali Dr_17610_The Country Club_Houston_01302" )</f>
        <v>Cali Dr_17610_The Country Club_Houston_01302</v>
      </c>
      <c r="L1137" s="104" t="s">
        <v>22253</v>
      </c>
      <c r="M1137" s="103" t="str">
        <f t="shared" si="88"/>
        <v>http://oconnordata.com/mlink/modules/profile/index.cfm?action=profile&amp;prop_id=1302</v>
      </c>
      <c r="N1137" s="1" t="str">
        <f t="shared" si="89"/>
        <v>01302</v>
      </c>
    </row>
    <row r="1138" spans="1:14" x14ac:dyDescent="0.3">
      <c r="A1138" s="1">
        <v>1303</v>
      </c>
      <c r="B1138" s="7" t="s">
        <v>1655</v>
      </c>
      <c r="C1138" s="12">
        <v>15915</v>
      </c>
      <c r="D1138" s="7" t="s">
        <v>1738</v>
      </c>
      <c r="E1138" s="13" t="s">
        <v>1657</v>
      </c>
      <c r="F1138" t="str">
        <f t="shared" si="85"/>
        <v>Kuykendahl</v>
      </c>
      <c r="G1138" t="str">
        <f t="shared" si="86"/>
        <v>Kuykendahl15915Houston</v>
      </c>
      <c r="H1138" t="s">
        <v>31996</v>
      </c>
      <c r="I1138" t="s">
        <v>23426</v>
      </c>
      <c r="J1138" t="str">
        <f t="shared" si="87"/>
        <v>E:\PropInv\MF</v>
      </c>
      <c r="K1138" s="103" t="str">
        <f>HYPERLINK("E:\PropInv\MF\Houston\Kuykendahl_15915_The Bridges_Houston_01303","Kuykendahl_15915_The Bridges_Houston_01303" )</f>
        <v>Kuykendahl_15915_The Bridges_Houston_01303</v>
      </c>
      <c r="L1138" s="104" t="s">
        <v>22253</v>
      </c>
      <c r="M1138" s="103" t="str">
        <f t="shared" si="88"/>
        <v>http://oconnordata.com/mlink/modules/profile/index.cfm?action=profile&amp;prop_id=1303</v>
      </c>
      <c r="N1138" s="1" t="str">
        <f t="shared" si="89"/>
        <v>01303</v>
      </c>
    </row>
    <row r="1139" spans="1:14" x14ac:dyDescent="0.3">
      <c r="A1139" s="97">
        <v>1306</v>
      </c>
      <c r="B1139" s="10" t="s">
        <v>1729</v>
      </c>
      <c r="C1139" s="9">
        <v>905</v>
      </c>
      <c r="D1139" s="7" t="s">
        <v>1739</v>
      </c>
      <c r="E1139" s="11" t="s">
        <v>1657</v>
      </c>
      <c r="F1139" t="str">
        <f t="shared" si="85"/>
        <v>Cypress</v>
      </c>
      <c r="G1139" t="str">
        <f t="shared" si="86"/>
        <v>Cypress905Houston</v>
      </c>
      <c r="H1139" t="s">
        <v>31997</v>
      </c>
      <c r="I1139" t="s">
        <v>23427</v>
      </c>
      <c r="J1139" t="str">
        <f t="shared" si="87"/>
        <v>E:\PropInv\MF</v>
      </c>
      <c r="K1139" s="103" t="str">
        <f>HYPERLINK("E:\PropInv\MF\Houston\Cypress Station Dr_905_Wyndham Park I_Houston_01306","Cypress Station Dr_905_Wyndham Park I_Houston_01306" )</f>
        <v>Cypress Station Dr_905_Wyndham Park I_Houston_01306</v>
      </c>
      <c r="L1139" s="104" t="s">
        <v>22253</v>
      </c>
      <c r="M1139" s="103" t="str">
        <f t="shared" si="88"/>
        <v>http://oconnordata.com/mlink/modules/profile/index.cfm?action=profile&amp;prop_id=1306</v>
      </c>
      <c r="N1139" s="1" t="str">
        <f t="shared" si="89"/>
        <v>01306</v>
      </c>
    </row>
    <row r="1140" spans="1:14" x14ac:dyDescent="0.3">
      <c r="A1140" s="1">
        <v>1307</v>
      </c>
      <c r="B1140" s="10" t="s">
        <v>1740</v>
      </c>
      <c r="C1140" s="9">
        <v>18001</v>
      </c>
      <c r="D1140" s="10" t="s">
        <v>1741</v>
      </c>
      <c r="E1140" s="11" t="s">
        <v>1657</v>
      </c>
      <c r="F1140" t="str">
        <f t="shared" si="85"/>
        <v>Cypress</v>
      </c>
      <c r="G1140" t="str">
        <f t="shared" si="86"/>
        <v>Cypress18001Houston</v>
      </c>
      <c r="H1140" t="s">
        <v>31998</v>
      </c>
      <c r="I1140" t="s">
        <v>23428</v>
      </c>
      <c r="J1140" t="str">
        <f t="shared" si="87"/>
        <v>E:\PropInv\MF</v>
      </c>
      <c r="K1140" s="103" t="str">
        <f>HYPERLINK("E:\PropInv\MF\Houston\Cypress Trace Rd_18001_Northwoods_Houston_01307","Cypress Trace Rd_18001_Northwoods_Houston_01307" )</f>
        <v>Cypress Trace Rd_18001_Northwoods_Houston_01307</v>
      </c>
      <c r="L1140" s="104" t="s">
        <v>22253</v>
      </c>
      <c r="M1140" s="103" t="str">
        <f t="shared" si="88"/>
        <v>http://oconnordata.com/mlink/modules/profile/index.cfm?action=profile&amp;prop_id=1307</v>
      </c>
      <c r="N1140" s="1" t="str">
        <f t="shared" si="89"/>
        <v>01307</v>
      </c>
    </row>
    <row r="1141" spans="1:14" x14ac:dyDescent="0.3">
      <c r="A1141" s="1">
        <v>1308</v>
      </c>
      <c r="B1141" s="10" t="s">
        <v>1720</v>
      </c>
      <c r="C1141" s="9">
        <v>411</v>
      </c>
      <c r="D1141" s="10" t="s">
        <v>1742</v>
      </c>
      <c r="E1141" s="11" t="s">
        <v>1657</v>
      </c>
      <c r="F1141" t="str">
        <f t="shared" si="85"/>
        <v>Highland</v>
      </c>
      <c r="G1141" t="str">
        <f t="shared" si="86"/>
        <v>Highland411Houston</v>
      </c>
      <c r="H1141" t="s">
        <v>31999</v>
      </c>
      <c r="I1141" t="s">
        <v>23429</v>
      </c>
      <c r="J1141" t="str">
        <f t="shared" si="87"/>
        <v>E:\PropInv\MF</v>
      </c>
      <c r="K1141" s="103" t="str">
        <f>HYPERLINK("E:\PropInv\MF\Houston\Highland Cross_411_Citation North_Houston_01308","Highland Cross_411_Citation North_Houston_01308" )</f>
        <v>Highland Cross_411_Citation North_Houston_01308</v>
      </c>
      <c r="L1141" s="104" t="s">
        <v>22253</v>
      </c>
      <c r="M1141" s="103" t="str">
        <f t="shared" si="88"/>
        <v>http://oconnordata.com/mlink/modules/profile/index.cfm?action=profile&amp;prop_id=1308</v>
      </c>
      <c r="N1141" s="1" t="str">
        <f t="shared" si="89"/>
        <v>01308</v>
      </c>
    </row>
    <row r="1142" spans="1:14" x14ac:dyDescent="0.3">
      <c r="A1142" s="1">
        <v>1309</v>
      </c>
      <c r="B1142" s="10" t="s">
        <v>1715</v>
      </c>
      <c r="C1142" s="9">
        <v>22715</v>
      </c>
      <c r="D1142" s="10" t="s">
        <v>1743</v>
      </c>
      <c r="E1142" s="11" t="s">
        <v>1657</v>
      </c>
      <c r="F1142" t="str">
        <f t="shared" si="85"/>
        <v>Imperial</v>
      </c>
      <c r="G1142" t="str">
        <f t="shared" si="86"/>
        <v>Imperial22715Houston</v>
      </c>
      <c r="H1142" t="s">
        <v>32000</v>
      </c>
      <c r="I1142" t="s">
        <v>23430</v>
      </c>
      <c r="J1142" t="str">
        <f t="shared" si="87"/>
        <v>E:\PropInv\MF</v>
      </c>
      <c r="K1142" s="103" t="str">
        <f>HYPERLINK("E:\PropInv\MF\Houston\Imperial Valley_22715_The Retreat_Houston_01309","Imperial Valley_22715_The Retreat_Houston_01309" )</f>
        <v>Imperial Valley_22715_The Retreat_Houston_01309</v>
      </c>
      <c r="L1142" s="104" t="s">
        <v>22253</v>
      </c>
      <c r="M1142" s="103" t="str">
        <f t="shared" si="88"/>
        <v>http://oconnordata.com/mlink/modules/profile/index.cfm?action=profile&amp;prop_id=1309</v>
      </c>
      <c r="N1142" s="1" t="str">
        <f t="shared" si="89"/>
        <v>01309</v>
      </c>
    </row>
    <row r="1143" spans="1:14" x14ac:dyDescent="0.3">
      <c r="A1143" s="1">
        <v>1310</v>
      </c>
      <c r="B1143" s="10" t="s">
        <v>1744</v>
      </c>
      <c r="C1143" s="9">
        <v>14365</v>
      </c>
      <c r="D1143" s="10" t="s">
        <v>1745</v>
      </c>
      <c r="E1143" s="11" t="s">
        <v>1657</v>
      </c>
      <c r="F1143" t="str">
        <f t="shared" si="85"/>
        <v>Cornerstone</v>
      </c>
      <c r="G1143" t="str">
        <f t="shared" si="86"/>
        <v>Cornerstone14365Houston</v>
      </c>
      <c r="H1143" t="s">
        <v>32001</v>
      </c>
      <c r="I1143" t="s">
        <v>23431</v>
      </c>
      <c r="J1143" t="str">
        <f t="shared" si="87"/>
        <v>E:\PropInv\MF</v>
      </c>
      <c r="K1143" s="103" t="str">
        <f>HYPERLINK("E:\PropInv\MF\Houston\Cornerstone Village_14365_The Summit at Champions East_Houston_01310","Cornerstone Village_14365_The Summit at Champions East_Houston_01310" )</f>
        <v>Cornerstone Village_14365_The Summit at Champions East_Houston_01310</v>
      </c>
      <c r="L1143" s="104" t="s">
        <v>22253</v>
      </c>
      <c r="M1143" s="103" t="str">
        <f t="shared" si="88"/>
        <v>http://oconnordata.com/mlink/modules/profile/index.cfm?action=profile&amp;prop_id=1310</v>
      </c>
      <c r="N1143" s="1" t="str">
        <f t="shared" si="89"/>
        <v>01310</v>
      </c>
    </row>
    <row r="1144" spans="1:14" x14ac:dyDescent="0.3">
      <c r="A1144" s="1">
        <v>1312</v>
      </c>
      <c r="B1144" s="10" t="s">
        <v>1746</v>
      </c>
      <c r="C1144" s="9">
        <v>14101</v>
      </c>
      <c r="D1144" s="10" t="s">
        <v>1747</v>
      </c>
      <c r="E1144" s="11" t="s">
        <v>1657</v>
      </c>
      <c r="F1144" t="str">
        <f t="shared" si="85"/>
        <v>Walters</v>
      </c>
      <c r="G1144" t="str">
        <f t="shared" si="86"/>
        <v>Walters14101Houston</v>
      </c>
      <c r="H1144" t="s">
        <v>32002</v>
      </c>
      <c r="I1144" t="s">
        <v>23432</v>
      </c>
      <c r="J1144" t="str">
        <f t="shared" si="87"/>
        <v>E:\PropInv\MF</v>
      </c>
      <c r="K1144" s="103" t="str">
        <f>HYPERLINK("E:\PropInv\MF\Houston\Walters Rd_14101_Aston Brook_Houston_01312","Walters Rd_14101_Aston Brook_Houston_01312" )</f>
        <v>Walters Rd_14101_Aston Brook_Houston_01312</v>
      </c>
      <c r="L1144" s="104" t="s">
        <v>22253</v>
      </c>
      <c r="M1144" s="103" t="str">
        <f t="shared" si="88"/>
        <v>http://oconnordata.com/mlink/modules/profile/index.cfm?action=profile&amp;prop_id=1312</v>
      </c>
      <c r="N1144" s="1" t="str">
        <f t="shared" si="89"/>
        <v>01312</v>
      </c>
    </row>
    <row r="1145" spans="1:14" x14ac:dyDescent="0.3">
      <c r="A1145" s="97">
        <v>1313</v>
      </c>
      <c r="B1145" s="10" t="s">
        <v>1748</v>
      </c>
      <c r="C1145" s="9">
        <v>905</v>
      </c>
      <c r="D1145" s="10" t="s">
        <v>1749</v>
      </c>
      <c r="E1145" s="11" t="s">
        <v>1657</v>
      </c>
      <c r="F1145" t="str">
        <f t="shared" si="85"/>
        <v>Cypress</v>
      </c>
      <c r="G1145" t="str">
        <f t="shared" si="86"/>
        <v>Cypress905Houston</v>
      </c>
      <c r="H1145" t="s">
        <v>32003</v>
      </c>
      <c r="I1145" t="s">
        <v>23433</v>
      </c>
      <c r="J1145" t="str">
        <f t="shared" si="87"/>
        <v>E:\PropInv\MF</v>
      </c>
      <c r="K1145" s="103" t="str">
        <f>HYPERLINK("E:\PropInv\MF\Houston\Cypress Station_905_Wyndham Park II_Houston_01313","Cypress Station_905_Wyndham Park II_Houston_01313" )</f>
        <v>Cypress Station_905_Wyndham Park II_Houston_01313</v>
      </c>
      <c r="L1145" s="104" t="s">
        <v>22253</v>
      </c>
      <c r="M1145" s="103" t="str">
        <f t="shared" si="88"/>
        <v>http://oconnordata.com/mlink/modules/profile/index.cfm?action=profile&amp;prop_id=1313</v>
      </c>
      <c r="N1145" s="1" t="str">
        <f t="shared" si="89"/>
        <v>01313</v>
      </c>
    </row>
    <row r="1146" spans="1:14" x14ac:dyDescent="0.3">
      <c r="A1146" s="1">
        <v>1314</v>
      </c>
      <c r="B1146" s="10" t="s">
        <v>1748</v>
      </c>
      <c r="C1146" s="9">
        <v>910</v>
      </c>
      <c r="D1146" s="10" t="s">
        <v>1750</v>
      </c>
      <c r="E1146" s="11" t="s">
        <v>1657</v>
      </c>
      <c r="F1146" t="str">
        <f t="shared" si="85"/>
        <v>Cypress</v>
      </c>
      <c r="G1146" t="str">
        <f t="shared" si="86"/>
        <v>Cypress910Houston</v>
      </c>
      <c r="H1146" t="s">
        <v>32004</v>
      </c>
      <c r="I1146" t="s">
        <v>23434</v>
      </c>
      <c r="J1146" t="str">
        <f t="shared" si="87"/>
        <v>E:\PropInv\MF</v>
      </c>
      <c r="K1146" s="103" t="str">
        <f>HYPERLINK("E:\PropInv\MF\Houston\Cypress Station_910_Portofino Landing_Houston_01314","Cypress Station_910_Portofino Landing_Houston_01314" )</f>
        <v>Cypress Station_910_Portofino Landing_Houston_01314</v>
      </c>
      <c r="L1146" s="104" t="s">
        <v>22253</v>
      </c>
      <c r="M1146" s="103" t="str">
        <f t="shared" si="88"/>
        <v>http://oconnordata.com/mlink/modules/profile/index.cfm?action=profile&amp;prop_id=1314</v>
      </c>
      <c r="N1146" s="1" t="str">
        <f t="shared" si="89"/>
        <v>01314</v>
      </c>
    </row>
    <row r="1147" spans="1:14" x14ac:dyDescent="0.3">
      <c r="A1147" s="1">
        <v>1315</v>
      </c>
      <c r="B1147" s="10" t="s">
        <v>1748</v>
      </c>
      <c r="C1147" s="9">
        <v>990</v>
      </c>
      <c r="D1147" s="10" t="s">
        <v>1751</v>
      </c>
      <c r="E1147" s="11" t="s">
        <v>1657</v>
      </c>
      <c r="F1147" t="str">
        <f t="shared" si="85"/>
        <v>Cypress</v>
      </c>
      <c r="G1147" t="str">
        <f t="shared" si="86"/>
        <v>Cypress990Houston</v>
      </c>
      <c r="H1147" t="s">
        <v>32005</v>
      </c>
      <c r="I1147" t="s">
        <v>23435</v>
      </c>
      <c r="J1147" t="str">
        <f t="shared" si="87"/>
        <v>E:\PropInv\MF</v>
      </c>
      <c r="K1147" s="103" t="str">
        <f>HYPERLINK("E:\PropInv\MF\Houston\Cypress Station_990_The Palms at Cypress Station_Houston_01315","Cypress Station_990_The Palms at Cypress Station_Houston_01315" )</f>
        <v>Cypress Station_990_The Palms at Cypress Station_Houston_01315</v>
      </c>
      <c r="L1147" s="104" t="s">
        <v>22253</v>
      </c>
      <c r="M1147" s="103" t="str">
        <f t="shared" si="88"/>
        <v>http://oconnordata.com/mlink/modules/profile/index.cfm?action=profile&amp;prop_id=1315</v>
      </c>
      <c r="N1147" s="1" t="str">
        <f t="shared" si="89"/>
        <v>01315</v>
      </c>
    </row>
    <row r="1148" spans="1:14" x14ac:dyDescent="0.3">
      <c r="A1148" s="1">
        <v>1316</v>
      </c>
      <c r="B1148" s="10" t="s">
        <v>1729</v>
      </c>
      <c r="C1148" s="9">
        <v>1007</v>
      </c>
      <c r="D1148" s="10" t="s">
        <v>1752</v>
      </c>
      <c r="E1148" s="11" t="s">
        <v>1657</v>
      </c>
      <c r="F1148" t="str">
        <f t="shared" si="85"/>
        <v>Cypress</v>
      </c>
      <c r="G1148" t="str">
        <f t="shared" si="86"/>
        <v>Cypress1007Houston</v>
      </c>
      <c r="H1148" t="s">
        <v>32006</v>
      </c>
      <c r="I1148" t="s">
        <v>23436</v>
      </c>
      <c r="J1148" t="str">
        <f t="shared" si="87"/>
        <v>E:\PropInv\MF</v>
      </c>
      <c r="K1148" s="103" t="str">
        <f>HYPERLINK("E:\PropInv\MF\Houston\Cypress Station Dr_1007_The Blenheim_Houston_01316","Cypress Station Dr_1007_The Blenheim_Houston_01316" )</f>
        <v>Cypress Station Dr_1007_The Blenheim_Houston_01316</v>
      </c>
      <c r="L1148" s="104" t="s">
        <v>22253</v>
      </c>
      <c r="M1148" s="103" t="str">
        <f t="shared" si="88"/>
        <v>http://oconnordata.com/mlink/modules/profile/index.cfm?action=profile&amp;prop_id=1316</v>
      </c>
      <c r="N1148" s="1" t="str">
        <f t="shared" si="89"/>
        <v>01316</v>
      </c>
    </row>
    <row r="1149" spans="1:14" x14ac:dyDescent="0.3">
      <c r="A1149" s="1">
        <v>1317</v>
      </c>
      <c r="B1149" s="10" t="s">
        <v>1719</v>
      </c>
      <c r="C1149" s="9">
        <v>100</v>
      </c>
      <c r="D1149" s="10" t="s">
        <v>1753</v>
      </c>
      <c r="E1149" s="11" t="s">
        <v>1657</v>
      </c>
      <c r="F1149" t="str">
        <f t="shared" si="85"/>
        <v>Hollow</v>
      </c>
      <c r="G1149" t="str">
        <f t="shared" si="86"/>
        <v>Hollow100Houston</v>
      </c>
      <c r="H1149" t="s">
        <v>32007</v>
      </c>
      <c r="I1149" t="s">
        <v>23437</v>
      </c>
      <c r="J1149" t="str">
        <f t="shared" si="87"/>
        <v>E:\PropInv\MF</v>
      </c>
      <c r="K1149" s="103" t="str">
        <f>HYPERLINK("E:\PropInv\MF\Houston\Hollow Tree_100_Autumn Lakes_Houston_01317","Hollow Tree_100_Autumn Lakes_Houston_01317" )</f>
        <v>Hollow Tree_100_Autumn Lakes_Houston_01317</v>
      </c>
      <c r="L1149" s="104" t="s">
        <v>22253</v>
      </c>
      <c r="M1149" s="103" t="str">
        <f t="shared" si="88"/>
        <v>http://oconnordata.com/mlink/modules/profile/index.cfm?action=profile&amp;prop_id=1317</v>
      </c>
      <c r="N1149" s="1" t="str">
        <f t="shared" si="89"/>
        <v>01317</v>
      </c>
    </row>
    <row r="1150" spans="1:14" x14ac:dyDescent="0.3">
      <c r="A1150" s="1">
        <v>1318</v>
      </c>
      <c r="B1150" s="7" t="s">
        <v>1754</v>
      </c>
      <c r="C1150" s="12">
        <v>17710</v>
      </c>
      <c r="D1150" s="7" t="s">
        <v>1755</v>
      </c>
      <c r="E1150" s="13" t="s">
        <v>1657</v>
      </c>
      <c r="F1150" t="str">
        <f t="shared" si="85"/>
        <v>Red</v>
      </c>
      <c r="G1150" t="str">
        <f t="shared" si="86"/>
        <v>Red17710Houston</v>
      </c>
      <c r="H1150" t="s">
        <v>32008</v>
      </c>
      <c r="I1150" t="s">
        <v>23438</v>
      </c>
      <c r="J1150" t="str">
        <f t="shared" si="87"/>
        <v>E:\PropInv\MF</v>
      </c>
      <c r="K1150" s="103" t="str">
        <f>HYPERLINK("E:\PropInv\MF\Houston\Red Oak Dr_17710_The Village of Red Oak_Houston_01318","Red Oak Dr_17710_The Village of Red Oak_Houston_01318" )</f>
        <v>Red Oak Dr_17710_The Village of Red Oak_Houston_01318</v>
      </c>
      <c r="L1150" s="104" t="s">
        <v>22253</v>
      </c>
      <c r="M1150" s="103" t="str">
        <f t="shared" si="88"/>
        <v>http://oconnordata.com/mlink/modules/profile/index.cfm?action=profile&amp;prop_id=1318</v>
      </c>
      <c r="N1150" s="1" t="str">
        <f t="shared" si="89"/>
        <v>01318</v>
      </c>
    </row>
    <row r="1151" spans="1:14" x14ac:dyDescent="0.3">
      <c r="A1151" s="1">
        <v>1319</v>
      </c>
      <c r="B1151" s="7" t="s">
        <v>1756</v>
      </c>
      <c r="C1151" s="12">
        <v>17714</v>
      </c>
      <c r="D1151" s="7" t="s">
        <v>1757</v>
      </c>
      <c r="E1151" s="13" t="s">
        <v>1657</v>
      </c>
      <c r="F1151" t="str">
        <f t="shared" si="85"/>
        <v>Red</v>
      </c>
      <c r="G1151" t="str">
        <f t="shared" si="86"/>
        <v>Red17714Houston</v>
      </c>
      <c r="H1151" t="s">
        <v>32009</v>
      </c>
      <c r="I1151" t="s">
        <v>23439</v>
      </c>
      <c r="J1151" t="str">
        <f t="shared" si="87"/>
        <v>E:\PropInv\MF</v>
      </c>
      <c r="K1151" s="103" t="str">
        <f>HYPERLINK("E:\PropInv\MF\Houston\Red Oak Rd_17714_Rain Forest_Houston_01319","Red Oak Rd_17714_Rain Forest_Houston_01319" )</f>
        <v>Red Oak Rd_17714_Rain Forest_Houston_01319</v>
      </c>
      <c r="L1151" s="104" t="s">
        <v>22253</v>
      </c>
      <c r="M1151" s="103" t="str">
        <f t="shared" si="88"/>
        <v>http://oconnordata.com/mlink/modules/profile/index.cfm?action=profile&amp;prop_id=1319</v>
      </c>
      <c r="N1151" s="1" t="str">
        <f t="shared" si="89"/>
        <v>01319</v>
      </c>
    </row>
    <row r="1152" spans="1:14" x14ac:dyDescent="0.3">
      <c r="A1152" s="1">
        <v>1320</v>
      </c>
      <c r="B1152" s="7" t="s">
        <v>1715</v>
      </c>
      <c r="C1152" s="12">
        <v>22910</v>
      </c>
      <c r="D1152" s="7" t="s">
        <v>1758</v>
      </c>
      <c r="E1152" s="13" t="s">
        <v>1657</v>
      </c>
      <c r="F1152" t="str">
        <f t="shared" si="85"/>
        <v>Imperial</v>
      </c>
      <c r="G1152" t="str">
        <f t="shared" si="86"/>
        <v>Imperial22910Houston</v>
      </c>
      <c r="H1152" t="s">
        <v>32010</v>
      </c>
      <c r="I1152" t="s">
        <v>23440</v>
      </c>
      <c r="J1152" t="str">
        <f t="shared" si="87"/>
        <v>E:\PropInv\MF</v>
      </c>
      <c r="K1152" s="103" t="str">
        <f>HYPERLINK("E:\PropInv\MF\Houston\Imperial Valley_22910_Cinnamon Square_Houston_01320","Imperial Valley_22910_Cinnamon Square_Houston_01320" )</f>
        <v>Imperial Valley_22910_Cinnamon Square_Houston_01320</v>
      </c>
      <c r="L1152" s="104" t="s">
        <v>22253</v>
      </c>
      <c r="M1152" s="103" t="str">
        <f t="shared" si="88"/>
        <v>http://oconnordata.com/mlink/modules/profile/index.cfm?action=profile&amp;prop_id=1320</v>
      </c>
      <c r="N1152" s="1" t="str">
        <f t="shared" si="89"/>
        <v>01320</v>
      </c>
    </row>
    <row r="1153" spans="1:14" x14ac:dyDescent="0.3">
      <c r="A1153" s="1">
        <v>1322</v>
      </c>
      <c r="B1153" s="7" t="s">
        <v>1759</v>
      </c>
      <c r="C1153" s="12">
        <v>310</v>
      </c>
      <c r="D1153" s="7" t="s">
        <v>1760</v>
      </c>
      <c r="E1153" s="13" t="s">
        <v>1657</v>
      </c>
      <c r="F1153" t="str">
        <f t="shared" si="85"/>
        <v>Parramatta</v>
      </c>
      <c r="G1153" t="str">
        <f t="shared" si="86"/>
        <v>Parramatta310Houston</v>
      </c>
      <c r="H1153" t="s">
        <v>32011</v>
      </c>
      <c r="I1153" t="s">
        <v>23441</v>
      </c>
      <c r="J1153" t="str">
        <f t="shared" si="87"/>
        <v>E:\PropInv\MF</v>
      </c>
      <c r="K1153" s="103" t="str">
        <f>HYPERLINK("E:\PropInv\MF\Houston\Parramatta Ln_310_North Park_Houston_01322","Parramatta Ln_310_North Park_Houston_01322" )</f>
        <v>Parramatta Ln_310_North Park_Houston_01322</v>
      </c>
      <c r="L1153" s="104" t="s">
        <v>22253</v>
      </c>
      <c r="M1153" s="103" t="str">
        <f t="shared" si="88"/>
        <v>http://oconnordata.com/mlink/modules/profile/index.cfm?action=profile&amp;prop_id=1322</v>
      </c>
      <c r="N1153" s="1" t="str">
        <f t="shared" si="89"/>
        <v>01322</v>
      </c>
    </row>
    <row r="1154" spans="1:14" x14ac:dyDescent="0.3">
      <c r="A1154" s="1">
        <v>1323</v>
      </c>
      <c r="B1154" s="7" t="s">
        <v>1761</v>
      </c>
      <c r="C1154" s="12">
        <v>1230</v>
      </c>
      <c r="D1154" s="7" t="s">
        <v>1762</v>
      </c>
      <c r="E1154" s="13" t="s">
        <v>1763</v>
      </c>
      <c r="F1154" t="str">
        <f t="shared" ref="F1154:F1217" si="90">IFERROR(LEFT(B1154,FIND(" ",B1154)-1),B1154)</f>
        <v>1960</v>
      </c>
      <c r="G1154" t="str">
        <f t="shared" ref="G1154:G1217" si="91">F1154&amp;C1154&amp;E1154</f>
        <v>19601230Humble</v>
      </c>
      <c r="H1154" t="s">
        <v>32012</v>
      </c>
      <c r="I1154" t="s">
        <v>23442</v>
      </c>
      <c r="J1154" t="str">
        <f t="shared" ref="J1154:J1217" si="92">IF(L1154="TX",Folder_Path,Folder_Path&amp;"\State_"&amp;L1154)</f>
        <v>E:\PropInv\MF</v>
      </c>
      <c r="K1154" s="103" t="str">
        <f>HYPERLINK("E:\PropInv\MF\Humble\1960 FM E_1230_Deerbrook Garden_Humble_01323","1960 FM E_1230_Deerbrook Garden_Humble_01323" )</f>
        <v>1960 FM E_1230_Deerbrook Garden_Humble_01323</v>
      </c>
      <c r="L1154" s="104" t="s">
        <v>22253</v>
      </c>
      <c r="M1154" s="103" t="str">
        <f t="shared" ref="M1154:M1217" si="93">HYPERLINK("http://oconnordata.com/mlink/modules/profile/index.cfm?action=profile&amp;prop_id="&amp;A1154)</f>
        <v>http://oconnordata.com/mlink/modules/profile/index.cfm?action=profile&amp;prop_id=1323</v>
      </c>
      <c r="N1154" s="1" t="str">
        <f t="shared" ref="N1154:N1217" si="94">IF(LEN(A1154)=1,"0000"&amp;A1154,IF(LEN(A1154)=2,"000"&amp;A1154,IF(LEN(A1154)=3,"00"&amp;A1154,IF(LEN(A1154)=4,"0"&amp;A1154,IF(LEN(A1154)=5,IF(LEFT(A1154,1)="3",A1154+30000,A1154))))))</f>
        <v>01323</v>
      </c>
    </row>
    <row r="1155" spans="1:14" x14ac:dyDescent="0.3">
      <c r="A1155" s="1">
        <v>1324</v>
      </c>
      <c r="B1155" s="7" t="s">
        <v>1764</v>
      </c>
      <c r="C1155" s="12">
        <v>401</v>
      </c>
      <c r="D1155" s="7" t="s">
        <v>1765</v>
      </c>
      <c r="E1155" s="13" t="s">
        <v>1763</v>
      </c>
      <c r="F1155" t="str">
        <f t="shared" si="90"/>
        <v>Bender</v>
      </c>
      <c r="G1155" t="str">
        <f t="shared" si="91"/>
        <v>Bender401Humble</v>
      </c>
      <c r="H1155" t="s">
        <v>32013</v>
      </c>
      <c r="I1155" t="s">
        <v>23443</v>
      </c>
      <c r="J1155" t="str">
        <f t="shared" si="92"/>
        <v>E:\PropInv\MF</v>
      </c>
      <c r="K1155" s="103" t="str">
        <f>HYPERLINK("E:\PropInv\MF\Humble\Bender Ave_401_Township_Humble_01324","Bender Ave_401_Township_Humble_01324" )</f>
        <v>Bender Ave_401_Township_Humble_01324</v>
      </c>
      <c r="L1155" s="104" t="s">
        <v>22253</v>
      </c>
      <c r="M1155" s="103" t="str">
        <f t="shared" si="93"/>
        <v>http://oconnordata.com/mlink/modules/profile/index.cfm?action=profile&amp;prop_id=1324</v>
      </c>
      <c r="N1155" s="1" t="str">
        <f t="shared" si="94"/>
        <v>01324</v>
      </c>
    </row>
    <row r="1156" spans="1:14" x14ac:dyDescent="0.3">
      <c r="A1156" s="1">
        <v>1325</v>
      </c>
      <c r="B1156" s="7" t="s">
        <v>1766</v>
      </c>
      <c r="C1156" s="12">
        <v>412</v>
      </c>
      <c r="D1156" s="7" t="s">
        <v>1767</v>
      </c>
      <c r="E1156" s="13" t="s">
        <v>1763</v>
      </c>
      <c r="F1156" t="str">
        <f t="shared" si="90"/>
        <v>Bender</v>
      </c>
      <c r="G1156" t="str">
        <f t="shared" si="91"/>
        <v>Bender412Humble</v>
      </c>
      <c r="H1156" t="s">
        <v>32014</v>
      </c>
      <c r="I1156" t="s">
        <v>23444</v>
      </c>
      <c r="J1156" t="str">
        <f t="shared" si="92"/>
        <v>E:\PropInv\MF</v>
      </c>
      <c r="K1156" s="103" t="str">
        <f>HYPERLINK("E:\PropInv\MF\Humble\Bender S_412_Pines at Humble Park_Humble_01325","Bender S_412_Pines at Humble Park_Humble_01325" )</f>
        <v>Bender S_412_Pines at Humble Park_Humble_01325</v>
      </c>
      <c r="L1156" s="104" t="s">
        <v>22253</v>
      </c>
      <c r="M1156" s="103" t="str">
        <f t="shared" si="93"/>
        <v>http://oconnordata.com/mlink/modules/profile/index.cfm?action=profile&amp;prop_id=1325</v>
      </c>
      <c r="N1156" s="1" t="str">
        <f t="shared" si="94"/>
        <v>01325</v>
      </c>
    </row>
    <row r="1157" spans="1:14" x14ac:dyDescent="0.3">
      <c r="A1157" s="1">
        <v>1326</v>
      </c>
      <c r="B1157" s="7" t="s">
        <v>1768</v>
      </c>
      <c r="C1157" s="12">
        <v>1819</v>
      </c>
      <c r="D1157" s="7" t="s">
        <v>1769</v>
      </c>
      <c r="E1157" s="13" t="s">
        <v>1657</v>
      </c>
      <c r="F1157" t="str">
        <f t="shared" si="90"/>
        <v>Briarcreek</v>
      </c>
      <c r="G1157" t="str">
        <f t="shared" si="91"/>
        <v>Briarcreek1819Houston</v>
      </c>
      <c r="H1157" t="s">
        <v>32015</v>
      </c>
      <c r="I1157" t="s">
        <v>23445</v>
      </c>
      <c r="J1157" t="str">
        <f t="shared" si="92"/>
        <v>E:\PropInv\MF</v>
      </c>
      <c r="K1157" s="103" t="str">
        <f>HYPERLINK("E:\PropInv\MF\Houston\Briarcreek Blvd_1819_Memorial Hills TH_Houston_01326","Briarcreek Blvd_1819_Memorial Hills TH_Houston_01326" )</f>
        <v>Briarcreek Blvd_1819_Memorial Hills TH_Houston_01326</v>
      </c>
      <c r="L1157" s="104" t="s">
        <v>22253</v>
      </c>
      <c r="M1157" s="103" t="str">
        <f t="shared" si="93"/>
        <v>http://oconnordata.com/mlink/modules/profile/index.cfm?action=profile&amp;prop_id=1326</v>
      </c>
      <c r="N1157" s="1" t="str">
        <f t="shared" si="94"/>
        <v>01326</v>
      </c>
    </row>
    <row r="1158" spans="1:14" x14ac:dyDescent="0.3">
      <c r="A1158" s="1">
        <v>1327</v>
      </c>
      <c r="B1158" s="7" t="s">
        <v>1770</v>
      </c>
      <c r="C1158" s="12">
        <v>1601</v>
      </c>
      <c r="D1158" s="7" t="s">
        <v>1771</v>
      </c>
      <c r="E1158" s="13" t="s">
        <v>1657</v>
      </c>
      <c r="F1158" t="str">
        <f t="shared" si="90"/>
        <v>Wooded</v>
      </c>
      <c r="G1158" t="str">
        <f t="shared" si="91"/>
        <v>Wooded1601Houston</v>
      </c>
      <c r="H1158" t="s">
        <v>32016</v>
      </c>
      <c r="I1158" t="s">
        <v>16827</v>
      </c>
      <c r="J1158" t="str">
        <f t="shared" si="92"/>
        <v>E:\PropInv\MF</v>
      </c>
      <c r="K1158" s="103" t="str">
        <f>HYPERLINK("E:\PropInv\MF\Houston\Wooded Pine_1601_Candleridge Park_Houston_01327","Wooded Pine_1601_Candleridge Park_Houston_01327" )</f>
        <v>Wooded Pine_1601_Candleridge Park_Houston_01327</v>
      </c>
      <c r="L1158" s="104" t="s">
        <v>22253</v>
      </c>
      <c r="M1158" s="103" t="str">
        <f t="shared" si="93"/>
        <v>http://oconnordata.com/mlink/modules/profile/index.cfm?action=profile&amp;prop_id=1327</v>
      </c>
      <c r="N1158" s="1" t="str">
        <f t="shared" si="94"/>
        <v>01327</v>
      </c>
    </row>
    <row r="1159" spans="1:14" x14ac:dyDescent="0.3">
      <c r="A1159" s="1">
        <v>1328</v>
      </c>
      <c r="B1159" s="7" t="s">
        <v>1772</v>
      </c>
      <c r="C1159" s="12">
        <v>15530</v>
      </c>
      <c r="D1159" s="7" t="s">
        <v>1773</v>
      </c>
      <c r="E1159" s="13" t="s">
        <v>1657</v>
      </c>
      <c r="F1159" t="str">
        <f t="shared" si="90"/>
        <v>Ella</v>
      </c>
      <c r="G1159" t="str">
        <f t="shared" si="91"/>
        <v>Ella15530Houston</v>
      </c>
      <c r="H1159" t="s">
        <v>32017</v>
      </c>
      <c r="I1159" t="s">
        <v>23446</v>
      </c>
      <c r="J1159" t="str">
        <f t="shared" si="92"/>
        <v>E:\PropInv\MF</v>
      </c>
      <c r="K1159" s="103" t="str">
        <f>HYPERLINK("E:\PropInv\MF\Houston\Ella Blvd_15530_La Jolla Champions on Ella_Houston_01328","Ella Blvd_15530_La Jolla Champions on Ella_Houston_01328" )</f>
        <v>Ella Blvd_15530_La Jolla Champions on Ella_Houston_01328</v>
      </c>
      <c r="L1159" s="104" t="s">
        <v>22253</v>
      </c>
      <c r="M1159" s="103" t="str">
        <f t="shared" si="93"/>
        <v>http://oconnordata.com/mlink/modules/profile/index.cfm?action=profile&amp;prop_id=1328</v>
      </c>
      <c r="N1159" s="1" t="str">
        <f t="shared" si="94"/>
        <v>01328</v>
      </c>
    </row>
    <row r="1160" spans="1:14" x14ac:dyDescent="0.3">
      <c r="A1160" s="1">
        <v>1329</v>
      </c>
      <c r="B1160" s="7" t="s">
        <v>1715</v>
      </c>
      <c r="C1160" s="12">
        <v>20430</v>
      </c>
      <c r="D1160" s="7" t="s">
        <v>1774</v>
      </c>
      <c r="E1160" s="13" t="s">
        <v>1657</v>
      </c>
      <c r="F1160" t="str">
        <f t="shared" si="90"/>
        <v>Imperial</v>
      </c>
      <c r="G1160" t="str">
        <f t="shared" si="91"/>
        <v>Imperial20430Houston</v>
      </c>
      <c r="H1160" t="s">
        <v>32018</v>
      </c>
      <c r="I1160" t="s">
        <v>23447</v>
      </c>
      <c r="J1160" t="str">
        <f t="shared" si="92"/>
        <v>E:\PropInv\MF</v>
      </c>
      <c r="K1160" s="103" t="str">
        <f>HYPERLINK("E:\PropInv\MF\Houston\Imperial Valley_20430_Century Park_Houston_01329","Imperial Valley_20430_Century Park_Houston_01329" )</f>
        <v>Imperial Valley_20430_Century Park_Houston_01329</v>
      </c>
      <c r="L1160" s="104" t="s">
        <v>22253</v>
      </c>
      <c r="M1160" s="103" t="str">
        <f t="shared" si="93"/>
        <v>http://oconnordata.com/mlink/modules/profile/index.cfm?action=profile&amp;prop_id=1329</v>
      </c>
      <c r="N1160" s="1" t="str">
        <f t="shared" si="94"/>
        <v>01329</v>
      </c>
    </row>
    <row r="1161" spans="1:14" x14ac:dyDescent="0.3">
      <c r="A1161" s="1">
        <v>1330</v>
      </c>
      <c r="B1161" s="10" t="s">
        <v>1772</v>
      </c>
      <c r="C1161" s="9">
        <v>16755</v>
      </c>
      <c r="D1161" s="10" t="s">
        <v>1775</v>
      </c>
      <c r="E1161" s="11" t="s">
        <v>1657</v>
      </c>
      <c r="F1161" t="str">
        <f t="shared" si="90"/>
        <v>Ella</v>
      </c>
      <c r="G1161" t="str">
        <f t="shared" si="91"/>
        <v>Ella16755Houston</v>
      </c>
      <c r="H1161" t="s">
        <v>32019</v>
      </c>
      <c r="I1161" t="s">
        <v>23448</v>
      </c>
      <c r="J1161" t="str">
        <f t="shared" si="92"/>
        <v>E:\PropInv\MF</v>
      </c>
      <c r="K1161" s="103" t="str">
        <f>HYPERLINK("E:\PropInv\MF\Houston\Ella Blvd_16755_Lakeview II_Houston_01330","Ella Blvd_16755_Lakeview II_Houston_01330" )</f>
        <v>Ella Blvd_16755_Lakeview II_Houston_01330</v>
      </c>
      <c r="L1161" s="104" t="s">
        <v>22253</v>
      </c>
      <c r="M1161" s="103" t="str">
        <f t="shared" si="93"/>
        <v>http://oconnordata.com/mlink/modules/profile/index.cfm?action=profile&amp;prop_id=1330</v>
      </c>
      <c r="N1161" s="1" t="str">
        <f t="shared" si="94"/>
        <v>01330</v>
      </c>
    </row>
    <row r="1162" spans="1:14" x14ac:dyDescent="0.3">
      <c r="A1162" s="1">
        <v>1331</v>
      </c>
      <c r="B1162" s="10" t="s">
        <v>1776</v>
      </c>
      <c r="C1162" s="9">
        <v>1699</v>
      </c>
      <c r="D1162" s="10" t="s">
        <v>1777</v>
      </c>
      <c r="E1162" s="11" t="s">
        <v>1657</v>
      </c>
      <c r="F1162" t="str">
        <f t="shared" si="90"/>
        <v>Romano</v>
      </c>
      <c r="G1162" t="str">
        <f t="shared" si="91"/>
        <v>Romano1699Houston</v>
      </c>
      <c r="H1162" t="s">
        <v>32020</v>
      </c>
      <c r="I1162" t="s">
        <v>23449</v>
      </c>
      <c r="J1162" t="str">
        <f t="shared" si="92"/>
        <v>E:\PropInv\MF</v>
      </c>
      <c r="K1162" s="103" t="str">
        <f>HYPERLINK("E:\PropInv\MF\Houston\Romano Park Ln_1699_Lakeview Estates_Houston_01331","Romano Park Ln_1699_Lakeview Estates_Houston_01331" )</f>
        <v>Romano Park Ln_1699_Lakeview Estates_Houston_01331</v>
      </c>
      <c r="L1162" s="104" t="s">
        <v>22253</v>
      </c>
      <c r="M1162" s="103" t="str">
        <f t="shared" si="93"/>
        <v>http://oconnordata.com/mlink/modules/profile/index.cfm?action=profile&amp;prop_id=1331</v>
      </c>
      <c r="N1162" s="1" t="str">
        <f t="shared" si="94"/>
        <v>01331</v>
      </c>
    </row>
    <row r="1163" spans="1:14" x14ac:dyDescent="0.3">
      <c r="A1163" s="1">
        <v>1332</v>
      </c>
      <c r="B1163" s="10" t="s">
        <v>1778</v>
      </c>
      <c r="C1163" s="9">
        <v>2800</v>
      </c>
      <c r="D1163" s="10" t="s">
        <v>1779</v>
      </c>
      <c r="E1163" s="11" t="s">
        <v>1671</v>
      </c>
      <c r="F1163" t="str">
        <f t="shared" si="90"/>
        <v>Hirschfield</v>
      </c>
      <c r="G1163" t="str">
        <f t="shared" si="91"/>
        <v>Hirschfield2800Spring</v>
      </c>
      <c r="H1163" t="s">
        <v>32021</v>
      </c>
      <c r="I1163" t="s">
        <v>23450</v>
      </c>
      <c r="J1163" t="str">
        <f t="shared" si="92"/>
        <v>E:\PropInv\MF</v>
      </c>
      <c r="K1163" s="103" t="str">
        <f>HYPERLINK("E:\PropInv\MF\Spring\Hirschfield_2800_One Westfield Lake_Spring_01332","Hirschfield_2800_One Westfield Lake_Spring_01332" )</f>
        <v>Hirschfield_2800_One Westfield Lake_Spring_01332</v>
      </c>
      <c r="L1163" s="104" t="s">
        <v>22253</v>
      </c>
      <c r="M1163" s="103" t="str">
        <f t="shared" si="93"/>
        <v>http://oconnordata.com/mlink/modules/profile/index.cfm?action=profile&amp;prop_id=1332</v>
      </c>
      <c r="N1163" s="1" t="str">
        <f t="shared" si="94"/>
        <v>01332</v>
      </c>
    </row>
    <row r="1164" spans="1:14" x14ac:dyDescent="0.3">
      <c r="A1164" s="97">
        <v>1333</v>
      </c>
      <c r="B1164" s="10" t="s">
        <v>1778</v>
      </c>
      <c r="C1164" s="9">
        <v>2929</v>
      </c>
      <c r="D1164" s="10" t="s">
        <v>1780</v>
      </c>
      <c r="E1164" s="11" t="s">
        <v>1671</v>
      </c>
      <c r="F1164" t="str">
        <f t="shared" si="90"/>
        <v>Hirschfield</v>
      </c>
      <c r="G1164" t="str">
        <f t="shared" si="91"/>
        <v>Hirschfield2929Spring</v>
      </c>
      <c r="H1164" t="s">
        <v>32022</v>
      </c>
      <c r="I1164" t="s">
        <v>23451</v>
      </c>
      <c r="J1164" t="str">
        <f t="shared" si="92"/>
        <v>E:\PropInv\MF</v>
      </c>
      <c r="K1164" s="103" t="str">
        <f>HYPERLINK("E:\PropInv\MF\Spring\Hirschfield_2929_Windsong Village_Spring_01333","Hirschfield_2929_Windsong Village_Spring_01333" )</f>
        <v>Hirschfield_2929_Windsong Village_Spring_01333</v>
      </c>
      <c r="L1164" s="104" t="s">
        <v>22253</v>
      </c>
      <c r="M1164" s="103" t="str">
        <f t="shared" si="93"/>
        <v>http://oconnordata.com/mlink/modules/profile/index.cfm?action=profile&amp;prop_id=1333</v>
      </c>
      <c r="N1164" s="1" t="str">
        <f t="shared" si="94"/>
        <v>01333</v>
      </c>
    </row>
    <row r="1165" spans="1:14" x14ac:dyDescent="0.3">
      <c r="A1165" s="97">
        <v>1334</v>
      </c>
      <c r="B1165" s="10" t="s">
        <v>1781</v>
      </c>
      <c r="C1165" s="9">
        <v>21717</v>
      </c>
      <c r="D1165" s="10" t="s">
        <v>1782</v>
      </c>
      <c r="E1165" s="11" t="s">
        <v>1657</v>
      </c>
      <c r="F1165" t="str">
        <f t="shared" si="90"/>
        <v>Inverness</v>
      </c>
      <c r="G1165" t="str">
        <f t="shared" si="91"/>
        <v>Inverness21717Houston</v>
      </c>
      <c r="H1165" t="s">
        <v>32023</v>
      </c>
      <c r="I1165" t="s">
        <v>23452</v>
      </c>
      <c r="J1165" t="str">
        <f t="shared" si="92"/>
        <v>E:\PropInv\MF</v>
      </c>
      <c r="K1165" s="103" t="str">
        <f>HYPERLINK("E:\PropInv\MF\Houston\Inverness Forest Blvd_21717_Woods of Inverness_Houston_01334","Inverness Forest Blvd_21717_Woods of Inverness_Houston_01334" )</f>
        <v>Inverness Forest Blvd_21717_Woods of Inverness_Houston_01334</v>
      </c>
      <c r="L1165" s="104" t="s">
        <v>22253</v>
      </c>
      <c r="M1165" s="103" t="str">
        <f t="shared" si="93"/>
        <v>http://oconnordata.com/mlink/modules/profile/index.cfm?action=profile&amp;prop_id=1334</v>
      </c>
      <c r="N1165" s="1" t="str">
        <f t="shared" si="94"/>
        <v>01334</v>
      </c>
    </row>
    <row r="1166" spans="1:14" x14ac:dyDescent="0.3">
      <c r="A1166" s="1">
        <v>1335</v>
      </c>
      <c r="B1166" s="10" t="s">
        <v>1772</v>
      </c>
      <c r="C1166" s="9">
        <v>16755</v>
      </c>
      <c r="D1166" s="10" t="s">
        <v>1783</v>
      </c>
      <c r="E1166" s="11" t="s">
        <v>1657</v>
      </c>
      <c r="F1166" t="str">
        <f t="shared" si="90"/>
        <v>Ella</v>
      </c>
      <c r="G1166" t="str">
        <f t="shared" si="91"/>
        <v>Ella16755Houston</v>
      </c>
      <c r="H1166" t="s">
        <v>32024</v>
      </c>
      <c r="I1166" t="s">
        <v>23453</v>
      </c>
      <c r="J1166" t="str">
        <f t="shared" si="92"/>
        <v>E:\PropInv\MF</v>
      </c>
      <c r="K1166" s="103" t="str">
        <f>HYPERLINK("E:\PropInv\MF\Houston\Ella Blvd_16755_Lakeview I_Houston_01335","Ella Blvd_16755_Lakeview I_Houston_01335" )</f>
        <v>Ella Blvd_16755_Lakeview I_Houston_01335</v>
      </c>
      <c r="L1166" s="104" t="s">
        <v>22253</v>
      </c>
      <c r="M1166" s="103" t="str">
        <f t="shared" si="93"/>
        <v>http://oconnordata.com/mlink/modules/profile/index.cfm?action=profile&amp;prop_id=1335</v>
      </c>
      <c r="N1166" s="1" t="str">
        <f t="shared" si="94"/>
        <v>01335</v>
      </c>
    </row>
    <row r="1167" spans="1:14" x14ac:dyDescent="0.3">
      <c r="A1167" s="1">
        <v>1336</v>
      </c>
      <c r="B1167" s="10" t="s">
        <v>1701</v>
      </c>
      <c r="C1167" s="9">
        <v>22221</v>
      </c>
      <c r="D1167" s="10" t="s">
        <v>1784</v>
      </c>
      <c r="E1167" s="11" t="s">
        <v>1671</v>
      </c>
      <c r="F1167" t="str">
        <f t="shared" si="90"/>
        <v>Cypresswood</v>
      </c>
      <c r="G1167" t="str">
        <f t="shared" si="91"/>
        <v>Cypresswood22221Spring</v>
      </c>
      <c r="H1167" t="s">
        <v>32025</v>
      </c>
      <c r="I1167" t="s">
        <v>23454</v>
      </c>
      <c r="J1167" t="str">
        <f t="shared" si="92"/>
        <v>E:\PropInv\MF</v>
      </c>
      <c r="K1167" s="103" t="str">
        <f>HYPERLINK("E:\PropInv\MF\Spring\Cypresswood_22221_Cypresswood Court_Spring_01336","Cypresswood_22221_Cypresswood Court_Spring_01336" )</f>
        <v>Cypresswood_22221_Cypresswood Court_Spring_01336</v>
      </c>
      <c r="L1167" s="104" t="s">
        <v>22253</v>
      </c>
      <c r="M1167" s="103" t="str">
        <f t="shared" si="93"/>
        <v>http://oconnordata.com/mlink/modules/profile/index.cfm?action=profile&amp;prop_id=1336</v>
      </c>
      <c r="N1167" s="1" t="str">
        <f t="shared" si="94"/>
        <v>01336</v>
      </c>
    </row>
    <row r="1168" spans="1:14" x14ac:dyDescent="0.3">
      <c r="A1168" s="1">
        <v>1337</v>
      </c>
      <c r="B1168" s="7" t="s">
        <v>1785</v>
      </c>
      <c r="C1168" s="12">
        <v>19920</v>
      </c>
      <c r="D1168" s="7" t="s">
        <v>1786</v>
      </c>
      <c r="E1168" s="13" t="s">
        <v>1763</v>
      </c>
      <c r="F1168" t="str">
        <f t="shared" si="90"/>
        <v>Foxwood</v>
      </c>
      <c r="G1168" t="str">
        <f t="shared" si="91"/>
        <v>Foxwood19920Humble</v>
      </c>
      <c r="H1168" t="s">
        <v>32026</v>
      </c>
      <c r="I1168" t="s">
        <v>23455</v>
      </c>
      <c r="J1168" t="str">
        <f t="shared" si="92"/>
        <v>E:\PropInv\MF</v>
      </c>
      <c r="K1168" s="103" t="str">
        <f>HYPERLINK("E:\PropInv\MF\Humble\Foxwood Forest_19920_Foxwood_Humble_01337","Foxwood Forest_19920_Foxwood_Humble_01337" )</f>
        <v>Foxwood Forest_19920_Foxwood_Humble_01337</v>
      </c>
      <c r="L1168" s="104" t="s">
        <v>22253</v>
      </c>
      <c r="M1168" s="103" t="str">
        <f t="shared" si="93"/>
        <v>http://oconnordata.com/mlink/modules/profile/index.cfm?action=profile&amp;prop_id=1337</v>
      </c>
      <c r="N1168" s="1" t="str">
        <f t="shared" si="94"/>
        <v>01337</v>
      </c>
    </row>
    <row r="1169" spans="1:14" x14ac:dyDescent="0.3">
      <c r="A1169" s="97">
        <v>1338</v>
      </c>
      <c r="B1169" s="10" t="s">
        <v>1787</v>
      </c>
      <c r="C1169" s="9">
        <v>3023</v>
      </c>
      <c r="D1169" s="10" t="s">
        <v>1788</v>
      </c>
      <c r="E1169" s="11" t="s">
        <v>1657</v>
      </c>
      <c r="F1169" t="str">
        <f t="shared" si="90"/>
        <v>Woodcreek</v>
      </c>
      <c r="G1169" t="str">
        <f t="shared" si="91"/>
        <v>Woodcreek3023Houston</v>
      </c>
      <c r="H1169" t="s">
        <v>32027</v>
      </c>
      <c r="I1169" t="s">
        <v>23456</v>
      </c>
      <c r="J1169" t="str">
        <f t="shared" si="92"/>
        <v>E:\PropInv\MF</v>
      </c>
      <c r="K1169" s="103" t="str">
        <f>HYPERLINK("E:\PropInv\MF\Houston\Woodcreek Ln_3023_Woodcreek Village_Houston_01338","Woodcreek Ln_3023_Woodcreek Village_Houston_01338" )</f>
        <v>Woodcreek Ln_3023_Woodcreek Village_Houston_01338</v>
      </c>
      <c r="L1169" s="104" t="s">
        <v>22253</v>
      </c>
      <c r="M1169" s="103" t="str">
        <f t="shared" si="93"/>
        <v>http://oconnordata.com/mlink/modules/profile/index.cfm?action=profile&amp;prop_id=1338</v>
      </c>
      <c r="N1169" s="1" t="str">
        <f t="shared" si="94"/>
        <v>01338</v>
      </c>
    </row>
    <row r="1170" spans="1:14" x14ac:dyDescent="0.3">
      <c r="A1170" s="1">
        <v>1339</v>
      </c>
      <c r="B1170" s="10" t="s">
        <v>1789</v>
      </c>
      <c r="C1170" s="9">
        <v>20515</v>
      </c>
      <c r="D1170" s="10" t="s">
        <v>1790</v>
      </c>
      <c r="E1170" s="11" t="s">
        <v>1763</v>
      </c>
      <c r="F1170" t="str">
        <f t="shared" si="90"/>
        <v>Aldine</v>
      </c>
      <c r="G1170" t="str">
        <f t="shared" si="91"/>
        <v>Aldine20515Humble</v>
      </c>
      <c r="H1170" t="s">
        <v>32028</v>
      </c>
      <c r="I1170" t="s">
        <v>23457</v>
      </c>
      <c r="J1170" t="str">
        <f t="shared" si="92"/>
        <v>E:\PropInv\MF</v>
      </c>
      <c r="K1170" s="103" t="str">
        <f>HYPERLINK("E:\PropInv\MF\Humble\Aldine Westfield_20515_Westfield Ridge_Humble_01339","Aldine Westfield_20515_Westfield Ridge_Humble_01339" )</f>
        <v>Aldine Westfield_20515_Westfield Ridge_Humble_01339</v>
      </c>
      <c r="L1170" s="104" t="s">
        <v>22253</v>
      </c>
      <c r="M1170" s="103" t="str">
        <f t="shared" si="93"/>
        <v>http://oconnordata.com/mlink/modules/profile/index.cfm?action=profile&amp;prop_id=1339</v>
      </c>
      <c r="N1170" s="1" t="str">
        <f t="shared" si="94"/>
        <v>01339</v>
      </c>
    </row>
    <row r="1171" spans="1:14" x14ac:dyDescent="0.3">
      <c r="A1171" s="1">
        <v>1341</v>
      </c>
      <c r="B1171" s="10" t="s">
        <v>1791</v>
      </c>
      <c r="C1171" s="9" t="s">
        <v>1792</v>
      </c>
      <c r="D1171" s="10" t="s">
        <v>1793</v>
      </c>
      <c r="E1171" s="11" t="s">
        <v>1657</v>
      </c>
      <c r="F1171" t="str">
        <f t="shared" si="90"/>
        <v>Millstone</v>
      </c>
      <c r="G1171" t="str">
        <f t="shared" si="91"/>
        <v>Millstone2257-BHouston</v>
      </c>
      <c r="H1171" t="s">
        <v>32029</v>
      </c>
      <c r="I1171" t="s">
        <v>23458</v>
      </c>
      <c r="J1171" t="str">
        <f t="shared" si="92"/>
        <v>E:\PropInv\MF</v>
      </c>
      <c r="K1171" s="103" t="str">
        <f>HYPERLINK("E:\PropInv\MF\Houston\Millstone_2257-B_Kelkind Manor_Houston_01341","Millstone_2257-B_Kelkind Manor_Houston_01341" )</f>
        <v>Millstone_2257-B_Kelkind Manor_Houston_01341</v>
      </c>
      <c r="L1171" s="104" t="s">
        <v>22253</v>
      </c>
      <c r="M1171" s="103" t="str">
        <f t="shared" si="93"/>
        <v>http://oconnordata.com/mlink/modules/profile/index.cfm?action=profile&amp;prop_id=1341</v>
      </c>
      <c r="N1171" s="1" t="str">
        <f t="shared" si="94"/>
        <v>01341</v>
      </c>
    </row>
    <row r="1172" spans="1:14" x14ac:dyDescent="0.3">
      <c r="A1172" s="1">
        <v>1342</v>
      </c>
      <c r="B1172" s="10" t="s">
        <v>1794</v>
      </c>
      <c r="C1172" s="9">
        <v>300</v>
      </c>
      <c r="D1172" s="10" t="s">
        <v>1795</v>
      </c>
      <c r="E1172" s="11" t="s">
        <v>1657</v>
      </c>
      <c r="F1172" t="str">
        <f t="shared" si="90"/>
        <v>Vista</v>
      </c>
      <c r="G1172" t="str">
        <f t="shared" si="91"/>
        <v>Vista300Houston</v>
      </c>
      <c r="H1172" t="s">
        <v>32030</v>
      </c>
      <c r="I1172" t="s">
        <v>23459</v>
      </c>
      <c r="J1172" t="str">
        <f t="shared" si="92"/>
        <v>E:\PropInv\MF</v>
      </c>
      <c r="K1172" s="103" t="str">
        <f>HYPERLINK("E:\PropInv\MF\Houston\Vista Dr N_300_Apache Springs_Houston_01342","Vista Dr N_300_Apache Springs_Houston_01342" )</f>
        <v>Vista Dr N_300_Apache Springs_Houston_01342</v>
      </c>
      <c r="L1172" s="104" t="s">
        <v>22253</v>
      </c>
      <c r="M1172" s="103" t="str">
        <f t="shared" si="93"/>
        <v>http://oconnordata.com/mlink/modules/profile/index.cfm?action=profile&amp;prop_id=1342</v>
      </c>
      <c r="N1172" s="1" t="str">
        <f t="shared" si="94"/>
        <v>01342</v>
      </c>
    </row>
    <row r="1173" spans="1:14" x14ac:dyDescent="0.3">
      <c r="A1173" s="1">
        <v>1343</v>
      </c>
      <c r="B1173" s="10" t="s">
        <v>1796</v>
      </c>
      <c r="C1173" s="9">
        <v>911</v>
      </c>
      <c r="D1173" s="10" t="s">
        <v>1796</v>
      </c>
      <c r="E1173" s="11" t="s">
        <v>1657</v>
      </c>
      <c r="F1173" t="str">
        <f t="shared" si="90"/>
        <v>Sun</v>
      </c>
      <c r="G1173" t="str">
        <f t="shared" si="91"/>
        <v>Sun911Houston</v>
      </c>
      <c r="H1173" t="s">
        <v>32031</v>
      </c>
      <c r="I1173" t="s">
        <v>23460</v>
      </c>
      <c r="J1173" t="str">
        <f t="shared" si="92"/>
        <v>E:\PropInv\MF</v>
      </c>
      <c r="K1173" s="103" t="str">
        <f>HYPERLINK("E:\PropInv\MF\Houston\Sun Prairie_911_Sun Prairie_Houston_01343","Sun Prairie_911_Sun Prairie_Houston_01343" )</f>
        <v>Sun Prairie_911_Sun Prairie_Houston_01343</v>
      </c>
      <c r="L1173" s="104" t="s">
        <v>22253</v>
      </c>
      <c r="M1173" s="103" t="str">
        <f t="shared" si="93"/>
        <v>http://oconnordata.com/mlink/modules/profile/index.cfm?action=profile&amp;prop_id=1343</v>
      </c>
      <c r="N1173" s="1" t="str">
        <f t="shared" si="94"/>
        <v>01343</v>
      </c>
    </row>
    <row r="1174" spans="1:14" x14ac:dyDescent="0.3">
      <c r="A1174" s="1">
        <v>1344</v>
      </c>
      <c r="B1174" s="7" t="s">
        <v>1797</v>
      </c>
      <c r="C1174" s="12">
        <v>805</v>
      </c>
      <c r="D1174" s="7" t="s">
        <v>1798</v>
      </c>
      <c r="E1174" s="13" t="s">
        <v>1657</v>
      </c>
      <c r="F1174" t="str">
        <f t="shared" si="90"/>
        <v>Dunson</v>
      </c>
      <c r="G1174" t="str">
        <f t="shared" si="91"/>
        <v>Dunson805Houston</v>
      </c>
      <c r="H1174" t="s">
        <v>32032</v>
      </c>
      <c r="I1174" t="s">
        <v>23461</v>
      </c>
      <c r="J1174" t="str">
        <f t="shared" si="92"/>
        <v>E:\PropInv\MF</v>
      </c>
      <c r="K1174" s="103" t="str">
        <f>HYPERLINK("E:\PropInv\MF\Houston\Dunson Glen_805_Glen Oaks I &amp; II_Houston_01344","Dunson Glen_805_Glen Oaks I &amp; II_Houston_01344" )</f>
        <v>Dunson Glen_805_Glen Oaks I &amp; II_Houston_01344</v>
      </c>
      <c r="L1174" s="104" t="s">
        <v>22253</v>
      </c>
      <c r="M1174" s="103" t="str">
        <f t="shared" si="93"/>
        <v>http://oconnordata.com/mlink/modules/profile/index.cfm?action=profile&amp;prop_id=1344</v>
      </c>
      <c r="N1174" s="1" t="str">
        <f t="shared" si="94"/>
        <v>01344</v>
      </c>
    </row>
    <row r="1175" spans="1:14" x14ac:dyDescent="0.3">
      <c r="A1175" s="1">
        <v>1345</v>
      </c>
      <c r="B1175" s="7" t="s">
        <v>1799</v>
      </c>
      <c r="C1175" s="12">
        <v>210</v>
      </c>
      <c r="D1175" s="7" t="s">
        <v>1800</v>
      </c>
      <c r="E1175" s="13" t="s">
        <v>1657</v>
      </c>
      <c r="F1175" t="str">
        <f t="shared" si="90"/>
        <v>Wells</v>
      </c>
      <c r="G1175" t="str">
        <f t="shared" si="91"/>
        <v>Wells210Houston</v>
      </c>
      <c r="H1175" t="s">
        <v>32033</v>
      </c>
      <c r="I1175" t="s">
        <v>23462</v>
      </c>
      <c r="J1175" t="str">
        <f t="shared" si="92"/>
        <v>E:\PropInv\MF</v>
      </c>
      <c r="K1175" s="103" t="str">
        <f>HYPERLINK("E:\PropInv\MF\Houston\Wells Fargo_210_Preakness of Cypress Station_Houston_01345","Wells Fargo_210_Preakness of Cypress Station_Houston_01345" )</f>
        <v>Wells Fargo_210_Preakness of Cypress Station_Houston_01345</v>
      </c>
      <c r="L1175" s="104" t="s">
        <v>22253</v>
      </c>
      <c r="M1175" s="103" t="str">
        <f t="shared" si="93"/>
        <v>http://oconnordata.com/mlink/modules/profile/index.cfm?action=profile&amp;prop_id=1345</v>
      </c>
      <c r="N1175" s="1" t="str">
        <f t="shared" si="94"/>
        <v>01345</v>
      </c>
    </row>
    <row r="1176" spans="1:14" x14ac:dyDescent="0.3">
      <c r="A1176" s="1">
        <v>1346</v>
      </c>
      <c r="B1176" s="7" t="s">
        <v>1799</v>
      </c>
      <c r="C1176" s="12">
        <v>505</v>
      </c>
      <c r="D1176" s="7" t="s">
        <v>1801</v>
      </c>
      <c r="E1176" s="13" t="s">
        <v>1657</v>
      </c>
      <c r="F1176" t="str">
        <f t="shared" si="90"/>
        <v>Wells</v>
      </c>
      <c r="G1176" t="str">
        <f t="shared" si="91"/>
        <v>Wells505Houston</v>
      </c>
      <c r="H1176" t="s">
        <v>32034</v>
      </c>
      <c r="I1176" t="s">
        <v>23463</v>
      </c>
      <c r="J1176" t="str">
        <f t="shared" si="92"/>
        <v>E:\PropInv\MF</v>
      </c>
      <c r="K1176" s="103" t="str">
        <f>HYPERLINK("E:\PropInv\MF\Houston\Wells Fargo_505_Carriage Place_Houston_01346","Wells Fargo_505_Carriage Place_Houston_01346" )</f>
        <v>Wells Fargo_505_Carriage Place_Houston_01346</v>
      </c>
      <c r="L1176" s="104" t="s">
        <v>22253</v>
      </c>
      <c r="M1176" s="103" t="str">
        <f t="shared" si="93"/>
        <v>http://oconnordata.com/mlink/modules/profile/index.cfm?action=profile&amp;prop_id=1346</v>
      </c>
      <c r="N1176" s="1" t="str">
        <f t="shared" si="94"/>
        <v>01346</v>
      </c>
    </row>
    <row r="1177" spans="1:14" x14ac:dyDescent="0.3">
      <c r="A1177" s="1">
        <v>1347</v>
      </c>
      <c r="B1177" s="7" t="s">
        <v>1797</v>
      </c>
      <c r="C1177" s="12">
        <v>700</v>
      </c>
      <c r="D1177" s="7" t="s">
        <v>1802</v>
      </c>
      <c r="E1177" s="13" t="s">
        <v>1657</v>
      </c>
      <c r="F1177" t="str">
        <f t="shared" si="90"/>
        <v>Dunson</v>
      </c>
      <c r="G1177" t="str">
        <f t="shared" si="91"/>
        <v>Dunson700Houston</v>
      </c>
      <c r="H1177" t="s">
        <v>32035</v>
      </c>
      <c r="I1177" t="s">
        <v>23464</v>
      </c>
      <c r="J1177" t="str">
        <f t="shared" si="92"/>
        <v>E:\PropInv\MF</v>
      </c>
      <c r="K1177" s="103" t="str">
        <f>HYPERLINK("E:\PropInv\MF\Houston\Dunson Glen_700_Green Tree Place_Houston_01347","Dunson Glen_700_Green Tree Place_Houston_01347" )</f>
        <v>Dunson Glen_700_Green Tree Place_Houston_01347</v>
      </c>
      <c r="L1177" s="104" t="s">
        <v>22253</v>
      </c>
      <c r="M1177" s="103" t="str">
        <f t="shared" si="93"/>
        <v>http://oconnordata.com/mlink/modules/profile/index.cfm?action=profile&amp;prop_id=1347</v>
      </c>
      <c r="N1177" s="1" t="str">
        <f t="shared" si="94"/>
        <v>01347</v>
      </c>
    </row>
    <row r="1178" spans="1:14" x14ac:dyDescent="0.3">
      <c r="A1178" s="1">
        <v>1349</v>
      </c>
      <c r="B1178" s="7" t="s">
        <v>1729</v>
      </c>
      <c r="C1178" s="12">
        <v>601</v>
      </c>
      <c r="D1178" s="7" t="s">
        <v>1803</v>
      </c>
      <c r="E1178" s="13" t="s">
        <v>1657</v>
      </c>
      <c r="F1178" t="str">
        <f t="shared" si="90"/>
        <v>Cypress</v>
      </c>
      <c r="G1178" t="str">
        <f t="shared" si="91"/>
        <v>Cypress601Houston</v>
      </c>
      <c r="H1178" t="s">
        <v>32036</v>
      </c>
      <c r="I1178" t="s">
        <v>23465</v>
      </c>
      <c r="J1178" t="str">
        <f t="shared" si="92"/>
        <v>E:\PropInv\MF</v>
      </c>
      <c r="K1178" s="103" t="str">
        <f>HYPERLINK("E:\PropInv\MF\Houston\Cypress Station Dr_601_Roundhill TH_Houston_01349","Cypress Station Dr_601_Roundhill TH_Houston_01349" )</f>
        <v>Cypress Station Dr_601_Roundhill TH_Houston_01349</v>
      </c>
      <c r="L1178" s="104" t="s">
        <v>22253</v>
      </c>
      <c r="M1178" s="103" t="str">
        <f t="shared" si="93"/>
        <v>http://oconnordata.com/mlink/modules/profile/index.cfm?action=profile&amp;prop_id=1349</v>
      </c>
      <c r="N1178" s="1" t="str">
        <f t="shared" si="94"/>
        <v>01349</v>
      </c>
    </row>
    <row r="1179" spans="1:14" x14ac:dyDescent="0.3">
      <c r="A1179" s="1">
        <v>1350</v>
      </c>
      <c r="B1179" s="7" t="s">
        <v>1804</v>
      </c>
      <c r="C1179" s="12">
        <v>555</v>
      </c>
      <c r="D1179" s="7" t="s">
        <v>1805</v>
      </c>
      <c r="E1179" s="13" t="s">
        <v>1657</v>
      </c>
      <c r="F1179" t="str">
        <f t="shared" si="90"/>
        <v>Butterfield</v>
      </c>
      <c r="G1179" t="str">
        <f t="shared" si="91"/>
        <v>Butterfield555Houston</v>
      </c>
      <c r="H1179" t="s">
        <v>32037</v>
      </c>
      <c r="I1179" t="s">
        <v>23466</v>
      </c>
      <c r="J1179" t="str">
        <f t="shared" si="92"/>
        <v>E:\PropInv\MF</v>
      </c>
      <c r="K1179" s="103" t="str">
        <f>HYPERLINK("E:\PropInv\MF\Houston\Butterfield Rd_555_Cypress Lake_Houston_01350","Butterfield Rd_555_Cypress Lake_Houston_01350" )</f>
        <v>Butterfield Rd_555_Cypress Lake_Houston_01350</v>
      </c>
      <c r="L1179" s="104" t="s">
        <v>22253</v>
      </c>
      <c r="M1179" s="103" t="str">
        <f t="shared" si="93"/>
        <v>http://oconnordata.com/mlink/modules/profile/index.cfm?action=profile&amp;prop_id=1350</v>
      </c>
      <c r="N1179" s="1" t="str">
        <f t="shared" si="94"/>
        <v>01350</v>
      </c>
    </row>
    <row r="1180" spans="1:14" x14ac:dyDescent="0.3">
      <c r="A1180" s="1">
        <v>1351</v>
      </c>
      <c r="B1180" s="7" t="s">
        <v>1772</v>
      </c>
      <c r="C1180" s="12">
        <v>15330</v>
      </c>
      <c r="D1180" s="7" t="s">
        <v>1806</v>
      </c>
      <c r="E1180" s="13" t="s">
        <v>1657</v>
      </c>
      <c r="F1180" t="str">
        <f t="shared" si="90"/>
        <v>Ella</v>
      </c>
      <c r="G1180" t="str">
        <f t="shared" si="91"/>
        <v>Ella15330Houston</v>
      </c>
      <c r="H1180" t="s">
        <v>32038</v>
      </c>
      <c r="I1180" t="s">
        <v>23467</v>
      </c>
      <c r="J1180" t="str">
        <f t="shared" si="92"/>
        <v>E:\PropInv\MF</v>
      </c>
      <c r="K1180" s="103" t="str">
        <f>HYPERLINK("E:\PropInv\MF\Houston\Ella Blvd_15330_Commerce Park_Houston_01351","Ella Blvd_15330_Commerce Park_Houston_01351" )</f>
        <v>Ella Blvd_15330_Commerce Park_Houston_01351</v>
      </c>
      <c r="L1180" s="104" t="s">
        <v>22253</v>
      </c>
      <c r="M1180" s="103" t="str">
        <f t="shared" si="93"/>
        <v>http://oconnordata.com/mlink/modules/profile/index.cfm?action=profile&amp;prop_id=1351</v>
      </c>
      <c r="N1180" s="1" t="str">
        <f t="shared" si="94"/>
        <v>01351</v>
      </c>
    </row>
    <row r="1181" spans="1:14" x14ac:dyDescent="0.3">
      <c r="A1181" s="1">
        <v>1352</v>
      </c>
      <c r="B1181" s="7" t="s">
        <v>1772</v>
      </c>
      <c r="C1181" s="12">
        <v>15455</v>
      </c>
      <c r="D1181" s="7" t="s">
        <v>1807</v>
      </c>
      <c r="E1181" s="13" t="s">
        <v>1657</v>
      </c>
      <c r="F1181" t="str">
        <f t="shared" si="90"/>
        <v>Ella</v>
      </c>
      <c r="G1181" t="str">
        <f t="shared" si="91"/>
        <v>Ella15455Houston</v>
      </c>
      <c r="H1181" t="s">
        <v>32039</v>
      </c>
      <c r="I1181" t="s">
        <v>23468</v>
      </c>
      <c r="J1181" t="str">
        <f t="shared" si="92"/>
        <v>E:\PropInv\MF</v>
      </c>
      <c r="K1181" s="103" t="str">
        <f>HYPERLINK("E:\PropInv\MF\Houston\Ella Blvd_15455_Applewood Village TH_Houston_01352","Ella Blvd_15455_Applewood Village TH_Houston_01352" )</f>
        <v>Ella Blvd_15455_Applewood Village TH_Houston_01352</v>
      </c>
      <c r="L1181" s="104" t="s">
        <v>22253</v>
      </c>
      <c r="M1181" s="103" t="str">
        <f t="shared" si="93"/>
        <v>http://oconnordata.com/mlink/modules/profile/index.cfm?action=profile&amp;prop_id=1352</v>
      </c>
      <c r="N1181" s="1" t="str">
        <f t="shared" si="94"/>
        <v>01352</v>
      </c>
    </row>
    <row r="1182" spans="1:14" x14ac:dyDescent="0.3">
      <c r="A1182" s="1">
        <v>1353</v>
      </c>
      <c r="B1182" s="7" t="s">
        <v>1724</v>
      </c>
      <c r="C1182" s="12">
        <v>9814</v>
      </c>
      <c r="D1182" s="7" t="s">
        <v>1808</v>
      </c>
      <c r="E1182" s="13" t="s">
        <v>1763</v>
      </c>
      <c r="F1182" t="str">
        <f t="shared" si="90"/>
        <v>1960</v>
      </c>
      <c r="G1182" t="str">
        <f t="shared" si="91"/>
        <v>19609814Humble</v>
      </c>
      <c r="H1182" t="s">
        <v>32040</v>
      </c>
      <c r="I1182" t="s">
        <v>23469</v>
      </c>
      <c r="J1182" t="str">
        <f t="shared" si="92"/>
        <v>E:\PropInv\MF</v>
      </c>
      <c r="K1182" s="103" t="str">
        <f>HYPERLINK("E:\PropInv\MF\Humble\1960 FM_9814_Timbers of Deerbrook_Humble_01353","1960 FM_9814_Timbers of Deerbrook_Humble_01353" )</f>
        <v>1960 FM_9814_Timbers of Deerbrook_Humble_01353</v>
      </c>
      <c r="L1182" s="104" t="s">
        <v>22253</v>
      </c>
      <c r="M1182" s="103" t="str">
        <f t="shared" si="93"/>
        <v>http://oconnordata.com/mlink/modules/profile/index.cfm?action=profile&amp;prop_id=1353</v>
      </c>
      <c r="N1182" s="1" t="str">
        <f t="shared" si="94"/>
        <v>01353</v>
      </c>
    </row>
    <row r="1183" spans="1:14" x14ac:dyDescent="0.3">
      <c r="A1183" s="1">
        <v>1354</v>
      </c>
      <c r="B1183" s="7" t="s">
        <v>1809</v>
      </c>
      <c r="C1183" s="12">
        <v>19700</v>
      </c>
      <c r="D1183" s="7" t="s">
        <v>1810</v>
      </c>
      <c r="E1183" s="13" t="s">
        <v>1763</v>
      </c>
      <c r="F1183" t="str">
        <f t="shared" si="90"/>
        <v>Whitaker</v>
      </c>
      <c r="G1183" t="str">
        <f t="shared" si="91"/>
        <v>Whitaker19700Humble</v>
      </c>
      <c r="H1183" t="s">
        <v>32041</v>
      </c>
      <c r="I1183" t="s">
        <v>23470</v>
      </c>
      <c r="J1183" t="str">
        <f t="shared" si="92"/>
        <v>E:\PropInv\MF</v>
      </c>
      <c r="K1183" s="103" t="str">
        <f>HYPERLINK("E:\PropInv\MF\Humble\Whitaker_19700_Park at Deerbrook_Humble_01354","Whitaker_19700_Park at Deerbrook_Humble_01354" )</f>
        <v>Whitaker_19700_Park at Deerbrook_Humble_01354</v>
      </c>
      <c r="L1183" s="104" t="s">
        <v>22253</v>
      </c>
      <c r="M1183" s="103" t="str">
        <f t="shared" si="93"/>
        <v>http://oconnordata.com/mlink/modules/profile/index.cfm?action=profile&amp;prop_id=1354</v>
      </c>
      <c r="N1183" s="1" t="str">
        <f t="shared" si="94"/>
        <v>01354</v>
      </c>
    </row>
    <row r="1184" spans="1:14" x14ac:dyDescent="0.3">
      <c r="A1184" s="1">
        <v>1355</v>
      </c>
      <c r="B1184" s="10" t="s">
        <v>1811</v>
      </c>
      <c r="C1184" s="9">
        <v>15215</v>
      </c>
      <c r="D1184" s="10" t="s">
        <v>1812</v>
      </c>
      <c r="E1184" s="11" t="s">
        <v>1657</v>
      </c>
      <c r="F1184" t="str">
        <f t="shared" si="90"/>
        <v>Blue</v>
      </c>
      <c r="G1184" t="str">
        <f t="shared" si="91"/>
        <v>Blue15215Houston</v>
      </c>
      <c r="H1184" t="s">
        <v>32042</v>
      </c>
      <c r="I1184" t="s">
        <v>23471</v>
      </c>
      <c r="J1184" t="str">
        <f t="shared" si="92"/>
        <v>E:\PropInv\MF</v>
      </c>
      <c r="K1184" s="103" t="str">
        <f>HYPERLINK("E:\PropInv\MF\Houston\Blue Ash_15215_Park Trails_Houston_01355","Blue Ash_15215_Park Trails_Houston_01355" )</f>
        <v>Blue Ash_15215_Park Trails_Houston_01355</v>
      </c>
      <c r="L1184" s="104" t="s">
        <v>22253</v>
      </c>
      <c r="M1184" s="103" t="str">
        <f t="shared" si="93"/>
        <v>http://oconnordata.com/mlink/modules/profile/index.cfm?action=profile&amp;prop_id=1355</v>
      </c>
      <c r="N1184" s="1" t="str">
        <f t="shared" si="94"/>
        <v>01355</v>
      </c>
    </row>
    <row r="1185" spans="1:14" x14ac:dyDescent="0.3">
      <c r="A1185" s="1">
        <v>1356</v>
      </c>
      <c r="B1185" s="7" t="s">
        <v>1813</v>
      </c>
      <c r="C1185" s="12">
        <v>15615</v>
      </c>
      <c r="D1185" s="7" t="s">
        <v>1814</v>
      </c>
      <c r="E1185" s="13" t="s">
        <v>1657</v>
      </c>
      <c r="F1185" t="str">
        <f t="shared" si="90"/>
        <v>Blue</v>
      </c>
      <c r="G1185" t="str">
        <f t="shared" si="91"/>
        <v>Blue15615Houston</v>
      </c>
      <c r="H1185" t="s">
        <v>32043</v>
      </c>
      <c r="I1185" t="s">
        <v>23472</v>
      </c>
      <c r="J1185" t="str">
        <f t="shared" si="92"/>
        <v>E:\PropInv\MF</v>
      </c>
      <c r="K1185" s="103" t="str">
        <f>HYPERLINK("E:\PropInv\MF\Houston\Blue Ash Dr_15615_Fairfield Cove_Houston_01356","Blue Ash Dr_15615_Fairfield Cove_Houston_01356" )</f>
        <v>Blue Ash Dr_15615_Fairfield Cove_Houston_01356</v>
      </c>
      <c r="L1185" s="104" t="s">
        <v>22253</v>
      </c>
      <c r="M1185" s="103" t="str">
        <f t="shared" si="93"/>
        <v>http://oconnordata.com/mlink/modules/profile/index.cfm?action=profile&amp;prop_id=1356</v>
      </c>
      <c r="N1185" s="1" t="str">
        <f t="shared" si="94"/>
        <v>01356</v>
      </c>
    </row>
    <row r="1186" spans="1:14" x14ac:dyDescent="0.3">
      <c r="A1186" s="1">
        <v>1357</v>
      </c>
      <c r="B1186" s="7" t="s">
        <v>1813</v>
      </c>
      <c r="C1186" s="12">
        <v>15101</v>
      </c>
      <c r="D1186" s="7" t="s">
        <v>1811</v>
      </c>
      <c r="E1186" s="13" t="s">
        <v>1657</v>
      </c>
      <c r="F1186" t="str">
        <f t="shared" si="90"/>
        <v>Blue</v>
      </c>
      <c r="G1186" t="str">
        <f t="shared" si="91"/>
        <v>Blue15101Houston</v>
      </c>
      <c r="H1186" t="s">
        <v>32044</v>
      </c>
      <c r="I1186" t="s">
        <v>23473</v>
      </c>
      <c r="J1186" t="str">
        <f t="shared" si="92"/>
        <v>E:\PropInv\MF</v>
      </c>
      <c r="K1186" s="103" t="str">
        <f>HYPERLINK("E:\PropInv\MF\Houston\Blue Ash Dr_15101_Blue Ash_Houston_01357","Blue Ash Dr_15101_Blue Ash_Houston_01357" )</f>
        <v>Blue Ash Dr_15101_Blue Ash_Houston_01357</v>
      </c>
      <c r="L1186" s="104" t="s">
        <v>22253</v>
      </c>
      <c r="M1186" s="103" t="str">
        <f t="shared" si="93"/>
        <v>http://oconnordata.com/mlink/modules/profile/index.cfm?action=profile&amp;prop_id=1357</v>
      </c>
      <c r="N1186" s="1" t="str">
        <f t="shared" si="94"/>
        <v>01357</v>
      </c>
    </row>
    <row r="1187" spans="1:14" x14ac:dyDescent="0.3">
      <c r="A1187" s="1">
        <v>1358</v>
      </c>
      <c r="B1187" s="7" t="s">
        <v>1701</v>
      </c>
      <c r="C1187" s="12">
        <v>10325</v>
      </c>
      <c r="D1187" s="7" t="s">
        <v>1815</v>
      </c>
      <c r="E1187" s="13" t="s">
        <v>1657</v>
      </c>
      <c r="F1187" t="str">
        <f t="shared" si="90"/>
        <v>Cypresswood</v>
      </c>
      <c r="G1187" t="str">
        <f t="shared" si="91"/>
        <v>Cypresswood10325Houston</v>
      </c>
      <c r="H1187" t="s">
        <v>32045</v>
      </c>
      <c r="I1187" t="s">
        <v>23474</v>
      </c>
      <c r="J1187" t="str">
        <f t="shared" si="92"/>
        <v>E:\PropInv\MF</v>
      </c>
      <c r="K1187" s="103" t="str">
        <f>HYPERLINK("E:\PropInv\MF\Houston\Cypresswood_10325_The Mandolin_Houston_01358","Cypresswood_10325_The Mandolin_Houston_01358" )</f>
        <v>Cypresswood_10325_The Mandolin_Houston_01358</v>
      </c>
      <c r="L1187" s="104" t="s">
        <v>22253</v>
      </c>
      <c r="M1187" s="103" t="str">
        <f t="shared" si="93"/>
        <v>http://oconnordata.com/mlink/modules/profile/index.cfm?action=profile&amp;prop_id=1358</v>
      </c>
      <c r="N1187" s="1" t="str">
        <f t="shared" si="94"/>
        <v>01358</v>
      </c>
    </row>
    <row r="1188" spans="1:14" x14ac:dyDescent="0.3">
      <c r="A1188" s="1">
        <v>1359</v>
      </c>
      <c r="B1188" s="10" t="s">
        <v>1816</v>
      </c>
      <c r="C1188" s="9">
        <v>11111</v>
      </c>
      <c r="D1188" s="10" t="s">
        <v>1817</v>
      </c>
      <c r="E1188" s="11" t="s">
        <v>1818</v>
      </c>
      <c r="F1188" t="str">
        <f t="shared" si="90"/>
        <v>Grant</v>
      </c>
      <c r="G1188" t="str">
        <f t="shared" si="91"/>
        <v>Grant11111Cypress</v>
      </c>
      <c r="H1188" t="s">
        <v>32046</v>
      </c>
      <c r="I1188" t="s">
        <v>23475</v>
      </c>
      <c r="J1188" t="str">
        <f t="shared" si="92"/>
        <v>E:\PropInv\MF</v>
      </c>
      <c r="K1188" s="103" t="str">
        <f>HYPERLINK("E:\PropInv\MF\Cypress\Grant Rd_11111_Stonegate Villas_Cypress_01359","Grant Rd_11111_Stonegate Villas_Cypress_01359" )</f>
        <v>Grant Rd_11111_Stonegate Villas_Cypress_01359</v>
      </c>
      <c r="L1188" s="104" t="s">
        <v>22253</v>
      </c>
      <c r="M1188" s="103" t="str">
        <f t="shared" si="93"/>
        <v>http://oconnordata.com/mlink/modules/profile/index.cfm?action=profile&amp;prop_id=1359</v>
      </c>
      <c r="N1188" s="1" t="str">
        <f t="shared" si="94"/>
        <v>01359</v>
      </c>
    </row>
    <row r="1189" spans="1:14" x14ac:dyDescent="0.3">
      <c r="A1189" s="1">
        <v>1360</v>
      </c>
      <c r="B1189" s="10" t="s">
        <v>1819</v>
      </c>
      <c r="C1189" s="9">
        <v>11300</v>
      </c>
      <c r="D1189" s="10" t="s">
        <v>1820</v>
      </c>
      <c r="E1189" s="11" t="s">
        <v>1818</v>
      </c>
      <c r="F1189" t="str">
        <f t="shared" si="90"/>
        <v>Regency</v>
      </c>
      <c r="G1189" t="str">
        <f t="shared" si="91"/>
        <v>Regency11300Cypress</v>
      </c>
      <c r="H1189" t="s">
        <v>32047</v>
      </c>
      <c r="I1189" t="s">
        <v>23476</v>
      </c>
      <c r="J1189" t="str">
        <f t="shared" si="92"/>
        <v>E:\PropInv\MF</v>
      </c>
      <c r="K1189" s="103" t="str">
        <f>HYPERLINK("E:\PropInv\MF\Cypress\Regency Green Dr_11300_Central Park Regency_Cypress_01360","Regency Green Dr_11300_Central Park Regency_Cypress_01360" )</f>
        <v>Regency Green Dr_11300_Central Park Regency_Cypress_01360</v>
      </c>
      <c r="L1189" s="104" t="s">
        <v>22253</v>
      </c>
      <c r="M1189" s="103" t="str">
        <f t="shared" si="93"/>
        <v>http://oconnordata.com/mlink/modules/profile/index.cfm?action=profile&amp;prop_id=1360</v>
      </c>
      <c r="N1189" s="1" t="str">
        <f t="shared" si="94"/>
        <v>01360</v>
      </c>
    </row>
    <row r="1190" spans="1:14" x14ac:dyDescent="0.3">
      <c r="A1190" s="1">
        <v>1361</v>
      </c>
      <c r="B1190" s="10" t="s">
        <v>1821</v>
      </c>
      <c r="C1190" s="9">
        <v>3700</v>
      </c>
      <c r="D1190" s="10" t="s">
        <v>1822</v>
      </c>
      <c r="E1190" s="11" t="s">
        <v>1662</v>
      </c>
      <c r="F1190" t="str">
        <f t="shared" si="90"/>
        <v>Kingwood</v>
      </c>
      <c r="G1190" t="str">
        <f t="shared" si="91"/>
        <v>Kingwood3700Kingwood</v>
      </c>
      <c r="H1190" t="s">
        <v>32048</v>
      </c>
      <c r="I1190" t="s">
        <v>23477</v>
      </c>
      <c r="J1190" t="str">
        <f t="shared" si="92"/>
        <v>E:\PropInv\MF</v>
      </c>
      <c r="K1190" s="103" t="str">
        <f>HYPERLINK("E:\PropInv\MF\Kingwood\Kingwood Dr_3700_Kingwood Lakes_Kingwood_01361","Kingwood Dr_3700_Kingwood Lakes_Kingwood_01361" )</f>
        <v>Kingwood Dr_3700_Kingwood Lakes_Kingwood_01361</v>
      </c>
      <c r="L1190" s="104" t="s">
        <v>22253</v>
      </c>
      <c r="M1190" s="103" t="str">
        <f t="shared" si="93"/>
        <v>http://oconnordata.com/mlink/modules/profile/index.cfm?action=profile&amp;prop_id=1361</v>
      </c>
      <c r="N1190" s="1" t="str">
        <f t="shared" si="94"/>
        <v>01361</v>
      </c>
    </row>
    <row r="1191" spans="1:14" x14ac:dyDescent="0.3">
      <c r="A1191" s="1">
        <v>1362</v>
      </c>
      <c r="B1191" s="10" t="s">
        <v>1821</v>
      </c>
      <c r="C1191" s="9">
        <v>4545</v>
      </c>
      <c r="D1191" s="10" t="s">
        <v>1823</v>
      </c>
      <c r="E1191" s="11" t="s">
        <v>1662</v>
      </c>
      <c r="F1191" t="str">
        <f t="shared" si="90"/>
        <v>Kingwood</v>
      </c>
      <c r="G1191" t="str">
        <f t="shared" si="91"/>
        <v>Kingwood4545Kingwood</v>
      </c>
      <c r="H1191" t="s">
        <v>32049</v>
      </c>
      <c r="I1191" t="s">
        <v>23478</v>
      </c>
      <c r="J1191" t="str">
        <f t="shared" si="92"/>
        <v>E:\PropInv\MF</v>
      </c>
      <c r="K1191" s="103" t="str">
        <f>HYPERLINK("E:\PropInv\MF\Kingwood\Kingwood Dr_4545_Kings Crossing_Kingwood_01362","Kingwood Dr_4545_Kings Crossing_Kingwood_01362" )</f>
        <v>Kingwood Dr_4545_Kings Crossing_Kingwood_01362</v>
      </c>
      <c r="L1191" s="104" t="s">
        <v>22253</v>
      </c>
      <c r="M1191" s="103" t="str">
        <f t="shared" si="93"/>
        <v>http://oconnordata.com/mlink/modules/profile/index.cfm?action=profile&amp;prop_id=1362</v>
      </c>
      <c r="N1191" s="1" t="str">
        <f t="shared" si="94"/>
        <v>01362</v>
      </c>
    </row>
    <row r="1192" spans="1:14" x14ac:dyDescent="0.3">
      <c r="A1192" s="1">
        <v>1363</v>
      </c>
      <c r="B1192" s="10" t="s">
        <v>1824</v>
      </c>
      <c r="C1192" s="9">
        <v>2727</v>
      </c>
      <c r="D1192" s="10" t="s">
        <v>1825</v>
      </c>
      <c r="E1192" s="11" t="s">
        <v>1662</v>
      </c>
      <c r="F1192" t="str">
        <f t="shared" si="90"/>
        <v>Bens</v>
      </c>
      <c r="G1192" t="str">
        <f t="shared" si="91"/>
        <v>Bens2727Kingwood</v>
      </c>
      <c r="H1192" t="s">
        <v>32050</v>
      </c>
      <c r="I1192" t="s">
        <v>23479</v>
      </c>
      <c r="J1192" t="str">
        <f t="shared" si="92"/>
        <v>E:\PropInv\MF</v>
      </c>
      <c r="K1192" s="103" t="str">
        <f>HYPERLINK("E:\PropInv\MF\Kingwood\Bens Branch Dr_2727_Town Center I_Kingwood_01363","Bens Branch Dr_2727_Town Center I_Kingwood_01363" )</f>
        <v>Bens Branch Dr_2727_Town Center I_Kingwood_01363</v>
      </c>
      <c r="L1192" s="104" t="s">
        <v>22253</v>
      </c>
      <c r="M1192" s="103" t="str">
        <f t="shared" si="93"/>
        <v>http://oconnordata.com/mlink/modules/profile/index.cfm?action=profile&amp;prop_id=1363</v>
      </c>
      <c r="N1192" s="1" t="str">
        <f t="shared" si="94"/>
        <v>01363</v>
      </c>
    </row>
    <row r="1193" spans="1:14" x14ac:dyDescent="0.3">
      <c r="A1193" s="1">
        <v>1365</v>
      </c>
      <c r="B1193" s="7" t="s">
        <v>1826</v>
      </c>
      <c r="C1193" s="12">
        <v>12811</v>
      </c>
      <c r="D1193" s="7" t="s">
        <v>1827</v>
      </c>
      <c r="E1193" s="13" t="s">
        <v>1657</v>
      </c>
      <c r="F1193" t="str">
        <f t="shared" si="90"/>
        <v>Greenwood</v>
      </c>
      <c r="G1193" t="str">
        <f t="shared" si="91"/>
        <v>Greenwood12811Houston</v>
      </c>
      <c r="H1193" t="s">
        <v>32051</v>
      </c>
      <c r="I1193" t="s">
        <v>23480</v>
      </c>
      <c r="J1193" t="str">
        <f t="shared" si="92"/>
        <v>E:\PropInv\MF</v>
      </c>
      <c r="K1193" s="103" t="str">
        <f>HYPERLINK("E:\PropInv\MF\Houston\Greenwood Forest Dr_12811_Champions Village_Houston_01365","Greenwood Forest Dr_12811_Champions Village_Houston_01365" )</f>
        <v>Greenwood Forest Dr_12811_Champions Village_Houston_01365</v>
      </c>
      <c r="L1193" s="104" t="s">
        <v>22253</v>
      </c>
      <c r="M1193" s="103" t="str">
        <f t="shared" si="93"/>
        <v>http://oconnordata.com/mlink/modules/profile/index.cfm?action=profile&amp;prop_id=1365</v>
      </c>
      <c r="N1193" s="1" t="str">
        <f t="shared" si="94"/>
        <v>01365</v>
      </c>
    </row>
    <row r="1194" spans="1:14" x14ac:dyDescent="0.3">
      <c r="A1194" s="1">
        <v>1366</v>
      </c>
      <c r="B1194" s="7" t="s">
        <v>1761</v>
      </c>
      <c r="C1194" s="12">
        <v>7850</v>
      </c>
      <c r="D1194" s="7" t="s">
        <v>1828</v>
      </c>
      <c r="E1194" s="13" t="s">
        <v>1763</v>
      </c>
      <c r="F1194" t="str">
        <f t="shared" si="90"/>
        <v>1960</v>
      </c>
      <c r="G1194" t="str">
        <f t="shared" si="91"/>
        <v>19607850Humble</v>
      </c>
      <c r="H1194" t="s">
        <v>32052</v>
      </c>
      <c r="I1194" t="s">
        <v>23481</v>
      </c>
      <c r="J1194" t="str">
        <f t="shared" si="92"/>
        <v>E:\PropInv\MF</v>
      </c>
      <c r="K1194" s="103" t="str">
        <f>HYPERLINK("E:\PropInv\MF\Humble\1960 FM E_7850_Sunrise at Atascocita_Humble_01366","1960 FM E_7850_Sunrise at Atascocita_Humble_01366" )</f>
        <v>1960 FM E_7850_Sunrise at Atascocita_Humble_01366</v>
      </c>
      <c r="L1194" s="104" t="s">
        <v>22253</v>
      </c>
      <c r="M1194" s="103" t="str">
        <f t="shared" si="93"/>
        <v>http://oconnordata.com/mlink/modules/profile/index.cfm?action=profile&amp;prop_id=1366</v>
      </c>
      <c r="N1194" s="1" t="str">
        <f t="shared" si="94"/>
        <v>01366</v>
      </c>
    </row>
    <row r="1195" spans="1:14" x14ac:dyDescent="0.3">
      <c r="A1195" s="1">
        <v>1367</v>
      </c>
      <c r="B1195" s="7" t="s">
        <v>1761</v>
      </c>
      <c r="C1195" s="12">
        <v>11243</v>
      </c>
      <c r="D1195" s="7" t="s">
        <v>1829</v>
      </c>
      <c r="E1195" s="13" t="s">
        <v>1830</v>
      </c>
      <c r="F1195" t="str">
        <f t="shared" si="90"/>
        <v>1960</v>
      </c>
      <c r="G1195" t="str">
        <f t="shared" si="91"/>
        <v>196011243Huffman</v>
      </c>
      <c r="H1195" t="s">
        <v>32053</v>
      </c>
      <c r="I1195" t="s">
        <v>23482</v>
      </c>
      <c r="J1195" t="str">
        <f t="shared" si="92"/>
        <v>E:\PropInv\MF</v>
      </c>
      <c r="K1195" s="103" t="str">
        <f>HYPERLINK("E:\PropInv\MF\Huffman\1960 FM E_11243_Lakewood Heights TH_Huffman_01367","1960 FM E_11243_Lakewood Heights TH_Huffman_01367" )</f>
        <v>1960 FM E_11243_Lakewood Heights TH_Huffman_01367</v>
      </c>
      <c r="L1195" s="104" t="s">
        <v>22253</v>
      </c>
      <c r="M1195" s="103" t="str">
        <f t="shared" si="93"/>
        <v>http://oconnordata.com/mlink/modules/profile/index.cfm?action=profile&amp;prop_id=1367</v>
      </c>
      <c r="N1195" s="1" t="str">
        <f t="shared" si="94"/>
        <v>01367</v>
      </c>
    </row>
    <row r="1196" spans="1:14" x14ac:dyDescent="0.3">
      <c r="A1196" s="1">
        <v>1368</v>
      </c>
      <c r="B1196" s="7" t="s">
        <v>1761</v>
      </c>
      <c r="C1196" s="12">
        <v>8300</v>
      </c>
      <c r="D1196" s="7" t="s">
        <v>1831</v>
      </c>
      <c r="E1196" s="13" t="s">
        <v>1832</v>
      </c>
      <c r="F1196" t="str">
        <f t="shared" si="90"/>
        <v>1960</v>
      </c>
      <c r="G1196" t="str">
        <f t="shared" si="91"/>
        <v>19608300Atascocita</v>
      </c>
      <c r="H1196" t="s">
        <v>32054</v>
      </c>
      <c r="I1196" t="s">
        <v>23483</v>
      </c>
      <c r="J1196" t="str">
        <f t="shared" si="92"/>
        <v>E:\PropInv\MF</v>
      </c>
      <c r="K1196" s="103" t="str">
        <f>HYPERLINK("E:\PropInv\MF\Atascocita\1960 FM E_8300_The Verandah at Lake Pointe_Atascocita_01368","1960 FM E_8300_The Verandah at Lake Pointe_Atascocita_01368" )</f>
        <v>1960 FM E_8300_The Verandah at Lake Pointe_Atascocita_01368</v>
      </c>
      <c r="L1196" s="104" t="s">
        <v>22253</v>
      </c>
      <c r="M1196" s="103" t="str">
        <f t="shared" si="93"/>
        <v>http://oconnordata.com/mlink/modules/profile/index.cfm?action=profile&amp;prop_id=1368</v>
      </c>
      <c r="N1196" s="1" t="str">
        <f t="shared" si="94"/>
        <v>01368</v>
      </c>
    </row>
    <row r="1197" spans="1:14" x14ac:dyDescent="0.3">
      <c r="A1197" s="1">
        <v>1369</v>
      </c>
      <c r="B1197" s="7" t="s">
        <v>1833</v>
      </c>
      <c r="C1197" s="12">
        <v>14175</v>
      </c>
      <c r="D1197" s="7" t="s">
        <v>1834</v>
      </c>
      <c r="E1197" s="13" t="s">
        <v>1818</v>
      </c>
      <c r="F1197" t="str">
        <f t="shared" si="90"/>
        <v>Cypress</v>
      </c>
      <c r="G1197" t="str">
        <f t="shared" si="91"/>
        <v>Cypress14175Cypress</v>
      </c>
      <c r="H1197" t="s">
        <v>32055</v>
      </c>
      <c r="I1197" t="s">
        <v>23484</v>
      </c>
      <c r="J1197" t="str">
        <f t="shared" si="92"/>
        <v>E:\PropInv\MF</v>
      </c>
      <c r="K1197" s="103" t="str">
        <f>HYPERLINK("E:\PropInv\MF\Cypress\Cypress N Houston_14175_Andover Place_Cypress_01369","Cypress N Houston_14175_Andover Place_Cypress_01369" )</f>
        <v>Cypress N Houston_14175_Andover Place_Cypress_01369</v>
      </c>
      <c r="L1197" s="104" t="s">
        <v>22253</v>
      </c>
      <c r="M1197" s="103" t="str">
        <f t="shared" si="93"/>
        <v>http://oconnordata.com/mlink/modules/profile/index.cfm?action=profile&amp;prop_id=1369</v>
      </c>
      <c r="N1197" s="1" t="str">
        <f t="shared" si="94"/>
        <v>01369</v>
      </c>
    </row>
    <row r="1198" spans="1:14" x14ac:dyDescent="0.3">
      <c r="A1198" s="1">
        <v>1371</v>
      </c>
      <c r="B1198" s="7" t="s">
        <v>1835</v>
      </c>
      <c r="C1198" s="12">
        <v>4630</v>
      </c>
      <c r="D1198" s="7" t="s">
        <v>1836</v>
      </c>
      <c r="E1198" s="13" t="s">
        <v>1662</v>
      </c>
      <c r="F1198" t="str">
        <f t="shared" si="90"/>
        <v>Magnolia</v>
      </c>
      <c r="G1198" t="str">
        <f t="shared" si="91"/>
        <v>Magnolia4630Kingwood</v>
      </c>
      <c r="H1198" t="s">
        <v>32056</v>
      </c>
      <c r="I1198" t="s">
        <v>23485</v>
      </c>
      <c r="J1198" t="str">
        <f t="shared" si="92"/>
        <v>E:\PropInv\MF</v>
      </c>
      <c r="K1198" s="103" t="str">
        <f>HYPERLINK("E:\PropInv\MF\Kingwood\Magnolia Cove Dr_4630_Harbor Cove_Kingwood_01371","Magnolia Cove Dr_4630_Harbor Cove_Kingwood_01371" )</f>
        <v>Magnolia Cove Dr_4630_Harbor Cove_Kingwood_01371</v>
      </c>
      <c r="L1198" s="104" t="s">
        <v>22253</v>
      </c>
      <c r="M1198" s="103" t="str">
        <f t="shared" si="93"/>
        <v>http://oconnordata.com/mlink/modules/profile/index.cfm?action=profile&amp;prop_id=1371</v>
      </c>
      <c r="N1198" s="1" t="str">
        <f t="shared" si="94"/>
        <v>01371</v>
      </c>
    </row>
    <row r="1199" spans="1:14" x14ac:dyDescent="0.3">
      <c r="A1199" s="97">
        <v>1372</v>
      </c>
      <c r="B1199" s="7" t="s">
        <v>1761</v>
      </c>
      <c r="C1199" s="12">
        <v>8311</v>
      </c>
      <c r="D1199" s="7" t="s">
        <v>1837</v>
      </c>
      <c r="E1199" s="13" t="s">
        <v>1763</v>
      </c>
      <c r="F1199" t="str">
        <f t="shared" si="90"/>
        <v>1960</v>
      </c>
      <c r="G1199" t="str">
        <f t="shared" si="91"/>
        <v>19608311Humble</v>
      </c>
      <c r="H1199" t="s">
        <v>32057</v>
      </c>
      <c r="I1199" t="s">
        <v>23486</v>
      </c>
      <c r="J1199" t="str">
        <f t="shared" si="92"/>
        <v>E:\PropInv\MF</v>
      </c>
      <c r="K1199" s="103" t="str">
        <f>HYPERLINK("E:\PropInv\MF\Humble\1960 FM E_8311_Woods on the Fairway_Humble_01372","1960 FM E_8311_Woods on the Fairway_Humble_01372" )</f>
        <v>1960 FM E_8311_Woods on the Fairway_Humble_01372</v>
      </c>
      <c r="L1199" s="104" t="s">
        <v>22253</v>
      </c>
      <c r="M1199" s="103" t="str">
        <f t="shared" si="93"/>
        <v>http://oconnordata.com/mlink/modules/profile/index.cfm?action=profile&amp;prop_id=1372</v>
      </c>
      <c r="N1199" s="1" t="str">
        <f t="shared" si="94"/>
        <v>01372</v>
      </c>
    </row>
    <row r="1200" spans="1:14" x14ac:dyDescent="0.3">
      <c r="A1200" s="1">
        <v>1373</v>
      </c>
      <c r="B1200" s="7" t="s">
        <v>1816</v>
      </c>
      <c r="C1200" s="12">
        <v>11909</v>
      </c>
      <c r="D1200" s="7" t="s">
        <v>1838</v>
      </c>
      <c r="E1200" s="13" t="s">
        <v>1657</v>
      </c>
      <c r="F1200" t="str">
        <f t="shared" si="90"/>
        <v>Grant</v>
      </c>
      <c r="G1200" t="str">
        <f t="shared" si="91"/>
        <v>Grant11909Houston</v>
      </c>
      <c r="H1200" t="s">
        <v>32058</v>
      </c>
      <c r="I1200" t="s">
        <v>23487</v>
      </c>
      <c r="J1200" t="str">
        <f t="shared" si="92"/>
        <v>E:\PropInv\MF</v>
      </c>
      <c r="K1200" s="103" t="str">
        <f>HYPERLINK("E:\PropInv\MF\Houston\Grant Rd_11909_Lakewood West_Houston_01373","Grant Rd_11909_Lakewood West_Houston_01373" )</f>
        <v>Grant Rd_11909_Lakewood West_Houston_01373</v>
      </c>
      <c r="L1200" s="104" t="s">
        <v>22253</v>
      </c>
      <c r="M1200" s="103" t="str">
        <f t="shared" si="93"/>
        <v>http://oconnordata.com/mlink/modules/profile/index.cfm?action=profile&amp;prop_id=1373</v>
      </c>
      <c r="N1200" s="1" t="str">
        <f t="shared" si="94"/>
        <v>01373</v>
      </c>
    </row>
    <row r="1201" spans="1:14" x14ac:dyDescent="0.3">
      <c r="A1201" s="1">
        <v>1374</v>
      </c>
      <c r="B1201" s="7" t="s">
        <v>1839</v>
      </c>
      <c r="C1201" s="12">
        <v>11900</v>
      </c>
      <c r="D1201" s="7" t="s">
        <v>1840</v>
      </c>
      <c r="E1201" s="13" t="s">
        <v>1657</v>
      </c>
      <c r="F1201" t="str">
        <f t="shared" si="90"/>
        <v>Barwood</v>
      </c>
      <c r="G1201" t="str">
        <f t="shared" si="91"/>
        <v>Barwood11900Houston</v>
      </c>
      <c r="H1201" t="s">
        <v>32059</v>
      </c>
      <c r="I1201" t="s">
        <v>23488</v>
      </c>
      <c r="J1201" t="str">
        <f t="shared" si="92"/>
        <v>E:\PropInv\MF</v>
      </c>
      <c r="K1201" s="103" t="str">
        <f>HYPERLINK("E:\PropInv\MF\Houston\Barwood Bend_11900_Ashley Crest_Houston_01374","Barwood Bend_11900_Ashley Crest_Houston_01374" )</f>
        <v>Barwood Bend_11900_Ashley Crest_Houston_01374</v>
      </c>
      <c r="L1201" s="104" t="s">
        <v>22253</v>
      </c>
      <c r="M1201" s="103" t="str">
        <f t="shared" si="93"/>
        <v>http://oconnordata.com/mlink/modules/profile/index.cfm?action=profile&amp;prop_id=1374</v>
      </c>
      <c r="N1201" s="1" t="str">
        <f t="shared" si="94"/>
        <v>01374</v>
      </c>
    </row>
    <row r="1202" spans="1:14" x14ac:dyDescent="0.3">
      <c r="A1202" s="1">
        <v>1376</v>
      </c>
      <c r="B1202" s="7" t="s">
        <v>1841</v>
      </c>
      <c r="C1202" s="12">
        <v>18839</v>
      </c>
      <c r="D1202" s="7" t="s">
        <v>1842</v>
      </c>
      <c r="E1202" s="13" t="s">
        <v>1763</v>
      </c>
      <c r="F1202" t="str">
        <f t="shared" si="90"/>
        <v>Memorial</v>
      </c>
      <c r="G1202" t="str">
        <f t="shared" si="91"/>
        <v>Memorial18839Humble</v>
      </c>
      <c r="H1202" t="s">
        <v>32060</v>
      </c>
      <c r="I1202" t="s">
        <v>23489</v>
      </c>
      <c r="J1202" t="str">
        <f t="shared" si="92"/>
        <v>E:\PropInv\MF</v>
      </c>
      <c r="K1202" s="103" t="str">
        <f>HYPERLINK("E:\PropInv\MF\Humble\Memorial S_18839_Northeast Pines_Humble_01376","Memorial S_18839_Northeast Pines_Humble_01376" )</f>
        <v>Memorial S_18839_Northeast Pines_Humble_01376</v>
      </c>
      <c r="L1202" s="104" t="s">
        <v>22253</v>
      </c>
      <c r="M1202" s="103" t="str">
        <f t="shared" si="93"/>
        <v>http://oconnordata.com/mlink/modules/profile/index.cfm?action=profile&amp;prop_id=1376</v>
      </c>
      <c r="N1202" s="1" t="str">
        <f t="shared" si="94"/>
        <v>01376</v>
      </c>
    </row>
    <row r="1203" spans="1:14" x14ac:dyDescent="0.3">
      <c r="A1203" s="1">
        <v>1377</v>
      </c>
      <c r="B1203" s="7" t="s">
        <v>1843</v>
      </c>
      <c r="C1203" s="12">
        <v>1200</v>
      </c>
      <c r="D1203" s="7" t="s">
        <v>1844</v>
      </c>
      <c r="E1203" s="13" t="s">
        <v>1763</v>
      </c>
      <c r="F1203" t="str">
        <f t="shared" si="90"/>
        <v>Carolyn</v>
      </c>
      <c r="G1203" t="str">
        <f t="shared" si="91"/>
        <v>Carolyn1200Humble</v>
      </c>
      <c r="H1203" t="s">
        <v>32061</v>
      </c>
      <c r="I1203" t="s">
        <v>23490</v>
      </c>
      <c r="J1203" t="str">
        <f t="shared" si="92"/>
        <v>E:\PropInv\MF</v>
      </c>
      <c r="K1203" s="103" t="str">
        <f>HYPERLINK("E:\PropInv\MF\Humble\Carolyn Ct_1200_Kay Lynn Apts_Humble_01377","Carolyn Ct_1200_Kay Lynn Apts_Humble_01377" )</f>
        <v>Carolyn Ct_1200_Kay Lynn Apts_Humble_01377</v>
      </c>
      <c r="L1203" s="104" t="s">
        <v>22253</v>
      </c>
      <c r="M1203" s="103" t="str">
        <f t="shared" si="93"/>
        <v>http://oconnordata.com/mlink/modules/profile/index.cfm?action=profile&amp;prop_id=1377</v>
      </c>
      <c r="N1203" s="1" t="str">
        <f t="shared" si="94"/>
        <v>01377</v>
      </c>
    </row>
    <row r="1204" spans="1:14" x14ac:dyDescent="0.3">
      <c r="A1204" s="1">
        <v>1378</v>
      </c>
      <c r="B1204" s="7" t="s">
        <v>1701</v>
      </c>
      <c r="C1204" s="12">
        <v>9721</v>
      </c>
      <c r="D1204" s="7" t="s">
        <v>1845</v>
      </c>
      <c r="E1204" s="13" t="s">
        <v>1657</v>
      </c>
      <c r="F1204" t="str">
        <f t="shared" si="90"/>
        <v>Cypresswood</v>
      </c>
      <c r="G1204" t="str">
        <f t="shared" si="91"/>
        <v>Cypresswood9721Houston</v>
      </c>
      <c r="H1204" t="s">
        <v>32062</v>
      </c>
      <c r="I1204" t="s">
        <v>23491</v>
      </c>
      <c r="J1204" t="str">
        <f t="shared" si="92"/>
        <v>E:\PropInv\MF</v>
      </c>
      <c r="K1204" s="103" t="str">
        <f>HYPERLINK("E:\PropInv\MF\Houston\Cypresswood_9721_Cypress Commons_Houston_01378","Cypresswood_9721_Cypress Commons_Houston_01378" )</f>
        <v>Cypresswood_9721_Cypress Commons_Houston_01378</v>
      </c>
      <c r="L1204" s="104" t="s">
        <v>22253</v>
      </c>
      <c r="M1204" s="103" t="str">
        <f t="shared" si="93"/>
        <v>http://oconnordata.com/mlink/modules/profile/index.cfm?action=profile&amp;prop_id=1378</v>
      </c>
      <c r="N1204" s="1" t="str">
        <f t="shared" si="94"/>
        <v>01378</v>
      </c>
    </row>
    <row r="1205" spans="1:14" x14ac:dyDescent="0.3">
      <c r="A1205" s="1">
        <v>1379</v>
      </c>
      <c r="B1205" s="7" t="s">
        <v>1846</v>
      </c>
      <c r="C1205" s="12">
        <v>12703</v>
      </c>
      <c r="D1205" s="7" t="s">
        <v>1847</v>
      </c>
      <c r="E1205" s="13" t="s">
        <v>1657</v>
      </c>
      <c r="F1205" t="str">
        <f t="shared" si="90"/>
        <v>Jones</v>
      </c>
      <c r="G1205" t="str">
        <f t="shared" si="91"/>
        <v>Jones12703Houston</v>
      </c>
      <c r="H1205" t="s">
        <v>32063</v>
      </c>
      <c r="I1205" t="s">
        <v>23492</v>
      </c>
      <c r="J1205" t="str">
        <f t="shared" si="92"/>
        <v>E:\PropInv\MF</v>
      </c>
      <c r="K1205" s="103" t="str">
        <f>HYPERLINK("E:\PropInv\MF\Houston\Jones Rd_12703_Stirling Court_Houston_01379","Jones Rd_12703_Stirling Court_Houston_01379" )</f>
        <v>Jones Rd_12703_Stirling Court_Houston_01379</v>
      </c>
      <c r="L1205" s="104" t="s">
        <v>22253</v>
      </c>
      <c r="M1205" s="103" t="str">
        <f t="shared" si="93"/>
        <v>http://oconnordata.com/mlink/modules/profile/index.cfm?action=profile&amp;prop_id=1379</v>
      </c>
      <c r="N1205" s="1" t="str">
        <f t="shared" si="94"/>
        <v>01379</v>
      </c>
    </row>
    <row r="1206" spans="1:14" x14ac:dyDescent="0.3">
      <c r="A1206" s="1">
        <v>1380</v>
      </c>
      <c r="B1206" s="7" t="s">
        <v>1848</v>
      </c>
      <c r="C1206" s="12">
        <v>10901</v>
      </c>
      <c r="D1206" s="7" t="s">
        <v>1849</v>
      </c>
      <c r="E1206" s="13" t="s">
        <v>1657</v>
      </c>
      <c r="F1206" t="str">
        <f t="shared" si="90"/>
        <v>Mist</v>
      </c>
      <c r="G1206" t="str">
        <f t="shared" si="91"/>
        <v>Mist10901Houston</v>
      </c>
      <c r="H1206" t="s">
        <v>32064</v>
      </c>
      <c r="I1206" t="s">
        <v>23493</v>
      </c>
      <c r="J1206" t="str">
        <f t="shared" si="92"/>
        <v>E:\PropInv\MF</v>
      </c>
      <c r="K1206" s="103" t="str">
        <f>HYPERLINK("E:\PropInv\MF\Houston\Mist Ln_10901_Stone Mist_Houston_01380","Mist Ln_10901_Stone Mist_Houston_01380" )</f>
        <v>Mist Ln_10901_Stone Mist_Houston_01380</v>
      </c>
      <c r="L1206" s="104" t="s">
        <v>22253</v>
      </c>
      <c r="M1206" s="103" t="str">
        <f t="shared" si="93"/>
        <v>http://oconnordata.com/mlink/modules/profile/index.cfm?action=profile&amp;prop_id=1380</v>
      </c>
      <c r="N1206" s="1" t="str">
        <f t="shared" si="94"/>
        <v>01380</v>
      </c>
    </row>
    <row r="1207" spans="1:14" x14ac:dyDescent="0.3">
      <c r="A1207" s="1">
        <v>1381</v>
      </c>
      <c r="B1207" s="7" t="s">
        <v>1850</v>
      </c>
      <c r="C1207" s="12">
        <v>98</v>
      </c>
      <c r="D1207" s="7" t="s">
        <v>1851</v>
      </c>
      <c r="E1207" s="13" t="s">
        <v>1763</v>
      </c>
      <c r="F1207" t="str">
        <f t="shared" si="90"/>
        <v>Isaacks</v>
      </c>
      <c r="G1207" t="str">
        <f t="shared" si="91"/>
        <v>Isaacks98Humble</v>
      </c>
      <c r="H1207" t="s">
        <v>32065</v>
      </c>
      <c r="I1207" t="s">
        <v>23494</v>
      </c>
      <c r="J1207" t="str">
        <f t="shared" si="92"/>
        <v>E:\PropInv\MF</v>
      </c>
      <c r="K1207" s="103" t="str">
        <f>HYPERLINK("E:\PropInv\MF\Humble\Isaacks Rd_98_Deer Springs_Humble_01381","Isaacks Rd_98_Deer Springs_Humble_01381" )</f>
        <v>Isaacks Rd_98_Deer Springs_Humble_01381</v>
      </c>
      <c r="L1207" s="104" t="s">
        <v>22253</v>
      </c>
      <c r="M1207" s="103" t="str">
        <f t="shared" si="93"/>
        <v>http://oconnordata.com/mlink/modules/profile/index.cfm?action=profile&amp;prop_id=1381</v>
      </c>
      <c r="N1207" s="1" t="str">
        <f t="shared" si="94"/>
        <v>01381</v>
      </c>
    </row>
    <row r="1208" spans="1:14" x14ac:dyDescent="0.3">
      <c r="A1208" s="1">
        <v>1382</v>
      </c>
      <c r="B1208" s="7" t="s">
        <v>1852</v>
      </c>
      <c r="C1208" s="12">
        <v>2200</v>
      </c>
      <c r="D1208" s="7" t="s">
        <v>1853</v>
      </c>
      <c r="E1208" s="13" t="s">
        <v>1662</v>
      </c>
      <c r="F1208" t="str">
        <f t="shared" si="90"/>
        <v>Lake</v>
      </c>
      <c r="G1208" t="str">
        <f t="shared" si="91"/>
        <v>Lake2200Kingwood</v>
      </c>
      <c r="H1208" t="s">
        <v>32066</v>
      </c>
      <c r="I1208" t="s">
        <v>23495</v>
      </c>
      <c r="J1208" t="str">
        <f t="shared" si="92"/>
        <v>E:\PropInv\MF</v>
      </c>
      <c r="K1208" s="103" t="str">
        <f>HYPERLINK("E:\PropInv\MF\Kingwood\Lake Village Dr_2200_Trailwood Village_Kingwood_01382","Lake Village Dr_2200_Trailwood Village_Kingwood_01382" )</f>
        <v>Lake Village Dr_2200_Trailwood Village_Kingwood_01382</v>
      </c>
      <c r="L1208" s="104" t="s">
        <v>22253</v>
      </c>
      <c r="M1208" s="103" t="str">
        <f t="shared" si="93"/>
        <v>http://oconnordata.com/mlink/modules/profile/index.cfm?action=profile&amp;prop_id=1382</v>
      </c>
      <c r="N1208" s="1" t="str">
        <f t="shared" si="94"/>
        <v>01382</v>
      </c>
    </row>
    <row r="1209" spans="1:14" x14ac:dyDescent="0.3">
      <c r="A1209" s="1">
        <v>1383</v>
      </c>
      <c r="B1209" s="7" t="s">
        <v>1854</v>
      </c>
      <c r="C1209" s="12">
        <v>11200</v>
      </c>
      <c r="D1209" s="7" t="s">
        <v>1855</v>
      </c>
      <c r="E1209" s="13" t="s">
        <v>1657</v>
      </c>
      <c r="F1209" t="str">
        <f t="shared" si="90"/>
        <v>Huffmeister</v>
      </c>
      <c r="G1209" t="str">
        <f t="shared" si="91"/>
        <v>Huffmeister11200Houston</v>
      </c>
      <c r="H1209" t="s">
        <v>32067</v>
      </c>
      <c r="I1209" t="s">
        <v>23496</v>
      </c>
      <c r="J1209" t="str">
        <f t="shared" si="92"/>
        <v>E:\PropInv\MF</v>
      </c>
      <c r="K1209" s="103" t="str">
        <f>HYPERLINK("E:\PropInv\MF\Houston\Huffmeister_11200_Park Colony_Houston_01383","Huffmeister_11200_Park Colony_Houston_01383" )</f>
        <v>Huffmeister_11200_Park Colony_Houston_01383</v>
      </c>
      <c r="L1209" s="104" t="s">
        <v>22253</v>
      </c>
      <c r="M1209" s="103" t="str">
        <f t="shared" si="93"/>
        <v>http://oconnordata.com/mlink/modules/profile/index.cfm?action=profile&amp;prop_id=1383</v>
      </c>
      <c r="N1209" s="1" t="str">
        <f t="shared" si="94"/>
        <v>01383</v>
      </c>
    </row>
    <row r="1210" spans="1:14" x14ac:dyDescent="0.3">
      <c r="A1210" s="97">
        <v>1384</v>
      </c>
      <c r="B1210" s="7" t="s">
        <v>1856</v>
      </c>
      <c r="C1210" s="12">
        <v>10225</v>
      </c>
      <c r="D1210" s="7" t="s">
        <v>1857</v>
      </c>
      <c r="E1210" s="13" t="s">
        <v>1657</v>
      </c>
      <c r="F1210" t="str">
        <f t="shared" si="90"/>
        <v>Wortham</v>
      </c>
      <c r="G1210" t="str">
        <f t="shared" si="91"/>
        <v>Wortham10225Houston</v>
      </c>
      <c r="H1210" t="s">
        <v>32068</v>
      </c>
      <c r="I1210" t="s">
        <v>23497</v>
      </c>
      <c r="J1210" t="str">
        <f t="shared" si="92"/>
        <v>E:\PropInv\MF</v>
      </c>
      <c r="K1210" s="103" t="str">
        <f>HYPERLINK("E:\PropInv\MF\Houston\Wortham Blvd_10225_Wynnewood_Houston_01384","Wortham Blvd_10225_Wynnewood_Houston_01384" )</f>
        <v>Wortham Blvd_10225_Wynnewood_Houston_01384</v>
      </c>
      <c r="L1210" s="104" t="s">
        <v>22253</v>
      </c>
      <c r="M1210" s="103" t="str">
        <f t="shared" si="93"/>
        <v>http://oconnordata.com/mlink/modules/profile/index.cfm?action=profile&amp;prop_id=1384</v>
      </c>
      <c r="N1210" s="1" t="str">
        <f t="shared" si="94"/>
        <v>01384</v>
      </c>
    </row>
    <row r="1211" spans="1:14" x14ac:dyDescent="0.3">
      <c r="A1211" s="1">
        <v>1385</v>
      </c>
      <c r="B1211" s="7" t="s">
        <v>1858</v>
      </c>
      <c r="C1211" s="12">
        <v>424</v>
      </c>
      <c r="D1211" s="7" t="s">
        <v>1859</v>
      </c>
      <c r="E1211" s="13" t="s">
        <v>1763</v>
      </c>
      <c r="F1211" t="str">
        <f t="shared" si="90"/>
        <v>Bender</v>
      </c>
      <c r="G1211" t="str">
        <f t="shared" si="91"/>
        <v>Bender424Humble</v>
      </c>
      <c r="H1211" t="s">
        <v>32069</v>
      </c>
      <c r="I1211" t="s">
        <v>23498</v>
      </c>
      <c r="J1211" t="str">
        <f t="shared" si="92"/>
        <v>E:\PropInv\MF</v>
      </c>
      <c r="K1211" s="103" t="str">
        <f>HYPERLINK("E:\PropInv\MF\Humble\Bender_424_Bender Hollow_Humble_01385","Bender_424_Bender Hollow_Humble_01385" )</f>
        <v>Bender_424_Bender Hollow_Humble_01385</v>
      </c>
      <c r="L1211" s="104" t="s">
        <v>22253</v>
      </c>
      <c r="M1211" s="103" t="str">
        <f t="shared" si="93"/>
        <v>http://oconnordata.com/mlink/modules/profile/index.cfm?action=profile&amp;prop_id=1385</v>
      </c>
      <c r="N1211" s="1" t="str">
        <f t="shared" si="94"/>
        <v>01385</v>
      </c>
    </row>
    <row r="1212" spans="1:14" x14ac:dyDescent="0.3">
      <c r="A1212" s="1">
        <v>1386</v>
      </c>
      <c r="B1212" s="7" t="s">
        <v>1766</v>
      </c>
      <c r="C1212" s="12">
        <v>515</v>
      </c>
      <c r="D1212" s="7" t="s">
        <v>1860</v>
      </c>
      <c r="E1212" s="13" t="s">
        <v>1763</v>
      </c>
      <c r="F1212" t="str">
        <f t="shared" si="90"/>
        <v>Bender</v>
      </c>
      <c r="G1212" t="str">
        <f t="shared" si="91"/>
        <v>Bender515Humble</v>
      </c>
      <c r="H1212" t="s">
        <v>32070</v>
      </c>
      <c r="I1212" t="s">
        <v>23499</v>
      </c>
      <c r="J1212" t="str">
        <f t="shared" si="92"/>
        <v>E:\PropInv\MF</v>
      </c>
      <c r="K1212" s="103" t="str">
        <f>HYPERLINK("E:\PropInv\MF\Humble\Bender S_515_Meadowbrook_Humble_01386","Bender S_515_Meadowbrook_Humble_01386" )</f>
        <v>Bender S_515_Meadowbrook_Humble_01386</v>
      </c>
      <c r="L1212" s="104" t="s">
        <v>22253</v>
      </c>
      <c r="M1212" s="103" t="str">
        <f t="shared" si="93"/>
        <v>http://oconnordata.com/mlink/modules/profile/index.cfm?action=profile&amp;prop_id=1386</v>
      </c>
      <c r="N1212" s="1" t="str">
        <f t="shared" si="94"/>
        <v>01386</v>
      </c>
    </row>
    <row r="1213" spans="1:14" x14ac:dyDescent="0.3">
      <c r="A1213" s="1">
        <v>1387</v>
      </c>
      <c r="B1213" s="7" t="s">
        <v>1816</v>
      </c>
      <c r="C1213" s="12">
        <v>11800</v>
      </c>
      <c r="D1213" s="7" t="s">
        <v>1861</v>
      </c>
      <c r="E1213" s="13" t="s">
        <v>1818</v>
      </c>
      <c r="F1213" t="str">
        <f t="shared" si="90"/>
        <v>Grant</v>
      </c>
      <c r="G1213" t="str">
        <f t="shared" si="91"/>
        <v>Grant11800Cypress</v>
      </c>
      <c r="H1213" t="s">
        <v>32071</v>
      </c>
      <c r="I1213" t="s">
        <v>23500</v>
      </c>
      <c r="J1213" t="str">
        <f t="shared" si="92"/>
        <v>E:\PropInv\MF</v>
      </c>
      <c r="K1213" s="103" t="str">
        <f>HYPERLINK("E:\PropInv\MF\Cypress\Grant Rd_11800_Village in the Woods_Cypress_01387","Grant Rd_11800_Village in the Woods_Cypress_01387" )</f>
        <v>Grant Rd_11800_Village in the Woods_Cypress_01387</v>
      </c>
      <c r="L1213" s="104" t="s">
        <v>22253</v>
      </c>
      <c r="M1213" s="103" t="str">
        <f t="shared" si="93"/>
        <v>http://oconnordata.com/mlink/modules/profile/index.cfm?action=profile&amp;prop_id=1387</v>
      </c>
      <c r="N1213" s="1" t="str">
        <f t="shared" si="94"/>
        <v>01387</v>
      </c>
    </row>
    <row r="1214" spans="1:14" x14ac:dyDescent="0.3">
      <c r="A1214" s="1">
        <v>1388</v>
      </c>
      <c r="B1214" s="7" t="s">
        <v>1862</v>
      </c>
      <c r="C1214" s="12">
        <v>13210</v>
      </c>
      <c r="D1214" s="7" t="s">
        <v>1863</v>
      </c>
      <c r="E1214" s="13" t="s">
        <v>1657</v>
      </c>
      <c r="F1214" t="str">
        <f t="shared" si="90"/>
        <v>Prestonwood</v>
      </c>
      <c r="G1214" t="str">
        <f t="shared" si="91"/>
        <v>Prestonwood13210Houston</v>
      </c>
      <c r="H1214" t="s">
        <v>32072</v>
      </c>
      <c r="I1214" t="s">
        <v>23501</v>
      </c>
      <c r="J1214" t="str">
        <f t="shared" si="92"/>
        <v>E:\PropInv\MF</v>
      </c>
      <c r="K1214" s="103" t="str">
        <f>HYPERLINK("E:\PropInv\MF\Houston\Prestonwood Forest Dr_13210_Prestonwood_Houston_01388","Prestonwood Forest Dr_13210_Prestonwood_Houston_01388" )</f>
        <v>Prestonwood Forest Dr_13210_Prestonwood_Houston_01388</v>
      </c>
      <c r="L1214" s="104" t="s">
        <v>22253</v>
      </c>
      <c r="M1214" s="103" t="str">
        <f t="shared" si="93"/>
        <v>http://oconnordata.com/mlink/modules/profile/index.cfm?action=profile&amp;prop_id=1388</v>
      </c>
      <c r="N1214" s="1" t="str">
        <f t="shared" si="94"/>
        <v>01388</v>
      </c>
    </row>
    <row r="1215" spans="1:14" x14ac:dyDescent="0.3">
      <c r="A1215" s="1">
        <v>1389</v>
      </c>
      <c r="B1215" s="7" t="s">
        <v>1864</v>
      </c>
      <c r="C1215" s="12">
        <v>10803</v>
      </c>
      <c r="D1215" s="7" t="s">
        <v>1865</v>
      </c>
      <c r="E1215" s="13" t="s">
        <v>1657</v>
      </c>
      <c r="F1215" t="str">
        <f t="shared" si="90"/>
        <v>Greencreek</v>
      </c>
      <c r="G1215" t="str">
        <f t="shared" si="91"/>
        <v>Greencreek10803Houston</v>
      </c>
      <c r="H1215" t="s">
        <v>32073</v>
      </c>
      <c r="I1215" t="s">
        <v>23502</v>
      </c>
      <c r="J1215" t="str">
        <f t="shared" si="92"/>
        <v>E:\PropInv\MF</v>
      </c>
      <c r="K1215" s="103" t="str">
        <f>HYPERLINK("E:\PropInv\MF\Houston\Greencreek Dr_10803_Pebble Creek_Houston_01389","Greencreek Dr_10803_Pebble Creek_Houston_01389" )</f>
        <v>Greencreek Dr_10803_Pebble Creek_Houston_01389</v>
      </c>
      <c r="L1215" s="104" t="s">
        <v>22253</v>
      </c>
      <c r="M1215" s="103" t="str">
        <f t="shared" si="93"/>
        <v>http://oconnordata.com/mlink/modules/profile/index.cfm?action=profile&amp;prop_id=1389</v>
      </c>
      <c r="N1215" s="1" t="str">
        <f t="shared" si="94"/>
        <v>01389</v>
      </c>
    </row>
    <row r="1216" spans="1:14" x14ac:dyDescent="0.3">
      <c r="A1216" s="1">
        <v>1390</v>
      </c>
      <c r="B1216" s="7" t="s">
        <v>1866</v>
      </c>
      <c r="C1216" s="12">
        <v>10730</v>
      </c>
      <c r="D1216" s="7" t="s">
        <v>1867</v>
      </c>
      <c r="E1216" s="13" t="s">
        <v>1657</v>
      </c>
      <c r="F1216" t="str">
        <f t="shared" si="90"/>
        <v>Glenora</v>
      </c>
      <c r="G1216" t="str">
        <f t="shared" si="91"/>
        <v>Glenora10730Houston</v>
      </c>
      <c r="H1216" t="s">
        <v>32074</v>
      </c>
      <c r="I1216" t="s">
        <v>23503</v>
      </c>
      <c r="J1216" t="str">
        <f t="shared" si="92"/>
        <v>E:\PropInv\MF</v>
      </c>
      <c r="K1216" s="103" t="str">
        <f>HYPERLINK("E:\PropInv\MF\Houston\Glenora Dr_10730_Hastings Place I_Houston_01390","Glenora Dr_10730_Hastings Place I_Houston_01390" )</f>
        <v>Glenora Dr_10730_Hastings Place I_Houston_01390</v>
      </c>
      <c r="L1216" s="104" t="s">
        <v>22253</v>
      </c>
      <c r="M1216" s="103" t="str">
        <f t="shared" si="93"/>
        <v>http://oconnordata.com/mlink/modules/profile/index.cfm?action=profile&amp;prop_id=1390</v>
      </c>
      <c r="N1216" s="1" t="str">
        <f t="shared" si="94"/>
        <v>01390</v>
      </c>
    </row>
    <row r="1217" spans="1:14" x14ac:dyDescent="0.3">
      <c r="A1217" s="1">
        <v>1391</v>
      </c>
      <c r="B1217" s="7" t="s">
        <v>1868</v>
      </c>
      <c r="C1217" s="12">
        <v>8330</v>
      </c>
      <c r="D1217" s="7" t="s">
        <v>1869</v>
      </c>
      <c r="E1217" s="13" t="s">
        <v>1657</v>
      </c>
      <c r="F1217" t="str">
        <f t="shared" si="90"/>
        <v>Willow</v>
      </c>
      <c r="G1217" t="str">
        <f t="shared" si="91"/>
        <v>Willow8330Houston</v>
      </c>
      <c r="H1217" t="s">
        <v>32075</v>
      </c>
      <c r="I1217" t="s">
        <v>23504</v>
      </c>
      <c r="J1217" t="str">
        <f t="shared" si="92"/>
        <v>E:\PropInv\MF</v>
      </c>
      <c r="K1217" s="103" t="str">
        <f>HYPERLINK("E:\PropInv\MF\Houston\Willow Place S_8330_One Willow Chase_Houston_01391","Willow Place S_8330_One Willow Chase_Houston_01391" )</f>
        <v>Willow Place S_8330_One Willow Chase_Houston_01391</v>
      </c>
      <c r="L1217" s="104" t="s">
        <v>22253</v>
      </c>
      <c r="M1217" s="103" t="str">
        <f t="shared" si="93"/>
        <v>http://oconnordata.com/mlink/modules/profile/index.cfm?action=profile&amp;prop_id=1391</v>
      </c>
      <c r="N1217" s="1" t="str">
        <f t="shared" si="94"/>
        <v>01391</v>
      </c>
    </row>
    <row r="1218" spans="1:14" x14ac:dyDescent="0.3">
      <c r="A1218" s="97">
        <v>1392</v>
      </c>
      <c r="B1218" s="7" t="s">
        <v>1870</v>
      </c>
      <c r="C1218" s="12">
        <v>10802</v>
      </c>
      <c r="D1218" s="7" t="s">
        <v>1871</v>
      </c>
      <c r="E1218" s="13" t="s">
        <v>1657</v>
      </c>
      <c r="F1218" t="str">
        <f t="shared" ref="F1218:F1281" si="95">IFERROR(LEFT(B1218,FIND(" ",B1218)-1),B1218)</f>
        <v>Green</v>
      </c>
      <c r="G1218" t="str">
        <f t="shared" ref="G1218:G1281" si="96">F1218&amp;C1218&amp;E1218</f>
        <v>Green10802Houston</v>
      </c>
      <c r="H1218" t="s">
        <v>32076</v>
      </c>
      <c r="I1218" t="s">
        <v>23505</v>
      </c>
      <c r="J1218" t="str">
        <f t="shared" ref="J1218:J1281" si="97">IF(L1218="TX",Folder_Path,Folder_Path&amp;"\State_"&amp;L1218)</f>
        <v>E:\PropInv\MF</v>
      </c>
      <c r="K1218" s="103" t="str">
        <f>HYPERLINK("E:\PropInv\MF\Houston\Green Creek Dr_10802_Woodedge_Houston_01392","Green Creek Dr_10802_Woodedge_Houston_01392" )</f>
        <v>Green Creek Dr_10802_Woodedge_Houston_01392</v>
      </c>
      <c r="L1218" s="104" t="s">
        <v>22253</v>
      </c>
      <c r="M1218" s="103" t="str">
        <f t="shared" ref="M1218:M1281" si="98">HYPERLINK("http://oconnordata.com/mlink/modules/profile/index.cfm?action=profile&amp;prop_id="&amp;A1218)</f>
        <v>http://oconnordata.com/mlink/modules/profile/index.cfm?action=profile&amp;prop_id=1392</v>
      </c>
      <c r="N1218" s="1" t="str">
        <f t="shared" ref="N1218:N1281" si="99">IF(LEN(A1218)=1,"0000"&amp;A1218,IF(LEN(A1218)=2,"000"&amp;A1218,IF(LEN(A1218)=3,"00"&amp;A1218,IF(LEN(A1218)=4,"0"&amp;A1218,IF(LEN(A1218)=5,IF(LEFT(A1218,1)="3",A1218+30000,A1218))))))</f>
        <v>01392</v>
      </c>
    </row>
    <row r="1219" spans="1:14" x14ac:dyDescent="0.3">
      <c r="A1219" s="1">
        <v>1393</v>
      </c>
      <c r="B1219" s="7" t="s">
        <v>1872</v>
      </c>
      <c r="C1219" s="12">
        <v>11111</v>
      </c>
      <c r="D1219" s="7" t="s">
        <v>909</v>
      </c>
      <c r="E1219" s="13" t="s">
        <v>1818</v>
      </c>
      <c r="F1219" t="str">
        <f t="shared" si="95"/>
        <v>Saathoff</v>
      </c>
      <c r="G1219" t="str">
        <f t="shared" si="96"/>
        <v>Saathoff11111Cypress</v>
      </c>
      <c r="H1219" t="s">
        <v>32077</v>
      </c>
      <c r="I1219" t="s">
        <v>23506</v>
      </c>
      <c r="J1219" t="str">
        <f t="shared" si="97"/>
        <v>E:\PropInv\MF</v>
      </c>
      <c r="K1219" s="103" t="str">
        <f>HYPERLINK("E:\PropInv\MF\Cypress\Saathoff_11111_Brandon Oaks_Cypress_01393","Saathoff_11111_Brandon Oaks_Cypress_01393" )</f>
        <v>Saathoff_11111_Brandon Oaks_Cypress_01393</v>
      </c>
      <c r="L1219" s="104" t="s">
        <v>22253</v>
      </c>
      <c r="M1219" s="103" t="str">
        <f t="shared" si="98"/>
        <v>http://oconnordata.com/mlink/modules/profile/index.cfm?action=profile&amp;prop_id=1393</v>
      </c>
      <c r="N1219" s="1" t="str">
        <f t="shared" si="99"/>
        <v>01393</v>
      </c>
    </row>
    <row r="1220" spans="1:14" x14ac:dyDescent="0.3">
      <c r="A1220" s="1">
        <v>1394</v>
      </c>
      <c r="B1220" s="7" t="s">
        <v>1873</v>
      </c>
      <c r="C1220" s="12">
        <v>8450</v>
      </c>
      <c r="D1220" s="7" t="s">
        <v>1874</v>
      </c>
      <c r="E1220" s="13" t="s">
        <v>1657</v>
      </c>
      <c r="F1220" t="str">
        <f t="shared" si="95"/>
        <v>Willow</v>
      </c>
      <c r="G1220" t="str">
        <f t="shared" si="96"/>
        <v>Willow8450Houston</v>
      </c>
      <c r="H1220" t="s">
        <v>32078</v>
      </c>
      <c r="I1220" t="s">
        <v>23507</v>
      </c>
      <c r="J1220" t="str">
        <f t="shared" si="97"/>
        <v>E:\PropInv\MF</v>
      </c>
      <c r="K1220" s="103" t="str">
        <f>HYPERLINK("E:\PropInv\MF\Houston\Willow Place N_8450_One Willow Park_Houston_01394","Willow Place N_8450_One Willow Park_Houston_01394" )</f>
        <v>Willow Place N_8450_One Willow Park_Houston_01394</v>
      </c>
      <c r="L1220" s="104" t="s">
        <v>22253</v>
      </c>
      <c r="M1220" s="103" t="str">
        <f t="shared" si="98"/>
        <v>http://oconnordata.com/mlink/modules/profile/index.cfm?action=profile&amp;prop_id=1394</v>
      </c>
      <c r="N1220" s="1" t="str">
        <f t="shared" si="99"/>
        <v>01394</v>
      </c>
    </row>
    <row r="1221" spans="1:14" x14ac:dyDescent="0.3">
      <c r="A1221" s="1">
        <v>1395</v>
      </c>
      <c r="B1221" s="7" t="s">
        <v>1875</v>
      </c>
      <c r="C1221" s="12">
        <v>5100</v>
      </c>
      <c r="D1221" s="7" t="s">
        <v>1876</v>
      </c>
      <c r="E1221" s="13" t="s">
        <v>1657</v>
      </c>
      <c r="F1221" t="str">
        <f t="shared" si="95"/>
        <v>1960</v>
      </c>
      <c r="G1221" t="str">
        <f t="shared" si="96"/>
        <v>19605100Houston</v>
      </c>
      <c r="H1221" t="s">
        <v>32079</v>
      </c>
      <c r="I1221" t="s">
        <v>23508</v>
      </c>
      <c r="J1221" t="str">
        <f t="shared" si="97"/>
        <v>E:\PropInv\MF</v>
      </c>
      <c r="K1221" s="103" t="str">
        <f>HYPERLINK("E:\PropInv\MF\Houston\1960 FM W_5100_Providence at Champions_Houston_01395","1960 FM W_5100_Providence at Champions_Houston_01395" )</f>
        <v>1960 FM W_5100_Providence at Champions_Houston_01395</v>
      </c>
      <c r="L1221" s="104" t="s">
        <v>22253</v>
      </c>
      <c r="M1221" s="103" t="str">
        <f t="shared" si="98"/>
        <v>http://oconnordata.com/mlink/modules/profile/index.cfm?action=profile&amp;prop_id=1395</v>
      </c>
      <c r="N1221" s="1" t="str">
        <f t="shared" si="99"/>
        <v>01395</v>
      </c>
    </row>
    <row r="1222" spans="1:14" x14ac:dyDescent="0.3">
      <c r="A1222" s="1">
        <v>1396</v>
      </c>
      <c r="B1222" s="7" t="s">
        <v>1826</v>
      </c>
      <c r="C1222" s="12">
        <v>12820</v>
      </c>
      <c r="D1222" s="7" t="s">
        <v>1877</v>
      </c>
      <c r="E1222" s="13" t="s">
        <v>1657</v>
      </c>
      <c r="F1222" t="str">
        <f t="shared" si="95"/>
        <v>Greenwood</v>
      </c>
      <c r="G1222" t="str">
        <f t="shared" si="96"/>
        <v>Greenwood12820Houston</v>
      </c>
      <c r="H1222" t="s">
        <v>32080</v>
      </c>
      <c r="I1222" t="s">
        <v>23509</v>
      </c>
      <c r="J1222" t="str">
        <f t="shared" si="97"/>
        <v>E:\PropInv\MF</v>
      </c>
      <c r="K1222" s="103" t="str">
        <f>HYPERLINK("E:\PropInv\MF\Houston\Greenwood Forest Dr_12820_Greenwood Forest_Houston_01396","Greenwood Forest Dr_12820_Greenwood Forest_Houston_01396" )</f>
        <v>Greenwood Forest Dr_12820_Greenwood Forest_Houston_01396</v>
      </c>
      <c r="L1222" s="104" t="s">
        <v>22253</v>
      </c>
      <c r="M1222" s="103" t="str">
        <f t="shared" si="98"/>
        <v>http://oconnordata.com/mlink/modules/profile/index.cfm?action=profile&amp;prop_id=1396</v>
      </c>
      <c r="N1222" s="1" t="str">
        <f t="shared" si="99"/>
        <v>01396</v>
      </c>
    </row>
    <row r="1223" spans="1:14" x14ac:dyDescent="0.3">
      <c r="A1223" s="1">
        <v>1397</v>
      </c>
      <c r="B1223" s="7" t="s">
        <v>1878</v>
      </c>
      <c r="C1223" s="12">
        <v>12355</v>
      </c>
      <c r="D1223" s="7" t="s">
        <v>1879</v>
      </c>
      <c r="E1223" s="13" t="s">
        <v>1657</v>
      </c>
      <c r="F1223" t="str">
        <f t="shared" si="95"/>
        <v>Antoine</v>
      </c>
      <c r="G1223" t="str">
        <f t="shared" si="96"/>
        <v>Antoine12355Houston</v>
      </c>
      <c r="H1223" t="s">
        <v>32081</v>
      </c>
      <c r="I1223" t="s">
        <v>23510</v>
      </c>
      <c r="J1223" t="str">
        <f t="shared" si="97"/>
        <v>E:\PropInv\MF</v>
      </c>
      <c r="K1223" s="103" t="str">
        <f>HYPERLINK("E:\PropInv\MF\Houston\Antoine_12355_Camden Station_Houston_01397","Antoine_12355_Camden Station_Houston_01397" )</f>
        <v>Antoine_12355_Camden Station_Houston_01397</v>
      </c>
      <c r="L1223" s="104" t="s">
        <v>22253</v>
      </c>
      <c r="M1223" s="103" t="str">
        <f t="shared" si="98"/>
        <v>http://oconnordata.com/mlink/modules/profile/index.cfm?action=profile&amp;prop_id=1397</v>
      </c>
      <c r="N1223" s="1" t="str">
        <f t="shared" si="99"/>
        <v>01397</v>
      </c>
    </row>
    <row r="1224" spans="1:14" x14ac:dyDescent="0.3">
      <c r="A1224" s="1">
        <v>1398</v>
      </c>
      <c r="B1224" s="7" t="s">
        <v>1878</v>
      </c>
      <c r="C1224" s="12">
        <v>12411</v>
      </c>
      <c r="D1224" s="7" t="s">
        <v>1880</v>
      </c>
      <c r="E1224" s="13" t="s">
        <v>1657</v>
      </c>
      <c r="F1224" t="str">
        <f t="shared" si="95"/>
        <v>Antoine</v>
      </c>
      <c r="G1224" t="str">
        <f t="shared" si="96"/>
        <v>Antoine12411Houston</v>
      </c>
      <c r="H1224" t="s">
        <v>32082</v>
      </c>
      <c r="I1224" t="s">
        <v>23511</v>
      </c>
      <c r="J1224" t="str">
        <f t="shared" si="97"/>
        <v>E:\PropInv\MF</v>
      </c>
      <c r="K1224" s="103" t="str">
        <f>HYPERLINK("E:\PropInv\MF\Houston\Antoine_12411_One Camden Court_Houston_01398","Antoine_12411_One Camden Court_Houston_01398" )</f>
        <v>Antoine_12411_One Camden Court_Houston_01398</v>
      </c>
      <c r="L1224" s="104" t="s">
        <v>22253</v>
      </c>
      <c r="M1224" s="103" t="str">
        <f t="shared" si="98"/>
        <v>http://oconnordata.com/mlink/modules/profile/index.cfm?action=profile&amp;prop_id=1398</v>
      </c>
      <c r="N1224" s="1" t="str">
        <f t="shared" si="99"/>
        <v>01398</v>
      </c>
    </row>
    <row r="1225" spans="1:14" x14ac:dyDescent="0.3">
      <c r="A1225" s="1">
        <v>1399</v>
      </c>
      <c r="B1225" s="7" t="s">
        <v>1722</v>
      </c>
      <c r="C1225" s="12">
        <v>10200</v>
      </c>
      <c r="D1225" s="7" t="s">
        <v>264</v>
      </c>
      <c r="E1225" s="13" t="s">
        <v>1657</v>
      </c>
      <c r="F1225" t="str">
        <f t="shared" si="95"/>
        <v>Bammel</v>
      </c>
      <c r="G1225" t="str">
        <f t="shared" si="96"/>
        <v>Bammel10200Houston</v>
      </c>
      <c r="H1225" t="s">
        <v>32083</v>
      </c>
      <c r="I1225" t="s">
        <v>23512</v>
      </c>
      <c r="J1225" t="str">
        <f t="shared" si="97"/>
        <v>E:\PropInv\MF</v>
      </c>
      <c r="K1225" s="103" t="str">
        <f>HYPERLINK("E:\PropInv\MF\Houston\Bammel Houston N_10200_Meridian_Houston_01399","Bammel Houston N_10200_Meridian_Houston_01399" )</f>
        <v>Bammel Houston N_10200_Meridian_Houston_01399</v>
      </c>
      <c r="L1225" s="104" t="s">
        <v>22253</v>
      </c>
      <c r="M1225" s="103" t="str">
        <f t="shared" si="98"/>
        <v>http://oconnordata.com/mlink/modules/profile/index.cfm?action=profile&amp;prop_id=1399</v>
      </c>
      <c r="N1225" s="1" t="str">
        <f t="shared" si="99"/>
        <v>01399</v>
      </c>
    </row>
    <row r="1226" spans="1:14" x14ac:dyDescent="0.3">
      <c r="A1226" s="1">
        <v>1400</v>
      </c>
      <c r="B1226" s="7" t="s">
        <v>1881</v>
      </c>
      <c r="C1226" s="12">
        <v>14141</v>
      </c>
      <c r="D1226" s="7" t="s">
        <v>1882</v>
      </c>
      <c r="E1226" s="13" t="s">
        <v>1657</v>
      </c>
      <c r="F1226" t="str">
        <f t="shared" si="95"/>
        <v>Champions</v>
      </c>
      <c r="G1226" t="str">
        <f t="shared" si="96"/>
        <v>Champions14141Houston</v>
      </c>
      <c r="H1226" t="s">
        <v>32084</v>
      </c>
      <c r="I1226" t="s">
        <v>23513</v>
      </c>
      <c r="J1226" t="str">
        <f t="shared" si="97"/>
        <v>E:\PropInv\MF</v>
      </c>
      <c r="K1226" s="103" t="str">
        <f>HYPERLINK("E:\PropInv\MF\Houston\Champions Dr_14141_Champions Green_Houston_01400","Champions Dr_14141_Champions Green_Houston_01400" )</f>
        <v>Champions Dr_14141_Champions Green_Houston_01400</v>
      </c>
      <c r="L1226" s="104" t="s">
        <v>22253</v>
      </c>
      <c r="M1226" s="103" t="str">
        <f t="shared" si="98"/>
        <v>http://oconnordata.com/mlink/modules/profile/index.cfm?action=profile&amp;prop_id=1400</v>
      </c>
      <c r="N1226" s="1" t="str">
        <f t="shared" si="99"/>
        <v>01400</v>
      </c>
    </row>
    <row r="1227" spans="1:14" x14ac:dyDescent="0.3">
      <c r="A1227" s="1">
        <v>1401</v>
      </c>
      <c r="B1227" s="7" t="s">
        <v>1875</v>
      </c>
      <c r="C1227" s="12">
        <v>5959</v>
      </c>
      <c r="D1227" s="7" t="s">
        <v>1883</v>
      </c>
      <c r="E1227" s="13" t="s">
        <v>1657</v>
      </c>
      <c r="F1227" t="str">
        <f t="shared" si="95"/>
        <v>1960</v>
      </c>
      <c r="G1227" t="str">
        <f t="shared" si="96"/>
        <v>19605959Houston</v>
      </c>
      <c r="H1227" t="s">
        <v>32085</v>
      </c>
      <c r="I1227" t="s">
        <v>23514</v>
      </c>
      <c r="J1227" t="str">
        <f t="shared" si="97"/>
        <v>E:\PropInv\MF</v>
      </c>
      <c r="K1227" s="103" t="str">
        <f>HYPERLINK("E:\PropInv\MF\Houston\1960 FM W_5959_The Promenade Champions Forest_Houston_01401","1960 FM W_5959_The Promenade Champions Forest_Houston_01401" )</f>
        <v>1960 FM W_5959_The Promenade Champions Forest_Houston_01401</v>
      </c>
      <c r="L1227" s="104" t="s">
        <v>22253</v>
      </c>
      <c r="M1227" s="103" t="str">
        <f t="shared" si="98"/>
        <v>http://oconnordata.com/mlink/modules/profile/index.cfm?action=profile&amp;prop_id=1401</v>
      </c>
      <c r="N1227" s="1" t="str">
        <f t="shared" si="99"/>
        <v>01401</v>
      </c>
    </row>
    <row r="1228" spans="1:14" x14ac:dyDescent="0.3">
      <c r="A1228" s="1">
        <v>1402</v>
      </c>
      <c r="B1228" s="7" t="s">
        <v>1884</v>
      </c>
      <c r="C1228" s="12">
        <v>10730</v>
      </c>
      <c r="D1228" s="7" t="s">
        <v>1885</v>
      </c>
      <c r="E1228" s="13" t="s">
        <v>1657</v>
      </c>
      <c r="F1228" t="str">
        <f t="shared" si="95"/>
        <v>Glenora</v>
      </c>
      <c r="G1228" t="str">
        <f t="shared" si="96"/>
        <v>Glenora10730Houston</v>
      </c>
      <c r="H1228" t="s">
        <v>32086</v>
      </c>
      <c r="I1228" t="s">
        <v>23515</v>
      </c>
      <c r="J1228" t="str">
        <f t="shared" si="97"/>
        <v>E:\PropInv\MF</v>
      </c>
      <c r="K1228" s="103" t="str">
        <f>HYPERLINK("E:\PropInv\MF\Houston\Glenora_10730_Hastings Place II_Houston_01402","Glenora_10730_Hastings Place II_Houston_01402" )</f>
        <v>Glenora_10730_Hastings Place II_Houston_01402</v>
      </c>
      <c r="L1228" s="104" t="s">
        <v>22253</v>
      </c>
      <c r="M1228" s="103" t="str">
        <f t="shared" si="98"/>
        <v>http://oconnordata.com/mlink/modules/profile/index.cfm?action=profile&amp;prop_id=1402</v>
      </c>
      <c r="N1228" s="1" t="str">
        <f t="shared" si="99"/>
        <v>01402</v>
      </c>
    </row>
    <row r="1229" spans="1:14" x14ac:dyDescent="0.3">
      <c r="A1229" s="97">
        <v>1403</v>
      </c>
      <c r="B1229" s="7" t="s">
        <v>1886</v>
      </c>
      <c r="C1229" s="12">
        <v>12919</v>
      </c>
      <c r="D1229" s="7" t="s">
        <v>1887</v>
      </c>
      <c r="E1229" s="13" t="s">
        <v>1657</v>
      </c>
      <c r="F1229" t="str">
        <f t="shared" si="95"/>
        <v>Windfern</v>
      </c>
      <c r="G1229" t="str">
        <f t="shared" si="96"/>
        <v>Windfern12919Houston</v>
      </c>
      <c r="H1229" t="s">
        <v>32087</v>
      </c>
      <c r="I1229" t="s">
        <v>23516</v>
      </c>
      <c r="J1229" t="str">
        <f t="shared" si="97"/>
        <v>E:\PropInv\MF</v>
      </c>
      <c r="K1229" s="103" t="str">
        <f>HYPERLINK("E:\PropInv\MF\Houston\Windfern_12919_Windfern Meadows_Houston_01403","Windfern_12919_Windfern Meadows_Houston_01403" )</f>
        <v>Windfern_12919_Windfern Meadows_Houston_01403</v>
      </c>
      <c r="L1229" s="104" t="s">
        <v>22253</v>
      </c>
      <c r="M1229" s="103" t="str">
        <f t="shared" si="98"/>
        <v>http://oconnordata.com/mlink/modules/profile/index.cfm?action=profile&amp;prop_id=1403</v>
      </c>
      <c r="N1229" s="1" t="str">
        <f t="shared" si="99"/>
        <v>01403</v>
      </c>
    </row>
    <row r="1230" spans="1:14" x14ac:dyDescent="0.3">
      <c r="A1230" s="1">
        <v>1404</v>
      </c>
      <c r="B1230" s="7" t="s">
        <v>1886</v>
      </c>
      <c r="C1230" s="12">
        <v>13035</v>
      </c>
      <c r="D1230" s="7" t="s">
        <v>1888</v>
      </c>
      <c r="E1230" s="13" t="s">
        <v>1657</v>
      </c>
      <c r="F1230" t="str">
        <f t="shared" si="95"/>
        <v>Windfern</v>
      </c>
      <c r="G1230" t="str">
        <f t="shared" si="96"/>
        <v>Windfern13035Houston</v>
      </c>
      <c r="H1230" t="s">
        <v>32088</v>
      </c>
      <c r="I1230" t="s">
        <v>23517</v>
      </c>
      <c r="J1230" t="str">
        <f t="shared" si="97"/>
        <v>E:\PropInv\MF</v>
      </c>
      <c r="K1230" s="103" t="str">
        <f>HYPERLINK("E:\PropInv\MF\Houston\Windfern_13035_Trails of Windfern_Houston_01404","Windfern_13035_Trails of Windfern_Houston_01404" )</f>
        <v>Windfern_13035_Trails of Windfern_Houston_01404</v>
      </c>
      <c r="L1230" s="104" t="s">
        <v>22253</v>
      </c>
      <c r="M1230" s="103" t="str">
        <f t="shared" si="98"/>
        <v>http://oconnordata.com/mlink/modules/profile/index.cfm?action=profile&amp;prop_id=1404</v>
      </c>
      <c r="N1230" s="1" t="str">
        <f t="shared" si="99"/>
        <v>01404</v>
      </c>
    </row>
    <row r="1231" spans="1:14" x14ac:dyDescent="0.3">
      <c r="A1231" s="1">
        <v>1405</v>
      </c>
      <c r="B1231" s="7" t="s">
        <v>1889</v>
      </c>
      <c r="C1231" s="12">
        <v>11240</v>
      </c>
      <c r="D1231" s="7" t="s">
        <v>1890</v>
      </c>
      <c r="E1231" s="13" t="s">
        <v>1657</v>
      </c>
      <c r="F1231" t="str">
        <f t="shared" si="95"/>
        <v>Perry</v>
      </c>
      <c r="G1231" t="str">
        <f t="shared" si="96"/>
        <v>Perry11240Houston</v>
      </c>
      <c r="H1231" t="s">
        <v>32089</v>
      </c>
      <c r="I1231" t="s">
        <v>23518</v>
      </c>
      <c r="J1231" t="str">
        <f t="shared" si="97"/>
        <v>E:\PropInv\MF</v>
      </c>
      <c r="K1231" s="103" t="str">
        <f>HYPERLINK("E:\PropInv\MF\Houston\Perry Rd_11240_Willow Run TH_Houston_01405","Perry Rd_11240_Willow Run TH_Houston_01405" )</f>
        <v>Perry Rd_11240_Willow Run TH_Houston_01405</v>
      </c>
      <c r="L1231" s="104" t="s">
        <v>22253</v>
      </c>
      <c r="M1231" s="103" t="str">
        <f t="shared" si="98"/>
        <v>http://oconnordata.com/mlink/modules/profile/index.cfm?action=profile&amp;prop_id=1405</v>
      </c>
      <c r="N1231" s="1" t="str">
        <f t="shared" si="99"/>
        <v>01405</v>
      </c>
    </row>
    <row r="1232" spans="1:14" x14ac:dyDescent="0.3">
      <c r="A1232" s="1">
        <v>1406</v>
      </c>
      <c r="B1232" s="7" t="s">
        <v>1891</v>
      </c>
      <c r="C1232" s="12">
        <v>11810</v>
      </c>
      <c r="D1232" s="7" t="s">
        <v>1892</v>
      </c>
      <c r="E1232" s="13" t="s">
        <v>1657</v>
      </c>
      <c r="F1232" t="str">
        <f t="shared" si="95"/>
        <v>Hammond</v>
      </c>
      <c r="G1232" t="str">
        <f t="shared" si="96"/>
        <v>Hammond11810Houston</v>
      </c>
      <c r="H1232" t="s">
        <v>32090</v>
      </c>
      <c r="I1232" t="s">
        <v>23519</v>
      </c>
      <c r="J1232" t="str">
        <f t="shared" si="97"/>
        <v>E:\PropInv\MF</v>
      </c>
      <c r="K1232" s="103" t="str">
        <f>HYPERLINK("E:\PropInv\MF\Houston\Hammond_11810_Morningside Green_Houston_01406","Hammond_11810_Morningside Green_Houston_01406" )</f>
        <v>Hammond_11810_Morningside Green_Houston_01406</v>
      </c>
      <c r="L1232" s="104" t="s">
        <v>22253</v>
      </c>
      <c r="M1232" s="103" t="str">
        <f t="shared" si="98"/>
        <v>http://oconnordata.com/mlink/modules/profile/index.cfm?action=profile&amp;prop_id=1406</v>
      </c>
      <c r="N1232" s="1" t="str">
        <f t="shared" si="99"/>
        <v>01406</v>
      </c>
    </row>
    <row r="1233" spans="1:14" x14ac:dyDescent="0.3">
      <c r="A1233" s="1">
        <v>1407</v>
      </c>
      <c r="B1233" s="7" t="s">
        <v>1893</v>
      </c>
      <c r="C1233" s="12">
        <v>5110</v>
      </c>
      <c r="D1233" s="7" t="s">
        <v>1894</v>
      </c>
      <c r="E1233" s="13" t="s">
        <v>1657</v>
      </c>
      <c r="F1233" t="str">
        <f t="shared" si="95"/>
        <v>Azalea</v>
      </c>
      <c r="G1233" t="str">
        <f t="shared" si="96"/>
        <v>Azalea5110Houston</v>
      </c>
      <c r="H1233" t="s">
        <v>32091</v>
      </c>
      <c r="I1233" t="s">
        <v>23520</v>
      </c>
      <c r="J1233" t="str">
        <f t="shared" si="97"/>
        <v>E:\PropInv\MF</v>
      </c>
      <c r="K1233" s="103" t="str">
        <f>HYPERLINK("E:\PropInv\MF\Houston\Azalea Trace_5110_Smoketree Apts_Houston_01407","Azalea Trace_5110_Smoketree Apts_Houston_01407" )</f>
        <v>Azalea Trace_5110_Smoketree Apts_Houston_01407</v>
      </c>
      <c r="L1233" s="104" t="s">
        <v>22253</v>
      </c>
      <c r="M1233" s="103" t="str">
        <f t="shared" si="98"/>
        <v>http://oconnordata.com/mlink/modules/profile/index.cfm?action=profile&amp;prop_id=1407</v>
      </c>
      <c r="N1233" s="1" t="str">
        <f t="shared" si="99"/>
        <v>01407</v>
      </c>
    </row>
    <row r="1234" spans="1:14" x14ac:dyDescent="0.3">
      <c r="A1234" s="1">
        <v>1408</v>
      </c>
      <c r="B1234" s="7" t="s">
        <v>1878</v>
      </c>
      <c r="C1234" s="12">
        <v>12335</v>
      </c>
      <c r="D1234" s="7" t="s">
        <v>1895</v>
      </c>
      <c r="E1234" s="13" t="s">
        <v>1657</v>
      </c>
      <c r="F1234" t="str">
        <f t="shared" si="95"/>
        <v>Antoine</v>
      </c>
      <c r="G1234" t="str">
        <f t="shared" si="96"/>
        <v>Antoine12335Houston</v>
      </c>
      <c r="H1234" t="s">
        <v>32092</v>
      </c>
      <c r="I1234" t="s">
        <v>23521</v>
      </c>
      <c r="J1234" t="str">
        <f t="shared" si="97"/>
        <v>E:\PropInv\MF</v>
      </c>
      <c r="K1234" s="103" t="str">
        <f>HYPERLINK("E:\PropInv\MF\Houston\Antoine_12335_Champions Pointe_Houston_01408","Antoine_12335_Champions Pointe_Houston_01408" )</f>
        <v>Antoine_12335_Champions Pointe_Houston_01408</v>
      </c>
      <c r="L1234" s="104" t="s">
        <v>22253</v>
      </c>
      <c r="M1234" s="103" t="str">
        <f t="shared" si="98"/>
        <v>http://oconnordata.com/mlink/modules/profile/index.cfm?action=profile&amp;prop_id=1408</v>
      </c>
      <c r="N1234" s="1" t="str">
        <f t="shared" si="99"/>
        <v>01408</v>
      </c>
    </row>
    <row r="1235" spans="1:14" x14ac:dyDescent="0.3">
      <c r="A1235" s="1">
        <v>1409</v>
      </c>
      <c r="B1235" s="7" t="s">
        <v>1896</v>
      </c>
      <c r="C1235" s="12">
        <v>13555</v>
      </c>
      <c r="D1235" s="7" t="s">
        <v>1897</v>
      </c>
      <c r="E1235" s="13" t="s">
        <v>1657</v>
      </c>
      <c r="F1235" t="str">
        <f t="shared" si="95"/>
        <v>Breton</v>
      </c>
      <c r="G1235" t="str">
        <f t="shared" si="96"/>
        <v>Breton13555Houston</v>
      </c>
      <c r="H1235" t="s">
        <v>32093</v>
      </c>
      <c r="I1235" t="s">
        <v>23522</v>
      </c>
      <c r="J1235" t="str">
        <f t="shared" si="97"/>
        <v>E:\PropInv\MF</v>
      </c>
      <c r="K1235" s="103" t="str">
        <f>HYPERLINK("E:\PropInv\MF\Houston\Breton Ridge_13555_Breton Mill_Houston_01409","Breton Ridge_13555_Breton Mill_Houston_01409" )</f>
        <v>Breton Ridge_13555_Breton Mill_Houston_01409</v>
      </c>
      <c r="L1235" s="104" t="s">
        <v>22253</v>
      </c>
      <c r="M1235" s="103" t="str">
        <f t="shared" si="98"/>
        <v>http://oconnordata.com/mlink/modules/profile/index.cfm?action=profile&amp;prop_id=1409</v>
      </c>
      <c r="N1235" s="1" t="str">
        <f t="shared" si="99"/>
        <v>01409</v>
      </c>
    </row>
    <row r="1236" spans="1:14" x14ac:dyDescent="0.3">
      <c r="A1236" s="1">
        <v>1410</v>
      </c>
      <c r="B1236" s="7" t="s">
        <v>1898</v>
      </c>
      <c r="C1236" s="12">
        <v>7700</v>
      </c>
      <c r="D1236" s="7" t="s">
        <v>1899</v>
      </c>
      <c r="E1236" s="13" t="s">
        <v>1657</v>
      </c>
      <c r="F1236" t="str">
        <f t="shared" si="95"/>
        <v>Willowchase</v>
      </c>
      <c r="G1236" t="str">
        <f t="shared" si="96"/>
        <v>Willowchase7700Houston</v>
      </c>
      <c r="H1236" t="s">
        <v>32094</v>
      </c>
      <c r="I1236" t="s">
        <v>23523</v>
      </c>
      <c r="J1236" t="str">
        <f t="shared" si="97"/>
        <v>E:\PropInv\MF</v>
      </c>
      <c r="K1236" s="103" t="str">
        <f>HYPERLINK("E:\PropInv\MF\Houston\Willowchase Blvd_7700_The Verandah at Centerfield_Houston_01410","Willowchase Blvd_7700_The Verandah at Centerfield_Houston_01410" )</f>
        <v>Willowchase Blvd_7700_The Verandah at Centerfield_Houston_01410</v>
      </c>
      <c r="L1236" s="104" t="s">
        <v>22253</v>
      </c>
      <c r="M1236" s="103" t="str">
        <f t="shared" si="98"/>
        <v>http://oconnordata.com/mlink/modules/profile/index.cfm?action=profile&amp;prop_id=1410</v>
      </c>
      <c r="N1236" s="1" t="str">
        <f t="shared" si="99"/>
        <v>01410</v>
      </c>
    </row>
    <row r="1237" spans="1:14" x14ac:dyDescent="0.3">
      <c r="A1237" s="1">
        <v>1411</v>
      </c>
      <c r="B1237" s="7" t="s">
        <v>1900</v>
      </c>
      <c r="C1237" s="12">
        <v>11000</v>
      </c>
      <c r="D1237" s="7" t="s">
        <v>1901</v>
      </c>
      <c r="E1237" s="13" t="s">
        <v>1657</v>
      </c>
      <c r="F1237" t="str">
        <f t="shared" si="95"/>
        <v>Crescent</v>
      </c>
      <c r="G1237" t="str">
        <f t="shared" si="96"/>
        <v>Crescent11000Houston</v>
      </c>
      <c r="H1237" t="s">
        <v>32095</v>
      </c>
      <c r="I1237" t="s">
        <v>23524</v>
      </c>
      <c r="J1237" t="str">
        <f t="shared" si="97"/>
        <v>E:\PropInv\MF</v>
      </c>
      <c r="K1237" s="103" t="str">
        <f>HYPERLINK("E:\PropInv\MF\Houston\Crescent Moon_11000_Chelsea Park_Houston_01411","Crescent Moon_11000_Chelsea Park_Houston_01411" )</f>
        <v>Crescent Moon_11000_Chelsea Park_Houston_01411</v>
      </c>
      <c r="L1237" s="104" t="s">
        <v>22253</v>
      </c>
      <c r="M1237" s="103" t="str">
        <f t="shared" si="98"/>
        <v>http://oconnordata.com/mlink/modules/profile/index.cfm?action=profile&amp;prop_id=1411</v>
      </c>
      <c r="N1237" s="1" t="str">
        <f t="shared" si="99"/>
        <v>01411</v>
      </c>
    </row>
    <row r="1238" spans="1:14" x14ac:dyDescent="0.3">
      <c r="A1238" s="1">
        <v>1412</v>
      </c>
      <c r="B1238" s="7" t="s">
        <v>1902</v>
      </c>
      <c r="C1238" s="12">
        <v>10801</v>
      </c>
      <c r="D1238" s="7" t="s">
        <v>1903</v>
      </c>
      <c r="E1238" s="13" t="s">
        <v>1657</v>
      </c>
      <c r="F1238" t="str">
        <f t="shared" si="95"/>
        <v>Legacy</v>
      </c>
      <c r="G1238" t="str">
        <f t="shared" si="96"/>
        <v>Legacy10801Houston</v>
      </c>
      <c r="H1238" t="s">
        <v>32096</v>
      </c>
      <c r="I1238" t="s">
        <v>23525</v>
      </c>
      <c r="J1238" t="str">
        <f t="shared" si="97"/>
        <v>E:\PropInv\MF</v>
      </c>
      <c r="K1238" s="103" t="str">
        <f>HYPERLINK("E:\PropInv\MF\Houston\Legacy Park Dr_10801_Legacy Park_Houston_01412","Legacy Park Dr_10801_Legacy Park_Houston_01412" )</f>
        <v>Legacy Park Dr_10801_Legacy Park_Houston_01412</v>
      </c>
      <c r="L1238" s="104" t="s">
        <v>22253</v>
      </c>
      <c r="M1238" s="103" t="str">
        <f t="shared" si="98"/>
        <v>http://oconnordata.com/mlink/modules/profile/index.cfm?action=profile&amp;prop_id=1412</v>
      </c>
      <c r="N1238" s="1" t="str">
        <f t="shared" si="99"/>
        <v>01412</v>
      </c>
    </row>
    <row r="1239" spans="1:14" x14ac:dyDescent="0.3">
      <c r="A1239" s="1">
        <v>1414</v>
      </c>
      <c r="B1239" s="7" t="s">
        <v>1904</v>
      </c>
      <c r="C1239" s="12">
        <v>14335</v>
      </c>
      <c r="D1239" s="7" t="s">
        <v>1905</v>
      </c>
      <c r="E1239" s="13" t="s">
        <v>1657</v>
      </c>
      <c r="F1239" t="str">
        <f t="shared" si="95"/>
        <v>Ella</v>
      </c>
      <c r="G1239" t="str">
        <f t="shared" si="96"/>
        <v>Ella14335Houston</v>
      </c>
      <c r="H1239" t="s">
        <v>32097</v>
      </c>
      <c r="I1239" t="s">
        <v>23526</v>
      </c>
      <c r="J1239" t="str">
        <f t="shared" si="97"/>
        <v>E:\PropInv\MF</v>
      </c>
      <c r="K1239" s="103" t="str">
        <f>HYPERLINK("E:\PropInv\MF\Houston\Ella_14335_Cranbrook Downs_Houston_01414","Ella_14335_Cranbrook Downs_Houston_01414" )</f>
        <v>Ella_14335_Cranbrook Downs_Houston_01414</v>
      </c>
      <c r="L1239" s="104" t="s">
        <v>22253</v>
      </c>
      <c r="M1239" s="103" t="str">
        <f t="shared" si="98"/>
        <v>http://oconnordata.com/mlink/modules/profile/index.cfm?action=profile&amp;prop_id=1414</v>
      </c>
      <c r="N1239" s="1" t="str">
        <f t="shared" si="99"/>
        <v>01414</v>
      </c>
    </row>
    <row r="1240" spans="1:14" x14ac:dyDescent="0.3">
      <c r="A1240" s="1">
        <v>1415</v>
      </c>
      <c r="B1240" s="7" t="s">
        <v>1906</v>
      </c>
      <c r="C1240" s="12">
        <v>13222</v>
      </c>
      <c r="D1240" s="7" t="s">
        <v>1907</v>
      </c>
      <c r="E1240" s="13" t="s">
        <v>1657</v>
      </c>
      <c r="F1240" t="str">
        <f t="shared" si="95"/>
        <v>Champions</v>
      </c>
      <c r="G1240" t="str">
        <f t="shared" si="96"/>
        <v>Champions13222Houston</v>
      </c>
      <c r="H1240" t="s">
        <v>32098</v>
      </c>
      <c r="I1240" t="s">
        <v>23527</v>
      </c>
      <c r="J1240" t="str">
        <f t="shared" si="97"/>
        <v>E:\PropInv\MF</v>
      </c>
      <c r="K1240" s="103" t="str">
        <f>HYPERLINK("E:\PropInv\MF\Houston\Champions Centre Dr_13222_Champions Centre_Houston_01415","Champions Centre Dr_13222_Champions Centre_Houston_01415" )</f>
        <v>Champions Centre Dr_13222_Champions Centre_Houston_01415</v>
      </c>
      <c r="L1240" s="104" t="s">
        <v>22253</v>
      </c>
      <c r="M1240" s="103" t="str">
        <f t="shared" si="98"/>
        <v>http://oconnordata.com/mlink/modules/profile/index.cfm?action=profile&amp;prop_id=1415</v>
      </c>
      <c r="N1240" s="1" t="str">
        <f t="shared" si="99"/>
        <v>01415</v>
      </c>
    </row>
    <row r="1241" spans="1:14" x14ac:dyDescent="0.3">
      <c r="A1241" s="1">
        <v>1417</v>
      </c>
      <c r="B1241" s="7" t="s">
        <v>1908</v>
      </c>
      <c r="C1241" s="12">
        <v>12801</v>
      </c>
      <c r="D1241" s="7" t="s">
        <v>1909</v>
      </c>
      <c r="E1241" s="13" t="s">
        <v>1657</v>
      </c>
      <c r="F1241" t="str">
        <f t="shared" si="95"/>
        <v>Champion</v>
      </c>
      <c r="G1241" t="str">
        <f t="shared" si="96"/>
        <v>Champion12801Houston</v>
      </c>
      <c r="H1241" t="s">
        <v>32099</v>
      </c>
      <c r="I1241" t="s">
        <v>23528</v>
      </c>
      <c r="J1241" t="str">
        <f t="shared" si="97"/>
        <v>E:\PropInv\MF</v>
      </c>
      <c r="K1241" s="103" t="str">
        <f>HYPERLINK("E:\PropInv\MF\Houston\Champion Forest Dr_12801_Champions Forest_Houston_01417","Champion Forest Dr_12801_Champions Forest_Houston_01417" )</f>
        <v>Champion Forest Dr_12801_Champions Forest_Houston_01417</v>
      </c>
      <c r="L1241" s="104" t="s">
        <v>22253</v>
      </c>
      <c r="M1241" s="103" t="str">
        <f t="shared" si="98"/>
        <v>http://oconnordata.com/mlink/modules/profile/index.cfm?action=profile&amp;prop_id=1417</v>
      </c>
      <c r="N1241" s="1" t="str">
        <f t="shared" si="99"/>
        <v>01417</v>
      </c>
    </row>
    <row r="1242" spans="1:14" x14ac:dyDescent="0.3">
      <c r="A1242" s="1">
        <v>1418</v>
      </c>
      <c r="B1242" s="7" t="s">
        <v>1898</v>
      </c>
      <c r="C1242" s="12">
        <v>7575</v>
      </c>
      <c r="D1242" s="7" t="s">
        <v>1910</v>
      </c>
      <c r="E1242" s="13" t="s">
        <v>1657</v>
      </c>
      <c r="F1242" t="str">
        <f t="shared" si="95"/>
        <v>Willowchase</v>
      </c>
      <c r="G1242" t="str">
        <f t="shared" si="96"/>
        <v>Willowchase7575Houston</v>
      </c>
      <c r="H1242" t="s">
        <v>32100</v>
      </c>
      <c r="I1242" t="s">
        <v>23529</v>
      </c>
      <c r="J1242" t="str">
        <f t="shared" si="97"/>
        <v>E:\PropInv\MF</v>
      </c>
      <c r="K1242" s="103" t="str">
        <f>HYPERLINK("E:\PropInv\MF\Houston\Willowchase Blvd_7575_The Terrace at Willowbrook_Houston_01418","Willowchase Blvd_7575_The Terrace at Willowbrook_Houston_01418" )</f>
        <v>Willowchase Blvd_7575_The Terrace at Willowbrook_Houston_01418</v>
      </c>
      <c r="L1242" s="104" t="s">
        <v>22253</v>
      </c>
      <c r="M1242" s="103" t="str">
        <f t="shared" si="98"/>
        <v>http://oconnordata.com/mlink/modules/profile/index.cfm?action=profile&amp;prop_id=1418</v>
      </c>
      <c r="N1242" s="1" t="str">
        <f t="shared" si="99"/>
        <v>01418</v>
      </c>
    </row>
    <row r="1243" spans="1:14" x14ac:dyDescent="0.3">
      <c r="A1243" s="1">
        <v>1419</v>
      </c>
      <c r="B1243" s="7" t="s">
        <v>1772</v>
      </c>
      <c r="C1243" s="12">
        <v>13800</v>
      </c>
      <c r="D1243" s="7" t="s">
        <v>1911</v>
      </c>
      <c r="E1243" s="13" t="s">
        <v>1657</v>
      </c>
      <c r="F1243" t="str">
        <f t="shared" si="95"/>
        <v>Ella</v>
      </c>
      <c r="G1243" t="str">
        <f t="shared" si="96"/>
        <v>Ella13800Houston</v>
      </c>
      <c r="H1243" t="s">
        <v>32101</v>
      </c>
      <c r="I1243" t="s">
        <v>23530</v>
      </c>
      <c r="J1243" t="str">
        <f t="shared" si="97"/>
        <v>E:\PropInv\MF</v>
      </c>
      <c r="K1243" s="103" t="str">
        <f>HYPERLINK("E:\PropInv\MF\Houston\Ella Blvd_13800_Bayou Oaks_Houston_01419","Ella Blvd_13800_Bayou Oaks_Houston_01419" )</f>
        <v>Ella Blvd_13800_Bayou Oaks_Houston_01419</v>
      </c>
      <c r="L1243" s="104" t="s">
        <v>22253</v>
      </c>
      <c r="M1243" s="103" t="str">
        <f t="shared" si="98"/>
        <v>http://oconnordata.com/mlink/modules/profile/index.cfm?action=profile&amp;prop_id=1419</v>
      </c>
      <c r="N1243" s="1" t="str">
        <f t="shared" si="99"/>
        <v>01419</v>
      </c>
    </row>
    <row r="1244" spans="1:14" x14ac:dyDescent="0.3">
      <c r="A1244" s="1">
        <v>1420</v>
      </c>
      <c r="B1244" s="7" t="s">
        <v>1904</v>
      </c>
      <c r="C1244" s="12">
        <v>13875</v>
      </c>
      <c r="D1244" s="7" t="s">
        <v>1912</v>
      </c>
      <c r="E1244" s="13" t="s">
        <v>1657</v>
      </c>
      <c r="F1244" t="str">
        <f t="shared" si="95"/>
        <v>Ella</v>
      </c>
      <c r="G1244" t="str">
        <f t="shared" si="96"/>
        <v>Ella13875Houston</v>
      </c>
      <c r="H1244" t="s">
        <v>32102</v>
      </c>
      <c r="I1244" t="s">
        <v>23531</v>
      </c>
      <c r="J1244" t="str">
        <f t="shared" si="97"/>
        <v>E:\PropInv\MF</v>
      </c>
      <c r="K1244" s="103" t="str">
        <f>HYPERLINK("E:\PropInv\MF\Houston\Ella_13875_Cranbrook Forest_Houston_01420","Ella_13875_Cranbrook Forest_Houston_01420" )</f>
        <v>Ella_13875_Cranbrook Forest_Houston_01420</v>
      </c>
      <c r="L1244" s="104" t="s">
        <v>22253</v>
      </c>
      <c r="M1244" s="103" t="str">
        <f t="shared" si="98"/>
        <v>http://oconnordata.com/mlink/modules/profile/index.cfm?action=profile&amp;prop_id=1420</v>
      </c>
      <c r="N1244" s="1" t="str">
        <f t="shared" si="99"/>
        <v>01420</v>
      </c>
    </row>
    <row r="1245" spans="1:14" x14ac:dyDescent="0.3">
      <c r="A1245" s="1">
        <v>1421</v>
      </c>
      <c r="B1245" s="7" t="s">
        <v>1772</v>
      </c>
      <c r="C1245" s="12">
        <v>13913</v>
      </c>
      <c r="D1245" s="7" t="s">
        <v>1913</v>
      </c>
      <c r="E1245" s="13" t="s">
        <v>1657</v>
      </c>
      <c r="F1245" t="str">
        <f t="shared" si="95"/>
        <v>Ella</v>
      </c>
      <c r="G1245" t="str">
        <f t="shared" si="96"/>
        <v>Ella13913Houston</v>
      </c>
      <c r="H1245" t="s">
        <v>32103</v>
      </c>
      <c r="I1245" t="s">
        <v>23532</v>
      </c>
      <c r="J1245" t="str">
        <f t="shared" si="97"/>
        <v>E:\PropInv\MF</v>
      </c>
      <c r="K1245" s="103" t="str">
        <f>HYPERLINK("E:\PropInv\MF\Houston\Ella Blvd_13913_Monticello on Cranbrook_Houston_01421","Ella Blvd_13913_Monticello on Cranbrook_Houston_01421" )</f>
        <v>Ella Blvd_13913_Monticello on Cranbrook_Houston_01421</v>
      </c>
      <c r="L1245" s="104" t="s">
        <v>22253</v>
      </c>
      <c r="M1245" s="103" t="str">
        <f t="shared" si="98"/>
        <v>http://oconnordata.com/mlink/modules/profile/index.cfm?action=profile&amp;prop_id=1421</v>
      </c>
      <c r="N1245" s="1" t="str">
        <f t="shared" si="99"/>
        <v>01421</v>
      </c>
    </row>
    <row r="1246" spans="1:14" x14ac:dyDescent="0.3">
      <c r="A1246" s="1">
        <v>1422</v>
      </c>
      <c r="B1246" s="7" t="s">
        <v>1772</v>
      </c>
      <c r="C1246" s="12">
        <v>14531</v>
      </c>
      <c r="D1246" s="7" t="s">
        <v>1914</v>
      </c>
      <c r="E1246" s="13" t="s">
        <v>1657</v>
      </c>
      <c r="F1246" t="str">
        <f t="shared" si="95"/>
        <v>Ella</v>
      </c>
      <c r="G1246" t="str">
        <f t="shared" si="96"/>
        <v>Ella14531Houston</v>
      </c>
      <c r="H1246" t="s">
        <v>32104</v>
      </c>
      <c r="I1246" t="s">
        <v>23533</v>
      </c>
      <c r="J1246" t="str">
        <f t="shared" si="97"/>
        <v>E:\PropInv\MF</v>
      </c>
      <c r="K1246" s="103" t="str">
        <f>HYPERLINK("E:\PropInv\MF\Houston\Ella Blvd_14531_Polo Club on Cranbrook_Houston_01422","Ella Blvd_14531_Polo Club on Cranbrook_Houston_01422" )</f>
        <v>Ella Blvd_14531_Polo Club on Cranbrook_Houston_01422</v>
      </c>
      <c r="L1246" s="104" t="s">
        <v>22253</v>
      </c>
      <c r="M1246" s="103" t="str">
        <f t="shared" si="98"/>
        <v>http://oconnordata.com/mlink/modules/profile/index.cfm?action=profile&amp;prop_id=1422</v>
      </c>
      <c r="N1246" s="1" t="str">
        <f t="shared" si="99"/>
        <v>01422</v>
      </c>
    </row>
    <row r="1247" spans="1:14" x14ac:dyDescent="0.3">
      <c r="A1247" s="1">
        <v>1423</v>
      </c>
      <c r="B1247" s="7" t="s">
        <v>1915</v>
      </c>
      <c r="C1247" s="12">
        <v>13100</v>
      </c>
      <c r="D1247" s="7" t="s">
        <v>1916</v>
      </c>
      <c r="E1247" s="13" t="s">
        <v>1657</v>
      </c>
      <c r="F1247" t="str">
        <f t="shared" si="95"/>
        <v>Stonefield</v>
      </c>
      <c r="G1247" t="str">
        <f t="shared" si="96"/>
        <v>Stonefield13100Houston</v>
      </c>
      <c r="H1247" t="s">
        <v>32105</v>
      </c>
      <c r="I1247" t="s">
        <v>23534</v>
      </c>
      <c r="J1247" t="str">
        <f t="shared" si="97"/>
        <v>E:\PropInv\MF</v>
      </c>
      <c r="K1247" s="103" t="str">
        <f>HYPERLINK("E:\PropInv\MF\Houston\Stonefield_13100_Huntington at Stonefield_Houston_01423","Stonefield_13100_Huntington at Stonefield_Houston_01423" )</f>
        <v>Stonefield_13100_Huntington at Stonefield_Houston_01423</v>
      </c>
      <c r="L1247" s="104" t="s">
        <v>22253</v>
      </c>
      <c r="M1247" s="103" t="str">
        <f t="shared" si="98"/>
        <v>http://oconnordata.com/mlink/modules/profile/index.cfm?action=profile&amp;prop_id=1423</v>
      </c>
      <c r="N1247" s="1" t="str">
        <f t="shared" si="99"/>
        <v>01423</v>
      </c>
    </row>
    <row r="1248" spans="1:14" x14ac:dyDescent="0.3">
      <c r="A1248" s="1">
        <v>1424</v>
      </c>
      <c r="B1248" s="7" t="s">
        <v>1917</v>
      </c>
      <c r="C1248" s="12">
        <v>13050</v>
      </c>
      <c r="D1248" s="7" t="s">
        <v>1917</v>
      </c>
      <c r="E1248" s="13" t="s">
        <v>1657</v>
      </c>
      <c r="F1248" t="str">
        <f t="shared" si="95"/>
        <v>Champions</v>
      </c>
      <c r="G1248" t="str">
        <f t="shared" si="96"/>
        <v>Champions13050Houston</v>
      </c>
      <c r="H1248" t="s">
        <v>32106</v>
      </c>
      <c r="I1248" t="s">
        <v>23535</v>
      </c>
      <c r="J1248" t="str">
        <f t="shared" si="97"/>
        <v>E:\PropInv\MF</v>
      </c>
      <c r="K1248" s="103" t="str">
        <f>HYPERLINK("E:\PropInv\MF\Houston\Champions Park_13050_Champions Park_Houston_01424","Champions Park_13050_Champions Park_Houston_01424" )</f>
        <v>Champions Park_13050_Champions Park_Houston_01424</v>
      </c>
      <c r="L1248" s="104" t="s">
        <v>22253</v>
      </c>
      <c r="M1248" s="103" t="str">
        <f t="shared" si="98"/>
        <v>http://oconnordata.com/mlink/modules/profile/index.cfm?action=profile&amp;prop_id=1424</v>
      </c>
      <c r="N1248" s="1" t="str">
        <f t="shared" si="99"/>
        <v>01424</v>
      </c>
    </row>
    <row r="1249" spans="1:14" x14ac:dyDescent="0.3">
      <c r="A1249" s="1">
        <v>1425</v>
      </c>
      <c r="B1249" s="7" t="s">
        <v>1918</v>
      </c>
      <c r="C1249" s="12">
        <v>6830</v>
      </c>
      <c r="D1249" s="7" t="s">
        <v>1919</v>
      </c>
      <c r="E1249" s="13" t="s">
        <v>1657</v>
      </c>
      <c r="F1249" t="str">
        <f t="shared" si="95"/>
        <v>Champions</v>
      </c>
      <c r="G1249" t="str">
        <f t="shared" si="96"/>
        <v>Champions6830Houston</v>
      </c>
      <c r="H1249" t="s">
        <v>32107</v>
      </c>
      <c r="I1249" t="s">
        <v>23536</v>
      </c>
      <c r="J1249" t="str">
        <f t="shared" si="97"/>
        <v>E:\PropInv\MF</v>
      </c>
      <c r="K1249" s="103" t="str">
        <f>HYPERLINK("E:\PropInv\MF\Houston\Champions Plaza_6830_Champions Woods_Houston_01425","Champions Plaza_6830_Champions Woods_Houston_01425" )</f>
        <v>Champions Plaza_6830_Champions Woods_Houston_01425</v>
      </c>
      <c r="L1249" s="104" t="s">
        <v>22253</v>
      </c>
      <c r="M1249" s="103" t="str">
        <f t="shared" si="98"/>
        <v>http://oconnordata.com/mlink/modules/profile/index.cfm?action=profile&amp;prop_id=1425</v>
      </c>
      <c r="N1249" s="1" t="str">
        <f t="shared" si="99"/>
        <v>01425</v>
      </c>
    </row>
    <row r="1250" spans="1:14" x14ac:dyDescent="0.3">
      <c r="A1250" s="1">
        <v>1426</v>
      </c>
      <c r="B1250" s="7" t="s">
        <v>1920</v>
      </c>
      <c r="C1250" s="12">
        <v>7703</v>
      </c>
      <c r="D1250" s="7" t="s">
        <v>1921</v>
      </c>
      <c r="E1250" s="13" t="s">
        <v>1657</v>
      </c>
      <c r="F1250" t="str">
        <f t="shared" si="95"/>
        <v>Seton</v>
      </c>
      <c r="G1250" t="str">
        <f t="shared" si="96"/>
        <v>Seton7703Houston</v>
      </c>
      <c r="H1250" t="s">
        <v>32108</v>
      </c>
      <c r="I1250" t="s">
        <v>23537</v>
      </c>
      <c r="J1250" t="str">
        <f t="shared" si="97"/>
        <v>E:\PropInv\MF</v>
      </c>
      <c r="K1250" s="103" t="str">
        <f>HYPERLINK("E:\PropInv\MF\Houston\Seton Lake Dr_7703_Seton Chase_Houston_01426","Seton Lake Dr_7703_Seton Chase_Houston_01426" )</f>
        <v>Seton Lake Dr_7703_Seton Chase_Houston_01426</v>
      </c>
      <c r="L1250" s="104" t="s">
        <v>22253</v>
      </c>
      <c r="M1250" s="103" t="str">
        <f t="shared" si="98"/>
        <v>http://oconnordata.com/mlink/modules/profile/index.cfm?action=profile&amp;prop_id=1426</v>
      </c>
      <c r="N1250" s="1" t="str">
        <f t="shared" si="99"/>
        <v>01426</v>
      </c>
    </row>
    <row r="1251" spans="1:14" x14ac:dyDescent="0.3">
      <c r="A1251" s="1">
        <v>1427</v>
      </c>
      <c r="B1251" s="7" t="s">
        <v>1722</v>
      </c>
      <c r="C1251" s="12">
        <v>13949</v>
      </c>
      <c r="D1251" s="7" t="s">
        <v>1922</v>
      </c>
      <c r="E1251" s="13" t="s">
        <v>1657</v>
      </c>
      <c r="F1251" t="str">
        <f t="shared" si="95"/>
        <v>Bammel</v>
      </c>
      <c r="G1251" t="str">
        <f t="shared" si="96"/>
        <v>Bammel13949Houston</v>
      </c>
      <c r="H1251" t="s">
        <v>32109</v>
      </c>
      <c r="I1251" t="s">
        <v>23538</v>
      </c>
      <c r="J1251" t="str">
        <f t="shared" si="97"/>
        <v>E:\PropInv\MF</v>
      </c>
      <c r="K1251" s="103" t="str">
        <f>HYPERLINK("E:\PropInv\MF\Houston\Bammel Houston N_13949_Willow Bend_Houston_01427","Bammel Houston N_13949_Willow Bend_Houston_01427" )</f>
        <v>Bammel Houston N_13949_Willow Bend_Houston_01427</v>
      </c>
      <c r="L1251" s="104" t="s">
        <v>22253</v>
      </c>
      <c r="M1251" s="103" t="str">
        <f t="shared" si="98"/>
        <v>http://oconnordata.com/mlink/modules/profile/index.cfm?action=profile&amp;prop_id=1427</v>
      </c>
      <c r="N1251" s="1" t="str">
        <f t="shared" si="99"/>
        <v>01427</v>
      </c>
    </row>
    <row r="1252" spans="1:14" x14ac:dyDescent="0.3">
      <c r="A1252" s="1">
        <v>1428</v>
      </c>
      <c r="B1252" s="7" t="s">
        <v>1923</v>
      </c>
      <c r="C1252" s="12">
        <v>7250</v>
      </c>
      <c r="D1252" s="7" t="s">
        <v>1924</v>
      </c>
      <c r="E1252" s="13" t="s">
        <v>1657</v>
      </c>
      <c r="F1252" t="str">
        <f t="shared" si="95"/>
        <v>Greens</v>
      </c>
      <c r="G1252" t="str">
        <f t="shared" si="96"/>
        <v>Greens7250Houston</v>
      </c>
      <c r="H1252" t="s">
        <v>32110</v>
      </c>
      <c r="I1252" t="s">
        <v>23539</v>
      </c>
      <c r="J1252" t="str">
        <f t="shared" si="97"/>
        <v>E:\PropInv\MF</v>
      </c>
      <c r="K1252" s="103" t="str">
        <f>HYPERLINK("E:\PropInv\MF\Houston\Greens Rd W_7250_The Enclave at Willowbrook_Houston_01428","Greens Rd W_7250_The Enclave at Willowbrook_Houston_01428" )</f>
        <v>Greens Rd W_7250_The Enclave at Willowbrook_Houston_01428</v>
      </c>
      <c r="L1252" s="104" t="s">
        <v>22253</v>
      </c>
      <c r="M1252" s="103" t="str">
        <f t="shared" si="98"/>
        <v>http://oconnordata.com/mlink/modules/profile/index.cfm?action=profile&amp;prop_id=1428</v>
      </c>
      <c r="N1252" s="1" t="str">
        <f t="shared" si="99"/>
        <v>01428</v>
      </c>
    </row>
    <row r="1253" spans="1:14" x14ac:dyDescent="0.3">
      <c r="A1253" s="1">
        <v>1429</v>
      </c>
      <c r="B1253" s="19" t="s">
        <v>1925</v>
      </c>
      <c r="C1253" s="18">
        <v>7610</v>
      </c>
      <c r="D1253" s="19" t="s">
        <v>1926</v>
      </c>
      <c r="E1253" s="20" t="s">
        <v>1657</v>
      </c>
      <c r="F1253" t="str">
        <f t="shared" si="95"/>
        <v>Fallbrook</v>
      </c>
      <c r="G1253" t="str">
        <f t="shared" si="96"/>
        <v>Fallbrook7610Houston</v>
      </c>
      <c r="H1253" t="s">
        <v>32111</v>
      </c>
      <c r="I1253" t="s">
        <v>23540</v>
      </c>
      <c r="J1253" t="str">
        <f t="shared" si="97"/>
        <v>E:\PropInv\MF</v>
      </c>
      <c r="K1253" s="103" t="str">
        <f>HYPERLINK("E:\PropInv\MF\Houston\Fallbrook Dr_7610_Cedar Pointe_Houston_01429","Fallbrook Dr_7610_Cedar Pointe_Houston_01429" )</f>
        <v>Fallbrook Dr_7610_Cedar Pointe_Houston_01429</v>
      </c>
      <c r="L1253" s="104" t="s">
        <v>22253</v>
      </c>
      <c r="M1253" s="103" t="str">
        <f t="shared" si="98"/>
        <v>http://oconnordata.com/mlink/modules/profile/index.cfm?action=profile&amp;prop_id=1429</v>
      </c>
      <c r="N1253" s="1" t="str">
        <f t="shared" si="99"/>
        <v>01429</v>
      </c>
    </row>
    <row r="1254" spans="1:14" x14ac:dyDescent="0.3">
      <c r="A1254" s="1">
        <v>1430</v>
      </c>
      <c r="B1254" s="7" t="s">
        <v>1772</v>
      </c>
      <c r="C1254" s="12">
        <v>14000</v>
      </c>
      <c r="D1254" s="7" t="s">
        <v>1927</v>
      </c>
      <c r="E1254" s="13" t="s">
        <v>1657</v>
      </c>
      <c r="F1254" t="str">
        <f t="shared" si="95"/>
        <v>Ella</v>
      </c>
      <c r="G1254" t="str">
        <f t="shared" si="96"/>
        <v>Ella14000Houston</v>
      </c>
      <c r="H1254" t="s">
        <v>32112</v>
      </c>
      <c r="I1254" t="s">
        <v>23541</v>
      </c>
      <c r="J1254" t="str">
        <f t="shared" si="97"/>
        <v>E:\PropInv\MF</v>
      </c>
      <c r="K1254" s="103" t="str">
        <f>HYPERLINK("E:\PropInv\MF\Houston\Ella Blvd_14000_Timbers of Cranbrook_Houston_01430","Ella Blvd_14000_Timbers of Cranbrook_Houston_01430" )</f>
        <v>Ella Blvd_14000_Timbers of Cranbrook_Houston_01430</v>
      </c>
      <c r="L1254" s="104" t="s">
        <v>22253</v>
      </c>
      <c r="M1254" s="103" t="str">
        <f t="shared" si="98"/>
        <v>http://oconnordata.com/mlink/modules/profile/index.cfm?action=profile&amp;prop_id=1430</v>
      </c>
      <c r="N1254" s="1" t="str">
        <f t="shared" si="99"/>
        <v>01430</v>
      </c>
    </row>
    <row r="1255" spans="1:14" x14ac:dyDescent="0.3">
      <c r="A1255" s="1">
        <v>1431</v>
      </c>
      <c r="B1255" s="7" t="s">
        <v>1904</v>
      </c>
      <c r="C1255" s="12">
        <v>14400</v>
      </c>
      <c r="D1255" s="7" t="s">
        <v>1928</v>
      </c>
      <c r="E1255" s="13" t="s">
        <v>1657</v>
      </c>
      <c r="F1255" t="str">
        <f t="shared" si="95"/>
        <v>Ella</v>
      </c>
      <c r="G1255" t="str">
        <f t="shared" si="96"/>
        <v>Ella14400Houston</v>
      </c>
      <c r="H1255" t="s">
        <v>32113</v>
      </c>
      <c r="I1255" t="s">
        <v>23542</v>
      </c>
      <c r="J1255" t="str">
        <f t="shared" si="97"/>
        <v>E:\PropInv\MF</v>
      </c>
      <c r="K1255" s="103" t="str">
        <f>HYPERLINK("E:\PropInv\MF\Houston\Ella_14400_Excelsior on the Park_Houston_01431","Ella_14400_Excelsior on the Park_Houston_01431" )</f>
        <v>Ella_14400_Excelsior on the Park_Houston_01431</v>
      </c>
      <c r="L1255" s="104" t="s">
        <v>22253</v>
      </c>
      <c r="M1255" s="103" t="str">
        <f t="shared" si="98"/>
        <v>http://oconnordata.com/mlink/modules/profile/index.cfm?action=profile&amp;prop_id=1431</v>
      </c>
      <c r="N1255" s="1" t="str">
        <f t="shared" si="99"/>
        <v>01431</v>
      </c>
    </row>
    <row r="1256" spans="1:14" x14ac:dyDescent="0.3">
      <c r="A1256" s="1">
        <v>1432</v>
      </c>
      <c r="B1256" s="7" t="s">
        <v>1929</v>
      </c>
      <c r="C1256" s="12">
        <v>10401</v>
      </c>
      <c r="D1256" s="7" t="s">
        <v>1930</v>
      </c>
      <c r="E1256" s="13" t="s">
        <v>1657</v>
      </c>
      <c r="F1256" t="str">
        <f t="shared" si="95"/>
        <v>Old</v>
      </c>
      <c r="G1256" t="str">
        <f t="shared" si="96"/>
        <v>Old10401Houston</v>
      </c>
      <c r="H1256" t="s">
        <v>32114</v>
      </c>
      <c r="I1256" t="s">
        <v>23543</v>
      </c>
      <c r="J1256" t="str">
        <f t="shared" si="97"/>
        <v>E:\PropInv\MF</v>
      </c>
      <c r="K1256" s="103" t="str">
        <f>HYPERLINK("E:\PropInv\MF\Houston\Old Bammel Houston N_10401_Briar Park_Houston_01432","Old Bammel Houston N_10401_Briar Park_Houston_01432" )</f>
        <v>Old Bammel Houston N_10401_Briar Park_Houston_01432</v>
      </c>
      <c r="L1256" s="104" t="s">
        <v>22253</v>
      </c>
      <c r="M1256" s="103" t="str">
        <f t="shared" si="98"/>
        <v>http://oconnordata.com/mlink/modules/profile/index.cfm?action=profile&amp;prop_id=1432</v>
      </c>
      <c r="N1256" s="1" t="str">
        <f t="shared" si="99"/>
        <v>01432</v>
      </c>
    </row>
    <row r="1257" spans="1:14" x14ac:dyDescent="0.3">
      <c r="A1257" s="1">
        <v>1433</v>
      </c>
      <c r="B1257" s="7" t="s">
        <v>1931</v>
      </c>
      <c r="C1257" s="12">
        <v>14150</v>
      </c>
      <c r="D1257" s="7" t="s">
        <v>1932</v>
      </c>
      <c r="E1257" s="13" t="s">
        <v>1657</v>
      </c>
      <c r="F1257" t="str">
        <f t="shared" si="95"/>
        <v>Tomball</v>
      </c>
      <c r="G1257" t="str">
        <f t="shared" si="96"/>
        <v>Tomball14150Houston</v>
      </c>
      <c r="H1257" t="s">
        <v>32115</v>
      </c>
      <c r="I1257" t="s">
        <v>23544</v>
      </c>
      <c r="J1257" t="str">
        <f t="shared" si="97"/>
        <v>E:\PropInv\MF</v>
      </c>
      <c r="K1257" s="103" t="str">
        <f>HYPERLINK("E:\PropInv\MF\Houston\Tomball Prkwy_14150_Willowbrook Point_Houston_01433","Tomball Prkwy_14150_Willowbrook Point_Houston_01433" )</f>
        <v>Tomball Prkwy_14150_Willowbrook Point_Houston_01433</v>
      </c>
      <c r="L1257" s="104" t="s">
        <v>22253</v>
      </c>
      <c r="M1257" s="103" t="str">
        <f t="shared" si="98"/>
        <v>http://oconnordata.com/mlink/modules/profile/index.cfm?action=profile&amp;prop_id=1433</v>
      </c>
      <c r="N1257" s="1" t="str">
        <f t="shared" si="99"/>
        <v>01433</v>
      </c>
    </row>
    <row r="1258" spans="1:14" x14ac:dyDescent="0.3">
      <c r="A1258" s="1">
        <v>1434</v>
      </c>
      <c r="B1258" s="7" t="s">
        <v>1933</v>
      </c>
      <c r="C1258" s="12">
        <v>1325</v>
      </c>
      <c r="D1258" s="7" t="s">
        <v>1934</v>
      </c>
      <c r="E1258" s="13" t="s">
        <v>1657</v>
      </c>
      <c r="F1258" t="str">
        <f t="shared" si="95"/>
        <v>Greens</v>
      </c>
      <c r="G1258" t="str">
        <f t="shared" si="96"/>
        <v>Greens1325Houston</v>
      </c>
      <c r="H1258" t="s">
        <v>32116</v>
      </c>
      <c r="I1258" t="s">
        <v>23545</v>
      </c>
      <c r="J1258" t="str">
        <f t="shared" si="97"/>
        <v>E:\PropInv\MF</v>
      </c>
      <c r="K1258" s="103" t="str">
        <f>HYPERLINK("E:\PropInv\MF\Houston\Greens Pkwy_1325_Pine Lake Village_Houston_01434","Greens Pkwy_1325_Pine Lake Village_Houston_01434" )</f>
        <v>Greens Pkwy_1325_Pine Lake Village_Houston_01434</v>
      </c>
      <c r="L1258" s="104" t="s">
        <v>22253</v>
      </c>
      <c r="M1258" s="103" t="str">
        <f t="shared" si="98"/>
        <v>http://oconnordata.com/mlink/modules/profile/index.cfm?action=profile&amp;prop_id=1434</v>
      </c>
      <c r="N1258" s="1" t="str">
        <f t="shared" si="99"/>
        <v>01434</v>
      </c>
    </row>
    <row r="1259" spans="1:14" x14ac:dyDescent="0.3">
      <c r="A1259" s="1">
        <v>1435</v>
      </c>
      <c r="B1259" s="7" t="s">
        <v>1933</v>
      </c>
      <c r="C1259" s="12">
        <v>1415</v>
      </c>
      <c r="D1259" s="7" t="s">
        <v>1935</v>
      </c>
      <c r="E1259" s="13" t="s">
        <v>1657</v>
      </c>
      <c r="F1259" t="str">
        <f t="shared" si="95"/>
        <v>Greens</v>
      </c>
      <c r="G1259" t="str">
        <f t="shared" si="96"/>
        <v>Greens1415Houston</v>
      </c>
      <c r="H1259" t="s">
        <v>32117</v>
      </c>
      <c r="I1259" t="s">
        <v>23546</v>
      </c>
      <c r="J1259" t="str">
        <f t="shared" si="97"/>
        <v>E:\PropInv\MF</v>
      </c>
      <c r="K1259" s="103" t="str">
        <f>HYPERLINK("E:\PropInv\MF\Houston\Greens Pkwy_1415_Fall Lake_Houston_01435","Greens Pkwy_1415_Fall Lake_Houston_01435" )</f>
        <v>Greens Pkwy_1415_Fall Lake_Houston_01435</v>
      </c>
      <c r="L1259" s="104" t="s">
        <v>22253</v>
      </c>
      <c r="M1259" s="103" t="str">
        <f t="shared" si="98"/>
        <v>http://oconnordata.com/mlink/modules/profile/index.cfm?action=profile&amp;prop_id=1435</v>
      </c>
      <c r="N1259" s="1" t="str">
        <f t="shared" si="99"/>
        <v>01435</v>
      </c>
    </row>
    <row r="1260" spans="1:14" x14ac:dyDescent="0.3">
      <c r="A1260" s="1">
        <v>1436</v>
      </c>
      <c r="B1260" s="7" t="s">
        <v>1933</v>
      </c>
      <c r="C1260" s="12">
        <v>1351</v>
      </c>
      <c r="D1260" s="7" t="s">
        <v>1936</v>
      </c>
      <c r="E1260" s="13" t="s">
        <v>1657</v>
      </c>
      <c r="F1260" t="str">
        <f t="shared" si="95"/>
        <v>Greens</v>
      </c>
      <c r="G1260" t="str">
        <f t="shared" si="96"/>
        <v>Greens1351Houston</v>
      </c>
      <c r="H1260" t="s">
        <v>32118</v>
      </c>
      <c r="I1260" t="s">
        <v>23547</v>
      </c>
      <c r="J1260" t="str">
        <f t="shared" si="97"/>
        <v>E:\PropInv\MF</v>
      </c>
      <c r="K1260" s="103" t="str">
        <f>HYPERLINK("E:\PropInv\MF\Houston\Greens Pkwy_1351_Live Oak Bend_Houston_01436","Greens Pkwy_1351_Live Oak Bend_Houston_01436" )</f>
        <v>Greens Pkwy_1351_Live Oak Bend_Houston_01436</v>
      </c>
      <c r="L1260" s="104" t="s">
        <v>22253</v>
      </c>
      <c r="M1260" s="103" t="str">
        <f t="shared" si="98"/>
        <v>http://oconnordata.com/mlink/modules/profile/index.cfm?action=profile&amp;prop_id=1436</v>
      </c>
      <c r="N1260" s="1" t="str">
        <f t="shared" si="99"/>
        <v>01436</v>
      </c>
    </row>
    <row r="1261" spans="1:14" x14ac:dyDescent="0.3">
      <c r="A1261" s="1">
        <v>1437</v>
      </c>
      <c r="B1261" s="7" t="s">
        <v>1937</v>
      </c>
      <c r="C1261" s="12">
        <v>501</v>
      </c>
      <c r="D1261" s="7" t="s">
        <v>1938</v>
      </c>
      <c r="E1261" s="13" t="s">
        <v>1657</v>
      </c>
      <c r="F1261" t="str">
        <f t="shared" si="95"/>
        <v>Greens</v>
      </c>
      <c r="G1261" t="str">
        <f t="shared" si="96"/>
        <v>Greens501Houston</v>
      </c>
      <c r="H1261" t="s">
        <v>32119</v>
      </c>
      <c r="I1261" t="s">
        <v>23548</v>
      </c>
      <c r="J1261" t="str">
        <f t="shared" si="97"/>
        <v>E:\PropInv\MF</v>
      </c>
      <c r="K1261" s="103" t="str">
        <f>HYPERLINK("E:\PropInv\MF\Houston\Greens Rd_501_The Durham at CityView_Houston_01437","Greens Rd_501_The Durham at CityView_Houston_01437" )</f>
        <v>Greens Rd_501_The Durham at CityView_Houston_01437</v>
      </c>
      <c r="L1261" s="104" t="s">
        <v>22253</v>
      </c>
      <c r="M1261" s="103" t="str">
        <f t="shared" si="98"/>
        <v>http://oconnordata.com/mlink/modules/profile/index.cfm?action=profile&amp;prop_id=1437</v>
      </c>
      <c r="N1261" s="1" t="str">
        <f t="shared" si="99"/>
        <v>01437</v>
      </c>
    </row>
    <row r="1262" spans="1:14" x14ac:dyDescent="0.3">
      <c r="A1262" s="1">
        <v>1438</v>
      </c>
      <c r="B1262" s="7" t="s">
        <v>1939</v>
      </c>
      <c r="C1262" s="12">
        <v>16900</v>
      </c>
      <c r="D1262" s="7" t="s">
        <v>1940</v>
      </c>
      <c r="E1262" s="13" t="s">
        <v>1657</v>
      </c>
      <c r="F1262" t="str">
        <f t="shared" si="95"/>
        <v>Chase</v>
      </c>
      <c r="G1262" t="str">
        <f t="shared" si="96"/>
        <v>Chase16900Houston</v>
      </c>
      <c r="H1262" t="s">
        <v>32120</v>
      </c>
      <c r="I1262" t="s">
        <v>23549</v>
      </c>
      <c r="J1262" t="str">
        <f t="shared" si="97"/>
        <v>E:\PropInv\MF</v>
      </c>
      <c r="K1262" s="103" t="str">
        <f>HYPERLINK("E:\PropInv\MF\Houston\Chase N_16900_The Royal Phoenician_Houston_01438","Chase N_16900_The Royal Phoenician_Houston_01438" )</f>
        <v>Chase N_16900_The Royal Phoenician_Houston_01438</v>
      </c>
      <c r="L1262" s="104" t="s">
        <v>22253</v>
      </c>
      <c r="M1262" s="103" t="str">
        <f t="shared" si="98"/>
        <v>http://oconnordata.com/mlink/modules/profile/index.cfm?action=profile&amp;prop_id=1438</v>
      </c>
      <c r="N1262" s="1" t="str">
        <f t="shared" si="99"/>
        <v>01438</v>
      </c>
    </row>
    <row r="1263" spans="1:14" x14ac:dyDescent="0.3">
      <c r="A1263" s="1">
        <v>1440</v>
      </c>
      <c r="B1263" s="7" t="s">
        <v>1941</v>
      </c>
      <c r="C1263" s="12">
        <v>12655</v>
      </c>
      <c r="D1263" s="7" t="s">
        <v>1942</v>
      </c>
      <c r="E1263" s="13" t="s">
        <v>1657</v>
      </c>
      <c r="F1263" t="str">
        <f t="shared" si="95"/>
        <v>Kuykendahl</v>
      </c>
      <c r="G1263" t="str">
        <f t="shared" si="96"/>
        <v>Kuykendahl12655Houston</v>
      </c>
      <c r="H1263" t="s">
        <v>32121</v>
      </c>
      <c r="I1263" t="s">
        <v>23550</v>
      </c>
      <c r="J1263" t="str">
        <f t="shared" si="97"/>
        <v>E:\PropInv\MF</v>
      </c>
      <c r="K1263" s="103" t="str">
        <f>HYPERLINK("E:\PropInv\MF\Houston\Kuykendahl Rd_12655_The Augusta_Houston_01440","Kuykendahl Rd_12655_The Augusta_Houston_01440" )</f>
        <v>Kuykendahl Rd_12655_The Augusta_Houston_01440</v>
      </c>
      <c r="L1263" s="104" t="s">
        <v>22253</v>
      </c>
      <c r="M1263" s="103" t="str">
        <f t="shared" si="98"/>
        <v>http://oconnordata.com/mlink/modules/profile/index.cfm?action=profile&amp;prop_id=1440</v>
      </c>
      <c r="N1263" s="1" t="str">
        <f t="shared" si="99"/>
        <v>01440</v>
      </c>
    </row>
    <row r="1264" spans="1:14" x14ac:dyDescent="0.3">
      <c r="A1264" s="1">
        <v>1441</v>
      </c>
      <c r="B1264" s="7" t="s">
        <v>1943</v>
      </c>
      <c r="C1264" s="12">
        <v>2110</v>
      </c>
      <c r="D1264" s="7" t="s">
        <v>1944</v>
      </c>
      <c r="E1264" s="13" t="s">
        <v>1657</v>
      </c>
      <c r="F1264" t="str">
        <f t="shared" si="95"/>
        <v>Brundage</v>
      </c>
      <c r="G1264" t="str">
        <f t="shared" si="96"/>
        <v>Brundage2110Houston</v>
      </c>
      <c r="H1264" t="s">
        <v>32122</v>
      </c>
      <c r="I1264" t="s">
        <v>23551</v>
      </c>
      <c r="J1264" t="str">
        <f t="shared" si="97"/>
        <v>E:\PropInv\MF</v>
      </c>
      <c r="K1264" s="103" t="str">
        <f>HYPERLINK("E:\PropInv\MF\Houston\Brundage_2110_Vanderbilt_Houston_01441","Brundage_2110_Vanderbilt_Houston_01441" )</f>
        <v>Brundage_2110_Vanderbilt_Houston_01441</v>
      </c>
      <c r="L1264" s="104" t="s">
        <v>22253</v>
      </c>
      <c r="M1264" s="103" t="str">
        <f t="shared" si="98"/>
        <v>http://oconnordata.com/mlink/modules/profile/index.cfm?action=profile&amp;prop_id=1441</v>
      </c>
      <c r="N1264" s="1" t="str">
        <f t="shared" si="99"/>
        <v>01441</v>
      </c>
    </row>
    <row r="1265" spans="1:14" x14ac:dyDescent="0.3">
      <c r="A1265" s="1">
        <v>1442</v>
      </c>
      <c r="B1265" s="7" t="s">
        <v>1945</v>
      </c>
      <c r="C1265" s="12">
        <v>13725</v>
      </c>
      <c r="D1265" s="7" t="s">
        <v>1946</v>
      </c>
      <c r="E1265" s="13" t="s">
        <v>1657</v>
      </c>
      <c r="F1265" t="str">
        <f t="shared" si="95"/>
        <v>Cambury</v>
      </c>
      <c r="G1265" t="str">
        <f t="shared" si="96"/>
        <v>Cambury13725Houston</v>
      </c>
      <c r="H1265" t="s">
        <v>32123</v>
      </c>
      <c r="I1265" t="s">
        <v>23552</v>
      </c>
      <c r="J1265" t="str">
        <f t="shared" si="97"/>
        <v>E:\PropInv\MF</v>
      </c>
      <c r="K1265" s="103" t="str">
        <f>HYPERLINK("E:\PropInv\MF\Houston\Cambury_13725_Cambury Place_Houston_01442","Cambury_13725_Cambury Place_Houston_01442" )</f>
        <v>Cambury_13725_Cambury Place_Houston_01442</v>
      </c>
      <c r="L1265" s="104" t="s">
        <v>22253</v>
      </c>
      <c r="M1265" s="103" t="str">
        <f t="shared" si="98"/>
        <v>http://oconnordata.com/mlink/modules/profile/index.cfm?action=profile&amp;prop_id=1442</v>
      </c>
      <c r="N1265" s="1" t="str">
        <f t="shared" si="99"/>
        <v>01442</v>
      </c>
    </row>
    <row r="1266" spans="1:14" x14ac:dyDescent="0.3">
      <c r="A1266" s="1">
        <v>1443</v>
      </c>
      <c r="B1266" s="7" t="s">
        <v>1772</v>
      </c>
      <c r="C1266" s="12">
        <v>14403</v>
      </c>
      <c r="D1266" s="7" t="s">
        <v>1947</v>
      </c>
      <c r="E1266" s="13" t="s">
        <v>1657</v>
      </c>
      <c r="F1266" t="str">
        <f t="shared" si="95"/>
        <v>Ella</v>
      </c>
      <c r="G1266" t="str">
        <f t="shared" si="96"/>
        <v>Ella14403Houston</v>
      </c>
      <c r="H1266" t="s">
        <v>32124</v>
      </c>
      <c r="I1266" t="s">
        <v>23553</v>
      </c>
      <c r="J1266" t="str">
        <f t="shared" si="97"/>
        <v>E:\PropInv\MF</v>
      </c>
      <c r="K1266" s="103" t="str">
        <f>HYPERLINK("E:\PropInv\MF\Houston\Ella Blvd_14403_Morgan Bay_Houston_01443","Ella Blvd_14403_Morgan Bay_Houston_01443" )</f>
        <v>Ella Blvd_14403_Morgan Bay_Houston_01443</v>
      </c>
      <c r="L1266" s="104" t="s">
        <v>22253</v>
      </c>
      <c r="M1266" s="103" t="str">
        <f t="shared" si="98"/>
        <v>http://oconnordata.com/mlink/modules/profile/index.cfm?action=profile&amp;prop_id=1443</v>
      </c>
      <c r="N1266" s="1" t="str">
        <f t="shared" si="99"/>
        <v>01443</v>
      </c>
    </row>
    <row r="1267" spans="1:14" x14ac:dyDescent="0.3">
      <c r="A1267" s="1">
        <v>1444</v>
      </c>
      <c r="B1267" s="7" t="s">
        <v>1772</v>
      </c>
      <c r="C1267" s="12">
        <v>15100</v>
      </c>
      <c r="D1267" s="7" t="s">
        <v>1948</v>
      </c>
      <c r="E1267" s="13" t="s">
        <v>1657</v>
      </c>
      <c r="F1267" t="str">
        <f t="shared" si="95"/>
        <v>Ella</v>
      </c>
      <c r="G1267" t="str">
        <f t="shared" si="96"/>
        <v>Ella15100Houston</v>
      </c>
      <c r="H1267" t="s">
        <v>32125</v>
      </c>
      <c r="I1267" t="s">
        <v>23554</v>
      </c>
      <c r="J1267" t="str">
        <f t="shared" si="97"/>
        <v>E:\PropInv\MF</v>
      </c>
      <c r="K1267" s="103" t="str">
        <f>HYPERLINK("E:\PropInv\MF\Houston\Ella Blvd_15100_Chartwell Court_Houston_01444","Ella Blvd_15100_Chartwell Court_Houston_01444" )</f>
        <v>Ella Blvd_15100_Chartwell Court_Houston_01444</v>
      </c>
      <c r="L1267" s="104" t="s">
        <v>22253</v>
      </c>
      <c r="M1267" s="103" t="str">
        <f t="shared" si="98"/>
        <v>http://oconnordata.com/mlink/modules/profile/index.cfm?action=profile&amp;prop_id=1444</v>
      </c>
      <c r="N1267" s="1" t="str">
        <f t="shared" si="99"/>
        <v>01444</v>
      </c>
    </row>
    <row r="1268" spans="1:14" x14ac:dyDescent="0.3">
      <c r="A1268" s="1">
        <v>1445</v>
      </c>
      <c r="B1268" s="7" t="s">
        <v>1949</v>
      </c>
      <c r="C1268" s="12">
        <v>150</v>
      </c>
      <c r="D1268" s="7" t="s">
        <v>1950</v>
      </c>
      <c r="E1268" s="13" t="s">
        <v>1657</v>
      </c>
      <c r="F1268" t="str">
        <f t="shared" si="95"/>
        <v>Dominion</v>
      </c>
      <c r="G1268" t="str">
        <f t="shared" si="96"/>
        <v>Dominion150Houston</v>
      </c>
      <c r="H1268" t="s">
        <v>32126</v>
      </c>
      <c r="I1268" t="s">
        <v>23555</v>
      </c>
      <c r="J1268" t="str">
        <f t="shared" si="97"/>
        <v>E:\PropInv\MF</v>
      </c>
      <c r="K1268" s="103" t="str">
        <f>HYPERLINK("E:\PropInv\MF\Houston\Dominion Park Dr_150_The Square_Houston_01445","Dominion Park Dr_150_The Square_Houston_01445" )</f>
        <v>Dominion Park Dr_150_The Square_Houston_01445</v>
      </c>
      <c r="L1268" s="104" t="s">
        <v>22253</v>
      </c>
      <c r="M1268" s="103" t="str">
        <f t="shared" si="98"/>
        <v>http://oconnordata.com/mlink/modules/profile/index.cfm?action=profile&amp;prop_id=1445</v>
      </c>
      <c r="N1268" s="1" t="str">
        <f t="shared" si="99"/>
        <v>01445</v>
      </c>
    </row>
    <row r="1269" spans="1:14" x14ac:dyDescent="0.3">
      <c r="A1269" s="1">
        <v>1447</v>
      </c>
      <c r="B1269" s="7" t="s">
        <v>1951</v>
      </c>
      <c r="C1269" s="12">
        <v>1303</v>
      </c>
      <c r="D1269" s="7" t="s">
        <v>1952</v>
      </c>
      <c r="E1269" s="13" t="s">
        <v>1657</v>
      </c>
      <c r="F1269" t="str">
        <f t="shared" si="95"/>
        <v>Gears</v>
      </c>
      <c r="G1269" t="str">
        <f t="shared" si="96"/>
        <v>Gears1303Houston</v>
      </c>
      <c r="H1269" t="s">
        <v>32127</v>
      </c>
      <c r="I1269" t="s">
        <v>23556</v>
      </c>
      <c r="J1269" t="str">
        <f t="shared" si="97"/>
        <v>E:\PropInv\MF</v>
      </c>
      <c r="K1269" s="103" t="str">
        <f>HYPERLINK("E:\PropInv\MF\Houston\Gears_1303_Driscoll Place I_Houston_01447","Gears_1303_Driscoll Place I_Houston_01447" )</f>
        <v>Gears_1303_Driscoll Place I_Houston_01447</v>
      </c>
      <c r="L1269" s="104" t="s">
        <v>22253</v>
      </c>
      <c r="M1269" s="103" t="str">
        <f t="shared" si="98"/>
        <v>http://oconnordata.com/mlink/modules/profile/index.cfm?action=profile&amp;prop_id=1447</v>
      </c>
      <c r="N1269" s="1" t="str">
        <f t="shared" si="99"/>
        <v>01447</v>
      </c>
    </row>
    <row r="1270" spans="1:14" x14ac:dyDescent="0.3">
      <c r="A1270" s="1">
        <v>1448</v>
      </c>
      <c r="B1270" s="7" t="s">
        <v>1951</v>
      </c>
      <c r="C1270" s="12">
        <v>1303</v>
      </c>
      <c r="D1270" s="7" t="s">
        <v>1953</v>
      </c>
      <c r="E1270" s="13" t="s">
        <v>1657</v>
      </c>
      <c r="F1270" t="str">
        <f t="shared" si="95"/>
        <v>Gears</v>
      </c>
      <c r="G1270" t="str">
        <f t="shared" si="96"/>
        <v>Gears1303Houston</v>
      </c>
      <c r="H1270" t="s">
        <v>32128</v>
      </c>
      <c r="I1270" t="s">
        <v>23557</v>
      </c>
      <c r="J1270" t="str">
        <f t="shared" si="97"/>
        <v>E:\PropInv\MF</v>
      </c>
      <c r="K1270" s="103" t="str">
        <f>HYPERLINK("E:\PropInv\MF\Houston\Gears_1303_Driscoll Place II_Houston_01448","Gears_1303_Driscoll Place II_Houston_01448" )</f>
        <v>Gears_1303_Driscoll Place II_Houston_01448</v>
      </c>
      <c r="L1270" s="104" t="s">
        <v>22253</v>
      </c>
      <c r="M1270" s="103" t="str">
        <f t="shared" si="98"/>
        <v>http://oconnordata.com/mlink/modules/profile/index.cfm?action=profile&amp;prop_id=1448</v>
      </c>
      <c r="N1270" s="1" t="str">
        <f t="shared" si="99"/>
        <v>01448</v>
      </c>
    </row>
    <row r="1271" spans="1:14" x14ac:dyDescent="0.3">
      <c r="A1271" s="1">
        <v>1449</v>
      </c>
      <c r="B1271" s="7" t="s">
        <v>1954</v>
      </c>
      <c r="C1271" s="12">
        <v>13355</v>
      </c>
      <c r="D1271" s="7" t="s">
        <v>1955</v>
      </c>
      <c r="E1271" s="13" t="s">
        <v>1657</v>
      </c>
      <c r="F1271" t="str">
        <f t="shared" si="95"/>
        <v>Northborough</v>
      </c>
      <c r="G1271" t="str">
        <f t="shared" si="96"/>
        <v>Northborough13355Houston</v>
      </c>
      <c r="H1271" t="s">
        <v>32129</v>
      </c>
      <c r="I1271" t="s">
        <v>23558</v>
      </c>
      <c r="J1271" t="str">
        <f t="shared" si="97"/>
        <v>E:\PropInv\MF</v>
      </c>
      <c r="K1271" s="103" t="str">
        <f>HYPERLINK("E:\PropInv\MF\Houston\Northborough Dr_13355_Canfield Lakes_Houston_01449","Northborough Dr_13355_Canfield Lakes_Houston_01449" )</f>
        <v>Northborough Dr_13355_Canfield Lakes_Houston_01449</v>
      </c>
      <c r="L1271" s="104" t="s">
        <v>22253</v>
      </c>
      <c r="M1271" s="103" t="str">
        <f t="shared" si="98"/>
        <v>http://oconnordata.com/mlink/modules/profile/index.cfm?action=profile&amp;prop_id=1449</v>
      </c>
      <c r="N1271" s="1" t="str">
        <f t="shared" si="99"/>
        <v>01449</v>
      </c>
    </row>
    <row r="1272" spans="1:14" x14ac:dyDescent="0.3">
      <c r="A1272" s="1">
        <v>1450</v>
      </c>
      <c r="B1272" s="7" t="s">
        <v>1954</v>
      </c>
      <c r="C1272" s="12">
        <v>13502</v>
      </c>
      <c r="D1272" s="7" t="s">
        <v>1956</v>
      </c>
      <c r="E1272" s="13" t="s">
        <v>1657</v>
      </c>
      <c r="F1272" t="str">
        <f t="shared" si="95"/>
        <v>Northborough</v>
      </c>
      <c r="G1272" t="str">
        <f t="shared" si="96"/>
        <v>Northborough13502Houston</v>
      </c>
      <c r="H1272" t="s">
        <v>32130</v>
      </c>
      <c r="I1272" t="s">
        <v>23559</v>
      </c>
      <c r="J1272" t="str">
        <f t="shared" si="97"/>
        <v>E:\PropInv\MF</v>
      </c>
      <c r="K1272" s="103" t="str">
        <f>HYPERLINK("E:\PropInv\MF\Houston\Northborough Dr_13502_Sago Palms_Houston_01450","Northborough Dr_13502_Sago Palms_Houston_01450" )</f>
        <v>Northborough Dr_13502_Sago Palms_Houston_01450</v>
      </c>
      <c r="L1272" s="104" t="s">
        <v>22253</v>
      </c>
      <c r="M1272" s="103" t="str">
        <f t="shared" si="98"/>
        <v>http://oconnordata.com/mlink/modules/profile/index.cfm?action=profile&amp;prop_id=1450</v>
      </c>
      <c r="N1272" s="1" t="str">
        <f t="shared" si="99"/>
        <v>01450</v>
      </c>
    </row>
    <row r="1273" spans="1:14" x14ac:dyDescent="0.3">
      <c r="A1273" s="1">
        <v>1451</v>
      </c>
      <c r="B1273" s="7" t="s">
        <v>1937</v>
      </c>
      <c r="C1273" s="12">
        <v>770</v>
      </c>
      <c r="D1273" s="7" t="s">
        <v>1957</v>
      </c>
      <c r="E1273" s="13" t="s">
        <v>1657</v>
      </c>
      <c r="F1273" t="str">
        <f t="shared" si="95"/>
        <v>Greens</v>
      </c>
      <c r="G1273" t="str">
        <f t="shared" si="96"/>
        <v>Greens770Houston</v>
      </c>
      <c r="H1273" t="s">
        <v>32131</v>
      </c>
      <c r="I1273" t="s">
        <v>23560</v>
      </c>
      <c r="J1273" t="str">
        <f t="shared" si="97"/>
        <v>E:\PropInv\MF</v>
      </c>
      <c r="K1273" s="103" t="str">
        <f>HYPERLINK("E:\PropInv\MF\Houston\Greens Rd_770_The Bennett at CityView_Houston_01451","Greens Rd_770_The Bennett at CityView_Houston_01451" )</f>
        <v>Greens Rd_770_The Bennett at CityView_Houston_01451</v>
      </c>
      <c r="L1273" s="104" t="s">
        <v>22253</v>
      </c>
      <c r="M1273" s="103" t="str">
        <f t="shared" si="98"/>
        <v>http://oconnordata.com/mlink/modules/profile/index.cfm?action=profile&amp;prop_id=1451</v>
      </c>
      <c r="N1273" s="1" t="str">
        <f t="shared" si="99"/>
        <v>01451</v>
      </c>
    </row>
    <row r="1274" spans="1:14" x14ac:dyDescent="0.3">
      <c r="A1274" s="1">
        <v>1452</v>
      </c>
      <c r="B1274" s="7" t="s">
        <v>1937</v>
      </c>
      <c r="C1274" s="12">
        <v>855</v>
      </c>
      <c r="D1274" s="7" t="s">
        <v>1958</v>
      </c>
      <c r="E1274" s="13" t="s">
        <v>1657</v>
      </c>
      <c r="F1274" t="str">
        <f t="shared" si="95"/>
        <v>Greens</v>
      </c>
      <c r="G1274" t="str">
        <f t="shared" si="96"/>
        <v>Greens855Houston</v>
      </c>
      <c r="H1274" t="s">
        <v>32132</v>
      </c>
      <c r="I1274" t="s">
        <v>23561</v>
      </c>
      <c r="J1274" t="str">
        <f t="shared" si="97"/>
        <v>E:\PropInv\MF</v>
      </c>
      <c r="K1274" s="103" t="str">
        <f>HYPERLINK("E:\PropInv\MF\Houston\Greens Rd_855_Anniston at CityView_Houston_01452","Greens Rd_855_Anniston at CityView_Houston_01452" )</f>
        <v>Greens Rd_855_Anniston at CityView_Houston_01452</v>
      </c>
      <c r="L1274" s="104" t="s">
        <v>22253</v>
      </c>
      <c r="M1274" s="103" t="str">
        <f t="shared" si="98"/>
        <v>http://oconnordata.com/mlink/modules/profile/index.cfm?action=profile&amp;prop_id=1452</v>
      </c>
      <c r="N1274" s="1" t="str">
        <f t="shared" si="99"/>
        <v>01452</v>
      </c>
    </row>
    <row r="1275" spans="1:14" x14ac:dyDescent="0.3">
      <c r="A1275" s="97">
        <v>1453</v>
      </c>
      <c r="B1275" s="7" t="s">
        <v>1933</v>
      </c>
      <c r="C1275" s="12">
        <v>1350</v>
      </c>
      <c r="D1275" s="7" t="s">
        <v>1959</v>
      </c>
      <c r="E1275" s="13" t="s">
        <v>1657</v>
      </c>
      <c r="F1275" t="str">
        <f t="shared" si="95"/>
        <v>Greens</v>
      </c>
      <c r="G1275" t="str">
        <f t="shared" si="96"/>
        <v>Greens1350Houston</v>
      </c>
      <c r="H1275" t="s">
        <v>32133</v>
      </c>
      <c r="I1275" t="s">
        <v>23562</v>
      </c>
      <c r="J1275" t="str">
        <f t="shared" si="97"/>
        <v>E:\PropInv\MF</v>
      </c>
      <c r="K1275" s="103" t="str">
        <f>HYPERLINK("E:\PropInv\MF\Houston\Greens Pkwy_1350_Worthington at the Beltway_Houston_01453","Greens Pkwy_1350_Worthington at the Beltway_Houston_01453" )</f>
        <v>Greens Pkwy_1350_Worthington at the Beltway_Houston_01453</v>
      </c>
      <c r="L1275" s="104" t="s">
        <v>22253</v>
      </c>
      <c r="M1275" s="103" t="str">
        <f t="shared" si="98"/>
        <v>http://oconnordata.com/mlink/modules/profile/index.cfm?action=profile&amp;prop_id=1453</v>
      </c>
      <c r="N1275" s="1" t="str">
        <f t="shared" si="99"/>
        <v>01453</v>
      </c>
    </row>
    <row r="1276" spans="1:14" x14ac:dyDescent="0.3">
      <c r="A1276" s="1">
        <v>1454</v>
      </c>
      <c r="B1276" s="7" t="s">
        <v>1937</v>
      </c>
      <c r="C1276" s="12">
        <v>407</v>
      </c>
      <c r="D1276" s="7" t="s">
        <v>1960</v>
      </c>
      <c r="E1276" s="13" t="s">
        <v>1657</v>
      </c>
      <c r="F1276" t="str">
        <f t="shared" si="95"/>
        <v>Greens</v>
      </c>
      <c r="G1276" t="str">
        <f t="shared" si="96"/>
        <v>Greens407Houston</v>
      </c>
      <c r="H1276" t="s">
        <v>32134</v>
      </c>
      <c r="I1276" t="s">
        <v>23563</v>
      </c>
      <c r="J1276" t="str">
        <f t="shared" si="97"/>
        <v>E:\PropInv\MF</v>
      </c>
      <c r="K1276" s="103" t="str">
        <f>HYPERLINK("E:\PropInv\MF\Houston\Greens Rd_407_Park De Ville_Houston_01454","Greens Rd_407_Park De Ville_Houston_01454" )</f>
        <v>Greens Rd_407_Park De Ville_Houston_01454</v>
      </c>
      <c r="L1276" s="104" t="s">
        <v>22253</v>
      </c>
      <c r="M1276" s="103" t="str">
        <f t="shared" si="98"/>
        <v>http://oconnordata.com/mlink/modules/profile/index.cfm?action=profile&amp;prop_id=1454</v>
      </c>
      <c r="N1276" s="1" t="str">
        <f t="shared" si="99"/>
        <v>01454</v>
      </c>
    </row>
    <row r="1277" spans="1:14" x14ac:dyDescent="0.3">
      <c r="A1277" s="1">
        <v>1455</v>
      </c>
      <c r="B1277" s="7" t="s">
        <v>1717</v>
      </c>
      <c r="C1277" s="12">
        <v>16802</v>
      </c>
      <c r="D1277" s="7" t="s">
        <v>1961</v>
      </c>
      <c r="E1277" s="13" t="s">
        <v>1657</v>
      </c>
      <c r="F1277" t="str">
        <f t="shared" si="95"/>
        <v>Imperial</v>
      </c>
      <c r="G1277" t="str">
        <f t="shared" si="96"/>
        <v>Imperial16802Houston</v>
      </c>
      <c r="H1277" t="s">
        <v>32135</v>
      </c>
      <c r="I1277" t="s">
        <v>23564</v>
      </c>
      <c r="J1277" t="str">
        <f t="shared" si="97"/>
        <v>E:\PropInv\MF</v>
      </c>
      <c r="K1277" s="103" t="str">
        <f>HYPERLINK("E:\PropInv\MF\Houston\Imperial Valley Dr_16802_CityView Place III_Houston_01455","Imperial Valley Dr_16802_CityView Place III_Houston_01455" )</f>
        <v>Imperial Valley Dr_16802_CityView Place III_Houston_01455</v>
      </c>
      <c r="L1277" s="104" t="s">
        <v>22253</v>
      </c>
      <c r="M1277" s="103" t="str">
        <f t="shared" si="98"/>
        <v>http://oconnordata.com/mlink/modules/profile/index.cfm?action=profile&amp;prop_id=1455</v>
      </c>
      <c r="N1277" s="1" t="str">
        <f t="shared" si="99"/>
        <v>01455</v>
      </c>
    </row>
    <row r="1278" spans="1:14" x14ac:dyDescent="0.3">
      <c r="A1278" s="1">
        <v>1456</v>
      </c>
      <c r="B1278" s="7" t="s">
        <v>1937</v>
      </c>
      <c r="C1278" s="12">
        <v>400</v>
      </c>
      <c r="D1278" s="7" t="s">
        <v>1962</v>
      </c>
      <c r="E1278" s="13" t="s">
        <v>1657</v>
      </c>
      <c r="F1278" t="str">
        <f t="shared" si="95"/>
        <v>Greens</v>
      </c>
      <c r="G1278" t="str">
        <f t="shared" si="96"/>
        <v>Greens400Houston</v>
      </c>
      <c r="H1278" t="s">
        <v>32136</v>
      </c>
      <c r="I1278" t="s">
        <v>23565</v>
      </c>
      <c r="J1278" t="str">
        <f t="shared" si="97"/>
        <v>E:\PropInv\MF</v>
      </c>
      <c r="K1278" s="103" t="str">
        <f>HYPERLINK("E:\PropInv\MF\Houston\Greens Rd_400_CityView West_Houston_01456","Greens Rd_400_CityView West_Houston_01456" )</f>
        <v>Greens Rd_400_CityView West_Houston_01456</v>
      </c>
      <c r="L1278" s="104" t="s">
        <v>22253</v>
      </c>
      <c r="M1278" s="103" t="str">
        <f t="shared" si="98"/>
        <v>http://oconnordata.com/mlink/modules/profile/index.cfm?action=profile&amp;prop_id=1456</v>
      </c>
      <c r="N1278" s="1" t="str">
        <f t="shared" si="99"/>
        <v>01456</v>
      </c>
    </row>
    <row r="1279" spans="1:14" x14ac:dyDescent="0.3">
      <c r="A1279" s="1">
        <v>1457</v>
      </c>
      <c r="B1279" s="7" t="s">
        <v>1963</v>
      </c>
      <c r="C1279" s="12">
        <v>13011</v>
      </c>
      <c r="D1279" s="7" t="s">
        <v>1964</v>
      </c>
      <c r="E1279" s="13" t="s">
        <v>1657</v>
      </c>
      <c r="F1279" t="str">
        <f t="shared" si="95"/>
        <v>Northborough</v>
      </c>
      <c r="G1279" t="str">
        <f t="shared" si="96"/>
        <v>Northborough13011Houston</v>
      </c>
      <c r="H1279" t="s">
        <v>32137</v>
      </c>
      <c r="I1279" t="s">
        <v>23566</v>
      </c>
      <c r="J1279" t="str">
        <f t="shared" si="97"/>
        <v>E:\PropInv\MF</v>
      </c>
      <c r="K1279" s="103" t="str">
        <f>HYPERLINK("E:\PropInv\MF\Houston\Northborough_13011_The Thicket_Houston_01457","Northborough_13011_The Thicket_Houston_01457" )</f>
        <v>Northborough_13011_The Thicket_Houston_01457</v>
      </c>
      <c r="L1279" s="104" t="s">
        <v>22253</v>
      </c>
      <c r="M1279" s="103" t="str">
        <f t="shared" si="98"/>
        <v>http://oconnordata.com/mlink/modules/profile/index.cfm?action=profile&amp;prop_id=1457</v>
      </c>
      <c r="N1279" s="1" t="str">
        <f t="shared" si="99"/>
        <v>01457</v>
      </c>
    </row>
    <row r="1280" spans="1:14" x14ac:dyDescent="0.3">
      <c r="A1280" s="1">
        <v>1458</v>
      </c>
      <c r="B1280" s="7" t="s">
        <v>1963</v>
      </c>
      <c r="C1280" s="12">
        <v>13030</v>
      </c>
      <c r="D1280" s="7" t="s">
        <v>1965</v>
      </c>
      <c r="E1280" s="13" t="s">
        <v>1657</v>
      </c>
      <c r="F1280" t="str">
        <f t="shared" si="95"/>
        <v>Northborough</v>
      </c>
      <c r="G1280" t="str">
        <f t="shared" si="96"/>
        <v>Northborough13030Houston</v>
      </c>
      <c r="H1280" t="s">
        <v>32138</v>
      </c>
      <c r="I1280" t="s">
        <v>23567</v>
      </c>
      <c r="J1280" t="str">
        <f t="shared" si="97"/>
        <v>E:\PropInv\MF</v>
      </c>
      <c r="K1280" s="103" t="str">
        <f>HYPERLINK("E:\PropInv\MF\Houston\Northborough_13030_Forest Pointe_Houston_01458","Northborough_13030_Forest Pointe_Houston_01458" )</f>
        <v>Northborough_13030_Forest Pointe_Houston_01458</v>
      </c>
      <c r="L1280" s="104" t="s">
        <v>22253</v>
      </c>
      <c r="M1280" s="103" t="str">
        <f t="shared" si="98"/>
        <v>http://oconnordata.com/mlink/modules/profile/index.cfm?action=profile&amp;prop_id=1458</v>
      </c>
      <c r="N1280" s="1" t="str">
        <f t="shared" si="99"/>
        <v>01458</v>
      </c>
    </row>
    <row r="1281" spans="1:14" x14ac:dyDescent="0.3">
      <c r="A1281" s="1">
        <v>1459</v>
      </c>
      <c r="B1281" s="7" t="s">
        <v>1963</v>
      </c>
      <c r="C1281" s="12">
        <v>13503</v>
      </c>
      <c r="D1281" s="7" t="s">
        <v>1966</v>
      </c>
      <c r="E1281" s="13" t="s">
        <v>1657</v>
      </c>
      <c r="F1281" t="str">
        <f t="shared" si="95"/>
        <v>Northborough</v>
      </c>
      <c r="G1281" t="str">
        <f t="shared" si="96"/>
        <v>Northborough13503Houston</v>
      </c>
      <c r="H1281" t="s">
        <v>32139</v>
      </c>
      <c r="I1281" t="s">
        <v>23568</v>
      </c>
      <c r="J1281" t="str">
        <f t="shared" si="97"/>
        <v>E:\PropInv\MF</v>
      </c>
      <c r="K1281" s="103" t="str">
        <f>HYPERLINK("E:\PropInv\MF\Houston\Northborough_13503_Siena Courtyard_Houston_01459","Northborough_13503_Siena Courtyard_Houston_01459" )</f>
        <v>Northborough_13503_Siena Courtyard_Houston_01459</v>
      </c>
      <c r="L1281" s="104" t="s">
        <v>22253</v>
      </c>
      <c r="M1281" s="103" t="str">
        <f t="shared" si="98"/>
        <v>http://oconnordata.com/mlink/modules/profile/index.cfm?action=profile&amp;prop_id=1459</v>
      </c>
      <c r="N1281" s="1" t="str">
        <f t="shared" si="99"/>
        <v>01459</v>
      </c>
    </row>
    <row r="1282" spans="1:14" x14ac:dyDescent="0.3">
      <c r="A1282" s="1">
        <v>1460</v>
      </c>
      <c r="B1282" s="7" t="s">
        <v>1967</v>
      </c>
      <c r="C1282" s="12">
        <v>633</v>
      </c>
      <c r="D1282" s="7" t="s">
        <v>1968</v>
      </c>
      <c r="E1282" s="13" t="s">
        <v>1657</v>
      </c>
      <c r="F1282" t="str">
        <f t="shared" ref="F1282:F1345" si="100">IFERROR(LEFT(B1282,FIND(" ",B1282)-1),B1282)</f>
        <v>Rushcreek</v>
      </c>
      <c r="G1282" t="str">
        <f t="shared" ref="G1282:G1345" si="101">F1282&amp;C1282&amp;E1282</f>
        <v>Rushcreek633Houston</v>
      </c>
      <c r="H1282" t="s">
        <v>32140</v>
      </c>
      <c r="I1282" t="s">
        <v>23569</v>
      </c>
      <c r="J1282" t="str">
        <f t="shared" ref="J1282:J1345" si="102">IF(L1282="TX",Folder_Path,Folder_Path&amp;"\State_"&amp;L1282)</f>
        <v>E:\PropInv\MF</v>
      </c>
      <c r="K1282" s="103" t="str">
        <f>HYPERLINK("E:\PropInv\MF\Houston\Rushcreek Dr_633_Oakridge_Houston_01460","Rushcreek Dr_633_Oakridge_Houston_01460" )</f>
        <v>Rushcreek Dr_633_Oakridge_Houston_01460</v>
      </c>
      <c r="L1282" s="104" t="s">
        <v>22253</v>
      </c>
      <c r="M1282" s="103" t="str">
        <f t="shared" ref="M1282:M1345" si="103">HYPERLINK("http://oconnordata.com/mlink/modules/profile/index.cfm?action=profile&amp;prop_id="&amp;A1282)</f>
        <v>http://oconnordata.com/mlink/modules/profile/index.cfm?action=profile&amp;prop_id=1460</v>
      </c>
      <c r="N1282" s="1" t="str">
        <f t="shared" ref="N1282:N1345" si="104">IF(LEN(A1282)=1,"0000"&amp;A1282,IF(LEN(A1282)=2,"000"&amp;A1282,IF(LEN(A1282)=3,"00"&amp;A1282,IF(LEN(A1282)=4,"0"&amp;A1282,IF(LEN(A1282)=5,IF(LEFT(A1282,1)="3",A1282+30000,A1282))))))</f>
        <v>01460</v>
      </c>
    </row>
    <row r="1283" spans="1:14" x14ac:dyDescent="0.3">
      <c r="A1283" s="1">
        <v>1461</v>
      </c>
      <c r="B1283" s="7" t="s">
        <v>1963</v>
      </c>
      <c r="C1283" s="12">
        <v>12603</v>
      </c>
      <c r="D1283" s="7" t="s">
        <v>1969</v>
      </c>
      <c r="E1283" s="13" t="s">
        <v>1657</v>
      </c>
      <c r="F1283" t="str">
        <f t="shared" si="100"/>
        <v>Northborough</v>
      </c>
      <c r="G1283" t="str">
        <f t="shared" si="101"/>
        <v>Northborough12603Houston</v>
      </c>
      <c r="H1283" t="s">
        <v>32141</v>
      </c>
      <c r="I1283" t="s">
        <v>23570</v>
      </c>
      <c r="J1283" t="str">
        <f t="shared" si="102"/>
        <v>E:\PropInv\MF</v>
      </c>
      <c r="K1283" s="103" t="str">
        <f>HYPERLINK("E:\PropInv\MF\Houston\Northborough_12603_Northpointe Village_Houston_01461","Northborough_12603_Northpointe Village_Houston_01461" )</f>
        <v>Northborough_12603_Northpointe Village_Houston_01461</v>
      </c>
      <c r="L1283" s="104" t="s">
        <v>22253</v>
      </c>
      <c r="M1283" s="103" t="str">
        <f t="shared" si="103"/>
        <v>http://oconnordata.com/mlink/modules/profile/index.cfm?action=profile&amp;prop_id=1461</v>
      </c>
      <c r="N1283" s="1" t="str">
        <f t="shared" si="104"/>
        <v>01461</v>
      </c>
    </row>
    <row r="1284" spans="1:14" x14ac:dyDescent="0.3">
      <c r="A1284" s="1">
        <v>1462</v>
      </c>
      <c r="B1284" s="7" t="s">
        <v>1963</v>
      </c>
      <c r="C1284" s="12">
        <v>12803</v>
      </c>
      <c r="D1284" s="7" t="s">
        <v>1970</v>
      </c>
      <c r="E1284" s="13" t="s">
        <v>1657</v>
      </c>
      <c r="F1284" t="str">
        <f t="shared" si="100"/>
        <v>Northborough</v>
      </c>
      <c r="G1284" t="str">
        <f t="shared" si="101"/>
        <v>Northborough12803Houston</v>
      </c>
      <c r="H1284" t="s">
        <v>32142</v>
      </c>
      <c r="I1284" t="s">
        <v>23571</v>
      </c>
      <c r="J1284" t="str">
        <f t="shared" si="102"/>
        <v>E:\PropInv\MF</v>
      </c>
      <c r="K1284" s="103" t="str">
        <f>HYPERLINK("E:\PropInv\MF\Houston\Northborough_12803_Mira Vista_Houston_01462","Northborough_12803_Mira Vista_Houston_01462" )</f>
        <v>Northborough_12803_Mira Vista_Houston_01462</v>
      </c>
      <c r="L1284" s="104" t="s">
        <v>22253</v>
      </c>
      <c r="M1284" s="103" t="str">
        <f t="shared" si="103"/>
        <v>http://oconnordata.com/mlink/modules/profile/index.cfm?action=profile&amp;prop_id=1462</v>
      </c>
      <c r="N1284" s="1" t="str">
        <f t="shared" si="104"/>
        <v>01462</v>
      </c>
    </row>
    <row r="1285" spans="1:14" x14ac:dyDescent="0.3">
      <c r="A1285" s="1">
        <v>1463</v>
      </c>
      <c r="B1285" s="7" t="s">
        <v>1971</v>
      </c>
      <c r="C1285" s="12">
        <v>201</v>
      </c>
      <c r="D1285" s="7" t="s">
        <v>1972</v>
      </c>
      <c r="E1285" s="13" t="s">
        <v>1657</v>
      </c>
      <c r="F1285" t="str">
        <f t="shared" si="100"/>
        <v>Plaza</v>
      </c>
      <c r="G1285" t="str">
        <f t="shared" si="101"/>
        <v>Plaza201Houston</v>
      </c>
      <c r="H1285" t="s">
        <v>32143</v>
      </c>
      <c r="I1285" t="s">
        <v>23572</v>
      </c>
      <c r="J1285" t="str">
        <f t="shared" si="102"/>
        <v>E:\PropInv\MF</v>
      </c>
      <c r="K1285" s="103" t="str">
        <f>HYPERLINK("E:\PropInv\MF\Houston\Plaza Verde Dr_201_Fallbrook_Houston_01463","Plaza Verde Dr_201_Fallbrook_Houston_01463" )</f>
        <v>Plaza Verde Dr_201_Fallbrook_Houston_01463</v>
      </c>
      <c r="L1285" s="104" t="s">
        <v>22253</v>
      </c>
      <c r="M1285" s="103" t="str">
        <f t="shared" si="103"/>
        <v>http://oconnordata.com/mlink/modules/profile/index.cfm?action=profile&amp;prop_id=1463</v>
      </c>
      <c r="N1285" s="1" t="str">
        <f t="shared" si="104"/>
        <v>01463</v>
      </c>
    </row>
    <row r="1286" spans="1:14" x14ac:dyDescent="0.3">
      <c r="A1286" s="1">
        <v>1464</v>
      </c>
      <c r="B1286" s="7" t="s">
        <v>1973</v>
      </c>
      <c r="C1286" s="12">
        <v>90</v>
      </c>
      <c r="D1286" s="7" t="s">
        <v>1760</v>
      </c>
      <c r="E1286" s="13" t="s">
        <v>1657</v>
      </c>
      <c r="F1286" t="str">
        <f t="shared" si="100"/>
        <v>Northpoint</v>
      </c>
      <c r="G1286" t="str">
        <f t="shared" si="101"/>
        <v>Northpoint90Houston</v>
      </c>
      <c r="H1286" t="s">
        <v>32144</v>
      </c>
      <c r="I1286" t="s">
        <v>23573</v>
      </c>
      <c r="J1286" t="str">
        <f t="shared" si="102"/>
        <v>E:\PropInv\MF</v>
      </c>
      <c r="K1286" s="103" t="str">
        <f>HYPERLINK("E:\PropInv\MF\Houston\Northpoint_90_North Park_Houston_01464","Northpoint_90_North Park_Houston_01464" )</f>
        <v>Northpoint_90_North Park_Houston_01464</v>
      </c>
      <c r="L1286" s="104" t="s">
        <v>22253</v>
      </c>
      <c r="M1286" s="103" t="str">
        <f t="shared" si="103"/>
        <v>http://oconnordata.com/mlink/modules/profile/index.cfm?action=profile&amp;prop_id=1464</v>
      </c>
      <c r="N1286" s="1" t="str">
        <f t="shared" si="104"/>
        <v>01464</v>
      </c>
    </row>
    <row r="1287" spans="1:14" x14ac:dyDescent="0.3">
      <c r="A1287" s="1">
        <v>1465</v>
      </c>
      <c r="B1287" s="7" t="s">
        <v>1973</v>
      </c>
      <c r="C1287" s="12">
        <v>220</v>
      </c>
      <c r="D1287" s="7" t="s">
        <v>1974</v>
      </c>
      <c r="E1287" s="13" t="s">
        <v>1657</v>
      </c>
      <c r="F1287" t="str">
        <f t="shared" si="100"/>
        <v>Northpoint</v>
      </c>
      <c r="G1287" t="str">
        <f t="shared" si="101"/>
        <v>Northpoint220Houston</v>
      </c>
      <c r="H1287" t="s">
        <v>32145</v>
      </c>
      <c r="I1287" t="s">
        <v>23574</v>
      </c>
      <c r="J1287" t="str">
        <f t="shared" si="102"/>
        <v>E:\PropInv\MF</v>
      </c>
      <c r="K1287" s="103" t="str">
        <f>HYPERLINK("E:\PropInv\MF\Houston\Northpoint_220_Northpoint Square_Houston_01465","Northpoint_220_Northpoint Square_Houston_01465" )</f>
        <v>Northpoint_220_Northpoint Square_Houston_01465</v>
      </c>
      <c r="L1287" s="104" t="s">
        <v>22253</v>
      </c>
      <c r="M1287" s="103" t="str">
        <f t="shared" si="103"/>
        <v>http://oconnordata.com/mlink/modules/profile/index.cfm?action=profile&amp;prop_id=1465</v>
      </c>
      <c r="N1287" s="1" t="str">
        <f t="shared" si="104"/>
        <v>01465</v>
      </c>
    </row>
    <row r="1288" spans="1:14" x14ac:dyDescent="0.3">
      <c r="A1288" s="1">
        <v>1466</v>
      </c>
      <c r="B1288" s="7" t="s">
        <v>1975</v>
      </c>
      <c r="C1288" s="12">
        <v>11960</v>
      </c>
      <c r="D1288" s="7" t="s">
        <v>1976</v>
      </c>
      <c r="E1288" s="13" t="s">
        <v>1657</v>
      </c>
      <c r="F1288" t="str">
        <f t="shared" si="100"/>
        <v>Airline</v>
      </c>
      <c r="G1288" t="str">
        <f t="shared" si="101"/>
        <v>Airline11960Houston</v>
      </c>
      <c r="H1288" t="s">
        <v>32146</v>
      </c>
      <c r="I1288" t="s">
        <v>23575</v>
      </c>
      <c r="J1288" t="str">
        <f t="shared" si="102"/>
        <v>E:\PropInv\MF</v>
      </c>
      <c r="K1288" s="103" t="str">
        <f>HYPERLINK("E:\PropInv\MF\Houston\Airline_11960_Northgate_Houston_01466","Airline_11960_Northgate_Houston_01466" )</f>
        <v>Airline_11960_Northgate_Houston_01466</v>
      </c>
      <c r="L1288" s="104" t="s">
        <v>22253</v>
      </c>
      <c r="M1288" s="103" t="str">
        <f t="shared" si="103"/>
        <v>http://oconnordata.com/mlink/modules/profile/index.cfm?action=profile&amp;prop_id=1466</v>
      </c>
      <c r="N1288" s="1" t="str">
        <f t="shared" si="104"/>
        <v>01466</v>
      </c>
    </row>
    <row r="1289" spans="1:14" x14ac:dyDescent="0.3">
      <c r="A1289" s="1">
        <v>1468</v>
      </c>
      <c r="B1289" s="7" t="s">
        <v>1977</v>
      </c>
      <c r="C1289" s="12">
        <v>100</v>
      </c>
      <c r="D1289" s="7" t="s">
        <v>1978</v>
      </c>
      <c r="E1289" s="13" t="s">
        <v>1657</v>
      </c>
      <c r="F1289" t="str">
        <f t="shared" si="100"/>
        <v>Dyna</v>
      </c>
      <c r="G1289" t="str">
        <f t="shared" si="101"/>
        <v>Dyna100Houston</v>
      </c>
      <c r="H1289" t="s">
        <v>32147</v>
      </c>
      <c r="I1289" t="s">
        <v>23576</v>
      </c>
      <c r="J1289" t="str">
        <f t="shared" si="102"/>
        <v>E:\PropInv\MF</v>
      </c>
      <c r="K1289" s="103" t="str">
        <f>HYPERLINK("E:\PropInv\MF\Houston\Dyna Dr_100_Oak Leaf Village_Houston_01468","Dyna Dr_100_Oak Leaf Village_Houston_01468" )</f>
        <v>Dyna Dr_100_Oak Leaf Village_Houston_01468</v>
      </c>
      <c r="L1289" s="104" t="s">
        <v>22253</v>
      </c>
      <c r="M1289" s="103" t="str">
        <f t="shared" si="103"/>
        <v>http://oconnordata.com/mlink/modules/profile/index.cfm?action=profile&amp;prop_id=1468</v>
      </c>
      <c r="N1289" s="1" t="str">
        <f t="shared" si="104"/>
        <v>01468</v>
      </c>
    </row>
    <row r="1290" spans="1:14" x14ac:dyDescent="0.3">
      <c r="A1290" s="1">
        <v>1469</v>
      </c>
      <c r="B1290" s="19" t="s">
        <v>1979</v>
      </c>
      <c r="C1290" s="18">
        <v>15715</v>
      </c>
      <c r="D1290" s="19" t="s">
        <v>1980</v>
      </c>
      <c r="E1290" s="20" t="s">
        <v>1657</v>
      </c>
      <c r="F1290" t="str">
        <f t="shared" si="100"/>
        <v>Wagon</v>
      </c>
      <c r="G1290" t="str">
        <f t="shared" si="101"/>
        <v>Wagon15715Houston</v>
      </c>
      <c r="H1290" t="s">
        <v>32148</v>
      </c>
      <c r="I1290" t="s">
        <v>23577</v>
      </c>
      <c r="J1290" t="str">
        <f t="shared" si="102"/>
        <v>E:\PropInv\MF</v>
      </c>
      <c r="K1290" s="103" t="str">
        <f>HYPERLINK("E:\PropInv\MF\Houston\Wagon Rd_15715_Chelsea Walk North_Houston_01469","Wagon Rd_15715_Chelsea Walk North_Houston_01469" )</f>
        <v>Wagon Rd_15715_Chelsea Walk North_Houston_01469</v>
      </c>
      <c r="L1290" s="104" t="s">
        <v>22253</v>
      </c>
      <c r="M1290" s="103" t="str">
        <f t="shared" si="103"/>
        <v>http://oconnordata.com/mlink/modules/profile/index.cfm?action=profile&amp;prop_id=1469</v>
      </c>
      <c r="N1290" s="1" t="str">
        <f t="shared" si="104"/>
        <v>01469</v>
      </c>
    </row>
    <row r="1291" spans="1:14" x14ac:dyDescent="0.3">
      <c r="A1291" s="1">
        <v>1470</v>
      </c>
      <c r="B1291" s="7" t="s">
        <v>1717</v>
      </c>
      <c r="C1291" s="12">
        <v>17133</v>
      </c>
      <c r="D1291" s="7" t="s">
        <v>1981</v>
      </c>
      <c r="E1291" s="13" t="s">
        <v>1657</v>
      </c>
      <c r="F1291" t="str">
        <f t="shared" si="100"/>
        <v>Imperial</v>
      </c>
      <c r="G1291" t="str">
        <f t="shared" si="101"/>
        <v>Imperial17133Houston</v>
      </c>
      <c r="H1291" t="s">
        <v>32149</v>
      </c>
      <c r="I1291" t="s">
        <v>23578</v>
      </c>
      <c r="J1291" t="str">
        <f t="shared" si="102"/>
        <v>E:\PropInv\MF</v>
      </c>
      <c r="K1291" s="103" t="str">
        <f>HYPERLINK("E:\PropInv\MF\Houston\Imperial Valley Dr_17133_Springfield at CityView II_Houston_01470","Imperial Valley Dr_17133_Springfield at CityView II_Houston_01470" )</f>
        <v>Imperial Valley Dr_17133_Springfield at CityView II_Houston_01470</v>
      </c>
      <c r="L1291" s="104" t="s">
        <v>22253</v>
      </c>
      <c r="M1291" s="103" t="str">
        <f t="shared" si="103"/>
        <v>http://oconnordata.com/mlink/modules/profile/index.cfm?action=profile&amp;prop_id=1470</v>
      </c>
      <c r="N1291" s="1" t="str">
        <f t="shared" si="104"/>
        <v>01470</v>
      </c>
    </row>
    <row r="1292" spans="1:14" x14ac:dyDescent="0.3">
      <c r="A1292" s="1">
        <v>1471</v>
      </c>
      <c r="B1292" s="7" t="s">
        <v>1982</v>
      </c>
      <c r="C1292" s="12">
        <v>11411</v>
      </c>
      <c r="D1292" s="7" t="s">
        <v>441</v>
      </c>
      <c r="E1292" s="13" t="s">
        <v>1657</v>
      </c>
      <c r="F1292" t="str">
        <f t="shared" si="100"/>
        <v>Green</v>
      </c>
      <c r="G1292" t="str">
        <f t="shared" si="101"/>
        <v>Green11411Houston</v>
      </c>
      <c r="H1292" t="s">
        <v>32150</v>
      </c>
      <c r="I1292" t="s">
        <v>23579</v>
      </c>
      <c r="J1292" t="str">
        <f t="shared" si="102"/>
        <v>E:\PropInv\MF</v>
      </c>
      <c r="K1292" s="103" t="str">
        <f>HYPERLINK("E:\PropInv\MF\Houston\Green Plaza_11411_Walnut Creek_Houston_01471","Green Plaza_11411_Walnut Creek_Houston_01471" )</f>
        <v>Green Plaza_11411_Walnut Creek_Houston_01471</v>
      </c>
      <c r="L1292" s="104" t="s">
        <v>22253</v>
      </c>
      <c r="M1292" s="103" t="str">
        <f t="shared" si="103"/>
        <v>http://oconnordata.com/mlink/modules/profile/index.cfm?action=profile&amp;prop_id=1471</v>
      </c>
      <c r="N1292" s="1" t="str">
        <f t="shared" si="104"/>
        <v>01471</v>
      </c>
    </row>
    <row r="1293" spans="1:14" x14ac:dyDescent="0.3">
      <c r="A1293" s="1">
        <v>1472</v>
      </c>
      <c r="B1293" s="7" t="s">
        <v>1983</v>
      </c>
      <c r="C1293" s="12">
        <v>11500</v>
      </c>
      <c r="D1293" s="7" t="s">
        <v>1984</v>
      </c>
      <c r="E1293" s="13" t="s">
        <v>1657</v>
      </c>
      <c r="F1293" t="str">
        <f t="shared" si="100"/>
        <v>Greens</v>
      </c>
      <c r="G1293" t="str">
        <f t="shared" si="101"/>
        <v>Greens11500Houston</v>
      </c>
      <c r="H1293" t="s">
        <v>32151</v>
      </c>
      <c r="I1293" t="s">
        <v>23580</v>
      </c>
      <c r="J1293" t="str">
        <f t="shared" si="102"/>
        <v>E:\PropInv\MF</v>
      </c>
      <c r="K1293" s="103" t="str">
        <f>HYPERLINK("E:\PropInv\MF\Houston\Greens Plaza_11500_Canyon Club_Houston_01472","Greens Plaza_11500_Canyon Club_Houston_01472" )</f>
        <v>Greens Plaza_11500_Canyon Club_Houston_01472</v>
      </c>
      <c r="L1293" s="104" t="s">
        <v>22253</v>
      </c>
      <c r="M1293" s="103" t="str">
        <f t="shared" si="103"/>
        <v>http://oconnordata.com/mlink/modules/profile/index.cfm?action=profile&amp;prop_id=1472</v>
      </c>
      <c r="N1293" s="1" t="str">
        <f t="shared" si="104"/>
        <v>01472</v>
      </c>
    </row>
    <row r="1294" spans="1:14" x14ac:dyDescent="0.3">
      <c r="A1294" s="1">
        <v>1473</v>
      </c>
      <c r="B1294" s="7" t="s">
        <v>1985</v>
      </c>
      <c r="C1294" s="12">
        <v>125</v>
      </c>
      <c r="D1294" s="7" t="s">
        <v>1986</v>
      </c>
      <c r="E1294" s="13" t="s">
        <v>1657</v>
      </c>
      <c r="F1294" t="str">
        <f t="shared" si="100"/>
        <v>Dyna</v>
      </c>
      <c r="G1294" t="str">
        <f t="shared" si="101"/>
        <v>Dyna125Houston</v>
      </c>
      <c r="H1294" t="s">
        <v>32152</v>
      </c>
      <c r="I1294" t="s">
        <v>23581</v>
      </c>
      <c r="J1294" t="str">
        <f t="shared" si="102"/>
        <v>E:\PropInv\MF</v>
      </c>
      <c r="K1294" s="103" t="str">
        <f>HYPERLINK("E:\PropInv\MF\Houston\Dyna_125_Los Prados_Houston_01473","Dyna_125_Los Prados_Houston_01473" )</f>
        <v>Dyna_125_Los Prados_Houston_01473</v>
      </c>
      <c r="L1294" s="104" t="s">
        <v>22253</v>
      </c>
      <c r="M1294" s="103" t="str">
        <f t="shared" si="103"/>
        <v>http://oconnordata.com/mlink/modules/profile/index.cfm?action=profile&amp;prop_id=1473</v>
      </c>
      <c r="N1294" s="1" t="str">
        <f t="shared" si="104"/>
        <v>01473</v>
      </c>
    </row>
    <row r="1295" spans="1:14" x14ac:dyDescent="0.3">
      <c r="A1295" s="1">
        <v>1474</v>
      </c>
      <c r="B1295" s="7" t="s">
        <v>1987</v>
      </c>
      <c r="C1295" s="12">
        <v>2</v>
      </c>
      <c r="D1295" s="7" t="s">
        <v>1988</v>
      </c>
      <c r="E1295" s="13" t="s">
        <v>1657</v>
      </c>
      <c r="F1295" t="str">
        <f t="shared" si="100"/>
        <v>Goodson</v>
      </c>
      <c r="G1295" t="str">
        <f t="shared" si="101"/>
        <v>Goodson2Houston</v>
      </c>
      <c r="H1295" t="s">
        <v>32153</v>
      </c>
      <c r="I1295" t="s">
        <v>23582</v>
      </c>
      <c r="J1295" t="str">
        <f t="shared" si="102"/>
        <v>E:\PropInv\MF</v>
      </c>
      <c r="K1295" s="103" t="str">
        <f>HYPERLINK("E:\PropInv\MF\Houston\Goodson Dr_2_Casa Verde_Houston_01474","Goodson Dr_2_Casa Verde_Houston_01474" )</f>
        <v>Goodson Dr_2_Casa Verde_Houston_01474</v>
      </c>
      <c r="L1295" s="104" t="s">
        <v>22253</v>
      </c>
      <c r="M1295" s="103" t="str">
        <f t="shared" si="103"/>
        <v>http://oconnordata.com/mlink/modules/profile/index.cfm?action=profile&amp;prop_id=1474</v>
      </c>
      <c r="N1295" s="1" t="str">
        <f t="shared" si="104"/>
        <v>01474</v>
      </c>
    </row>
    <row r="1296" spans="1:14" x14ac:dyDescent="0.3">
      <c r="A1296" s="1">
        <v>1475</v>
      </c>
      <c r="B1296" s="7" t="s">
        <v>1989</v>
      </c>
      <c r="C1296" s="12">
        <v>197</v>
      </c>
      <c r="D1296" s="7" t="s">
        <v>1990</v>
      </c>
      <c r="E1296" s="13" t="s">
        <v>1657</v>
      </c>
      <c r="F1296" t="str">
        <f t="shared" si="100"/>
        <v>Goodson</v>
      </c>
      <c r="G1296" t="str">
        <f t="shared" si="101"/>
        <v>Goodson197Houston</v>
      </c>
      <c r="H1296" t="s">
        <v>32154</v>
      </c>
      <c r="I1296" t="s">
        <v>23583</v>
      </c>
      <c r="J1296" t="str">
        <f t="shared" si="102"/>
        <v>E:\PropInv\MF</v>
      </c>
      <c r="K1296" s="103" t="str">
        <f>HYPERLINK("E:\PropInv\MF\Houston\Goodson_197_Regency Crossing_Houston_01475","Goodson_197_Regency Crossing_Houston_01475" )</f>
        <v>Goodson_197_Regency Crossing_Houston_01475</v>
      </c>
      <c r="L1296" s="104" t="s">
        <v>22253</v>
      </c>
      <c r="M1296" s="103" t="str">
        <f t="shared" si="103"/>
        <v>http://oconnordata.com/mlink/modules/profile/index.cfm?action=profile&amp;prop_id=1475</v>
      </c>
      <c r="N1296" s="1" t="str">
        <f t="shared" si="104"/>
        <v>01475</v>
      </c>
    </row>
    <row r="1297" spans="1:14" x14ac:dyDescent="0.3">
      <c r="A1297" s="1">
        <v>1476</v>
      </c>
      <c r="B1297" s="7" t="s">
        <v>1989</v>
      </c>
      <c r="C1297" s="12">
        <v>198</v>
      </c>
      <c r="D1297" s="7" t="s">
        <v>1991</v>
      </c>
      <c r="E1297" s="13" t="s">
        <v>1657</v>
      </c>
      <c r="F1297" t="str">
        <f t="shared" si="100"/>
        <v>Goodson</v>
      </c>
      <c r="G1297" t="str">
        <f t="shared" si="101"/>
        <v>Goodson198Houston</v>
      </c>
      <c r="H1297" t="s">
        <v>32155</v>
      </c>
      <c r="I1297" t="s">
        <v>23584</v>
      </c>
      <c r="J1297" t="str">
        <f t="shared" si="102"/>
        <v>E:\PropInv\MF</v>
      </c>
      <c r="K1297" s="103" t="str">
        <f>HYPERLINK("E:\PropInv\MF\Houston\Goodson_198_Valley Oaks_Houston_01476","Goodson_198_Valley Oaks_Houston_01476" )</f>
        <v>Goodson_198_Valley Oaks_Houston_01476</v>
      </c>
      <c r="L1297" s="104" t="s">
        <v>22253</v>
      </c>
      <c r="M1297" s="103" t="str">
        <f t="shared" si="103"/>
        <v>http://oconnordata.com/mlink/modules/profile/index.cfm?action=profile&amp;prop_id=1476</v>
      </c>
      <c r="N1297" s="1" t="str">
        <f t="shared" si="104"/>
        <v>01476</v>
      </c>
    </row>
    <row r="1298" spans="1:14" x14ac:dyDescent="0.3">
      <c r="A1298" s="1">
        <v>1478</v>
      </c>
      <c r="B1298" s="7" t="s">
        <v>1989</v>
      </c>
      <c r="C1298" s="12">
        <v>103</v>
      </c>
      <c r="D1298" s="7" t="s">
        <v>1992</v>
      </c>
      <c r="E1298" s="13" t="s">
        <v>1657</v>
      </c>
      <c r="F1298" t="str">
        <f t="shared" si="100"/>
        <v>Goodson</v>
      </c>
      <c r="G1298" t="str">
        <f t="shared" si="101"/>
        <v>Goodson103Houston</v>
      </c>
      <c r="H1298" t="s">
        <v>32156</v>
      </c>
      <c r="I1298" t="s">
        <v>23585</v>
      </c>
      <c r="J1298" t="str">
        <f t="shared" si="102"/>
        <v>E:\PropInv\MF</v>
      </c>
      <c r="K1298" s="103" t="str">
        <f>HYPERLINK("E:\PropInv\MF\Houston\Goodson_103_Magnolia Regency I_Houston_01478","Goodson_103_Magnolia Regency I_Houston_01478" )</f>
        <v>Goodson_103_Magnolia Regency I_Houston_01478</v>
      </c>
      <c r="L1298" s="104" t="s">
        <v>22253</v>
      </c>
      <c r="M1298" s="103" t="str">
        <f t="shared" si="103"/>
        <v>http://oconnordata.com/mlink/modules/profile/index.cfm?action=profile&amp;prop_id=1478</v>
      </c>
      <c r="N1298" s="1" t="str">
        <f t="shared" si="104"/>
        <v>01478</v>
      </c>
    </row>
    <row r="1299" spans="1:14" x14ac:dyDescent="0.3">
      <c r="A1299" s="1">
        <v>1479</v>
      </c>
      <c r="B1299" s="7" t="s">
        <v>1989</v>
      </c>
      <c r="C1299" s="12">
        <v>185</v>
      </c>
      <c r="D1299" s="7" t="s">
        <v>1993</v>
      </c>
      <c r="E1299" s="13" t="s">
        <v>1657</v>
      </c>
      <c r="F1299" t="str">
        <f t="shared" si="100"/>
        <v>Goodson</v>
      </c>
      <c r="G1299" t="str">
        <f t="shared" si="101"/>
        <v>Goodson185Houston</v>
      </c>
      <c r="H1299" t="s">
        <v>32157</v>
      </c>
      <c r="I1299" t="s">
        <v>23586</v>
      </c>
      <c r="J1299" t="str">
        <f t="shared" si="102"/>
        <v>E:\PropInv\MF</v>
      </c>
      <c r="K1299" s="103" t="str">
        <f>HYPERLINK("E:\PropInv\MF\Houston\Goodson_185_Magnolia Regency II_Houston_01479","Goodson_185_Magnolia Regency II_Houston_01479" )</f>
        <v>Goodson_185_Magnolia Regency II_Houston_01479</v>
      </c>
      <c r="L1299" s="104" t="s">
        <v>22253</v>
      </c>
      <c r="M1299" s="103" t="str">
        <f t="shared" si="103"/>
        <v>http://oconnordata.com/mlink/modules/profile/index.cfm?action=profile&amp;prop_id=1479</v>
      </c>
      <c r="N1299" s="1" t="str">
        <f t="shared" si="104"/>
        <v>01479</v>
      </c>
    </row>
    <row r="1300" spans="1:14" x14ac:dyDescent="0.3">
      <c r="A1300" s="1">
        <v>1480</v>
      </c>
      <c r="B1300" s="7" t="s">
        <v>1717</v>
      </c>
      <c r="C1300" s="12">
        <v>16303</v>
      </c>
      <c r="D1300" s="7" t="s">
        <v>1994</v>
      </c>
      <c r="E1300" s="13" t="s">
        <v>1657</v>
      </c>
      <c r="F1300" t="str">
        <f t="shared" si="100"/>
        <v>Imperial</v>
      </c>
      <c r="G1300" t="str">
        <f t="shared" si="101"/>
        <v>Imperial16303Houston</v>
      </c>
      <c r="H1300" t="s">
        <v>32158</v>
      </c>
      <c r="I1300" t="s">
        <v>23587</v>
      </c>
      <c r="J1300" t="str">
        <f t="shared" si="102"/>
        <v>E:\PropInv\MF</v>
      </c>
      <c r="K1300" s="103" t="str">
        <f>HYPERLINK("E:\PropInv\MF\Houston\Imperial Valley Dr_16303_Deer Creek_Houston_01480","Imperial Valley Dr_16303_Deer Creek_Houston_01480" )</f>
        <v>Imperial Valley Dr_16303_Deer Creek_Houston_01480</v>
      </c>
      <c r="L1300" s="104" t="s">
        <v>22253</v>
      </c>
      <c r="M1300" s="103" t="str">
        <f t="shared" si="103"/>
        <v>http://oconnordata.com/mlink/modules/profile/index.cfm?action=profile&amp;prop_id=1480</v>
      </c>
      <c r="N1300" s="1" t="str">
        <f t="shared" si="104"/>
        <v>01480</v>
      </c>
    </row>
    <row r="1301" spans="1:14" x14ac:dyDescent="0.3">
      <c r="A1301" s="1">
        <v>1481</v>
      </c>
      <c r="B1301" s="7" t="s">
        <v>1715</v>
      </c>
      <c r="C1301" s="12">
        <v>17050</v>
      </c>
      <c r="D1301" s="7" t="s">
        <v>1995</v>
      </c>
      <c r="E1301" s="13" t="s">
        <v>1657</v>
      </c>
      <c r="F1301" t="str">
        <f t="shared" si="100"/>
        <v>Imperial</v>
      </c>
      <c r="G1301" t="str">
        <f t="shared" si="101"/>
        <v>Imperial17050Houston</v>
      </c>
      <c r="H1301" t="s">
        <v>32159</v>
      </c>
      <c r="I1301" t="s">
        <v>23588</v>
      </c>
      <c r="J1301" t="str">
        <f t="shared" si="102"/>
        <v>E:\PropInv\MF</v>
      </c>
      <c r="K1301" s="103" t="str">
        <f>HYPERLINK("E:\PropInv\MF\Houston\Imperial Valley_17050_Biscayne at CityView I_Houston_01481","Imperial Valley_17050_Biscayne at CityView I_Houston_01481" )</f>
        <v>Imperial Valley_17050_Biscayne at CityView I_Houston_01481</v>
      </c>
      <c r="L1301" s="104" t="s">
        <v>22253</v>
      </c>
      <c r="M1301" s="103" t="str">
        <f t="shared" si="103"/>
        <v>http://oconnordata.com/mlink/modules/profile/index.cfm?action=profile&amp;prop_id=1481</v>
      </c>
      <c r="N1301" s="1" t="str">
        <f t="shared" si="104"/>
        <v>01481</v>
      </c>
    </row>
    <row r="1302" spans="1:14" x14ac:dyDescent="0.3">
      <c r="A1302" s="1">
        <v>1482</v>
      </c>
      <c r="B1302" s="7" t="s">
        <v>1996</v>
      </c>
      <c r="C1302" s="12">
        <v>717</v>
      </c>
      <c r="D1302" s="7" t="s">
        <v>1997</v>
      </c>
      <c r="E1302" s="13" t="s">
        <v>1657</v>
      </c>
      <c r="F1302" t="str">
        <f t="shared" si="100"/>
        <v>Richcrest</v>
      </c>
      <c r="G1302" t="str">
        <f t="shared" si="101"/>
        <v>Richcrest717Houston</v>
      </c>
      <c r="H1302" t="s">
        <v>32160</v>
      </c>
      <c r="I1302" t="s">
        <v>23589</v>
      </c>
      <c r="J1302" t="str">
        <f t="shared" si="102"/>
        <v>E:\PropInv\MF</v>
      </c>
      <c r="K1302" s="103" t="str">
        <f>HYPERLINK("E:\PropInv\MF\Houston\Richcrest_717_Royale De Ville_Houston_01482","Richcrest_717_Royale De Ville_Houston_01482" )</f>
        <v>Richcrest_717_Royale De Ville_Houston_01482</v>
      </c>
      <c r="L1302" s="104" t="s">
        <v>22253</v>
      </c>
      <c r="M1302" s="103" t="str">
        <f t="shared" si="103"/>
        <v>http://oconnordata.com/mlink/modules/profile/index.cfm?action=profile&amp;prop_id=1482</v>
      </c>
      <c r="N1302" s="1" t="str">
        <f t="shared" si="104"/>
        <v>01482</v>
      </c>
    </row>
    <row r="1303" spans="1:14" x14ac:dyDescent="0.3">
      <c r="A1303" s="1">
        <v>1483</v>
      </c>
      <c r="B1303" s="7" t="s">
        <v>1996</v>
      </c>
      <c r="C1303" s="12">
        <v>818</v>
      </c>
      <c r="D1303" s="7" t="s">
        <v>1998</v>
      </c>
      <c r="E1303" s="13" t="s">
        <v>1657</v>
      </c>
      <c r="F1303" t="str">
        <f t="shared" si="100"/>
        <v>Richcrest</v>
      </c>
      <c r="G1303" t="str">
        <f t="shared" si="101"/>
        <v>Richcrest818Houston</v>
      </c>
      <c r="H1303" t="s">
        <v>32161</v>
      </c>
      <c r="I1303" t="s">
        <v>23590</v>
      </c>
      <c r="J1303" t="str">
        <f t="shared" si="102"/>
        <v>E:\PropInv\MF</v>
      </c>
      <c r="K1303" s="103" t="str">
        <f>HYPERLINK("E:\PropInv\MF\Houston\Richcrest_818_Greenbriar Park North_Houston_01483","Richcrest_818_Greenbriar Park North_Houston_01483" )</f>
        <v>Richcrest_818_Greenbriar Park North_Houston_01483</v>
      </c>
      <c r="L1303" s="104" t="s">
        <v>22253</v>
      </c>
      <c r="M1303" s="103" t="str">
        <f t="shared" si="103"/>
        <v>http://oconnordata.com/mlink/modules/profile/index.cfm?action=profile&amp;prop_id=1483</v>
      </c>
      <c r="N1303" s="1" t="str">
        <f t="shared" si="104"/>
        <v>01483</v>
      </c>
    </row>
    <row r="1304" spans="1:14" x14ac:dyDescent="0.3">
      <c r="A1304" s="1">
        <v>1484</v>
      </c>
      <c r="B1304" s="7" t="s">
        <v>1999</v>
      </c>
      <c r="C1304" s="12">
        <v>535</v>
      </c>
      <c r="D1304" s="7" t="s">
        <v>2000</v>
      </c>
      <c r="E1304" s="13" t="s">
        <v>1657</v>
      </c>
      <c r="F1304" t="str">
        <f t="shared" si="100"/>
        <v>Seminar</v>
      </c>
      <c r="G1304" t="str">
        <f t="shared" si="101"/>
        <v>Seminar535Houston</v>
      </c>
      <c r="H1304" t="s">
        <v>32162</v>
      </c>
      <c r="I1304" t="s">
        <v>23591</v>
      </c>
      <c r="J1304" t="str">
        <f t="shared" si="102"/>
        <v>E:\PropInv\MF</v>
      </c>
      <c r="K1304" s="103" t="str">
        <f>HYPERLINK("E:\PropInv\MF\Houston\Seminar Dr_535_Breckenridge at CityView II_Houston_01484","Seminar Dr_535_Breckenridge at CityView II_Houston_01484" )</f>
        <v>Seminar Dr_535_Breckenridge at CityView II_Houston_01484</v>
      </c>
      <c r="L1304" s="104" t="s">
        <v>22253</v>
      </c>
      <c r="M1304" s="103" t="str">
        <f t="shared" si="103"/>
        <v>http://oconnordata.com/mlink/modules/profile/index.cfm?action=profile&amp;prop_id=1484</v>
      </c>
      <c r="N1304" s="1" t="str">
        <f t="shared" si="104"/>
        <v>01484</v>
      </c>
    </row>
    <row r="1305" spans="1:14" x14ac:dyDescent="0.3">
      <c r="A1305" s="1">
        <v>1486</v>
      </c>
      <c r="B1305" s="7" t="s">
        <v>2001</v>
      </c>
      <c r="C1305" s="12">
        <v>17630</v>
      </c>
      <c r="D1305" s="7" t="s">
        <v>2002</v>
      </c>
      <c r="E1305" s="13" t="s">
        <v>1657</v>
      </c>
      <c r="F1305" t="str">
        <f t="shared" si="100"/>
        <v>Wayforest</v>
      </c>
      <c r="G1305" t="str">
        <f t="shared" si="101"/>
        <v>Wayforest17630Houston</v>
      </c>
      <c r="H1305" t="s">
        <v>32163</v>
      </c>
      <c r="I1305" t="s">
        <v>23592</v>
      </c>
      <c r="J1305" t="str">
        <f t="shared" si="102"/>
        <v>E:\PropInv\MF</v>
      </c>
      <c r="K1305" s="103" t="str">
        <f>HYPERLINK("E:\PropInv\MF\Houston\Wayforest Dr_17630_Augusta at CityView_Houston_01486","Wayforest Dr_17630_Augusta at CityView_Houston_01486" )</f>
        <v>Wayforest Dr_17630_Augusta at CityView_Houston_01486</v>
      </c>
      <c r="L1305" s="104" t="s">
        <v>22253</v>
      </c>
      <c r="M1305" s="103" t="str">
        <f t="shared" si="103"/>
        <v>http://oconnordata.com/mlink/modules/profile/index.cfm?action=profile&amp;prop_id=1486</v>
      </c>
      <c r="N1305" s="1" t="str">
        <f t="shared" si="104"/>
        <v>01486</v>
      </c>
    </row>
    <row r="1306" spans="1:14" x14ac:dyDescent="0.3">
      <c r="A1306" s="1">
        <v>1487</v>
      </c>
      <c r="B1306" s="7" t="s">
        <v>2001</v>
      </c>
      <c r="C1306" s="12">
        <v>17715</v>
      </c>
      <c r="D1306" s="7" t="s">
        <v>2003</v>
      </c>
      <c r="E1306" s="13" t="s">
        <v>1657</v>
      </c>
      <c r="F1306" t="str">
        <f t="shared" si="100"/>
        <v>Wayforest</v>
      </c>
      <c r="G1306" t="str">
        <f t="shared" si="101"/>
        <v>Wayforest17715Houston</v>
      </c>
      <c r="H1306" t="s">
        <v>32164</v>
      </c>
      <c r="I1306" t="s">
        <v>23593</v>
      </c>
      <c r="J1306" t="str">
        <f t="shared" si="102"/>
        <v>E:\PropInv\MF</v>
      </c>
      <c r="K1306" s="103" t="str">
        <f>HYPERLINK("E:\PropInv\MF\Houston\Wayforest Dr_17715_Savannah at CityView_Houston_01487","Wayforest Dr_17715_Savannah at CityView_Houston_01487" )</f>
        <v>Wayforest Dr_17715_Savannah at CityView_Houston_01487</v>
      </c>
      <c r="L1306" s="104" t="s">
        <v>22253</v>
      </c>
      <c r="M1306" s="103" t="str">
        <f t="shared" si="103"/>
        <v>http://oconnordata.com/mlink/modules/profile/index.cfm?action=profile&amp;prop_id=1487</v>
      </c>
      <c r="N1306" s="1" t="str">
        <f t="shared" si="104"/>
        <v>01487</v>
      </c>
    </row>
    <row r="1307" spans="1:14" x14ac:dyDescent="0.3">
      <c r="A1307" s="1">
        <v>1489</v>
      </c>
      <c r="B1307" s="7" t="s">
        <v>2004</v>
      </c>
      <c r="C1307" s="12">
        <v>14400</v>
      </c>
      <c r="D1307" s="7" t="s">
        <v>2005</v>
      </c>
      <c r="E1307" s="13" t="s">
        <v>1763</v>
      </c>
      <c r="F1307" t="str">
        <f t="shared" si="100"/>
        <v>59</v>
      </c>
      <c r="G1307" t="str">
        <f t="shared" si="101"/>
        <v>5914400Humble</v>
      </c>
      <c r="H1307" t="s">
        <v>32165</v>
      </c>
      <c r="I1307" t="s">
        <v>23594</v>
      </c>
      <c r="J1307" t="str">
        <f t="shared" si="102"/>
        <v>E:\PropInv\MF</v>
      </c>
      <c r="K1307" s="103" t="str">
        <f>HYPERLINK("E:\PropInv\MF\Humble\59 Hwy_14400_Bender Creek_Humble_01489","59 Hwy_14400_Bender Creek_Humble_01489" )</f>
        <v>59 Hwy_14400_Bender Creek_Humble_01489</v>
      </c>
      <c r="L1307" s="104" t="s">
        <v>22253</v>
      </c>
      <c r="M1307" s="103" t="str">
        <f t="shared" si="103"/>
        <v>http://oconnordata.com/mlink/modules/profile/index.cfm?action=profile&amp;prop_id=1489</v>
      </c>
      <c r="N1307" s="1" t="str">
        <f t="shared" si="104"/>
        <v>01489</v>
      </c>
    </row>
    <row r="1308" spans="1:14" x14ac:dyDescent="0.3">
      <c r="A1308" s="1">
        <v>1491</v>
      </c>
      <c r="B1308" s="7" t="s">
        <v>1715</v>
      </c>
      <c r="C1308" s="12">
        <v>17030</v>
      </c>
      <c r="D1308" s="7" t="s">
        <v>2006</v>
      </c>
      <c r="E1308" s="13" t="s">
        <v>1657</v>
      </c>
      <c r="F1308" t="str">
        <f t="shared" si="100"/>
        <v>Imperial</v>
      </c>
      <c r="G1308" t="str">
        <f t="shared" si="101"/>
        <v>Imperial17030Houston</v>
      </c>
      <c r="H1308" t="s">
        <v>32166</v>
      </c>
      <c r="I1308" t="s">
        <v>23595</v>
      </c>
      <c r="J1308" t="str">
        <f t="shared" si="102"/>
        <v>E:\PropInv\MF</v>
      </c>
      <c r="K1308" s="103" t="str">
        <f>HYPERLINK("E:\PropInv\MF\Houston\Imperial Valley_17030_Biscayne at CityView II_Houston_01491","Imperial Valley_17030_Biscayne at CityView II_Houston_01491" )</f>
        <v>Imperial Valley_17030_Biscayne at CityView II_Houston_01491</v>
      </c>
      <c r="L1308" s="104" t="s">
        <v>22253</v>
      </c>
      <c r="M1308" s="103" t="str">
        <f t="shared" si="103"/>
        <v>http://oconnordata.com/mlink/modules/profile/index.cfm?action=profile&amp;prop_id=1491</v>
      </c>
      <c r="N1308" s="1" t="str">
        <f t="shared" si="104"/>
        <v>01491</v>
      </c>
    </row>
    <row r="1309" spans="1:14" x14ac:dyDescent="0.3">
      <c r="A1309" s="1">
        <v>1492</v>
      </c>
      <c r="B1309" s="7" t="s">
        <v>1715</v>
      </c>
      <c r="C1309" s="12">
        <v>17103</v>
      </c>
      <c r="D1309" s="7" t="s">
        <v>2007</v>
      </c>
      <c r="E1309" s="13" t="s">
        <v>1657</v>
      </c>
      <c r="F1309" t="str">
        <f t="shared" si="100"/>
        <v>Imperial</v>
      </c>
      <c r="G1309" t="str">
        <f t="shared" si="101"/>
        <v>Imperial17103Houston</v>
      </c>
      <c r="H1309" t="s">
        <v>32167</v>
      </c>
      <c r="I1309" t="s">
        <v>23596</v>
      </c>
      <c r="J1309" t="str">
        <f t="shared" si="102"/>
        <v>E:\PropInv\MF</v>
      </c>
      <c r="K1309" s="103" t="str">
        <f>HYPERLINK("E:\PropInv\MF\Houston\Imperial Valley_17103_Amherst at CityView_Houston_01492","Imperial Valley_17103_Amherst at CityView_Houston_01492" )</f>
        <v>Imperial Valley_17103_Amherst at CityView_Houston_01492</v>
      </c>
      <c r="L1309" s="104" t="s">
        <v>22253</v>
      </c>
      <c r="M1309" s="103" t="str">
        <f t="shared" si="103"/>
        <v>http://oconnordata.com/mlink/modules/profile/index.cfm?action=profile&amp;prop_id=1492</v>
      </c>
      <c r="N1309" s="1" t="str">
        <f t="shared" si="104"/>
        <v>01492</v>
      </c>
    </row>
    <row r="1310" spans="1:14" x14ac:dyDescent="0.3">
      <c r="A1310" s="1">
        <v>1493</v>
      </c>
      <c r="B1310" s="7" t="s">
        <v>2008</v>
      </c>
      <c r="C1310" s="12">
        <v>850</v>
      </c>
      <c r="D1310" s="7" t="s">
        <v>2009</v>
      </c>
      <c r="E1310" s="13" t="s">
        <v>1657</v>
      </c>
      <c r="F1310" t="str">
        <f t="shared" si="100"/>
        <v>Harvest</v>
      </c>
      <c r="G1310" t="str">
        <f t="shared" si="101"/>
        <v>Harvest850Houston</v>
      </c>
      <c r="H1310" t="s">
        <v>32168</v>
      </c>
      <c r="I1310" t="s">
        <v>23597</v>
      </c>
      <c r="J1310" t="str">
        <f t="shared" si="102"/>
        <v>E:\PropInv\MF</v>
      </c>
      <c r="K1310" s="103" t="str">
        <f>HYPERLINK("E:\PropInv\MF\Houston\Harvest Time Ln_850_The Charleston at CityView_Houston_01493","Harvest Time Ln_850_The Charleston at CityView_Houston_01493" )</f>
        <v>Harvest Time Ln_850_The Charleston at CityView_Houston_01493</v>
      </c>
      <c r="L1310" s="104" t="s">
        <v>22253</v>
      </c>
      <c r="M1310" s="103" t="str">
        <f t="shared" si="103"/>
        <v>http://oconnordata.com/mlink/modules/profile/index.cfm?action=profile&amp;prop_id=1493</v>
      </c>
      <c r="N1310" s="1" t="str">
        <f t="shared" si="104"/>
        <v>01493</v>
      </c>
    </row>
    <row r="1311" spans="1:14" x14ac:dyDescent="0.3">
      <c r="A1311" s="1">
        <v>1494</v>
      </c>
      <c r="B1311" s="7" t="s">
        <v>1937</v>
      </c>
      <c r="C1311" s="12">
        <v>707</v>
      </c>
      <c r="D1311" s="7" t="s">
        <v>2010</v>
      </c>
      <c r="E1311" s="13" t="s">
        <v>1657</v>
      </c>
      <c r="F1311" t="str">
        <f t="shared" si="100"/>
        <v>Greens</v>
      </c>
      <c r="G1311" t="str">
        <f t="shared" si="101"/>
        <v>Greens707Houston</v>
      </c>
      <c r="H1311" t="s">
        <v>32169</v>
      </c>
      <c r="I1311" t="s">
        <v>23598</v>
      </c>
      <c r="J1311" t="str">
        <f t="shared" si="102"/>
        <v>E:\PropInv\MF</v>
      </c>
      <c r="K1311" s="103" t="str">
        <f>HYPERLINK("E:\PropInv\MF\Houston\Greens Rd_707_Maison de Ville_Houston_01494","Greens Rd_707_Maison de Ville_Houston_01494" )</f>
        <v>Greens Rd_707_Maison de Ville_Houston_01494</v>
      </c>
      <c r="L1311" s="104" t="s">
        <v>22253</v>
      </c>
      <c r="M1311" s="103" t="str">
        <f t="shared" si="103"/>
        <v>http://oconnordata.com/mlink/modules/profile/index.cfm?action=profile&amp;prop_id=1494</v>
      </c>
      <c r="N1311" s="1" t="str">
        <f t="shared" si="104"/>
        <v>01494</v>
      </c>
    </row>
    <row r="1312" spans="1:14" x14ac:dyDescent="0.3">
      <c r="A1312" s="97">
        <v>1495</v>
      </c>
      <c r="B1312" s="7" t="s">
        <v>1937</v>
      </c>
      <c r="C1312" s="12">
        <v>906</v>
      </c>
      <c r="D1312" s="7" t="s">
        <v>2011</v>
      </c>
      <c r="E1312" s="13" t="s">
        <v>1657</v>
      </c>
      <c r="F1312" t="str">
        <f t="shared" si="100"/>
        <v>Greens</v>
      </c>
      <c r="G1312" t="str">
        <f t="shared" si="101"/>
        <v>Greens906Houston</v>
      </c>
      <c r="H1312" t="s">
        <v>32170</v>
      </c>
      <c r="I1312" t="s">
        <v>23599</v>
      </c>
      <c r="J1312" t="str">
        <f t="shared" si="102"/>
        <v>E:\PropInv\MF</v>
      </c>
      <c r="K1312" s="103" t="str">
        <f>HYPERLINK("E:\PropInv\MF\Houston\Greens Rd_906_Woods of Greenbriar_Houston_01495","Greens Rd_906_Woods of Greenbriar_Houston_01495" )</f>
        <v>Greens Rd_906_Woods of Greenbriar_Houston_01495</v>
      </c>
      <c r="L1312" s="104" t="s">
        <v>22253</v>
      </c>
      <c r="M1312" s="103" t="str">
        <f t="shared" si="103"/>
        <v>http://oconnordata.com/mlink/modules/profile/index.cfm?action=profile&amp;prop_id=1495</v>
      </c>
      <c r="N1312" s="1" t="str">
        <f t="shared" si="104"/>
        <v>01495</v>
      </c>
    </row>
    <row r="1313" spans="1:14" x14ac:dyDescent="0.3">
      <c r="A1313" s="1">
        <v>1496</v>
      </c>
      <c r="B1313" s="7" t="s">
        <v>2012</v>
      </c>
      <c r="C1313" s="12">
        <v>16803</v>
      </c>
      <c r="D1313" s="7" t="s">
        <v>2013</v>
      </c>
      <c r="E1313" s="13" t="s">
        <v>1657</v>
      </c>
      <c r="F1313" t="str">
        <f t="shared" si="100"/>
        <v>Carl</v>
      </c>
      <c r="G1313" t="str">
        <f t="shared" si="101"/>
        <v>Carl16803Houston</v>
      </c>
      <c r="H1313" t="s">
        <v>32171</v>
      </c>
      <c r="I1313" t="s">
        <v>23600</v>
      </c>
      <c r="J1313" t="str">
        <f t="shared" si="102"/>
        <v>E:\PropInv\MF</v>
      </c>
      <c r="K1313" s="103" t="str">
        <f>HYPERLINK("E:\PropInv\MF\Houston\Carl Ave_16803_CityView Place II_Houston_01496","Carl Ave_16803_CityView Place II_Houston_01496" )</f>
        <v>Carl Ave_16803_CityView Place II_Houston_01496</v>
      </c>
      <c r="L1313" s="104" t="s">
        <v>22253</v>
      </c>
      <c r="M1313" s="103" t="str">
        <f t="shared" si="103"/>
        <v>http://oconnordata.com/mlink/modules/profile/index.cfm?action=profile&amp;prop_id=1496</v>
      </c>
      <c r="N1313" s="1" t="str">
        <f t="shared" si="104"/>
        <v>01496</v>
      </c>
    </row>
    <row r="1314" spans="1:14" x14ac:dyDescent="0.3">
      <c r="A1314" s="1">
        <v>1497</v>
      </c>
      <c r="B1314" s="19" t="s">
        <v>1715</v>
      </c>
      <c r="C1314" s="18">
        <v>17230</v>
      </c>
      <c r="D1314" s="19" t="s">
        <v>2014</v>
      </c>
      <c r="E1314" s="20" t="s">
        <v>1657</v>
      </c>
      <c r="F1314" t="str">
        <f t="shared" si="100"/>
        <v>Imperial</v>
      </c>
      <c r="G1314" t="str">
        <f t="shared" si="101"/>
        <v>Imperial17230Houston</v>
      </c>
      <c r="H1314" t="s">
        <v>32172</v>
      </c>
      <c r="I1314" t="s">
        <v>23601</v>
      </c>
      <c r="J1314" t="str">
        <f t="shared" si="102"/>
        <v>E:\PropInv\MF</v>
      </c>
      <c r="K1314" s="103" t="str">
        <f>HYPERLINK("E:\PropInv\MF\Houston\Imperial Valley_17230_Greenspoint Landing II_Houston_01497","Imperial Valley_17230_Greenspoint Landing II_Houston_01497" )</f>
        <v>Imperial Valley_17230_Greenspoint Landing II_Houston_01497</v>
      </c>
      <c r="L1314" s="104" t="s">
        <v>22253</v>
      </c>
      <c r="M1314" s="103" t="str">
        <f t="shared" si="103"/>
        <v>http://oconnordata.com/mlink/modules/profile/index.cfm?action=profile&amp;prop_id=1497</v>
      </c>
      <c r="N1314" s="1" t="str">
        <f t="shared" si="104"/>
        <v>01497</v>
      </c>
    </row>
    <row r="1315" spans="1:14" x14ac:dyDescent="0.3">
      <c r="A1315" s="1">
        <v>1498</v>
      </c>
      <c r="B1315" s="7" t="s">
        <v>2015</v>
      </c>
      <c r="C1315" s="12">
        <v>225</v>
      </c>
      <c r="D1315" s="7" t="s">
        <v>2016</v>
      </c>
      <c r="E1315" s="13" t="s">
        <v>1657</v>
      </c>
      <c r="F1315" t="str">
        <f t="shared" si="100"/>
        <v>Aldine</v>
      </c>
      <c r="G1315" t="str">
        <f t="shared" si="101"/>
        <v>Aldine225Houston</v>
      </c>
      <c r="H1315" t="s">
        <v>32173</v>
      </c>
      <c r="I1315" t="s">
        <v>23602</v>
      </c>
      <c r="J1315" t="str">
        <f t="shared" si="102"/>
        <v>E:\PropInv\MF</v>
      </c>
      <c r="K1315" s="103" t="str">
        <f>HYPERLINK("E:\PropInv\MF\Houston\Aldine Bender_225_North Oaks_Houston_01498","Aldine Bender_225_North Oaks_Houston_01498" )</f>
        <v>Aldine Bender_225_North Oaks_Houston_01498</v>
      </c>
      <c r="L1315" s="104" t="s">
        <v>22253</v>
      </c>
      <c r="M1315" s="103" t="str">
        <f t="shared" si="103"/>
        <v>http://oconnordata.com/mlink/modules/profile/index.cfm?action=profile&amp;prop_id=1498</v>
      </c>
      <c r="N1315" s="1" t="str">
        <f t="shared" si="104"/>
        <v>01498</v>
      </c>
    </row>
    <row r="1316" spans="1:14" x14ac:dyDescent="0.3">
      <c r="A1316" s="1">
        <v>1500</v>
      </c>
      <c r="B1316" s="7" t="s">
        <v>1717</v>
      </c>
      <c r="C1316" s="12">
        <v>17206</v>
      </c>
      <c r="D1316" s="7" t="s">
        <v>2017</v>
      </c>
      <c r="E1316" s="13" t="s">
        <v>1657</v>
      </c>
      <c r="F1316" t="str">
        <f t="shared" si="100"/>
        <v>Imperial</v>
      </c>
      <c r="G1316" t="str">
        <f t="shared" si="101"/>
        <v>Imperial17206Houston</v>
      </c>
      <c r="H1316" t="s">
        <v>32174</v>
      </c>
      <c r="I1316" t="s">
        <v>23603</v>
      </c>
      <c r="J1316" t="str">
        <f t="shared" si="102"/>
        <v>E:\PropInv\MF</v>
      </c>
      <c r="K1316" s="103" t="str">
        <f>HYPERLINK("E:\PropInv\MF\Houston\Imperial Valley Dr_17206_Cambridge at CityView_Houston_01500","Imperial Valley Dr_17206_Cambridge at CityView_Houston_01500" )</f>
        <v>Imperial Valley Dr_17206_Cambridge at CityView_Houston_01500</v>
      </c>
      <c r="L1316" s="104" t="s">
        <v>22253</v>
      </c>
      <c r="M1316" s="103" t="str">
        <f t="shared" si="103"/>
        <v>http://oconnordata.com/mlink/modules/profile/index.cfm?action=profile&amp;prop_id=1500</v>
      </c>
      <c r="N1316" s="1" t="str">
        <f t="shared" si="104"/>
        <v>01500</v>
      </c>
    </row>
    <row r="1317" spans="1:14" x14ac:dyDescent="0.3">
      <c r="A1317" s="1">
        <v>1501</v>
      </c>
      <c r="B1317" s="7" t="s">
        <v>1717</v>
      </c>
      <c r="C1317" s="12">
        <v>17435</v>
      </c>
      <c r="D1317" s="7" t="s">
        <v>2018</v>
      </c>
      <c r="E1317" s="13" t="s">
        <v>1657</v>
      </c>
      <c r="F1317" t="str">
        <f t="shared" si="100"/>
        <v>Imperial</v>
      </c>
      <c r="G1317" t="str">
        <f t="shared" si="101"/>
        <v>Imperial17435Houston</v>
      </c>
      <c r="H1317" t="s">
        <v>32175</v>
      </c>
      <c r="I1317" t="s">
        <v>23604</v>
      </c>
      <c r="J1317" t="str">
        <f t="shared" si="102"/>
        <v>E:\PropInv\MF</v>
      </c>
      <c r="K1317" s="103" t="str">
        <f>HYPERLINK("E:\PropInv\MF\Houston\Imperial Valley Dr_17435_Springfield at CityView I_Houston_01501","Imperial Valley Dr_17435_Springfield at CityView I_Houston_01501" )</f>
        <v>Imperial Valley Dr_17435_Springfield at CityView I_Houston_01501</v>
      </c>
      <c r="L1317" s="104" t="s">
        <v>22253</v>
      </c>
      <c r="M1317" s="103" t="str">
        <f t="shared" si="103"/>
        <v>http://oconnordata.com/mlink/modules/profile/index.cfm?action=profile&amp;prop_id=1501</v>
      </c>
      <c r="N1317" s="1" t="str">
        <f t="shared" si="104"/>
        <v>01501</v>
      </c>
    </row>
    <row r="1318" spans="1:14" x14ac:dyDescent="0.3">
      <c r="A1318" s="1">
        <v>1502</v>
      </c>
      <c r="B1318" s="7" t="s">
        <v>1789</v>
      </c>
      <c r="C1318" s="12">
        <v>15521</v>
      </c>
      <c r="D1318" s="7" t="s">
        <v>2019</v>
      </c>
      <c r="E1318" s="13" t="s">
        <v>1657</v>
      </c>
      <c r="F1318" t="str">
        <f t="shared" si="100"/>
        <v>Aldine</v>
      </c>
      <c r="G1318" t="str">
        <f t="shared" si="101"/>
        <v>Aldine15521Houston</v>
      </c>
      <c r="H1318" t="s">
        <v>32176</v>
      </c>
      <c r="I1318" t="s">
        <v>23605</v>
      </c>
      <c r="J1318" t="str">
        <f t="shared" si="102"/>
        <v>E:\PropInv\MF</v>
      </c>
      <c r="K1318" s="103" t="str">
        <f>HYPERLINK("E:\PropInv\MF\Houston\Aldine Westfield_15521_Greenbriar Colony TH_Houston_01502","Aldine Westfield_15521_Greenbriar Colony TH_Houston_01502" )</f>
        <v>Aldine Westfield_15521_Greenbriar Colony TH_Houston_01502</v>
      </c>
      <c r="L1318" s="104" t="s">
        <v>22253</v>
      </c>
      <c r="M1318" s="103" t="str">
        <f t="shared" si="103"/>
        <v>http://oconnordata.com/mlink/modules/profile/index.cfm?action=profile&amp;prop_id=1502</v>
      </c>
      <c r="N1318" s="1" t="str">
        <f t="shared" si="104"/>
        <v>01502</v>
      </c>
    </row>
    <row r="1319" spans="1:14" x14ac:dyDescent="0.3">
      <c r="A1319" s="1">
        <v>1504</v>
      </c>
      <c r="B1319" s="7" t="s">
        <v>2020</v>
      </c>
      <c r="C1319" s="12">
        <v>1100</v>
      </c>
      <c r="D1319" s="7" t="s">
        <v>2021</v>
      </c>
      <c r="E1319" s="13" t="s">
        <v>1657</v>
      </c>
      <c r="F1319" t="str">
        <f t="shared" si="100"/>
        <v>Langwick</v>
      </c>
      <c r="G1319" t="str">
        <f t="shared" si="101"/>
        <v>Langwick1100Houston</v>
      </c>
      <c r="H1319" t="s">
        <v>32177</v>
      </c>
      <c r="I1319" t="s">
        <v>23606</v>
      </c>
      <c r="J1319" t="str">
        <f t="shared" si="102"/>
        <v>E:\PropInv\MF</v>
      </c>
      <c r="K1319" s="103" t="str">
        <f>HYPERLINK("E:\PropInv\MF\Houston\Langwick_1100_Crescent at CityView_Houston_01504","Langwick_1100_Crescent at CityView_Houston_01504" )</f>
        <v>Langwick_1100_Crescent at CityView_Houston_01504</v>
      </c>
      <c r="L1319" s="104" t="s">
        <v>22253</v>
      </c>
      <c r="M1319" s="103" t="str">
        <f t="shared" si="103"/>
        <v>http://oconnordata.com/mlink/modules/profile/index.cfm?action=profile&amp;prop_id=1504</v>
      </c>
      <c r="N1319" s="1" t="str">
        <f t="shared" si="104"/>
        <v>01504</v>
      </c>
    </row>
    <row r="1320" spans="1:14" x14ac:dyDescent="0.3">
      <c r="A1320" s="1">
        <v>1505</v>
      </c>
      <c r="B1320" s="7" t="s">
        <v>2022</v>
      </c>
      <c r="C1320" s="12">
        <v>535</v>
      </c>
      <c r="D1320" s="7" t="s">
        <v>2023</v>
      </c>
      <c r="E1320" s="13" t="s">
        <v>1657</v>
      </c>
      <c r="F1320" t="str">
        <f t="shared" si="100"/>
        <v>Seminar</v>
      </c>
      <c r="G1320" t="str">
        <f t="shared" si="101"/>
        <v>Seminar535Houston</v>
      </c>
      <c r="H1320" t="s">
        <v>32178</v>
      </c>
      <c r="I1320" t="s">
        <v>23607</v>
      </c>
      <c r="J1320" t="str">
        <f t="shared" si="102"/>
        <v>E:\PropInv\MF</v>
      </c>
      <c r="K1320" s="103" t="str">
        <f>HYPERLINK("E:\PropInv\MF\Houston\Seminar_535_Breckenridge at CityView III_Houston_01505","Seminar_535_Breckenridge at CityView III_Houston_01505" )</f>
        <v>Seminar_535_Breckenridge at CityView III_Houston_01505</v>
      </c>
      <c r="L1320" s="104" t="s">
        <v>22253</v>
      </c>
      <c r="M1320" s="103" t="str">
        <f t="shared" si="103"/>
        <v>http://oconnordata.com/mlink/modules/profile/index.cfm?action=profile&amp;prop_id=1505</v>
      </c>
      <c r="N1320" s="1" t="str">
        <f t="shared" si="104"/>
        <v>01505</v>
      </c>
    </row>
    <row r="1321" spans="1:14" x14ac:dyDescent="0.3">
      <c r="A1321" s="1">
        <v>1506</v>
      </c>
      <c r="B1321" s="7" t="s">
        <v>1937</v>
      </c>
      <c r="C1321" s="12">
        <v>1000</v>
      </c>
      <c r="D1321" s="7" t="s">
        <v>2024</v>
      </c>
      <c r="E1321" s="13" t="s">
        <v>1657</v>
      </c>
      <c r="F1321" t="str">
        <f t="shared" si="100"/>
        <v>Greens</v>
      </c>
      <c r="G1321" t="str">
        <f t="shared" si="101"/>
        <v>Greens1000Houston</v>
      </c>
      <c r="H1321" t="s">
        <v>32179</v>
      </c>
      <c r="I1321" t="s">
        <v>23608</v>
      </c>
      <c r="J1321" t="str">
        <f t="shared" si="102"/>
        <v>E:\PropInv\MF</v>
      </c>
      <c r="K1321" s="103" t="str">
        <f>HYPERLINK("E:\PropInv\MF\Houston\Greens Rd_1000_Salado at CityView_Houston_01506","Greens Rd_1000_Salado at CityView_Houston_01506" )</f>
        <v>Greens Rd_1000_Salado at CityView_Houston_01506</v>
      </c>
      <c r="L1321" s="104" t="s">
        <v>22253</v>
      </c>
      <c r="M1321" s="103" t="str">
        <f t="shared" si="103"/>
        <v>http://oconnordata.com/mlink/modules/profile/index.cfm?action=profile&amp;prop_id=1506</v>
      </c>
      <c r="N1321" s="1" t="str">
        <f t="shared" si="104"/>
        <v>01506</v>
      </c>
    </row>
    <row r="1322" spans="1:14" x14ac:dyDescent="0.3">
      <c r="A1322" s="1">
        <v>1507</v>
      </c>
      <c r="B1322" s="7" t="s">
        <v>1999</v>
      </c>
      <c r="C1322" s="12">
        <v>802</v>
      </c>
      <c r="D1322" s="7" t="s">
        <v>2025</v>
      </c>
      <c r="E1322" s="13" t="s">
        <v>1657</v>
      </c>
      <c r="F1322" t="str">
        <f t="shared" si="100"/>
        <v>Seminar</v>
      </c>
      <c r="G1322" t="str">
        <f t="shared" si="101"/>
        <v>Seminar802Houston</v>
      </c>
      <c r="H1322" t="s">
        <v>32180</v>
      </c>
      <c r="I1322" t="s">
        <v>23609</v>
      </c>
      <c r="J1322" t="str">
        <f t="shared" si="102"/>
        <v>E:\PropInv\MF</v>
      </c>
      <c r="K1322" s="103" t="str">
        <f>HYPERLINK("E:\PropInv\MF\Houston\Seminar Dr_802_Arbor Court_Houston_01507","Seminar Dr_802_Arbor Court_Houston_01507" )</f>
        <v>Seminar Dr_802_Arbor Court_Houston_01507</v>
      </c>
      <c r="L1322" s="104" t="s">
        <v>22253</v>
      </c>
      <c r="M1322" s="103" t="str">
        <f t="shared" si="103"/>
        <v>http://oconnordata.com/mlink/modules/profile/index.cfm?action=profile&amp;prop_id=1507</v>
      </c>
      <c r="N1322" s="1" t="str">
        <f t="shared" si="104"/>
        <v>01507</v>
      </c>
    </row>
    <row r="1323" spans="1:14" x14ac:dyDescent="0.3">
      <c r="A1323" s="1">
        <v>1508</v>
      </c>
      <c r="B1323" s="7" t="s">
        <v>2012</v>
      </c>
      <c r="C1323" s="12">
        <v>16811</v>
      </c>
      <c r="D1323" s="7" t="s">
        <v>2026</v>
      </c>
      <c r="E1323" s="13" t="s">
        <v>1657</v>
      </c>
      <c r="F1323" t="str">
        <f t="shared" si="100"/>
        <v>Carl</v>
      </c>
      <c r="G1323" t="str">
        <f t="shared" si="101"/>
        <v>Carl16811Houston</v>
      </c>
      <c r="H1323" t="s">
        <v>32181</v>
      </c>
      <c r="I1323" t="s">
        <v>23610</v>
      </c>
      <c r="J1323" t="str">
        <f t="shared" si="102"/>
        <v>E:\PropInv\MF</v>
      </c>
      <c r="K1323" s="103" t="str">
        <f>HYPERLINK("E:\PropInv\MF\Houston\Carl Ave_16811_CityView Place IV_Houston_01508","Carl Ave_16811_CityView Place IV_Houston_01508" )</f>
        <v>Carl Ave_16811_CityView Place IV_Houston_01508</v>
      </c>
      <c r="L1323" s="104" t="s">
        <v>22253</v>
      </c>
      <c r="M1323" s="103" t="str">
        <f t="shared" si="103"/>
        <v>http://oconnordata.com/mlink/modules/profile/index.cfm?action=profile&amp;prop_id=1508</v>
      </c>
      <c r="N1323" s="1" t="str">
        <f t="shared" si="104"/>
        <v>01508</v>
      </c>
    </row>
    <row r="1324" spans="1:14" x14ac:dyDescent="0.3">
      <c r="A1324" s="1">
        <v>1510</v>
      </c>
      <c r="B1324" s="7" t="s">
        <v>1999</v>
      </c>
      <c r="C1324" s="12">
        <v>625</v>
      </c>
      <c r="D1324" s="7" t="s">
        <v>2027</v>
      </c>
      <c r="E1324" s="13" t="s">
        <v>1657</v>
      </c>
      <c r="F1324" t="str">
        <f t="shared" si="100"/>
        <v>Seminar</v>
      </c>
      <c r="G1324" t="str">
        <f t="shared" si="101"/>
        <v>Seminar625Houston</v>
      </c>
      <c r="H1324" t="s">
        <v>32182</v>
      </c>
      <c r="I1324" t="s">
        <v>23611</v>
      </c>
      <c r="J1324" t="str">
        <f t="shared" si="102"/>
        <v>E:\PropInv\MF</v>
      </c>
      <c r="K1324" s="103" t="str">
        <f>HYPERLINK("E:\PropInv\MF\Houston\Seminar Dr_625_Imperial Oaks_Houston_01510","Seminar Dr_625_Imperial Oaks_Houston_01510" )</f>
        <v>Seminar Dr_625_Imperial Oaks_Houston_01510</v>
      </c>
      <c r="L1324" s="104" t="s">
        <v>22253</v>
      </c>
      <c r="M1324" s="103" t="str">
        <f t="shared" si="103"/>
        <v>http://oconnordata.com/mlink/modules/profile/index.cfm?action=profile&amp;prop_id=1510</v>
      </c>
      <c r="N1324" s="1" t="str">
        <f t="shared" si="104"/>
        <v>01510</v>
      </c>
    </row>
    <row r="1325" spans="1:14" x14ac:dyDescent="0.3">
      <c r="A1325" s="1">
        <v>1511</v>
      </c>
      <c r="B1325" s="7" t="s">
        <v>2028</v>
      </c>
      <c r="C1325" s="12">
        <v>17601</v>
      </c>
      <c r="D1325" s="7" t="s">
        <v>2029</v>
      </c>
      <c r="E1325" s="13" t="s">
        <v>1657</v>
      </c>
      <c r="F1325" t="str">
        <f t="shared" si="100"/>
        <v>Wayforest</v>
      </c>
      <c r="G1325" t="str">
        <f t="shared" si="101"/>
        <v>Wayforest17601Houston</v>
      </c>
      <c r="H1325" t="s">
        <v>32183</v>
      </c>
      <c r="I1325" t="s">
        <v>23612</v>
      </c>
      <c r="J1325" t="str">
        <f t="shared" si="102"/>
        <v>E:\PropInv\MF</v>
      </c>
      <c r="K1325" s="103" t="str">
        <f>HYPERLINK("E:\PropInv\MF\Houston\Wayforest_17601_Courtyard Manor_Houston_01511","Wayforest_17601_Courtyard Manor_Houston_01511" )</f>
        <v>Wayforest_17601_Courtyard Manor_Houston_01511</v>
      </c>
      <c r="L1325" s="104" t="s">
        <v>22253</v>
      </c>
      <c r="M1325" s="103" t="str">
        <f t="shared" si="103"/>
        <v>http://oconnordata.com/mlink/modules/profile/index.cfm?action=profile&amp;prop_id=1511</v>
      </c>
      <c r="N1325" s="1" t="str">
        <f t="shared" si="104"/>
        <v>01511</v>
      </c>
    </row>
    <row r="1326" spans="1:14" x14ac:dyDescent="0.3">
      <c r="A1326" s="1">
        <v>1512</v>
      </c>
      <c r="B1326" s="7" t="s">
        <v>2012</v>
      </c>
      <c r="C1326" s="12">
        <v>16826</v>
      </c>
      <c r="D1326" s="7" t="s">
        <v>2030</v>
      </c>
      <c r="E1326" s="13" t="s">
        <v>1657</v>
      </c>
      <c r="F1326" t="str">
        <f t="shared" si="100"/>
        <v>Carl</v>
      </c>
      <c r="G1326" t="str">
        <f t="shared" si="101"/>
        <v>Carl16826Houston</v>
      </c>
      <c r="H1326" t="s">
        <v>32184</v>
      </c>
      <c r="I1326" t="s">
        <v>23613</v>
      </c>
      <c r="J1326" t="str">
        <f t="shared" si="102"/>
        <v>E:\PropInv\MF</v>
      </c>
      <c r="K1326" s="103" t="str">
        <f>HYPERLINK("E:\PropInv\MF\Houston\Carl Ave_16826_CityView Place V_Houston_01512","Carl Ave_16826_CityView Place V_Houston_01512" )</f>
        <v>Carl Ave_16826_CityView Place V_Houston_01512</v>
      </c>
      <c r="L1326" s="104" t="s">
        <v>22253</v>
      </c>
      <c r="M1326" s="103" t="str">
        <f t="shared" si="103"/>
        <v>http://oconnordata.com/mlink/modules/profile/index.cfm?action=profile&amp;prop_id=1512</v>
      </c>
      <c r="N1326" s="1" t="str">
        <f t="shared" si="104"/>
        <v>01512</v>
      </c>
    </row>
    <row r="1327" spans="1:14" x14ac:dyDescent="0.3">
      <c r="A1327" s="1">
        <v>1513</v>
      </c>
      <c r="B1327" s="7" t="s">
        <v>1715</v>
      </c>
      <c r="C1327" s="12">
        <v>16250</v>
      </c>
      <c r="D1327" s="7" t="s">
        <v>2031</v>
      </c>
      <c r="E1327" s="13" t="s">
        <v>1657</v>
      </c>
      <c r="F1327" t="str">
        <f t="shared" si="100"/>
        <v>Imperial</v>
      </c>
      <c r="G1327" t="str">
        <f t="shared" si="101"/>
        <v>Imperial16250Houston</v>
      </c>
      <c r="H1327" t="s">
        <v>32185</v>
      </c>
      <c r="I1327" t="s">
        <v>23614</v>
      </c>
      <c r="J1327" t="str">
        <f t="shared" si="102"/>
        <v>E:\PropInv\MF</v>
      </c>
      <c r="K1327" s="103" t="str">
        <f>HYPERLINK("E:\PropInv\MF\Houston\Imperial Valley_16250_Sausalito_Houston_01513","Imperial Valley_16250_Sausalito_Houston_01513" )</f>
        <v>Imperial Valley_16250_Sausalito_Houston_01513</v>
      </c>
      <c r="L1327" s="104" t="s">
        <v>22253</v>
      </c>
      <c r="M1327" s="103" t="str">
        <f t="shared" si="103"/>
        <v>http://oconnordata.com/mlink/modules/profile/index.cfm?action=profile&amp;prop_id=1513</v>
      </c>
      <c r="N1327" s="1" t="str">
        <f t="shared" si="104"/>
        <v>01513</v>
      </c>
    </row>
    <row r="1328" spans="1:14" x14ac:dyDescent="0.3">
      <c r="A1328" s="1">
        <v>1514</v>
      </c>
      <c r="B1328" s="7" t="s">
        <v>2032</v>
      </c>
      <c r="C1328" s="12">
        <v>8455</v>
      </c>
      <c r="D1328" s="7" t="s">
        <v>1261</v>
      </c>
      <c r="E1328" s="13" t="s">
        <v>1763</v>
      </c>
      <c r="F1328" t="str">
        <f t="shared" si="100"/>
        <v>Will</v>
      </c>
      <c r="G1328" t="str">
        <f t="shared" si="101"/>
        <v>Will8455Humble</v>
      </c>
      <c r="H1328" t="s">
        <v>32186</v>
      </c>
      <c r="I1328" t="s">
        <v>23615</v>
      </c>
      <c r="J1328" t="str">
        <f t="shared" si="102"/>
        <v>E:\PropInv\MF</v>
      </c>
      <c r="K1328" s="103" t="str">
        <f>HYPERLINK("E:\PropInv\MF\Humble\Will Clayton Pkwy_8455_Parkside_Humble_01514","Will Clayton Pkwy_8455_Parkside_Humble_01514" )</f>
        <v>Will Clayton Pkwy_8455_Parkside_Humble_01514</v>
      </c>
      <c r="L1328" s="104" t="s">
        <v>22253</v>
      </c>
      <c r="M1328" s="103" t="str">
        <f t="shared" si="103"/>
        <v>http://oconnordata.com/mlink/modules/profile/index.cfm?action=profile&amp;prop_id=1514</v>
      </c>
      <c r="N1328" s="1" t="str">
        <f t="shared" si="104"/>
        <v>01514</v>
      </c>
    </row>
    <row r="1329" spans="1:14" x14ac:dyDescent="0.3">
      <c r="A1329" s="1">
        <v>1515</v>
      </c>
      <c r="B1329" s="7" t="s">
        <v>2004</v>
      </c>
      <c r="C1329" s="12">
        <v>17750</v>
      </c>
      <c r="D1329" s="7" t="s">
        <v>2033</v>
      </c>
      <c r="E1329" s="13" t="s">
        <v>1763</v>
      </c>
      <c r="F1329" t="str">
        <f t="shared" si="100"/>
        <v>59</v>
      </c>
      <c r="G1329" t="str">
        <f t="shared" si="101"/>
        <v>5917750Humble</v>
      </c>
      <c r="H1329" t="s">
        <v>32187</v>
      </c>
      <c r="I1329" t="s">
        <v>23616</v>
      </c>
      <c r="J1329" t="str">
        <f t="shared" si="102"/>
        <v>E:\PropInv\MF</v>
      </c>
      <c r="K1329" s="103" t="str">
        <f>HYPERLINK("E:\PropInv\MF\Humble\59 Hwy_17750_Deerbrook Forest_Humble_01515","59 Hwy_17750_Deerbrook Forest_Humble_01515" )</f>
        <v>59 Hwy_17750_Deerbrook Forest_Humble_01515</v>
      </c>
      <c r="L1329" s="104" t="s">
        <v>22253</v>
      </c>
      <c r="M1329" s="103" t="str">
        <f t="shared" si="103"/>
        <v>http://oconnordata.com/mlink/modules/profile/index.cfm?action=profile&amp;prop_id=1515</v>
      </c>
      <c r="N1329" s="1" t="str">
        <f t="shared" si="104"/>
        <v>01515</v>
      </c>
    </row>
    <row r="1330" spans="1:14" x14ac:dyDescent="0.3">
      <c r="A1330" s="1">
        <v>1516</v>
      </c>
      <c r="B1330" s="7" t="s">
        <v>2034</v>
      </c>
      <c r="C1330" s="12">
        <v>12665</v>
      </c>
      <c r="D1330" s="7" t="s">
        <v>654</v>
      </c>
      <c r="E1330" s="13" t="s">
        <v>1657</v>
      </c>
      <c r="F1330" t="str">
        <f t="shared" si="100"/>
        <v>CrossRds</v>
      </c>
      <c r="G1330" t="str">
        <f t="shared" si="101"/>
        <v>CrossRds12665Houston</v>
      </c>
      <c r="H1330" t="s">
        <v>32188</v>
      </c>
      <c r="I1330" t="s">
        <v>23617</v>
      </c>
      <c r="J1330" t="str">
        <f t="shared" si="102"/>
        <v>E:\PropInv\MF</v>
      </c>
      <c r="K1330" s="103" t="str">
        <f>HYPERLINK("E:\PropInv\MF\Houston\CrossRds Park Dr_12665_Limestone Ranch_Houston_01516","CrossRds Park Dr_12665_Limestone Ranch_Houston_01516" )</f>
        <v>CrossRds Park Dr_12665_Limestone Ranch_Houston_01516</v>
      </c>
      <c r="L1330" s="104" t="s">
        <v>22253</v>
      </c>
      <c r="M1330" s="103" t="str">
        <f t="shared" si="103"/>
        <v>http://oconnordata.com/mlink/modules/profile/index.cfm?action=profile&amp;prop_id=1516</v>
      </c>
      <c r="N1330" s="1" t="str">
        <f t="shared" si="104"/>
        <v>01516</v>
      </c>
    </row>
    <row r="1331" spans="1:14" x14ac:dyDescent="0.3">
      <c r="A1331" s="1">
        <v>1517</v>
      </c>
      <c r="B1331" s="7" t="s">
        <v>2035</v>
      </c>
      <c r="C1331" s="12">
        <v>12101</v>
      </c>
      <c r="D1331" s="7" t="s">
        <v>2036</v>
      </c>
      <c r="E1331" s="13" t="s">
        <v>1657</v>
      </c>
      <c r="F1331" t="str">
        <f t="shared" si="100"/>
        <v>Steepleway</v>
      </c>
      <c r="G1331" t="str">
        <f t="shared" si="101"/>
        <v>Steepleway12101Houston</v>
      </c>
      <c r="H1331" t="s">
        <v>32189</v>
      </c>
      <c r="I1331" t="s">
        <v>23618</v>
      </c>
      <c r="J1331" t="str">
        <f t="shared" si="102"/>
        <v>E:\PropInv\MF</v>
      </c>
      <c r="K1331" s="103" t="str">
        <f>HYPERLINK("E:\PropInv\MF\Houston\Steepleway Blvd_12101_Sprucewood_Houston_01517","Steepleway Blvd_12101_Sprucewood_Houston_01517" )</f>
        <v>Steepleway Blvd_12101_Sprucewood_Houston_01517</v>
      </c>
      <c r="L1331" s="104" t="s">
        <v>22253</v>
      </c>
      <c r="M1331" s="103" t="str">
        <f t="shared" si="103"/>
        <v>http://oconnordata.com/mlink/modules/profile/index.cfm?action=profile&amp;prop_id=1517</v>
      </c>
      <c r="N1331" s="1" t="str">
        <f t="shared" si="104"/>
        <v>01517</v>
      </c>
    </row>
    <row r="1332" spans="1:14" x14ac:dyDescent="0.3">
      <c r="A1332" s="1">
        <v>1518</v>
      </c>
      <c r="B1332" s="7" t="s">
        <v>2037</v>
      </c>
      <c r="C1332" s="12">
        <v>8440</v>
      </c>
      <c r="D1332" s="7" t="s">
        <v>2038</v>
      </c>
      <c r="E1332" s="13" t="s">
        <v>1657</v>
      </c>
      <c r="F1332" t="str">
        <f t="shared" si="100"/>
        <v>Easton</v>
      </c>
      <c r="G1332" t="str">
        <f t="shared" si="101"/>
        <v>Easton8440Houston</v>
      </c>
      <c r="H1332" t="s">
        <v>32190</v>
      </c>
      <c r="I1332" t="s">
        <v>23619</v>
      </c>
      <c r="J1332" t="str">
        <f t="shared" si="102"/>
        <v>E:\PropInv\MF</v>
      </c>
      <c r="K1332" s="103" t="str">
        <f>HYPERLINK("E:\PropInv\MF\Houston\Easton Commons_8440_Peppermill Place_Houston_01518","Easton Commons_8440_Peppermill Place_Houston_01518" )</f>
        <v>Easton Commons_8440_Peppermill Place_Houston_01518</v>
      </c>
      <c r="L1332" s="104" t="s">
        <v>22253</v>
      </c>
      <c r="M1332" s="103" t="str">
        <f t="shared" si="103"/>
        <v>http://oconnordata.com/mlink/modules/profile/index.cfm?action=profile&amp;prop_id=1518</v>
      </c>
      <c r="N1332" s="1" t="str">
        <f t="shared" si="104"/>
        <v>01518</v>
      </c>
    </row>
    <row r="1333" spans="1:14" x14ac:dyDescent="0.3">
      <c r="A1333" s="1">
        <v>1519</v>
      </c>
      <c r="B1333" s="7" t="s">
        <v>2039</v>
      </c>
      <c r="C1333" s="12">
        <v>8137</v>
      </c>
      <c r="D1333" s="7" t="s">
        <v>2040</v>
      </c>
      <c r="E1333" s="13" t="s">
        <v>1763</v>
      </c>
      <c r="F1333" t="str">
        <f t="shared" si="100"/>
        <v>Rankin</v>
      </c>
      <c r="G1333" t="str">
        <f t="shared" si="101"/>
        <v>Rankin8137Humble</v>
      </c>
      <c r="H1333" t="s">
        <v>32191</v>
      </c>
      <c r="I1333" t="s">
        <v>23620</v>
      </c>
      <c r="J1333" t="str">
        <f t="shared" si="102"/>
        <v>E:\PropInv\MF</v>
      </c>
      <c r="K1333" s="103" t="str">
        <f>HYPERLINK("E:\PropInv\MF\Humble\Rankin Rd_8137_Rankin Country_Humble_01519","Rankin Rd_8137_Rankin Country_Humble_01519" )</f>
        <v>Rankin Rd_8137_Rankin Country_Humble_01519</v>
      </c>
      <c r="L1333" s="104" t="s">
        <v>22253</v>
      </c>
      <c r="M1333" s="103" t="str">
        <f t="shared" si="103"/>
        <v>http://oconnordata.com/mlink/modules/profile/index.cfm?action=profile&amp;prop_id=1519</v>
      </c>
      <c r="N1333" s="1" t="str">
        <f t="shared" si="104"/>
        <v>01519</v>
      </c>
    </row>
    <row r="1334" spans="1:14" x14ac:dyDescent="0.3">
      <c r="A1334" s="1">
        <v>1520</v>
      </c>
      <c r="B1334" s="7" t="s">
        <v>2041</v>
      </c>
      <c r="C1334" s="12">
        <v>6910</v>
      </c>
      <c r="D1334" s="7" t="s">
        <v>2042</v>
      </c>
      <c r="E1334" s="13" t="s">
        <v>1763</v>
      </c>
      <c r="F1334" t="str">
        <f t="shared" si="100"/>
        <v>Old</v>
      </c>
      <c r="G1334" t="str">
        <f t="shared" si="101"/>
        <v>Old6910Humble</v>
      </c>
      <c r="H1334" t="s">
        <v>32192</v>
      </c>
      <c r="I1334" t="s">
        <v>23621</v>
      </c>
      <c r="J1334" t="str">
        <f t="shared" si="102"/>
        <v>E:\PropInv\MF</v>
      </c>
      <c r="K1334" s="103" t="str">
        <f>HYPERLINK("E:\PropInv\MF\Humble\Old Belt Dr N_6910_Northlake Manor_Humble_01520","Old Belt Dr N_6910_Northlake Manor_Humble_01520" )</f>
        <v>Old Belt Dr N_6910_Northlake Manor_Humble_01520</v>
      </c>
      <c r="L1334" s="104" t="s">
        <v>22253</v>
      </c>
      <c r="M1334" s="103" t="str">
        <f t="shared" si="103"/>
        <v>http://oconnordata.com/mlink/modules/profile/index.cfm?action=profile&amp;prop_id=1520</v>
      </c>
      <c r="N1334" s="1" t="str">
        <f t="shared" si="104"/>
        <v>01520</v>
      </c>
    </row>
    <row r="1335" spans="1:14" x14ac:dyDescent="0.3">
      <c r="A1335" s="1">
        <v>1521</v>
      </c>
      <c r="B1335" s="7" t="s">
        <v>2043</v>
      </c>
      <c r="C1335" s="12">
        <v>15100</v>
      </c>
      <c r="D1335" s="7" t="s">
        <v>2044</v>
      </c>
      <c r="E1335" s="13" t="s">
        <v>1763</v>
      </c>
      <c r="F1335" t="str">
        <f t="shared" si="100"/>
        <v>Golden</v>
      </c>
      <c r="G1335" t="str">
        <f t="shared" si="101"/>
        <v>Golden15100Humble</v>
      </c>
      <c r="H1335" t="s">
        <v>32193</v>
      </c>
      <c r="I1335" t="s">
        <v>23622</v>
      </c>
      <c r="J1335" t="str">
        <f t="shared" si="102"/>
        <v>E:\PropInv\MF</v>
      </c>
      <c r="K1335" s="103" t="str">
        <f>HYPERLINK("E:\PropInv\MF\Humble\Golden Eagle_15100_Waterchase_Humble_01521","Golden Eagle_15100_Waterchase_Humble_01521" )</f>
        <v>Golden Eagle_15100_Waterchase_Humble_01521</v>
      </c>
      <c r="L1335" s="104" t="s">
        <v>22253</v>
      </c>
      <c r="M1335" s="103" t="str">
        <f t="shared" si="103"/>
        <v>http://oconnordata.com/mlink/modules/profile/index.cfm?action=profile&amp;prop_id=1521</v>
      </c>
      <c r="N1335" s="1" t="str">
        <f t="shared" si="104"/>
        <v>01521</v>
      </c>
    </row>
    <row r="1336" spans="1:14" x14ac:dyDescent="0.3">
      <c r="A1336" s="1">
        <v>1522</v>
      </c>
      <c r="B1336" s="7" t="s">
        <v>2045</v>
      </c>
      <c r="C1336" s="12">
        <v>831</v>
      </c>
      <c r="D1336" s="7" t="s">
        <v>2046</v>
      </c>
      <c r="E1336" s="13" t="s">
        <v>1763</v>
      </c>
      <c r="F1336" t="str">
        <f t="shared" si="100"/>
        <v>Wilson</v>
      </c>
      <c r="G1336" t="str">
        <f t="shared" si="101"/>
        <v>Wilson831Humble</v>
      </c>
      <c r="H1336" t="s">
        <v>32194</v>
      </c>
      <c r="I1336" t="s">
        <v>23623</v>
      </c>
      <c r="J1336" t="str">
        <f t="shared" si="102"/>
        <v>E:\PropInv\MF</v>
      </c>
      <c r="K1336" s="103" t="str">
        <f>HYPERLINK("E:\PropInv\MF\Humble\Wilson Rd_831_Colony of Humble_Humble_01522","Wilson Rd_831_Colony of Humble_Humble_01522" )</f>
        <v>Wilson Rd_831_Colony of Humble_Humble_01522</v>
      </c>
      <c r="L1336" s="104" t="s">
        <v>22253</v>
      </c>
      <c r="M1336" s="103" t="str">
        <f t="shared" si="103"/>
        <v>http://oconnordata.com/mlink/modules/profile/index.cfm?action=profile&amp;prop_id=1522</v>
      </c>
      <c r="N1336" s="1" t="str">
        <f t="shared" si="104"/>
        <v>01522</v>
      </c>
    </row>
    <row r="1337" spans="1:14" x14ac:dyDescent="0.3">
      <c r="A1337" s="1">
        <v>1523</v>
      </c>
      <c r="B1337" s="7" t="s">
        <v>2047</v>
      </c>
      <c r="C1337" s="12">
        <v>16700</v>
      </c>
      <c r="D1337" s="7" t="s">
        <v>2048</v>
      </c>
      <c r="E1337" s="13" t="s">
        <v>2049</v>
      </c>
      <c r="F1337" t="str">
        <f t="shared" si="100"/>
        <v>Golf</v>
      </c>
      <c r="G1337" t="str">
        <f t="shared" si="101"/>
        <v>Golf16700Crosby</v>
      </c>
      <c r="H1337" t="s">
        <v>32195</v>
      </c>
      <c r="I1337" t="s">
        <v>23624</v>
      </c>
      <c r="J1337" t="str">
        <f t="shared" si="102"/>
        <v>E:\PropInv\MF</v>
      </c>
      <c r="K1337" s="103" t="str">
        <f>HYPERLINK("E:\PropInv\MF\Crosby\Golf Club Dr_16700_Spring Hill Village_Crosby_01523","Golf Club Dr_16700_Spring Hill Village_Crosby_01523" )</f>
        <v>Golf Club Dr_16700_Spring Hill Village_Crosby_01523</v>
      </c>
      <c r="L1337" s="104" t="s">
        <v>22253</v>
      </c>
      <c r="M1337" s="103" t="str">
        <f t="shared" si="103"/>
        <v>http://oconnordata.com/mlink/modules/profile/index.cfm?action=profile&amp;prop_id=1523</v>
      </c>
      <c r="N1337" s="1" t="str">
        <f t="shared" si="104"/>
        <v>01523</v>
      </c>
    </row>
    <row r="1338" spans="1:14" x14ac:dyDescent="0.3">
      <c r="A1338" s="1">
        <v>1524</v>
      </c>
      <c r="B1338" s="7" t="s">
        <v>2050</v>
      </c>
      <c r="C1338" s="12">
        <v>16001</v>
      </c>
      <c r="D1338" s="7" t="s">
        <v>2051</v>
      </c>
      <c r="E1338" s="13" t="s">
        <v>1657</v>
      </c>
      <c r="F1338" t="str">
        <f t="shared" si="100"/>
        <v>Cotillion</v>
      </c>
      <c r="G1338" t="str">
        <f t="shared" si="101"/>
        <v>Cotillion16001Houston</v>
      </c>
      <c r="H1338" t="s">
        <v>32196</v>
      </c>
      <c r="I1338" t="s">
        <v>23625</v>
      </c>
      <c r="J1338" t="str">
        <f t="shared" si="102"/>
        <v>E:\PropInv\MF</v>
      </c>
      <c r="K1338" s="103" t="str">
        <f>HYPERLINK("E:\PropInv\MF\Houston\Cotillion_16001_Imperial Landing_Houston_01524","Cotillion_16001_Imperial Landing_Houston_01524" )</f>
        <v>Cotillion_16001_Imperial Landing_Houston_01524</v>
      </c>
      <c r="L1338" s="104" t="s">
        <v>22253</v>
      </c>
      <c r="M1338" s="103" t="str">
        <f t="shared" si="103"/>
        <v>http://oconnordata.com/mlink/modules/profile/index.cfm?action=profile&amp;prop_id=1524</v>
      </c>
      <c r="N1338" s="1" t="str">
        <f t="shared" si="104"/>
        <v>01524</v>
      </c>
    </row>
    <row r="1339" spans="1:14" x14ac:dyDescent="0.3">
      <c r="A1339" s="1">
        <v>1525</v>
      </c>
      <c r="B1339" s="7" t="s">
        <v>2052</v>
      </c>
      <c r="C1339" s="12">
        <v>14810</v>
      </c>
      <c r="D1339" s="7" t="s">
        <v>2053</v>
      </c>
      <c r="E1339" s="13" t="s">
        <v>1657</v>
      </c>
      <c r="F1339" t="str">
        <f t="shared" si="100"/>
        <v>Crosswinds</v>
      </c>
      <c r="G1339" t="str">
        <f t="shared" si="101"/>
        <v>Crosswinds14810Houston</v>
      </c>
      <c r="H1339" t="s">
        <v>32197</v>
      </c>
      <c r="I1339" t="s">
        <v>23626</v>
      </c>
      <c r="J1339" t="str">
        <f t="shared" si="102"/>
        <v>E:\PropInv\MF</v>
      </c>
      <c r="K1339" s="103" t="str">
        <f>HYPERLINK("E:\PropInv\MF\Houston\Crosswinds Dr_14810_Crosswinds_Houston_01525","Crosswinds Dr_14810_Crosswinds_Houston_01525" )</f>
        <v>Crosswinds Dr_14810_Crosswinds_Houston_01525</v>
      </c>
      <c r="L1339" s="104" t="s">
        <v>22253</v>
      </c>
      <c r="M1339" s="103" t="str">
        <f t="shared" si="103"/>
        <v>http://oconnordata.com/mlink/modules/profile/index.cfm?action=profile&amp;prop_id=1525</v>
      </c>
      <c r="N1339" s="1" t="str">
        <f t="shared" si="104"/>
        <v>01525</v>
      </c>
    </row>
    <row r="1340" spans="1:14" x14ac:dyDescent="0.3">
      <c r="A1340" s="1">
        <v>1527</v>
      </c>
      <c r="B1340" s="7" t="s">
        <v>2054</v>
      </c>
      <c r="C1340" s="12">
        <v>5301</v>
      </c>
      <c r="D1340" s="7" t="s">
        <v>2055</v>
      </c>
      <c r="E1340" s="13" t="s">
        <v>1657</v>
      </c>
      <c r="F1340" t="str">
        <f t="shared" si="100"/>
        <v>Sam</v>
      </c>
      <c r="G1340" t="str">
        <f t="shared" si="101"/>
        <v>Sam5301Houston</v>
      </c>
      <c r="H1340" t="s">
        <v>32198</v>
      </c>
      <c r="I1340" t="s">
        <v>23627</v>
      </c>
      <c r="J1340" t="str">
        <f t="shared" si="102"/>
        <v>E:\PropInv\MF</v>
      </c>
      <c r="K1340" s="103" t="str">
        <f>HYPERLINK("E:\PropInv\MF\Houston\Sam Houston Pkwy E N_5301_Villas at Pine Lake_Houston_01527","Sam Houston Pkwy E N_5301_Villas at Pine Lake_Houston_01527" )</f>
        <v>Sam Houston Pkwy E N_5301_Villas at Pine Lake_Houston_01527</v>
      </c>
      <c r="L1340" s="104" t="s">
        <v>22253</v>
      </c>
      <c r="M1340" s="103" t="str">
        <f t="shared" si="103"/>
        <v>http://oconnordata.com/mlink/modules/profile/index.cfm?action=profile&amp;prop_id=1527</v>
      </c>
      <c r="N1340" s="1" t="str">
        <f t="shared" si="104"/>
        <v>01527</v>
      </c>
    </row>
    <row r="1341" spans="1:14" x14ac:dyDescent="0.3">
      <c r="A1341" s="1">
        <v>1528</v>
      </c>
      <c r="B1341" s="7" t="s">
        <v>2015</v>
      </c>
      <c r="C1341" s="12">
        <v>5619</v>
      </c>
      <c r="D1341" s="7" t="s">
        <v>2056</v>
      </c>
      <c r="E1341" s="13" t="s">
        <v>1657</v>
      </c>
      <c r="F1341" t="str">
        <f t="shared" si="100"/>
        <v>Aldine</v>
      </c>
      <c r="G1341" t="str">
        <f t="shared" si="101"/>
        <v>Aldine5619Houston</v>
      </c>
      <c r="H1341" t="s">
        <v>32199</v>
      </c>
      <c r="I1341" t="s">
        <v>23628</v>
      </c>
      <c r="J1341" t="str">
        <f t="shared" si="102"/>
        <v>E:\PropInv\MF</v>
      </c>
      <c r="K1341" s="103" t="str">
        <f>HYPERLINK("E:\PropInv\MF\Houston\Aldine Bender_5619_Haverstock Hill_Houston_01528","Aldine Bender_5619_Haverstock Hill_Houston_01528" )</f>
        <v>Aldine Bender_5619_Haverstock Hill_Houston_01528</v>
      </c>
      <c r="L1341" s="104" t="s">
        <v>22253</v>
      </c>
      <c r="M1341" s="103" t="str">
        <f t="shared" si="103"/>
        <v>http://oconnordata.com/mlink/modules/profile/index.cfm?action=profile&amp;prop_id=1528</v>
      </c>
      <c r="N1341" s="1" t="str">
        <f t="shared" si="104"/>
        <v>01528</v>
      </c>
    </row>
    <row r="1342" spans="1:14" x14ac:dyDescent="0.3">
      <c r="A1342" s="1">
        <v>1529</v>
      </c>
      <c r="B1342" s="7" t="s">
        <v>2032</v>
      </c>
      <c r="C1342" s="12">
        <v>5801</v>
      </c>
      <c r="D1342" s="7" t="s">
        <v>2057</v>
      </c>
      <c r="E1342" s="13" t="s">
        <v>1763</v>
      </c>
      <c r="F1342" t="str">
        <f t="shared" si="100"/>
        <v>Will</v>
      </c>
      <c r="G1342" t="str">
        <f t="shared" si="101"/>
        <v>Will5801Humble</v>
      </c>
      <c r="H1342" t="s">
        <v>32200</v>
      </c>
      <c r="I1342" t="s">
        <v>23629</v>
      </c>
      <c r="J1342" t="str">
        <f t="shared" si="102"/>
        <v>E:\PropInv\MF</v>
      </c>
      <c r="K1342" s="103" t="str">
        <f>HYPERLINK("E:\PropInv\MF\Humble\Will Clayton Pkwy_5801_Shadowridge North_Humble_01529","Will Clayton Pkwy_5801_Shadowridge North_Humble_01529" )</f>
        <v>Will Clayton Pkwy_5801_Shadowridge North_Humble_01529</v>
      </c>
      <c r="L1342" s="104" t="s">
        <v>22253</v>
      </c>
      <c r="M1342" s="103" t="str">
        <f t="shared" si="103"/>
        <v>http://oconnordata.com/mlink/modules/profile/index.cfm?action=profile&amp;prop_id=1529</v>
      </c>
      <c r="N1342" s="1" t="str">
        <f t="shared" si="104"/>
        <v>01529</v>
      </c>
    </row>
    <row r="1343" spans="1:14" x14ac:dyDescent="0.3">
      <c r="A1343" s="1">
        <v>1530</v>
      </c>
      <c r="B1343" s="7" t="s">
        <v>2037</v>
      </c>
      <c r="C1343" s="12">
        <v>8550</v>
      </c>
      <c r="D1343" s="7" t="s">
        <v>2058</v>
      </c>
      <c r="E1343" s="13" t="s">
        <v>1657</v>
      </c>
      <c r="F1343" t="str">
        <f t="shared" si="100"/>
        <v>Easton</v>
      </c>
      <c r="G1343" t="str">
        <f t="shared" si="101"/>
        <v>Easton8550Houston</v>
      </c>
      <c r="H1343" t="s">
        <v>32201</v>
      </c>
      <c r="I1343" t="s">
        <v>23630</v>
      </c>
      <c r="J1343" t="str">
        <f t="shared" si="102"/>
        <v>E:\PropInv\MF</v>
      </c>
      <c r="K1343" s="103" t="str">
        <f>HYPERLINK("E:\PropInv\MF\Houston\Easton Commons_8550_Easton Village_Houston_01530","Easton Commons_8550_Easton Village_Houston_01530" )</f>
        <v>Easton Commons_8550_Easton Village_Houston_01530</v>
      </c>
      <c r="L1343" s="104" t="s">
        <v>22253</v>
      </c>
      <c r="M1343" s="103" t="str">
        <f t="shared" si="103"/>
        <v>http://oconnordata.com/mlink/modules/profile/index.cfm?action=profile&amp;prop_id=1530</v>
      </c>
      <c r="N1343" s="1" t="str">
        <f t="shared" si="104"/>
        <v>01530</v>
      </c>
    </row>
    <row r="1344" spans="1:14" x14ac:dyDescent="0.3">
      <c r="A1344" s="1">
        <v>1531</v>
      </c>
      <c r="B1344" s="7" t="s">
        <v>2037</v>
      </c>
      <c r="C1344" s="12">
        <v>8630</v>
      </c>
      <c r="D1344" s="7" t="s">
        <v>2059</v>
      </c>
      <c r="E1344" s="13" t="s">
        <v>1657</v>
      </c>
      <c r="F1344" t="str">
        <f t="shared" si="100"/>
        <v>Easton</v>
      </c>
      <c r="G1344" t="str">
        <f t="shared" si="101"/>
        <v>Easton8630Houston</v>
      </c>
      <c r="H1344" t="s">
        <v>32202</v>
      </c>
      <c r="I1344" t="s">
        <v>23631</v>
      </c>
      <c r="J1344" t="str">
        <f t="shared" si="102"/>
        <v>E:\PropInv\MF</v>
      </c>
      <c r="K1344" s="103" t="str">
        <f>HYPERLINK("E:\PropInv\MF\Houston\Easton Commons_8630_Coventry Square_Houston_01531","Easton Commons_8630_Coventry Square_Houston_01531" )</f>
        <v>Easton Commons_8630_Coventry Square_Houston_01531</v>
      </c>
      <c r="L1344" s="104" t="s">
        <v>22253</v>
      </c>
      <c r="M1344" s="103" t="str">
        <f t="shared" si="103"/>
        <v>http://oconnordata.com/mlink/modules/profile/index.cfm?action=profile&amp;prop_id=1531</v>
      </c>
      <c r="N1344" s="1" t="str">
        <f t="shared" si="104"/>
        <v>01531</v>
      </c>
    </row>
    <row r="1345" spans="1:14" x14ac:dyDescent="0.3">
      <c r="A1345" s="1">
        <v>1532</v>
      </c>
      <c r="B1345" s="7" t="s">
        <v>2060</v>
      </c>
      <c r="C1345" s="12">
        <v>5535</v>
      </c>
      <c r="D1345" s="7" t="s">
        <v>2061</v>
      </c>
      <c r="E1345" s="13" t="s">
        <v>1657</v>
      </c>
      <c r="F1345" t="str">
        <f t="shared" si="100"/>
        <v>Timber</v>
      </c>
      <c r="G1345" t="str">
        <f t="shared" si="101"/>
        <v>Timber5535Houston</v>
      </c>
      <c r="H1345" t="s">
        <v>32203</v>
      </c>
      <c r="I1345" t="s">
        <v>23632</v>
      </c>
      <c r="J1345" t="str">
        <f t="shared" si="102"/>
        <v>E:\PropInv\MF</v>
      </c>
      <c r="K1345" s="103" t="str">
        <f>HYPERLINK("E:\PropInv\MF\Houston\Timber Creek Place Dr_5535_Bear Creek Crossing_Houston_01532","Timber Creek Place Dr_5535_Bear Creek Crossing_Houston_01532" )</f>
        <v>Timber Creek Place Dr_5535_Bear Creek Crossing_Houston_01532</v>
      </c>
      <c r="L1345" s="104" t="s">
        <v>22253</v>
      </c>
      <c r="M1345" s="103" t="str">
        <f t="shared" si="103"/>
        <v>http://oconnordata.com/mlink/modules/profile/index.cfm?action=profile&amp;prop_id=1532</v>
      </c>
      <c r="N1345" s="1" t="str">
        <f t="shared" si="104"/>
        <v>01532</v>
      </c>
    </row>
    <row r="1346" spans="1:14" x14ac:dyDescent="0.3">
      <c r="A1346" s="1">
        <v>1533</v>
      </c>
      <c r="B1346" s="7" t="s">
        <v>2062</v>
      </c>
      <c r="C1346" s="12">
        <v>5635</v>
      </c>
      <c r="D1346" s="7" t="s">
        <v>2063</v>
      </c>
      <c r="E1346" s="13" t="s">
        <v>1657</v>
      </c>
      <c r="F1346" t="str">
        <f t="shared" ref="F1346:F1409" si="105">IFERROR(LEFT(B1346,FIND(" ",B1346)-1),B1346)</f>
        <v>Timber</v>
      </c>
      <c r="G1346" t="str">
        <f t="shared" ref="G1346:G1409" si="106">F1346&amp;C1346&amp;E1346</f>
        <v>Timber5635Houston</v>
      </c>
      <c r="H1346" t="s">
        <v>32204</v>
      </c>
      <c r="I1346" t="s">
        <v>23633</v>
      </c>
      <c r="J1346" t="str">
        <f t="shared" ref="J1346:J1409" si="107">IF(L1346="TX",Folder_Path,Folder_Path&amp;"\State_"&amp;L1346)</f>
        <v>E:\PropInv\MF</v>
      </c>
      <c r="K1346" s="103" t="str">
        <f>HYPERLINK("E:\PropInv\MF\Houston\Timber Creek Place_5635_Timberwalk_Houston_01533","Timber Creek Place_5635_Timberwalk_Houston_01533" )</f>
        <v>Timber Creek Place_5635_Timberwalk_Houston_01533</v>
      </c>
      <c r="L1346" s="104" t="s">
        <v>22253</v>
      </c>
      <c r="M1346" s="103" t="str">
        <f t="shared" ref="M1346:M1409" si="108">HYPERLINK("http://oconnordata.com/mlink/modules/profile/index.cfm?action=profile&amp;prop_id="&amp;A1346)</f>
        <v>http://oconnordata.com/mlink/modules/profile/index.cfm?action=profile&amp;prop_id=1533</v>
      </c>
      <c r="N1346" s="1" t="str">
        <f t="shared" ref="N1346:N1409" si="109">IF(LEN(A1346)=1,"0000"&amp;A1346,IF(LEN(A1346)=2,"000"&amp;A1346,IF(LEN(A1346)=3,"00"&amp;A1346,IF(LEN(A1346)=4,"0"&amp;A1346,IF(LEN(A1346)=5,IF(LEFT(A1346,1)="3",A1346+30000,A1346))))))</f>
        <v>01533</v>
      </c>
    </row>
    <row r="1347" spans="1:14" x14ac:dyDescent="0.3">
      <c r="A1347" s="1">
        <v>1534</v>
      </c>
      <c r="B1347" s="7" t="s">
        <v>2064</v>
      </c>
      <c r="C1347" s="12">
        <v>5303</v>
      </c>
      <c r="D1347" s="7" t="s">
        <v>2065</v>
      </c>
      <c r="E1347" s="13" t="s">
        <v>1763</v>
      </c>
      <c r="F1347" t="str">
        <f t="shared" si="105"/>
        <v>Atascocita</v>
      </c>
      <c r="G1347" t="str">
        <f t="shared" si="106"/>
        <v>Atascocita5303Humble</v>
      </c>
      <c r="H1347" t="s">
        <v>32205</v>
      </c>
      <c r="I1347" t="s">
        <v>23634</v>
      </c>
      <c r="J1347" t="str">
        <f t="shared" si="107"/>
        <v>E:\PropInv\MF</v>
      </c>
      <c r="K1347" s="103" t="str">
        <f>HYPERLINK("E:\PropInv\MF\Humble\Atascocita Rd_5303_Eagle Crest_Humble_01534","Atascocita Rd_5303_Eagle Crest_Humble_01534" )</f>
        <v>Atascocita Rd_5303_Eagle Crest_Humble_01534</v>
      </c>
      <c r="L1347" s="104" t="s">
        <v>22253</v>
      </c>
      <c r="M1347" s="103" t="str">
        <f t="shared" si="108"/>
        <v>http://oconnordata.com/mlink/modules/profile/index.cfm?action=profile&amp;prop_id=1534</v>
      </c>
      <c r="N1347" s="1" t="str">
        <f t="shared" si="109"/>
        <v>01534</v>
      </c>
    </row>
    <row r="1348" spans="1:14" x14ac:dyDescent="0.3">
      <c r="A1348" s="1">
        <v>1535</v>
      </c>
      <c r="B1348" s="7" t="s">
        <v>2066</v>
      </c>
      <c r="C1348" s="12">
        <v>8727</v>
      </c>
      <c r="D1348" s="7" t="s">
        <v>2067</v>
      </c>
      <c r="E1348" s="13" t="s">
        <v>1657</v>
      </c>
      <c r="F1348" t="str">
        <f t="shared" si="105"/>
        <v>Point</v>
      </c>
      <c r="G1348" t="str">
        <f t="shared" si="106"/>
        <v>Point8727Houston</v>
      </c>
      <c r="H1348" t="s">
        <v>32206</v>
      </c>
      <c r="I1348" t="s">
        <v>23635</v>
      </c>
      <c r="J1348" t="str">
        <f t="shared" si="107"/>
        <v>E:\PropInv\MF</v>
      </c>
      <c r="K1348" s="103" t="str">
        <f>HYPERLINK("E:\PropInv\MF\Houston\Point Park_8727_Villages at Copperfield II_Houston_01535","Point Park_8727_Villages at Copperfield II_Houston_01535" )</f>
        <v>Point Park_8727_Villages at Copperfield II_Houston_01535</v>
      </c>
      <c r="L1348" s="104" t="s">
        <v>22253</v>
      </c>
      <c r="M1348" s="103" t="str">
        <f t="shared" si="108"/>
        <v>http://oconnordata.com/mlink/modules/profile/index.cfm?action=profile&amp;prop_id=1535</v>
      </c>
      <c r="N1348" s="1" t="str">
        <f t="shared" si="109"/>
        <v>01535</v>
      </c>
    </row>
    <row r="1349" spans="1:14" x14ac:dyDescent="0.3">
      <c r="A1349" s="1">
        <v>1536</v>
      </c>
      <c r="B1349" s="7" t="s">
        <v>2066</v>
      </c>
      <c r="C1349" s="12">
        <v>8750</v>
      </c>
      <c r="D1349" s="7" t="s">
        <v>2068</v>
      </c>
      <c r="E1349" s="13" t="s">
        <v>1657</v>
      </c>
      <c r="F1349" t="str">
        <f t="shared" si="105"/>
        <v>Point</v>
      </c>
      <c r="G1349" t="str">
        <f t="shared" si="106"/>
        <v>Point8750Houston</v>
      </c>
      <c r="H1349" t="s">
        <v>32207</v>
      </c>
      <c r="I1349" t="s">
        <v>23636</v>
      </c>
      <c r="J1349" t="str">
        <f t="shared" si="107"/>
        <v>E:\PropInv\MF</v>
      </c>
      <c r="K1349" s="103" t="str">
        <f>HYPERLINK("E:\PropInv\MF\Houston\Point Park_8750_Villages at Copperfield I_Houston_01536","Point Park_8750_Villages at Copperfield I_Houston_01536" )</f>
        <v>Point Park_8750_Villages at Copperfield I_Houston_01536</v>
      </c>
      <c r="L1349" s="104" t="s">
        <v>22253</v>
      </c>
      <c r="M1349" s="103" t="str">
        <f t="shared" si="108"/>
        <v>http://oconnordata.com/mlink/modules/profile/index.cfm?action=profile&amp;prop_id=1536</v>
      </c>
      <c r="N1349" s="1" t="str">
        <f t="shared" si="109"/>
        <v>01536</v>
      </c>
    </row>
    <row r="1350" spans="1:14" x14ac:dyDescent="0.3">
      <c r="A1350" s="1">
        <v>1537</v>
      </c>
      <c r="B1350" s="7" t="s">
        <v>2069</v>
      </c>
      <c r="C1350" s="12">
        <v>8255</v>
      </c>
      <c r="D1350" s="7" t="s">
        <v>976</v>
      </c>
      <c r="E1350" s="13" t="s">
        <v>1657</v>
      </c>
      <c r="F1350" t="str">
        <f t="shared" si="105"/>
        <v>Sunbury</v>
      </c>
      <c r="G1350" t="str">
        <f t="shared" si="106"/>
        <v>Sunbury8255Houston</v>
      </c>
      <c r="H1350" t="s">
        <v>32208</v>
      </c>
      <c r="I1350" t="s">
        <v>23637</v>
      </c>
      <c r="J1350" t="str">
        <f t="shared" si="107"/>
        <v>E:\PropInv\MF</v>
      </c>
      <c r="K1350" s="103" t="str">
        <f>HYPERLINK("E:\PropInv\MF\Houston\Sunbury_8255_Copperfield_Houston_01537","Sunbury_8255_Copperfield_Houston_01537" )</f>
        <v>Sunbury_8255_Copperfield_Houston_01537</v>
      </c>
      <c r="L1350" s="104" t="s">
        <v>22253</v>
      </c>
      <c r="M1350" s="103" t="str">
        <f t="shared" si="108"/>
        <v>http://oconnordata.com/mlink/modules/profile/index.cfm?action=profile&amp;prop_id=1537</v>
      </c>
      <c r="N1350" s="1" t="str">
        <f t="shared" si="109"/>
        <v>01537</v>
      </c>
    </row>
    <row r="1351" spans="1:14" x14ac:dyDescent="0.3">
      <c r="A1351" s="1">
        <v>1538</v>
      </c>
      <c r="B1351" s="7" t="s">
        <v>2070</v>
      </c>
      <c r="C1351" s="12">
        <v>15910</v>
      </c>
      <c r="D1351" s="7" t="s">
        <v>126</v>
      </c>
      <c r="E1351" s="13" t="s">
        <v>1657</v>
      </c>
      <c r="F1351" t="str">
        <f t="shared" si="105"/>
        <v>529</v>
      </c>
      <c r="G1351" t="str">
        <f t="shared" si="106"/>
        <v>52915910Houston</v>
      </c>
      <c r="H1351" t="s">
        <v>32209</v>
      </c>
      <c r="I1351" t="s">
        <v>23638</v>
      </c>
      <c r="J1351" t="str">
        <f t="shared" si="107"/>
        <v>E:\PropInv\MF</v>
      </c>
      <c r="K1351" s="103" t="str">
        <f>HYPERLINK("E:\PropInv\MF\Houston\529 FM_15910_Copper Mill_Houston_01538","529 FM_15910_Copper Mill_Houston_01538" )</f>
        <v>529 FM_15910_Copper Mill_Houston_01538</v>
      </c>
      <c r="L1351" s="104" t="s">
        <v>22253</v>
      </c>
      <c r="M1351" s="103" t="str">
        <f t="shared" si="108"/>
        <v>http://oconnordata.com/mlink/modules/profile/index.cfm?action=profile&amp;prop_id=1538</v>
      </c>
      <c r="N1351" s="1" t="str">
        <f t="shared" si="109"/>
        <v>01538</v>
      </c>
    </row>
    <row r="1352" spans="1:14" x14ac:dyDescent="0.3">
      <c r="A1352" s="1">
        <v>1539</v>
      </c>
      <c r="B1352" s="7" t="s">
        <v>2062</v>
      </c>
      <c r="C1352" s="12">
        <v>5450</v>
      </c>
      <c r="D1352" s="7" t="s">
        <v>2071</v>
      </c>
      <c r="E1352" s="13" t="s">
        <v>1657</v>
      </c>
      <c r="F1352" t="str">
        <f t="shared" si="105"/>
        <v>Timber</v>
      </c>
      <c r="G1352" t="str">
        <f t="shared" si="106"/>
        <v>Timber5450Houston</v>
      </c>
      <c r="H1352" t="s">
        <v>32210</v>
      </c>
      <c r="I1352" t="s">
        <v>23639</v>
      </c>
      <c r="J1352" t="str">
        <f t="shared" si="107"/>
        <v>E:\PropInv\MF</v>
      </c>
      <c r="K1352" s="103" t="str">
        <f>HYPERLINK("E:\PropInv\MF\Houston\Timber Creek Place_5450_Saint Gregory's Beach_Houston_01539","Timber Creek Place_5450_Saint Gregory's Beach_Houston_01539" )</f>
        <v>Timber Creek Place_5450_Saint Gregory's Beach_Houston_01539</v>
      </c>
      <c r="L1352" s="104" t="s">
        <v>22253</v>
      </c>
      <c r="M1352" s="103" t="str">
        <f t="shared" si="108"/>
        <v>http://oconnordata.com/mlink/modules/profile/index.cfm?action=profile&amp;prop_id=1539</v>
      </c>
      <c r="N1352" s="1" t="str">
        <f t="shared" si="109"/>
        <v>01539</v>
      </c>
    </row>
    <row r="1353" spans="1:14" x14ac:dyDescent="0.3">
      <c r="A1353" s="1">
        <v>1540</v>
      </c>
      <c r="B1353" s="7" t="s">
        <v>2060</v>
      </c>
      <c r="C1353" s="12">
        <v>5455</v>
      </c>
      <c r="D1353" s="7" t="s">
        <v>2072</v>
      </c>
      <c r="E1353" s="13" t="s">
        <v>1657</v>
      </c>
      <c r="F1353" t="str">
        <f t="shared" si="105"/>
        <v>Timber</v>
      </c>
      <c r="G1353" t="str">
        <f t="shared" si="106"/>
        <v>Timber5455Houston</v>
      </c>
      <c r="H1353" t="s">
        <v>32211</v>
      </c>
      <c r="I1353" t="s">
        <v>23640</v>
      </c>
      <c r="J1353" t="str">
        <f t="shared" si="107"/>
        <v>E:\PropInv\MF</v>
      </c>
      <c r="K1353" s="103" t="str">
        <f>HYPERLINK("E:\PropInv\MF\Houston\Timber Creek Place Dr_5455_Timberledge_Houston_01540","Timber Creek Place Dr_5455_Timberledge_Houston_01540" )</f>
        <v>Timber Creek Place Dr_5455_Timberledge_Houston_01540</v>
      </c>
      <c r="L1353" s="104" t="s">
        <v>22253</v>
      </c>
      <c r="M1353" s="103" t="str">
        <f t="shared" si="108"/>
        <v>http://oconnordata.com/mlink/modules/profile/index.cfm?action=profile&amp;prop_id=1540</v>
      </c>
      <c r="N1353" s="1" t="str">
        <f t="shared" si="109"/>
        <v>01540</v>
      </c>
    </row>
    <row r="1354" spans="1:14" x14ac:dyDescent="0.3">
      <c r="A1354" s="1">
        <v>1541</v>
      </c>
      <c r="B1354" s="7" t="s">
        <v>2073</v>
      </c>
      <c r="C1354" s="12">
        <v>6416</v>
      </c>
      <c r="D1354" s="7" t="s">
        <v>2074</v>
      </c>
      <c r="E1354" s="13" t="s">
        <v>1657</v>
      </c>
      <c r="F1354" t="str">
        <f t="shared" si="105"/>
        <v>York</v>
      </c>
      <c r="G1354" t="str">
        <f t="shared" si="106"/>
        <v>York6416Houston</v>
      </c>
      <c r="H1354" t="s">
        <v>32212</v>
      </c>
      <c r="I1354" t="s">
        <v>23641</v>
      </c>
      <c r="J1354" t="str">
        <f t="shared" si="107"/>
        <v>E:\PropInv\MF</v>
      </c>
      <c r="K1354" s="103" t="str">
        <f>HYPERLINK("E:\PropInv\MF\Houston\York Meadows_6416_Meadow Creek_Houston_01541","York Meadows_6416_Meadow Creek_Houston_01541" )</f>
        <v>York Meadows_6416_Meadow Creek_Houston_01541</v>
      </c>
      <c r="L1354" s="104" t="s">
        <v>22253</v>
      </c>
      <c r="M1354" s="103" t="str">
        <f t="shared" si="108"/>
        <v>http://oconnordata.com/mlink/modules/profile/index.cfm?action=profile&amp;prop_id=1541</v>
      </c>
      <c r="N1354" s="1" t="str">
        <f t="shared" si="109"/>
        <v>01541</v>
      </c>
    </row>
    <row r="1355" spans="1:14" x14ac:dyDescent="0.3">
      <c r="A1355" s="1">
        <v>1542</v>
      </c>
      <c r="B1355" s="7" t="s">
        <v>2062</v>
      </c>
      <c r="C1355" s="12">
        <v>5315</v>
      </c>
      <c r="D1355" s="7" t="s">
        <v>2075</v>
      </c>
      <c r="E1355" s="13" t="s">
        <v>1657</v>
      </c>
      <c r="F1355" t="str">
        <f t="shared" si="105"/>
        <v>Timber</v>
      </c>
      <c r="G1355" t="str">
        <f t="shared" si="106"/>
        <v>Timber5315Houston</v>
      </c>
      <c r="H1355" t="s">
        <v>32213</v>
      </c>
      <c r="I1355" t="s">
        <v>23642</v>
      </c>
      <c r="J1355" t="str">
        <f t="shared" si="107"/>
        <v>E:\PropInv\MF</v>
      </c>
      <c r="K1355" s="103" t="str">
        <f>HYPERLINK("E:\PropInv\MF\Houston\Timber Creek Place_5315_Trails of Timber Creek_Houston_01542","Timber Creek Place_5315_Trails of Timber Creek_Houston_01542" )</f>
        <v>Timber Creek Place_5315_Trails of Timber Creek_Houston_01542</v>
      </c>
      <c r="L1355" s="104" t="s">
        <v>22253</v>
      </c>
      <c r="M1355" s="103" t="str">
        <f t="shared" si="108"/>
        <v>http://oconnordata.com/mlink/modules/profile/index.cfm?action=profile&amp;prop_id=1542</v>
      </c>
      <c r="N1355" s="1" t="str">
        <f t="shared" si="109"/>
        <v>01542</v>
      </c>
    </row>
    <row r="1356" spans="1:14" x14ac:dyDescent="0.3">
      <c r="A1356" s="1">
        <v>1544</v>
      </c>
      <c r="B1356" s="7" t="s">
        <v>2076</v>
      </c>
      <c r="C1356" s="12">
        <v>6230</v>
      </c>
      <c r="D1356" s="7" t="s">
        <v>2077</v>
      </c>
      <c r="E1356" s="13" t="s">
        <v>1657</v>
      </c>
      <c r="F1356" t="str">
        <f t="shared" si="105"/>
        <v>A</v>
      </c>
      <c r="G1356" t="str">
        <f t="shared" si="106"/>
        <v>A6230Houston</v>
      </c>
      <c r="H1356" t="s">
        <v>32214</v>
      </c>
      <c r="I1356" t="s">
        <v>23643</v>
      </c>
      <c r="J1356" t="str">
        <f t="shared" si="107"/>
        <v>E:\PropInv\MF</v>
      </c>
      <c r="K1356" s="103" t="str">
        <f>HYPERLINK("E:\PropInv\MF\Houston\A Rumford Ln_6230_Langham Creek_Houston_01544","A Rumford Ln_6230_Langham Creek_Houston_01544" )</f>
        <v>A Rumford Ln_6230_Langham Creek_Houston_01544</v>
      </c>
      <c r="L1356" s="104" t="s">
        <v>22253</v>
      </c>
      <c r="M1356" s="103" t="str">
        <f t="shared" si="108"/>
        <v>http://oconnordata.com/mlink/modules/profile/index.cfm?action=profile&amp;prop_id=1544</v>
      </c>
      <c r="N1356" s="1" t="str">
        <f t="shared" si="109"/>
        <v>01544</v>
      </c>
    </row>
    <row r="1357" spans="1:14" x14ac:dyDescent="0.3">
      <c r="A1357" s="1">
        <v>1545</v>
      </c>
      <c r="B1357" s="7" t="s">
        <v>2078</v>
      </c>
      <c r="C1357" s="12">
        <v>15455</v>
      </c>
      <c r="D1357" s="7" t="s">
        <v>2079</v>
      </c>
      <c r="E1357" s="13" t="s">
        <v>1657</v>
      </c>
      <c r="F1357" t="str">
        <f t="shared" si="105"/>
        <v>Point</v>
      </c>
      <c r="G1357" t="str">
        <f t="shared" si="106"/>
        <v>Point15455Houston</v>
      </c>
      <c r="H1357" t="s">
        <v>32215</v>
      </c>
      <c r="I1357" t="s">
        <v>23644</v>
      </c>
      <c r="J1357" t="str">
        <f t="shared" si="107"/>
        <v>E:\PropInv\MF</v>
      </c>
      <c r="K1357" s="103" t="str">
        <f>HYPERLINK("E:\PropInv\MF\Houston\Point NW_15455_Villages at Copperfield III_Houston_01545","Point NW_15455_Villages at Copperfield III_Houston_01545" )</f>
        <v>Point NW_15455_Villages at Copperfield III_Houston_01545</v>
      </c>
      <c r="L1357" s="104" t="s">
        <v>22253</v>
      </c>
      <c r="M1357" s="103" t="str">
        <f t="shared" si="108"/>
        <v>http://oconnordata.com/mlink/modules/profile/index.cfm?action=profile&amp;prop_id=1545</v>
      </c>
      <c r="N1357" s="1" t="str">
        <f t="shared" si="109"/>
        <v>01545</v>
      </c>
    </row>
    <row r="1358" spans="1:14" x14ac:dyDescent="0.3">
      <c r="A1358" s="1">
        <v>1546</v>
      </c>
      <c r="B1358" s="7" t="s">
        <v>2069</v>
      </c>
      <c r="C1358" s="12">
        <v>8200</v>
      </c>
      <c r="D1358" s="7" t="s">
        <v>2080</v>
      </c>
      <c r="E1358" s="13" t="s">
        <v>1657</v>
      </c>
      <c r="F1358" t="str">
        <f t="shared" si="105"/>
        <v>Sunbury</v>
      </c>
      <c r="G1358" t="str">
        <f t="shared" si="106"/>
        <v>Sunbury8200Houston</v>
      </c>
      <c r="H1358" t="s">
        <v>32216</v>
      </c>
      <c r="I1358" t="s">
        <v>23645</v>
      </c>
      <c r="J1358" t="str">
        <f t="shared" si="107"/>
        <v>E:\PropInv\MF</v>
      </c>
      <c r="K1358" s="103" t="str">
        <f>HYPERLINK("E:\PropInv\MF\Houston\Sunbury_8200_Sunbury Downs_Houston_01546","Sunbury_8200_Sunbury Downs_Houston_01546" )</f>
        <v>Sunbury_8200_Sunbury Downs_Houston_01546</v>
      </c>
      <c r="L1358" s="104" t="s">
        <v>22253</v>
      </c>
      <c r="M1358" s="103" t="str">
        <f t="shared" si="108"/>
        <v>http://oconnordata.com/mlink/modules/profile/index.cfm?action=profile&amp;prop_id=1546</v>
      </c>
      <c r="N1358" s="1" t="str">
        <f t="shared" si="109"/>
        <v>01546</v>
      </c>
    </row>
    <row r="1359" spans="1:14" x14ac:dyDescent="0.3">
      <c r="A1359" s="1">
        <v>1547</v>
      </c>
      <c r="B1359" s="7" t="s">
        <v>2081</v>
      </c>
      <c r="C1359" s="12" t="s">
        <v>2082</v>
      </c>
      <c r="D1359" s="7" t="s">
        <v>2083</v>
      </c>
      <c r="E1359" s="13" t="s">
        <v>1657</v>
      </c>
      <c r="F1359" t="str">
        <f t="shared" si="105"/>
        <v>Little</v>
      </c>
      <c r="G1359" t="str">
        <f t="shared" si="106"/>
        <v>Little15303-15357Houston</v>
      </c>
      <c r="H1359" t="s">
        <v>32217</v>
      </c>
      <c r="I1359" t="s">
        <v>23646</v>
      </c>
      <c r="J1359" t="str">
        <f t="shared" si="107"/>
        <v>E:\PropInv\MF</v>
      </c>
      <c r="K1359" s="103" t="str">
        <f>HYPERLINK("E:\PropInv\MF\Houston\Little York W_15303-15357_TH of Bear Creek_Houston_01547","Little York W_15303-15357_TH of Bear Creek_Houston_01547" )</f>
        <v>Little York W_15303-15357_TH of Bear Creek_Houston_01547</v>
      </c>
      <c r="L1359" s="104" t="s">
        <v>22253</v>
      </c>
      <c r="M1359" s="103" t="str">
        <f t="shared" si="108"/>
        <v>http://oconnordata.com/mlink/modules/profile/index.cfm?action=profile&amp;prop_id=1547</v>
      </c>
      <c r="N1359" s="1" t="str">
        <f t="shared" si="109"/>
        <v>01547</v>
      </c>
    </row>
    <row r="1360" spans="1:14" x14ac:dyDescent="0.3">
      <c r="A1360" s="1">
        <v>1548</v>
      </c>
      <c r="B1360" s="7" t="s">
        <v>2084</v>
      </c>
      <c r="C1360" s="12">
        <v>15550</v>
      </c>
      <c r="D1360" s="7" t="s">
        <v>2085</v>
      </c>
      <c r="E1360" s="13" t="s">
        <v>1657</v>
      </c>
      <c r="F1360" t="str">
        <f t="shared" si="105"/>
        <v>Kingfield</v>
      </c>
      <c r="G1360" t="str">
        <f t="shared" si="106"/>
        <v>Kingfield15550Houston</v>
      </c>
      <c r="H1360" t="s">
        <v>32218</v>
      </c>
      <c r="I1360" t="s">
        <v>23647</v>
      </c>
      <c r="J1360" t="str">
        <f t="shared" si="107"/>
        <v>E:\PropInv\MF</v>
      </c>
      <c r="K1360" s="103" t="str">
        <f>HYPERLINK("E:\PropInv\MF\Houston\Kingfield_15550_Colonies Landing_Houston_01548","Kingfield_15550_Colonies Landing_Houston_01548" )</f>
        <v>Kingfield_15550_Colonies Landing_Houston_01548</v>
      </c>
      <c r="L1360" s="104" t="s">
        <v>22253</v>
      </c>
      <c r="M1360" s="103" t="str">
        <f t="shared" si="108"/>
        <v>http://oconnordata.com/mlink/modules/profile/index.cfm?action=profile&amp;prop_id=1548</v>
      </c>
      <c r="N1360" s="1" t="str">
        <f t="shared" si="109"/>
        <v>01548</v>
      </c>
    </row>
    <row r="1361" spans="1:14" x14ac:dyDescent="0.3">
      <c r="A1361" s="1">
        <v>1549</v>
      </c>
      <c r="B1361" s="7" t="s">
        <v>2086</v>
      </c>
      <c r="C1361" s="12">
        <v>12613</v>
      </c>
      <c r="D1361" s="7" t="s">
        <v>2087</v>
      </c>
      <c r="E1361" s="13" t="s">
        <v>1657</v>
      </c>
      <c r="F1361" t="str">
        <f t="shared" si="105"/>
        <v>Seattle</v>
      </c>
      <c r="G1361" t="str">
        <f t="shared" si="106"/>
        <v>Seattle12613Houston</v>
      </c>
      <c r="H1361" t="s">
        <v>32219</v>
      </c>
      <c r="I1361" t="s">
        <v>23648</v>
      </c>
      <c r="J1361" t="str">
        <f t="shared" si="107"/>
        <v>E:\PropInv\MF</v>
      </c>
      <c r="K1361" s="103" t="str">
        <f>HYPERLINK("E:\PropInv\MF\Houston\Seattle Slew_12613_Trails at Rock Creek II_Houston_01549","Seattle Slew_12613_Trails at Rock Creek II_Houston_01549" )</f>
        <v>Seattle Slew_12613_Trails at Rock Creek II_Houston_01549</v>
      </c>
      <c r="L1361" s="104" t="s">
        <v>22253</v>
      </c>
      <c r="M1361" s="103" t="str">
        <f t="shared" si="108"/>
        <v>http://oconnordata.com/mlink/modules/profile/index.cfm?action=profile&amp;prop_id=1549</v>
      </c>
      <c r="N1361" s="1" t="str">
        <f t="shared" si="109"/>
        <v>01549</v>
      </c>
    </row>
    <row r="1362" spans="1:14" x14ac:dyDescent="0.3">
      <c r="A1362" s="1">
        <v>1550</v>
      </c>
      <c r="B1362" s="7" t="s">
        <v>1846</v>
      </c>
      <c r="C1362" s="12">
        <v>8901</v>
      </c>
      <c r="D1362" s="7" t="s">
        <v>2088</v>
      </c>
      <c r="E1362" s="13" t="s">
        <v>1657</v>
      </c>
      <c r="F1362" t="str">
        <f t="shared" si="105"/>
        <v>Jones</v>
      </c>
      <c r="G1362" t="str">
        <f t="shared" si="106"/>
        <v>Jones8901Houston</v>
      </c>
      <c r="H1362" t="s">
        <v>32220</v>
      </c>
      <c r="I1362" t="s">
        <v>23649</v>
      </c>
      <c r="J1362" t="str">
        <f t="shared" si="107"/>
        <v>E:\PropInv\MF</v>
      </c>
      <c r="K1362" s="103" t="str">
        <f>HYPERLINK("E:\PropInv\MF\Houston\Jones Rd_8901_Pointe at Steeplechase I_Houston_01550","Jones Rd_8901_Pointe at Steeplechase I_Houston_01550" )</f>
        <v>Jones Rd_8901_Pointe at Steeplechase I_Houston_01550</v>
      </c>
      <c r="L1362" s="104" t="s">
        <v>22253</v>
      </c>
      <c r="M1362" s="103" t="str">
        <f t="shared" si="108"/>
        <v>http://oconnordata.com/mlink/modules/profile/index.cfm?action=profile&amp;prop_id=1550</v>
      </c>
      <c r="N1362" s="1" t="str">
        <f t="shared" si="109"/>
        <v>01550</v>
      </c>
    </row>
    <row r="1363" spans="1:14" x14ac:dyDescent="0.3">
      <c r="A1363" s="1">
        <v>1552</v>
      </c>
      <c r="B1363" s="7" t="s">
        <v>2089</v>
      </c>
      <c r="C1363" s="12">
        <v>6706</v>
      </c>
      <c r="D1363" s="7" t="s">
        <v>2090</v>
      </c>
      <c r="E1363" s="13" t="s">
        <v>1657</v>
      </c>
      <c r="F1363" t="str">
        <f t="shared" si="105"/>
        <v>Wagonwheel</v>
      </c>
      <c r="G1363" t="str">
        <f t="shared" si="106"/>
        <v>Wagonwheel6706Houston</v>
      </c>
      <c r="H1363" t="s">
        <v>32221</v>
      </c>
      <c r="I1363" t="s">
        <v>23650</v>
      </c>
      <c r="J1363" t="str">
        <f t="shared" si="107"/>
        <v>E:\PropInv\MF</v>
      </c>
      <c r="K1363" s="103" t="str">
        <f>HYPERLINK("E:\PropInv\MF\Houston\Wagonwheel Ln_6706_Inwood Place_Houston_01552","Wagonwheel Ln_6706_Inwood Place_Houston_01552" )</f>
        <v>Wagonwheel Ln_6706_Inwood Place_Houston_01552</v>
      </c>
      <c r="L1363" s="104" t="s">
        <v>22253</v>
      </c>
      <c r="M1363" s="103" t="str">
        <f t="shared" si="108"/>
        <v>http://oconnordata.com/mlink/modules/profile/index.cfm?action=profile&amp;prop_id=1552</v>
      </c>
      <c r="N1363" s="1" t="str">
        <f t="shared" si="109"/>
        <v>01552</v>
      </c>
    </row>
    <row r="1364" spans="1:14" x14ac:dyDescent="0.3">
      <c r="A1364" s="1">
        <v>1553</v>
      </c>
      <c r="B1364" s="7" t="s">
        <v>2091</v>
      </c>
      <c r="C1364" s="12">
        <v>7200</v>
      </c>
      <c r="D1364" s="7" t="s">
        <v>2092</v>
      </c>
      <c r="E1364" s="13" t="s">
        <v>1657</v>
      </c>
      <c r="F1364" t="str">
        <f t="shared" si="105"/>
        <v>TC</v>
      </c>
      <c r="G1364" t="str">
        <f t="shared" si="106"/>
        <v>TC7200Houston</v>
      </c>
      <c r="H1364" t="s">
        <v>32222</v>
      </c>
      <c r="I1364" t="s">
        <v>23651</v>
      </c>
      <c r="J1364" t="str">
        <f t="shared" si="107"/>
        <v>E:\PropInv\MF</v>
      </c>
      <c r="K1364" s="103" t="str">
        <f>HYPERLINK("E:\PropInv\MF\Houston\TC Jester Blvd W_7200_Inwood Village_Houston_01553","TC Jester Blvd W_7200_Inwood Village_Houston_01553" )</f>
        <v>TC Jester Blvd W_7200_Inwood Village_Houston_01553</v>
      </c>
      <c r="L1364" s="104" t="s">
        <v>22253</v>
      </c>
      <c r="M1364" s="103" t="str">
        <f t="shared" si="108"/>
        <v>http://oconnordata.com/mlink/modules/profile/index.cfm?action=profile&amp;prop_id=1553</v>
      </c>
      <c r="N1364" s="1" t="str">
        <f t="shared" si="109"/>
        <v>01553</v>
      </c>
    </row>
    <row r="1365" spans="1:14" x14ac:dyDescent="0.3">
      <c r="A1365" s="1">
        <v>1554</v>
      </c>
      <c r="B1365" s="21" t="s">
        <v>2093</v>
      </c>
      <c r="C1365" s="12">
        <v>11220</v>
      </c>
      <c r="D1365" s="7" t="s">
        <v>2094</v>
      </c>
      <c r="E1365" s="13" t="s">
        <v>1657</v>
      </c>
      <c r="F1365" t="str">
        <f t="shared" si="105"/>
        <v>W</v>
      </c>
      <c r="G1365" t="str">
        <f t="shared" si="106"/>
        <v>W11220Houston</v>
      </c>
      <c r="H1365" t="s">
        <v>32223</v>
      </c>
      <c r="I1365" t="s">
        <v>23652</v>
      </c>
      <c r="J1365" t="str">
        <f t="shared" si="107"/>
        <v>E:\PropInv\MF</v>
      </c>
      <c r="K1365" s="103" t="str">
        <f>HYPERLINK("E:\PropInv\MF\Houston\W Rd_11220_Steeplecrest I_Houston_01554","W Rd_11220_Steeplecrest I_Houston_01554" )</f>
        <v>W Rd_11220_Steeplecrest I_Houston_01554</v>
      </c>
      <c r="L1365" s="104" t="s">
        <v>22253</v>
      </c>
      <c r="M1365" s="103" t="str">
        <f t="shared" si="108"/>
        <v>http://oconnordata.com/mlink/modules/profile/index.cfm?action=profile&amp;prop_id=1554</v>
      </c>
      <c r="N1365" s="1" t="str">
        <f t="shared" si="109"/>
        <v>01554</v>
      </c>
    </row>
    <row r="1366" spans="1:14" x14ac:dyDescent="0.3">
      <c r="A1366" s="1">
        <v>1555</v>
      </c>
      <c r="B1366" s="21" t="s">
        <v>2093</v>
      </c>
      <c r="C1366" s="12">
        <v>11220</v>
      </c>
      <c r="D1366" s="7" t="s">
        <v>2095</v>
      </c>
      <c r="E1366" s="13" t="s">
        <v>1657</v>
      </c>
      <c r="F1366" t="str">
        <f t="shared" si="105"/>
        <v>W</v>
      </c>
      <c r="G1366" t="str">
        <f t="shared" si="106"/>
        <v>W11220Houston</v>
      </c>
      <c r="H1366" t="s">
        <v>32224</v>
      </c>
      <c r="I1366" t="s">
        <v>23653</v>
      </c>
      <c r="J1366" t="str">
        <f t="shared" si="107"/>
        <v>E:\PropInv\MF</v>
      </c>
      <c r="K1366" s="103" t="str">
        <f>HYPERLINK("E:\PropInv\MF\Houston\W Rd_11220_Steeplecrest II_Houston_01555","W Rd_11220_Steeplecrest II_Houston_01555" )</f>
        <v>W Rd_11220_Steeplecrest II_Houston_01555</v>
      </c>
      <c r="L1366" s="104" t="s">
        <v>22253</v>
      </c>
      <c r="M1366" s="103" t="str">
        <f t="shared" si="108"/>
        <v>http://oconnordata.com/mlink/modules/profile/index.cfm?action=profile&amp;prop_id=1555</v>
      </c>
      <c r="N1366" s="1" t="str">
        <f t="shared" si="109"/>
        <v>01555</v>
      </c>
    </row>
    <row r="1367" spans="1:14" x14ac:dyDescent="0.3">
      <c r="A1367" s="1">
        <v>1557</v>
      </c>
      <c r="B1367" s="7" t="s">
        <v>2060</v>
      </c>
      <c r="C1367" s="12">
        <v>5735</v>
      </c>
      <c r="D1367" s="7" t="s">
        <v>2096</v>
      </c>
      <c r="E1367" s="13" t="s">
        <v>1657</v>
      </c>
      <c r="F1367" t="str">
        <f t="shared" si="105"/>
        <v>Timber</v>
      </c>
      <c r="G1367" t="str">
        <f t="shared" si="106"/>
        <v>Timber5735Houston</v>
      </c>
      <c r="H1367" t="s">
        <v>32225</v>
      </c>
      <c r="I1367" t="s">
        <v>23654</v>
      </c>
      <c r="J1367" t="str">
        <f t="shared" si="107"/>
        <v>E:\PropInv\MF</v>
      </c>
      <c r="K1367" s="103" t="str">
        <f>HYPERLINK("E:\PropInv\MF\Houston\Timber Creek Place Dr_5735_The Madison at Bear Creek_Houston_01557","Timber Creek Place Dr_5735_The Madison at Bear Creek_Houston_01557" )</f>
        <v>Timber Creek Place Dr_5735_The Madison at Bear Creek_Houston_01557</v>
      </c>
      <c r="L1367" s="104" t="s">
        <v>22253</v>
      </c>
      <c r="M1367" s="103" t="str">
        <f t="shared" si="108"/>
        <v>http://oconnordata.com/mlink/modules/profile/index.cfm?action=profile&amp;prop_id=1557</v>
      </c>
      <c r="N1367" s="1" t="str">
        <f t="shared" si="109"/>
        <v>01557</v>
      </c>
    </row>
    <row r="1368" spans="1:14" x14ac:dyDescent="0.3">
      <c r="A1368" s="1">
        <v>1558</v>
      </c>
      <c r="B1368" s="21" t="s">
        <v>2093</v>
      </c>
      <c r="C1368" s="12">
        <v>11245</v>
      </c>
      <c r="D1368" s="7" t="s">
        <v>2097</v>
      </c>
      <c r="E1368" s="13" t="s">
        <v>1657</v>
      </c>
      <c r="F1368" t="str">
        <f t="shared" si="105"/>
        <v>W</v>
      </c>
      <c r="G1368" t="str">
        <f t="shared" si="106"/>
        <v>W11245Houston</v>
      </c>
      <c r="H1368" t="s">
        <v>32226</v>
      </c>
      <c r="I1368" t="s">
        <v>23655</v>
      </c>
      <c r="J1368" t="str">
        <f t="shared" si="107"/>
        <v>E:\PropInv\MF</v>
      </c>
      <c r="K1368" s="103" t="str">
        <f>HYPERLINK("E:\PropInv\MF\Houston\W Rd_11245_Retreat at Steeplechase_Houston_01558","W Rd_11245_Retreat at Steeplechase_Houston_01558" )</f>
        <v>W Rd_11245_Retreat at Steeplechase_Houston_01558</v>
      </c>
      <c r="L1368" s="104" t="s">
        <v>22253</v>
      </c>
      <c r="M1368" s="103" t="str">
        <f t="shared" si="108"/>
        <v>http://oconnordata.com/mlink/modules/profile/index.cfm?action=profile&amp;prop_id=1558</v>
      </c>
      <c r="N1368" s="1" t="str">
        <f t="shared" si="109"/>
        <v>01558</v>
      </c>
    </row>
    <row r="1369" spans="1:14" x14ac:dyDescent="0.3">
      <c r="A1369" s="1">
        <v>1559</v>
      </c>
      <c r="B1369" s="7" t="s">
        <v>2098</v>
      </c>
      <c r="C1369" s="12">
        <v>11910</v>
      </c>
      <c r="D1369" s="7" t="s">
        <v>2099</v>
      </c>
      <c r="E1369" s="13" t="s">
        <v>1657</v>
      </c>
      <c r="F1369" t="str">
        <f t="shared" si="105"/>
        <v>Thoroughbred</v>
      </c>
      <c r="G1369" t="str">
        <f t="shared" si="106"/>
        <v>Thoroughbred11910Houston</v>
      </c>
      <c r="H1369" t="s">
        <v>32227</v>
      </c>
      <c r="I1369" t="s">
        <v>23656</v>
      </c>
      <c r="J1369" t="str">
        <f t="shared" si="107"/>
        <v>E:\PropInv\MF</v>
      </c>
      <c r="K1369" s="103" t="str">
        <f>HYPERLINK("E:\PropInv\MF\Houston\Thoroughbred Dr_11910_Steepleway Downs_Houston_01559","Thoroughbred Dr_11910_Steepleway Downs_Houston_01559" )</f>
        <v>Thoroughbred Dr_11910_Steepleway Downs_Houston_01559</v>
      </c>
      <c r="L1369" s="104" t="s">
        <v>22253</v>
      </c>
      <c r="M1369" s="103" t="str">
        <f t="shared" si="108"/>
        <v>http://oconnordata.com/mlink/modules/profile/index.cfm?action=profile&amp;prop_id=1559</v>
      </c>
      <c r="N1369" s="1" t="str">
        <f t="shared" si="109"/>
        <v>01559</v>
      </c>
    </row>
    <row r="1370" spans="1:14" x14ac:dyDescent="0.3">
      <c r="A1370" s="1">
        <v>1560</v>
      </c>
      <c r="B1370" s="21" t="s">
        <v>2093</v>
      </c>
      <c r="C1370" s="12">
        <v>10910</v>
      </c>
      <c r="D1370" s="7" t="s">
        <v>2100</v>
      </c>
      <c r="E1370" s="13" t="s">
        <v>1657</v>
      </c>
      <c r="F1370" t="str">
        <f t="shared" si="105"/>
        <v>W</v>
      </c>
      <c r="G1370" t="str">
        <f t="shared" si="106"/>
        <v>W10910Houston</v>
      </c>
      <c r="H1370" t="s">
        <v>32228</v>
      </c>
      <c r="I1370" t="s">
        <v>23657</v>
      </c>
      <c r="J1370" t="str">
        <f t="shared" si="107"/>
        <v>E:\PropInv\MF</v>
      </c>
      <c r="K1370" s="103" t="str">
        <f>HYPERLINK("E:\PropInv\MF\Houston\W Rd_10910_Ascot Court_Houston_01560","W Rd_10910_Ascot Court_Houston_01560" )</f>
        <v>W Rd_10910_Ascot Court_Houston_01560</v>
      </c>
      <c r="L1370" s="104" t="s">
        <v>22253</v>
      </c>
      <c r="M1370" s="103" t="str">
        <f t="shared" si="108"/>
        <v>http://oconnordata.com/mlink/modules/profile/index.cfm?action=profile&amp;prop_id=1560</v>
      </c>
      <c r="N1370" s="1" t="str">
        <f t="shared" si="109"/>
        <v>01560</v>
      </c>
    </row>
    <row r="1371" spans="1:14" x14ac:dyDescent="0.3">
      <c r="A1371" s="1">
        <v>1561</v>
      </c>
      <c r="B1371" s="21" t="s">
        <v>2093</v>
      </c>
      <c r="C1371" s="12">
        <v>10990</v>
      </c>
      <c r="D1371" s="7" t="s">
        <v>2101</v>
      </c>
      <c r="E1371" s="13" t="s">
        <v>1657</v>
      </c>
      <c r="F1371" t="str">
        <f t="shared" si="105"/>
        <v>W</v>
      </c>
      <c r="G1371" t="str">
        <f t="shared" si="106"/>
        <v>W10990Houston</v>
      </c>
      <c r="H1371" t="s">
        <v>32229</v>
      </c>
      <c r="I1371" t="s">
        <v>23658</v>
      </c>
      <c r="J1371" t="str">
        <f t="shared" si="107"/>
        <v>E:\PropInv\MF</v>
      </c>
      <c r="K1371" s="103" t="str">
        <f>HYPERLINK("E:\PropInv\MF\Houston\W Rd_10990_West Brook_Houston_01561","W Rd_10990_West Brook_Houston_01561" )</f>
        <v>W Rd_10990_West Brook_Houston_01561</v>
      </c>
      <c r="L1371" s="104" t="s">
        <v>22253</v>
      </c>
      <c r="M1371" s="103" t="str">
        <f t="shared" si="108"/>
        <v>http://oconnordata.com/mlink/modules/profile/index.cfm?action=profile&amp;prop_id=1561</v>
      </c>
      <c r="N1371" s="1" t="str">
        <f t="shared" si="109"/>
        <v>01561</v>
      </c>
    </row>
    <row r="1372" spans="1:14" x14ac:dyDescent="0.3">
      <c r="A1372" s="1">
        <v>1562</v>
      </c>
      <c r="B1372" s="7" t="s">
        <v>2102</v>
      </c>
      <c r="C1372" s="12">
        <v>10901</v>
      </c>
      <c r="D1372" s="7" t="s">
        <v>2102</v>
      </c>
      <c r="E1372" s="13" t="s">
        <v>1657</v>
      </c>
      <c r="F1372" t="str">
        <f t="shared" si="105"/>
        <v>Ranchstone</v>
      </c>
      <c r="G1372" t="str">
        <f t="shared" si="106"/>
        <v>Ranchstone10901Houston</v>
      </c>
      <c r="H1372" t="s">
        <v>32230</v>
      </c>
      <c r="I1372" t="s">
        <v>23659</v>
      </c>
      <c r="J1372" t="str">
        <f t="shared" si="107"/>
        <v>E:\PropInv\MF</v>
      </c>
      <c r="K1372" s="103" t="str">
        <f>HYPERLINK("E:\PropInv\MF\Houston\Ranchstone_10901_Ranchstone_Houston_01562","Ranchstone_10901_Ranchstone_Houston_01562" )</f>
        <v>Ranchstone_10901_Ranchstone_Houston_01562</v>
      </c>
      <c r="L1372" s="104" t="s">
        <v>22253</v>
      </c>
      <c r="M1372" s="103" t="str">
        <f t="shared" si="108"/>
        <v>http://oconnordata.com/mlink/modules/profile/index.cfm?action=profile&amp;prop_id=1562</v>
      </c>
      <c r="N1372" s="1" t="str">
        <f t="shared" si="109"/>
        <v>01562</v>
      </c>
    </row>
    <row r="1373" spans="1:14" x14ac:dyDescent="0.3">
      <c r="A1373" s="1">
        <v>1563</v>
      </c>
      <c r="B1373" s="21" t="s">
        <v>2093</v>
      </c>
      <c r="C1373" s="12">
        <v>10919</v>
      </c>
      <c r="D1373" s="7" t="s">
        <v>2103</v>
      </c>
      <c r="E1373" s="13" t="s">
        <v>1657</v>
      </c>
      <c r="F1373" t="str">
        <f t="shared" si="105"/>
        <v>W</v>
      </c>
      <c r="G1373" t="str">
        <f t="shared" si="106"/>
        <v>W10919Houston</v>
      </c>
      <c r="H1373" t="s">
        <v>32231</v>
      </c>
      <c r="I1373" t="s">
        <v>23660</v>
      </c>
      <c r="J1373" t="str">
        <f t="shared" si="107"/>
        <v>E:\PropInv\MF</v>
      </c>
      <c r="K1373" s="103" t="str">
        <f>HYPERLINK("E:\PropInv\MF\Houston\W Rd_10919_Stone Canyon_Houston_01563","W Rd_10919_Stone Canyon_Houston_01563" )</f>
        <v>W Rd_10919_Stone Canyon_Houston_01563</v>
      </c>
      <c r="L1373" s="104" t="s">
        <v>22253</v>
      </c>
      <c r="M1373" s="103" t="str">
        <f t="shared" si="108"/>
        <v>http://oconnordata.com/mlink/modules/profile/index.cfm?action=profile&amp;prop_id=1563</v>
      </c>
      <c r="N1373" s="1" t="str">
        <f t="shared" si="109"/>
        <v>01563</v>
      </c>
    </row>
    <row r="1374" spans="1:14" x14ac:dyDescent="0.3">
      <c r="A1374" s="1">
        <v>1564</v>
      </c>
      <c r="B1374" s="7" t="s">
        <v>2104</v>
      </c>
      <c r="C1374" s="12">
        <v>6565</v>
      </c>
      <c r="D1374" s="7" t="s">
        <v>2105</v>
      </c>
      <c r="E1374" s="13" t="s">
        <v>1657</v>
      </c>
      <c r="F1374" t="str">
        <f t="shared" si="105"/>
        <v>Hollister</v>
      </c>
      <c r="G1374" t="str">
        <f t="shared" si="106"/>
        <v>Hollister6565Houston</v>
      </c>
      <c r="H1374" t="s">
        <v>32232</v>
      </c>
      <c r="I1374" t="s">
        <v>23661</v>
      </c>
      <c r="J1374" t="str">
        <f t="shared" si="107"/>
        <v>E:\PropInv\MF</v>
      </c>
      <c r="K1374" s="103" t="str">
        <f>HYPERLINK("E:\PropInv\MF\Houston\Hollister_6565_Hollister Place_Houston_01564","Hollister_6565_Hollister Place_Houston_01564" )</f>
        <v>Hollister_6565_Hollister Place_Houston_01564</v>
      </c>
      <c r="L1374" s="104" t="s">
        <v>22253</v>
      </c>
      <c r="M1374" s="103" t="str">
        <f t="shared" si="108"/>
        <v>http://oconnordata.com/mlink/modules/profile/index.cfm?action=profile&amp;prop_id=1564</v>
      </c>
      <c r="N1374" s="1" t="str">
        <f t="shared" si="109"/>
        <v>01564</v>
      </c>
    </row>
    <row r="1375" spans="1:14" x14ac:dyDescent="0.3">
      <c r="A1375" s="1">
        <v>1565</v>
      </c>
      <c r="B1375" s="7" t="s">
        <v>2104</v>
      </c>
      <c r="C1375" s="12">
        <v>6000</v>
      </c>
      <c r="D1375" s="7" t="s">
        <v>2106</v>
      </c>
      <c r="E1375" s="13" t="s">
        <v>1657</v>
      </c>
      <c r="F1375" t="str">
        <f t="shared" si="105"/>
        <v>Hollister</v>
      </c>
      <c r="G1375" t="str">
        <f t="shared" si="106"/>
        <v>Hollister6000Houston</v>
      </c>
      <c r="H1375" t="s">
        <v>32233</v>
      </c>
      <c r="I1375" t="s">
        <v>23662</v>
      </c>
      <c r="J1375" t="str">
        <f t="shared" si="107"/>
        <v>E:\PropInv\MF</v>
      </c>
      <c r="K1375" s="103" t="str">
        <f>HYPERLINK("E:\PropInv\MF\Houston\Hollister_6000_Wilshire Place_Houston_01565","Hollister_6000_Wilshire Place_Houston_01565" )</f>
        <v>Hollister_6000_Wilshire Place_Houston_01565</v>
      </c>
      <c r="L1375" s="104" t="s">
        <v>22253</v>
      </c>
      <c r="M1375" s="103" t="str">
        <f t="shared" si="108"/>
        <v>http://oconnordata.com/mlink/modules/profile/index.cfm?action=profile&amp;prop_id=1565</v>
      </c>
      <c r="N1375" s="1" t="str">
        <f t="shared" si="109"/>
        <v>01565</v>
      </c>
    </row>
    <row r="1376" spans="1:14" x14ac:dyDescent="0.3">
      <c r="A1376" s="1">
        <v>1566</v>
      </c>
      <c r="B1376" s="7" t="s">
        <v>1846</v>
      </c>
      <c r="C1376" s="12">
        <v>8655</v>
      </c>
      <c r="D1376" s="7" t="s">
        <v>2107</v>
      </c>
      <c r="E1376" s="13" t="s">
        <v>1657</v>
      </c>
      <c r="F1376" t="str">
        <f t="shared" si="105"/>
        <v>Jones</v>
      </c>
      <c r="G1376" t="str">
        <f t="shared" si="106"/>
        <v>Jones8655Houston</v>
      </c>
      <c r="H1376" t="s">
        <v>32234</v>
      </c>
      <c r="I1376" t="s">
        <v>23663</v>
      </c>
      <c r="J1376" t="str">
        <f t="shared" si="107"/>
        <v>E:\PropInv\MF</v>
      </c>
      <c r="K1376" s="103" t="str">
        <f>HYPERLINK("E:\PropInv\MF\Houston\Jones Rd_8655_The Trails at Corinthian Creek_Houston_01566","Jones Rd_8655_The Trails at Corinthian Creek_Houston_01566" )</f>
        <v>Jones Rd_8655_The Trails at Corinthian Creek_Houston_01566</v>
      </c>
      <c r="L1376" s="104" t="s">
        <v>22253</v>
      </c>
      <c r="M1376" s="103" t="str">
        <f t="shared" si="108"/>
        <v>http://oconnordata.com/mlink/modules/profile/index.cfm?action=profile&amp;prop_id=1566</v>
      </c>
      <c r="N1376" s="1" t="str">
        <f t="shared" si="109"/>
        <v>01566</v>
      </c>
    </row>
    <row r="1377" spans="1:14" x14ac:dyDescent="0.3">
      <c r="A1377" s="1">
        <v>1567</v>
      </c>
      <c r="B1377" s="7" t="s">
        <v>2086</v>
      </c>
      <c r="C1377" s="12">
        <v>12502</v>
      </c>
      <c r="D1377" s="7" t="s">
        <v>2108</v>
      </c>
      <c r="E1377" s="13" t="s">
        <v>1657</v>
      </c>
      <c r="F1377" t="str">
        <f t="shared" si="105"/>
        <v>Seattle</v>
      </c>
      <c r="G1377" t="str">
        <f t="shared" si="106"/>
        <v>Seattle12502Houston</v>
      </c>
      <c r="H1377" t="s">
        <v>32235</v>
      </c>
      <c r="I1377" t="s">
        <v>23664</v>
      </c>
      <c r="J1377" t="str">
        <f t="shared" si="107"/>
        <v>E:\PropInv\MF</v>
      </c>
      <c r="K1377" s="103" t="str">
        <f>HYPERLINK("E:\PropInv\MF\Houston\Seattle Slew_12502_Trails at Rock Creek I_Houston_01567","Seattle Slew_12502_Trails at Rock Creek I_Houston_01567" )</f>
        <v>Seattle Slew_12502_Trails at Rock Creek I_Houston_01567</v>
      </c>
      <c r="L1377" s="104" t="s">
        <v>22253</v>
      </c>
      <c r="M1377" s="103" t="str">
        <f t="shared" si="108"/>
        <v>http://oconnordata.com/mlink/modules/profile/index.cfm?action=profile&amp;prop_id=1567</v>
      </c>
      <c r="N1377" s="1" t="str">
        <f t="shared" si="109"/>
        <v>01567</v>
      </c>
    </row>
    <row r="1378" spans="1:14" x14ac:dyDescent="0.3">
      <c r="A1378" s="1">
        <v>1568</v>
      </c>
      <c r="B1378" s="7" t="s">
        <v>2062</v>
      </c>
      <c r="C1378" s="12">
        <v>5650</v>
      </c>
      <c r="D1378" s="7" t="s">
        <v>2109</v>
      </c>
      <c r="E1378" s="13" t="s">
        <v>1657</v>
      </c>
      <c r="F1378" t="str">
        <f t="shared" si="105"/>
        <v>Timber</v>
      </c>
      <c r="G1378" t="str">
        <f t="shared" si="106"/>
        <v>Timber5650Houston</v>
      </c>
      <c r="H1378" t="s">
        <v>32236</v>
      </c>
      <c r="I1378" t="s">
        <v>23665</v>
      </c>
      <c r="J1378" t="str">
        <f t="shared" si="107"/>
        <v>E:\PropInv\MF</v>
      </c>
      <c r="K1378" s="103" t="str">
        <f>HYPERLINK("E:\PropInv\MF\Houston\Timber Creek Place_5650_The Lake_Houston_01568","Timber Creek Place_5650_The Lake_Houston_01568" )</f>
        <v>Timber Creek Place_5650_The Lake_Houston_01568</v>
      </c>
      <c r="L1378" s="104" t="s">
        <v>22253</v>
      </c>
      <c r="M1378" s="103" t="str">
        <f t="shared" si="108"/>
        <v>http://oconnordata.com/mlink/modules/profile/index.cfm?action=profile&amp;prop_id=1568</v>
      </c>
      <c r="N1378" s="1" t="str">
        <f t="shared" si="109"/>
        <v>01568</v>
      </c>
    </row>
    <row r="1379" spans="1:14" x14ac:dyDescent="0.3">
      <c r="A1379" s="1">
        <v>1569</v>
      </c>
      <c r="B1379" s="7" t="s">
        <v>2060</v>
      </c>
      <c r="C1379" s="12">
        <v>5730</v>
      </c>
      <c r="D1379" s="7" t="s">
        <v>2110</v>
      </c>
      <c r="E1379" s="13" t="s">
        <v>1657</v>
      </c>
      <c r="F1379" t="str">
        <f t="shared" si="105"/>
        <v>Timber</v>
      </c>
      <c r="G1379" t="str">
        <f t="shared" si="106"/>
        <v>Timber5730Houston</v>
      </c>
      <c r="H1379" t="s">
        <v>32237</v>
      </c>
      <c r="I1379" t="s">
        <v>23666</v>
      </c>
      <c r="J1379" t="str">
        <f t="shared" si="107"/>
        <v>E:\PropInv\MF</v>
      </c>
      <c r="K1379" s="103" t="str">
        <f>HYPERLINK("E:\PropInv\MF\Houston\Timber Creek Place Dr_5730_Towne Lake_Houston_01569","Timber Creek Place Dr_5730_Towne Lake_Houston_01569" )</f>
        <v>Timber Creek Place Dr_5730_Towne Lake_Houston_01569</v>
      </c>
      <c r="L1379" s="104" t="s">
        <v>22253</v>
      </c>
      <c r="M1379" s="103" t="str">
        <f t="shared" si="108"/>
        <v>http://oconnordata.com/mlink/modules/profile/index.cfm?action=profile&amp;prop_id=1569</v>
      </c>
      <c r="N1379" s="1" t="str">
        <f t="shared" si="109"/>
        <v>01569</v>
      </c>
    </row>
    <row r="1380" spans="1:14" x14ac:dyDescent="0.3">
      <c r="A1380" s="1">
        <v>1570</v>
      </c>
      <c r="B1380" s="19" t="s">
        <v>1878</v>
      </c>
      <c r="C1380" s="18">
        <v>8430</v>
      </c>
      <c r="D1380" s="19" t="s">
        <v>2111</v>
      </c>
      <c r="E1380" s="20" t="s">
        <v>1657</v>
      </c>
      <c r="F1380" t="str">
        <f t="shared" si="105"/>
        <v>Antoine</v>
      </c>
      <c r="G1380" t="str">
        <f t="shared" si="106"/>
        <v>Antoine8430Houston</v>
      </c>
      <c r="H1380" t="s">
        <v>32238</v>
      </c>
      <c r="I1380" t="s">
        <v>23667</v>
      </c>
      <c r="J1380" t="str">
        <f t="shared" si="107"/>
        <v>E:\PropInv\MF</v>
      </c>
      <c r="K1380" s="103" t="str">
        <f>HYPERLINK("E:\PropInv\MF\Houston\Antoine_8430_Chesapeake Village_Houston_01570","Antoine_8430_Chesapeake Village_Houston_01570" )</f>
        <v>Antoine_8430_Chesapeake Village_Houston_01570</v>
      </c>
      <c r="L1380" s="104" t="s">
        <v>22253</v>
      </c>
      <c r="M1380" s="103" t="str">
        <f t="shared" si="108"/>
        <v>http://oconnordata.com/mlink/modules/profile/index.cfm?action=profile&amp;prop_id=1570</v>
      </c>
      <c r="N1380" s="1" t="str">
        <f t="shared" si="109"/>
        <v>01570</v>
      </c>
    </row>
    <row r="1381" spans="1:14" x14ac:dyDescent="0.3">
      <c r="A1381" s="1">
        <v>1571</v>
      </c>
      <c r="B1381" s="7" t="s">
        <v>1878</v>
      </c>
      <c r="C1381" s="12">
        <v>9021</v>
      </c>
      <c r="D1381" s="7" t="s">
        <v>2112</v>
      </c>
      <c r="E1381" s="13" t="s">
        <v>1657</v>
      </c>
      <c r="F1381" t="str">
        <f t="shared" si="105"/>
        <v>Antoine</v>
      </c>
      <c r="G1381" t="str">
        <f t="shared" si="106"/>
        <v>Antoine9021Houston</v>
      </c>
      <c r="H1381" t="s">
        <v>32239</v>
      </c>
      <c r="I1381" t="s">
        <v>23668</v>
      </c>
      <c r="J1381" t="str">
        <f t="shared" si="107"/>
        <v>E:\PropInv\MF</v>
      </c>
      <c r="K1381" s="103" t="str">
        <f>HYPERLINK("E:\PropInv\MF\Houston\Antoine_9021_Inwood Meadows_Houston_01571","Antoine_9021_Inwood Meadows_Houston_01571" )</f>
        <v>Antoine_9021_Inwood Meadows_Houston_01571</v>
      </c>
      <c r="L1381" s="104" t="s">
        <v>22253</v>
      </c>
      <c r="M1381" s="103" t="str">
        <f t="shared" si="108"/>
        <v>http://oconnordata.com/mlink/modules/profile/index.cfm?action=profile&amp;prop_id=1571</v>
      </c>
      <c r="N1381" s="1" t="str">
        <f t="shared" si="109"/>
        <v>01571</v>
      </c>
    </row>
    <row r="1382" spans="1:14" x14ac:dyDescent="0.3">
      <c r="A1382" s="1">
        <v>1572</v>
      </c>
      <c r="B1382" s="7" t="s">
        <v>2113</v>
      </c>
      <c r="C1382" s="12">
        <v>5300</v>
      </c>
      <c r="D1382" s="7" t="s">
        <v>2114</v>
      </c>
      <c r="E1382" s="13" t="s">
        <v>1657</v>
      </c>
      <c r="F1382" t="str">
        <f t="shared" si="105"/>
        <v>Gulf</v>
      </c>
      <c r="G1382" t="str">
        <f t="shared" si="106"/>
        <v>Gulf5300Houston</v>
      </c>
      <c r="H1382" t="s">
        <v>32240</v>
      </c>
      <c r="I1382" t="s">
        <v>23669</v>
      </c>
      <c r="J1382" t="str">
        <f t="shared" si="107"/>
        <v>E:\PropInv\MF</v>
      </c>
      <c r="K1382" s="103" t="str">
        <f>HYPERLINK("E:\PropInv\MF\Houston\Gulf Bank W_5300_Avery Park I_Houston_01572","Gulf Bank W_5300_Avery Park I_Houston_01572" )</f>
        <v>Gulf Bank W_5300_Avery Park I_Houston_01572</v>
      </c>
      <c r="L1382" s="104" t="s">
        <v>22253</v>
      </c>
      <c r="M1382" s="103" t="str">
        <f t="shared" si="108"/>
        <v>http://oconnordata.com/mlink/modules/profile/index.cfm?action=profile&amp;prop_id=1572</v>
      </c>
      <c r="N1382" s="1" t="str">
        <f t="shared" si="109"/>
        <v>01572</v>
      </c>
    </row>
    <row r="1383" spans="1:14" x14ac:dyDescent="0.3">
      <c r="A1383" s="1">
        <v>1573</v>
      </c>
      <c r="B1383" s="7" t="s">
        <v>2115</v>
      </c>
      <c r="C1383" s="12">
        <v>7100</v>
      </c>
      <c r="D1383" s="7" t="s">
        <v>2116</v>
      </c>
      <c r="E1383" s="13" t="s">
        <v>1657</v>
      </c>
      <c r="F1383" t="str">
        <f t="shared" si="105"/>
        <v>Smiling</v>
      </c>
      <c r="G1383" t="str">
        <f t="shared" si="106"/>
        <v>Smiling7100Houston</v>
      </c>
      <c r="H1383" t="s">
        <v>32241</v>
      </c>
      <c r="I1383" t="s">
        <v>23670</v>
      </c>
      <c r="J1383" t="str">
        <f t="shared" si="107"/>
        <v>E:\PropInv\MF</v>
      </c>
      <c r="K1383" s="103" t="str">
        <f>HYPERLINK("E:\PropInv\MF\Houston\Smiling Wood_7100_The Park at Willowbrook_Houston_01573","Smiling Wood_7100_The Park at Willowbrook_Houston_01573" )</f>
        <v>Smiling Wood_7100_The Park at Willowbrook_Houston_01573</v>
      </c>
      <c r="L1383" s="104" t="s">
        <v>22253</v>
      </c>
      <c r="M1383" s="103" t="str">
        <f t="shared" si="108"/>
        <v>http://oconnordata.com/mlink/modules/profile/index.cfm?action=profile&amp;prop_id=1573</v>
      </c>
      <c r="N1383" s="1" t="str">
        <f t="shared" si="109"/>
        <v>01573</v>
      </c>
    </row>
    <row r="1384" spans="1:14" x14ac:dyDescent="0.3">
      <c r="A1384" s="1">
        <v>1574</v>
      </c>
      <c r="B1384" s="7" t="s">
        <v>2117</v>
      </c>
      <c r="C1384" s="12">
        <v>7150</v>
      </c>
      <c r="D1384" s="7" t="s">
        <v>455</v>
      </c>
      <c r="E1384" s="13" t="s">
        <v>1657</v>
      </c>
      <c r="F1384" t="str">
        <f t="shared" si="105"/>
        <v>Smiling</v>
      </c>
      <c r="G1384" t="str">
        <f t="shared" si="106"/>
        <v>Smiling7150Houston</v>
      </c>
      <c r="H1384" t="s">
        <v>32242</v>
      </c>
      <c r="I1384" t="s">
        <v>23671</v>
      </c>
      <c r="J1384" t="str">
        <f t="shared" si="107"/>
        <v>E:\PropInv\MF</v>
      </c>
      <c r="K1384" s="103" t="str">
        <f>HYPERLINK("E:\PropInv\MF\Houston\Smiling Wood Ln_7150_Willow Brook_Houston_01574","Smiling Wood Ln_7150_Willow Brook_Houston_01574" )</f>
        <v>Smiling Wood Ln_7150_Willow Brook_Houston_01574</v>
      </c>
      <c r="L1384" s="104" t="s">
        <v>22253</v>
      </c>
      <c r="M1384" s="103" t="str">
        <f t="shared" si="108"/>
        <v>http://oconnordata.com/mlink/modules/profile/index.cfm?action=profile&amp;prop_id=1574</v>
      </c>
      <c r="N1384" s="1" t="str">
        <f t="shared" si="109"/>
        <v>01574</v>
      </c>
    </row>
    <row r="1385" spans="1:14" x14ac:dyDescent="0.3">
      <c r="A1385" s="97">
        <v>1576</v>
      </c>
      <c r="B1385" s="7" t="s">
        <v>2113</v>
      </c>
      <c r="C1385" s="12">
        <v>9515</v>
      </c>
      <c r="D1385" s="7" t="s">
        <v>2118</v>
      </c>
      <c r="E1385" s="13" t="s">
        <v>1657</v>
      </c>
      <c r="F1385" t="str">
        <f t="shared" si="105"/>
        <v>Gulf</v>
      </c>
      <c r="G1385" t="str">
        <f t="shared" si="106"/>
        <v>Gulf9515Houston</v>
      </c>
      <c r="H1385" t="s">
        <v>32243</v>
      </c>
      <c r="I1385" t="s">
        <v>23672</v>
      </c>
      <c r="J1385" t="str">
        <f t="shared" si="107"/>
        <v>E:\PropInv\MF</v>
      </c>
      <c r="K1385" s="103" t="str">
        <f>HYPERLINK("E:\PropInv\MF\Houston\Gulf Bank W_9515_Windfern Pointe_Houston_01576","Gulf Bank W_9515_Windfern Pointe_Houston_01576" )</f>
        <v>Gulf Bank W_9515_Windfern Pointe_Houston_01576</v>
      </c>
      <c r="L1385" s="104" t="s">
        <v>22253</v>
      </c>
      <c r="M1385" s="103" t="str">
        <f t="shared" si="108"/>
        <v>http://oconnordata.com/mlink/modules/profile/index.cfm?action=profile&amp;prop_id=1576</v>
      </c>
      <c r="N1385" s="1" t="str">
        <f t="shared" si="109"/>
        <v>01576</v>
      </c>
    </row>
    <row r="1386" spans="1:14" x14ac:dyDescent="0.3">
      <c r="A1386" s="1">
        <v>1577</v>
      </c>
      <c r="B1386" s="7" t="s">
        <v>2113</v>
      </c>
      <c r="C1386" s="12">
        <v>7058</v>
      </c>
      <c r="D1386" s="7" t="s">
        <v>2119</v>
      </c>
      <c r="E1386" s="13" t="s">
        <v>1657</v>
      </c>
      <c r="F1386" t="str">
        <f t="shared" si="105"/>
        <v>Gulf</v>
      </c>
      <c r="G1386" t="str">
        <f t="shared" si="106"/>
        <v>Gulf7058Houston</v>
      </c>
      <c r="H1386" t="s">
        <v>32244</v>
      </c>
      <c r="I1386" t="s">
        <v>23673</v>
      </c>
      <c r="J1386" t="str">
        <f t="shared" si="107"/>
        <v>E:\PropInv\MF</v>
      </c>
      <c r="K1386" s="103" t="str">
        <f>HYPERLINK("E:\PropInv\MF\Houston\Gulf Bank W_7058_Crossing at Woodland Trails_Houston_01577","Gulf Bank W_7058_Crossing at Woodland Trails_Houston_01577" )</f>
        <v>Gulf Bank W_7058_Crossing at Woodland Trails_Houston_01577</v>
      </c>
      <c r="L1386" s="104" t="s">
        <v>22253</v>
      </c>
      <c r="M1386" s="103" t="str">
        <f t="shared" si="108"/>
        <v>http://oconnordata.com/mlink/modules/profile/index.cfm?action=profile&amp;prop_id=1577</v>
      </c>
      <c r="N1386" s="1" t="str">
        <f t="shared" si="109"/>
        <v>01577</v>
      </c>
    </row>
    <row r="1387" spans="1:14" x14ac:dyDescent="0.3">
      <c r="A1387" s="1">
        <v>1578</v>
      </c>
      <c r="B1387" s="7" t="s">
        <v>2120</v>
      </c>
      <c r="C1387" s="12">
        <v>10910</v>
      </c>
      <c r="D1387" s="7" t="s">
        <v>2121</v>
      </c>
      <c r="E1387" s="13" t="s">
        <v>1657</v>
      </c>
      <c r="F1387" t="str">
        <f t="shared" si="105"/>
        <v>Gold</v>
      </c>
      <c r="G1387" t="str">
        <f t="shared" si="106"/>
        <v>Gold10910Houston</v>
      </c>
      <c r="H1387" t="s">
        <v>32245</v>
      </c>
      <c r="I1387" t="s">
        <v>23674</v>
      </c>
      <c r="J1387" t="str">
        <f t="shared" si="107"/>
        <v>E:\PropInv\MF</v>
      </c>
      <c r="K1387" s="103" t="str">
        <f>HYPERLINK("E:\PropInv\MF\Houston\Gold Point_10910_Winchester Place_Houston_01578","Gold Point_10910_Winchester Place_Houston_01578" )</f>
        <v>Gold Point_10910_Winchester Place_Houston_01578</v>
      </c>
      <c r="L1387" s="104" t="s">
        <v>22253</v>
      </c>
      <c r="M1387" s="103" t="str">
        <f t="shared" si="108"/>
        <v>http://oconnordata.com/mlink/modules/profile/index.cfm?action=profile&amp;prop_id=1578</v>
      </c>
      <c r="N1387" s="1" t="str">
        <f t="shared" si="109"/>
        <v>01578</v>
      </c>
    </row>
    <row r="1388" spans="1:14" x14ac:dyDescent="0.3">
      <c r="A1388" s="1">
        <v>1579</v>
      </c>
      <c r="B1388" s="7" t="s">
        <v>2035</v>
      </c>
      <c r="C1388" s="12">
        <v>12920</v>
      </c>
      <c r="D1388" s="7" t="s">
        <v>2122</v>
      </c>
      <c r="E1388" s="13" t="s">
        <v>1657</v>
      </c>
      <c r="F1388" t="str">
        <f t="shared" si="105"/>
        <v>Steepleway</v>
      </c>
      <c r="G1388" t="str">
        <f t="shared" si="106"/>
        <v>Steepleway12920Houston</v>
      </c>
      <c r="H1388" t="s">
        <v>32246</v>
      </c>
      <c r="I1388" t="s">
        <v>23675</v>
      </c>
      <c r="J1388" t="str">
        <f t="shared" si="107"/>
        <v>E:\PropInv\MF</v>
      </c>
      <c r="K1388" s="103" t="str">
        <f>HYPERLINK("E:\PropInv\MF\Houston\Steepleway Blvd_12920_The Promenade Jersey Village III_Houston_01579","Steepleway Blvd_12920_The Promenade Jersey Village III_Houston_01579" )</f>
        <v>Steepleway Blvd_12920_The Promenade Jersey Village III_Houston_01579</v>
      </c>
      <c r="L1388" s="104" t="s">
        <v>22253</v>
      </c>
      <c r="M1388" s="103" t="str">
        <f t="shared" si="108"/>
        <v>http://oconnordata.com/mlink/modules/profile/index.cfm?action=profile&amp;prop_id=1579</v>
      </c>
      <c r="N1388" s="1" t="str">
        <f t="shared" si="109"/>
        <v>01579</v>
      </c>
    </row>
    <row r="1389" spans="1:14" x14ac:dyDescent="0.3">
      <c r="A1389" s="1">
        <v>1580</v>
      </c>
      <c r="B1389" s="7" t="s">
        <v>2104</v>
      </c>
      <c r="C1389" s="12">
        <v>6969</v>
      </c>
      <c r="D1389" s="7" t="s">
        <v>2123</v>
      </c>
      <c r="E1389" s="13" t="s">
        <v>1657</v>
      </c>
      <c r="F1389" t="str">
        <f t="shared" si="105"/>
        <v>Hollister</v>
      </c>
      <c r="G1389" t="str">
        <f t="shared" si="106"/>
        <v>Hollister6969Houston</v>
      </c>
      <c r="H1389" t="s">
        <v>32247</v>
      </c>
      <c r="I1389" t="s">
        <v>23676</v>
      </c>
      <c r="J1389" t="str">
        <f t="shared" si="107"/>
        <v>E:\PropInv\MF</v>
      </c>
      <c r="K1389" s="103" t="str">
        <f>HYPERLINK("E:\PropInv\MF\Houston\Hollister_6969_The Seasons_Houston_01580","Hollister_6969_The Seasons_Houston_01580" )</f>
        <v>Hollister_6969_The Seasons_Houston_01580</v>
      </c>
      <c r="L1389" s="104" t="s">
        <v>22253</v>
      </c>
      <c r="M1389" s="103" t="str">
        <f t="shared" si="108"/>
        <v>http://oconnordata.com/mlink/modules/profile/index.cfm?action=profile&amp;prop_id=1580</v>
      </c>
      <c r="N1389" s="1" t="str">
        <f t="shared" si="109"/>
        <v>01580</v>
      </c>
    </row>
    <row r="1390" spans="1:14" x14ac:dyDescent="0.3">
      <c r="A1390" s="1">
        <v>1581</v>
      </c>
      <c r="B1390" s="7" t="s">
        <v>2124</v>
      </c>
      <c r="C1390" s="12">
        <v>7330</v>
      </c>
      <c r="D1390" s="7" t="s">
        <v>1909</v>
      </c>
      <c r="E1390" s="13" t="s">
        <v>1657</v>
      </c>
      <c r="F1390" t="str">
        <f t="shared" si="105"/>
        <v>Silent</v>
      </c>
      <c r="G1390" t="str">
        <f t="shared" si="106"/>
        <v>Silent7330Houston</v>
      </c>
      <c r="H1390" t="s">
        <v>32248</v>
      </c>
      <c r="I1390" t="s">
        <v>23677</v>
      </c>
      <c r="J1390" t="str">
        <f t="shared" si="107"/>
        <v>E:\PropInv\MF</v>
      </c>
      <c r="K1390" s="103" t="str">
        <f>HYPERLINK("E:\PropInv\MF\Houston\Silent Wood_7330_Champions Forest_Houston_01581","Silent Wood_7330_Champions Forest_Houston_01581" )</f>
        <v>Silent Wood_7330_Champions Forest_Houston_01581</v>
      </c>
      <c r="L1390" s="104" t="s">
        <v>22253</v>
      </c>
      <c r="M1390" s="103" t="str">
        <f t="shared" si="108"/>
        <v>http://oconnordata.com/mlink/modules/profile/index.cfm?action=profile&amp;prop_id=1581</v>
      </c>
      <c r="N1390" s="1" t="str">
        <f t="shared" si="109"/>
        <v>01581</v>
      </c>
    </row>
    <row r="1391" spans="1:14" x14ac:dyDescent="0.3">
      <c r="A1391" s="1">
        <v>1583</v>
      </c>
      <c r="B1391" s="7" t="s">
        <v>1846</v>
      </c>
      <c r="C1391" s="12">
        <v>9001</v>
      </c>
      <c r="D1391" s="7" t="s">
        <v>2125</v>
      </c>
      <c r="E1391" s="13" t="s">
        <v>1657</v>
      </c>
      <c r="F1391" t="str">
        <f t="shared" si="105"/>
        <v>Jones</v>
      </c>
      <c r="G1391" t="str">
        <f t="shared" si="106"/>
        <v>Jones9001Houston</v>
      </c>
      <c r="H1391" t="s">
        <v>32249</v>
      </c>
      <c r="I1391" t="s">
        <v>23678</v>
      </c>
      <c r="J1391" t="str">
        <f t="shared" si="107"/>
        <v>E:\PropInv\MF</v>
      </c>
      <c r="K1391" s="103" t="str">
        <f>HYPERLINK("E:\PropInv\MF\Houston\Jones Rd_9001_Camden Steeplechase_Houston_01583","Jones Rd_9001_Camden Steeplechase_Houston_01583" )</f>
        <v>Jones Rd_9001_Camden Steeplechase_Houston_01583</v>
      </c>
      <c r="L1391" s="104" t="s">
        <v>22253</v>
      </c>
      <c r="M1391" s="103" t="str">
        <f t="shared" si="108"/>
        <v>http://oconnordata.com/mlink/modules/profile/index.cfm?action=profile&amp;prop_id=1583</v>
      </c>
      <c r="N1391" s="1" t="str">
        <f t="shared" si="109"/>
        <v>01583</v>
      </c>
    </row>
    <row r="1392" spans="1:14" x14ac:dyDescent="0.3">
      <c r="A1392" s="1">
        <v>1584</v>
      </c>
      <c r="B1392" s="7" t="s">
        <v>2126</v>
      </c>
      <c r="C1392" s="12">
        <v>11555</v>
      </c>
      <c r="D1392" s="7" t="s">
        <v>2127</v>
      </c>
      <c r="E1392" s="13" t="s">
        <v>1657</v>
      </c>
      <c r="F1392" t="str">
        <f t="shared" si="105"/>
        <v>Steeple</v>
      </c>
      <c r="G1392" t="str">
        <f t="shared" si="106"/>
        <v>Steeple11555Houston</v>
      </c>
      <c r="H1392" t="s">
        <v>32250</v>
      </c>
      <c r="I1392" t="s">
        <v>23679</v>
      </c>
      <c r="J1392" t="str">
        <f t="shared" si="107"/>
        <v>E:\PropInv\MF</v>
      </c>
      <c r="K1392" s="103" t="str">
        <f>HYPERLINK("E:\PropInv\MF\Houston\Steeple Park_11555_Pointe at Steeplechase II_Houston_01584","Steeple Park_11555_Pointe at Steeplechase II_Houston_01584" )</f>
        <v>Steeple Park_11555_Pointe at Steeplechase II_Houston_01584</v>
      </c>
      <c r="L1392" s="104" t="s">
        <v>22253</v>
      </c>
      <c r="M1392" s="103" t="str">
        <f t="shared" si="108"/>
        <v>http://oconnordata.com/mlink/modules/profile/index.cfm?action=profile&amp;prop_id=1584</v>
      </c>
      <c r="N1392" s="1" t="str">
        <f t="shared" si="109"/>
        <v>01584</v>
      </c>
    </row>
    <row r="1393" spans="1:14" x14ac:dyDescent="0.3">
      <c r="A1393" s="1">
        <v>1585</v>
      </c>
      <c r="B1393" s="7" t="s">
        <v>2128</v>
      </c>
      <c r="C1393" s="12">
        <v>11011</v>
      </c>
      <c r="D1393" s="7" t="s">
        <v>2129</v>
      </c>
      <c r="E1393" s="13" t="s">
        <v>1657</v>
      </c>
      <c r="F1393" t="str">
        <f t="shared" si="105"/>
        <v>Pleasant</v>
      </c>
      <c r="G1393" t="str">
        <f t="shared" si="106"/>
        <v>Pleasant11011Houston</v>
      </c>
      <c r="H1393" t="s">
        <v>32251</v>
      </c>
      <c r="I1393" t="s">
        <v>23680</v>
      </c>
      <c r="J1393" t="str">
        <f t="shared" si="107"/>
        <v>E:\PropInv\MF</v>
      </c>
      <c r="K1393" s="103" t="str">
        <f>HYPERLINK("E:\PropInv\MF\Houston\Pleasant Colony_11011_The Promenade Jersey Village II_Houston_01585","Pleasant Colony_11011_The Promenade Jersey Village II_Houston_01585" )</f>
        <v>Pleasant Colony_11011_The Promenade Jersey Village II_Houston_01585</v>
      </c>
      <c r="L1393" s="104" t="s">
        <v>22253</v>
      </c>
      <c r="M1393" s="103" t="str">
        <f t="shared" si="108"/>
        <v>http://oconnordata.com/mlink/modules/profile/index.cfm?action=profile&amp;prop_id=1585</v>
      </c>
      <c r="N1393" s="1" t="str">
        <f t="shared" si="109"/>
        <v>01585</v>
      </c>
    </row>
    <row r="1394" spans="1:14" x14ac:dyDescent="0.3">
      <c r="A1394" s="1">
        <v>1586</v>
      </c>
      <c r="B1394" s="7" t="s">
        <v>2130</v>
      </c>
      <c r="C1394" s="12">
        <v>14555</v>
      </c>
      <c r="D1394" s="7" t="s">
        <v>2131</v>
      </c>
      <c r="E1394" s="13" t="s">
        <v>1657</v>
      </c>
      <c r="F1394" t="str">
        <f t="shared" si="105"/>
        <v>Philipine</v>
      </c>
      <c r="G1394" t="str">
        <f t="shared" si="106"/>
        <v>Philipine14555Houston</v>
      </c>
      <c r="H1394" t="s">
        <v>32252</v>
      </c>
      <c r="I1394" t="s">
        <v>23681</v>
      </c>
      <c r="J1394" t="str">
        <f t="shared" si="107"/>
        <v>E:\PropInv\MF</v>
      </c>
      <c r="K1394" s="103" t="str">
        <f>HYPERLINK("E:\PropInv\MF\Houston\Philipine_14555_The Reserve at Woodwind Lakes_Houston_01586","Philipine_14555_The Reserve at Woodwind Lakes_Houston_01586" )</f>
        <v>Philipine_14555_The Reserve at Woodwind Lakes_Houston_01586</v>
      </c>
      <c r="L1394" s="104" t="s">
        <v>22253</v>
      </c>
      <c r="M1394" s="103" t="str">
        <f t="shared" si="108"/>
        <v>http://oconnordata.com/mlink/modules/profile/index.cfm?action=profile&amp;prop_id=1586</v>
      </c>
      <c r="N1394" s="1" t="str">
        <f t="shared" si="109"/>
        <v>01586</v>
      </c>
    </row>
    <row r="1395" spans="1:14" x14ac:dyDescent="0.3">
      <c r="A1395" s="1">
        <v>1587</v>
      </c>
      <c r="B1395" s="7" t="s">
        <v>2104</v>
      </c>
      <c r="C1395" s="12">
        <v>7055</v>
      </c>
      <c r="D1395" s="7" t="s">
        <v>2132</v>
      </c>
      <c r="E1395" s="13" t="s">
        <v>1657</v>
      </c>
      <c r="F1395" t="str">
        <f t="shared" si="105"/>
        <v>Hollister</v>
      </c>
      <c r="G1395" t="str">
        <f t="shared" si="106"/>
        <v>Hollister7055Houston</v>
      </c>
      <c r="H1395" t="s">
        <v>32253</v>
      </c>
      <c r="I1395" t="s">
        <v>23682</v>
      </c>
      <c r="J1395" t="str">
        <f t="shared" si="107"/>
        <v>E:\PropInv\MF</v>
      </c>
      <c r="K1395" s="103" t="str">
        <f>HYPERLINK("E:\PropInv\MF\Houston\Hollister_7055_Thornbury_Houston_01587","Hollister_7055_Thornbury_Houston_01587" )</f>
        <v>Hollister_7055_Thornbury_Houston_01587</v>
      </c>
      <c r="L1395" s="104" t="s">
        <v>22253</v>
      </c>
      <c r="M1395" s="103" t="str">
        <f t="shared" si="108"/>
        <v>http://oconnordata.com/mlink/modules/profile/index.cfm?action=profile&amp;prop_id=1587</v>
      </c>
      <c r="N1395" s="1" t="str">
        <f t="shared" si="109"/>
        <v>01587</v>
      </c>
    </row>
    <row r="1396" spans="1:14" x14ac:dyDescent="0.3">
      <c r="A1396" s="1">
        <v>1588</v>
      </c>
      <c r="B1396" s="7" t="s">
        <v>2133</v>
      </c>
      <c r="C1396" s="12">
        <v>5915</v>
      </c>
      <c r="D1396" s="7" t="s">
        <v>2134</v>
      </c>
      <c r="E1396" s="13" t="s">
        <v>1657</v>
      </c>
      <c r="F1396" t="str">
        <f t="shared" si="105"/>
        <v>Flintlock</v>
      </c>
      <c r="G1396" t="str">
        <f t="shared" si="106"/>
        <v>Flintlock5915Houston</v>
      </c>
      <c r="H1396" t="s">
        <v>32254</v>
      </c>
      <c r="I1396" t="s">
        <v>23683</v>
      </c>
      <c r="J1396" t="str">
        <f t="shared" si="107"/>
        <v>E:\PropInv\MF</v>
      </c>
      <c r="K1396" s="103" t="str">
        <f>HYPERLINK("E:\PropInv\MF\Houston\Flintlock Rd_5915_Savoy Manor_Houston_01588","Flintlock Rd_5915_Savoy Manor_Houston_01588" )</f>
        <v>Flintlock Rd_5915_Savoy Manor_Houston_01588</v>
      </c>
      <c r="L1396" s="104" t="s">
        <v>22253</v>
      </c>
      <c r="M1396" s="103" t="str">
        <f t="shared" si="108"/>
        <v>http://oconnordata.com/mlink/modules/profile/index.cfm?action=profile&amp;prop_id=1588</v>
      </c>
      <c r="N1396" s="1" t="str">
        <f t="shared" si="109"/>
        <v>01588</v>
      </c>
    </row>
    <row r="1397" spans="1:14" x14ac:dyDescent="0.3">
      <c r="A1397" s="1">
        <v>1589</v>
      </c>
      <c r="B1397" s="7" t="s">
        <v>2135</v>
      </c>
      <c r="C1397" s="12">
        <v>5714</v>
      </c>
      <c r="D1397" s="7" t="s">
        <v>2136</v>
      </c>
      <c r="E1397" s="13" t="s">
        <v>1657</v>
      </c>
      <c r="F1397" t="str">
        <f t="shared" si="105"/>
        <v>Gulf</v>
      </c>
      <c r="G1397" t="str">
        <f t="shared" si="106"/>
        <v>Gulf5714Houston</v>
      </c>
      <c r="H1397" t="s">
        <v>32255</v>
      </c>
      <c r="I1397" t="s">
        <v>23684</v>
      </c>
      <c r="J1397" t="str">
        <f t="shared" si="107"/>
        <v>E:\PropInv\MF</v>
      </c>
      <c r="K1397" s="103" t="str">
        <f>HYPERLINK("E:\PropInv\MF\Houston\Gulf Bank Rd W_5714_Park Lane II_Houston_01589","Gulf Bank Rd W_5714_Park Lane II_Houston_01589" )</f>
        <v>Gulf Bank Rd W_5714_Park Lane II_Houston_01589</v>
      </c>
      <c r="L1397" s="104" t="s">
        <v>22253</v>
      </c>
      <c r="M1397" s="103" t="str">
        <f t="shared" si="108"/>
        <v>http://oconnordata.com/mlink/modules/profile/index.cfm?action=profile&amp;prop_id=1589</v>
      </c>
      <c r="N1397" s="1" t="str">
        <f t="shared" si="109"/>
        <v>01589</v>
      </c>
    </row>
    <row r="1398" spans="1:14" x14ac:dyDescent="0.3">
      <c r="A1398" s="1">
        <v>1591</v>
      </c>
      <c r="B1398" s="7" t="s">
        <v>2113</v>
      </c>
      <c r="C1398" s="12">
        <v>5880</v>
      </c>
      <c r="D1398" s="7" t="s">
        <v>2137</v>
      </c>
      <c r="E1398" s="13" t="s">
        <v>1657</v>
      </c>
      <c r="F1398" t="str">
        <f t="shared" si="105"/>
        <v>Gulf</v>
      </c>
      <c r="G1398" t="str">
        <f t="shared" si="106"/>
        <v>Gulf5880Houston</v>
      </c>
      <c r="H1398" t="s">
        <v>32256</v>
      </c>
      <c r="I1398" t="s">
        <v>23685</v>
      </c>
      <c r="J1398" t="str">
        <f t="shared" si="107"/>
        <v>E:\PropInv\MF</v>
      </c>
      <c r="K1398" s="103" t="str">
        <f>HYPERLINK("E:\PropInv\MF\Houston\Gulf Bank W_5880_Timbers of Inwood Forest II_Houston_01591","Gulf Bank W_5880_Timbers of Inwood Forest II_Houston_01591" )</f>
        <v>Gulf Bank W_5880_Timbers of Inwood Forest II_Houston_01591</v>
      </c>
      <c r="L1398" s="104" t="s">
        <v>22253</v>
      </c>
      <c r="M1398" s="103" t="str">
        <f t="shared" si="108"/>
        <v>http://oconnordata.com/mlink/modules/profile/index.cfm?action=profile&amp;prop_id=1591</v>
      </c>
      <c r="N1398" s="1" t="str">
        <f t="shared" si="109"/>
        <v>01591</v>
      </c>
    </row>
    <row r="1399" spans="1:14" x14ac:dyDescent="0.3">
      <c r="A1399" s="1">
        <v>1593</v>
      </c>
      <c r="B1399" s="7" t="s">
        <v>2135</v>
      </c>
      <c r="C1399" s="12">
        <v>5555</v>
      </c>
      <c r="D1399" s="7" t="s">
        <v>2138</v>
      </c>
      <c r="E1399" s="13" t="s">
        <v>1657</v>
      </c>
      <c r="F1399" t="str">
        <f t="shared" si="105"/>
        <v>Gulf</v>
      </c>
      <c r="G1399" t="str">
        <f t="shared" si="106"/>
        <v>Gulf5555Houston</v>
      </c>
      <c r="H1399" t="s">
        <v>32257</v>
      </c>
      <c r="I1399" t="s">
        <v>23686</v>
      </c>
      <c r="J1399" t="str">
        <f t="shared" si="107"/>
        <v>E:\PropInv\MF</v>
      </c>
      <c r="K1399" s="103" t="str">
        <f>HYPERLINK("E:\PropInv\MF\Houston\Gulf Bank Rd W_5555_Park Lane I_Houston_01593","Gulf Bank Rd W_5555_Park Lane I_Houston_01593" )</f>
        <v>Gulf Bank Rd W_5555_Park Lane I_Houston_01593</v>
      </c>
      <c r="L1399" s="104" t="s">
        <v>22253</v>
      </c>
      <c r="M1399" s="103" t="str">
        <f t="shared" si="108"/>
        <v>http://oconnordata.com/mlink/modules/profile/index.cfm?action=profile&amp;prop_id=1593</v>
      </c>
      <c r="N1399" s="1" t="str">
        <f t="shared" si="109"/>
        <v>01593</v>
      </c>
    </row>
    <row r="1400" spans="1:14" x14ac:dyDescent="0.3">
      <c r="A1400" s="1">
        <v>1594</v>
      </c>
      <c r="B1400" s="7" t="s">
        <v>2113</v>
      </c>
      <c r="C1400" s="12">
        <v>5335</v>
      </c>
      <c r="D1400" s="7" t="s">
        <v>2139</v>
      </c>
      <c r="E1400" s="13" t="s">
        <v>1657</v>
      </c>
      <c r="F1400" t="str">
        <f t="shared" si="105"/>
        <v>Gulf</v>
      </c>
      <c r="G1400" t="str">
        <f t="shared" si="106"/>
        <v>Gulf5335Houston</v>
      </c>
      <c r="H1400" t="s">
        <v>32258</v>
      </c>
      <c r="I1400" t="s">
        <v>23687</v>
      </c>
      <c r="J1400" t="str">
        <f t="shared" si="107"/>
        <v>E:\PropInv\MF</v>
      </c>
      <c r="K1400" s="103" t="str">
        <f>HYPERLINK("E:\PropInv\MF\Houston\Gulf Bank W_5335_Streamside Place_Houston_01594","Gulf Bank W_5335_Streamside Place_Houston_01594" )</f>
        <v>Gulf Bank W_5335_Streamside Place_Houston_01594</v>
      </c>
      <c r="L1400" s="104" t="s">
        <v>22253</v>
      </c>
      <c r="M1400" s="103" t="str">
        <f t="shared" si="108"/>
        <v>http://oconnordata.com/mlink/modules/profile/index.cfm?action=profile&amp;prop_id=1594</v>
      </c>
      <c r="N1400" s="1" t="str">
        <f t="shared" si="109"/>
        <v>01594</v>
      </c>
    </row>
    <row r="1401" spans="1:14" x14ac:dyDescent="0.3">
      <c r="A1401" s="1">
        <v>1595</v>
      </c>
      <c r="B1401" s="7" t="s">
        <v>2113</v>
      </c>
      <c r="C1401" s="12">
        <v>5350</v>
      </c>
      <c r="D1401" s="7" t="s">
        <v>2140</v>
      </c>
      <c r="E1401" s="13" t="s">
        <v>1657</v>
      </c>
      <c r="F1401" t="str">
        <f t="shared" si="105"/>
        <v>Gulf</v>
      </c>
      <c r="G1401" t="str">
        <f t="shared" si="106"/>
        <v>Gulf5350Houston</v>
      </c>
      <c r="H1401" t="s">
        <v>32259</v>
      </c>
      <c r="I1401" t="s">
        <v>23688</v>
      </c>
      <c r="J1401" t="str">
        <f t="shared" si="107"/>
        <v>E:\PropInv\MF</v>
      </c>
      <c r="K1401" s="103" t="str">
        <f>HYPERLINK("E:\PropInv\MF\Houston\Gulf Bank W_5350_Avery Park II_Houston_01595","Gulf Bank W_5350_Avery Park II_Houston_01595" )</f>
        <v>Gulf Bank W_5350_Avery Park II_Houston_01595</v>
      </c>
      <c r="L1401" s="104" t="s">
        <v>22253</v>
      </c>
      <c r="M1401" s="103" t="str">
        <f t="shared" si="108"/>
        <v>http://oconnordata.com/mlink/modules/profile/index.cfm?action=profile&amp;prop_id=1595</v>
      </c>
      <c r="N1401" s="1" t="str">
        <f t="shared" si="109"/>
        <v>01595</v>
      </c>
    </row>
    <row r="1402" spans="1:14" x14ac:dyDescent="0.3">
      <c r="A1402" s="1">
        <v>1596</v>
      </c>
      <c r="B1402" s="7" t="s">
        <v>2141</v>
      </c>
      <c r="C1402" s="12">
        <v>1655</v>
      </c>
      <c r="D1402" s="7" t="s">
        <v>2142</v>
      </c>
      <c r="E1402" s="13" t="s">
        <v>1657</v>
      </c>
      <c r="F1402" t="str">
        <f t="shared" si="105"/>
        <v>Blue</v>
      </c>
      <c r="G1402" t="str">
        <f t="shared" si="106"/>
        <v>Blue1655Houston</v>
      </c>
      <c r="H1402" t="s">
        <v>32260</v>
      </c>
      <c r="I1402" t="s">
        <v>23689</v>
      </c>
      <c r="J1402" t="str">
        <f t="shared" si="107"/>
        <v>E:\PropInv\MF</v>
      </c>
      <c r="K1402" s="103" t="str">
        <f>HYPERLINK("E:\PropInv\MF\Houston\Blue Bell_1655_Blue Bell Crossing_Houston_01596","Blue Bell_1655_Blue Bell Crossing_Houston_01596" )</f>
        <v>Blue Bell_1655_Blue Bell Crossing_Houston_01596</v>
      </c>
      <c r="L1402" s="104" t="s">
        <v>22253</v>
      </c>
      <c r="M1402" s="103" t="str">
        <f t="shared" si="108"/>
        <v>http://oconnordata.com/mlink/modules/profile/index.cfm?action=profile&amp;prop_id=1596</v>
      </c>
      <c r="N1402" s="1" t="str">
        <f t="shared" si="109"/>
        <v>01596</v>
      </c>
    </row>
    <row r="1403" spans="1:14" x14ac:dyDescent="0.3">
      <c r="A1403" s="1">
        <v>1597</v>
      </c>
      <c r="B1403" s="7" t="s">
        <v>2143</v>
      </c>
      <c r="C1403" s="12">
        <v>9660</v>
      </c>
      <c r="D1403" s="7" t="s">
        <v>2144</v>
      </c>
      <c r="E1403" s="13" t="s">
        <v>1657</v>
      </c>
      <c r="F1403" t="str">
        <f t="shared" si="105"/>
        <v>Veterans</v>
      </c>
      <c r="G1403" t="str">
        <f t="shared" si="106"/>
        <v>Veterans9660Houston</v>
      </c>
      <c r="H1403" t="s">
        <v>32261</v>
      </c>
      <c r="I1403" t="s">
        <v>23690</v>
      </c>
      <c r="J1403" t="str">
        <f t="shared" si="107"/>
        <v>E:\PropInv\MF</v>
      </c>
      <c r="K1403" s="103" t="str">
        <f>HYPERLINK("E:\PropInv\MF\Houston\Veterans Memorial_9660_Blue Bell Village_Houston_01597","Veterans Memorial_9660_Blue Bell Village_Houston_01597" )</f>
        <v>Veterans Memorial_9660_Blue Bell Village_Houston_01597</v>
      </c>
      <c r="L1403" s="104" t="s">
        <v>22253</v>
      </c>
      <c r="M1403" s="103" t="str">
        <f t="shared" si="108"/>
        <v>http://oconnordata.com/mlink/modules/profile/index.cfm?action=profile&amp;prop_id=1597</v>
      </c>
      <c r="N1403" s="1" t="str">
        <f t="shared" si="109"/>
        <v>01597</v>
      </c>
    </row>
    <row r="1404" spans="1:14" x14ac:dyDescent="0.3">
      <c r="A1404" s="1">
        <v>1599</v>
      </c>
      <c r="B1404" s="7" t="s">
        <v>2145</v>
      </c>
      <c r="C1404" s="12" t="s">
        <v>2146</v>
      </c>
      <c r="D1404" s="29" t="s">
        <v>2147</v>
      </c>
      <c r="E1404" s="13" t="s">
        <v>1657</v>
      </c>
      <c r="F1404" t="str">
        <f t="shared" si="105"/>
        <v>Mount</v>
      </c>
      <c r="G1404" t="str">
        <f t="shared" si="106"/>
        <v>Mount5710-5732Houston</v>
      </c>
      <c r="H1404" t="s">
        <v>32262</v>
      </c>
      <c r="I1404" t="s">
        <v>23691</v>
      </c>
      <c r="J1404" t="str">
        <f t="shared" si="107"/>
        <v>E:\PropInv\MF</v>
      </c>
      <c r="K1404" s="103" t="str">
        <f>HYPERLINK("E:\PropInv\MF\Houston\Mount Houston W_5710-5732_Villages of Inwood_Houston_01599","Mount Houston W_5710-5732_Villages of Inwood_Houston_01599" )</f>
        <v>Mount Houston W_5710-5732_Villages of Inwood_Houston_01599</v>
      </c>
      <c r="L1404" s="104" t="s">
        <v>22253</v>
      </c>
      <c r="M1404" s="103" t="str">
        <f t="shared" si="108"/>
        <v>http://oconnordata.com/mlink/modules/profile/index.cfm?action=profile&amp;prop_id=1599</v>
      </c>
      <c r="N1404" s="1" t="str">
        <f t="shared" si="109"/>
        <v>01599</v>
      </c>
    </row>
    <row r="1405" spans="1:14" x14ac:dyDescent="0.3">
      <c r="A1405" s="1">
        <v>1600</v>
      </c>
      <c r="B1405" s="7" t="s">
        <v>2148</v>
      </c>
      <c r="C1405" s="12">
        <v>7015</v>
      </c>
      <c r="D1405" s="7" t="s">
        <v>2149</v>
      </c>
      <c r="E1405" s="13" t="s">
        <v>1657</v>
      </c>
      <c r="F1405" t="str">
        <f t="shared" si="105"/>
        <v>Woodsman</v>
      </c>
      <c r="G1405" t="str">
        <f t="shared" si="106"/>
        <v>Woodsman7015Houston</v>
      </c>
      <c r="H1405" t="s">
        <v>32263</v>
      </c>
      <c r="I1405" t="s">
        <v>23692</v>
      </c>
      <c r="J1405" t="str">
        <f t="shared" si="107"/>
        <v>E:\PropInv\MF</v>
      </c>
      <c r="K1405" s="103" t="str">
        <f>HYPERLINK("E:\PropInv\MF\Houston\Woodsman Trl_7015_Rosslyn Heights_Houston_01600","Woodsman Trl_7015_Rosslyn Heights_Houston_01600" )</f>
        <v>Woodsman Trl_7015_Rosslyn Heights_Houston_01600</v>
      </c>
      <c r="L1405" s="104" t="s">
        <v>22253</v>
      </c>
      <c r="M1405" s="103" t="str">
        <f t="shared" si="108"/>
        <v>http://oconnordata.com/mlink/modules/profile/index.cfm?action=profile&amp;prop_id=1600</v>
      </c>
      <c r="N1405" s="1" t="str">
        <f t="shared" si="109"/>
        <v>01600</v>
      </c>
    </row>
    <row r="1406" spans="1:14" x14ac:dyDescent="0.3">
      <c r="A1406" s="1">
        <v>1601</v>
      </c>
      <c r="B1406" s="7" t="s">
        <v>2081</v>
      </c>
      <c r="C1406" s="12">
        <v>3500</v>
      </c>
      <c r="D1406" s="7" t="s">
        <v>2150</v>
      </c>
      <c r="E1406" s="13" t="s">
        <v>1657</v>
      </c>
      <c r="F1406" t="str">
        <f t="shared" si="105"/>
        <v>Little</v>
      </c>
      <c r="G1406" t="str">
        <f t="shared" si="106"/>
        <v>Little3500Houston</v>
      </c>
      <c r="H1406" t="s">
        <v>32264</v>
      </c>
      <c r="I1406" t="s">
        <v>23693</v>
      </c>
      <c r="J1406" t="str">
        <f t="shared" si="107"/>
        <v>E:\PropInv\MF</v>
      </c>
      <c r="K1406" s="103" t="str">
        <f>HYPERLINK("E:\PropInv\MF\Houston\Little York W_3500_Oak Villa II_Houston_01601","Little York W_3500_Oak Villa II_Houston_01601" )</f>
        <v>Little York W_3500_Oak Villa II_Houston_01601</v>
      </c>
      <c r="L1406" s="104" t="s">
        <v>22253</v>
      </c>
      <c r="M1406" s="103" t="str">
        <f t="shared" si="108"/>
        <v>http://oconnordata.com/mlink/modules/profile/index.cfm?action=profile&amp;prop_id=1601</v>
      </c>
      <c r="N1406" s="1" t="str">
        <f t="shared" si="109"/>
        <v>01601</v>
      </c>
    </row>
    <row r="1407" spans="1:14" x14ac:dyDescent="0.3">
      <c r="A1407" s="1">
        <v>1603</v>
      </c>
      <c r="B1407" s="7" t="s">
        <v>2151</v>
      </c>
      <c r="C1407" s="12">
        <v>7302</v>
      </c>
      <c r="D1407" s="7" t="s">
        <v>2152</v>
      </c>
      <c r="E1407" s="13" t="s">
        <v>1657</v>
      </c>
      <c r="F1407" t="str">
        <f t="shared" si="105"/>
        <v>Alabonson</v>
      </c>
      <c r="G1407" t="str">
        <f t="shared" si="106"/>
        <v>Alabonson7302Houston</v>
      </c>
      <c r="H1407" t="s">
        <v>32265</v>
      </c>
      <c r="I1407" t="s">
        <v>23694</v>
      </c>
      <c r="J1407" t="str">
        <f t="shared" si="107"/>
        <v>E:\PropInv\MF</v>
      </c>
      <c r="K1407" s="103" t="str">
        <f>HYPERLINK("E:\PropInv\MF\Houston\Alabonson Rd_7302_Inwood Grove_Houston_01603","Alabonson Rd_7302_Inwood Grove_Houston_01603" )</f>
        <v>Alabonson Rd_7302_Inwood Grove_Houston_01603</v>
      </c>
      <c r="L1407" s="104" t="s">
        <v>22253</v>
      </c>
      <c r="M1407" s="103" t="str">
        <f t="shared" si="108"/>
        <v>http://oconnordata.com/mlink/modules/profile/index.cfm?action=profile&amp;prop_id=1603</v>
      </c>
      <c r="N1407" s="1" t="str">
        <f t="shared" si="109"/>
        <v>01603</v>
      </c>
    </row>
    <row r="1408" spans="1:14" x14ac:dyDescent="0.3">
      <c r="A1408" s="1">
        <v>1604</v>
      </c>
      <c r="B1408" s="7" t="s">
        <v>2113</v>
      </c>
      <c r="C1408" s="12">
        <v>5850</v>
      </c>
      <c r="D1408" s="7" t="s">
        <v>2153</v>
      </c>
      <c r="E1408" s="13" t="s">
        <v>1657</v>
      </c>
      <c r="F1408" t="str">
        <f t="shared" si="105"/>
        <v>Gulf</v>
      </c>
      <c r="G1408" t="str">
        <f t="shared" si="106"/>
        <v>Gulf5850Houston</v>
      </c>
      <c r="H1408" t="s">
        <v>32266</v>
      </c>
      <c r="I1408" t="s">
        <v>23695</v>
      </c>
      <c r="J1408" t="str">
        <f t="shared" si="107"/>
        <v>E:\PropInv\MF</v>
      </c>
      <c r="K1408" s="103" t="str">
        <f>HYPERLINK("E:\PropInv\MF\Houston\Gulf Bank W_5850_Timbers of Inwood Forest I_Houston_01604","Gulf Bank W_5850_Timbers of Inwood Forest I_Houston_01604" )</f>
        <v>Gulf Bank W_5850_Timbers of Inwood Forest I_Houston_01604</v>
      </c>
      <c r="L1408" s="104" t="s">
        <v>22253</v>
      </c>
      <c r="M1408" s="103" t="str">
        <f t="shared" si="108"/>
        <v>http://oconnordata.com/mlink/modules/profile/index.cfm?action=profile&amp;prop_id=1604</v>
      </c>
      <c r="N1408" s="1" t="str">
        <f t="shared" si="109"/>
        <v>01604</v>
      </c>
    </row>
    <row r="1409" spans="1:14" x14ac:dyDescent="0.3">
      <c r="A1409" s="1">
        <v>1605</v>
      </c>
      <c r="B1409" s="7" t="s">
        <v>2154</v>
      </c>
      <c r="C1409" s="12">
        <v>5550</v>
      </c>
      <c r="D1409" s="7" t="s">
        <v>2155</v>
      </c>
      <c r="E1409" s="13" t="s">
        <v>1657</v>
      </c>
      <c r="F1409" t="str">
        <f t="shared" si="105"/>
        <v>Holly</v>
      </c>
      <c r="G1409" t="str">
        <f t="shared" si="106"/>
        <v>Holly5550Houston</v>
      </c>
      <c r="H1409" t="s">
        <v>32267</v>
      </c>
      <c r="I1409" t="s">
        <v>23696</v>
      </c>
      <c r="J1409" t="str">
        <f t="shared" si="107"/>
        <v>E:\PropInv\MF</v>
      </c>
      <c r="K1409" s="103" t="str">
        <f>HYPERLINK("E:\PropInv\MF\Houston\Holly View Dr_5550_The Park at Live Oak_Houston_01605","Holly View Dr_5550_The Park at Live Oak_Houston_01605" )</f>
        <v>Holly View Dr_5550_The Park at Live Oak_Houston_01605</v>
      </c>
      <c r="L1409" s="104" t="s">
        <v>22253</v>
      </c>
      <c r="M1409" s="103" t="str">
        <f t="shared" si="108"/>
        <v>http://oconnordata.com/mlink/modules/profile/index.cfm?action=profile&amp;prop_id=1605</v>
      </c>
      <c r="N1409" s="1" t="str">
        <f t="shared" si="109"/>
        <v>01605</v>
      </c>
    </row>
    <row r="1410" spans="1:14" x14ac:dyDescent="0.3">
      <c r="A1410" s="1">
        <v>1606</v>
      </c>
      <c r="B1410" s="7" t="s">
        <v>2154</v>
      </c>
      <c r="C1410" s="12">
        <v>5555</v>
      </c>
      <c r="D1410" s="7" t="s">
        <v>2156</v>
      </c>
      <c r="E1410" s="13" t="s">
        <v>1657</v>
      </c>
      <c r="F1410" t="str">
        <f t="shared" ref="F1410:F1473" si="110">IFERROR(LEFT(B1410,FIND(" ",B1410)-1),B1410)</f>
        <v>Holly</v>
      </c>
      <c r="G1410" t="str">
        <f t="shared" ref="G1410:G1473" si="111">F1410&amp;C1410&amp;E1410</f>
        <v>Holly5555Houston</v>
      </c>
      <c r="H1410" t="s">
        <v>32268</v>
      </c>
      <c r="I1410" t="s">
        <v>23697</v>
      </c>
      <c r="J1410" t="str">
        <f t="shared" ref="J1410:J1473" si="112">IF(L1410="TX",Folder_Path,Folder_Path&amp;"\State_"&amp;L1410)</f>
        <v>E:\PropInv\MF</v>
      </c>
      <c r="K1410" s="103" t="str">
        <f>HYPERLINK("E:\PropInv\MF\Houston\Holly View Dr_5555_Hollyview_Houston_01606","Holly View Dr_5555_Hollyview_Houston_01606" )</f>
        <v>Holly View Dr_5555_Hollyview_Houston_01606</v>
      </c>
      <c r="L1410" s="104" t="s">
        <v>22253</v>
      </c>
      <c r="M1410" s="103" t="str">
        <f t="shared" ref="M1410:M1473" si="113">HYPERLINK("http://oconnordata.com/mlink/modules/profile/index.cfm?action=profile&amp;prop_id="&amp;A1410)</f>
        <v>http://oconnordata.com/mlink/modules/profile/index.cfm?action=profile&amp;prop_id=1606</v>
      </c>
      <c r="N1410" s="1" t="str">
        <f t="shared" ref="N1410:N1473" si="114">IF(LEN(A1410)=1,"0000"&amp;A1410,IF(LEN(A1410)=2,"000"&amp;A1410,IF(LEN(A1410)=3,"00"&amp;A1410,IF(LEN(A1410)=4,"0"&amp;A1410,IF(LEN(A1410)=5,IF(LEFT(A1410,1)="3",A1410+30000,A1410))))))</f>
        <v>01606</v>
      </c>
    </row>
    <row r="1411" spans="1:14" x14ac:dyDescent="0.3">
      <c r="A1411" s="1">
        <v>1607</v>
      </c>
      <c r="B1411" s="7" t="s">
        <v>2157</v>
      </c>
      <c r="C1411" s="12">
        <v>10445</v>
      </c>
      <c r="D1411" s="7" t="s">
        <v>2158</v>
      </c>
      <c r="E1411" s="13" t="s">
        <v>1657</v>
      </c>
      <c r="F1411" t="str">
        <f t="shared" si="110"/>
        <v>Greens</v>
      </c>
      <c r="G1411" t="str">
        <f t="shared" si="111"/>
        <v>Greens10445Houston</v>
      </c>
      <c r="H1411" t="s">
        <v>32269</v>
      </c>
      <c r="I1411" t="s">
        <v>23698</v>
      </c>
      <c r="J1411" t="str">
        <f t="shared" si="112"/>
        <v>E:\PropInv\MF</v>
      </c>
      <c r="K1411" s="103" t="str">
        <f>HYPERLINK("E:\PropInv\MF\Houston\Greens Crossing Blvd_10445_Mission Falls_Houston_01607","Greens Crossing Blvd_10445_Mission Falls_Houston_01607" )</f>
        <v>Greens Crossing Blvd_10445_Mission Falls_Houston_01607</v>
      </c>
      <c r="L1411" s="104" t="s">
        <v>22253</v>
      </c>
      <c r="M1411" s="103" t="str">
        <f t="shared" si="113"/>
        <v>http://oconnordata.com/mlink/modules/profile/index.cfm?action=profile&amp;prop_id=1607</v>
      </c>
      <c r="N1411" s="1" t="str">
        <f t="shared" si="114"/>
        <v>01607</v>
      </c>
    </row>
    <row r="1412" spans="1:14" x14ac:dyDescent="0.3">
      <c r="A1412" s="1">
        <v>1608</v>
      </c>
      <c r="B1412" s="7" t="s">
        <v>2141</v>
      </c>
      <c r="C1412" s="12">
        <v>1400</v>
      </c>
      <c r="D1412" s="7" t="s">
        <v>2159</v>
      </c>
      <c r="E1412" s="13" t="s">
        <v>1657</v>
      </c>
      <c r="F1412" t="str">
        <f t="shared" si="110"/>
        <v>Blue</v>
      </c>
      <c r="G1412" t="str">
        <f t="shared" si="111"/>
        <v>Blue1400Houston</v>
      </c>
      <c r="H1412" t="s">
        <v>32270</v>
      </c>
      <c r="I1412" t="s">
        <v>23699</v>
      </c>
      <c r="J1412" t="str">
        <f t="shared" si="112"/>
        <v>E:\PropInv\MF</v>
      </c>
      <c r="K1412" s="103" t="str">
        <f>HYPERLINK("E:\PropInv\MF\Houston\Blue Bell_1400_The Meadows on Blue Bell_Houston_01608","Blue Bell_1400_The Meadows on Blue Bell_Houston_01608" )</f>
        <v>Blue Bell_1400_The Meadows on Blue Bell_Houston_01608</v>
      </c>
      <c r="L1412" s="104" t="s">
        <v>22253</v>
      </c>
      <c r="M1412" s="103" t="str">
        <f t="shared" si="113"/>
        <v>http://oconnordata.com/mlink/modules/profile/index.cfm?action=profile&amp;prop_id=1608</v>
      </c>
      <c r="N1412" s="1" t="str">
        <f t="shared" si="114"/>
        <v>01608</v>
      </c>
    </row>
    <row r="1413" spans="1:14" x14ac:dyDescent="0.3">
      <c r="A1413" s="1">
        <v>1609</v>
      </c>
      <c r="B1413" s="7" t="s">
        <v>2154</v>
      </c>
      <c r="C1413" s="12">
        <v>5600</v>
      </c>
      <c r="D1413" s="7" t="s">
        <v>2160</v>
      </c>
      <c r="E1413" s="13" t="s">
        <v>1657</v>
      </c>
      <c r="F1413" t="str">
        <f t="shared" si="110"/>
        <v>Holly</v>
      </c>
      <c r="G1413" t="str">
        <f t="shared" si="111"/>
        <v>Holly5600Houston</v>
      </c>
      <c r="H1413" t="s">
        <v>32271</v>
      </c>
      <c r="I1413" t="s">
        <v>23700</v>
      </c>
      <c r="J1413" t="str">
        <f t="shared" si="112"/>
        <v>E:\PropInv\MF</v>
      </c>
      <c r="K1413" s="103" t="str">
        <f>HYPERLINK("E:\PropInv\MF\Houston\Holly View Dr_5600_Gables of Inwood_Houston_01609","Holly View Dr_5600_Gables of Inwood_Houston_01609" )</f>
        <v>Holly View Dr_5600_Gables of Inwood_Houston_01609</v>
      </c>
      <c r="L1413" s="104" t="s">
        <v>22253</v>
      </c>
      <c r="M1413" s="103" t="str">
        <f t="shared" si="113"/>
        <v>http://oconnordata.com/mlink/modules/profile/index.cfm?action=profile&amp;prop_id=1609</v>
      </c>
      <c r="N1413" s="1" t="str">
        <f t="shared" si="114"/>
        <v>01609</v>
      </c>
    </row>
    <row r="1414" spans="1:14" x14ac:dyDescent="0.3">
      <c r="A1414" s="1">
        <v>1610</v>
      </c>
      <c r="B1414" s="7" t="s">
        <v>2081</v>
      </c>
      <c r="C1414" s="12">
        <v>3434</v>
      </c>
      <c r="D1414" s="7" t="s">
        <v>2161</v>
      </c>
      <c r="E1414" s="13" t="s">
        <v>1657</v>
      </c>
      <c r="F1414" t="str">
        <f t="shared" si="110"/>
        <v>Little</v>
      </c>
      <c r="G1414" t="str">
        <f t="shared" si="111"/>
        <v>Little3434Houston</v>
      </c>
      <c r="H1414" t="s">
        <v>32272</v>
      </c>
      <c r="I1414" t="s">
        <v>23701</v>
      </c>
      <c r="J1414" t="str">
        <f t="shared" si="112"/>
        <v>E:\PropInv\MF</v>
      </c>
      <c r="K1414" s="103" t="str">
        <f>HYPERLINK("E:\PropInv\MF\Houston\Little York W_3434_Oak Villa I_Houston_01610","Little York W_3434_Oak Villa I_Houston_01610" )</f>
        <v>Little York W_3434_Oak Villa I_Houston_01610</v>
      </c>
      <c r="L1414" s="104" t="s">
        <v>22253</v>
      </c>
      <c r="M1414" s="103" t="str">
        <f t="shared" si="113"/>
        <v>http://oconnordata.com/mlink/modules/profile/index.cfm?action=profile&amp;prop_id=1610</v>
      </c>
      <c r="N1414" s="1" t="str">
        <f t="shared" si="114"/>
        <v>01610</v>
      </c>
    </row>
    <row r="1415" spans="1:14" x14ac:dyDescent="0.3">
      <c r="A1415" s="1">
        <v>1611</v>
      </c>
      <c r="B1415" s="7" t="s">
        <v>1878</v>
      </c>
      <c r="C1415" s="12">
        <v>6407</v>
      </c>
      <c r="D1415" s="7" t="s">
        <v>2162</v>
      </c>
      <c r="E1415" s="13" t="s">
        <v>1657</v>
      </c>
      <c r="F1415" t="str">
        <f t="shared" si="110"/>
        <v>Antoine</v>
      </c>
      <c r="G1415" t="str">
        <f t="shared" si="111"/>
        <v>Antoine6407Houston</v>
      </c>
      <c r="H1415" t="s">
        <v>32273</v>
      </c>
      <c r="I1415" t="s">
        <v>23702</v>
      </c>
      <c r="J1415" t="str">
        <f t="shared" si="112"/>
        <v>E:\PropInv\MF</v>
      </c>
      <c r="K1415" s="103" t="str">
        <f>HYPERLINK("E:\PropInv\MF\Houston\Antoine_6407_Diamond Ridge I_Houston_01611","Antoine_6407_Diamond Ridge I_Houston_01611" )</f>
        <v>Antoine_6407_Diamond Ridge I_Houston_01611</v>
      </c>
      <c r="L1415" s="104" t="s">
        <v>22253</v>
      </c>
      <c r="M1415" s="103" t="str">
        <f t="shared" si="113"/>
        <v>http://oconnordata.com/mlink/modules/profile/index.cfm?action=profile&amp;prop_id=1611</v>
      </c>
      <c r="N1415" s="1" t="str">
        <f t="shared" si="114"/>
        <v>01611</v>
      </c>
    </row>
    <row r="1416" spans="1:14" x14ac:dyDescent="0.3">
      <c r="A1416" s="1">
        <v>1612</v>
      </c>
      <c r="B1416" s="7" t="s">
        <v>1878</v>
      </c>
      <c r="C1416" s="12">
        <v>6417</v>
      </c>
      <c r="D1416" s="7" t="s">
        <v>2163</v>
      </c>
      <c r="E1416" s="13" t="s">
        <v>1657</v>
      </c>
      <c r="F1416" t="str">
        <f t="shared" si="110"/>
        <v>Antoine</v>
      </c>
      <c r="G1416" t="str">
        <f t="shared" si="111"/>
        <v>Antoine6417Houston</v>
      </c>
      <c r="H1416" t="s">
        <v>32274</v>
      </c>
      <c r="I1416" t="s">
        <v>23703</v>
      </c>
      <c r="J1416" t="str">
        <f t="shared" si="112"/>
        <v>E:\PropInv\MF</v>
      </c>
      <c r="K1416" s="103" t="str">
        <f>HYPERLINK("E:\PropInv\MF\Houston\Antoine_6417_Diamond Ridge II_Houston_01612","Antoine_6417_Diamond Ridge II_Houston_01612" )</f>
        <v>Antoine_6417_Diamond Ridge II_Houston_01612</v>
      </c>
      <c r="L1416" s="104" t="s">
        <v>22253</v>
      </c>
      <c r="M1416" s="103" t="str">
        <f t="shared" si="113"/>
        <v>http://oconnordata.com/mlink/modules/profile/index.cfm?action=profile&amp;prop_id=1612</v>
      </c>
      <c r="N1416" s="1" t="str">
        <f t="shared" si="114"/>
        <v>01612</v>
      </c>
    </row>
    <row r="1417" spans="1:14" x14ac:dyDescent="0.3">
      <c r="A1417" s="1">
        <v>1614</v>
      </c>
      <c r="B1417" s="7" t="s">
        <v>2081</v>
      </c>
      <c r="C1417" s="12">
        <v>790</v>
      </c>
      <c r="D1417" s="7" t="s">
        <v>2164</v>
      </c>
      <c r="E1417" s="13" t="s">
        <v>1657</v>
      </c>
      <c r="F1417" t="str">
        <f t="shared" si="110"/>
        <v>Little</v>
      </c>
      <c r="G1417" t="str">
        <f t="shared" si="111"/>
        <v>Little790Houston</v>
      </c>
      <c r="H1417" t="s">
        <v>32275</v>
      </c>
      <c r="I1417" t="s">
        <v>23704</v>
      </c>
      <c r="J1417" t="str">
        <f t="shared" si="112"/>
        <v>E:\PropInv\MF</v>
      </c>
      <c r="K1417" s="103" t="str">
        <f>HYPERLINK("E:\PropInv\MF\Houston\Little York W_790_Lincoln Park_Houston_01614","Little York W_790_Lincoln Park_Houston_01614" )</f>
        <v>Little York W_790_Lincoln Park_Houston_01614</v>
      </c>
      <c r="L1417" s="104" t="s">
        <v>22253</v>
      </c>
      <c r="M1417" s="103" t="str">
        <f t="shared" si="113"/>
        <v>http://oconnordata.com/mlink/modules/profile/index.cfm?action=profile&amp;prop_id=1614</v>
      </c>
      <c r="N1417" s="1" t="str">
        <f t="shared" si="114"/>
        <v>01614</v>
      </c>
    </row>
    <row r="1418" spans="1:14" x14ac:dyDescent="0.3">
      <c r="A1418" s="1">
        <v>1615</v>
      </c>
      <c r="B1418" s="7" t="s">
        <v>2081</v>
      </c>
      <c r="C1418" s="12">
        <v>215</v>
      </c>
      <c r="D1418" s="7" t="s">
        <v>2165</v>
      </c>
      <c r="E1418" s="13" t="s">
        <v>1657</v>
      </c>
      <c r="F1418" t="str">
        <f t="shared" si="110"/>
        <v>Little</v>
      </c>
      <c r="G1418" t="str">
        <f t="shared" si="111"/>
        <v>Little215Houston</v>
      </c>
      <c r="H1418" t="s">
        <v>32276</v>
      </c>
      <c r="I1418" t="s">
        <v>23705</v>
      </c>
      <c r="J1418" t="str">
        <f t="shared" si="112"/>
        <v>E:\PropInv\MF</v>
      </c>
      <c r="K1418" s="103" t="str">
        <f>HYPERLINK("E:\PropInv\MF\Houston\Little York W_215_Casa Real_Houston_01615","Little York W_215_Casa Real_Houston_01615" )</f>
        <v>Little York W_215_Casa Real_Houston_01615</v>
      </c>
      <c r="L1418" s="104" t="s">
        <v>22253</v>
      </c>
      <c r="M1418" s="103" t="str">
        <f t="shared" si="113"/>
        <v>http://oconnordata.com/mlink/modules/profile/index.cfm?action=profile&amp;prop_id=1615</v>
      </c>
      <c r="N1418" s="1" t="str">
        <f t="shared" si="114"/>
        <v>01615</v>
      </c>
    </row>
    <row r="1419" spans="1:14" x14ac:dyDescent="0.3">
      <c r="A1419" s="1">
        <v>1616</v>
      </c>
      <c r="B1419" s="7" t="s">
        <v>1878</v>
      </c>
      <c r="C1419" s="12">
        <v>6101</v>
      </c>
      <c r="D1419" s="7" t="s">
        <v>2166</v>
      </c>
      <c r="E1419" s="13" t="s">
        <v>1657</v>
      </c>
      <c r="F1419" t="str">
        <f t="shared" si="110"/>
        <v>Antoine</v>
      </c>
      <c r="G1419" t="str">
        <f t="shared" si="111"/>
        <v>Antoine6101Houston</v>
      </c>
      <c r="H1419" t="s">
        <v>32277</v>
      </c>
      <c r="I1419" t="s">
        <v>23706</v>
      </c>
      <c r="J1419" t="str">
        <f t="shared" si="112"/>
        <v>E:\PropInv\MF</v>
      </c>
      <c r="K1419" s="103" t="str">
        <f>HYPERLINK("E:\PropInv\MF\Houston\Antoine_6101_The Falls on Antoine_Houston_01616","Antoine_6101_The Falls on Antoine_Houston_01616" )</f>
        <v>Antoine_6101_The Falls on Antoine_Houston_01616</v>
      </c>
      <c r="L1419" s="104" t="s">
        <v>22253</v>
      </c>
      <c r="M1419" s="103" t="str">
        <f t="shared" si="113"/>
        <v>http://oconnordata.com/mlink/modules/profile/index.cfm?action=profile&amp;prop_id=1616</v>
      </c>
      <c r="N1419" s="1" t="str">
        <f t="shared" si="114"/>
        <v>01616</v>
      </c>
    </row>
    <row r="1420" spans="1:14" x14ac:dyDescent="0.3">
      <c r="A1420" s="1">
        <v>1617</v>
      </c>
      <c r="B1420" s="7" t="s">
        <v>2167</v>
      </c>
      <c r="C1420" s="12">
        <v>6240</v>
      </c>
      <c r="D1420" s="7" t="s">
        <v>2168</v>
      </c>
      <c r="E1420" s="13" t="s">
        <v>1657</v>
      </c>
      <c r="F1420" t="str">
        <f t="shared" si="110"/>
        <v>Antoine</v>
      </c>
      <c r="G1420" t="str">
        <f t="shared" si="111"/>
        <v>Antoine6240Houston</v>
      </c>
      <c r="H1420" t="s">
        <v>32278</v>
      </c>
      <c r="I1420" t="s">
        <v>23707</v>
      </c>
      <c r="J1420" t="str">
        <f t="shared" si="112"/>
        <v>E:\PropInv\MF</v>
      </c>
      <c r="K1420" s="103" t="str">
        <f>HYPERLINK("E:\PropInv\MF\Houston\Antoine Dr_6240_Reserve at White Oak_Houston_01617","Antoine Dr_6240_Reserve at White Oak_Houston_01617" )</f>
        <v>Antoine Dr_6240_Reserve at White Oak_Houston_01617</v>
      </c>
      <c r="L1420" s="104" t="s">
        <v>22253</v>
      </c>
      <c r="M1420" s="103" t="str">
        <f t="shared" si="113"/>
        <v>http://oconnordata.com/mlink/modules/profile/index.cfm?action=profile&amp;prop_id=1617</v>
      </c>
      <c r="N1420" s="1" t="str">
        <f t="shared" si="114"/>
        <v>01617</v>
      </c>
    </row>
    <row r="1421" spans="1:14" x14ac:dyDescent="0.3">
      <c r="A1421" s="1">
        <v>1618</v>
      </c>
      <c r="B1421" s="7" t="s">
        <v>2169</v>
      </c>
      <c r="C1421" s="12">
        <v>12215</v>
      </c>
      <c r="D1421" s="7" t="s">
        <v>1160</v>
      </c>
      <c r="E1421" s="13" t="s">
        <v>1657</v>
      </c>
      <c r="F1421" t="str">
        <f t="shared" si="110"/>
        <v>Northwood</v>
      </c>
      <c r="G1421" t="str">
        <f t="shared" si="111"/>
        <v>Northwood12215Houston</v>
      </c>
      <c r="H1421" t="s">
        <v>32279</v>
      </c>
      <c r="I1421" t="s">
        <v>23708</v>
      </c>
      <c r="J1421" t="str">
        <f t="shared" si="112"/>
        <v>E:\PropInv\MF</v>
      </c>
      <c r="K1421" s="103" t="str">
        <f>HYPERLINK("E:\PropInv\MF\Houston\Northwood Forest_12215_Las Brisas_Houston_01618","Northwood Forest_12215_Las Brisas_Houston_01618" )</f>
        <v>Northwood Forest_12215_Las Brisas_Houston_01618</v>
      </c>
      <c r="L1421" s="104" t="s">
        <v>22253</v>
      </c>
      <c r="M1421" s="103" t="str">
        <f t="shared" si="113"/>
        <v>http://oconnordata.com/mlink/modules/profile/index.cfm?action=profile&amp;prop_id=1618</v>
      </c>
      <c r="N1421" s="1" t="str">
        <f t="shared" si="114"/>
        <v>01618</v>
      </c>
    </row>
    <row r="1422" spans="1:14" x14ac:dyDescent="0.3">
      <c r="A1422" s="1">
        <v>1619</v>
      </c>
      <c r="B1422" s="7" t="s">
        <v>2170</v>
      </c>
      <c r="C1422" s="12">
        <v>5601</v>
      </c>
      <c r="D1422" s="7" t="s">
        <v>2171</v>
      </c>
      <c r="E1422" s="13" t="s">
        <v>1657</v>
      </c>
      <c r="F1422" t="str">
        <f t="shared" si="110"/>
        <v>Hamill</v>
      </c>
      <c r="G1422" t="str">
        <f t="shared" si="111"/>
        <v>Hamill5601Houston</v>
      </c>
      <c r="H1422" t="s">
        <v>32280</v>
      </c>
      <c r="I1422" t="s">
        <v>23709</v>
      </c>
      <c r="J1422" t="str">
        <f t="shared" si="112"/>
        <v>E:\PropInv\MF</v>
      </c>
      <c r="K1422" s="103" t="str">
        <f>HYPERLINK("E:\PropInv\MF\Houston\Hamill_5601_Pinewood North_Houston_01619","Hamill_5601_Pinewood North_Houston_01619" )</f>
        <v>Hamill_5601_Pinewood North_Houston_01619</v>
      </c>
      <c r="L1422" s="104" t="s">
        <v>22253</v>
      </c>
      <c r="M1422" s="103" t="str">
        <f t="shared" si="113"/>
        <v>http://oconnordata.com/mlink/modules/profile/index.cfm?action=profile&amp;prop_id=1619</v>
      </c>
      <c r="N1422" s="1" t="str">
        <f t="shared" si="114"/>
        <v>01619</v>
      </c>
    </row>
    <row r="1423" spans="1:14" x14ac:dyDescent="0.3">
      <c r="A1423" s="1">
        <v>1620</v>
      </c>
      <c r="B1423" s="19" t="s">
        <v>2172</v>
      </c>
      <c r="C1423" s="18">
        <v>12322</v>
      </c>
      <c r="D1423" s="19" t="s">
        <v>2173</v>
      </c>
      <c r="E1423" s="20" t="s">
        <v>1657</v>
      </c>
      <c r="F1423" t="str">
        <f t="shared" si="110"/>
        <v>Wild</v>
      </c>
      <c r="G1423" t="str">
        <f t="shared" si="111"/>
        <v>Wild12322Houston</v>
      </c>
      <c r="H1423" t="s">
        <v>32281</v>
      </c>
      <c r="I1423" t="s">
        <v>23710</v>
      </c>
      <c r="J1423" t="str">
        <f t="shared" si="112"/>
        <v>E:\PropInv\MF</v>
      </c>
      <c r="K1423" s="103" t="str">
        <f>HYPERLINK("E:\PropInv\MF\Houston\Wild Pine_12322_Pine Village North_Houston_01620","Wild Pine_12322_Pine Village North_Houston_01620" )</f>
        <v>Wild Pine_12322_Pine Village North_Houston_01620</v>
      </c>
      <c r="L1423" s="104" t="s">
        <v>22253</v>
      </c>
      <c r="M1423" s="103" t="str">
        <f t="shared" si="113"/>
        <v>http://oconnordata.com/mlink/modules/profile/index.cfm?action=profile&amp;prop_id=1620</v>
      </c>
      <c r="N1423" s="1" t="str">
        <f t="shared" si="114"/>
        <v>01620</v>
      </c>
    </row>
    <row r="1424" spans="1:14" x14ac:dyDescent="0.3">
      <c r="A1424" s="1">
        <v>1621</v>
      </c>
      <c r="B1424" s="7" t="s">
        <v>2113</v>
      </c>
      <c r="C1424" s="12">
        <v>1415</v>
      </c>
      <c r="D1424" s="7" t="s">
        <v>2174</v>
      </c>
      <c r="E1424" s="13" t="s">
        <v>1657</v>
      </c>
      <c r="F1424" t="str">
        <f t="shared" si="110"/>
        <v>Gulf</v>
      </c>
      <c r="G1424" t="str">
        <f t="shared" si="111"/>
        <v>Gulf1415Houston</v>
      </c>
      <c r="H1424" t="s">
        <v>32282</v>
      </c>
      <c r="I1424" t="s">
        <v>23711</v>
      </c>
      <c r="J1424" t="str">
        <f t="shared" si="112"/>
        <v>E:\PropInv\MF</v>
      </c>
      <c r="K1424" s="103" t="str">
        <f>HYPERLINK("E:\PropInv\MF\Houston\Gulf Bank W_1415_Coppertree Village_Houston_01621","Gulf Bank W_1415_Coppertree Village_Houston_01621" )</f>
        <v>Gulf Bank W_1415_Coppertree Village_Houston_01621</v>
      </c>
      <c r="L1424" s="104" t="s">
        <v>22253</v>
      </c>
      <c r="M1424" s="103" t="str">
        <f t="shared" si="113"/>
        <v>http://oconnordata.com/mlink/modules/profile/index.cfm?action=profile&amp;prop_id=1621</v>
      </c>
      <c r="N1424" s="1" t="str">
        <f t="shared" si="114"/>
        <v>01621</v>
      </c>
    </row>
    <row r="1425" spans="1:14" x14ac:dyDescent="0.3">
      <c r="A1425" s="1">
        <v>1622</v>
      </c>
      <c r="B1425" s="7" t="s">
        <v>2175</v>
      </c>
      <c r="C1425" s="12">
        <v>9601</v>
      </c>
      <c r="D1425" s="7" t="s">
        <v>2176</v>
      </c>
      <c r="E1425" s="13" t="s">
        <v>1657</v>
      </c>
      <c r="F1425" t="str">
        <f t="shared" si="110"/>
        <v>Montgomery</v>
      </c>
      <c r="G1425" t="str">
        <f t="shared" si="111"/>
        <v>Montgomery9601Houston</v>
      </c>
      <c r="H1425" t="s">
        <v>32283</v>
      </c>
      <c r="I1425" t="s">
        <v>23712</v>
      </c>
      <c r="J1425" t="str">
        <f t="shared" si="112"/>
        <v>E:\PropInv\MF</v>
      </c>
      <c r="K1425" s="103" t="str">
        <f>HYPERLINK("E:\PropInv\MF\Houston\Montgomery W_9601_Garden City_Houston_01622","Montgomery W_9601_Garden City_Houston_01622" )</f>
        <v>Montgomery W_9601_Garden City_Houston_01622</v>
      </c>
      <c r="L1425" s="104" t="s">
        <v>22253</v>
      </c>
      <c r="M1425" s="103" t="str">
        <f t="shared" si="113"/>
        <v>http://oconnordata.com/mlink/modules/profile/index.cfm?action=profile&amp;prop_id=1622</v>
      </c>
      <c r="N1425" s="1" t="str">
        <f t="shared" si="114"/>
        <v>01622</v>
      </c>
    </row>
    <row r="1426" spans="1:14" x14ac:dyDescent="0.3">
      <c r="A1426" s="1">
        <v>1623</v>
      </c>
      <c r="B1426" s="7" t="s">
        <v>2177</v>
      </c>
      <c r="C1426" s="12">
        <v>303</v>
      </c>
      <c r="D1426" s="7" t="s">
        <v>2178</v>
      </c>
      <c r="E1426" s="13" t="s">
        <v>1657</v>
      </c>
      <c r="F1426" t="str">
        <f t="shared" si="110"/>
        <v>Sunny</v>
      </c>
      <c r="G1426" t="str">
        <f t="shared" si="111"/>
        <v>Sunny303Houston</v>
      </c>
      <c r="H1426" t="s">
        <v>32284</v>
      </c>
      <c r="I1426" t="s">
        <v>23713</v>
      </c>
      <c r="J1426" t="str">
        <f t="shared" si="112"/>
        <v>E:\PropInv\MF</v>
      </c>
      <c r="K1426" s="103" t="str">
        <f>HYPERLINK("E:\PropInv\MF\Houston\Sunny Side_303_La Casita II_Houston_01623","Sunny Side_303_La Casita II_Houston_01623" )</f>
        <v>Sunny Side_303_La Casita II_Houston_01623</v>
      </c>
      <c r="L1426" s="104" t="s">
        <v>22253</v>
      </c>
      <c r="M1426" s="103" t="str">
        <f t="shared" si="113"/>
        <v>http://oconnordata.com/mlink/modules/profile/index.cfm?action=profile&amp;prop_id=1623</v>
      </c>
      <c r="N1426" s="1" t="str">
        <f t="shared" si="114"/>
        <v>01623</v>
      </c>
    </row>
    <row r="1427" spans="1:14" x14ac:dyDescent="0.3">
      <c r="A1427" s="1">
        <v>1624</v>
      </c>
      <c r="B1427" s="7" t="s">
        <v>2179</v>
      </c>
      <c r="C1427" s="12">
        <v>313</v>
      </c>
      <c r="D1427" s="7" t="s">
        <v>2180</v>
      </c>
      <c r="E1427" s="13" t="s">
        <v>1657</v>
      </c>
      <c r="F1427" t="str">
        <f t="shared" si="110"/>
        <v>Sunnyside</v>
      </c>
      <c r="G1427" t="str">
        <f t="shared" si="111"/>
        <v>Sunnyside313Houston</v>
      </c>
      <c r="H1427" t="s">
        <v>32285</v>
      </c>
      <c r="I1427" t="s">
        <v>23714</v>
      </c>
      <c r="J1427" t="str">
        <f t="shared" si="112"/>
        <v>E:\PropInv\MF</v>
      </c>
      <c r="K1427" s="103" t="str">
        <f>HYPERLINK("E:\PropInv\MF\Houston\Sunnyside_313_La Casita I_Houston_01624","Sunnyside_313_La Casita I_Houston_01624" )</f>
        <v>Sunnyside_313_La Casita I_Houston_01624</v>
      </c>
      <c r="L1427" s="104" t="s">
        <v>22253</v>
      </c>
      <c r="M1427" s="103" t="str">
        <f t="shared" si="113"/>
        <v>http://oconnordata.com/mlink/modules/profile/index.cfm?action=profile&amp;prop_id=1624</v>
      </c>
      <c r="N1427" s="1" t="str">
        <f t="shared" si="114"/>
        <v>01624</v>
      </c>
    </row>
    <row r="1428" spans="1:14" x14ac:dyDescent="0.3">
      <c r="A1428" s="1">
        <v>1625</v>
      </c>
      <c r="B1428" s="7" t="s">
        <v>2181</v>
      </c>
      <c r="C1428" s="12">
        <v>480</v>
      </c>
      <c r="D1428" s="7" t="s">
        <v>2182</v>
      </c>
      <c r="E1428" s="13" t="s">
        <v>1657</v>
      </c>
      <c r="F1428" t="str">
        <f t="shared" si="110"/>
        <v>Parker</v>
      </c>
      <c r="G1428" t="str">
        <f t="shared" si="111"/>
        <v>Parker480Houston</v>
      </c>
      <c r="H1428" t="s">
        <v>32286</v>
      </c>
      <c r="I1428" t="s">
        <v>23715</v>
      </c>
      <c r="J1428" t="str">
        <f t="shared" si="112"/>
        <v>E:\PropInv\MF</v>
      </c>
      <c r="K1428" s="103" t="str">
        <f>HYPERLINK("E:\PropInv\MF\Houston\Parker Rd W_480_Pecan Shadows_Houston_01625","Parker Rd W_480_Pecan Shadows_Houston_01625" )</f>
        <v>Parker Rd W_480_Pecan Shadows_Houston_01625</v>
      </c>
      <c r="L1428" s="104" t="s">
        <v>22253</v>
      </c>
      <c r="M1428" s="103" t="str">
        <f t="shared" si="113"/>
        <v>http://oconnordata.com/mlink/modules/profile/index.cfm?action=profile&amp;prop_id=1625</v>
      </c>
      <c r="N1428" s="1" t="str">
        <f t="shared" si="114"/>
        <v>01625</v>
      </c>
    </row>
    <row r="1429" spans="1:14" x14ac:dyDescent="0.3">
      <c r="A1429" s="1">
        <v>1626</v>
      </c>
      <c r="B1429" s="7" t="s">
        <v>2183</v>
      </c>
      <c r="C1429" s="12">
        <v>427</v>
      </c>
      <c r="D1429" s="7" t="s">
        <v>2184</v>
      </c>
      <c r="E1429" s="13" t="s">
        <v>1657</v>
      </c>
      <c r="F1429" t="str">
        <f t="shared" si="110"/>
        <v>Hollyvale</v>
      </c>
      <c r="G1429" t="str">
        <f t="shared" si="111"/>
        <v>Hollyvale427Houston</v>
      </c>
      <c r="H1429" t="s">
        <v>32287</v>
      </c>
      <c r="I1429" t="s">
        <v>23716</v>
      </c>
      <c r="J1429" t="str">
        <f t="shared" si="112"/>
        <v>E:\PropInv\MF</v>
      </c>
      <c r="K1429" s="103" t="str">
        <f>HYPERLINK("E:\PropInv\MF\Houston\Hollyvale Dr_427_Hollyvale_Houston_01626","Hollyvale Dr_427_Hollyvale_Houston_01626" )</f>
        <v>Hollyvale Dr_427_Hollyvale_Houston_01626</v>
      </c>
      <c r="L1429" s="104" t="s">
        <v>22253</v>
      </c>
      <c r="M1429" s="103" t="str">
        <f t="shared" si="113"/>
        <v>http://oconnordata.com/mlink/modules/profile/index.cfm?action=profile&amp;prop_id=1626</v>
      </c>
      <c r="N1429" s="1" t="str">
        <f t="shared" si="114"/>
        <v>01626</v>
      </c>
    </row>
    <row r="1430" spans="1:14" x14ac:dyDescent="0.3">
      <c r="A1430" s="1">
        <v>1630</v>
      </c>
      <c r="B1430" s="7" t="s">
        <v>2185</v>
      </c>
      <c r="C1430" s="12">
        <v>2203</v>
      </c>
      <c r="D1430" s="7" t="s">
        <v>2186</v>
      </c>
      <c r="E1430" s="13" t="s">
        <v>1657</v>
      </c>
      <c r="F1430" t="str">
        <f t="shared" si="110"/>
        <v>Aldine</v>
      </c>
      <c r="G1430" t="str">
        <f t="shared" si="111"/>
        <v>Aldine2203Houston</v>
      </c>
      <c r="H1430" t="s">
        <v>32288</v>
      </c>
      <c r="I1430" t="s">
        <v>23717</v>
      </c>
      <c r="J1430" t="str">
        <f t="shared" si="112"/>
        <v>E:\PropInv\MF</v>
      </c>
      <c r="K1430" s="103" t="str">
        <f>HYPERLINK("E:\PropInv\MF\Houston\Aldine Mail Rd_2203_Oakdale Manor_Houston_01630","Aldine Mail Rd_2203_Oakdale Manor_Houston_01630" )</f>
        <v>Aldine Mail Rd_2203_Oakdale Manor_Houston_01630</v>
      </c>
      <c r="L1430" s="104" t="s">
        <v>22253</v>
      </c>
      <c r="M1430" s="103" t="str">
        <f t="shared" si="113"/>
        <v>http://oconnordata.com/mlink/modules/profile/index.cfm?action=profile&amp;prop_id=1630</v>
      </c>
      <c r="N1430" s="1" t="str">
        <f t="shared" si="114"/>
        <v>01630</v>
      </c>
    </row>
    <row r="1431" spans="1:14" x14ac:dyDescent="0.3">
      <c r="A1431" s="1">
        <v>1633</v>
      </c>
      <c r="B1431" s="7" t="s">
        <v>2187</v>
      </c>
      <c r="C1431" s="12">
        <v>256</v>
      </c>
      <c r="D1431" s="7" t="s">
        <v>2188</v>
      </c>
      <c r="E1431" s="13" t="s">
        <v>1657</v>
      </c>
      <c r="F1431" t="str">
        <f t="shared" si="110"/>
        <v>Carby</v>
      </c>
      <c r="G1431" t="str">
        <f t="shared" si="111"/>
        <v>Carby256Houston</v>
      </c>
      <c r="H1431" t="s">
        <v>32289</v>
      </c>
      <c r="I1431" t="s">
        <v>23718</v>
      </c>
      <c r="J1431" t="str">
        <f t="shared" si="112"/>
        <v>E:\PropInv\MF</v>
      </c>
      <c r="K1431" s="103" t="str">
        <f>HYPERLINK("E:\PropInv\MF\Houston\Carby W_256_Country Living_Houston_01633","Carby W_256_Country Living_Houston_01633" )</f>
        <v>Carby W_256_Country Living_Houston_01633</v>
      </c>
      <c r="L1431" s="104" t="s">
        <v>22253</v>
      </c>
      <c r="M1431" s="103" t="str">
        <f t="shared" si="113"/>
        <v>http://oconnordata.com/mlink/modules/profile/index.cfm?action=profile&amp;prop_id=1633</v>
      </c>
      <c r="N1431" s="1" t="str">
        <f t="shared" si="114"/>
        <v>01633</v>
      </c>
    </row>
    <row r="1432" spans="1:14" x14ac:dyDescent="0.3">
      <c r="A1432" s="1">
        <v>1635</v>
      </c>
      <c r="B1432" s="7" t="s">
        <v>2189</v>
      </c>
      <c r="C1432" s="12">
        <v>7313</v>
      </c>
      <c r="D1432" s="7" t="s">
        <v>2190</v>
      </c>
      <c r="E1432" s="13" t="s">
        <v>1657</v>
      </c>
      <c r="F1432" t="str">
        <f t="shared" si="110"/>
        <v>Northline</v>
      </c>
      <c r="G1432" t="str">
        <f t="shared" si="111"/>
        <v>Northline7313Houston</v>
      </c>
      <c r="H1432" t="s">
        <v>32290</v>
      </c>
      <c r="I1432" t="s">
        <v>23719</v>
      </c>
      <c r="J1432" t="str">
        <f t="shared" si="112"/>
        <v>E:\PropInv\MF</v>
      </c>
      <c r="K1432" s="103" t="str">
        <f>HYPERLINK("E:\PropInv\MF\Houston\Northline_7313_Northline Point_Houston_01635","Northline_7313_Northline Point_Houston_01635" )</f>
        <v>Northline_7313_Northline Point_Houston_01635</v>
      </c>
      <c r="L1432" s="104" t="s">
        <v>22253</v>
      </c>
      <c r="M1432" s="103" t="str">
        <f t="shared" si="113"/>
        <v>http://oconnordata.com/mlink/modules/profile/index.cfm?action=profile&amp;prop_id=1635</v>
      </c>
      <c r="N1432" s="1" t="str">
        <f t="shared" si="114"/>
        <v>01635</v>
      </c>
    </row>
    <row r="1433" spans="1:14" x14ac:dyDescent="0.3">
      <c r="A1433" s="1">
        <v>1636</v>
      </c>
      <c r="B1433" s="7" t="s">
        <v>2191</v>
      </c>
      <c r="C1433" s="12">
        <v>12550</v>
      </c>
      <c r="D1433" s="7" t="s">
        <v>2192</v>
      </c>
      <c r="E1433" s="13" t="s">
        <v>1657</v>
      </c>
      <c r="F1433" t="str">
        <f t="shared" si="110"/>
        <v>John</v>
      </c>
      <c r="G1433" t="str">
        <f t="shared" si="111"/>
        <v>John12550Houston</v>
      </c>
      <c r="H1433" t="s">
        <v>32291</v>
      </c>
      <c r="I1433" t="s">
        <v>23720</v>
      </c>
      <c r="J1433" t="str">
        <f t="shared" si="112"/>
        <v>E:\PropInv\MF</v>
      </c>
      <c r="K1433" s="103" t="str">
        <f>HYPERLINK("E:\PropInv\MF\Houston\John F Kennedy Blvd_12550_Rockwood Landing_Houston_01636","John F Kennedy Blvd_12550_Rockwood Landing_Houston_01636" )</f>
        <v>John F Kennedy Blvd_12550_Rockwood Landing_Houston_01636</v>
      </c>
      <c r="L1433" s="104" t="s">
        <v>22253</v>
      </c>
      <c r="M1433" s="103" t="str">
        <f t="shared" si="113"/>
        <v>http://oconnordata.com/mlink/modules/profile/index.cfm?action=profile&amp;prop_id=1636</v>
      </c>
      <c r="N1433" s="1" t="str">
        <f t="shared" si="114"/>
        <v>01636</v>
      </c>
    </row>
    <row r="1434" spans="1:14" x14ac:dyDescent="0.3">
      <c r="A1434" s="1">
        <v>1637</v>
      </c>
      <c r="B1434" s="7" t="s">
        <v>2193</v>
      </c>
      <c r="C1434" s="12">
        <v>5005</v>
      </c>
      <c r="D1434" s="7" t="s">
        <v>2194</v>
      </c>
      <c r="E1434" s="13" t="s">
        <v>1657</v>
      </c>
      <c r="F1434" t="str">
        <f t="shared" si="110"/>
        <v>Aldine</v>
      </c>
      <c r="G1434" t="str">
        <f t="shared" si="111"/>
        <v>Aldine5005Houston</v>
      </c>
      <c r="H1434" t="s">
        <v>32292</v>
      </c>
      <c r="I1434" t="s">
        <v>23721</v>
      </c>
      <c r="J1434" t="str">
        <f t="shared" si="112"/>
        <v>E:\PropInv\MF</v>
      </c>
      <c r="K1434" s="103" t="str">
        <f>HYPERLINK("E:\PropInv\MF\Houston\Aldine Mail Route_5005_Northwood Villas_Houston_01637","Aldine Mail Route_5005_Northwood Villas_Houston_01637" )</f>
        <v>Aldine Mail Route_5005_Northwood Villas_Houston_01637</v>
      </c>
      <c r="L1434" s="104" t="s">
        <v>22253</v>
      </c>
      <c r="M1434" s="103" t="str">
        <f t="shared" si="113"/>
        <v>http://oconnordata.com/mlink/modules/profile/index.cfm?action=profile&amp;prop_id=1637</v>
      </c>
      <c r="N1434" s="1" t="str">
        <f t="shared" si="114"/>
        <v>01637</v>
      </c>
    </row>
    <row r="1435" spans="1:14" x14ac:dyDescent="0.3">
      <c r="A1435" s="1">
        <v>1638</v>
      </c>
      <c r="B1435" s="7" t="s">
        <v>2193</v>
      </c>
      <c r="C1435" s="12">
        <v>4826</v>
      </c>
      <c r="D1435" s="7" t="s">
        <v>2195</v>
      </c>
      <c r="E1435" s="13" t="s">
        <v>1657</v>
      </c>
      <c r="F1435" t="str">
        <f t="shared" si="110"/>
        <v>Aldine</v>
      </c>
      <c r="G1435" t="str">
        <f t="shared" si="111"/>
        <v>Aldine4826Houston</v>
      </c>
      <c r="H1435" t="s">
        <v>32293</v>
      </c>
      <c r="I1435" t="s">
        <v>23722</v>
      </c>
      <c r="J1435" t="str">
        <f t="shared" si="112"/>
        <v>E:\PropInv\MF</v>
      </c>
      <c r="K1435" s="103" t="str">
        <f>HYPERLINK("E:\PropInv\MF\Houston\Aldine Mail Route_4826_Aldine_Houston_01638","Aldine Mail Route_4826_Aldine_Houston_01638" )</f>
        <v>Aldine Mail Route_4826_Aldine_Houston_01638</v>
      </c>
      <c r="L1435" s="104" t="s">
        <v>22253</v>
      </c>
      <c r="M1435" s="103" t="str">
        <f t="shared" si="113"/>
        <v>http://oconnordata.com/mlink/modules/profile/index.cfm?action=profile&amp;prop_id=1638</v>
      </c>
      <c r="N1435" s="1" t="str">
        <f t="shared" si="114"/>
        <v>01638</v>
      </c>
    </row>
    <row r="1436" spans="1:14" x14ac:dyDescent="0.3">
      <c r="A1436" s="1">
        <v>1639</v>
      </c>
      <c r="B1436" s="7" t="s">
        <v>2196</v>
      </c>
      <c r="C1436" s="12">
        <v>5240</v>
      </c>
      <c r="D1436" s="7" t="s">
        <v>2197</v>
      </c>
      <c r="E1436" s="13" t="s">
        <v>2198</v>
      </c>
      <c r="F1436" t="str">
        <f t="shared" si="110"/>
        <v>A</v>
      </c>
      <c r="G1436" t="str">
        <f t="shared" si="111"/>
        <v>A5240Katy</v>
      </c>
      <c r="H1436" t="s">
        <v>32294</v>
      </c>
      <c r="I1436" t="s">
        <v>17629</v>
      </c>
      <c r="J1436" t="str">
        <f t="shared" si="112"/>
        <v>E:\PropInv\MF</v>
      </c>
      <c r="K1436" s="103" t="str">
        <f>HYPERLINK("E:\PropInv\MF\Katy\A Tallowpine_5240_Pineview Terrace_Katy_01639","A Tallowpine_5240_Pineview Terrace_Katy_01639" )</f>
        <v>A Tallowpine_5240_Pineview Terrace_Katy_01639</v>
      </c>
      <c r="L1436" s="104" t="s">
        <v>22253</v>
      </c>
      <c r="M1436" s="103" t="str">
        <f t="shared" si="113"/>
        <v>http://oconnordata.com/mlink/modules/profile/index.cfm?action=profile&amp;prop_id=1639</v>
      </c>
      <c r="N1436" s="1" t="str">
        <f t="shared" si="114"/>
        <v>01639</v>
      </c>
    </row>
    <row r="1437" spans="1:14" x14ac:dyDescent="0.3">
      <c r="A1437" s="1">
        <v>1640</v>
      </c>
      <c r="B1437" s="7" t="s">
        <v>2199</v>
      </c>
      <c r="C1437" s="12">
        <v>5360</v>
      </c>
      <c r="D1437" s="7" t="s">
        <v>2200</v>
      </c>
      <c r="E1437" s="13" t="s">
        <v>2198</v>
      </c>
      <c r="F1437" t="str">
        <f t="shared" si="110"/>
        <v>5th</v>
      </c>
      <c r="G1437" t="str">
        <f t="shared" si="111"/>
        <v>5th5360Katy</v>
      </c>
      <c r="H1437" t="s">
        <v>32295</v>
      </c>
      <c r="I1437" t="s">
        <v>23723</v>
      </c>
      <c r="J1437" t="str">
        <f t="shared" si="112"/>
        <v>E:\PropInv\MF</v>
      </c>
      <c r="K1437" s="103" t="str">
        <f>HYPERLINK("E:\PropInv\MF\Katy\5th St E_5360_Katy Manor_Katy_01640","5th St E_5360_Katy Manor_Katy_01640" )</f>
        <v>5th St E_5360_Katy Manor_Katy_01640</v>
      </c>
      <c r="L1437" s="104" t="s">
        <v>22253</v>
      </c>
      <c r="M1437" s="103" t="str">
        <f t="shared" si="113"/>
        <v>http://oconnordata.com/mlink/modules/profile/index.cfm?action=profile&amp;prop_id=1640</v>
      </c>
      <c r="N1437" s="1" t="str">
        <f t="shared" si="114"/>
        <v>01640</v>
      </c>
    </row>
    <row r="1438" spans="1:14" x14ac:dyDescent="0.3">
      <c r="A1438" s="1">
        <v>1641</v>
      </c>
      <c r="B1438" s="7" t="s">
        <v>2201</v>
      </c>
      <c r="C1438" s="12">
        <v>1518</v>
      </c>
      <c r="D1438" s="7" t="s">
        <v>2202</v>
      </c>
      <c r="E1438" s="13" t="s">
        <v>2198</v>
      </c>
      <c r="F1438" t="str">
        <f t="shared" si="110"/>
        <v>Ave</v>
      </c>
      <c r="G1438" t="str">
        <f t="shared" si="111"/>
        <v>Ave1518Katy</v>
      </c>
      <c r="H1438" t="s">
        <v>32296</v>
      </c>
      <c r="I1438" t="s">
        <v>23724</v>
      </c>
      <c r="J1438" t="str">
        <f t="shared" si="112"/>
        <v>E:\PropInv\MF</v>
      </c>
      <c r="K1438" s="103" t="str">
        <f>HYPERLINK("E:\PropInv\MF\Katy\Ave E_1518_Katy Mayfair_Katy_01641","Ave E_1518_Katy Mayfair_Katy_01641" )</f>
        <v>Ave E_1518_Katy Mayfair_Katy_01641</v>
      </c>
      <c r="L1438" s="104" t="s">
        <v>22253</v>
      </c>
      <c r="M1438" s="103" t="str">
        <f t="shared" si="113"/>
        <v>http://oconnordata.com/mlink/modules/profile/index.cfm?action=profile&amp;prop_id=1641</v>
      </c>
      <c r="N1438" s="1" t="str">
        <f t="shared" si="114"/>
        <v>01641</v>
      </c>
    </row>
    <row r="1439" spans="1:14" x14ac:dyDescent="0.3">
      <c r="A1439" s="1">
        <v>1642</v>
      </c>
      <c r="B1439" s="7" t="s">
        <v>2193</v>
      </c>
      <c r="C1439" s="12">
        <v>4335</v>
      </c>
      <c r="D1439" s="7" t="s">
        <v>2203</v>
      </c>
      <c r="E1439" s="13" t="s">
        <v>1657</v>
      </c>
      <c r="F1439" t="str">
        <f t="shared" si="110"/>
        <v>Aldine</v>
      </c>
      <c r="G1439" t="str">
        <f t="shared" si="111"/>
        <v>Aldine4335Houston</v>
      </c>
      <c r="H1439" t="s">
        <v>32297</v>
      </c>
      <c r="I1439" t="s">
        <v>23725</v>
      </c>
      <c r="J1439" t="str">
        <f t="shared" si="112"/>
        <v>E:\PropInv\MF</v>
      </c>
      <c r="K1439" s="103" t="str">
        <f>HYPERLINK("E:\PropInv\MF\Houston\Aldine Mail Route_4335_Capewood_Houston_01642","Aldine Mail Route_4335_Capewood_Houston_01642" )</f>
        <v>Aldine Mail Route_4335_Capewood_Houston_01642</v>
      </c>
      <c r="L1439" s="104" t="s">
        <v>22253</v>
      </c>
      <c r="M1439" s="103" t="str">
        <f t="shared" si="113"/>
        <v>http://oconnordata.com/mlink/modules/profile/index.cfm?action=profile&amp;prop_id=1642</v>
      </c>
      <c r="N1439" s="1" t="str">
        <f t="shared" si="114"/>
        <v>01642</v>
      </c>
    </row>
    <row r="1440" spans="1:14" x14ac:dyDescent="0.3">
      <c r="A1440" s="1">
        <v>1643</v>
      </c>
      <c r="B1440" s="7" t="s">
        <v>2193</v>
      </c>
      <c r="C1440" s="12">
        <v>4505</v>
      </c>
      <c r="D1440" s="7" t="s">
        <v>2204</v>
      </c>
      <c r="E1440" s="13" t="s">
        <v>1657</v>
      </c>
      <c r="F1440" t="str">
        <f t="shared" si="110"/>
        <v>Aldine</v>
      </c>
      <c r="G1440" t="str">
        <f t="shared" si="111"/>
        <v>Aldine4505Houston</v>
      </c>
      <c r="H1440" t="s">
        <v>32298</v>
      </c>
      <c r="I1440" t="s">
        <v>23726</v>
      </c>
      <c r="J1440" t="str">
        <f t="shared" si="112"/>
        <v>E:\PropInv\MF</v>
      </c>
      <c r="K1440" s="103" t="str">
        <f>HYPERLINK("E:\PropInv\MF\Houston\Aldine Mail Route_4505_La Quinta Garden_Houston_01643","Aldine Mail Route_4505_La Quinta Garden_Houston_01643" )</f>
        <v>Aldine Mail Route_4505_La Quinta Garden_Houston_01643</v>
      </c>
      <c r="L1440" s="104" t="s">
        <v>22253</v>
      </c>
      <c r="M1440" s="103" t="str">
        <f t="shared" si="113"/>
        <v>http://oconnordata.com/mlink/modules/profile/index.cfm?action=profile&amp;prop_id=1643</v>
      </c>
      <c r="N1440" s="1" t="str">
        <f t="shared" si="114"/>
        <v>01643</v>
      </c>
    </row>
    <row r="1441" spans="1:14" x14ac:dyDescent="0.3">
      <c r="A1441" s="1">
        <v>1644</v>
      </c>
      <c r="B1441" s="7" t="s">
        <v>2189</v>
      </c>
      <c r="C1441" s="12">
        <v>7001</v>
      </c>
      <c r="D1441" s="7" t="s">
        <v>2205</v>
      </c>
      <c r="E1441" s="13" t="s">
        <v>1657</v>
      </c>
      <c r="F1441" t="str">
        <f t="shared" si="110"/>
        <v>Northline</v>
      </c>
      <c r="G1441" t="str">
        <f t="shared" si="111"/>
        <v>Northline7001Houston</v>
      </c>
      <c r="H1441" t="s">
        <v>32299</v>
      </c>
      <c r="I1441" t="s">
        <v>23727</v>
      </c>
      <c r="J1441" t="str">
        <f t="shared" si="112"/>
        <v>E:\PropInv\MF</v>
      </c>
      <c r="K1441" s="103" t="str">
        <f>HYPERLINK("E:\PropInv\MF\Houston\Northline_7001_Concord Green_Houston_01644","Northline_7001_Concord Green_Houston_01644" )</f>
        <v>Northline_7001_Concord Green_Houston_01644</v>
      </c>
      <c r="L1441" s="104" t="s">
        <v>22253</v>
      </c>
      <c r="M1441" s="103" t="str">
        <f t="shared" si="113"/>
        <v>http://oconnordata.com/mlink/modules/profile/index.cfm?action=profile&amp;prop_id=1644</v>
      </c>
      <c r="N1441" s="1" t="str">
        <f t="shared" si="114"/>
        <v>01644</v>
      </c>
    </row>
    <row r="1442" spans="1:14" x14ac:dyDescent="0.3">
      <c r="A1442" s="1">
        <v>1645</v>
      </c>
      <c r="B1442" s="7" t="s">
        <v>2181</v>
      </c>
      <c r="C1442" s="12">
        <v>130</v>
      </c>
      <c r="D1442" s="7" t="s">
        <v>2206</v>
      </c>
      <c r="E1442" s="13" t="s">
        <v>1657</v>
      </c>
      <c r="F1442" t="str">
        <f t="shared" si="110"/>
        <v>Parker</v>
      </c>
      <c r="G1442" t="str">
        <f t="shared" si="111"/>
        <v>Parker130Houston</v>
      </c>
      <c r="H1442" t="s">
        <v>32300</v>
      </c>
      <c r="I1442" t="s">
        <v>23728</v>
      </c>
      <c r="J1442" t="str">
        <f t="shared" si="112"/>
        <v>E:\PropInv\MF</v>
      </c>
      <c r="K1442" s="103" t="str">
        <f>HYPERLINK("E:\PropInv\MF\Houston\Parker Rd W_130_Parkway Plaza_Houston_01645","Parker Rd W_130_Parkway Plaza_Houston_01645" )</f>
        <v>Parker Rd W_130_Parkway Plaza_Houston_01645</v>
      </c>
      <c r="L1442" s="104" t="s">
        <v>22253</v>
      </c>
      <c r="M1442" s="103" t="str">
        <f t="shared" si="113"/>
        <v>http://oconnordata.com/mlink/modules/profile/index.cfm?action=profile&amp;prop_id=1645</v>
      </c>
      <c r="N1442" s="1" t="str">
        <f t="shared" si="114"/>
        <v>01645</v>
      </c>
    </row>
    <row r="1443" spans="1:14" x14ac:dyDescent="0.3">
      <c r="A1443" s="1">
        <v>1646</v>
      </c>
      <c r="B1443" s="7" t="s">
        <v>2207</v>
      </c>
      <c r="C1443" s="12">
        <v>16150</v>
      </c>
      <c r="D1443" s="7" t="s">
        <v>2208</v>
      </c>
      <c r="E1443" s="13" t="s">
        <v>1657</v>
      </c>
      <c r="F1443" t="str">
        <f t="shared" si="110"/>
        <v>Keith</v>
      </c>
      <c r="G1443" t="str">
        <f t="shared" si="111"/>
        <v>Keith16150Houston</v>
      </c>
      <c r="H1443" t="s">
        <v>32301</v>
      </c>
      <c r="I1443" t="s">
        <v>23729</v>
      </c>
      <c r="J1443" t="str">
        <f t="shared" si="112"/>
        <v>E:\PropInv\MF</v>
      </c>
      <c r="K1443" s="103" t="str">
        <f>HYPERLINK("E:\PropInv\MF\Houston\Keith Harrow_16150_Breckenridge Court_Houston_01646","Keith Harrow_16150_Breckenridge Court_Houston_01646" )</f>
        <v>Keith Harrow_16150_Breckenridge Court_Houston_01646</v>
      </c>
      <c r="L1443" s="104" t="s">
        <v>22253</v>
      </c>
      <c r="M1443" s="103" t="str">
        <f t="shared" si="113"/>
        <v>http://oconnordata.com/mlink/modules/profile/index.cfm?action=profile&amp;prop_id=1646</v>
      </c>
      <c r="N1443" s="1" t="str">
        <f t="shared" si="114"/>
        <v>01646</v>
      </c>
    </row>
    <row r="1444" spans="1:14" x14ac:dyDescent="0.3">
      <c r="A1444" s="1">
        <v>1647</v>
      </c>
      <c r="B1444" s="7" t="s">
        <v>2207</v>
      </c>
      <c r="C1444" s="12">
        <v>16160</v>
      </c>
      <c r="D1444" s="7" t="s">
        <v>2209</v>
      </c>
      <c r="E1444" s="13" t="s">
        <v>1657</v>
      </c>
      <c r="F1444" t="str">
        <f t="shared" si="110"/>
        <v>Keith</v>
      </c>
      <c r="G1444" t="str">
        <f t="shared" si="111"/>
        <v>Keith16160Houston</v>
      </c>
      <c r="H1444" t="s">
        <v>32302</v>
      </c>
      <c r="I1444" t="s">
        <v>23730</v>
      </c>
      <c r="J1444" t="str">
        <f t="shared" si="112"/>
        <v>E:\PropInv\MF</v>
      </c>
      <c r="K1444" s="103" t="str">
        <f>HYPERLINK("E:\PropInv\MF\Houston\Keith Harrow_16160_Harpers Mill_Houston_01647","Keith Harrow_16160_Harpers Mill_Houston_01647" )</f>
        <v>Keith Harrow_16160_Harpers Mill_Houston_01647</v>
      </c>
      <c r="L1444" s="104" t="s">
        <v>22253</v>
      </c>
      <c r="M1444" s="103" t="str">
        <f t="shared" si="113"/>
        <v>http://oconnordata.com/mlink/modules/profile/index.cfm?action=profile&amp;prop_id=1647</v>
      </c>
      <c r="N1444" s="1" t="str">
        <f t="shared" si="114"/>
        <v>01647</v>
      </c>
    </row>
    <row r="1445" spans="1:14" x14ac:dyDescent="0.3">
      <c r="A1445" s="1">
        <v>1653</v>
      </c>
      <c r="B1445" s="7" t="s">
        <v>2210</v>
      </c>
      <c r="C1445" s="12">
        <v>4015</v>
      </c>
      <c r="D1445" s="7" t="s">
        <v>2211</v>
      </c>
      <c r="E1445" s="13" t="s">
        <v>2049</v>
      </c>
      <c r="F1445" t="str">
        <f t="shared" si="110"/>
        <v>90</v>
      </c>
      <c r="G1445" t="str">
        <f t="shared" si="111"/>
        <v>904015Crosby</v>
      </c>
      <c r="H1445" t="s">
        <v>32303</v>
      </c>
      <c r="I1445" t="s">
        <v>23731</v>
      </c>
      <c r="J1445" t="str">
        <f t="shared" si="112"/>
        <v>E:\PropInv\MF</v>
      </c>
      <c r="K1445" s="103" t="str">
        <f>HYPERLINK("E:\PropInv\MF\Crosby\90 Hwy_4015_Whisper Oaks_Crosby_01653","90 Hwy_4015_Whisper Oaks_Crosby_01653" )</f>
        <v>90 Hwy_4015_Whisper Oaks_Crosby_01653</v>
      </c>
      <c r="L1445" s="104" t="s">
        <v>22253</v>
      </c>
      <c r="M1445" s="103" t="str">
        <f t="shared" si="113"/>
        <v>http://oconnordata.com/mlink/modules/profile/index.cfm?action=profile&amp;prop_id=1653</v>
      </c>
      <c r="N1445" s="1" t="str">
        <f t="shared" si="114"/>
        <v>01653</v>
      </c>
    </row>
    <row r="1446" spans="1:14" x14ac:dyDescent="0.3">
      <c r="A1446" s="1">
        <v>1654</v>
      </c>
      <c r="B1446" s="7" t="s">
        <v>2212</v>
      </c>
      <c r="C1446" s="12">
        <v>15016</v>
      </c>
      <c r="D1446" s="7" t="s">
        <v>2213</v>
      </c>
      <c r="E1446" s="13" t="s">
        <v>2049</v>
      </c>
      <c r="F1446" t="str">
        <f t="shared" si="110"/>
        <v>2100</v>
      </c>
      <c r="G1446" t="str">
        <f t="shared" si="111"/>
        <v>210015016Crosby</v>
      </c>
      <c r="H1446" t="s">
        <v>32304</v>
      </c>
      <c r="I1446" t="s">
        <v>23732</v>
      </c>
      <c r="J1446" t="str">
        <f t="shared" si="112"/>
        <v>E:\PropInv\MF</v>
      </c>
      <c r="K1446" s="103" t="str">
        <f>HYPERLINK("E:\PropInv\MF\Crosby\2100 FM_15016_Crosby Square_Crosby_01654","2100 FM_15016_Crosby Square_Crosby_01654" )</f>
        <v>2100 FM_15016_Crosby Square_Crosby_01654</v>
      </c>
      <c r="L1446" s="104" t="s">
        <v>22253</v>
      </c>
      <c r="M1446" s="103" t="str">
        <f t="shared" si="113"/>
        <v>http://oconnordata.com/mlink/modules/profile/index.cfm?action=profile&amp;prop_id=1654</v>
      </c>
      <c r="N1446" s="1" t="str">
        <f t="shared" si="114"/>
        <v>01654</v>
      </c>
    </row>
    <row r="1447" spans="1:14" x14ac:dyDescent="0.3">
      <c r="A1447" s="1">
        <v>1655</v>
      </c>
      <c r="B1447" s="7" t="s">
        <v>2214</v>
      </c>
      <c r="C1447" s="12">
        <v>1822</v>
      </c>
      <c r="D1447" s="7" t="s">
        <v>2215</v>
      </c>
      <c r="E1447" s="13" t="s">
        <v>1657</v>
      </c>
      <c r="F1447" t="str">
        <f t="shared" si="110"/>
        <v>Barker</v>
      </c>
      <c r="G1447" t="str">
        <f t="shared" si="111"/>
        <v>Barker1822Houston</v>
      </c>
      <c r="H1447" t="s">
        <v>32305</v>
      </c>
      <c r="I1447" t="s">
        <v>23733</v>
      </c>
      <c r="J1447" t="str">
        <f t="shared" si="112"/>
        <v>E:\PropInv\MF</v>
      </c>
      <c r="K1447" s="103" t="str">
        <f>HYPERLINK("E:\PropInv\MF\Houston\Barker Cypress_1822_The Enclave at Cypress Park_Houston_01655","Barker Cypress_1822_The Enclave at Cypress Park_Houston_01655" )</f>
        <v>Barker Cypress_1822_The Enclave at Cypress Park_Houston_01655</v>
      </c>
      <c r="L1447" s="104" t="s">
        <v>22253</v>
      </c>
      <c r="M1447" s="103" t="str">
        <f t="shared" si="113"/>
        <v>http://oconnordata.com/mlink/modules/profile/index.cfm?action=profile&amp;prop_id=1655</v>
      </c>
      <c r="N1447" s="1" t="str">
        <f t="shared" si="114"/>
        <v>01655</v>
      </c>
    </row>
    <row r="1448" spans="1:14" x14ac:dyDescent="0.3">
      <c r="A1448" s="1">
        <v>1656</v>
      </c>
      <c r="B1448" s="7" t="s">
        <v>2216</v>
      </c>
      <c r="C1448" s="12">
        <v>18142</v>
      </c>
      <c r="D1448" s="7" t="s">
        <v>279</v>
      </c>
      <c r="E1448" s="13" t="s">
        <v>1657</v>
      </c>
      <c r="F1448" t="str">
        <f t="shared" si="110"/>
        <v>Park</v>
      </c>
      <c r="G1448" t="str">
        <f t="shared" si="111"/>
        <v>Park18142Houston</v>
      </c>
      <c r="H1448" t="s">
        <v>32306</v>
      </c>
      <c r="I1448" t="s">
        <v>23734</v>
      </c>
      <c r="J1448" t="str">
        <f t="shared" si="112"/>
        <v>E:\PropInv\MF</v>
      </c>
      <c r="K1448" s="103" t="str">
        <f>HYPERLINK("E:\PropInv\MF\Houston\Park View S_18142_Arbor Pointe_Houston_01656","Park View S_18142_Arbor Pointe_Houston_01656" )</f>
        <v>Park View S_18142_Arbor Pointe_Houston_01656</v>
      </c>
      <c r="L1448" s="104" t="s">
        <v>22253</v>
      </c>
      <c r="M1448" s="103" t="str">
        <f t="shared" si="113"/>
        <v>http://oconnordata.com/mlink/modules/profile/index.cfm?action=profile&amp;prop_id=1656</v>
      </c>
      <c r="N1448" s="1" t="str">
        <f t="shared" si="114"/>
        <v>01656</v>
      </c>
    </row>
    <row r="1449" spans="1:14" x14ac:dyDescent="0.3">
      <c r="A1449" s="1">
        <v>1657</v>
      </c>
      <c r="B1449" s="7" t="s">
        <v>2217</v>
      </c>
      <c r="C1449" s="12">
        <v>4211</v>
      </c>
      <c r="D1449" s="7" t="s">
        <v>1802</v>
      </c>
      <c r="E1449" s="13" t="s">
        <v>1657</v>
      </c>
      <c r="F1449" t="str">
        <f t="shared" si="110"/>
        <v>Clay</v>
      </c>
      <c r="G1449" t="str">
        <f t="shared" si="111"/>
        <v>Clay4211Houston</v>
      </c>
      <c r="H1449" t="s">
        <v>32307</v>
      </c>
      <c r="I1449" t="s">
        <v>23735</v>
      </c>
      <c r="J1449" t="str">
        <f t="shared" si="112"/>
        <v>E:\PropInv\MF</v>
      </c>
      <c r="K1449" s="103" t="str">
        <f>HYPERLINK("E:\PropInv\MF\Houston\Clay Hill Dr_4211_Green Tree Place_Houston_01657","Clay Hill Dr_4211_Green Tree Place_Houston_01657" )</f>
        <v>Clay Hill Dr_4211_Green Tree Place_Houston_01657</v>
      </c>
      <c r="L1449" s="104" t="s">
        <v>22253</v>
      </c>
      <c r="M1449" s="103" t="str">
        <f t="shared" si="113"/>
        <v>http://oconnordata.com/mlink/modules/profile/index.cfm?action=profile&amp;prop_id=1657</v>
      </c>
      <c r="N1449" s="1" t="str">
        <f t="shared" si="114"/>
        <v>01657</v>
      </c>
    </row>
    <row r="1450" spans="1:14" x14ac:dyDescent="0.3">
      <c r="A1450" s="1">
        <v>1658</v>
      </c>
      <c r="B1450" s="7" t="s">
        <v>2218</v>
      </c>
      <c r="C1450" s="12">
        <v>16222</v>
      </c>
      <c r="D1450" s="7" t="s">
        <v>2219</v>
      </c>
      <c r="E1450" s="13" t="s">
        <v>1657</v>
      </c>
      <c r="F1450" t="str">
        <f t="shared" si="110"/>
        <v>Clay</v>
      </c>
      <c r="G1450" t="str">
        <f t="shared" si="111"/>
        <v>Clay16222Houston</v>
      </c>
      <c r="H1450" t="s">
        <v>32308</v>
      </c>
      <c r="I1450" t="s">
        <v>23736</v>
      </c>
      <c r="J1450" t="str">
        <f t="shared" si="112"/>
        <v>E:\PropInv\MF</v>
      </c>
      <c r="K1450" s="103" t="str">
        <f>HYPERLINK("E:\PropInv\MF\Houston\Clay_16222_Clay Creek_Houston_01658","Clay_16222_Clay Creek_Houston_01658" )</f>
        <v>Clay_16222_Clay Creek_Houston_01658</v>
      </c>
      <c r="L1450" s="104" t="s">
        <v>22253</v>
      </c>
      <c r="M1450" s="103" t="str">
        <f t="shared" si="113"/>
        <v>http://oconnordata.com/mlink/modules/profile/index.cfm?action=profile&amp;prop_id=1658</v>
      </c>
      <c r="N1450" s="1" t="str">
        <f t="shared" si="114"/>
        <v>01658</v>
      </c>
    </row>
    <row r="1451" spans="1:14" x14ac:dyDescent="0.3">
      <c r="A1451" s="1">
        <v>1659</v>
      </c>
      <c r="B1451" s="7" t="s">
        <v>2220</v>
      </c>
      <c r="C1451" s="12">
        <v>14220</v>
      </c>
      <c r="D1451" s="7" t="s">
        <v>2221</v>
      </c>
      <c r="E1451" s="13" t="s">
        <v>1657</v>
      </c>
      <c r="F1451" t="str">
        <f t="shared" si="110"/>
        <v>Park</v>
      </c>
      <c r="G1451" t="str">
        <f t="shared" si="111"/>
        <v>Park14220Houston</v>
      </c>
      <c r="H1451" t="s">
        <v>32309</v>
      </c>
      <c r="I1451" t="s">
        <v>23737</v>
      </c>
      <c r="J1451" t="str">
        <f t="shared" si="112"/>
        <v>E:\PropInv\MF</v>
      </c>
      <c r="K1451" s="103" t="str">
        <f>HYPERLINK("E:\PropInv\MF\Houston\Park Row_14220_Arcadian West_Houston_01659","Park Row_14220_Arcadian West_Houston_01659" )</f>
        <v>Park Row_14220_Arcadian West_Houston_01659</v>
      </c>
      <c r="L1451" s="104" t="s">
        <v>22253</v>
      </c>
      <c r="M1451" s="103" t="str">
        <f t="shared" si="113"/>
        <v>http://oconnordata.com/mlink/modules/profile/index.cfm?action=profile&amp;prop_id=1659</v>
      </c>
      <c r="N1451" s="1" t="str">
        <f t="shared" si="114"/>
        <v>01659</v>
      </c>
    </row>
    <row r="1452" spans="1:14" x14ac:dyDescent="0.3">
      <c r="A1452" s="1">
        <v>1660</v>
      </c>
      <c r="B1452" s="7" t="s">
        <v>2220</v>
      </c>
      <c r="C1452" s="12">
        <v>19321</v>
      </c>
      <c r="D1452" s="7" t="s">
        <v>2222</v>
      </c>
      <c r="E1452" s="13" t="s">
        <v>1657</v>
      </c>
      <c r="F1452" t="str">
        <f t="shared" si="110"/>
        <v>Park</v>
      </c>
      <c r="G1452" t="str">
        <f t="shared" si="111"/>
        <v>Park19321Houston</v>
      </c>
      <c r="H1452" t="s">
        <v>32310</v>
      </c>
      <c r="I1452" t="s">
        <v>23738</v>
      </c>
      <c r="J1452" t="str">
        <f t="shared" si="112"/>
        <v>E:\PropInv\MF</v>
      </c>
      <c r="K1452" s="103" t="str">
        <f>HYPERLINK("E:\PropInv\MF\Houston\Park Row_19321_Park Falls_Houston_01660","Park Row_19321_Park Falls_Houston_01660" )</f>
        <v>Park Row_19321_Park Falls_Houston_01660</v>
      </c>
      <c r="L1452" s="104" t="s">
        <v>22253</v>
      </c>
      <c r="M1452" s="103" t="str">
        <f t="shared" si="113"/>
        <v>http://oconnordata.com/mlink/modules/profile/index.cfm?action=profile&amp;prop_id=1660</v>
      </c>
      <c r="N1452" s="1" t="str">
        <f t="shared" si="114"/>
        <v>01660</v>
      </c>
    </row>
    <row r="1453" spans="1:14" x14ac:dyDescent="0.3">
      <c r="A1453" s="1">
        <v>1661</v>
      </c>
      <c r="B1453" s="7" t="s">
        <v>2223</v>
      </c>
      <c r="C1453" s="12">
        <v>17310</v>
      </c>
      <c r="D1453" s="7" t="s">
        <v>2224</v>
      </c>
      <c r="E1453" s="13" t="s">
        <v>1657</v>
      </c>
      <c r="F1453" t="str">
        <f t="shared" si="110"/>
        <v>Keith-Harrow</v>
      </c>
      <c r="G1453" t="str">
        <f t="shared" si="111"/>
        <v>Keith-Harrow17310Houston</v>
      </c>
      <c r="H1453" t="s">
        <v>32311</v>
      </c>
      <c r="I1453" t="s">
        <v>23739</v>
      </c>
      <c r="J1453" t="str">
        <f t="shared" si="112"/>
        <v>E:\PropInv\MF</v>
      </c>
      <c r="K1453" s="103" t="str">
        <f>HYPERLINK("E:\PropInv\MF\Houston\Keith-Harrow_17310_Green Meadows_Houston_01661","Keith-Harrow_17310_Green Meadows_Houston_01661" )</f>
        <v>Keith-Harrow_17310_Green Meadows_Houston_01661</v>
      </c>
      <c r="L1453" s="104" t="s">
        <v>22253</v>
      </c>
      <c r="M1453" s="103" t="str">
        <f t="shared" si="113"/>
        <v>http://oconnordata.com/mlink/modules/profile/index.cfm?action=profile&amp;prop_id=1661</v>
      </c>
      <c r="N1453" s="1" t="str">
        <f t="shared" si="114"/>
        <v>01661</v>
      </c>
    </row>
    <row r="1454" spans="1:14" x14ac:dyDescent="0.3">
      <c r="A1454" s="1">
        <v>1662</v>
      </c>
      <c r="B1454" s="7" t="s">
        <v>2225</v>
      </c>
      <c r="C1454" s="12">
        <v>10300</v>
      </c>
      <c r="D1454" s="7" t="s">
        <v>2226</v>
      </c>
      <c r="E1454" s="13" t="s">
        <v>1657</v>
      </c>
      <c r="F1454" t="str">
        <f t="shared" si="110"/>
        <v>Shady</v>
      </c>
      <c r="G1454" t="str">
        <f t="shared" si="111"/>
        <v>Shady10300Houston</v>
      </c>
      <c r="H1454" t="s">
        <v>32312</v>
      </c>
      <c r="I1454" t="s">
        <v>23740</v>
      </c>
      <c r="J1454" t="str">
        <f t="shared" si="112"/>
        <v>E:\PropInv\MF</v>
      </c>
      <c r="K1454" s="103" t="str">
        <f>HYPERLINK("E:\PropInv\MF\Houston\Shady Ln_10300_Parker Square_Houston_01662","Shady Ln_10300_Parker Square_Houston_01662" )</f>
        <v>Shady Ln_10300_Parker Square_Houston_01662</v>
      </c>
      <c r="L1454" s="104" t="s">
        <v>22253</v>
      </c>
      <c r="M1454" s="103" t="str">
        <f t="shared" si="113"/>
        <v>http://oconnordata.com/mlink/modules/profile/index.cfm?action=profile&amp;prop_id=1662</v>
      </c>
      <c r="N1454" s="1" t="str">
        <f t="shared" si="114"/>
        <v>01662</v>
      </c>
    </row>
    <row r="1455" spans="1:14" x14ac:dyDescent="0.3">
      <c r="A1455" s="1">
        <v>1664</v>
      </c>
      <c r="B1455" s="7" t="s">
        <v>2227</v>
      </c>
      <c r="C1455" s="12">
        <v>7170</v>
      </c>
      <c r="D1455" s="7" t="s">
        <v>333</v>
      </c>
      <c r="E1455" s="13" t="s">
        <v>1657</v>
      </c>
      <c r="F1455" t="str">
        <f t="shared" si="110"/>
        <v>Parker</v>
      </c>
      <c r="G1455" t="str">
        <f t="shared" si="111"/>
        <v>Parker7170Houston</v>
      </c>
      <c r="H1455" t="s">
        <v>32313</v>
      </c>
      <c r="I1455" t="s">
        <v>23741</v>
      </c>
      <c r="J1455" t="str">
        <f t="shared" si="112"/>
        <v>E:\PropInv\MF</v>
      </c>
      <c r="K1455" s="103" t="str">
        <f>HYPERLINK("E:\PropInv\MF\Houston\Parker_7170_Las Palmas_Houston_01664","Parker_7170_Las Palmas_Houston_01664" )</f>
        <v>Parker_7170_Las Palmas_Houston_01664</v>
      </c>
      <c r="L1455" s="104" t="s">
        <v>22253</v>
      </c>
      <c r="M1455" s="103" t="str">
        <f t="shared" si="113"/>
        <v>http://oconnordata.com/mlink/modules/profile/index.cfm?action=profile&amp;prop_id=1664</v>
      </c>
      <c r="N1455" s="1" t="str">
        <f t="shared" si="114"/>
        <v>01664</v>
      </c>
    </row>
    <row r="1456" spans="1:14" x14ac:dyDescent="0.3">
      <c r="A1456" s="1">
        <v>1665</v>
      </c>
      <c r="B1456" s="7" t="s">
        <v>2228</v>
      </c>
      <c r="C1456" s="12">
        <v>304</v>
      </c>
      <c r="D1456" s="7" t="s">
        <v>2229</v>
      </c>
      <c r="E1456" s="13" t="s">
        <v>2049</v>
      </c>
      <c r="F1456" t="str">
        <f t="shared" si="110"/>
        <v>Krenek</v>
      </c>
      <c r="G1456" t="str">
        <f t="shared" si="111"/>
        <v>Krenek304Crosby</v>
      </c>
      <c r="H1456" t="s">
        <v>32314</v>
      </c>
      <c r="I1456" t="s">
        <v>23742</v>
      </c>
      <c r="J1456" t="str">
        <f t="shared" si="112"/>
        <v>E:\PropInv\MF</v>
      </c>
      <c r="K1456" s="103" t="str">
        <f>HYPERLINK("E:\PropInv\MF\Crosby\Krenek_304_Crosby Meadows_Crosby_01665","Krenek_304_Crosby Meadows_Crosby_01665" )</f>
        <v>Krenek_304_Crosby Meadows_Crosby_01665</v>
      </c>
      <c r="L1456" s="104" t="s">
        <v>22253</v>
      </c>
      <c r="M1456" s="103" t="str">
        <f t="shared" si="113"/>
        <v>http://oconnordata.com/mlink/modules/profile/index.cfm?action=profile&amp;prop_id=1665</v>
      </c>
      <c r="N1456" s="1" t="str">
        <f t="shared" si="114"/>
        <v>01665</v>
      </c>
    </row>
    <row r="1457" spans="1:14" x14ac:dyDescent="0.3">
      <c r="A1457" s="1">
        <v>1668</v>
      </c>
      <c r="B1457" s="7" t="s">
        <v>2220</v>
      </c>
      <c r="C1457" s="12">
        <v>21500</v>
      </c>
      <c r="D1457" s="7" t="s">
        <v>58</v>
      </c>
      <c r="E1457" s="13" t="s">
        <v>2198</v>
      </c>
      <c r="F1457" t="str">
        <f t="shared" si="110"/>
        <v>Park</v>
      </c>
      <c r="G1457" t="str">
        <f t="shared" si="111"/>
        <v>Park21500Katy</v>
      </c>
      <c r="H1457" t="s">
        <v>32315</v>
      </c>
      <c r="I1457" t="s">
        <v>23743</v>
      </c>
      <c r="J1457" t="str">
        <f t="shared" si="112"/>
        <v>E:\PropInv\MF</v>
      </c>
      <c r="K1457" s="103" t="str">
        <f>HYPERLINK("E:\PropInv\MF\Katy\Park Row_21500_Bent Tree_Katy_01668","Park Row_21500_Bent Tree_Katy_01668" )</f>
        <v>Park Row_21500_Bent Tree_Katy_01668</v>
      </c>
      <c r="L1457" s="104" t="s">
        <v>22253</v>
      </c>
      <c r="M1457" s="103" t="str">
        <f t="shared" si="113"/>
        <v>http://oconnordata.com/mlink/modules/profile/index.cfm?action=profile&amp;prop_id=1668</v>
      </c>
      <c r="N1457" s="1" t="str">
        <f t="shared" si="114"/>
        <v>01668</v>
      </c>
    </row>
    <row r="1458" spans="1:14" x14ac:dyDescent="0.3">
      <c r="A1458" s="1">
        <v>1669</v>
      </c>
      <c r="B1458" s="7" t="s">
        <v>2230</v>
      </c>
      <c r="C1458" s="12">
        <v>20000</v>
      </c>
      <c r="D1458" s="7" t="s">
        <v>2231</v>
      </c>
      <c r="E1458" s="13" t="s">
        <v>2198</v>
      </c>
      <c r="F1458" t="str">
        <f t="shared" si="110"/>
        <v>Saums</v>
      </c>
      <c r="G1458" t="str">
        <f t="shared" si="111"/>
        <v>Saums20000Katy</v>
      </c>
      <c r="H1458" t="s">
        <v>32316</v>
      </c>
      <c r="I1458" t="s">
        <v>23744</v>
      </c>
      <c r="J1458" t="str">
        <f t="shared" si="112"/>
        <v>E:\PropInv\MF</v>
      </c>
      <c r="K1458" s="103" t="str">
        <f>HYPERLINK("E:\PropInv\MF\Katy\Saums_20000_Stonecreek I_Katy_01669","Saums_20000_Stonecreek I_Katy_01669" )</f>
        <v>Saums_20000_Stonecreek I_Katy_01669</v>
      </c>
      <c r="L1458" s="104" t="s">
        <v>22253</v>
      </c>
      <c r="M1458" s="103" t="str">
        <f t="shared" si="113"/>
        <v>http://oconnordata.com/mlink/modules/profile/index.cfm?action=profile&amp;prop_id=1669</v>
      </c>
      <c r="N1458" s="1" t="str">
        <f t="shared" si="114"/>
        <v>01669</v>
      </c>
    </row>
    <row r="1459" spans="1:14" x14ac:dyDescent="0.3">
      <c r="A1459" s="1">
        <v>1670</v>
      </c>
      <c r="B1459" s="7" t="s">
        <v>2230</v>
      </c>
      <c r="C1459" s="12">
        <v>20000</v>
      </c>
      <c r="D1459" s="7" t="s">
        <v>2232</v>
      </c>
      <c r="E1459" s="13" t="s">
        <v>2198</v>
      </c>
      <c r="F1459" t="str">
        <f t="shared" si="110"/>
        <v>Saums</v>
      </c>
      <c r="G1459" t="str">
        <f t="shared" si="111"/>
        <v>Saums20000Katy</v>
      </c>
      <c r="H1459" t="s">
        <v>32317</v>
      </c>
      <c r="I1459" t="s">
        <v>23745</v>
      </c>
      <c r="J1459" t="str">
        <f t="shared" si="112"/>
        <v>E:\PropInv\MF</v>
      </c>
      <c r="K1459" s="103" t="str">
        <f>HYPERLINK("E:\PropInv\MF\Katy\Saums_20000_Stonecreek II_Katy_01670","Saums_20000_Stonecreek II_Katy_01670" )</f>
        <v>Saums_20000_Stonecreek II_Katy_01670</v>
      </c>
      <c r="L1459" s="104" t="s">
        <v>22253</v>
      </c>
      <c r="M1459" s="103" t="str">
        <f t="shared" si="113"/>
        <v>http://oconnordata.com/mlink/modules/profile/index.cfm?action=profile&amp;prop_id=1670</v>
      </c>
      <c r="N1459" s="1" t="str">
        <f t="shared" si="114"/>
        <v>01670</v>
      </c>
    </row>
    <row r="1460" spans="1:14" x14ac:dyDescent="0.3">
      <c r="A1460" s="1">
        <v>1671</v>
      </c>
      <c r="B1460" s="7" t="s">
        <v>2233</v>
      </c>
      <c r="C1460" s="12">
        <v>2031</v>
      </c>
      <c r="D1460" s="7" t="s">
        <v>2234</v>
      </c>
      <c r="E1460" s="13" t="s">
        <v>2198</v>
      </c>
      <c r="F1460" t="str">
        <f t="shared" si="110"/>
        <v>Westborough</v>
      </c>
      <c r="G1460" t="str">
        <f t="shared" si="111"/>
        <v>Westborough2031Katy</v>
      </c>
      <c r="H1460" t="s">
        <v>32318</v>
      </c>
      <c r="I1460" t="s">
        <v>23746</v>
      </c>
      <c r="J1460" t="str">
        <f t="shared" si="112"/>
        <v>E:\PropInv\MF</v>
      </c>
      <c r="K1460" s="103" t="str">
        <f>HYPERLINK("E:\PropInv\MF\Katy\Westborough Dr_2031_Westborough Crossing_Katy_01671","Westborough Dr_2031_Westborough Crossing_Katy_01671" )</f>
        <v>Westborough Dr_2031_Westborough Crossing_Katy_01671</v>
      </c>
      <c r="L1460" s="104" t="s">
        <v>22253</v>
      </c>
      <c r="M1460" s="103" t="str">
        <f t="shared" si="113"/>
        <v>http://oconnordata.com/mlink/modules/profile/index.cfm?action=profile&amp;prop_id=1671</v>
      </c>
      <c r="N1460" s="1" t="str">
        <f t="shared" si="114"/>
        <v>01671</v>
      </c>
    </row>
    <row r="1461" spans="1:14" x14ac:dyDescent="0.3">
      <c r="A1461" s="1">
        <v>1672</v>
      </c>
      <c r="B1461" s="7" t="s">
        <v>2220</v>
      </c>
      <c r="C1461" s="12">
        <v>19606</v>
      </c>
      <c r="D1461" s="7" t="s">
        <v>2235</v>
      </c>
      <c r="E1461" s="13" t="s">
        <v>1657</v>
      </c>
      <c r="F1461" t="str">
        <f t="shared" si="110"/>
        <v>Park</v>
      </c>
      <c r="G1461" t="str">
        <f t="shared" si="111"/>
        <v>Park19606Houston</v>
      </c>
      <c r="H1461" t="s">
        <v>32319</v>
      </c>
      <c r="I1461" t="s">
        <v>23747</v>
      </c>
      <c r="J1461" t="str">
        <f t="shared" si="112"/>
        <v>E:\PropInv\MF</v>
      </c>
      <c r="K1461" s="103" t="str">
        <f>HYPERLINK("E:\PropInv\MF\Houston\Park Row_19606_Ryan's Pointe_Houston_01672","Park Row_19606_Ryan's Pointe_Houston_01672" )</f>
        <v>Park Row_19606_Ryan's Pointe_Houston_01672</v>
      </c>
      <c r="L1461" s="104" t="s">
        <v>22253</v>
      </c>
      <c r="M1461" s="103" t="str">
        <f t="shared" si="113"/>
        <v>http://oconnordata.com/mlink/modules/profile/index.cfm?action=profile&amp;prop_id=1672</v>
      </c>
      <c r="N1461" s="1" t="str">
        <f t="shared" si="114"/>
        <v>01672</v>
      </c>
    </row>
    <row r="1462" spans="1:14" x14ac:dyDescent="0.3">
      <c r="A1462" s="1">
        <v>1673</v>
      </c>
      <c r="B1462" s="7" t="s">
        <v>2220</v>
      </c>
      <c r="C1462" s="12">
        <v>15200</v>
      </c>
      <c r="D1462" s="7" t="s">
        <v>548</v>
      </c>
      <c r="E1462" s="13" t="s">
        <v>1657</v>
      </c>
      <c r="F1462" t="str">
        <f t="shared" si="110"/>
        <v>Park</v>
      </c>
      <c r="G1462" t="str">
        <f t="shared" si="111"/>
        <v>Park15200Houston</v>
      </c>
      <c r="H1462" t="s">
        <v>32320</v>
      </c>
      <c r="I1462" t="s">
        <v>23748</v>
      </c>
      <c r="J1462" t="str">
        <f t="shared" si="112"/>
        <v>E:\PropInv\MF</v>
      </c>
      <c r="K1462" s="103" t="str">
        <f>HYPERLINK("E:\PropInv\MF\Houston\Park Row_15200_Park Place_Houston_01673","Park Row_15200_Park Place_Houston_01673" )</f>
        <v>Park Row_15200_Park Place_Houston_01673</v>
      </c>
      <c r="L1462" s="104" t="s">
        <v>22253</v>
      </c>
      <c r="M1462" s="103" t="str">
        <f t="shared" si="113"/>
        <v>http://oconnordata.com/mlink/modules/profile/index.cfm?action=profile&amp;prop_id=1673</v>
      </c>
      <c r="N1462" s="1" t="str">
        <f t="shared" si="114"/>
        <v>01673</v>
      </c>
    </row>
    <row r="1463" spans="1:14" x14ac:dyDescent="0.3">
      <c r="A1463" s="1">
        <v>1675</v>
      </c>
      <c r="B1463" s="7" t="s">
        <v>2220</v>
      </c>
      <c r="C1463" s="12">
        <v>15211</v>
      </c>
      <c r="D1463" s="7" t="s">
        <v>2236</v>
      </c>
      <c r="E1463" s="13" t="s">
        <v>1657</v>
      </c>
      <c r="F1463" t="str">
        <f t="shared" si="110"/>
        <v>Park</v>
      </c>
      <c r="G1463" t="str">
        <f t="shared" si="111"/>
        <v>Park15211Houston</v>
      </c>
      <c r="H1463" t="s">
        <v>32321</v>
      </c>
      <c r="I1463" t="s">
        <v>23749</v>
      </c>
      <c r="J1463" t="str">
        <f t="shared" si="112"/>
        <v>E:\PropInv\MF</v>
      </c>
      <c r="K1463" s="103" t="str">
        <f>HYPERLINK("E:\PropInv\MF\Houston\Park Row_15211_Heritage at Park Row_Houston_01675","Park Row_15211_Heritage at Park Row_Houston_01675" )</f>
        <v>Park Row_15211_Heritage at Park Row_Houston_01675</v>
      </c>
      <c r="L1463" s="104" t="s">
        <v>22253</v>
      </c>
      <c r="M1463" s="103" t="str">
        <f t="shared" si="113"/>
        <v>http://oconnordata.com/mlink/modules/profile/index.cfm?action=profile&amp;prop_id=1675</v>
      </c>
      <c r="N1463" s="1" t="str">
        <f t="shared" si="114"/>
        <v>01675</v>
      </c>
    </row>
    <row r="1464" spans="1:14" x14ac:dyDescent="0.3">
      <c r="A1464" s="1">
        <v>1677</v>
      </c>
      <c r="B1464" s="7" t="s">
        <v>2218</v>
      </c>
      <c r="C1464" s="12">
        <v>17103</v>
      </c>
      <c r="D1464" s="7" t="s">
        <v>2237</v>
      </c>
      <c r="E1464" s="13" t="s">
        <v>1657</v>
      </c>
      <c r="F1464" t="str">
        <f t="shared" si="110"/>
        <v>Clay</v>
      </c>
      <c r="G1464" t="str">
        <f t="shared" si="111"/>
        <v>Clay17103Houston</v>
      </c>
      <c r="H1464" t="s">
        <v>32322</v>
      </c>
      <c r="I1464" t="s">
        <v>23750</v>
      </c>
      <c r="J1464" t="str">
        <f t="shared" si="112"/>
        <v>E:\PropInv\MF</v>
      </c>
      <c r="K1464" s="103" t="str">
        <f>HYPERLINK("E:\PropInv\MF\Houston\Clay_17103_Pine Forest_Houston_01677","Clay_17103_Pine Forest_Houston_01677" )</f>
        <v>Clay_17103_Pine Forest_Houston_01677</v>
      </c>
      <c r="L1464" s="104" t="s">
        <v>22253</v>
      </c>
      <c r="M1464" s="103" t="str">
        <f t="shared" si="113"/>
        <v>http://oconnordata.com/mlink/modules/profile/index.cfm?action=profile&amp;prop_id=1677</v>
      </c>
      <c r="N1464" s="1" t="str">
        <f t="shared" si="114"/>
        <v>01677</v>
      </c>
    </row>
    <row r="1465" spans="1:14" x14ac:dyDescent="0.3">
      <c r="A1465" s="1">
        <v>1678</v>
      </c>
      <c r="B1465" s="7" t="s">
        <v>2214</v>
      </c>
      <c r="C1465" s="12">
        <v>1800</v>
      </c>
      <c r="D1465" s="7" t="s">
        <v>2238</v>
      </c>
      <c r="E1465" s="13" t="s">
        <v>1657</v>
      </c>
      <c r="F1465" t="str">
        <f t="shared" si="110"/>
        <v>Barker</v>
      </c>
      <c r="G1465" t="str">
        <f t="shared" si="111"/>
        <v>Barker1800Houston</v>
      </c>
      <c r="H1465" t="s">
        <v>32323</v>
      </c>
      <c r="I1465" t="s">
        <v>23751</v>
      </c>
      <c r="J1465" t="str">
        <f t="shared" si="112"/>
        <v>E:\PropInv\MF</v>
      </c>
      <c r="K1465" s="103" t="str">
        <f>HYPERLINK("E:\PropInv\MF\Houston\Barker Cypress_1800_Promenade Cullen Park I_Houston_01678","Barker Cypress_1800_Promenade Cullen Park I_Houston_01678" )</f>
        <v>Barker Cypress_1800_Promenade Cullen Park I_Houston_01678</v>
      </c>
      <c r="L1465" s="104" t="s">
        <v>22253</v>
      </c>
      <c r="M1465" s="103" t="str">
        <f t="shared" si="113"/>
        <v>http://oconnordata.com/mlink/modules/profile/index.cfm?action=profile&amp;prop_id=1678</v>
      </c>
      <c r="N1465" s="1" t="str">
        <f t="shared" si="114"/>
        <v>01678</v>
      </c>
    </row>
    <row r="1466" spans="1:14" x14ac:dyDescent="0.3">
      <c r="A1466" s="1">
        <v>1679</v>
      </c>
      <c r="B1466" s="7" t="s">
        <v>2214</v>
      </c>
      <c r="C1466" s="12">
        <v>1810</v>
      </c>
      <c r="D1466" s="7" t="s">
        <v>2239</v>
      </c>
      <c r="E1466" s="13" t="s">
        <v>1657</v>
      </c>
      <c r="F1466" t="str">
        <f t="shared" si="110"/>
        <v>Barker</v>
      </c>
      <c r="G1466" t="str">
        <f t="shared" si="111"/>
        <v>Barker1810Houston</v>
      </c>
      <c r="H1466" t="s">
        <v>32324</v>
      </c>
      <c r="I1466" t="s">
        <v>23752</v>
      </c>
      <c r="J1466" t="str">
        <f t="shared" si="112"/>
        <v>E:\PropInv\MF</v>
      </c>
      <c r="K1466" s="103" t="str">
        <f>HYPERLINK("E:\PropInv\MF\Houston\Barker Cypress_1810_Promenade Cullen Park II_Houston_01679","Barker Cypress_1810_Promenade Cullen Park II_Houston_01679" )</f>
        <v>Barker Cypress_1810_Promenade Cullen Park II_Houston_01679</v>
      </c>
      <c r="L1466" s="104" t="s">
        <v>22253</v>
      </c>
      <c r="M1466" s="103" t="str">
        <f t="shared" si="113"/>
        <v>http://oconnordata.com/mlink/modules/profile/index.cfm?action=profile&amp;prop_id=1679</v>
      </c>
      <c r="N1466" s="1" t="str">
        <f t="shared" si="114"/>
        <v>01679</v>
      </c>
    </row>
    <row r="1467" spans="1:14" x14ac:dyDescent="0.3">
      <c r="A1467" s="1">
        <v>1680</v>
      </c>
      <c r="B1467" s="7" t="s">
        <v>2240</v>
      </c>
      <c r="C1467" s="12">
        <v>11900</v>
      </c>
      <c r="D1467" s="7" t="s">
        <v>2241</v>
      </c>
      <c r="E1467" s="13" t="s">
        <v>1657</v>
      </c>
      <c r="F1467" t="str">
        <f t="shared" si="110"/>
        <v>Wickchester</v>
      </c>
      <c r="G1467" t="str">
        <f t="shared" si="111"/>
        <v>Wickchester11900Houston</v>
      </c>
      <c r="H1467" t="s">
        <v>32325</v>
      </c>
      <c r="I1467" t="s">
        <v>23753</v>
      </c>
      <c r="J1467" t="str">
        <f t="shared" si="112"/>
        <v>E:\PropInv\MF</v>
      </c>
      <c r="K1467" s="103" t="str">
        <f>HYPERLINK("E:\PropInv\MF\Houston\Wickchester_11900_Eagle Hollow_Houston_01680","Wickchester_11900_Eagle Hollow_Houston_01680" )</f>
        <v>Wickchester_11900_Eagle Hollow_Houston_01680</v>
      </c>
      <c r="L1467" s="104" t="s">
        <v>22253</v>
      </c>
      <c r="M1467" s="103" t="str">
        <f t="shared" si="113"/>
        <v>http://oconnordata.com/mlink/modules/profile/index.cfm?action=profile&amp;prop_id=1680</v>
      </c>
      <c r="N1467" s="1" t="str">
        <f t="shared" si="114"/>
        <v>01680</v>
      </c>
    </row>
    <row r="1468" spans="1:14" x14ac:dyDescent="0.3">
      <c r="A1468" s="1">
        <v>1681</v>
      </c>
      <c r="B1468" s="7" t="s">
        <v>2242</v>
      </c>
      <c r="C1468" s="12">
        <v>1503</v>
      </c>
      <c r="D1468" s="7" t="s">
        <v>2243</v>
      </c>
      <c r="E1468" s="13" t="s">
        <v>1657</v>
      </c>
      <c r="F1468" t="str">
        <f t="shared" si="110"/>
        <v>Sherwood</v>
      </c>
      <c r="G1468" t="str">
        <f t="shared" si="111"/>
        <v>Sherwood1503Houston</v>
      </c>
      <c r="H1468" t="s">
        <v>32326</v>
      </c>
      <c r="I1468" t="s">
        <v>23754</v>
      </c>
      <c r="J1468" t="str">
        <f t="shared" si="112"/>
        <v>E:\PropInv\MF</v>
      </c>
      <c r="K1468" s="103" t="str">
        <f>HYPERLINK("E:\PropInv\MF\Houston\Sherwood Forest_1503_Timberline Forest_Houston_01681","Sherwood Forest_1503_Timberline Forest_Houston_01681" )</f>
        <v>Sherwood Forest_1503_Timberline Forest_Houston_01681</v>
      </c>
      <c r="L1468" s="104" t="s">
        <v>22253</v>
      </c>
      <c r="M1468" s="103" t="str">
        <f t="shared" si="113"/>
        <v>http://oconnordata.com/mlink/modules/profile/index.cfm?action=profile&amp;prop_id=1681</v>
      </c>
      <c r="N1468" s="1" t="str">
        <f t="shared" si="114"/>
        <v>01681</v>
      </c>
    </row>
    <row r="1469" spans="1:14" x14ac:dyDescent="0.3">
      <c r="A1469" s="1">
        <v>1683</v>
      </c>
      <c r="B1469" s="7" t="s">
        <v>2244</v>
      </c>
      <c r="C1469" s="12">
        <v>16545</v>
      </c>
      <c r="D1469" s="7" t="s">
        <v>2245</v>
      </c>
      <c r="E1469" s="13" t="s">
        <v>1657</v>
      </c>
      <c r="F1469" t="str">
        <f t="shared" si="110"/>
        <v>Loch</v>
      </c>
      <c r="G1469" t="str">
        <f t="shared" si="111"/>
        <v>Loch16545Houston</v>
      </c>
      <c r="H1469" t="s">
        <v>32327</v>
      </c>
      <c r="I1469" t="s">
        <v>23755</v>
      </c>
      <c r="J1469" t="str">
        <f t="shared" si="112"/>
        <v>E:\PropInv\MF</v>
      </c>
      <c r="K1469" s="103" t="str">
        <f>HYPERLINK("E:\PropInv\MF\Houston\Loch Katrine_16545_Village at Loch Katrine I &amp; II_Houston_01683","Loch Katrine_16545_Village at Loch Katrine I &amp; II_Houston_01683" )</f>
        <v>Loch Katrine_16545_Village at Loch Katrine I &amp; II_Houston_01683</v>
      </c>
      <c r="L1469" s="104" t="s">
        <v>22253</v>
      </c>
      <c r="M1469" s="103" t="str">
        <f t="shared" si="113"/>
        <v>http://oconnordata.com/mlink/modules/profile/index.cfm?action=profile&amp;prop_id=1683</v>
      </c>
      <c r="N1469" s="1" t="str">
        <f t="shared" si="114"/>
        <v>01683</v>
      </c>
    </row>
    <row r="1470" spans="1:14" x14ac:dyDescent="0.3">
      <c r="A1470" s="1">
        <v>1684</v>
      </c>
      <c r="B1470" s="7" t="s">
        <v>2246</v>
      </c>
      <c r="C1470" s="12">
        <v>7835</v>
      </c>
      <c r="D1470" s="7" t="s">
        <v>2247</v>
      </c>
      <c r="E1470" s="13" t="s">
        <v>1657</v>
      </c>
      <c r="F1470" t="str">
        <f t="shared" si="110"/>
        <v>Grow</v>
      </c>
      <c r="G1470" t="str">
        <f t="shared" si="111"/>
        <v>Grow7835Houston</v>
      </c>
      <c r="H1470" t="s">
        <v>32328</v>
      </c>
      <c r="I1470" t="s">
        <v>23756</v>
      </c>
      <c r="J1470" t="str">
        <f t="shared" si="112"/>
        <v>E:\PropInv\MF</v>
      </c>
      <c r="K1470" s="103" t="str">
        <f>HYPERLINK("E:\PropInv\MF\Houston\Grow Ln_7835_Quail Creek_Houston_01684","Grow Ln_7835_Quail Creek_Houston_01684" )</f>
        <v>Grow Ln_7835_Quail Creek_Houston_01684</v>
      </c>
      <c r="L1470" s="104" t="s">
        <v>22253</v>
      </c>
      <c r="M1470" s="103" t="str">
        <f t="shared" si="113"/>
        <v>http://oconnordata.com/mlink/modules/profile/index.cfm?action=profile&amp;prop_id=1684</v>
      </c>
      <c r="N1470" s="1" t="str">
        <f t="shared" si="114"/>
        <v>01684</v>
      </c>
    </row>
    <row r="1471" spans="1:14" x14ac:dyDescent="0.3">
      <c r="A1471" s="97">
        <v>1685</v>
      </c>
      <c r="B1471" s="7" t="s">
        <v>2104</v>
      </c>
      <c r="C1471" s="12">
        <v>5800</v>
      </c>
      <c r="D1471" s="7" t="s">
        <v>2248</v>
      </c>
      <c r="E1471" s="13" t="s">
        <v>1657</v>
      </c>
      <c r="F1471" t="str">
        <f t="shared" si="110"/>
        <v>Hollister</v>
      </c>
      <c r="G1471" t="str">
        <f t="shared" si="111"/>
        <v>Hollister5800Houston</v>
      </c>
      <c r="H1471" t="s">
        <v>32329</v>
      </c>
      <c r="I1471" t="s">
        <v>23757</v>
      </c>
      <c r="J1471" t="str">
        <f t="shared" si="112"/>
        <v>E:\PropInv\MF</v>
      </c>
      <c r="K1471" s="103" t="str">
        <f>HYPERLINK("E:\PropInv\MF\Houston\Hollister_5800_Woodcreek of North West Crossing_Houston_01685","Hollister_5800_Woodcreek of North West Crossing_Houston_01685" )</f>
        <v>Hollister_5800_Woodcreek of North West Crossing_Houston_01685</v>
      </c>
      <c r="L1471" s="104" t="s">
        <v>22253</v>
      </c>
      <c r="M1471" s="103" t="str">
        <f t="shared" si="113"/>
        <v>http://oconnordata.com/mlink/modules/profile/index.cfm?action=profile&amp;prop_id=1685</v>
      </c>
      <c r="N1471" s="1" t="str">
        <f t="shared" si="114"/>
        <v>01685</v>
      </c>
    </row>
    <row r="1472" spans="1:14" x14ac:dyDescent="0.3">
      <c r="A1472" s="1">
        <v>1686</v>
      </c>
      <c r="B1472" s="7" t="s">
        <v>2220</v>
      </c>
      <c r="C1472" s="12">
        <v>15000</v>
      </c>
      <c r="D1472" s="7" t="s">
        <v>2249</v>
      </c>
      <c r="E1472" s="13" t="s">
        <v>1657</v>
      </c>
      <c r="F1472" t="str">
        <f t="shared" si="110"/>
        <v>Park</v>
      </c>
      <c r="G1472" t="str">
        <f t="shared" si="111"/>
        <v>Park15000Houston</v>
      </c>
      <c r="H1472" t="s">
        <v>32330</v>
      </c>
      <c r="I1472" t="s">
        <v>23758</v>
      </c>
      <c r="J1472" t="str">
        <f t="shared" si="112"/>
        <v>E:\PropInv\MF</v>
      </c>
      <c r="K1472" s="103" t="str">
        <f>HYPERLINK("E:\PropInv\MF\Houston\Park Row_15000_The Legend at Park Ten_Houston_01686","Park Row_15000_The Legend at Park Ten_Houston_01686" )</f>
        <v>Park Row_15000_The Legend at Park Ten_Houston_01686</v>
      </c>
      <c r="L1472" s="104" t="s">
        <v>22253</v>
      </c>
      <c r="M1472" s="103" t="str">
        <f t="shared" si="113"/>
        <v>http://oconnordata.com/mlink/modules/profile/index.cfm?action=profile&amp;prop_id=1686</v>
      </c>
      <c r="N1472" s="1" t="str">
        <f t="shared" si="114"/>
        <v>01686</v>
      </c>
    </row>
    <row r="1473" spans="1:14" x14ac:dyDescent="0.3">
      <c r="A1473" s="1">
        <v>1687</v>
      </c>
      <c r="B1473" s="7" t="s">
        <v>2250</v>
      </c>
      <c r="C1473" s="12">
        <v>2401</v>
      </c>
      <c r="D1473" s="7" t="s">
        <v>2251</v>
      </c>
      <c r="E1473" s="13" t="s">
        <v>1657</v>
      </c>
      <c r="F1473" t="str">
        <f t="shared" si="110"/>
        <v>Sam</v>
      </c>
      <c r="G1473" t="str">
        <f t="shared" si="111"/>
        <v>Sam2401Houston</v>
      </c>
      <c r="H1473" t="s">
        <v>32331</v>
      </c>
      <c r="I1473" t="s">
        <v>23759</v>
      </c>
      <c r="J1473" t="str">
        <f t="shared" si="112"/>
        <v>E:\PropInv\MF</v>
      </c>
      <c r="K1473" s="103" t="str">
        <f>HYPERLINK("E:\PropInv\MF\Houston\Sam Houston Pkwy W_2401_The Reserve at City Center North_Houston_01687","Sam Houston Pkwy W_2401_The Reserve at City Center North_Houston_01687" )</f>
        <v>Sam Houston Pkwy W_2401_The Reserve at City Center North_Houston_01687</v>
      </c>
      <c r="L1473" s="104" t="s">
        <v>22253</v>
      </c>
      <c r="M1473" s="103" t="str">
        <f t="shared" si="113"/>
        <v>http://oconnordata.com/mlink/modules/profile/index.cfm?action=profile&amp;prop_id=1687</v>
      </c>
      <c r="N1473" s="1" t="str">
        <f t="shared" si="114"/>
        <v>01687</v>
      </c>
    </row>
    <row r="1474" spans="1:14" x14ac:dyDescent="0.3">
      <c r="A1474" s="1">
        <v>1689</v>
      </c>
      <c r="B1474" s="7" t="s">
        <v>2252</v>
      </c>
      <c r="C1474" s="12">
        <v>10105</v>
      </c>
      <c r="D1474" s="7" t="s">
        <v>2253</v>
      </c>
      <c r="E1474" s="13" t="s">
        <v>1657</v>
      </c>
      <c r="F1474" t="str">
        <f t="shared" ref="F1474:F1537" si="115">IFERROR(LEFT(B1474,FIND(" ",B1474)-1),B1474)</f>
        <v>Kempwood</v>
      </c>
      <c r="G1474" t="str">
        <f t="shared" ref="G1474:G1537" si="116">F1474&amp;C1474&amp;E1474</f>
        <v>Kempwood10105Houston</v>
      </c>
      <c r="H1474" t="s">
        <v>32332</v>
      </c>
      <c r="I1474" t="s">
        <v>23760</v>
      </c>
      <c r="J1474" t="str">
        <f t="shared" ref="J1474:J1537" si="117">IF(L1474="TX",Folder_Path,Folder_Path&amp;"\State_"&amp;L1474)</f>
        <v>E:\PropInv\MF</v>
      </c>
      <c r="K1474" s="103" t="str">
        <f>HYPERLINK("E:\PropInv\MF\Houston\Kempwood Dr_10105_Spring Shadows_Houston_01689","Kempwood Dr_10105_Spring Shadows_Houston_01689" )</f>
        <v>Kempwood Dr_10105_Spring Shadows_Houston_01689</v>
      </c>
      <c r="L1474" s="104" t="s">
        <v>22253</v>
      </c>
      <c r="M1474" s="103" t="str">
        <f t="shared" ref="M1474:M1537" si="118">HYPERLINK("http://oconnordata.com/mlink/modules/profile/index.cfm?action=profile&amp;prop_id="&amp;A1474)</f>
        <v>http://oconnordata.com/mlink/modules/profile/index.cfm?action=profile&amp;prop_id=1689</v>
      </c>
      <c r="N1474" s="1" t="str">
        <f t="shared" ref="N1474:N1537" si="119">IF(LEN(A1474)=1,"0000"&amp;A1474,IF(LEN(A1474)=2,"000"&amp;A1474,IF(LEN(A1474)=3,"00"&amp;A1474,IF(LEN(A1474)=4,"0"&amp;A1474,IF(LEN(A1474)=5,IF(LEFT(A1474,1)="3",A1474+30000,A1474))))))</f>
        <v>01689</v>
      </c>
    </row>
    <row r="1475" spans="1:14" x14ac:dyDescent="0.3">
      <c r="A1475" s="1">
        <v>1690</v>
      </c>
      <c r="B1475" s="7" t="s">
        <v>2254</v>
      </c>
      <c r="C1475" s="12">
        <v>9540</v>
      </c>
      <c r="D1475" s="7" t="s">
        <v>2255</v>
      </c>
      <c r="E1475" s="13" t="s">
        <v>1657</v>
      </c>
      <c r="F1475" t="str">
        <f t="shared" si="115"/>
        <v>Kempwood</v>
      </c>
      <c r="G1475" t="str">
        <f t="shared" si="116"/>
        <v>Kempwood9540Houston</v>
      </c>
      <c r="H1475" t="s">
        <v>32333</v>
      </c>
      <c r="I1475" t="s">
        <v>23761</v>
      </c>
      <c r="J1475" t="str">
        <f t="shared" si="117"/>
        <v>E:\PropInv\MF</v>
      </c>
      <c r="K1475" s="103" t="str">
        <f>HYPERLINK("E:\PropInv\MF\Houston\Kempwood_9540_Miami Gardens_Houston_01690","Kempwood_9540_Miami Gardens_Houston_01690" )</f>
        <v>Kempwood_9540_Miami Gardens_Houston_01690</v>
      </c>
      <c r="L1475" s="104" t="s">
        <v>22253</v>
      </c>
      <c r="M1475" s="103" t="str">
        <f t="shared" si="118"/>
        <v>http://oconnordata.com/mlink/modules/profile/index.cfm?action=profile&amp;prop_id=1690</v>
      </c>
      <c r="N1475" s="1" t="str">
        <f t="shared" si="119"/>
        <v>01690</v>
      </c>
    </row>
    <row r="1476" spans="1:14" x14ac:dyDescent="0.3">
      <c r="A1476" s="1">
        <v>1691</v>
      </c>
      <c r="B1476" s="7" t="s">
        <v>2256</v>
      </c>
      <c r="C1476" s="12">
        <v>5757</v>
      </c>
      <c r="D1476" s="7" t="s">
        <v>2257</v>
      </c>
      <c r="E1476" s="13" t="s">
        <v>1657</v>
      </c>
      <c r="F1476" t="str">
        <f t="shared" si="115"/>
        <v>Guhn</v>
      </c>
      <c r="G1476" t="str">
        <f t="shared" si="116"/>
        <v>Guhn5757Houston</v>
      </c>
      <c r="H1476" t="s">
        <v>32334</v>
      </c>
      <c r="I1476" t="s">
        <v>23762</v>
      </c>
      <c r="J1476" t="str">
        <f t="shared" si="117"/>
        <v>E:\PropInv\MF</v>
      </c>
      <c r="K1476" s="103" t="str">
        <f>HYPERLINK("E:\PropInv\MF\Houston\Guhn Rd_5757_Villa Anita_Houston_01691","Guhn Rd_5757_Villa Anita_Houston_01691" )</f>
        <v>Guhn Rd_5757_Villa Anita_Houston_01691</v>
      </c>
      <c r="L1476" s="104" t="s">
        <v>22253</v>
      </c>
      <c r="M1476" s="103" t="str">
        <f t="shared" si="118"/>
        <v>http://oconnordata.com/mlink/modules/profile/index.cfm?action=profile&amp;prop_id=1691</v>
      </c>
      <c r="N1476" s="1" t="str">
        <f t="shared" si="119"/>
        <v>01691</v>
      </c>
    </row>
    <row r="1477" spans="1:14" x14ac:dyDescent="0.3">
      <c r="A1477" s="1">
        <v>1692</v>
      </c>
      <c r="B1477" s="7" t="s">
        <v>2258</v>
      </c>
      <c r="C1477" s="12">
        <v>8327</v>
      </c>
      <c r="D1477" s="7" t="s">
        <v>2259</v>
      </c>
      <c r="E1477" s="13" t="s">
        <v>1657</v>
      </c>
      <c r="F1477" t="str">
        <f t="shared" si="115"/>
        <v>Tidwell</v>
      </c>
      <c r="G1477" t="str">
        <f t="shared" si="116"/>
        <v>Tidwell8327Houston</v>
      </c>
      <c r="H1477" t="s">
        <v>32335</v>
      </c>
      <c r="I1477" t="s">
        <v>23763</v>
      </c>
      <c r="J1477" t="str">
        <f t="shared" si="117"/>
        <v>E:\PropInv\MF</v>
      </c>
      <c r="K1477" s="103" t="str">
        <f>HYPERLINK("E:\PropInv\MF\Houston\Tidwell_8327_Lafayette Green_Houston_01692","Tidwell_8327_Lafayette Green_Houston_01692" )</f>
        <v>Tidwell_8327_Lafayette Green_Houston_01692</v>
      </c>
      <c r="L1477" s="104" t="s">
        <v>22253</v>
      </c>
      <c r="M1477" s="103" t="str">
        <f t="shared" si="118"/>
        <v>http://oconnordata.com/mlink/modules/profile/index.cfm?action=profile&amp;prop_id=1692</v>
      </c>
      <c r="N1477" s="1" t="str">
        <f t="shared" si="119"/>
        <v>01692</v>
      </c>
    </row>
    <row r="1478" spans="1:14" x14ac:dyDescent="0.3">
      <c r="A1478" s="1">
        <v>1693</v>
      </c>
      <c r="B1478" s="7" t="s">
        <v>2260</v>
      </c>
      <c r="C1478" s="12">
        <v>10330</v>
      </c>
      <c r="D1478" s="7" t="s">
        <v>2261</v>
      </c>
      <c r="E1478" s="13" t="s">
        <v>1657</v>
      </c>
      <c r="F1478" t="str">
        <f t="shared" si="115"/>
        <v>Westview</v>
      </c>
      <c r="G1478" t="str">
        <f t="shared" si="116"/>
        <v>Westview10330Houston</v>
      </c>
      <c r="H1478" t="s">
        <v>32336</v>
      </c>
      <c r="I1478" t="s">
        <v>23764</v>
      </c>
      <c r="J1478" t="str">
        <f t="shared" si="117"/>
        <v>E:\PropInv\MF</v>
      </c>
      <c r="K1478" s="103" t="str">
        <f>HYPERLINK("E:\PropInv\MF\Houston\Westview_10330_Sandy Glen_Houston_01693","Westview_10330_Sandy Glen_Houston_01693" )</f>
        <v>Westview_10330_Sandy Glen_Houston_01693</v>
      </c>
      <c r="L1478" s="104" t="s">
        <v>22253</v>
      </c>
      <c r="M1478" s="103" t="str">
        <f t="shared" si="118"/>
        <v>http://oconnordata.com/mlink/modules/profile/index.cfm?action=profile&amp;prop_id=1693</v>
      </c>
      <c r="N1478" s="1" t="str">
        <f t="shared" si="119"/>
        <v>01693</v>
      </c>
    </row>
    <row r="1479" spans="1:14" x14ac:dyDescent="0.3">
      <c r="A1479" s="1">
        <v>1694</v>
      </c>
      <c r="B1479" s="7" t="s">
        <v>2246</v>
      </c>
      <c r="C1479" s="12">
        <v>8047</v>
      </c>
      <c r="D1479" s="7" t="s">
        <v>1260</v>
      </c>
      <c r="E1479" s="13" t="s">
        <v>1657</v>
      </c>
      <c r="F1479" t="str">
        <f t="shared" si="115"/>
        <v>Grow</v>
      </c>
      <c r="G1479" t="str">
        <f t="shared" si="116"/>
        <v>Grow8047Houston</v>
      </c>
      <c r="H1479" t="s">
        <v>32337</v>
      </c>
      <c r="I1479" t="s">
        <v>23765</v>
      </c>
      <c r="J1479" t="str">
        <f t="shared" si="117"/>
        <v>E:\PropInv\MF</v>
      </c>
      <c r="K1479" s="103" t="str">
        <f>HYPERLINK("E:\PropInv\MF\Houston\Grow Ln_8047_Park West_Houston_01694","Grow Ln_8047_Park West_Houston_01694" )</f>
        <v>Grow Ln_8047_Park West_Houston_01694</v>
      </c>
      <c r="L1479" s="104" t="s">
        <v>22253</v>
      </c>
      <c r="M1479" s="103" t="str">
        <f t="shared" si="118"/>
        <v>http://oconnordata.com/mlink/modules/profile/index.cfm?action=profile&amp;prop_id=1694</v>
      </c>
      <c r="N1479" s="1" t="str">
        <f t="shared" si="119"/>
        <v>01694</v>
      </c>
    </row>
    <row r="1480" spans="1:14" x14ac:dyDescent="0.3">
      <c r="A1480" s="1">
        <v>1695</v>
      </c>
      <c r="B1480" s="7" t="s">
        <v>2262</v>
      </c>
      <c r="C1480" s="12">
        <v>8103</v>
      </c>
      <c r="D1480" s="7" t="s">
        <v>2263</v>
      </c>
      <c r="E1480" s="13" t="s">
        <v>1657</v>
      </c>
      <c r="F1480" t="str">
        <f t="shared" si="115"/>
        <v>Grow</v>
      </c>
      <c r="G1480" t="str">
        <f t="shared" si="116"/>
        <v>Grow8103Houston</v>
      </c>
      <c r="H1480" t="s">
        <v>32338</v>
      </c>
      <c r="I1480" t="s">
        <v>23766</v>
      </c>
      <c r="J1480" t="str">
        <f t="shared" si="117"/>
        <v>E:\PropInv\MF</v>
      </c>
      <c r="K1480" s="103" t="str">
        <f>HYPERLINK("E:\PropInv\MF\Houston\Grow_8103_Fawndale_Houston_01695","Grow_8103_Fawndale_Houston_01695" )</f>
        <v>Grow_8103_Fawndale_Houston_01695</v>
      </c>
      <c r="L1480" s="104" t="s">
        <v>22253</v>
      </c>
      <c r="M1480" s="103" t="str">
        <f t="shared" si="118"/>
        <v>http://oconnordata.com/mlink/modules/profile/index.cfm?action=profile&amp;prop_id=1695</v>
      </c>
      <c r="N1480" s="1" t="str">
        <f t="shared" si="119"/>
        <v>01695</v>
      </c>
    </row>
    <row r="1481" spans="1:14" x14ac:dyDescent="0.3">
      <c r="A1481" s="1">
        <v>1696</v>
      </c>
      <c r="B1481" s="7" t="s">
        <v>2264</v>
      </c>
      <c r="C1481" s="12">
        <v>3402</v>
      </c>
      <c r="D1481" s="7" t="s">
        <v>2265</v>
      </c>
      <c r="E1481" s="13" t="s">
        <v>1657</v>
      </c>
      <c r="F1481" t="str">
        <f t="shared" si="115"/>
        <v>Blalock</v>
      </c>
      <c r="G1481" t="str">
        <f t="shared" si="116"/>
        <v>Blalock3402Houston</v>
      </c>
      <c r="H1481" t="s">
        <v>32339</v>
      </c>
      <c r="I1481" t="s">
        <v>23767</v>
      </c>
      <c r="J1481" t="str">
        <f t="shared" si="117"/>
        <v>E:\PropInv\MF</v>
      </c>
      <c r="K1481" s="103" t="str">
        <f>HYPERLINK("E:\PropInv\MF\Houston\Blalock_3402_Spring Brook Village_Houston_01696","Blalock_3402_Spring Brook Village_Houston_01696" )</f>
        <v>Blalock_3402_Spring Brook Village_Houston_01696</v>
      </c>
      <c r="L1481" s="104" t="s">
        <v>22253</v>
      </c>
      <c r="M1481" s="103" t="str">
        <f t="shared" si="118"/>
        <v>http://oconnordata.com/mlink/modules/profile/index.cfm?action=profile&amp;prop_id=1696</v>
      </c>
      <c r="N1481" s="1" t="str">
        <f t="shared" si="119"/>
        <v>01696</v>
      </c>
    </row>
    <row r="1482" spans="1:14" x14ac:dyDescent="0.3">
      <c r="A1482" s="1">
        <v>1697</v>
      </c>
      <c r="B1482" s="7" t="s">
        <v>2266</v>
      </c>
      <c r="C1482" s="12">
        <v>3400</v>
      </c>
      <c r="D1482" s="7" t="s">
        <v>2267</v>
      </c>
      <c r="E1482" s="13" t="s">
        <v>1657</v>
      </c>
      <c r="F1482" t="str">
        <f t="shared" si="115"/>
        <v>Campbell</v>
      </c>
      <c r="G1482" t="str">
        <f t="shared" si="116"/>
        <v>Campbell3400Houston</v>
      </c>
      <c r="H1482" t="s">
        <v>32340</v>
      </c>
      <c r="I1482" t="s">
        <v>23768</v>
      </c>
      <c r="J1482" t="str">
        <f t="shared" si="117"/>
        <v>E:\PropInv\MF</v>
      </c>
      <c r="K1482" s="103" t="str">
        <f>HYPERLINK("E:\PropInv\MF\Houston\Campbell_3400_Green Oak Village_Houston_01697","Campbell_3400_Green Oak Village_Houston_01697" )</f>
        <v>Campbell_3400_Green Oak Village_Houston_01697</v>
      </c>
      <c r="L1482" s="104" t="s">
        <v>22253</v>
      </c>
      <c r="M1482" s="103" t="str">
        <f t="shared" si="118"/>
        <v>http://oconnordata.com/mlink/modules/profile/index.cfm?action=profile&amp;prop_id=1697</v>
      </c>
      <c r="N1482" s="1" t="str">
        <f t="shared" si="119"/>
        <v>01697</v>
      </c>
    </row>
    <row r="1483" spans="1:14" x14ac:dyDescent="0.3">
      <c r="A1483" s="1">
        <v>1698</v>
      </c>
      <c r="B1483" s="7" t="s">
        <v>2242</v>
      </c>
      <c r="C1483" s="12">
        <v>1521</v>
      </c>
      <c r="D1483" s="7" t="s">
        <v>2268</v>
      </c>
      <c r="E1483" s="13" t="s">
        <v>1657</v>
      </c>
      <c r="F1483" t="str">
        <f t="shared" si="115"/>
        <v>Sherwood</v>
      </c>
      <c r="G1483" t="str">
        <f t="shared" si="116"/>
        <v>Sherwood1521Houston</v>
      </c>
      <c r="H1483" t="s">
        <v>32341</v>
      </c>
      <c r="I1483" t="s">
        <v>23769</v>
      </c>
      <c r="J1483" t="str">
        <f t="shared" si="117"/>
        <v>E:\PropInv\MF</v>
      </c>
      <c r="K1483" s="103" t="str">
        <f>HYPERLINK("E:\PropInv\MF\Houston\Sherwood Forest_1521_Windcrest on Sherwood_Houston_01698","Sherwood Forest_1521_Windcrest on Sherwood_Houston_01698" )</f>
        <v>Sherwood Forest_1521_Windcrest on Sherwood_Houston_01698</v>
      </c>
      <c r="L1483" s="104" t="s">
        <v>22253</v>
      </c>
      <c r="M1483" s="103" t="str">
        <f t="shared" si="118"/>
        <v>http://oconnordata.com/mlink/modules/profile/index.cfm?action=profile&amp;prop_id=1698</v>
      </c>
      <c r="N1483" s="1" t="str">
        <f t="shared" si="119"/>
        <v>01698</v>
      </c>
    </row>
    <row r="1484" spans="1:14" x14ac:dyDescent="0.3">
      <c r="A1484" s="1">
        <v>1699</v>
      </c>
      <c r="B1484" s="7" t="s">
        <v>2269</v>
      </c>
      <c r="C1484" s="12">
        <v>1610</v>
      </c>
      <c r="D1484" s="7" t="s">
        <v>2270</v>
      </c>
      <c r="E1484" s="13" t="s">
        <v>1657</v>
      </c>
      <c r="F1484" t="str">
        <f t="shared" si="115"/>
        <v>Sherwood</v>
      </c>
      <c r="G1484" t="str">
        <f t="shared" si="116"/>
        <v>Sherwood1610Houston</v>
      </c>
      <c r="H1484" t="s">
        <v>32342</v>
      </c>
      <c r="I1484" t="s">
        <v>23770</v>
      </c>
      <c r="J1484" t="str">
        <f t="shared" si="117"/>
        <v>E:\PropInv\MF</v>
      </c>
      <c r="K1484" s="103" t="str">
        <f>HYPERLINK("E:\PropInv\MF\Houston\Sherwood Forest St_1610_Knights Landing II_Houston_01699","Sherwood Forest St_1610_Knights Landing II_Houston_01699" )</f>
        <v>Sherwood Forest St_1610_Knights Landing II_Houston_01699</v>
      </c>
      <c r="L1484" s="104" t="s">
        <v>22253</v>
      </c>
      <c r="M1484" s="103" t="str">
        <f t="shared" si="118"/>
        <v>http://oconnordata.com/mlink/modules/profile/index.cfm?action=profile&amp;prop_id=1699</v>
      </c>
      <c r="N1484" s="1" t="str">
        <f t="shared" si="119"/>
        <v>01699</v>
      </c>
    </row>
    <row r="1485" spans="1:14" x14ac:dyDescent="0.3">
      <c r="A1485" s="1">
        <v>1700</v>
      </c>
      <c r="B1485" s="7" t="s">
        <v>2271</v>
      </c>
      <c r="C1485" s="12">
        <v>1701</v>
      </c>
      <c r="D1485" s="7" t="s">
        <v>2272</v>
      </c>
      <c r="E1485" s="13" t="s">
        <v>1657</v>
      </c>
      <c r="F1485" t="str">
        <f t="shared" si="115"/>
        <v>Upland</v>
      </c>
      <c r="G1485" t="str">
        <f t="shared" si="116"/>
        <v>Upland1701Houston</v>
      </c>
      <c r="H1485" t="s">
        <v>32343</v>
      </c>
      <c r="I1485" t="s">
        <v>23771</v>
      </c>
      <c r="J1485" t="str">
        <f t="shared" si="117"/>
        <v>E:\PropInv\MF</v>
      </c>
      <c r="K1485" s="103" t="str">
        <f>HYPERLINK("E:\PropInv\MF\Houston\Upland Dr_1701_Knights Landing I_Houston_01700","Upland Dr_1701_Knights Landing I_Houston_01700" )</f>
        <v>Upland Dr_1701_Knights Landing I_Houston_01700</v>
      </c>
      <c r="L1485" s="104" t="s">
        <v>22253</v>
      </c>
      <c r="M1485" s="103" t="str">
        <f t="shared" si="118"/>
        <v>http://oconnordata.com/mlink/modules/profile/index.cfm?action=profile&amp;prop_id=1700</v>
      </c>
      <c r="N1485" s="1" t="str">
        <f t="shared" si="119"/>
        <v>01700</v>
      </c>
    </row>
    <row r="1486" spans="1:14" x14ac:dyDescent="0.3">
      <c r="A1486" s="1">
        <v>1701</v>
      </c>
      <c r="B1486" s="7" t="s">
        <v>2273</v>
      </c>
      <c r="C1486" s="12">
        <v>10545</v>
      </c>
      <c r="D1486" s="7" t="s">
        <v>2274</v>
      </c>
      <c r="E1486" s="13" t="s">
        <v>1657</v>
      </c>
      <c r="F1486" t="str">
        <f t="shared" si="115"/>
        <v>Hammerly</v>
      </c>
      <c r="G1486" t="str">
        <f t="shared" si="116"/>
        <v>Hammerly10545Houston</v>
      </c>
      <c r="H1486" t="s">
        <v>32344</v>
      </c>
      <c r="I1486" t="s">
        <v>23772</v>
      </c>
      <c r="J1486" t="str">
        <f t="shared" si="117"/>
        <v>E:\PropInv\MF</v>
      </c>
      <c r="K1486" s="103" t="str">
        <f>HYPERLINK("E:\PropInv\MF\Houston\Hammerly_10545_Springwoods Village_Houston_01701","Hammerly_10545_Springwoods Village_Houston_01701" )</f>
        <v>Hammerly_10545_Springwoods Village_Houston_01701</v>
      </c>
      <c r="L1486" s="104" t="s">
        <v>22253</v>
      </c>
      <c r="M1486" s="103" t="str">
        <f t="shared" si="118"/>
        <v>http://oconnordata.com/mlink/modules/profile/index.cfm?action=profile&amp;prop_id=1701</v>
      </c>
      <c r="N1486" s="1" t="str">
        <f t="shared" si="119"/>
        <v>01701</v>
      </c>
    </row>
    <row r="1487" spans="1:14" x14ac:dyDescent="0.3">
      <c r="A1487" s="1">
        <v>1702</v>
      </c>
      <c r="B1487" s="7" t="s">
        <v>2273</v>
      </c>
      <c r="C1487" s="12">
        <v>10580</v>
      </c>
      <c r="D1487" s="7" t="s">
        <v>2275</v>
      </c>
      <c r="E1487" s="13" t="s">
        <v>1657</v>
      </c>
      <c r="F1487" t="str">
        <f t="shared" si="115"/>
        <v>Hammerly</v>
      </c>
      <c r="G1487" t="str">
        <f t="shared" si="116"/>
        <v>Hammerly10580Houston</v>
      </c>
      <c r="H1487" t="s">
        <v>32345</v>
      </c>
      <c r="I1487" t="s">
        <v>23773</v>
      </c>
      <c r="J1487" t="str">
        <f t="shared" si="117"/>
        <v>E:\PropInv\MF</v>
      </c>
      <c r="K1487" s="103" t="str">
        <f>HYPERLINK("E:\PropInv\MF\Houston\Hammerly_10580_Westway_Houston_01702","Hammerly_10580_Westway_Houston_01702" )</f>
        <v>Hammerly_10580_Westway_Houston_01702</v>
      </c>
      <c r="L1487" s="104" t="s">
        <v>22253</v>
      </c>
      <c r="M1487" s="103" t="str">
        <f t="shared" si="118"/>
        <v>http://oconnordata.com/mlink/modules/profile/index.cfm?action=profile&amp;prop_id=1702</v>
      </c>
      <c r="N1487" s="1" t="str">
        <f t="shared" si="119"/>
        <v>01702</v>
      </c>
    </row>
    <row r="1488" spans="1:14" x14ac:dyDescent="0.3">
      <c r="A1488" s="1">
        <v>1703</v>
      </c>
      <c r="B1488" s="7" t="s">
        <v>2276</v>
      </c>
      <c r="C1488" s="12">
        <v>2135</v>
      </c>
      <c r="D1488" s="7" t="s">
        <v>2277</v>
      </c>
      <c r="E1488" s="13" t="s">
        <v>1657</v>
      </c>
      <c r="F1488" t="str">
        <f t="shared" si="115"/>
        <v>Shadowdale</v>
      </c>
      <c r="G1488" t="str">
        <f t="shared" si="116"/>
        <v>Shadowdale2135Houston</v>
      </c>
      <c r="H1488" t="s">
        <v>32346</v>
      </c>
      <c r="I1488" t="s">
        <v>23774</v>
      </c>
      <c r="J1488" t="str">
        <f t="shared" si="117"/>
        <v>E:\PropInv\MF</v>
      </c>
      <c r="K1488" s="103" t="str">
        <f>HYPERLINK("E:\PropInv\MF\Houston\Shadowdale_2135_Shadowdale Oaks_Houston_01703","Shadowdale_2135_Shadowdale Oaks_Houston_01703" )</f>
        <v>Shadowdale_2135_Shadowdale Oaks_Houston_01703</v>
      </c>
      <c r="L1488" s="104" t="s">
        <v>22253</v>
      </c>
      <c r="M1488" s="103" t="str">
        <f t="shared" si="118"/>
        <v>http://oconnordata.com/mlink/modules/profile/index.cfm?action=profile&amp;prop_id=1703</v>
      </c>
      <c r="N1488" s="1" t="str">
        <f t="shared" si="119"/>
        <v>01703</v>
      </c>
    </row>
    <row r="1489" spans="1:14" x14ac:dyDescent="0.3">
      <c r="A1489" s="1">
        <v>1705</v>
      </c>
      <c r="B1489" s="7" t="s">
        <v>2278</v>
      </c>
      <c r="C1489" s="12">
        <v>3125</v>
      </c>
      <c r="D1489" s="7" t="s">
        <v>2279</v>
      </c>
      <c r="E1489" s="13" t="s">
        <v>1657</v>
      </c>
      <c r="F1489" t="str">
        <f t="shared" si="115"/>
        <v>Crestdale</v>
      </c>
      <c r="G1489" t="str">
        <f t="shared" si="116"/>
        <v>Crestdale3125Houston</v>
      </c>
      <c r="H1489" t="s">
        <v>32347</v>
      </c>
      <c r="I1489" t="s">
        <v>23775</v>
      </c>
      <c r="J1489" t="str">
        <f t="shared" si="117"/>
        <v>E:\PropInv\MF</v>
      </c>
      <c r="K1489" s="103" t="str">
        <f>HYPERLINK("E:\PropInv\MF\Houston\Crestdale Dr_3125_Waterford Place_Houston_01705","Crestdale Dr_3125_Waterford Place_Houston_01705" )</f>
        <v>Crestdale Dr_3125_Waterford Place_Houston_01705</v>
      </c>
      <c r="L1489" s="104" t="s">
        <v>22253</v>
      </c>
      <c r="M1489" s="103" t="str">
        <f t="shared" si="118"/>
        <v>http://oconnordata.com/mlink/modules/profile/index.cfm?action=profile&amp;prop_id=1705</v>
      </c>
      <c r="N1489" s="1" t="str">
        <f t="shared" si="119"/>
        <v>01705</v>
      </c>
    </row>
    <row r="1490" spans="1:14" x14ac:dyDescent="0.3">
      <c r="A1490" s="1">
        <v>1706</v>
      </c>
      <c r="B1490" s="7" t="s">
        <v>2254</v>
      </c>
      <c r="C1490" s="12">
        <v>9999</v>
      </c>
      <c r="D1490" s="7" t="s">
        <v>2280</v>
      </c>
      <c r="E1490" s="13" t="s">
        <v>1657</v>
      </c>
      <c r="F1490" t="str">
        <f t="shared" si="115"/>
        <v>Kempwood</v>
      </c>
      <c r="G1490" t="str">
        <f t="shared" si="116"/>
        <v>Kempwood9999Houston</v>
      </c>
      <c r="H1490" t="s">
        <v>32348</v>
      </c>
      <c r="I1490" t="s">
        <v>23776</v>
      </c>
      <c r="J1490" t="str">
        <f t="shared" si="117"/>
        <v>E:\PropInv\MF</v>
      </c>
      <c r="K1490" s="103" t="str">
        <f>HYPERLINK("E:\PropInv\MF\Houston\Kempwood_9999_Kempwood Hollow_Houston_01706","Kempwood_9999_Kempwood Hollow_Houston_01706" )</f>
        <v>Kempwood_9999_Kempwood Hollow_Houston_01706</v>
      </c>
      <c r="L1490" s="104" t="s">
        <v>22253</v>
      </c>
      <c r="M1490" s="103" t="str">
        <f t="shared" si="118"/>
        <v>http://oconnordata.com/mlink/modules/profile/index.cfm?action=profile&amp;prop_id=1706</v>
      </c>
      <c r="N1490" s="1" t="str">
        <f t="shared" si="119"/>
        <v>01706</v>
      </c>
    </row>
    <row r="1491" spans="1:14" x14ac:dyDescent="0.3">
      <c r="A1491" s="1">
        <v>1707</v>
      </c>
      <c r="B1491" s="7" t="s">
        <v>2254</v>
      </c>
      <c r="C1491" s="12">
        <v>10100</v>
      </c>
      <c r="D1491" s="7" t="s">
        <v>2281</v>
      </c>
      <c r="E1491" s="13" t="s">
        <v>1657</v>
      </c>
      <c r="F1491" t="str">
        <f t="shared" si="115"/>
        <v>Kempwood</v>
      </c>
      <c r="G1491" t="str">
        <f t="shared" si="116"/>
        <v>Kempwood10100Houston</v>
      </c>
      <c r="H1491" t="s">
        <v>32349</v>
      </c>
      <c r="I1491" t="s">
        <v>23777</v>
      </c>
      <c r="J1491" t="str">
        <f t="shared" si="117"/>
        <v>E:\PropInv\MF</v>
      </c>
      <c r="K1491" s="103" t="str">
        <f>HYPERLINK("E:\PropInv\MF\Houston\Kempwood_10100_Spring Shadows Place_Houston_01707","Kempwood_10100_Spring Shadows Place_Houston_01707" )</f>
        <v>Kempwood_10100_Spring Shadows Place_Houston_01707</v>
      </c>
      <c r="L1491" s="104" t="s">
        <v>22253</v>
      </c>
      <c r="M1491" s="103" t="str">
        <f t="shared" si="118"/>
        <v>http://oconnordata.com/mlink/modules/profile/index.cfm?action=profile&amp;prop_id=1707</v>
      </c>
      <c r="N1491" s="1" t="str">
        <f t="shared" si="119"/>
        <v>01707</v>
      </c>
    </row>
    <row r="1492" spans="1:14" x14ac:dyDescent="0.3">
      <c r="A1492" s="1">
        <v>1708</v>
      </c>
      <c r="B1492" s="7" t="s">
        <v>2104</v>
      </c>
      <c r="C1492" s="12">
        <v>5801</v>
      </c>
      <c r="D1492" s="7" t="s">
        <v>2282</v>
      </c>
      <c r="E1492" s="13" t="s">
        <v>1657</v>
      </c>
      <c r="F1492" t="str">
        <f t="shared" si="115"/>
        <v>Hollister</v>
      </c>
      <c r="G1492" t="str">
        <f t="shared" si="116"/>
        <v>Hollister5801Houston</v>
      </c>
      <c r="H1492" t="s">
        <v>32350</v>
      </c>
      <c r="I1492" t="s">
        <v>23778</v>
      </c>
      <c r="J1492" t="str">
        <f t="shared" si="117"/>
        <v>E:\PropInv\MF</v>
      </c>
      <c r="K1492" s="103" t="str">
        <f>HYPERLINK("E:\PropInv\MF\Houston\Hollister_5801_Cherry Creek_Houston_01708","Hollister_5801_Cherry Creek_Houston_01708" )</f>
        <v>Hollister_5801_Cherry Creek_Houston_01708</v>
      </c>
      <c r="L1492" s="104" t="s">
        <v>22253</v>
      </c>
      <c r="M1492" s="103" t="str">
        <f t="shared" si="118"/>
        <v>http://oconnordata.com/mlink/modules/profile/index.cfm?action=profile&amp;prop_id=1708</v>
      </c>
      <c r="N1492" s="1" t="str">
        <f t="shared" si="119"/>
        <v>01708</v>
      </c>
    </row>
    <row r="1493" spans="1:14" x14ac:dyDescent="0.3">
      <c r="A1493" s="1">
        <v>1709</v>
      </c>
      <c r="B1493" s="7" t="s">
        <v>2283</v>
      </c>
      <c r="C1493" s="12">
        <v>8000</v>
      </c>
      <c r="D1493" s="7" t="s">
        <v>2284</v>
      </c>
      <c r="E1493" s="13" t="s">
        <v>1657</v>
      </c>
      <c r="F1493" t="str">
        <f t="shared" si="115"/>
        <v>Tidwell</v>
      </c>
      <c r="G1493" t="str">
        <f t="shared" si="116"/>
        <v>Tidwell8000Houston</v>
      </c>
      <c r="H1493" t="s">
        <v>32351</v>
      </c>
      <c r="I1493" t="s">
        <v>23779</v>
      </c>
      <c r="J1493" t="str">
        <f t="shared" si="117"/>
        <v>E:\PropInv\MF</v>
      </c>
      <c r="K1493" s="103" t="str">
        <f>HYPERLINK("E:\PropInv\MF\Houston\Tidwell Rd W_8000_Somerset II_Houston_01709","Tidwell Rd W_8000_Somerset II_Houston_01709" )</f>
        <v>Tidwell Rd W_8000_Somerset II_Houston_01709</v>
      </c>
      <c r="L1493" s="104" t="s">
        <v>22253</v>
      </c>
      <c r="M1493" s="103" t="str">
        <f t="shared" si="118"/>
        <v>http://oconnordata.com/mlink/modules/profile/index.cfm?action=profile&amp;prop_id=1709</v>
      </c>
      <c r="N1493" s="1" t="str">
        <f t="shared" si="119"/>
        <v>01709</v>
      </c>
    </row>
    <row r="1494" spans="1:14" x14ac:dyDescent="0.3">
      <c r="A1494" s="1">
        <v>1710</v>
      </c>
      <c r="B1494" s="7" t="s">
        <v>2285</v>
      </c>
      <c r="C1494" s="12">
        <v>8650</v>
      </c>
      <c r="D1494" s="7" t="s">
        <v>2286</v>
      </c>
      <c r="E1494" s="13" t="s">
        <v>1657</v>
      </c>
      <c r="F1494" t="str">
        <f t="shared" si="115"/>
        <v>Pitner</v>
      </c>
      <c r="G1494" t="str">
        <f t="shared" si="116"/>
        <v>Pitner8650Houston</v>
      </c>
      <c r="H1494" t="s">
        <v>32352</v>
      </c>
      <c r="I1494" t="s">
        <v>23780</v>
      </c>
      <c r="J1494" t="str">
        <f t="shared" si="117"/>
        <v>E:\PropInv\MF</v>
      </c>
      <c r="K1494" s="103" t="str">
        <f>HYPERLINK("E:\PropInv\MF\Houston\Pitner Rd_8650_Pine Gardens_Houston_01710","Pitner Rd_8650_Pine Gardens_Houston_01710" )</f>
        <v>Pitner Rd_8650_Pine Gardens_Houston_01710</v>
      </c>
      <c r="L1494" s="104" t="s">
        <v>22253</v>
      </c>
      <c r="M1494" s="103" t="str">
        <f t="shared" si="118"/>
        <v>http://oconnordata.com/mlink/modules/profile/index.cfm?action=profile&amp;prop_id=1710</v>
      </c>
      <c r="N1494" s="1" t="str">
        <f t="shared" si="119"/>
        <v>01710</v>
      </c>
    </row>
    <row r="1495" spans="1:14" x14ac:dyDescent="0.3">
      <c r="A1495" s="1">
        <v>1711</v>
      </c>
      <c r="B1495" s="7" t="s">
        <v>2273</v>
      </c>
      <c r="C1495" s="12">
        <v>10000</v>
      </c>
      <c r="D1495" s="7" t="s">
        <v>2287</v>
      </c>
      <c r="E1495" s="13" t="s">
        <v>1657</v>
      </c>
      <c r="F1495" t="str">
        <f t="shared" si="115"/>
        <v>Hammerly</v>
      </c>
      <c r="G1495" t="str">
        <f t="shared" si="116"/>
        <v>Hammerly10000Houston</v>
      </c>
      <c r="H1495" t="s">
        <v>32353</v>
      </c>
      <c r="I1495" t="s">
        <v>23781</v>
      </c>
      <c r="J1495" t="str">
        <f t="shared" si="117"/>
        <v>E:\PropInv\MF</v>
      </c>
      <c r="K1495" s="103" t="str">
        <f>HYPERLINK("E:\PropInv\MF\Houston\Hammerly_10000_Hunters Chase_Houston_01711","Hammerly_10000_Hunters Chase_Houston_01711" )</f>
        <v>Hammerly_10000_Hunters Chase_Houston_01711</v>
      </c>
      <c r="L1495" s="104" t="s">
        <v>22253</v>
      </c>
      <c r="M1495" s="103" t="str">
        <f t="shared" si="118"/>
        <v>http://oconnordata.com/mlink/modules/profile/index.cfm?action=profile&amp;prop_id=1711</v>
      </c>
      <c r="N1495" s="1" t="str">
        <f t="shared" si="119"/>
        <v>01711</v>
      </c>
    </row>
    <row r="1496" spans="1:14" x14ac:dyDescent="0.3">
      <c r="A1496" s="1">
        <v>1712</v>
      </c>
      <c r="B1496" s="7" t="s">
        <v>2288</v>
      </c>
      <c r="C1496" s="12">
        <v>7500</v>
      </c>
      <c r="D1496" s="7" t="s">
        <v>396</v>
      </c>
      <c r="E1496" s="13" t="s">
        <v>1657</v>
      </c>
      <c r="F1496" t="str">
        <f t="shared" si="115"/>
        <v>Pinemont</v>
      </c>
      <c r="G1496" t="str">
        <f t="shared" si="116"/>
        <v>Pinemont7500Houston</v>
      </c>
      <c r="H1496" t="s">
        <v>32354</v>
      </c>
      <c r="I1496" t="s">
        <v>23782</v>
      </c>
      <c r="J1496" t="str">
        <f t="shared" si="117"/>
        <v>E:\PropInv\MF</v>
      </c>
      <c r="K1496" s="103" t="str">
        <f>HYPERLINK("E:\PropInv\MF\Houston\Pinemont_7500_Shadow Creek_Houston_01712","Pinemont_7500_Shadow Creek_Houston_01712" )</f>
        <v>Pinemont_7500_Shadow Creek_Houston_01712</v>
      </c>
      <c r="L1496" s="104" t="s">
        <v>22253</v>
      </c>
      <c r="M1496" s="103" t="str">
        <f t="shared" si="118"/>
        <v>http://oconnordata.com/mlink/modules/profile/index.cfm?action=profile&amp;prop_id=1712</v>
      </c>
      <c r="N1496" s="1" t="str">
        <f t="shared" si="119"/>
        <v>01712</v>
      </c>
    </row>
    <row r="1497" spans="1:14" x14ac:dyDescent="0.3">
      <c r="A1497" s="1">
        <v>1713</v>
      </c>
      <c r="B1497" s="7" t="s">
        <v>2254</v>
      </c>
      <c r="C1497" s="12">
        <v>10010</v>
      </c>
      <c r="D1497" s="7" t="s">
        <v>2289</v>
      </c>
      <c r="E1497" s="13" t="s">
        <v>1657</v>
      </c>
      <c r="F1497" t="str">
        <f t="shared" si="115"/>
        <v>Kempwood</v>
      </c>
      <c r="G1497" t="str">
        <f t="shared" si="116"/>
        <v>Kempwood10010Houston</v>
      </c>
      <c r="H1497" t="s">
        <v>32355</v>
      </c>
      <c r="I1497" t="s">
        <v>23783</v>
      </c>
      <c r="J1497" t="str">
        <f t="shared" si="117"/>
        <v>E:\PropInv\MF</v>
      </c>
      <c r="K1497" s="103" t="str">
        <f>HYPERLINK("E:\PropInv\MF\Houston\Kempwood_10010_Kempwood Place_Houston_01713","Kempwood_10010_Kempwood Place_Houston_01713" )</f>
        <v>Kempwood_10010_Kempwood Place_Houston_01713</v>
      </c>
      <c r="L1497" s="104" t="s">
        <v>22253</v>
      </c>
      <c r="M1497" s="103" t="str">
        <f t="shared" si="118"/>
        <v>http://oconnordata.com/mlink/modules/profile/index.cfm?action=profile&amp;prop_id=1713</v>
      </c>
      <c r="N1497" s="1" t="str">
        <f t="shared" si="119"/>
        <v>01713</v>
      </c>
    </row>
    <row r="1498" spans="1:14" x14ac:dyDescent="0.3">
      <c r="A1498" s="1">
        <v>1716</v>
      </c>
      <c r="B1498" s="7" t="s">
        <v>2290</v>
      </c>
      <c r="C1498" s="12">
        <v>1500</v>
      </c>
      <c r="D1498" s="7" t="s">
        <v>2291</v>
      </c>
      <c r="E1498" s="13" t="s">
        <v>1657</v>
      </c>
      <c r="F1498" t="str">
        <f t="shared" si="115"/>
        <v>Witte</v>
      </c>
      <c r="G1498" t="str">
        <f t="shared" si="116"/>
        <v>Witte1500Houston</v>
      </c>
      <c r="H1498" t="s">
        <v>32356</v>
      </c>
      <c r="I1498" t="s">
        <v>23784</v>
      </c>
      <c r="J1498" t="str">
        <f t="shared" si="117"/>
        <v>E:\PropInv\MF</v>
      </c>
      <c r="K1498" s="103" t="str">
        <f>HYPERLINK("E:\PropInv\MF\Houston\Witte Rd_1500_Bermuda Woods_Houston_01716","Witte Rd_1500_Bermuda Woods_Houston_01716" )</f>
        <v>Witte Rd_1500_Bermuda Woods_Houston_01716</v>
      </c>
      <c r="L1498" s="104" t="s">
        <v>22253</v>
      </c>
      <c r="M1498" s="103" t="str">
        <f t="shared" si="118"/>
        <v>http://oconnordata.com/mlink/modules/profile/index.cfm?action=profile&amp;prop_id=1716</v>
      </c>
      <c r="N1498" s="1" t="str">
        <f t="shared" si="119"/>
        <v>01716</v>
      </c>
    </row>
    <row r="1499" spans="1:14" x14ac:dyDescent="0.3">
      <c r="A1499" s="1">
        <v>1717</v>
      </c>
      <c r="B1499" s="7" t="s">
        <v>2264</v>
      </c>
      <c r="C1499" s="12">
        <v>1640</v>
      </c>
      <c r="D1499" s="7" t="s">
        <v>2292</v>
      </c>
      <c r="E1499" s="13" t="s">
        <v>1657</v>
      </c>
      <c r="F1499" t="str">
        <f t="shared" si="115"/>
        <v>Blalock</v>
      </c>
      <c r="G1499" t="str">
        <f t="shared" si="116"/>
        <v>Blalock1640Houston</v>
      </c>
      <c r="H1499" t="s">
        <v>32357</v>
      </c>
      <c r="I1499" t="s">
        <v>23785</v>
      </c>
      <c r="J1499" t="str">
        <f t="shared" si="117"/>
        <v>E:\PropInv\MF</v>
      </c>
      <c r="K1499" s="103" t="str">
        <f>HYPERLINK("E:\PropInv\MF\Houston\Blalock_1640_Pine Shadows_Houston_01717","Blalock_1640_Pine Shadows_Houston_01717" )</f>
        <v>Blalock_1640_Pine Shadows_Houston_01717</v>
      </c>
      <c r="L1499" s="104" t="s">
        <v>22253</v>
      </c>
      <c r="M1499" s="103" t="str">
        <f t="shared" si="118"/>
        <v>http://oconnordata.com/mlink/modules/profile/index.cfm?action=profile&amp;prop_id=1717</v>
      </c>
      <c r="N1499" s="1" t="str">
        <f t="shared" si="119"/>
        <v>01717</v>
      </c>
    </row>
    <row r="1500" spans="1:14" x14ac:dyDescent="0.3">
      <c r="A1500" s="1">
        <v>1718</v>
      </c>
      <c r="B1500" s="7" t="s">
        <v>2266</v>
      </c>
      <c r="C1500" s="12">
        <v>1760</v>
      </c>
      <c r="D1500" s="7" t="s">
        <v>2293</v>
      </c>
      <c r="E1500" s="13" t="s">
        <v>1657</v>
      </c>
      <c r="F1500" t="str">
        <f t="shared" si="115"/>
        <v>Campbell</v>
      </c>
      <c r="G1500" t="str">
        <f t="shared" si="116"/>
        <v>Campbell1760Houston</v>
      </c>
      <c r="H1500" t="s">
        <v>32358</v>
      </c>
      <c r="I1500" t="s">
        <v>23786</v>
      </c>
      <c r="J1500" t="str">
        <f t="shared" si="117"/>
        <v>E:\PropInv\MF</v>
      </c>
      <c r="K1500" s="103" t="str">
        <f>HYPERLINK("E:\PropInv\MF\Houston\Campbell_1760_Leaf Hollow_Houston_01718","Campbell_1760_Leaf Hollow_Houston_01718" )</f>
        <v>Campbell_1760_Leaf Hollow_Houston_01718</v>
      </c>
      <c r="L1500" s="104" t="s">
        <v>22253</v>
      </c>
      <c r="M1500" s="103" t="str">
        <f t="shared" si="118"/>
        <v>http://oconnordata.com/mlink/modules/profile/index.cfm?action=profile&amp;prop_id=1718</v>
      </c>
      <c r="N1500" s="1" t="str">
        <f t="shared" si="119"/>
        <v>01718</v>
      </c>
    </row>
    <row r="1501" spans="1:14" x14ac:dyDescent="0.3">
      <c r="A1501" s="1">
        <v>1720</v>
      </c>
      <c r="B1501" s="7" t="s">
        <v>2283</v>
      </c>
      <c r="C1501" s="12">
        <v>8001</v>
      </c>
      <c r="D1501" s="7" t="s">
        <v>2294</v>
      </c>
      <c r="E1501" s="13" t="s">
        <v>1657</v>
      </c>
      <c r="F1501" t="str">
        <f t="shared" si="115"/>
        <v>Tidwell</v>
      </c>
      <c r="G1501" t="str">
        <f t="shared" si="116"/>
        <v>Tidwell8001Houston</v>
      </c>
      <c r="H1501" t="s">
        <v>32359</v>
      </c>
      <c r="I1501" t="s">
        <v>23787</v>
      </c>
      <c r="J1501" t="str">
        <f t="shared" si="117"/>
        <v>E:\PropInv\MF</v>
      </c>
      <c r="K1501" s="103" t="str">
        <f>HYPERLINK("E:\PropInv\MF\Houston\Tidwell Rd W_8001_Somerset I_Houston_01720","Tidwell Rd W_8001_Somerset I_Houston_01720" )</f>
        <v>Tidwell Rd W_8001_Somerset I_Houston_01720</v>
      </c>
      <c r="L1501" s="104" t="s">
        <v>22253</v>
      </c>
      <c r="M1501" s="103" t="str">
        <f t="shared" si="118"/>
        <v>http://oconnordata.com/mlink/modules/profile/index.cfm?action=profile&amp;prop_id=1720</v>
      </c>
      <c r="N1501" s="1" t="str">
        <f t="shared" si="119"/>
        <v>01720</v>
      </c>
    </row>
    <row r="1502" spans="1:14" x14ac:dyDescent="0.3">
      <c r="A1502" s="1">
        <v>1721</v>
      </c>
      <c r="B1502" s="7" t="s">
        <v>2218</v>
      </c>
      <c r="C1502" s="12">
        <v>9301</v>
      </c>
      <c r="D1502" s="7" t="s">
        <v>2295</v>
      </c>
      <c r="E1502" s="13" t="s">
        <v>1657</v>
      </c>
      <c r="F1502" t="str">
        <f t="shared" si="115"/>
        <v>Clay</v>
      </c>
      <c r="G1502" t="str">
        <f t="shared" si="116"/>
        <v>Clay9301Houston</v>
      </c>
      <c r="H1502" t="s">
        <v>32360</v>
      </c>
      <c r="I1502" t="s">
        <v>23788</v>
      </c>
      <c r="J1502" t="str">
        <f t="shared" si="117"/>
        <v>E:\PropInv\MF</v>
      </c>
      <c r="K1502" s="103" t="str">
        <f>HYPERLINK("E:\PropInv\MF\Houston\Clay_9301_Jade Forest_Houston_01721","Clay_9301_Jade Forest_Houston_01721" )</f>
        <v>Clay_9301_Jade Forest_Houston_01721</v>
      </c>
      <c r="L1502" s="104" t="s">
        <v>22253</v>
      </c>
      <c r="M1502" s="103" t="str">
        <f t="shared" si="118"/>
        <v>http://oconnordata.com/mlink/modules/profile/index.cfm?action=profile&amp;prop_id=1721</v>
      </c>
      <c r="N1502" s="1" t="str">
        <f t="shared" si="119"/>
        <v>01721</v>
      </c>
    </row>
    <row r="1503" spans="1:14" x14ac:dyDescent="0.3">
      <c r="A1503" s="1">
        <v>1722</v>
      </c>
      <c r="B1503" s="7" t="s">
        <v>2273</v>
      </c>
      <c r="C1503" s="12">
        <v>10011</v>
      </c>
      <c r="D1503" s="7" t="s">
        <v>2296</v>
      </c>
      <c r="E1503" s="13" t="s">
        <v>1657</v>
      </c>
      <c r="F1503" t="str">
        <f t="shared" si="115"/>
        <v>Hammerly</v>
      </c>
      <c r="G1503" t="str">
        <f t="shared" si="116"/>
        <v>Hammerly10011Houston</v>
      </c>
      <c r="H1503" t="s">
        <v>32361</v>
      </c>
      <c r="I1503" t="s">
        <v>23789</v>
      </c>
      <c r="J1503" t="str">
        <f t="shared" si="117"/>
        <v>E:\PropInv\MF</v>
      </c>
      <c r="K1503" s="103" t="str">
        <f>HYPERLINK("E:\PropInv\MF\Houston\Hammerly_10011_Hammerly Villa_Houston_01722","Hammerly_10011_Hammerly Villa_Houston_01722" )</f>
        <v>Hammerly_10011_Hammerly Villa_Houston_01722</v>
      </c>
      <c r="L1503" s="104" t="s">
        <v>22253</v>
      </c>
      <c r="M1503" s="103" t="str">
        <f t="shared" si="118"/>
        <v>http://oconnordata.com/mlink/modules/profile/index.cfm?action=profile&amp;prop_id=1722</v>
      </c>
      <c r="N1503" s="1" t="str">
        <f t="shared" si="119"/>
        <v>01722</v>
      </c>
    </row>
    <row r="1504" spans="1:14" x14ac:dyDescent="0.3">
      <c r="A1504" s="1">
        <v>1723</v>
      </c>
      <c r="B1504" s="7" t="s">
        <v>2252</v>
      </c>
      <c r="C1504" s="12">
        <v>9001</v>
      </c>
      <c r="D1504" s="7" t="s">
        <v>2297</v>
      </c>
      <c r="E1504" s="13" t="s">
        <v>1657</v>
      </c>
      <c r="F1504" t="str">
        <f t="shared" si="115"/>
        <v>Kempwood</v>
      </c>
      <c r="G1504" t="str">
        <f t="shared" si="116"/>
        <v>Kempwood9001Houston</v>
      </c>
      <c r="H1504" t="s">
        <v>32362</v>
      </c>
      <c r="I1504" t="s">
        <v>23790</v>
      </c>
      <c r="J1504" t="str">
        <f t="shared" si="117"/>
        <v>E:\PropInv\MF</v>
      </c>
      <c r="K1504" s="103" t="str">
        <f>HYPERLINK("E:\PropInv\MF\Houston\Kempwood Dr_9001_Gentry House_Houston_01723","Kempwood Dr_9001_Gentry House_Houston_01723" )</f>
        <v>Kempwood Dr_9001_Gentry House_Houston_01723</v>
      </c>
      <c r="L1504" s="104" t="s">
        <v>22253</v>
      </c>
      <c r="M1504" s="103" t="str">
        <f t="shared" si="118"/>
        <v>http://oconnordata.com/mlink/modules/profile/index.cfm?action=profile&amp;prop_id=1723</v>
      </c>
      <c r="N1504" s="1" t="str">
        <f t="shared" si="119"/>
        <v>01723</v>
      </c>
    </row>
    <row r="1505" spans="1:14" x14ac:dyDescent="0.3">
      <c r="A1505" s="1">
        <v>1724</v>
      </c>
      <c r="B1505" s="7" t="s">
        <v>100</v>
      </c>
      <c r="C1505" s="12">
        <v>1711</v>
      </c>
      <c r="D1505" s="7" t="s">
        <v>2298</v>
      </c>
      <c r="E1505" s="13" t="s">
        <v>1657</v>
      </c>
      <c r="F1505" t="str">
        <f t="shared" si="115"/>
        <v>Gessner</v>
      </c>
      <c r="G1505" t="str">
        <f t="shared" si="116"/>
        <v>Gessner1711Houston</v>
      </c>
      <c r="H1505" t="s">
        <v>32363</v>
      </c>
      <c r="I1505" t="s">
        <v>23791</v>
      </c>
      <c r="J1505" t="str">
        <f t="shared" si="117"/>
        <v>E:\PropInv\MF</v>
      </c>
      <c r="K1505" s="103" t="str">
        <f>HYPERLINK("E:\PropInv\MF\Houston\Gessner Dr_1711_Royal Gate_Houston_01724","Gessner Dr_1711_Royal Gate_Houston_01724" )</f>
        <v>Gessner Dr_1711_Royal Gate_Houston_01724</v>
      </c>
      <c r="L1505" s="104" t="s">
        <v>22253</v>
      </c>
      <c r="M1505" s="103" t="str">
        <f t="shared" si="118"/>
        <v>http://oconnordata.com/mlink/modules/profile/index.cfm?action=profile&amp;prop_id=1724</v>
      </c>
      <c r="N1505" s="1" t="str">
        <f t="shared" si="119"/>
        <v>01724</v>
      </c>
    </row>
    <row r="1506" spans="1:14" x14ac:dyDescent="0.3">
      <c r="A1506" s="1">
        <v>1725</v>
      </c>
      <c r="B1506" s="7" t="s">
        <v>2299</v>
      </c>
      <c r="C1506" s="12">
        <v>1776</v>
      </c>
      <c r="D1506" s="7" t="s">
        <v>2300</v>
      </c>
      <c r="E1506" s="13" t="s">
        <v>1657</v>
      </c>
      <c r="F1506" t="str">
        <f t="shared" si="115"/>
        <v>Gessner</v>
      </c>
      <c r="G1506" t="str">
        <f t="shared" si="116"/>
        <v>Gessner1776Houston</v>
      </c>
      <c r="H1506" t="s">
        <v>32364</v>
      </c>
      <c r="I1506" t="s">
        <v>23792</v>
      </c>
      <c r="J1506" t="str">
        <f t="shared" si="117"/>
        <v>E:\PropInv\MF</v>
      </c>
      <c r="K1506" s="103" t="str">
        <f>HYPERLINK("E:\PropInv\MF\Houston\Gessner Dr N_1776_Gessner Park_Houston_01725","Gessner Dr N_1776_Gessner Park_Houston_01725" )</f>
        <v>Gessner Dr N_1776_Gessner Park_Houston_01725</v>
      </c>
      <c r="L1506" s="104" t="s">
        <v>22253</v>
      </c>
      <c r="M1506" s="103" t="str">
        <f t="shared" si="118"/>
        <v>http://oconnordata.com/mlink/modules/profile/index.cfm?action=profile&amp;prop_id=1725</v>
      </c>
      <c r="N1506" s="1" t="str">
        <f t="shared" si="119"/>
        <v>01725</v>
      </c>
    </row>
    <row r="1507" spans="1:14" x14ac:dyDescent="0.3">
      <c r="A1507" s="1">
        <v>1726</v>
      </c>
      <c r="B1507" s="7" t="s">
        <v>2301</v>
      </c>
      <c r="C1507" s="12">
        <v>6000</v>
      </c>
      <c r="D1507" s="7" t="s">
        <v>2302</v>
      </c>
      <c r="E1507" s="13" t="s">
        <v>1657</v>
      </c>
      <c r="F1507" t="str">
        <f t="shared" si="115"/>
        <v>Sunforest</v>
      </c>
      <c r="G1507" t="str">
        <f t="shared" si="116"/>
        <v>Sunforest6000Houston</v>
      </c>
      <c r="H1507" t="s">
        <v>32365</v>
      </c>
      <c r="I1507" t="s">
        <v>23793</v>
      </c>
      <c r="J1507" t="str">
        <f t="shared" si="117"/>
        <v>E:\PropInv\MF</v>
      </c>
      <c r="K1507" s="103" t="str">
        <f>HYPERLINK("E:\PropInv\MF\Houston\Sunforest_6000_Rancho Verde_Houston_01726","Sunforest_6000_Rancho Verde_Houston_01726" )</f>
        <v>Sunforest_6000_Rancho Verde_Houston_01726</v>
      </c>
      <c r="L1507" s="104" t="s">
        <v>22253</v>
      </c>
      <c r="M1507" s="103" t="str">
        <f t="shared" si="118"/>
        <v>http://oconnordata.com/mlink/modules/profile/index.cfm?action=profile&amp;prop_id=1726</v>
      </c>
      <c r="N1507" s="1" t="str">
        <f t="shared" si="119"/>
        <v>01726</v>
      </c>
    </row>
    <row r="1508" spans="1:14" x14ac:dyDescent="0.3">
      <c r="A1508" s="1">
        <v>1727</v>
      </c>
      <c r="B1508" s="7" t="s">
        <v>2303</v>
      </c>
      <c r="C1508" s="12">
        <v>5700</v>
      </c>
      <c r="D1508" s="7" t="s">
        <v>2304</v>
      </c>
      <c r="E1508" s="13" t="s">
        <v>1657</v>
      </c>
      <c r="F1508" t="str">
        <f t="shared" si="115"/>
        <v>Thousand</v>
      </c>
      <c r="G1508" t="str">
        <f t="shared" si="116"/>
        <v>Thousand5700Houston</v>
      </c>
      <c r="H1508" t="s">
        <v>32366</v>
      </c>
      <c r="I1508" t="s">
        <v>17078</v>
      </c>
      <c r="J1508" t="str">
        <f t="shared" si="117"/>
        <v>E:\PropInv\MF</v>
      </c>
      <c r="K1508" s="103" t="str">
        <f>HYPERLINK("E:\PropInv\MF\Houston\Thousand Oaks_5700_Pine Ridge Place_Houston_01727","Thousand Oaks_5700_Pine Ridge Place_Houston_01727" )</f>
        <v>Thousand Oaks_5700_Pine Ridge Place_Houston_01727</v>
      </c>
      <c r="L1508" s="104" t="s">
        <v>22253</v>
      </c>
      <c r="M1508" s="103" t="str">
        <f t="shared" si="118"/>
        <v>http://oconnordata.com/mlink/modules/profile/index.cfm?action=profile&amp;prop_id=1727</v>
      </c>
      <c r="N1508" s="1" t="str">
        <f t="shared" si="119"/>
        <v>01727</v>
      </c>
    </row>
    <row r="1509" spans="1:14" x14ac:dyDescent="0.3">
      <c r="A1509" s="1">
        <v>1730</v>
      </c>
      <c r="B1509" s="7" t="s">
        <v>2305</v>
      </c>
      <c r="C1509" s="12">
        <v>9005</v>
      </c>
      <c r="D1509" s="7" t="s">
        <v>2306</v>
      </c>
      <c r="E1509" s="13" t="s">
        <v>1657</v>
      </c>
      <c r="F1509" t="str">
        <f t="shared" si="115"/>
        <v>Long</v>
      </c>
      <c r="G1509" t="str">
        <f t="shared" si="116"/>
        <v>Long9005Houston</v>
      </c>
      <c r="H1509" t="s">
        <v>32367</v>
      </c>
      <c r="I1509" t="s">
        <v>23794</v>
      </c>
      <c r="J1509" t="str">
        <f t="shared" si="117"/>
        <v>E:\PropInv\MF</v>
      </c>
      <c r="K1509" s="103" t="str">
        <f>HYPERLINK("E:\PropInv\MF\Houston\Long Point_9005_Red Apple_Houston_01730","Long Point_9005_Red Apple_Houston_01730" )</f>
        <v>Long Point_9005_Red Apple_Houston_01730</v>
      </c>
      <c r="L1509" s="104" t="s">
        <v>22253</v>
      </c>
      <c r="M1509" s="103" t="str">
        <f t="shared" si="118"/>
        <v>http://oconnordata.com/mlink/modules/profile/index.cfm?action=profile&amp;prop_id=1730</v>
      </c>
      <c r="N1509" s="1" t="str">
        <f t="shared" si="119"/>
        <v>01730</v>
      </c>
    </row>
    <row r="1510" spans="1:14" x14ac:dyDescent="0.3">
      <c r="A1510" s="1">
        <v>1732</v>
      </c>
      <c r="B1510" s="7" t="s">
        <v>2104</v>
      </c>
      <c r="C1510" s="12">
        <v>3950</v>
      </c>
      <c r="D1510" s="7" t="s">
        <v>2307</v>
      </c>
      <c r="E1510" s="13" t="s">
        <v>1657</v>
      </c>
      <c r="F1510" t="str">
        <f t="shared" si="115"/>
        <v>Hollister</v>
      </c>
      <c r="G1510" t="str">
        <f t="shared" si="116"/>
        <v>Hollister3950Houston</v>
      </c>
      <c r="H1510" t="s">
        <v>32368</v>
      </c>
      <c r="I1510" t="s">
        <v>23795</v>
      </c>
      <c r="J1510" t="str">
        <f t="shared" si="117"/>
        <v>E:\PropInv\MF</v>
      </c>
      <c r="K1510" s="103" t="str">
        <f>HYPERLINK("E:\PropInv\MF\Houston\Hollister_3950_Summercrest Apts_Houston_01732","Hollister_3950_Summercrest Apts_Houston_01732" )</f>
        <v>Hollister_3950_Summercrest Apts_Houston_01732</v>
      </c>
      <c r="L1510" s="104" t="s">
        <v>22253</v>
      </c>
      <c r="M1510" s="103" t="str">
        <f t="shared" si="118"/>
        <v>http://oconnordata.com/mlink/modules/profile/index.cfm?action=profile&amp;prop_id=1732</v>
      </c>
      <c r="N1510" s="1" t="str">
        <f t="shared" si="119"/>
        <v>01732</v>
      </c>
    </row>
    <row r="1511" spans="1:14" x14ac:dyDescent="0.3">
      <c r="A1511" s="97">
        <v>1733</v>
      </c>
      <c r="B1511" s="7" t="s">
        <v>2290</v>
      </c>
      <c r="C1511" s="12" t="s">
        <v>2308</v>
      </c>
      <c r="D1511" s="7" t="s">
        <v>2309</v>
      </c>
      <c r="E1511" s="13" t="s">
        <v>1657</v>
      </c>
      <c r="F1511" t="str">
        <f t="shared" si="115"/>
        <v>Witte</v>
      </c>
      <c r="G1511" t="str">
        <f t="shared" si="116"/>
        <v>Witte1651-1655Houston</v>
      </c>
      <c r="H1511" t="s">
        <v>32369</v>
      </c>
      <c r="I1511" t="s">
        <v>23796</v>
      </c>
      <c r="J1511" t="str">
        <f t="shared" si="117"/>
        <v>E:\PropInv\MF</v>
      </c>
      <c r="K1511" s="103" t="str">
        <f>HYPERLINK("E:\PropInv\MF\Houston\Witte Rd_1651-1655_Witte Oaks_Houston_01733","Witte Rd_1651-1655_Witte Oaks_Houston_01733" )</f>
        <v>Witte Rd_1651-1655_Witte Oaks_Houston_01733</v>
      </c>
      <c r="L1511" s="104" t="s">
        <v>22253</v>
      </c>
      <c r="M1511" s="103" t="str">
        <f t="shared" si="118"/>
        <v>http://oconnordata.com/mlink/modules/profile/index.cfm?action=profile&amp;prop_id=1733</v>
      </c>
      <c r="N1511" s="1" t="str">
        <f t="shared" si="119"/>
        <v>01733</v>
      </c>
    </row>
    <row r="1512" spans="1:14" x14ac:dyDescent="0.3">
      <c r="A1512" s="97">
        <v>1734</v>
      </c>
      <c r="B1512" s="19" t="s">
        <v>2310</v>
      </c>
      <c r="C1512" s="18">
        <v>1651</v>
      </c>
      <c r="D1512" s="19" t="s">
        <v>2309</v>
      </c>
      <c r="E1512" s="20" t="s">
        <v>1657</v>
      </c>
      <c r="F1512" t="str">
        <f t="shared" si="115"/>
        <v>Witte</v>
      </c>
      <c r="G1512" t="str">
        <f t="shared" si="116"/>
        <v>Witte1651Houston</v>
      </c>
      <c r="H1512" t="s">
        <v>32370</v>
      </c>
      <c r="I1512" t="s">
        <v>23797</v>
      </c>
      <c r="J1512" t="str">
        <f t="shared" si="117"/>
        <v>E:\PropInv\MF</v>
      </c>
      <c r="K1512" s="103" t="str">
        <f>HYPERLINK("E:\PropInv\MF\Houston\Witte_1651_Witte Oaks_Houston_01734","Witte_1651_Witte Oaks_Houston_01734" )</f>
        <v>Witte_1651_Witte Oaks_Houston_01734</v>
      </c>
      <c r="L1512" s="104" t="s">
        <v>22253</v>
      </c>
      <c r="M1512" s="103" t="str">
        <f t="shared" si="118"/>
        <v>http://oconnordata.com/mlink/modules/profile/index.cfm?action=profile&amp;prop_id=1734</v>
      </c>
      <c r="N1512" s="1" t="str">
        <f t="shared" si="119"/>
        <v>01734</v>
      </c>
    </row>
    <row r="1513" spans="1:14" x14ac:dyDescent="0.3">
      <c r="A1513" s="1">
        <v>1736</v>
      </c>
      <c r="B1513" s="7" t="s">
        <v>2311</v>
      </c>
      <c r="C1513" s="12">
        <v>2001</v>
      </c>
      <c r="D1513" s="7" t="s">
        <v>2312</v>
      </c>
      <c r="E1513" s="13" t="s">
        <v>1657</v>
      </c>
      <c r="F1513" t="str">
        <f t="shared" si="115"/>
        <v>Laverne</v>
      </c>
      <c r="G1513" t="str">
        <f t="shared" si="116"/>
        <v>Laverne2001Houston</v>
      </c>
      <c r="H1513" t="s">
        <v>32371</v>
      </c>
      <c r="I1513" t="s">
        <v>23798</v>
      </c>
      <c r="J1513" t="str">
        <f t="shared" si="117"/>
        <v>E:\PropInv\MF</v>
      </c>
      <c r="K1513" s="103" t="str">
        <f>HYPERLINK("E:\PropInv\MF\Houston\Laverne St_2001_Hickory Ridge_Houston_01736","Laverne St_2001_Hickory Ridge_Houston_01736" )</f>
        <v>Laverne St_2001_Hickory Ridge_Houston_01736</v>
      </c>
      <c r="L1513" s="104" t="s">
        <v>22253</v>
      </c>
      <c r="M1513" s="103" t="str">
        <f t="shared" si="118"/>
        <v>http://oconnordata.com/mlink/modules/profile/index.cfm?action=profile&amp;prop_id=1736</v>
      </c>
      <c r="N1513" s="1" t="str">
        <f t="shared" si="119"/>
        <v>01736</v>
      </c>
    </row>
    <row r="1514" spans="1:14" x14ac:dyDescent="0.3">
      <c r="A1514" s="1">
        <v>1737</v>
      </c>
      <c r="B1514" s="7" t="s">
        <v>2273</v>
      </c>
      <c r="C1514" s="12">
        <v>8787</v>
      </c>
      <c r="D1514" s="7" t="s">
        <v>2313</v>
      </c>
      <c r="E1514" s="13" t="s">
        <v>1657</v>
      </c>
      <c r="F1514" t="str">
        <f t="shared" si="115"/>
        <v>Hammerly</v>
      </c>
      <c r="G1514" t="str">
        <f t="shared" si="116"/>
        <v>Hammerly8787Houston</v>
      </c>
      <c r="H1514" t="s">
        <v>32372</v>
      </c>
      <c r="I1514" t="s">
        <v>23799</v>
      </c>
      <c r="J1514" t="str">
        <f t="shared" si="117"/>
        <v>E:\PropInv\MF</v>
      </c>
      <c r="K1514" s="103" t="str">
        <f>HYPERLINK("E:\PropInv\MF\Houston\Hammerly_8787_Hammerly Walk_Houston_01737","Hammerly_8787_Hammerly Walk_Houston_01737" )</f>
        <v>Hammerly_8787_Hammerly Walk_Houston_01737</v>
      </c>
      <c r="L1514" s="104" t="s">
        <v>22253</v>
      </c>
      <c r="M1514" s="103" t="str">
        <f t="shared" si="118"/>
        <v>http://oconnordata.com/mlink/modules/profile/index.cfm?action=profile&amp;prop_id=1737</v>
      </c>
      <c r="N1514" s="1" t="str">
        <f t="shared" si="119"/>
        <v>01737</v>
      </c>
    </row>
    <row r="1515" spans="1:14" x14ac:dyDescent="0.3">
      <c r="A1515" s="1">
        <v>1738</v>
      </c>
      <c r="B1515" s="7" t="s">
        <v>2273</v>
      </c>
      <c r="C1515" s="12">
        <v>8791</v>
      </c>
      <c r="D1515" s="7" t="s">
        <v>2314</v>
      </c>
      <c r="E1515" s="13" t="s">
        <v>1657</v>
      </c>
      <c r="F1515" t="str">
        <f t="shared" si="115"/>
        <v>Hammerly</v>
      </c>
      <c r="G1515" t="str">
        <f t="shared" si="116"/>
        <v>Hammerly8791Houston</v>
      </c>
      <c r="H1515" t="s">
        <v>32373</v>
      </c>
      <c r="I1515" t="s">
        <v>23800</v>
      </c>
      <c r="J1515" t="str">
        <f t="shared" si="117"/>
        <v>E:\PropInv\MF</v>
      </c>
      <c r="K1515" s="103" t="str">
        <f>HYPERLINK("E:\PropInv\MF\Houston\Hammerly_8791_Hammerly Oaks_Houston_01738","Hammerly_8791_Hammerly Oaks_Houston_01738" )</f>
        <v>Hammerly_8791_Hammerly Oaks_Houston_01738</v>
      </c>
      <c r="L1515" s="104" t="s">
        <v>22253</v>
      </c>
      <c r="M1515" s="103" t="str">
        <f t="shared" si="118"/>
        <v>http://oconnordata.com/mlink/modules/profile/index.cfm?action=profile&amp;prop_id=1738</v>
      </c>
      <c r="N1515" s="1" t="str">
        <f t="shared" si="119"/>
        <v>01738</v>
      </c>
    </row>
    <row r="1516" spans="1:14" x14ac:dyDescent="0.3">
      <c r="A1516" s="1">
        <v>1740</v>
      </c>
      <c r="B1516" s="7" t="s">
        <v>2285</v>
      </c>
      <c r="C1516" s="12">
        <v>8520</v>
      </c>
      <c r="D1516" s="7" t="s">
        <v>2315</v>
      </c>
      <c r="E1516" s="13" t="s">
        <v>1657</v>
      </c>
      <c r="F1516" t="str">
        <f t="shared" si="115"/>
        <v>Pitner</v>
      </c>
      <c r="G1516" t="str">
        <f t="shared" si="116"/>
        <v>Pitner8520Houston</v>
      </c>
      <c r="H1516" t="s">
        <v>32374</v>
      </c>
      <c r="I1516" t="s">
        <v>23801</v>
      </c>
      <c r="J1516" t="str">
        <f t="shared" si="117"/>
        <v>E:\PropInv\MF</v>
      </c>
      <c r="K1516" s="103" t="str">
        <f>HYPERLINK("E:\PropInv\MF\Houston\Pitner Rd_8520_Northwest Corners_Houston_01740","Pitner Rd_8520_Northwest Corners_Houston_01740" )</f>
        <v>Pitner Rd_8520_Northwest Corners_Houston_01740</v>
      </c>
      <c r="L1516" s="104" t="s">
        <v>22253</v>
      </c>
      <c r="M1516" s="103" t="str">
        <f t="shared" si="118"/>
        <v>http://oconnordata.com/mlink/modules/profile/index.cfm?action=profile&amp;prop_id=1740</v>
      </c>
      <c r="N1516" s="1" t="str">
        <f t="shared" si="119"/>
        <v>01740</v>
      </c>
    </row>
    <row r="1517" spans="1:14" x14ac:dyDescent="0.3">
      <c r="A1517" s="1">
        <v>1741</v>
      </c>
      <c r="B1517" s="7" t="s">
        <v>2273</v>
      </c>
      <c r="C1517" s="12">
        <v>8800</v>
      </c>
      <c r="D1517" s="7" t="s">
        <v>2316</v>
      </c>
      <c r="E1517" s="13" t="s">
        <v>1657</v>
      </c>
      <c r="F1517" t="str">
        <f t="shared" si="115"/>
        <v>Hammerly</v>
      </c>
      <c r="G1517" t="str">
        <f t="shared" si="116"/>
        <v>Hammerly8800Houston</v>
      </c>
      <c r="H1517" t="s">
        <v>32375</v>
      </c>
      <c r="I1517" t="s">
        <v>23802</v>
      </c>
      <c r="J1517" t="str">
        <f t="shared" si="117"/>
        <v>E:\PropInv\MF</v>
      </c>
      <c r="K1517" s="103" t="str">
        <f>HYPERLINK("E:\PropInv\MF\Houston\Hammerly_8800_Spring Lake_Houston_01741","Hammerly_8800_Spring Lake_Houston_01741" )</f>
        <v>Hammerly_8800_Spring Lake_Houston_01741</v>
      </c>
      <c r="L1517" s="104" t="s">
        <v>22253</v>
      </c>
      <c r="M1517" s="103" t="str">
        <f t="shared" si="118"/>
        <v>http://oconnordata.com/mlink/modules/profile/index.cfm?action=profile&amp;prop_id=1741</v>
      </c>
      <c r="N1517" s="1" t="str">
        <f t="shared" si="119"/>
        <v>01741</v>
      </c>
    </row>
    <row r="1518" spans="1:14" x14ac:dyDescent="0.3">
      <c r="A1518" s="1">
        <v>1742</v>
      </c>
      <c r="B1518" s="7" t="s">
        <v>2104</v>
      </c>
      <c r="C1518" s="12">
        <v>2217</v>
      </c>
      <c r="D1518" s="7" t="s">
        <v>2317</v>
      </c>
      <c r="E1518" s="13" t="s">
        <v>1657</v>
      </c>
      <c r="F1518" t="str">
        <f t="shared" si="115"/>
        <v>Hollister</v>
      </c>
      <c r="G1518" t="str">
        <f t="shared" si="116"/>
        <v>Hollister2217Houston</v>
      </c>
      <c r="H1518" t="s">
        <v>32376</v>
      </c>
      <c r="I1518" t="s">
        <v>23803</v>
      </c>
      <c r="J1518" t="str">
        <f t="shared" si="117"/>
        <v>E:\PropInv\MF</v>
      </c>
      <c r="K1518" s="103" t="str">
        <f>HYPERLINK("E:\PropInv\MF\Houston\Hollister_2217_Spring Lake Lakehomes_Houston_01742","Hollister_2217_Spring Lake Lakehomes_Houston_01742" )</f>
        <v>Hollister_2217_Spring Lake Lakehomes_Houston_01742</v>
      </c>
      <c r="L1518" s="104" t="s">
        <v>22253</v>
      </c>
      <c r="M1518" s="103" t="str">
        <f t="shared" si="118"/>
        <v>http://oconnordata.com/mlink/modules/profile/index.cfm?action=profile&amp;prop_id=1742</v>
      </c>
      <c r="N1518" s="1" t="str">
        <f t="shared" si="119"/>
        <v>01742</v>
      </c>
    </row>
    <row r="1519" spans="1:14" x14ac:dyDescent="0.3">
      <c r="A1519" s="1">
        <v>1743</v>
      </c>
      <c r="B1519" s="7" t="s">
        <v>100</v>
      </c>
      <c r="C1519" s="12">
        <v>1702</v>
      </c>
      <c r="D1519" s="7" t="s">
        <v>2318</v>
      </c>
      <c r="E1519" s="13" t="s">
        <v>1657</v>
      </c>
      <c r="F1519" t="str">
        <f t="shared" si="115"/>
        <v>Gessner</v>
      </c>
      <c r="G1519" t="str">
        <f t="shared" si="116"/>
        <v>Gessner1702Houston</v>
      </c>
      <c r="H1519" t="s">
        <v>32377</v>
      </c>
      <c r="I1519" t="s">
        <v>23804</v>
      </c>
      <c r="J1519" t="str">
        <f t="shared" si="117"/>
        <v>E:\PropInv\MF</v>
      </c>
      <c r="K1519" s="103" t="str">
        <f>HYPERLINK("E:\PropInv\MF\Houston\Gessner Dr_1702_Timberwood_Houston_01743","Gessner Dr_1702_Timberwood_Houston_01743" )</f>
        <v>Gessner Dr_1702_Timberwood_Houston_01743</v>
      </c>
      <c r="L1519" s="104" t="s">
        <v>22253</v>
      </c>
      <c r="M1519" s="103" t="str">
        <f t="shared" si="118"/>
        <v>http://oconnordata.com/mlink/modules/profile/index.cfm?action=profile&amp;prop_id=1743</v>
      </c>
      <c r="N1519" s="1" t="str">
        <f t="shared" si="119"/>
        <v>01743</v>
      </c>
    </row>
    <row r="1520" spans="1:14" x14ac:dyDescent="0.3">
      <c r="A1520" s="1">
        <v>1745</v>
      </c>
      <c r="B1520" s="7" t="s">
        <v>2264</v>
      </c>
      <c r="C1520" s="12">
        <v>1207</v>
      </c>
      <c r="D1520" s="7" t="s">
        <v>2264</v>
      </c>
      <c r="E1520" s="13" t="s">
        <v>1657</v>
      </c>
      <c r="F1520" t="str">
        <f t="shared" si="115"/>
        <v>Blalock</v>
      </c>
      <c r="G1520" t="str">
        <f t="shared" si="116"/>
        <v>Blalock1207Houston</v>
      </c>
      <c r="H1520" t="s">
        <v>32378</v>
      </c>
      <c r="I1520" t="s">
        <v>23805</v>
      </c>
      <c r="J1520" t="str">
        <f t="shared" si="117"/>
        <v>E:\PropInv\MF</v>
      </c>
      <c r="K1520" s="103" t="str">
        <f>HYPERLINK("E:\PropInv\MF\Houston\Blalock_1207_Blalock_Houston_01745","Blalock_1207_Blalock_Houston_01745" )</f>
        <v>Blalock_1207_Blalock_Houston_01745</v>
      </c>
      <c r="L1520" s="104" t="s">
        <v>22253</v>
      </c>
      <c r="M1520" s="103" t="str">
        <f t="shared" si="118"/>
        <v>http://oconnordata.com/mlink/modules/profile/index.cfm?action=profile&amp;prop_id=1745</v>
      </c>
      <c r="N1520" s="1" t="str">
        <f t="shared" si="119"/>
        <v>01745</v>
      </c>
    </row>
    <row r="1521" spans="1:14" x14ac:dyDescent="0.3">
      <c r="A1521" s="1">
        <v>1746</v>
      </c>
      <c r="B1521" s="7" t="s">
        <v>2305</v>
      </c>
      <c r="C1521" s="12">
        <v>9616</v>
      </c>
      <c r="D1521" s="7" t="s">
        <v>2319</v>
      </c>
      <c r="E1521" s="13" t="s">
        <v>1657</v>
      </c>
      <c r="F1521" t="str">
        <f t="shared" si="115"/>
        <v>Long</v>
      </c>
      <c r="G1521" t="str">
        <f t="shared" si="116"/>
        <v>Long9616Houston</v>
      </c>
      <c r="H1521" t="s">
        <v>32379</v>
      </c>
      <c r="I1521" t="s">
        <v>23806</v>
      </c>
      <c r="J1521" t="str">
        <f t="shared" si="117"/>
        <v>E:\PropInv\MF</v>
      </c>
      <c r="K1521" s="103" t="str">
        <f>HYPERLINK("E:\PropInv\MF\Houston\Long Point_9616_MacArthur Park_Houston_01746","Long Point_9616_MacArthur Park_Houston_01746" )</f>
        <v>Long Point_9616_MacArthur Park_Houston_01746</v>
      </c>
      <c r="L1521" s="104" t="s">
        <v>22253</v>
      </c>
      <c r="M1521" s="103" t="str">
        <f t="shared" si="118"/>
        <v>http://oconnordata.com/mlink/modules/profile/index.cfm?action=profile&amp;prop_id=1746</v>
      </c>
      <c r="N1521" s="1" t="str">
        <f t="shared" si="119"/>
        <v>01746</v>
      </c>
    </row>
    <row r="1522" spans="1:14" x14ac:dyDescent="0.3">
      <c r="A1522" s="1">
        <v>1747</v>
      </c>
      <c r="B1522" s="7" t="s">
        <v>2305</v>
      </c>
      <c r="C1522" s="12">
        <v>9745</v>
      </c>
      <c r="D1522" s="7" t="s">
        <v>2320</v>
      </c>
      <c r="E1522" s="13" t="s">
        <v>1657</v>
      </c>
      <c r="F1522" t="str">
        <f t="shared" si="115"/>
        <v>Long</v>
      </c>
      <c r="G1522" t="str">
        <f t="shared" si="116"/>
        <v>Long9745Houston</v>
      </c>
      <c r="H1522" t="s">
        <v>32380</v>
      </c>
      <c r="I1522" t="s">
        <v>23807</v>
      </c>
      <c r="J1522" t="str">
        <f t="shared" si="117"/>
        <v>E:\PropInv\MF</v>
      </c>
      <c r="K1522" s="103" t="str">
        <f>HYPERLINK("E:\PropInv\MF\Houston\Long Point_9745_Rolling Wood_Houston_01747","Long Point_9745_Rolling Wood_Houston_01747" )</f>
        <v>Long Point_9745_Rolling Wood_Houston_01747</v>
      </c>
      <c r="L1522" s="104" t="s">
        <v>22253</v>
      </c>
      <c r="M1522" s="103" t="str">
        <f t="shared" si="118"/>
        <v>http://oconnordata.com/mlink/modules/profile/index.cfm?action=profile&amp;prop_id=1747</v>
      </c>
      <c r="N1522" s="1" t="str">
        <f t="shared" si="119"/>
        <v>01747</v>
      </c>
    </row>
    <row r="1523" spans="1:14" x14ac:dyDescent="0.3">
      <c r="A1523" s="1">
        <v>1750</v>
      </c>
      <c r="B1523" s="7" t="s">
        <v>2321</v>
      </c>
      <c r="C1523" s="12">
        <v>9595</v>
      </c>
      <c r="D1523" s="7" t="s">
        <v>2322</v>
      </c>
      <c r="E1523" s="13" t="s">
        <v>1657</v>
      </c>
      <c r="F1523" t="str">
        <f t="shared" si="115"/>
        <v>Westview</v>
      </c>
      <c r="G1523" t="str">
        <f t="shared" si="116"/>
        <v>Westview9595Houston</v>
      </c>
      <c r="H1523" t="s">
        <v>32381</v>
      </c>
      <c r="I1523" t="s">
        <v>23808</v>
      </c>
      <c r="J1523" t="str">
        <f t="shared" si="117"/>
        <v>E:\PropInv\MF</v>
      </c>
      <c r="K1523" s="103" t="str">
        <f>HYPERLINK("E:\PropInv\MF\Houston\Westview Dr_9595_Windcrest on Westview_Houston_01750","Westview Dr_9595_Windcrest on Westview_Houston_01750" )</f>
        <v>Westview Dr_9595_Windcrest on Westview_Houston_01750</v>
      </c>
      <c r="L1523" s="104" t="s">
        <v>22253</v>
      </c>
      <c r="M1523" s="103" t="str">
        <f t="shared" si="118"/>
        <v>http://oconnordata.com/mlink/modules/profile/index.cfm?action=profile&amp;prop_id=1750</v>
      </c>
      <c r="N1523" s="1" t="str">
        <f t="shared" si="119"/>
        <v>01750</v>
      </c>
    </row>
    <row r="1524" spans="1:14" x14ac:dyDescent="0.3">
      <c r="A1524" s="1">
        <v>1751</v>
      </c>
      <c r="B1524" s="7" t="s">
        <v>2273</v>
      </c>
      <c r="C1524" s="12">
        <v>8701</v>
      </c>
      <c r="D1524" s="7" t="s">
        <v>436</v>
      </c>
      <c r="E1524" s="13" t="s">
        <v>1657</v>
      </c>
      <c r="F1524" t="str">
        <f t="shared" si="115"/>
        <v>Hammerly</v>
      </c>
      <c r="G1524" t="str">
        <f t="shared" si="116"/>
        <v>Hammerly8701Houston</v>
      </c>
      <c r="H1524" t="s">
        <v>32382</v>
      </c>
      <c r="I1524" t="s">
        <v>23809</v>
      </c>
      <c r="J1524" t="str">
        <f t="shared" si="117"/>
        <v>E:\PropInv\MF</v>
      </c>
      <c r="K1524" s="103" t="str">
        <f>HYPERLINK("E:\PropInv\MF\Houston\Hammerly_8701_Village Park_Houston_01751","Hammerly_8701_Village Park_Houston_01751" )</f>
        <v>Hammerly_8701_Village Park_Houston_01751</v>
      </c>
      <c r="L1524" s="104" t="s">
        <v>22253</v>
      </c>
      <c r="M1524" s="103" t="str">
        <f t="shared" si="118"/>
        <v>http://oconnordata.com/mlink/modules/profile/index.cfm?action=profile&amp;prop_id=1751</v>
      </c>
      <c r="N1524" s="1" t="str">
        <f t="shared" si="119"/>
        <v>01751</v>
      </c>
    </row>
    <row r="1525" spans="1:14" x14ac:dyDescent="0.3">
      <c r="A1525" s="1">
        <v>1752</v>
      </c>
      <c r="B1525" s="7" t="s">
        <v>100</v>
      </c>
      <c r="C1525" s="12">
        <v>1320</v>
      </c>
      <c r="D1525" s="7" t="s">
        <v>2323</v>
      </c>
      <c r="E1525" s="13" t="s">
        <v>1657</v>
      </c>
      <c r="F1525" t="str">
        <f t="shared" si="115"/>
        <v>Gessner</v>
      </c>
      <c r="G1525" t="str">
        <f t="shared" si="116"/>
        <v>Gessner1320Houston</v>
      </c>
      <c r="H1525" t="s">
        <v>32383</v>
      </c>
      <c r="I1525" t="s">
        <v>23810</v>
      </c>
      <c r="J1525" t="str">
        <f t="shared" si="117"/>
        <v>E:\PropInv\MF</v>
      </c>
      <c r="K1525" s="103" t="str">
        <f>HYPERLINK("E:\PropInv\MF\Houston\Gessner Dr_1320_English Oaks_Houston_01752","Gessner Dr_1320_English Oaks_Houston_01752" )</f>
        <v>Gessner Dr_1320_English Oaks_Houston_01752</v>
      </c>
      <c r="L1525" s="104" t="s">
        <v>22253</v>
      </c>
      <c r="M1525" s="103" t="str">
        <f t="shared" si="118"/>
        <v>http://oconnordata.com/mlink/modules/profile/index.cfm?action=profile&amp;prop_id=1752</v>
      </c>
      <c r="N1525" s="1" t="str">
        <f t="shared" si="119"/>
        <v>01752</v>
      </c>
    </row>
    <row r="1526" spans="1:14" x14ac:dyDescent="0.3">
      <c r="A1526" s="1">
        <v>1753</v>
      </c>
      <c r="B1526" s="7" t="s">
        <v>2290</v>
      </c>
      <c r="C1526" s="12">
        <v>1323</v>
      </c>
      <c r="D1526" s="7" t="s">
        <v>2324</v>
      </c>
      <c r="E1526" s="13" t="s">
        <v>1657</v>
      </c>
      <c r="F1526" t="str">
        <f t="shared" si="115"/>
        <v>Witte</v>
      </c>
      <c r="G1526" t="str">
        <f t="shared" si="116"/>
        <v>Witte1323Houston</v>
      </c>
      <c r="H1526" t="s">
        <v>32384</v>
      </c>
      <c r="I1526" t="s">
        <v>23811</v>
      </c>
      <c r="J1526" t="str">
        <f t="shared" si="117"/>
        <v>E:\PropInv\MF</v>
      </c>
      <c r="K1526" s="103" t="str">
        <f>HYPERLINK("E:\PropInv\MF\Houston\Witte Rd_1323_Brompton Square_Houston_01753","Witte Rd_1323_Brompton Square_Houston_01753" )</f>
        <v>Witte Rd_1323_Brompton Square_Houston_01753</v>
      </c>
      <c r="L1526" s="104" t="s">
        <v>22253</v>
      </c>
      <c r="M1526" s="103" t="str">
        <f t="shared" si="118"/>
        <v>http://oconnordata.com/mlink/modules/profile/index.cfm?action=profile&amp;prop_id=1753</v>
      </c>
      <c r="N1526" s="1" t="str">
        <f t="shared" si="119"/>
        <v>01753</v>
      </c>
    </row>
    <row r="1527" spans="1:14" x14ac:dyDescent="0.3">
      <c r="A1527" s="1">
        <v>1754</v>
      </c>
      <c r="B1527" s="7" t="s">
        <v>2305</v>
      </c>
      <c r="C1527" s="12">
        <v>9550</v>
      </c>
      <c r="D1527" s="7" t="s">
        <v>2325</v>
      </c>
      <c r="E1527" s="13" t="s">
        <v>1657</v>
      </c>
      <c r="F1527" t="str">
        <f t="shared" si="115"/>
        <v>Long</v>
      </c>
      <c r="G1527" t="str">
        <f t="shared" si="116"/>
        <v>Long9550Houston</v>
      </c>
      <c r="H1527" t="s">
        <v>32385</v>
      </c>
      <c r="I1527" t="s">
        <v>23812</v>
      </c>
      <c r="J1527" t="str">
        <f t="shared" si="117"/>
        <v>E:\PropInv\MF</v>
      </c>
      <c r="K1527" s="103" t="str">
        <f>HYPERLINK("E:\PropInv\MF\Houston\Long Point_9550_Valencia at Spring Branch_Houston_01754","Long Point_9550_Valencia at Spring Branch_Houston_01754" )</f>
        <v>Long Point_9550_Valencia at Spring Branch_Houston_01754</v>
      </c>
      <c r="L1527" s="104" t="s">
        <v>22253</v>
      </c>
      <c r="M1527" s="103" t="str">
        <f t="shared" si="118"/>
        <v>http://oconnordata.com/mlink/modules/profile/index.cfm?action=profile&amp;prop_id=1754</v>
      </c>
      <c r="N1527" s="1" t="str">
        <f t="shared" si="119"/>
        <v>01754</v>
      </c>
    </row>
    <row r="1528" spans="1:14" x14ac:dyDescent="0.3">
      <c r="A1528" s="1">
        <v>1755</v>
      </c>
      <c r="B1528" s="7" t="s">
        <v>2260</v>
      </c>
      <c r="C1528" s="12">
        <v>10110</v>
      </c>
      <c r="D1528" s="7" t="s">
        <v>2326</v>
      </c>
      <c r="E1528" s="13" t="s">
        <v>1657</v>
      </c>
      <c r="F1528" t="str">
        <f t="shared" si="115"/>
        <v>Westview</v>
      </c>
      <c r="G1528" t="str">
        <f t="shared" si="116"/>
        <v>Westview10110Houston</v>
      </c>
      <c r="H1528" t="s">
        <v>32386</v>
      </c>
      <c r="I1528" t="s">
        <v>23813</v>
      </c>
      <c r="J1528" t="str">
        <f t="shared" si="117"/>
        <v>E:\PropInv\MF</v>
      </c>
      <c r="K1528" s="103" t="str">
        <f>HYPERLINK("E:\PropInv\MF\Houston\Westview_10110_Westview Forest_Houston_01755","Westview_10110_Westview Forest_Houston_01755" )</f>
        <v>Westview_10110_Westview Forest_Houston_01755</v>
      </c>
      <c r="L1528" s="104" t="s">
        <v>22253</v>
      </c>
      <c r="M1528" s="103" t="str">
        <f t="shared" si="118"/>
        <v>http://oconnordata.com/mlink/modules/profile/index.cfm?action=profile&amp;prop_id=1755</v>
      </c>
      <c r="N1528" s="1" t="str">
        <f t="shared" si="119"/>
        <v>01755</v>
      </c>
    </row>
    <row r="1529" spans="1:14" x14ac:dyDescent="0.3">
      <c r="A1529" s="1">
        <v>1756</v>
      </c>
      <c r="B1529" s="7" t="s">
        <v>2321</v>
      </c>
      <c r="C1529" s="12">
        <v>10157</v>
      </c>
      <c r="D1529" s="7" t="s">
        <v>2327</v>
      </c>
      <c r="E1529" s="13" t="s">
        <v>1657</v>
      </c>
      <c r="F1529" t="str">
        <f t="shared" si="115"/>
        <v>Westview</v>
      </c>
      <c r="G1529" t="str">
        <f t="shared" si="116"/>
        <v>Westview10157Houston</v>
      </c>
      <c r="H1529" t="s">
        <v>32387</v>
      </c>
      <c r="I1529" t="s">
        <v>23814</v>
      </c>
      <c r="J1529" t="str">
        <f t="shared" si="117"/>
        <v>E:\PropInv\MF</v>
      </c>
      <c r="K1529" s="103" t="str">
        <f>HYPERLINK("E:\PropInv\MF\Houston\Westview Dr_10157_Park on Westview_Houston_01756","Westview Dr_10157_Park on Westview_Houston_01756" )</f>
        <v>Westview Dr_10157_Park on Westview_Houston_01756</v>
      </c>
      <c r="L1529" s="104" t="s">
        <v>22253</v>
      </c>
      <c r="M1529" s="103" t="str">
        <f t="shared" si="118"/>
        <v>http://oconnordata.com/mlink/modules/profile/index.cfm?action=profile&amp;prop_id=1756</v>
      </c>
      <c r="N1529" s="1" t="str">
        <f t="shared" si="119"/>
        <v>01756</v>
      </c>
    </row>
    <row r="1530" spans="1:14" x14ac:dyDescent="0.3">
      <c r="A1530" s="1">
        <v>1757</v>
      </c>
      <c r="B1530" s="7" t="s">
        <v>2264</v>
      </c>
      <c r="C1530" s="12">
        <v>1217</v>
      </c>
      <c r="D1530" s="7" t="s">
        <v>2328</v>
      </c>
      <c r="E1530" s="13" t="s">
        <v>1657</v>
      </c>
      <c r="F1530" t="str">
        <f t="shared" si="115"/>
        <v>Blalock</v>
      </c>
      <c r="G1530" t="str">
        <f t="shared" si="116"/>
        <v>Blalock1217Houston</v>
      </c>
      <c r="H1530" t="s">
        <v>32388</v>
      </c>
      <c r="I1530" t="s">
        <v>23815</v>
      </c>
      <c r="J1530" t="str">
        <f t="shared" si="117"/>
        <v>E:\PropInv\MF</v>
      </c>
      <c r="K1530" s="103" t="str">
        <f>HYPERLINK("E:\PropInv\MF\Houston\Blalock_1217_Cedar Branch_Houston_01757","Blalock_1217_Cedar Branch_Houston_01757" )</f>
        <v>Blalock_1217_Cedar Branch_Houston_01757</v>
      </c>
      <c r="L1530" s="104" t="s">
        <v>22253</v>
      </c>
      <c r="M1530" s="103" t="str">
        <f t="shared" si="118"/>
        <v>http://oconnordata.com/mlink/modules/profile/index.cfm?action=profile&amp;prop_id=1757</v>
      </c>
      <c r="N1530" s="1" t="str">
        <f t="shared" si="119"/>
        <v>01757</v>
      </c>
    </row>
    <row r="1531" spans="1:14" x14ac:dyDescent="0.3">
      <c r="A1531" s="1">
        <v>1759</v>
      </c>
      <c r="B1531" s="7" t="s">
        <v>100</v>
      </c>
      <c r="C1531" s="12">
        <v>1554</v>
      </c>
      <c r="D1531" s="7" t="s">
        <v>2329</v>
      </c>
      <c r="E1531" s="13" t="s">
        <v>1657</v>
      </c>
      <c r="F1531" t="str">
        <f t="shared" si="115"/>
        <v>Gessner</v>
      </c>
      <c r="G1531" t="str">
        <f t="shared" si="116"/>
        <v>Gessner1554Houston</v>
      </c>
      <c r="H1531" t="s">
        <v>32389</v>
      </c>
      <c r="I1531" t="s">
        <v>23816</v>
      </c>
      <c r="J1531" t="str">
        <f t="shared" si="117"/>
        <v>E:\PropInv\MF</v>
      </c>
      <c r="K1531" s="103" t="str">
        <f>HYPERLINK("E:\PropInv\MF\Houston\Gessner Dr_1554_Spring Pines_Houston_01759","Gessner Dr_1554_Spring Pines_Houston_01759" )</f>
        <v>Gessner Dr_1554_Spring Pines_Houston_01759</v>
      </c>
      <c r="L1531" s="104" t="s">
        <v>22253</v>
      </c>
      <c r="M1531" s="103" t="str">
        <f t="shared" si="118"/>
        <v>http://oconnordata.com/mlink/modules/profile/index.cfm?action=profile&amp;prop_id=1759</v>
      </c>
      <c r="N1531" s="1" t="str">
        <f t="shared" si="119"/>
        <v>01759</v>
      </c>
    </row>
    <row r="1532" spans="1:14" x14ac:dyDescent="0.3">
      <c r="A1532" s="1">
        <v>1760</v>
      </c>
      <c r="B1532" s="7" t="s">
        <v>2330</v>
      </c>
      <c r="C1532" s="12">
        <v>10011</v>
      </c>
      <c r="D1532" s="7" t="s">
        <v>2331</v>
      </c>
      <c r="E1532" s="13" t="s">
        <v>1657</v>
      </c>
      <c r="F1532" t="str">
        <f t="shared" si="115"/>
        <v>Hanka</v>
      </c>
      <c r="G1532" t="str">
        <f t="shared" si="116"/>
        <v>Hanka10011Houston</v>
      </c>
      <c r="H1532" t="s">
        <v>32390</v>
      </c>
      <c r="I1532" t="s">
        <v>23817</v>
      </c>
      <c r="J1532" t="str">
        <f t="shared" si="117"/>
        <v>E:\PropInv\MF</v>
      </c>
      <c r="K1532" s="103" t="str">
        <f>HYPERLINK("E:\PropInv\MF\Houston\Hanka_10011_Sir Charles_Houston_01760","Hanka_10011_Sir Charles_Houston_01760" )</f>
        <v>Hanka_10011_Sir Charles_Houston_01760</v>
      </c>
      <c r="L1532" s="104" t="s">
        <v>22253</v>
      </c>
      <c r="M1532" s="103" t="str">
        <f t="shared" si="118"/>
        <v>http://oconnordata.com/mlink/modules/profile/index.cfm?action=profile&amp;prop_id=1760</v>
      </c>
      <c r="N1532" s="1" t="str">
        <f t="shared" si="119"/>
        <v>01760</v>
      </c>
    </row>
    <row r="1533" spans="1:14" x14ac:dyDescent="0.3">
      <c r="A1533" s="1">
        <v>1761</v>
      </c>
      <c r="B1533" s="7" t="s">
        <v>2260</v>
      </c>
      <c r="C1533" s="12">
        <v>10107</v>
      </c>
      <c r="D1533" s="7" t="s">
        <v>2332</v>
      </c>
      <c r="E1533" s="13" t="s">
        <v>1657</v>
      </c>
      <c r="F1533" t="str">
        <f t="shared" si="115"/>
        <v>Westview</v>
      </c>
      <c r="G1533" t="str">
        <f t="shared" si="116"/>
        <v>Westview10107Houston</v>
      </c>
      <c r="H1533" t="s">
        <v>32391</v>
      </c>
      <c r="I1533" t="s">
        <v>23818</v>
      </c>
      <c r="J1533" t="str">
        <f t="shared" si="117"/>
        <v>E:\PropInv\MF</v>
      </c>
      <c r="K1533" s="103" t="str">
        <f>HYPERLINK("E:\PropInv\MF\Houston\Westview_10107_Front Royale_Houston_01761","Westview_10107_Front Royale_Houston_01761" )</f>
        <v>Westview_10107_Front Royale_Houston_01761</v>
      </c>
      <c r="L1533" s="104" t="s">
        <v>22253</v>
      </c>
      <c r="M1533" s="103" t="str">
        <f t="shared" si="118"/>
        <v>http://oconnordata.com/mlink/modules/profile/index.cfm?action=profile&amp;prop_id=1761</v>
      </c>
      <c r="N1533" s="1" t="str">
        <f t="shared" si="119"/>
        <v>01761</v>
      </c>
    </row>
    <row r="1534" spans="1:14" x14ac:dyDescent="0.3">
      <c r="A1534" s="1">
        <v>1762</v>
      </c>
      <c r="B1534" s="7" t="s">
        <v>2264</v>
      </c>
      <c r="C1534" s="12">
        <v>1550</v>
      </c>
      <c r="D1534" s="7" t="s">
        <v>1472</v>
      </c>
      <c r="E1534" s="13" t="s">
        <v>1657</v>
      </c>
      <c r="F1534" t="str">
        <f t="shared" si="115"/>
        <v>Blalock</v>
      </c>
      <c r="G1534" t="str">
        <f t="shared" si="116"/>
        <v>Blalock1550Houston</v>
      </c>
      <c r="H1534" t="s">
        <v>32392</v>
      </c>
      <c r="I1534" t="s">
        <v>23819</v>
      </c>
      <c r="J1534" t="str">
        <f t="shared" si="117"/>
        <v>E:\PropInv\MF</v>
      </c>
      <c r="K1534" s="103" t="str">
        <f>HYPERLINK("E:\PropInv\MF\Houston\Blalock_1550_Walnut Hill_Houston_01762","Blalock_1550_Walnut Hill_Houston_01762" )</f>
        <v>Blalock_1550_Walnut Hill_Houston_01762</v>
      </c>
      <c r="L1534" s="104" t="s">
        <v>22253</v>
      </c>
      <c r="M1534" s="103" t="str">
        <f t="shared" si="118"/>
        <v>http://oconnordata.com/mlink/modules/profile/index.cfm?action=profile&amp;prop_id=1762</v>
      </c>
      <c r="N1534" s="1" t="str">
        <f t="shared" si="119"/>
        <v>01762</v>
      </c>
    </row>
    <row r="1535" spans="1:14" x14ac:dyDescent="0.3">
      <c r="A1535" s="1">
        <v>1763</v>
      </c>
      <c r="B1535" s="7" t="s">
        <v>2333</v>
      </c>
      <c r="C1535" s="12">
        <v>1515</v>
      </c>
      <c r="D1535" s="7" t="s">
        <v>2334</v>
      </c>
      <c r="E1535" s="13" t="s">
        <v>1657</v>
      </c>
      <c r="F1535" t="str">
        <f t="shared" si="115"/>
        <v>Campbell</v>
      </c>
      <c r="G1535" t="str">
        <f t="shared" si="116"/>
        <v>Campbell1515Houston</v>
      </c>
      <c r="H1535" t="s">
        <v>32393</v>
      </c>
      <c r="I1535" t="s">
        <v>23820</v>
      </c>
      <c r="J1535" t="str">
        <f t="shared" si="117"/>
        <v>E:\PropInv\MF</v>
      </c>
      <c r="K1535" s="103" t="str">
        <f>HYPERLINK("E:\PropInv\MF\Houston\Campbell Rd_1515_Cedar Forest_Houston_01763","Campbell Rd_1515_Cedar Forest_Houston_01763" )</f>
        <v>Campbell Rd_1515_Cedar Forest_Houston_01763</v>
      </c>
      <c r="L1535" s="104" t="s">
        <v>22253</v>
      </c>
      <c r="M1535" s="103" t="str">
        <f t="shared" si="118"/>
        <v>http://oconnordata.com/mlink/modules/profile/index.cfm?action=profile&amp;prop_id=1763</v>
      </c>
      <c r="N1535" s="1" t="str">
        <f t="shared" si="119"/>
        <v>01763</v>
      </c>
    </row>
    <row r="1536" spans="1:14" x14ac:dyDescent="0.3">
      <c r="A1536" s="1">
        <v>1764</v>
      </c>
      <c r="B1536" s="7" t="s">
        <v>2335</v>
      </c>
      <c r="C1536" s="12">
        <v>1221</v>
      </c>
      <c r="D1536" s="7" t="s">
        <v>2336</v>
      </c>
      <c r="E1536" s="13" t="s">
        <v>1657</v>
      </c>
      <c r="F1536" t="str">
        <f t="shared" si="115"/>
        <v>Cedar</v>
      </c>
      <c r="G1536" t="str">
        <f t="shared" si="116"/>
        <v>Cedar1221Houston</v>
      </c>
      <c r="H1536" t="s">
        <v>32394</v>
      </c>
      <c r="I1536" t="s">
        <v>23821</v>
      </c>
      <c r="J1536" t="str">
        <f t="shared" si="117"/>
        <v>E:\PropInv\MF</v>
      </c>
      <c r="K1536" s="103" t="str">
        <f>HYPERLINK("E:\PropInv\MF\Houston\Cedar Post Ln_1221_Timber Trace_Houston_01764","Cedar Post Ln_1221_Timber Trace_Houston_01764" )</f>
        <v>Cedar Post Ln_1221_Timber Trace_Houston_01764</v>
      </c>
      <c r="L1536" s="104" t="s">
        <v>22253</v>
      </c>
      <c r="M1536" s="103" t="str">
        <f t="shared" si="118"/>
        <v>http://oconnordata.com/mlink/modules/profile/index.cfm?action=profile&amp;prop_id=1764</v>
      </c>
      <c r="N1536" s="1" t="str">
        <f t="shared" si="119"/>
        <v>01764</v>
      </c>
    </row>
    <row r="1537" spans="1:14" x14ac:dyDescent="0.3">
      <c r="A1537" s="1">
        <v>1765</v>
      </c>
      <c r="B1537" s="7" t="s">
        <v>2337</v>
      </c>
      <c r="C1537" s="12">
        <v>1250</v>
      </c>
      <c r="D1537" s="7" t="s">
        <v>2338</v>
      </c>
      <c r="E1537" s="13" t="s">
        <v>1657</v>
      </c>
      <c r="F1537" t="str">
        <f t="shared" si="115"/>
        <v>Cedar</v>
      </c>
      <c r="G1537" t="str">
        <f t="shared" si="116"/>
        <v>Cedar1250Houston</v>
      </c>
      <c r="H1537" t="s">
        <v>32395</v>
      </c>
      <c r="I1537" t="s">
        <v>23822</v>
      </c>
      <c r="J1537" t="str">
        <f t="shared" si="117"/>
        <v>E:\PropInv\MF</v>
      </c>
      <c r="K1537" s="103" t="str">
        <f>HYPERLINK("E:\PropInv\MF\Houston\Cedar Post_1250_La Petite_Houston_01765","Cedar Post_1250_La Petite_Houston_01765" )</f>
        <v>Cedar Post_1250_La Petite_Houston_01765</v>
      </c>
      <c r="L1537" s="104" t="s">
        <v>22253</v>
      </c>
      <c r="M1537" s="103" t="str">
        <f t="shared" si="118"/>
        <v>http://oconnordata.com/mlink/modules/profile/index.cfm?action=profile&amp;prop_id=1765</v>
      </c>
      <c r="N1537" s="1" t="str">
        <f t="shared" si="119"/>
        <v>01765</v>
      </c>
    </row>
    <row r="1538" spans="1:14" x14ac:dyDescent="0.3">
      <c r="A1538" s="1">
        <v>1766</v>
      </c>
      <c r="B1538" s="7" t="s">
        <v>2337</v>
      </c>
      <c r="C1538" s="12">
        <v>1325</v>
      </c>
      <c r="D1538" s="7" t="s">
        <v>2339</v>
      </c>
      <c r="E1538" s="13" t="s">
        <v>1657</v>
      </c>
      <c r="F1538" t="str">
        <f t="shared" ref="F1538:F1601" si="120">IFERROR(LEFT(B1538,FIND(" ",B1538)-1),B1538)</f>
        <v>Cedar</v>
      </c>
      <c r="G1538" t="str">
        <f t="shared" ref="G1538:G1601" si="121">F1538&amp;C1538&amp;E1538</f>
        <v>Cedar1325Houston</v>
      </c>
      <c r="H1538" t="s">
        <v>32396</v>
      </c>
      <c r="I1538" t="s">
        <v>23823</v>
      </c>
      <c r="J1538" t="str">
        <f t="shared" ref="J1538:J1601" si="122">IF(L1538="TX",Folder_Path,Folder_Path&amp;"\State_"&amp;L1538)</f>
        <v>E:\PropInv\MF</v>
      </c>
      <c r="K1538" s="103" t="str">
        <f>HYPERLINK("E:\PropInv\MF\Houston\Cedar Post_1325_Cedar Gate_Houston_01766","Cedar Post_1325_Cedar Gate_Houston_01766" )</f>
        <v>Cedar Post_1325_Cedar Gate_Houston_01766</v>
      </c>
      <c r="L1538" s="104" t="s">
        <v>22253</v>
      </c>
      <c r="M1538" s="103" t="str">
        <f t="shared" ref="M1538:M1601" si="123">HYPERLINK("http://oconnordata.com/mlink/modules/profile/index.cfm?action=profile&amp;prop_id="&amp;A1538)</f>
        <v>http://oconnordata.com/mlink/modules/profile/index.cfm?action=profile&amp;prop_id=1766</v>
      </c>
      <c r="N1538" s="1" t="str">
        <f t="shared" ref="N1538:N1601" si="124">IF(LEN(A1538)=1,"0000"&amp;A1538,IF(LEN(A1538)=2,"000"&amp;A1538,IF(LEN(A1538)=3,"00"&amp;A1538,IF(LEN(A1538)=4,"0"&amp;A1538,IF(LEN(A1538)=5,IF(LEFT(A1538,1)="3",A1538+30000,A1538))))))</f>
        <v>01766</v>
      </c>
    </row>
    <row r="1539" spans="1:14" x14ac:dyDescent="0.3">
      <c r="A1539" s="1">
        <v>1767</v>
      </c>
      <c r="B1539" s="7" t="s">
        <v>2305</v>
      </c>
      <c r="C1539" s="12">
        <v>9225</v>
      </c>
      <c r="D1539" s="7" t="s">
        <v>2340</v>
      </c>
      <c r="E1539" s="13" t="s">
        <v>1657</v>
      </c>
      <c r="F1539" t="str">
        <f t="shared" si="120"/>
        <v>Long</v>
      </c>
      <c r="G1539" t="str">
        <f t="shared" si="121"/>
        <v>Long9225Houston</v>
      </c>
      <c r="H1539" t="s">
        <v>32397</v>
      </c>
      <c r="I1539" t="s">
        <v>23824</v>
      </c>
      <c r="J1539" t="str">
        <f t="shared" si="122"/>
        <v>E:\PropInv\MF</v>
      </c>
      <c r="K1539" s="103" t="str">
        <f>HYPERLINK("E:\PropInv\MF\Houston\Long Point_9225_Mount Vernon Manor_Houston_01767","Long Point_9225_Mount Vernon Manor_Houston_01767" )</f>
        <v>Long Point_9225_Mount Vernon Manor_Houston_01767</v>
      </c>
      <c r="L1539" s="104" t="s">
        <v>22253</v>
      </c>
      <c r="M1539" s="103" t="str">
        <f t="shared" si="123"/>
        <v>http://oconnordata.com/mlink/modules/profile/index.cfm?action=profile&amp;prop_id=1767</v>
      </c>
      <c r="N1539" s="1" t="str">
        <f t="shared" si="124"/>
        <v>01767</v>
      </c>
    </row>
    <row r="1540" spans="1:14" x14ac:dyDescent="0.3">
      <c r="A1540" s="1">
        <v>1768</v>
      </c>
      <c r="B1540" s="7" t="s">
        <v>1878</v>
      </c>
      <c r="C1540" s="12">
        <v>5500</v>
      </c>
      <c r="D1540" s="7" t="s">
        <v>2341</v>
      </c>
      <c r="E1540" s="13" t="s">
        <v>1657</v>
      </c>
      <c r="F1540" t="str">
        <f t="shared" si="120"/>
        <v>Antoine</v>
      </c>
      <c r="G1540" t="str">
        <f t="shared" si="121"/>
        <v>Antoine5500Houston</v>
      </c>
      <c r="H1540" t="s">
        <v>32398</v>
      </c>
      <c r="I1540" t="s">
        <v>23825</v>
      </c>
      <c r="J1540" t="str">
        <f t="shared" si="122"/>
        <v>E:\PropInv\MF</v>
      </c>
      <c r="K1540" s="103" t="str">
        <f>HYPERLINK("E:\PropInv\MF\Houston\Antoine_5500_Oak Glen_Houston_01768","Antoine_5500_Oak Glen_Houston_01768" )</f>
        <v>Antoine_5500_Oak Glen_Houston_01768</v>
      </c>
      <c r="L1540" s="104" t="s">
        <v>22253</v>
      </c>
      <c r="M1540" s="103" t="str">
        <f t="shared" si="123"/>
        <v>http://oconnordata.com/mlink/modules/profile/index.cfm?action=profile&amp;prop_id=1768</v>
      </c>
      <c r="N1540" s="1" t="str">
        <f t="shared" si="124"/>
        <v>01768</v>
      </c>
    </row>
    <row r="1541" spans="1:14" x14ac:dyDescent="0.3">
      <c r="A1541" s="1">
        <v>1769</v>
      </c>
      <c r="B1541" s="7" t="s">
        <v>1878</v>
      </c>
      <c r="C1541" s="12">
        <v>5555</v>
      </c>
      <c r="D1541" s="7" t="s">
        <v>2342</v>
      </c>
      <c r="E1541" s="13" t="s">
        <v>1657</v>
      </c>
      <c r="F1541" t="str">
        <f t="shared" si="120"/>
        <v>Antoine</v>
      </c>
      <c r="G1541" t="str">
        <f t="shared" si="121"/>
        <v>Antoine5555Houston</v>
      </c>
      <c r="H1541" t="s">
        <v>32399</v>
      </c>
      <c r="I1541" t="s">
        <v>23826</v>
      </c>
      <c r="J1541" t="str">
        <f t="shared" si="122"/>
        <v>E:\PropInv\MF</v>
      </c>
      <c r="K1541" s="103" t="str">
        <f>HYPERLINK("E:\PropInv\MF\Houston\Antoine_5555_Oaks on Antoine_Houston_01769","Antoine_5555_Oaks on Antoine_Houston_01769" )</f>
        <v>Antoine_5555_Oaks on Antoine_Houston_01769</v>
      </c>
      <c r="L1541" s="104" t="s">
        <v>22253</v>
      </c>
      <c r="M1541" s="103" t="str">
        <f t="shared" si="123"/>
        <v>http://oconnordata.com/mlink/modules/profile/index.cfm?action=profile&amp;prop_id=1769</v>
      </c>
      <c r="N1541" s="1" t="str">
        <f t="shared" si="124"/>
        <v>01769</v>
      </c>
    </row>
    <row r="1542" spans="1:14" x14ac:dyDescent="0.3">
      <c r="A1542" s="1">
        <v>1771</v>
      </c>
      <c r="B1542" s="7" t="s">
        <v>2343</v>
      </c>
      <c r="C1542" s="12">
        <v>4200</v>
      </c>
      <c r="D1542" s="7" t="s">
        <v>2344</v>
      </c>
      <c r="E1542" s="13" t="s">
        <v>1657</v>
      </c>
      <c r="F1542" t="str">
        <f t="shared" si="120"/>
        <v>Lockfield</v>
      </c>
      <c r="G1542" t="str">
        <f t="shared" si="121"/>
        <v>Lockfield4200Houston</v>
      </c>
      <c r="H1542" t="s">
        <v>32400</v>
      </c>
      <c r="I1542" t="s">
        <v>23827</v>
      </c>
      <c r="J1542" t="str">
        <f t="shared" si="122"/>
        <v>E:\PropInv\MF</v>
      </c>
      <c r="K1542" s="103" t="str">
        <f>HYPERLINK("E:\PropInv\MF\Houston\Lockfield_4200_Crossings at Willow Bend_Houston_01771","Lockfield_4200_Crossings at Willow Bend_Houston_01771" )</f>
        <v>Lockfield_4200_Crossings at Willow Bend_Houston_01771</v>
      </c>
      <c r="L1542" s="104" t="s">
        <v>22253</v>
      </c>
      <c r="M1542" s="103" t="str">
        <f t="shared" si="123"/>
        <v>http://oconnordata.com/mlink/modules/profile/index.cfm?action=profile&amp;prop_id=1771</v>
      </c>
      <c r="N1542" s="1" t="str">
        <f t="shared" si="124"/>
        <v>01771</v>
      </c>
    </row>
    <row r="1543" spans="1:14" x14ac:dyDescent="0.3">
      <c r="A1543" s="1">
        <v>1772</v>
      </c>
      <c r="B1543" s="7" t="s">
        <v>2343</v>
      </c>
      <c r="C1543" s="12">
        <v>4222</v>
      </c>
      <c r="D1543" s="7" t="s">
        <v>2345</v>
      </c>
      <c r="E1543" s="13" t="s">
        <v>1657</v>
      </c>
      <c r="F1543" t="str">
        <f t="shared" si="120"/>
        <v>Lockfield</v>
      </c>
      <c r="G1543" t="str">
        <f t="shared" si="121"/>
        <v>Lockfield4222Houston</v>
      </c>
      <c r="H1543" t="s">
        <v>32401</v>
      </c>
      <c r="I1543" t="s">
        <v>23828</v>
      </c>
      <c r="J1543" t="str">
        <f t="shared" si="122"/>
        <v>E:\PropInv\MF</v>
      </c>
      <c r="K1543" s="103" t="str">
        <f>HYPERLINK("E:\PropInv\MF\Houston\Lockfield_4222_Oaks of Northwest Corners_Houston_01772","Lockfield_4222_Oaks of Northwest Corners_Houston_01772" )</f>
        <v>Lockfield_4222_Oaks of Northwest Corners_Houston_01772</v>
      </c>
      <c r="L1543" s="104" t="s">
        <v>22253</v>
      </c>
      <c r="M1543" s="103" t="str">
        <f t="shared" si="123"/>
        <v>http://oconnordata.com/mlink/modules/profile/index.cfm?action=profile&amp;prop_id=1772</v>
      </c>
      <c r="N1543" s="1" t="str">
        <f t="shared" si="124"/>
        <v>01772</v>
      </c>
    </row>
    <row r="1544" spans="1:14" x14ac:dyDescent="0.3">
      <c r="A1544" s="1">
        <v>1773</v>
      </c>
      <c r="B1544" s="7" t="s">
        <v>2346</v>
      </c>
      <c r="C1544" s="12">
        <v>3700</v>
      </c>
      <c r="D1544" s="7" t="s">
        <v>2347</v>
      </c>
      <c r="E1544" s="13" t="s">
        <v>1657</v>
      </c>
      <c r="F1544" t="str">
        <f t="shared" si="120"/>
        <v>Watonga</v>
      </c>
      <c r="G1544" t="str">
        <f t="shared" si="121"/>
        <v>Watonga3700Houston</v>
      </c>
      <c r="H1544" t="s">
        <v>32402</v>
      </c>
      <c r="I1544" t="s">
        <v>23829</v>
      </c>
      <c r="J1544" t="str">
        <f t="shared" si="122"/>
        <v>E:\PropInv\MF</v>
      </c>
      <c r="K1544" s="103" t="str">
        <f>HYPERLINK("E:\PropInv\MF\Houston\Watonga_3700_Indian Springs_Houston_01773","Watonga_3700_Indian Springs_Houston_01773" )</f>
        <v>Watonga_3700_Indian Springs_Houston_01773</v>
      </c>
      <c r="L1544" s="104" t="s">
        <v>22253</v>
      </c>
      <c r="M1544" s="103" t="str">
        <f t="shared" si="123"/>
        <v>http://oconnordata.com/mlink/modules/profile/index.cfm?action=profile&amp;prop_id=1773</v>
      </c>
      <c r="N1544" s="1" t="str">
        <f t="shared" si="124"/>
        <v>01773</v>
      </c>
    </row>
    <row r="1545" spans="1:14" x14ac:dyDescent="0.3">
      <c r="A1545" s="1">
        <v>1774</v>
      </c>
      <c r="B1545" s="7" t="s">
        <v>2346</v>
      </c>
      <c r="C1545" s="12">
        <v>3737</v>
      </c>
      <c r="D1545" s="7" t="s">
        <v>2348</v>
      </c>
      <c r="E1545" s="13" t="s">
        <v>1657</v>
      </c>
      <c r="F1545" t="str">
        <f t="shared" si="120"/>
        <v>Watonga</v>
      </c>
      <c r="G1545" t="str">
        <f t="shared" si="121"/>
        <v>Watonga3737Houston</v>
      </c>
      <c r="H1545" t="s">
        <v>32403</v>
      </c>
      <c r="I1545" t="s">
        <v>23830</v>
      </c>
      <c r="J1545" t="str">
        <f t="shared" si="122"/>
        <v>E:\PropInv\MF</v>
      </c>
      <c r="K1545" s="103" t="str">
        <f>HYPERLINK("E:\PropInv\MF\Houston\Watonga_3737_Lamonte Park TH_Houston_01774","Watonga_3737_Lamonte Park TH_Houston_01774" )</f>
        <v>Watonga_3737_Lamonte Park TH_Houston_01774</v>
      </c>
      <c r="L1545" s="104" t="s">
        <v>22253</v>
      </c>
      <c r="M1545" s="103" t="str">
        <f t="shared" si="123"/>
        <v>http://oconnordata.com/mlink/modules/profile/index.cfm?action=profile&amp;prop_id=1774</v>
      </c>
      <c r="N1545" s="1" t="str">
        <f t="shared" si="124"/>
        <v>01774</v>
      </c>
    </row>
    <row r="1546" spans="1:14" x14ac:dyDescent="0.3">
      <c r="A1546" s="1">
        <v>1775</v>
      </c>
      <c r="B1546" s="7" t="s">
        <v>2305</v>
      </c>
      <c r="C1546" s="12">
        <v>9310</v>
      </c>
      <c r="D1546" s="7" t="s">
        <v>2349</v>
      </c>
      <c r="E1546" s="13" t="s">
        <v>1657</v>
      </c>
      <c r="F1546" t="str">
        <f t="shared" si="120"/>
        <v>Long</v>
      </c>
      <c r="G1546" t="str">
        <f t="shared" si="121"/>
        <v>Long9310Houston</v>
      </c>
      <c r="H1546" t="s">
        <v>32404</v>
      </c>
      <c r="I1546" t="s">
        <v>23831</v>
      </c>
      <c r="J1546" t="str">
        <f t="shared" si="122"/>
        <v>E:\PropInv\MF</v>
      </c>
      <c r="K1546" s="103" t="str">
        <f>HYPERLINK("E:\PropInv\MF\Houston\Long Point_9310_Southern Gardens_Houston_01775","Long Point_9310_Southern Gardens_Houston_01775" )</f>
        <v>Long Point_9310_Southern Gardens_Houston_01775</v>
      </c>
      <c r="L1546" s="104" t="s">
        <v>22253</v>
      </c>
      <c r="M1546" s="103" t="str">
        <f t="shared" si="123"/>
        <v>http://oconnordata.com/mlink/modules/profile/index.cfm?action=profile&amp;prop_id=1775</v>
      </c>
      <c r="N1546" s="1" t="str">
        <f t="shared" si="124"/>
        <v>01775</v>
      </c>
    </row>
    <row r="1547" spans="1:14" x14ac:dyDescent="0.3">
      <c r="A1547" s="1">
        <v>1778</v>
      </c>
      <c r="B1547" s="7" t="s">
        <v>2350</v>
      </c>
      <c r="C1547" s="12">
        <v>4102</v>
      </c>
      <c r="D1547" s="7" t="s">
        <v>2351</v>
      </c>
      <c r="E1547" s="13" t="s">
        <v>1657</v>
      </c>
      <c r="F1547" t="str">
        <f t="shared" si="120"/>
        <v>Mangum</v>
      </c>
      <c r="G1547" t="str">
        <f t="shared" si="121"/>
        <v>Mangum4102Houston</v>
      </c>
      <c r="H1547" t="s">
        <v>32405</v>
      </c>
      <c r="I1547" t="s">
        <v>23832</v>
      </c>
      <c r="J1547" t="str">
        <f t="shared" si="122"/>
        <v>E:\PropInv\MF</v>
      </c>
      <c r="K1547" s="103" t="str">
        <f>HYPERLINK("E:\PropInv\MF\Houston\Mangum_4102_Delta 1 Apts_Houston_01778","Mangum_4102_Delta 1 Apts_Houston_01778" )</f>
        <v>Mangum_4102_Delta 1 Apts_Houston_01778</v>
      </c>
      <c r="L1547" s="104" t="s">
        <v>22253</v>
      </c>
      <c r="M1547" s="103" t="str">
        <f t="shared" si="123"/>
        <v>http://oconnordata.com/mlink/modules/profile/index.cfm?action=profile&amp;prop_id=1778</v>
      </c>
      <c r="N1547" s="1" t="str">
        <f t="shared" si="124"/>
        <v>01778</v>
      </c>
    </row>
    <row r="1548" spans="1:14" x14ac:dyDescent="0.3">
      <c r="A1548" s="1">
        <v>1779</v>
      </c>
      <c r="B1548" s="7" t="s">
        <v>2350</v>
      </c>
      <c r="C1548" s="12">
        <v>4225</v>
      </c>
      <c r="D1548" s="7" t="s">
        <v>2352</v>
      </c>
      <c r="E1548" s="13" t="s">
        <v>1657</v>
      </c>
      <c r="F1548" t="str">
        <f t="shared" si="120"/>
        <v>Mangum</v>
      </c>
      <c r="G1548" t="str">
        <f t="shared" si="121"/>
        <v>Mangum4225Houston</v>
      </c>
      <c r="H1548" t="s">
        <v>32406</v>
      </c>
      <c r="I1548" t="s">
        <v>23833</v>
      </c>
      <c r="J1548" t="str">
        <f t="shared" si="122"/>
        <v>E:\PropInv\MF</v>
      </c>
      <c r="K1548" s="103" t="str">
        <f>HYPERLINK("E:\PropInv\MF\Houston\Mangum_4225_Hidden Park_Houston_01779","Mangum_4225_Hidden Park_Houston_01779" )</f>
        <v>Mangum_4225_Hidden Park_Houston_01779</v>
      </c>
      <c r="L1548" s="104" t="s">
        <v>22253</v>
      </c>
      <c r="M1548" s="103" t="str">
        <f t="shared" si="123"/>
        <v>http://oconnordata.com/mlink/modules/profile/index.cfm?action=profile&amp;prop_id=1779</v>
      </c>
      <c r="N1548" s="1" t="str">
        <f t="shared" si="124"/>
        <v>01779</v>
      </c>
    </row>
    <row r="1549" spans="1:14" x14ac:dyDescent="0.3">
      <c r="A1549" s="1">
        <v>1781</v>
      </c>
      <c r="B1549" s="7" t="s">
        <v>2353</v>
      </c>
      <c r="C1549" s="12">
        <v>1501</v>
      </c>
      <c r="D1549" s="7" t="s">
        <v>885</v>
      </c>
      <c r="E1549" s="13" t="s">
        <v>1657</v>
      </c>
      <c r="F1549" t="str">
        <f t="shared" si="120"/>
        <v>Ojeman</v>
      </c>
      <c r="G1549" t="str">
        <f t="shared" si="121"/>
        <v>Ojeman1501Houston</v>
      </c>
      <c r="H1549" t="s">
        <v>32407</v>
      </c>
      <c r="I1549" t="s">
        <v>23834</v>
      </c>
      <c r="J1549" t="str">
        <f t="shared" si="122"/>
        <v>E:\PropInv\MF</v>
      </c>
      <c r="K1549" s="103" t="str">
        <f>HYPERLINK("E:\PropInv\MF\Houston\Ojeman Rd_1501_Montrose_Houston_01781","Ojeman Rd_1501_Montrose_Houston_01781" )</f>
        <v>Ojeman Rd_1501_Montrose_Houston_01781</v>
      </c>
      <c r="L1549" s="104" t="s">
        <v>22253</v>
      </c>
      <c r="M1549" s="103" t="str">
        <f t="shared" si="123"/>
        <v>http://oconnordata.com/mlink/modules/profile/index.cfm?action=profile&amp;prop_id=1781</v>
      </c>
      <c r="N1549" s="1" t="str">
        <f t="shared" si="124"/>
        <v>01781</v>
      </c>
    </row>
    <row r="1550" spans="1:14" x14ac:dyDescent="0.3">
      <c r="A1550" s="1">
        <v>1782</v>
      </c>
      <c r="B1550" s="7" t="s">
        <v>2301</v>
      </c>
      <c r="C1550" s="12">
        <v>5801</v>
      </c>
      <c r="D1550" s="7" t="s">
        <v>2354</v>
      </c>
      <c r="E1550" s="13" t="s">
        <v>1657</v>
      </c>
      <c r="F1550" t="str">
        <f t="shared" si="120"/>
        <v>Sunforest</v>
      </c>
      <c r="G1550" t="str">
        <f t="shared" si="121"/>
        <v>Sunforest5801Houston</v>
      </c>
      <c r="H1550" t="s">
        <v>32408</v>
      </c>
      <c r="I1550" t="s">
        <v>23835</v>
      </c>
      <c r="J1550" t="str">
        <f t="shared" si="122"/>
        <v>E:\PropInv\MF</v>
      </c>
      <c r="K1550" s="103" t="str">
        <f>HYPERLINK("E:\PropInv\MF\Houston\Sunforest_5801_Luxor Park_Houston_01782","Sunforest_5801_Luxor Park_Houston_01782" )</f>
        <v>Sunforest_5801_Luxor Park_Houston_01782</v>
      </c>
      <c r="L1550" s="104" t="s">
        <v>22253</v>
      </c>
      <c r="M1550" s="103" t="str">
        <f t="shared" si="123"/>
        <v>http://oconnordata.com/mlink/modules/profile/index.cfm?action=profile&amp;prop_id=1782</v>
      </c>
      <c r="N1550" s="1" t="str">
        <f t="shared" si="124"/>
        <v>01782</v>
      </c>
    </row>
    <row r="1551" spans="1:14" x14ac:dyDescent="0.3">
      <c r="A1551" s="1">
        <v>1783</v>
      </c>
      <c r="B1551" s="7" t="s">
        <v>2346</v>
      </c>
      <c r="C1551" s="12">
        <v>4000</v>
      </c>
      <c r="D1551" s="7" t="s">
        <v>2355</v>
      </c>
      <c r="E1551" s="13" t="s">
        <v>1657</v>
      </c>
      <c r="F1551" t="str">
        <f t="shared" si="120"/>
        <v>Watonga</v>
      </c>
      <c r="G1551" t="str">
        <f t="shared" si="121"/>
        <v>Watonga4000Houston</v>
      </c>
      <c r="H1551" t="s">
        <v>32409</v>
      </c>
      <c r="I1551" t="s">
        <v>23836</v>
      </c>
      <c r="J1551" t="str">
        <f t="shared" si="122"/>
        <v>E:\PropInv\MF</v>
      </c>
      <c r="K1551" s="103" t="str">
        <f>HYPERLINK("E:\PropInv\MF\Houston\Watonga_4000_Sierra Ranch_Houston_01783","Watonga_4000_Sierra Ranch_Houston_01783" )</f>
        <v>Watonga_4000_Sierra Ranch_Houston_01783</v>
      </c>
      <c r="L1551" s="104" t="s">
        <v>22253</v>
      </c>
      <c r="M1551" s="103" t="str">
        <f t="shared" si="123"/>
        <v>http://oconnordata.com/mlink/modules/profile/index.cfm?action=profile&amp;prop_id=1783</v>
      </c>
      <c r="N1551" s="1" t="str">
        <f t="shared" si="124"/>
        <v>01783</v>
      </c>
    </row>
    <row r="1552" spans="1:14" x14ac:dyDescent="0.3">
      <c r="A1552" s="1">
        <v>1785</v>
      </c>
      <c r="B1552" s="19" t="s">
        <v>2356</v>
      </c>
      <c r="C1552" s="18">
        <v>5353</v>
      </c>
      <c r="D1552" s="19" t="s">
        <v>2357</v>
      </c>
      <c r="E1552" s="20" t="s">
        <v>1657</v>
      </c>
      <c r="F1552" t="str">
        <f t="shared" si="120"/>
        <v>DeSoto</v>
      </c>
      <c r="G1552" t="str">
        <f t="shared" si="121"/>
        <v>DeSoto5353Houston</v>
      </c>
      <c r="H1552" t="s">
        <v>32410</v>
      </c>
      <c r="I1552" t="s">
        <v>23837</v>
      </c>
      <c r="J1552" t="str">
        <f t="shared" si="122"/>
        <v>E:\PropInv\MF</v>
      </c>
      <c r="K1552" s="103" t="str">
        <f>HYPERLINK("E:\PropInv\MF\Houston\DeSoto_5353_Oak Brook_Houston_01785","DeSoto_5353_Oak Brook_Houston_01785" )</f>
        <v>DeSoto_5353_Oak Brook_Houston_01785</v>
      </c>
      <c r="L1552" s="104" t="s">
        <v>22253</v>
      </c>
      <c r="M1552" s="103" t="str">
        <f t="shared" si="123"/>
        <v>http://oconnordata.com/mlink/modules/profile/index.cfm?action=profile&amp;prop_id=1785</v>
      </c>
      <c r="N1552" s="1" t="str">
        <f t="shared" si="124"/>
        <v>01785</v>
      </c>
    </row>
    <row r="1553" spans="1:14" x14ac:dyDescent="0.3">
      <c r="A1553" s="1">
        <v>1786</v>
      </c>
      <c r="B1553" s="19" t="s">
        <v>2356</v>
      </c>
      <c r="C1553" s="18">
        <v>5399</v>
      </c>
      <c r="D1553" s="19" t="s">
        <v>2358</v>
      </c>
      <c r="E1553" s="20" t="s">
        <v>1657</v>
      </c>
      <c r="F1553" t="str">
        <f t="shared" si="120"/>
        <v>DeSoto</v>
      </c>
      <c r="G1553" t="str">
        <f t="shared" si="121"/>
        <v>DeSoto5399Houston</v>
      </c>
      <c r="H1553" t="s">
        <v>32411</v>
      </c>
      <c r="I1553" t="s">
        <v>23838</v>
      </c>
      <c r="J1553" t="str">
        <f t="shared" si="122"/>
        <v>E:\PropInv\MF</v>
      </c>
      <c r="K1553" s="103" t="str">
        <f>HYPERLINK("E:\PropInv\MF\Houston\DeSoto_5399_Candlewood Glen_Houston_01786","DeSoto_5399_Candlewood Glen_Houston_01786" )</f>
        <v>DeSoto_5399_Candlewood Glen_Houston_01786</v>
      </c>
      <c r="L1553" s="104" t="s">
        <v>22253</v>
      </c>
      <c r="M1553" s="103" t="str">
        <f t="shared" si="123"/>
        <v>http://oconnordata.com/mlink/modules/profile/index.cfm?action=profile&amp;prop_id=1786</v>
      </c>
      <c r="N1553" s="1" t="str">
        <f t="shared" si="124"/>
        <v>01786</v>
      </c>
    </row>
    <row r="1554" spans="1:14" x14ac:dyDescent="0.3">
      <c r="A1554" s="1">
        <v>1787</v>
      </c>
      <c r="B1554" s="7" t="s">
        <v>2356</v>
      </c>
      <c r="C1554" s="12">
        <v>5500</v>
      </c>
      <c r="D1554" s="7" t="s">
        <v>2359</v>
      </c>
      <c r="E1554" s="13" t="s">
        <v>1657</v>
      </c>
      <c r="F1554" t="str">
        <f t="shared" si="120"/>
        <v>DeSoto</v>
      </c>
      <c r="G1554" t="str">
        <f t="shared" si="121"/>
        <v>DeSoto5500Houston</v>
      </c>
      <c r="H1554" t="s">
        <v>32412</v>
      </c>
      <c r="I1554" t="s">
        <v>23839</v>
      </c>
      <c r="J1554" t="str">
        <f t="shared" si="122"/>
        <v>E:\PropInv\MF</v>
      </c>
      <c r="K1554" s="103" t="str">
        <f>HYPERLINK("E:\PropInv\MF\Houston\DeSoto_5500_Linda Vista_Houston_01787","DeSoto_5500_Linda Vista_Houston_01787" )</f>
        <v>DeSoto_5500_Linda Vista_Houston_01787</v>
      </c>
      <c r="L1554" s="104" t="s">
        <v>22253</v>
      </c>
      <c r="M1554" s="103" t="str">
        <f t="shared" si="123"/>
        <v>http://oconnordata.com/mlink/modules/profile/index.cfm?action=profile&amp;prop_id=1787</v>
      </c>
      <c r="N1554" s="1" t="str">
        <f t="shared" si="124"/>
        <v>01787</v>
      </c>
    </row>
    <row r="1555" spans="1:14" x14ac:dyDescent="0.3">
      <c r="A1555" s="1">
        <v>1788</v>
      </c>
      <c r="B1555" s="7" t="s">
        <v>2288</v>
      </c>
      <c r="C1555" s="12">
        <v>5959</v>
      </c>
      <c r="D1555" s="7" t="s">
        <v>2360</v>
      </c>
      <c r="E1555" s="13" t="s">
        <v>1657</v>
      </c>
      <c r="F1555" t="str">
        <f t="shared" si="120"/>
        <v>Pinemont</v>
      </c>
      <c r="G1555" t="str">
        <f t="shared" si="121"/>
        <v>Pinemont5959Houston</v>
      </c>
      <c r="H1555" t="s">
        <v>32413</v>
      </c>
      <c r="I1555" t="s">
        <v>23840</v>
      </c>
      <c r="J1555" t="str">
        <f t="shared" si="122"/>
        <v>E:\PropInv\MF</v>
      </c>
      <c r="K1555" s="103" t="str">
        <f>HYPERLINK("E:\PropInv\MF\Houston\Pinemont_5959_Pine Forest Park_Houston_01788","Pinemont_5959_Pine Forest Park_Houston_01788" )</f>
        <v>Pinemont_5959_Pine Forest Park_Houston_01788</v>
      </c>
      <c r="L1555" s="104" t="s">
        <v>22253</v>
      </c>
      <c r="M1555" s="103" t="str">
        <f t="shared" si="123"/>
        <v>http://oconnordata.com/mlink/modules/profile/index.cfm?action=profile&amp;prop_id=1788</v>
      </c>
      <c r="N1555" s="1" t="str">
        <f t="shared" si="124"/>
        <v>01788</v>
      </c>
    </row>
    <row r="1556" spans="1:14" x14ac:dyDescent="0.3">
      <c r="A1556" s="1">
        <v>1790</v>
      </c>
      <c r="B1556" s="7" t="s">
        <v>2350</v>
      </c>
      <c r="C1556" s="12">
        <v>4702</v>
      </c>
      <c r="D1556" s="7" t="s">
        <v>2361</v>
      </c>
      <c r="E1556" s="13" t="s">
        <v>1657</v>
      </c>
      <c r="F1556" t="str">
        <f t="shared" si="120"/>
        <v>Mangum</v>
      </c>
      <c r="G1556" t="str">
        <f t="shared" si="121"/>
        <v>Mangum4702Houston</v>
      </c>
      <c r="H1556" t="s">
        <v>32414</v>
      </c>
      <c r="I1556" t="s">
        <v>23841</v>
      </c>
      <c r="J1556" t="str">
        <f t="shared" si="122"/>
        <v>E:\PropInv\MF</v>
      </c>
      <c r="K1556" s="103" t="str">
        <f>HYPERLINK("E:\PropInv\MF\Houston\Mangum_4702_Mangum Oaks_Houston_01790","Mangum_4702_Mangum Oaks_Houston_01790" )</f>
        <v>Mangum_4702_Mangum Oaks_Houston_01790</v>
      </c>
      <c r="L1556" s="104" t="s">
        <v>22253</v>
      </c>
      <c r="M1556" s="103" t="str">
        <f t="shared" si="123"/>
        <v>http://oconnordata.com/mlink/modules/profile/index.cfm?action=profile&amp;prop_id=1790</v>
      </c>
      <c r="N1556" s="1" t="str">
        <f t="shared" si="124"/>
        <v>01790</v>
      </c>
    </row>
    <row r="1557" spans="1:14" x14ac:dyDescent="0.3">
      <c r="A1557" s="1">
        <v>1791</v>
      </c>
      <c r="B1557" s="7" t="s">
        <v>2362</v>
      </c>
      <c r="C1557" s="12">
        <v>11911</v>
      </c>
      <c r="D1557" s="7" t="s">
        <v>2363</v>
      </c>
      <c r="E1557" s="13" t="s">
        <v>1657</v>
      </c>
      <c r="F1557" t="str">
        <f t="shared" si="120"/>
        <v>NW</v>
      </c>
      <c r="G1557" t="str">
        <f t="shared" si="121"/>
        <v>NW11911Houston</v>
      </c>
      <c r="H1557" t="s">
        <v>32415</v>
      </c>
      <c r="I1557" t="s">
        <v>23842</v>
      </c>
      <c r="J1557" t="str">
        <f t="shared" si="122"/>
        <v>E:\PropInv\MF</v>
      </c>
      <c r="K1557" s="103" t="str">
        <f>HYPERLINK("E:\PropInv\MF\Houston\NW Fwy_11911_Creekwood_Houston_01791","NW Fwy_11911_Creekwood_Houston_01791" )</f>
        <v>NW Fwy_11911_Creekwood_Houston_01791</v>
      </c>
      <c r="L1557" s="104" t="s">
        <v>22253</v>
      </c>
      <c r="M1557" s="103" t="str">
        <f t="shared" si="123"/>
        <v>http://oconnordata.com/mlink/modules/profile/index.cfm?action=profile&amp;prop_id=1791</v>
      </c>
      <c r="N1557" s="1" t="str">
        <f t="shared" si="124"/>
        <v>01791</v>
      </c>
    </row>
    <row r="1558" spans="1:14" x14ac:dyDescent="0.3">
      <c r="A1558" s="1">
        <v>1793</v>
      </c>
      <c r="B1558" s="7" t="s">
        <v>2364</v>
      </c>
      <c r="C1558" s="12">
        <v>4800</v>
      </c>
      <c r="D1558" s="7" t="s">
        <v>2365</v>
      </c>
      <c r="E1558" s="13" t="s">
        <v>1657</v>
      </c>
      <c r="F1558" t="str">
        <f t="shared" si="120"/>
        <v>Lamonte</v>
      </c>
      <c r="G1558" t="str">
        <f t="shared" si="121"/>
        <v>Lamonte4800Houston</v>
      </c>
      <c r="H1558" t="s">
        <v>32416</v>
      </c>
      <c r="I1558" t="s">
        <v>23843</v>
      </c>
      <c r="J1558" t="str">
        <f t="shared" si="122"/>
        <v>E:\PropInv\MF</v>
      </c>
      <c r="K1558" s="103" t="str">
        <f>HYPERLINK("E:\PropInv\MF\Houston\Lamonte_4800_The Woods on Lamonte_Houston_01793","Lamonte_4800_The Woods on Lamonte_Houston_01793" )</f>
        <v>Lamonte_4800_The Woods on Lamonte_Houston_01793</v>
      </c>
      <c r="L1558" s="104" t="s">
        <v>22253</v>
      </c>
      <c r="M1558" s="103" t="str">
        <f t="shared" si="123"/>
        <v>http://oconnordata.com/mlink/modules/profile/index.cfm?action=profile&amp;prop_id=1793</v>
      </c>
      <c r="N1558" s="1" t="str">
        <f t="shared" si="124"/>
        <v>01793</v>
      </c>
    </row>
    <row r="1559" spans="1:14" x14ac:dyDescent="0.3">
      <c r="A1559" s="1">
        <v>1794</v>
      </c>
      <c r="B1559" s="7" t="s">
        <v>2167</v>
      </c>
      <c r="C1559" s="12">
        <v>5625</v>
      </c>
      <c r="D1559" s="7" t="s">
        <v>2366</v>
      </c>
      <c r="E1559" s="13" t="s">
        <v>1657</v>
      </c>
      <c r="F1559" t="str">
        <f t="shared" si="120"/>
        <v>Antoine</v>
      </c>
      <c r="G1559" t="str">
        <f t="shared" si="121"/>
        <v>Antoine5625Houston</v>
      </c>
      <c r="H1559" t="s">
        <v>32417</v>
      </c>
      <c r="I1559" t="s">
        <v>23844</v>
      </c>
      <c r="J1559" t="str">
        <f t="shared" si="122"/>
        <v>E:\PropInv\MF</v>
      </c>
      <c r="K1559" s="103" t="str">
        <f>HYPERLINK("E:\PropInv\MF\Houston\Antoine Dr_5625_Oakwood Gardens_Houston_01794","Antoine Dr_5625_Oakwood Gardens_Houston_01794" )</f>
        <v>Antoine Dr_5625_Oakwood Gardens_Houston_01794</v>
      </c>
      <c r="L1559" s="104" t="s">
        <v>22253</v>
      </c>
      <c r="M1559" s="103" t="str">
        <f t="shared" si="123"/>
        <v>http://oconnordata.com/mlink/modules/profile/index.cfm?action=profile&amp;prop_id=1794</v>
      </c>
      <c r="N1559" s="1" t="str">
        <f t="shared" si="124"/>
        <v>01794</v>
      </c>
    </row>
    <row r="1560" spans="1:14" x14ac:dyDescent="0.3">
      <c r="A1560" s="1">
        <v>1795</v>
      </c>
      <c r="B1560" s="7" t="s">
        <v>2356</v>
      </c>
      <c r="C1560" s="12">
        <v>5300</v>
      </c>
      <c r="D1560" s="7" t="s">
        <v>2367</v>
      </c>
      <c r="E1560" s="13" t="s">
        <v>1657</v>
      </c>
      <c r="F1560" t="str">
        <f t="shared" si="120"/>
        <v>DeSoto</v>
      </c>
      <c r="G1560" t="str">
        <f t="shared" si="121"/>
        <v>DeSoto5300Houston</v>
      </c>
      <c r="H1560" t="s">
        <v>32418</v>
      </c>
      <c r="I1560" t="s">
        <v>23845</v>
      </c>
      <c r="J1560" t="str">
        <f t="shared" si="122"/>
        <v>E:\PropInv\MF</v>
      </c>
      <c r="K1560" s="103" t="str">
        <f>HYPERLINK("E:\PropInv\MF\Houston\DeSoto_5300_Hunters Cove_Houston_01795","DeSoto_5300_Hunters Cove_Houston_01795" )</f>
        <v>DeSoto_5300_Hunters Cove_Houston_01795</v>
      </c>
      <c r="L1560" s="104" t="s">
        <v>22253</v>
      </c>
      <c r="M1560" s="103" t="str">
        <f t="shared" si="123"/>
        <v>http://oconnordata.com/mlink/modules/profile/index.cfm?action=profile&amp;prop_id=1795</v>
      </c>
      <c r="N1560" s="1" t="str">
        <f t="shared" si="124"/>
        <v>01795</v>
      </c>
    </row>
    <row r="1561" spans="1:14" x14ac:dyDescent="0.3">
      <c r="A1561" s="1">
        <v>1796</v>
      </c>
      <c r="B1561" s="7" t="s">
        <v>2368</v>
      </c>
      <c r="C1561" s="12">
        <v>6150</v>
      </c>
      <c r="D1561" s="7" t="s">
        <v>2369</v>
      </c>
      <c r="E1561" s="13" t="s">
        <v>1657</v>
      </c>
      <c r="F1561" t="str">
        <f t="shared" si="120"/>
        <v>Tidwell</v>
      </c>
      <c r="G1561" t="str">
        <f t="shared" si="121"/>
        <v>Tidwell6150Houston</v>
      </c>
      <c r="H1561" t="s">
        <v>32419</v>
      </c>
      <c r="I1561" t="s">
        <v>23846</v>
      </c>
      <c r="J1561" t="str">
        <f t="shared" si="122"/>
        <v>E:\PropInv\MF</v>
      </c>
      <c r="K1561" s="103" t="str">
        <f>HYPERLINK("E:\PropInv\MF\Houston\Tidwell W_6150_Aspen_Houston_01796","Tidwell W_6150_Aspen_Houston_01796" )</f>
        <v>Tidwell W_6150_Aspen_Houston_01796</v>
      </c>
      <c r="L1561" s="104" t="s">
        <v>22253</v>
      </c>
      <c r="M1561" s="103" t="str">
        <f t="shared" si="123"/>
        <v>http://oconnordata.com/mlink/modules/profile/index.cfm?action=profile&amp;prop_id=1796</v>
      </c>
      <c r="N1561" s="1" t="str">
        <f t="shared" si="124"/>
        <v>01796</v>
      </c>
    </row>
    <row r="1562" spans="1:14" x14ac:dyDescent="0.3">
      <c r="A1562" s="1">
        <v>1797</v>
      </c>
      <c r="B1562" s="7" t="s">
        <v>2368</v>
      </c>
      <c r="C1562" s="12">
        <v>6200</v>
      </c>
      <c r="D1562" s="7" t="s">
        <v>2370</v>
      </c>
      <c r="E1562" s="13" t="s">
        <v>1657</v>
      </c>
      <c r="F1562" t="str">
        <f t="shared" si="120"/>
        <v>Tidwell</v>
      </c>
      <c r="G1562" t="str">
        <f t="shared" si="121"/>
        <v>Tidwell6200Houston</v>
      </c>
      <c r="H1562" t="s">
        <v>32420</v>
      </c>
      <c r="I1562" t="s">
        <v>23847</v>
      </c>
      <c r="J1562" t="str">
        <f t="shared" si="122"/>
        <v>E:\PropInv\MF</v>
      </c>
      <c r="K1562" s="103" t="str">
        <f>HYPERLINK("E:\PropInv\MF\Houston\Tidwell W_6200_Asbury Park_Houston_01797","Tidwell W_6200_Asbury Park_Houston_01797" )</f>
        <v>Tidwell W_6200_Asbury Park_Houston_01797</v>
      </c>
      <c r="L1562" s="104" t="s">
        <v>22253</v>
      </c>
      <c r="M1562" s="103" t="str">
        <f t="shared" si="123"/>
        <v>http://oconnordata.com/mlink/modules/profile/index.cfm?action=profile&amp;prop_id=1797</v>
      </c>
      <c r="N1562" s="1" t="str">
        <f t="shared" si="124"/>
        <v>01797</v>
      </c>
    </row>
    <row r="1563" spans="1:14" x14ac:dyDescent="0.3">
      <c r="A1563" s="1">
        <v>1798</v>
      </c>
      <c r="B1563" s="7" t="s">
        <v>2371</v>
      </c>
      <c r="C1563" s="12">
        <v>6500</v>
      </c>
      <c r="D1563" s="7" t="s">
        <v>2372</v>
      </c>
      <c r="E1563" s="13" t="s">
        <v>1657</v>
      </c>
      <c r="F1563" t="str">
        <f t="shared" si="120"/>
        <v>43rd</v>
      </c>
      <c r="G1563" t="str">
        <f t="shared" si="121"/>
        <v>43rd6500Houston</v>
      </c>
      <c r="H1563" t="s">
        <v>32421</v>
      </c>
      <c r="I1563" t="s">
        <v>23848</v>
      </c>
      <c r="J1563" t="str">
        <f t="shared" si="122"/>
        <v>E:\PropInv\MF</v>
      </c>
      <c r="K1563" s="103" t="str">
        <f>HYPERLINK("E:\PropInv\MF\Houston\43rd St W_6500_Vintage_Houston_01798","43rd St W_6500_Vintage_Houston_01798" )</f>
        <v>43rd St W_6500_Vintage_Houston_01798</v>
      </c>
      <c r="L1563" s="104" t="s">
        <v>22253</v>
      </c>
      <c r="M1563" s="103" t="str">
        <f t="shared" si="123"/>
        <v>http://oconnordata.com/mlink/modules/profile/index.cfm?action=profile&amp;prop_id=1798</v>
      </c>
      <c r="N1563" s="1" t="str">
        <f t="shared" si="124"/>
        <v>01798</v>
      </c>
    </row>
    <row r="1564" spans="1:14" x14ac:dyDescent="0.3">
      <c r="A1564" s="1">
        <v>1799</v>
      </c>
      <c r="B1564" s="7" t="s">
        <v>2373</v>
      </c>
      <c r="C1564" s="12">
        <v>5353</v>
      </c>
      <c r="D1564" s="7" t="s">
        <v>2374</v>
      </c>
      <c r="E1564" s="13" t="s">
        <v>1657</v>
      </c>
      <c r="F1564" t="str">
        <f t="shared" si="120"/>
        <v>Deep</v>
      </c>
      <c r="G1564" t="str">
        <f t="shared" si="121"/>
        <v>Deep5353Houston</v>
      </c>
      <c r="H1564" t="s">
        <v>32422</v>
      </c>
      <c r="I1564" t="s">
        <v>23849</v>
      </c>
      <c r="J1564" t="str">
        <f t="shared" si="122"/>
        <v>E:\PropInv\MF</v>
      </c>
      <c r="K1564" s="103" t="str">
        <f>HYPERLINK("E:\PropInv\MF\Houston\Deep Forest_5353_Pine Forest Place_Houston_01799","Deep Forest_5353_Pine Forest Place_Houston_01799" )</f>
        <v>Deep Forest_5353_Pine Forest Place_Houston_01799</v>
      </c>
      <c r="L1564" s="104" t="s">
        <v>22253</v>
      </c>
      <c r="M1564" s="103" t="str">
        <f t="shared" si="123"/>
        <v>http://oconnordata.com/mlink/modules/profile/index.cfm?action=profile&amp;prop_id=1799</v>
      </c>
      <c r="N1564" s="1" t="str">
        <f t="shared" si="124"/>
        <v>01799</v>
      </c>
    </row>
    <row r="1565" spans="1:14" x14ac:dyDescent="0.3">
      <c r="A1565" s="1">
        <v>1800</v>
      </c>
      <c r="B1565" s="7" t="s">
        <v>2375</v>
      </c>
      <c r="C1565" s="12">
        <v>5310</v>
      </c>
      <c r="D1565" s="7" t="s">
        <v>2376</v>
      </c>
      <c r="E1565" s="13" t="s">
        <v>1657</v>
      </c>
      <c r="F1565" t="str">
        <f t="shared" si="120"/>
        <v>Lost</v>
      </c>
      <c r="G1565" t="str">
        <f t="shared" si="121"/>
        <v>Lost5310Houston</v>
      </c>
      <c r="H1565" t="s">
        <v>32423</v>
      </c>
      <c r="I1565" t="s">
        <v>23850</v>
      </c>
      <c r="J1565" t="str">
        <f t="shared" si="122"/>
        <v>E:\PropInv\MF</v>
      </c>
      <c r="K1565" s="103" t="str">
        <f>HYPERLINK("E:\PropInv\MF\Houston\Lost Forest_5310_Pine Arbor_Houston_01800","Lost Forest_5310_Pine Arbor_Houston_01800" )</f>
        <v>Lost Forest_5310_Pine Arbor_Houston_01800</v>
      </c>
      <c r="L1565" s="104" t="s">
        <v>22253</v>
      </c>
      <c r="M1565" s="103" t="str">
        <f t="shared" si="123"/>
        <v>http://oconnordata.com/mlink/modules/profile/index.cfm?action=profile&amp;prop_id=1800</v>
      </c>
      <c r="N1565" s="1" t="str">
        <f t="shared" si="124"/>
        <v>01800</v>
      </c>
    </row>
    <row r="1566" spans="1:14" x14ac:dyDescent="0.3">
      <c r="A1566" s="1">
        <v>1801</v>
      </c>
      <c r="B1566" s="7" t="s">
        <v>2377</v>
      </c>
      <c r="C1566" s="12">
        <v>5801</v>
      </c>
      <c r="D1566" s="7" t="s">
        <v>2378</v>
      </c>
      <c r="E1566" s="13" t="s">
        <v>1657</v>
      </c>
      <c r="F1566" t="str">
        <f t="shared" si="120"/>
        <v>Houston</v>
      </c>
      <c r="G1566" t="str">
        <f t="shared" si="121"/>
        <v>Houston5801Houston</v>
      </c>
      <c r="H1566" t="s">
        <v>32424</v>
      </c>
      <c r="I1566" t="s">
        <v>23851</v>
      </c>
      <c r="J1566" t="str">
        <f t="shared" si="122"/>
        <v>E:\PropInv\MF</v>
      </c>
      <c r="K1566" s="103" t="str">
        <f>HYPERLINK("E:\PropInv\MF\Houston\Houston Rosslyn N_5801_Northwest Pines_Houston_01801","Houston Rosslyn N_5801_Northwest Pines_Houston_01801" )</f>
        <v>Houston Rosslyn N_5801_Northwest Pines_Houston_01801</v>
      </c>
      <c r="L1566" s="104" t="s">
        <v>22253</v>
      </c>
      <c r="M1566" s="103" t="str">
        <f t="shared" si="123"/>
        <v>http://oconnordata.com/mlink/modules/profile/index.cfm?action=profile&amp;prop_id=1801</v>
      </c>
      <c r="N1566" s="1" t="str">
        <f t="shared" si="124"/>
        <v>01801</v>
      </c>
    </row>
    <row r="1567" spans="1:14" x14ac:dyDescent="0.3">
      <c r="A1567" s="1">
        <v>1802</v>
      </c>
      <c r="B1567" s="7" t="s">
        <v>2288</v>
      </c>
      <c r="C1567" s="12">
        <v>7200</v>
      </c>
      <c r="D1567" s="7" t="s">
        <v>2379</v>
      </c>
      <c r="E1567" s="13" t="s">
        <v>1657</v>
      </c>
      <c r="F1567" t="str">
        <f t="shared" si="120"/>
        <v>Pinemont</v>
      </c>
      <c r="G1567" t="str">
        <f t="shared" si="121"/>
        <v>Pinemont7200Houston</v>
      </c>
      <c r="H1567" t="s">
        <v>32425</v>
      </c>
      <c r="I1567" t="s">
        <v>23852</v>
      </c>
      <c r="J1567" t="str">
        <f t="shared" si="122"/>
        <v>E:\PropInv\MF</v>
      </c>
      <c r="K1567" s="103" t="str">
        <f>HYPERLINK("E:\PropInv\MF\Houston\Pinemont_7200_The Pines of Northwest Crossing_Houston_01802","Pinemont_7200_The Pines of Northwest Crossing_Houston_01802" )</f>
        <v>Pinemont_7200_The Pines of Northwest Crossing_Houston_01802</v>
      </c>
      <c r="L1567" s="104" t="s">
        <v>22253</v>
      </c>
      <c r="M1567" s="103" t="str">
        <f t="shared" si="123"/>
        <v>http://oconnordata.com/mlink/modules/profile/index.cfm?action=profile&amp;prop_id=1802</v>
      </c>
      <c r="N1567" s="1" t="str">
        <f t="shared" si="124"/>
        <v>01802</v>
      </c>
    </row>
    <row r="1568" spans="1:14" x14ac:dyDescent="0.3">
      <c r="A1568" s="1">
        <v>1803</v>
      </c>
      <c r="B1568" s="7" t="s">
        <v>2380</v>
      </c>
      <c r="C1568" s="12">
        <v>7611</v>
      </c>
      <c r="D1568" s="7" t="s">
        <v>2381</v>
      </c>
      <c r="E1568" s="13" t="s">
        <v>1657</v>
      </c>
      <c r="F1568" t="str">
        <f t="shared" si="120"/>
        <v>Jalna</v>
      </c>
      <c r="G1568" t="str">
        <f t="shared" si="121"/>
        <v>Jalna7611Houston</v>
      </c>
      <c r="H1568" t="s">
        <v>32426</v>
      </c>
      <c r="I1568" t="s">
        <v>23853</v>
      </c>
      <c r="J1568" t="str">
        <f t="shared" si="122"/>
        <v>E:\PropInv\MF</v>
      </c>
      <c r="K1568" s="103" t="str">
        <f>HYPERLINK("E:\PropInv\MF\Houston\Jalna_7611_Hidden Pines Apts_Houston_01803","Jalna_7611_Hidden Pines Apts_Houston_01803" )</f>
        <v>Jalna_7611_Hidden Pines Apts_Houston_01803</v>
      </c>
      <c r="L1568" s="104" t="s">
        <v>22253</v>
      </c>
      <c r="M1568" s="103" t="str">
        <f t="shared" si="123"/>
        <v>http://oconnordata.com/mlink/modules/profile/index.cfm?action=profile&amp;prop_id=1803</v>
      </c>
      <c r="N1568" s="1" t="str">
        <f t="shared" si="124"/>
        <v>01803</v>
      </c>
    </row>
    <row r="1569" spans="1:14" x14ac:dyDescent="0.3">
      <c r="A1569" s="1">
        <v>1806</v>
      </c>
      <c r="B1569" s="7" t="s">
        <v>2382</v>
      </c>
      <c r="C1569" s="12">
        <v>1502</v>
      </c>
      <c r="D1569" s="7" t="s">
        <v>2383</v>
      </c>
      <c r="E1569" s="13" t="s">
        <v>1657</v>
      </c>
      <c r="F1569" t="str">
        <f t="shared" si="120"/>
        <v>Pech</v>
      </c>
      <c r="G1569" t="str">
        <f t="shared" si="121"/>
        <v>Pech1502Houston</v>
      </c>
      <c r="H1569" t="s">
        <v>32427</v>
      </c>
      <c r="I1569" t="s">
        <v>23854</v>
      </c>
      <c r="J1569" t="str">
        <f t="shared" si="122"/>
        <v>E:\PropInv\MF</v>
      </c>
      <c r="K1569" s="103" t="str">
        <f>HYPERLINK("E:\PropInv\MF\Houston\Pech_1502_The Glens_Houston_01806","Pech_1502_The Glens_Houston_01806" )</f>
        <v>Pech_1502_The Glens_Houston_01806</v>
      </c>
      <c r="L1569" s="104" t="s">
        <v>22253</v>
      </c>
      <c r="M1569" s="103" t="str">
        <f t="shared" si="123"/>
        <v>http://oconnordata.com/mlink/modules/profile/index.cfm?action=profile&amp;prop_id=1806</v>
      </c>
      <c r="N1569" s="1" t="str">
        <f t="shared" si="124"/>
        <v>01806</v>
      </c>
    </row>
    <row r="1570" spans="1:14" x14ac:dyDescent="0.3">
      <c r="A1570" s="1">
        <v>1808</v>
      </c>
      <c r="B1570" s="7" t="s">
        <v>2384</v>
      </c>
      <c r="C1570" s="12">
        <v>7200</v>
      </c>
      <c r="D1570" s="7" t="s">
        <v>2385</v>
      </c>
      <c r="E1570" s="13" t="s">
        <v>1657</v>
      </c>
      <c r="F1570" t="str">
        <f t="shared" si="120"/>
        <v>Shady</v>
      </c>
      <c r="G1570" t="str">
        <f t="shared" si="121"/>
        <v>Shady7200Houston</v>
      </c>
      <c r="H1570" t="s">
        <v>32428</v>
      </c>
      <c r="I1570" t="s">
        <v>23855</v>
      </c>
      <c r="J1570" t="str">
        <f t="shared" si="122"/>
        <v>E:\PropInv\MF</v>
      </c>
      <c r="K1570" s="103" t="str">
        <f>HYPERLINK("E:\PropInv\MF\Houston\Shady Villa_7200_Park Shadows_Houston_01808","Shady Villa_7200_Park Shadows_Houston_01808" )</f>
        <v>Shady Villa_7200_Park Shadows_Houston_01808</v>
      </c>
      <c r="L1570" s="104" t="s">
        <v>22253</v>
      </c>
      <c r="M1570" s="103" t="str">
        <f t="shared" si="123"/>
        <v>http://oconnordata.com/mlink/modules/profile/index.cfm?action=profile&amp;prop_id=1808</v>
      </c>
      <c r="N1570" s="1" t="str">
        <f t="shared" si="124"/>
        <v>01808</v>
      </c>
    </row>
    <row r="1571" spans="1:14" x14ac:dyDescent="0.3">
      <c r="A1571" s="1">
        <v>1809</v>
      </c>
      <c r="B1571" s="7" t="s">
        <v>2386</v>
      </c>
      <c r="C1571" s="12">
        <v>1830</v>
      </c>
      <c r="D1571" s="7" t="s">
        <v>2387</v>
      </c>
      <c r="E1571" s="13" t="s">
        <v>1657</v>
      </c>
      <c r="F1571" t="str">
        <f t="shared" si="120"/>
        <v>Johanna</v>
      </c>
      <c r="G1571" t="str">
        <f t="shared" si="121"/>
        <v>Johanna1830Houston</v>
      </c>
      <c r="H1571" t="s">
        <v>32429</v>
      </c>
      <c r="I1571" t="s">
        <v>23856</v>
      </c>
      <c r="J1571" t="str">
        <f t="shared" si="122"/>
        <v>E:\PropInv\MF</v>
      </c>
      <c r="K1571" s="103" t="str">
        <f>HYPERLINK("E:\PropInv\MF\Houston\Johanna_1830_Amberwood_Houston_01809","Johanna_1830_Amberwood_Houston_01809" )</f>
        <v>Johanna_1830_Amberwood_Houston_01809</v>
      </c>
      <c r="L1571" s="104" t="s">
        <v>22253</v>
      </c>
      <c r="M1571" s="103" t="str">
        <f t="shared" si="123"/>
        <v>http://oconnordata.com/mlink/modules/profile/index.cfm?action=profile&amp;prop_id=1809</v>
      </c>
      <c r="N1571" s="1" t="str">
        <f t="shared" si="124"/>
        <v>01809</v>
      </c>
    </row>
    <row r="1572" spans="1:14" x14ac:dyDescent="0.3">
      <c r="A1572" s="1">
        <v>1811</v>
      </c>
      <c r="B1572" s="7" t="s">
        <v>2386</v>
      </c>
      <c r="C1572" s="12">
        <v>2010</v>
      </c>
      <c r="D1572" s="7" t="s">
        <v>2388</v>
      </c>
      <c r="E1572" s="13" t="s">
        <v>1657</v>
      </c>
      <c r="F1572" t="str">
        <f t="shared" si="120"/>
        <v>Johanna</v>
      </c>
      <c r="G1572" t="str">
        <f t="shared" si="121"/>
        <v>Johanna2010Houston</v>
      </c>
      <c r="H1572" t="s">
        <v>32430</v>
      </c>
      <c r="I1572" t="s">
        <v>23857</v>
      </c>
      <c r="J1572" t="str">
        <f t="shared" si="122"/>
        <v>E:\PropInv\MF</v>
      </c>
      <c r="K1572" s="103" t="str">
        <f>HYPERLINK("E:\PropInv\MF\Houston\Johanna_2010_Johanna Apts_Houston_01811","Johanna_2010_Johanna Apts_Houston_01811" )</f>
        <v>Johanna_2010_Johanna Apts_Houston_01811</v>
      </c>
      <c r="L1572" s="104" t="s">
        <v>22253</v>
      </c>
      <c r="M1572" s="103" t="str">
        <f t="shared" si="123"/>
        <v>http://oconnordata.com/mlink/modules/profile/index.cfm?action=profile&amp;prop_id=1811</v>
      </c>
      <c r="N1572" s="1" t="str">
        <f t="shared" si="124"/>
        <v>01811</v>
      </c>
    </row>
    <row r="1573" spans="1:14" x14ac:dyDescent="0.3">
      <c r="A1573" s="1">
        <v>1812</v>
      </c>
      <c r="B1573" s="7" t="s">
        <v>2389</v>
      </c>
      <c r="C1573" s="12">
        <v>4401</v>
      </c>
      <c r="D1573" s="7" t="s">
        <v>1298</v>
      </c>
      <c r="E1573" s="13" t="s">
        <v>1657</v>
      </c>
      <c r="F1573" t="str">
        <f t="shared" si="120"/>
        <v>Sherwood</v>
      </c>
      <c r="G1573" t="str">
        <f t="shared" si="121"/>
        <v>Sherwood4401Houston</v>
      </c>
      <c r="H1573" t="s">
        <v>32431</v>
      </c>
      <c r="I1573" t="s">
        <v>23858</v>
      </c>
      <c r="J1573" t="str">
        <f t="shared" si="122"/>
        <v>E:\PropInv\MF</v>
      </c>
      <c r="K1573" s="103" t="str">
        <f>HYPERLINK("E:\PropInv\MF\Houston\Sherwood Ln_4401_Seven Oaks_Houston_01812","Sherwood Ln_4401_Seven Oaks_Houston_01812" )</f>
        <v>Sherwood Ln_4401_Seven Oaks_Houston_01812</v>
      </c>
      <c r="L1573" s="104" t="s">
        <v>22253</v>
      </c>
      <c r="M1573" s="103" t="str">
        <f t="shared" si="123"/>
        <v>http://oconnordata.com/mlink/modules/profile/index.cfm?action=profile&amp;prop_id=1812</v>
      </c>
      <c r="N1573" s="1" t="str">
        <f t="shared" si="124"/>
        <v>01812</v>
      </c>
    </row>
    <row r="1574" spans="1:14" x14ac:dyDescent="0.3">
      <c r="A1574" s="1">
        <v>1813</v>
      </c>
      <c r="B1574" s="7" t="s">
        <v>2389</v>
      </c>
      <c r="C1574" s="12">
        <v>4506</v>
      </c>
      <c r="D1574" s="7" t="s">
        <v>2390</v>
      </c>
      <c r="E1574" s="13" t="s">
        <v>1657</v>
      </c>
      <c r="F1574" t="str">
        <f t="shared" si="120"/>
        <v>Sherwood</v>
      </c>
      <c r="G1574" t="str">
        <f t="shared" si="121"/>
        <v>Sherwood4506Houston</v>
      </c>
      <c r="H1574" t="s">
        <v>32432</v>
      </c>
      <c r="I1574" t="s">
        <v>23859</v>
      </c>
      <c r="J1574" t="str">
        <f t="shared" si="122"/>
        <v>E:\PropInv\MF</v>
      </c>
      <c r="K1574" s="103" t="str">
        <f>HYPERLINK("E:\PropInv\MF\Houston\Sherwood Ln_4506_Sherwood Lane_Houston_01813","Sherwood Ln_4506_Sherwood Lane_Houston_01813" )</f>
        <v>Sherwood Ln_4506_Sherwood Lane_Houston_01813</v>
      </c>
      <c r="L1574" s="104" t="s">
        <v>22253</v>
      </c>
      <c r="M1574" s="103" t="str">
        <f t="shared" si="123"/>
        <v>http://oconnordata.com/mlink/modules/profile/index.cfm?action=profile&amp;prop_id=1813</v>
      </c>
      <c r="N1574" s="1" t="str">
        <f t="shared" si="124"/>
        <v>01813</v>
      </c>
    </row>
    <row r="1575" spans="1:14" x14ac:dyDescent="0.3">
      <c r="A1575" s="1">
        <v>1815</v>
      </c>
      <c r="B1575" s="7" t="s">
        <v>2389</v>
      </c>
      <c r="C1575" s="12">
        <v>4211</v>
      </c>
      <c r="D1575" s="7" t="s">
        <v>2391</v>
      </c>
      <c r="E1575" s="13" t="s">
        <v>1657</v>
      </c>
      <c r="F1575" t="str">
        <f t="shared" si="120"/>
        <v>Sherwood</v>
      </c>
      <c r="G1575" t="str">
        <f t="shared" si="121"/>
        <v>Sherwood4211Houston</v>
      </c>
      <c r="H1575" t="s">
        <v>32433</v>
      </c>
      <c r="I1575" t="s">
        <v>23860</v>
      </c>
      <c r="J1575" t="str">
        <f t="shared" si="122"/>
        <v>E:\PropInv\MF</v>
      </c>
      <c r="K1575" s="103" t="str">
        <f>HYPERLINK("E:\PropInv\MF\Houston\Sherwood Ln_4211_Nueva Villa_Houston_01815","Sherwood Ln_4211_Nueva Villa_Houston_01815" )</f>
        <v>Sherwood Ln_4211_Nueva Villa_Houston_01815</v>
      </c>
      <c r="L1575" s="104" t="s">
        <v>22253</v>
      </c>
      <c r="M1575" s="103" t="str">
        <f t="shared" si="123"/>
        <v>http://oconnordata.com/mlink/modules/profile/index.cfm?action=profile&amp;prop_id=1815</v>
      </c>
      <c r="N1575" s="1" t="str">
        <f t="shared" si="124"/>
        <v>01815</v>
      </c>
    </row>
    <row r="1576" spans="1:14" x14ac:dyDescent="0.3">
      <c r="A1576" s="1">
        <v>1816</v>
      </c>
      <c r="B1576" s="7" t="s">
        <v>2389</v>
      </c>
      <c r="C1576" s="12">
        <v>4300</v>
      </c>
      <c r="D1576" s="7" t="s">
        <v>2392</v>
      </c>
      <c r="E1576" s="13" t="s">
        <v>1657</v>
      </c>
      <c r="F1576" t="str">
        <f t="shared" si="120"/>
        <v>Sherwood</v>
      </c>
      <c r="G1576" t="str">
        <f t="shared" si="121"/>
        <v>Sherwood4300Houston</v>
      </c>
      <c r="H1576" t="s">
        <v>32434</v>
      </c>
      <c r="I1576" t="s">
        <v>23861</v>
      </c>
      <c r="J1576" t="str">
        <f t="shared" si="122"/>
        <v>E:\PropInv\MF</v>
      </c>
      <c r="K1576" s="103" t="str">
        <f>HYPERLINK("E:\PropInv\MF\Houston\Sherwood Ln_4300_One Pine_Houston_01816","Sherwood Ln_4300_One Pine_Houston_01816" )</f>
        <v>Sherwood Ln_4300_One Pine_Houston_01816</v>
      </c>
      <c r="L1576" s="104" t="s">
        <v>22253</v>
      </c>
      <c r="M1576" s="103" t="str">
        <f t="shared" si="123"/>
        <v>http://oconnordata.com/mlink/modules/profile/index.cfm?action=profile&amp;prop_id=1816</v>
      </c>
      <c r="N1576" s="1" t="str">
        <f t="shared" si="124"/>
        <v>01816</v>
      </c>
    </row>
    <row r="1577" spans="1:14" x14ac:dyDescent="0.3">
      <c r="A1577" s="1">
        <v>1817</v>
      </c>
      <c r="B1577" s="7" t="s">
        <v>2273</v>
      </c>
      <c r="C1577" s="12">
        <v>8515</v>
      </c>
      <c r="D1577" s="7" t="s">
        <v>2393</v>
      </c>
      <c r="E1577" s="13" t="s">
        <v>1657</v>
      </c>
      <c r="F1577" t="str">
        <f t="shared" si="120"/>
        <v>Hammerly</v>
      </c>
      <c r="G1577" t="str">
        <f t="shared" si="121"/>
        <v>Hammerly8515Houston</v>
      </c>
      <c r="H1577" t="s">
        <v>32435</v>
      </c>
      <c r="I1577" t="s">
        <v>23862</v>
      </c>
      <c r="J1577" t="str">
        <f t="shared" si="122"/>
        <v>E:\PropInv\MF</v>
      </c>
      <c r="K1577" s="103" t="str">
        <f>HYPERLINK("E:\PropInv\MF\Houston\Hammerly_8515_Plaza on Hammerly_Houston_01817","Hammerly_8515_Plaza on Hammerly_Houston_01817" )</f>
        <v>Hammerly_8515_Plaza on Hammerly_Houston_01817</v>
      </c>
      <c r="L1577" s="104" t="s">
        <v>22253</v>
      </c>
      <c r="M1577" s="103" t="str">
        <f t="shared" si="123"/>
        <v>http://oconnordata.com/mlink/modules/profile/index.cfm?action=profile&amp;prop_id=1817</v>
      </c>
      <c r="N1577" s="1" t="str">
        <f t="shared" si="124"/>
        <v>01817</v>
      </c>
    </row>
    <row r="1578" spans="1:14" x14ac:dyDescent="0.3">
      <c r="A1578" s="1">
        <v>1818</v>
      </c>
      <c r="B1578" s="7" t="s">
        <v>2382</v>
      </c>
      <c r="C1578" s="12">
        <v>2121</v>
      </c>
      <c r="D1578" s="7" t="s">
        <v>2394</v>
      </c>
      <c r="E1578" s="13" t="s">
        <v>1657</v>
      </c>
      <c r="F1578" t="str">
        <f t="shared" si="120"/>
        <v>Pech</v>
      </c>
      <c r="G1578" t="str">
        <f t="shared" si="121"/>
        <v>Pech2121Houston</v>
      </c>
      <c r="H1578" t="s">
        <v>32436</v>
      </c>
      <c r="I1578" t="s">
        <v>23863</v>
      </c>
      <c r="J1578" t="str">
        <f t="shared" si="122"/>
        <v>E:\PropInv\MF</v>
      </c>
      <c r="K1578" s="103" t="str">
        <f>HYPERLINK("E:\PropInv\MF\Houston\Pech_2121_Aspenwood_Houston_01818","Pech_2121_Aspenwood_Houston_01818" )</f>
        <v>Pech_2121_Aspenwood_Houston_01818</v>
      </c>
      <c r="L1578" s="104" t="s">
        <v>22253</v>
      </c>
      <c r="M1578" s="103" t="str">
        <f t="shared" si="123"/>
        <v>http://oconnordata.com/mlink/modules/profile/index.cfm?action=profile&amp;prop_id=1818</v>
      </c>
      <c r="N1578" s="1" t="str">
        <f t="shared" si="124"/>
        <v>01818</v>
      </c>
    </row>
    <row r="1579" spans="1:14" x14ac:dyDescent="0.3">
      <c r="A1579" s="1">
        <v>1821</v>
      </c>
      <c r="B1579" s="7" t="s">
        <v>2395</v>
      </c>
      <c r="C1579" s="12">
        <v>2200</v>
      </c>
      <c r="D1579" s="7" t="s">
        <v>2396</v>
      </c>
      <c r="E1579" s="13" t="s">
        <v>1657</v>
      </c>
      <c r="F1579" t="str">
        <f t="shared" si="120"/>
        <v>Wirt</v>
      </c>
      <c r="G1579" t="str">
        <f t="shared" si="121"/>
        <v>Wirt2200Houston</v>
      </c>
      <c r="H1579" t="s">
        <v>32437</v>
      </c>
      <c r="I1579" t="s">
        <v>23864</v>
      </c>
      <c r="J1579" t="str">
        <f t="shared" si="122"/>
        <v>E:\PropInv\MF</v>
      </c>
      <c r="K1579" s="103" t="str">
        <f>HYPERLINK("E:\PropInv\MF\Houston\Wirt Rd_2200_Concord_Houston_01821","Wirt Rd_2200_Concord_Houston_01821" )</f>
        <v>Wirt Rd_2200_Concord_Houston_01821</v>
      </c>
      <c r="L1579" s="104" t="s">
        <v>22253</v>
      </c>
      <c r="M1579" s="103" t="str">
        <f t="shared" si="123"/>
        <v>http://oconnordata.com/mlink/modules/profile/index.cfm?action=profile&amp;prop_id=1821</v>
      </c>
      <c r="N1579" s="1" t="str">
        <f t="shared" si="124"/>
        <v>01821</v>
      </c>
    </row>
    <row r="1580" spans="1:14" x14ac:dyDescent="0.3">
      <c r="A1580" s="1">
        <v>1824</v>
      </c>
      <c r="B1580" s="7" t="s">
        <v>2397</v>
      </c>
      <c r="C1580" s="12" t="s">
        <v>2398</v>
      </c>
      <c r="D1580" s="7" t="s">
        <v>2399</v>
      </c>
      <c r="E1580" s="13" t="s">
        <v>1657</v>
      </c>
      <c r="F1580" t="str">
        <f t="shared" si="120"/>
        <v>Sherwood</v>
      </c>
      <c r="G1580" t="str">
        <f t="shared" si="121"/>
        <v>Sherwood4600-4603Houston</v>
      </c>
      <c r="H1580" t="s">
        <v>32438</v>
      </c>
      <c r="I1580" t="s">
        <v>23865</v>
      </c>
      <c r="J1580" t="str">
        <f t="shared" si="122"/>
        <v>E:\PropInv\MF</v>
      </c>
      <c r="K1580" s="103" t="str">
        <f>HYPERLINK("E:\PropInv\MF\Houston\Sherwood_4600-4603_Innsbruck-Le Moyne_Houston_01824","Sherwood_4600-4603_Innsbruck-Le Moyne_Houston_01824" )</f>
        <v>Sherwood_4600-4603_Innsbruck-Le Moyne_Houston_01824</v>
      </c>
      <c r="L1580" s="104" t="s">
        <v>22253</v>
      </c>
      <c r="M1580" s="103" t="str">
        <f t="shared" si="123"/>
        <v>http://oconnordata.com/mlink/modules/profile/index.cfm?action=profile&amp;prop_id=1824</v>
      </c>
      <c r="N1580" s="1" t="str">
        <f t="shared" si="124"/>
        <v>01824</v>
      </c>
    </row>
    <row r="1581" spans="1:14" x14ac:dyDescent="0.3">
      <c r="A1581" s="1">
        <v>1825</v>
      </c>
      <c r="B1581" s="7" t="s">
        <v>2400</v>
      </c>
      <c r="C1581" s="12">
        <v>1720</v>
      </c>
      <c r="D1581" s="7" t="s">
        <v>2401</v>
      </c>
      <c r="E1581" s="13" t="s">
        <v>1657</v>
      </c>
      <c r="F1581" t="str">
        <f t="shared" si="120"/>
        <v>Moritz</v>
      </c>
      <c r="G1581" t="str">
        <f t="shared" si="121"/>
        <v>Moritz1720Houston</v>
      </c>
      <c r="H1581" t="s">
        <v>32439</v>
      </c>
      <c r="I1581" t="s">
        <v>23866</v>
      </c>
      <c r="J1581" t="str">
        <f t="shared" si="122"/>
        <v>E:\PropInv\MF</v>
      </c>
      <c r="K1581" s="103" t="str">
        <f>HYPERLINK("E:\PropInv\MF\Houston\Moritz_1720_Garden Walk_Houston_01825","Moritz_1720_Garden Walk_Houston_01825" )</f>
        <v>Moritz_1720_Garden Walk_Houston_01825</v>
      </c>
      <c r="L1581" s="104" t="s">
        <v>22253</v>
      </c>
      <c r="M1581" s="103" t="str">
        <f t="shared" si="123"/>
        <v>http://oconnordata.com/mlink/modules/profile/index.cfm?action=profile&amp;prop_id=1825</v>
      </c>
      <c r="N1581" s="1" t="str">
        <f t="shared" si="124"/>
        <v>01825</v>
      </c>
    </row>
    <row r="1582" spans="1:14" x14ac:dyDescent="0.3">
      <c r="A1582" s="1">
        <v>1826</v>
      </c>
      <c r="B1582" s="7" t="s">
        <v>2400</v>
      </c>
      <c r="C1582" s="12">
        <v>1751</v>
      </c>
      <c r="D1582" s="7" t="s">
        <v>2402</v>
      </c>
      <c r="E1582" s="13" t="s">
        <v>1657</v>
      </c>
      <c r="F1582" t="str">
        <f t="shared" si="120"/>
        <v>Moritz</v>
      </c>
      <c r="G1582" t="str">
        <f t="shared" si="121"/>
        <v>Moritz1751Houston</v>
      </c>
      <c r="H1582" t="s">
        <v>32440</v>
      </c>
      <c r="I1582" t="s">
        <v>23867</v>
      </c>
      <c r="J1582" t="str">
        <f t="shared" si="122"/>
        <v>E:\PropInv\MF</v>
      </c>
      <c r="K1582" s="103" t="str">
        <f>HYPERLINK("E:\PropInv\MF\Houston\Moritz_1751_Point Moritz North_Houston_01826","Moritz_1751_Point Moritz North_Houston_01826" )</f>
        <v>Moritz_1751_Point Moritz North_Houston_01826</v>
      </c>
      <c r="L1582" s="104" t="s">
        <v>22253</v>
      </c>
      <c r="M1582" s="103" t="str">
        <f t="shared" si="123"/>
        <v>http://oconnordata.com/mlink/modules/profile/index.cfm?action=profile&amp;prop_id=1826</v>
      </c>
      <c r="N1582" s="1" t="str">
        <f t="shared" si="124"/>
        <v>01826</v>
      </c>
    </row>
    <row r="1583" spans="1:14" x14ac:dyDescent="0.3">
      <c r="A1583" s="1">
        <v>1827</v>
      </c>
      <c r="B1583" s="7" t="s">
        <v>2403</v>
      </c>
      <c r="C1583" s="12">
        <v>1717</v>
      </c>
      <c r="D1583" s="7" t="s">
        <v>2404</v>
      </c>
      <c r="E1583" s="13" t="s">
        <v>1657</v>
      </c>
      <c r="F1583" t="str">
        <f t="shared" si="120"/>
        <v>Pine</v>
      </c>
      <c r="G1583" t="str">
        <f t="shared" si="121"/>
        <v>Pine1717Houston</v>
      </c>
      <c r="H1583" t="s">
        <v>32441</v>
      </c>
      <c r="I1583" t="s">
        <v>23868</v>
      </c>
      <c r="J1583" t="str">
        <f t="shared" si="122"/>
        <v>E:\PropInv\MF</v>
      </c>
      <c r="K1583" s="103" t="str">
        <f>HYPERLINK("E:\PropInv\MF\Houston\Pine Chase Dr_1717_Pine Chase_Houston_01827","Pine Chase Dr_1717_Pine Chase_Houston_01827" )</f>
        <v>Pine Chase Dr_1717_Pine Chase_Houston_01827</v>
      </c>
      <c r="L1583" s="104" t="s">
        <v>22253</v>
      </c>
      <c r="M1583" s="103" t="str">
        <f t="shared" si="123"/>
        <v>http://oconnordata.com/mlink/modules/profile/index.cfm?action=profile&amp;prop_id=1827</v>
      </c>
      <c r="N1583" s="1" t="str">
        <f t="shared" si="124"/>
        <v>01827</v>
      </c>
    </row>
    <row r="1584" spans="1:14" x14ac:dyDescent="0.3">
      <c r="A1584" s="1">
        <v>1828</v>
      </c>
      <c r="B1584" s="7" t="s">
        <v>2405</v>
      </c>
      <c r="C1584" s="12">
        <v>4250</v>
      </c>
      <c r="D1584" s="7" t="s">
        <v>2406</v>
      </c>
      <c r="E1584" s="13" t="s">
        <v>1657</v>
      </c>
      <c r="F1584" t="str">
        <f t="shared" si="120"/>
        <v>34th</v>
      </c>
      <c r="G1584" t="str">
        <f t="shared" si="121"/>
        <v>34th4250Houston</v>
      </c>
      <c r="H1584" t="s">
        <v>32442</v>
      </c>
      <c r="I1584" t="s">
        <v>23869</v>
      </c>
      <c r="J1584" t="str">
        <f t="shared" si="122"/>
        <v>E:\PropInv\MF</v>
      </c>
      <c r="K1584" s="103" t="str">
        <f>HYPERLINK("E:\PropInv\MF\Houston\34th St W_4250_Casa Nube en 34th_Houston_01828","34th St W_4250_Casa Nube en 34th_Houston_01828" )</f>
        <v>34th St W_4250_Casa Nube en 34th_Houston_01828</v>
      </c>
      <c r="L1584" s="104" t="s">
        <v>22253</v>
      </c>
      <c r="M1584" s="103" t="str">
        <f t="shared" si="123"/>
        <v>http://oconnordata.com/mlink/modules/profile/index.cfm?action=profile&amp;prop_id=1828</v>
      </c>
      <c r="N1584" s="1" t="str">
        <f t="shared" si="124"/>
        <v>01828</v>
      </c>
    </row>
    <row r="1585" spans="1:14" x14ac:dyDescent="0.3">
      <c r="A1585" s="1">
        <v>1829</v>
      </c>
      <c r="B1585" s="7" t="s">
        <v>2405</v>
      </c>
      <c r="C1585" s="12">
        <v>4619</v>
      </c>
      <c r="D1585" s="7" t="s">
        <v>2407</v>
      </c>
      <c r="E1585" s="13" t="s">
        <v>1657</v>
      </c>
      <c r="F1585" t="str">
        <f t="shared" si="120"/>
        <v>34th</v>
      </c>
      <c r="G1585" t="str">
        <f t="shared" si="121"/>
        <v>34th4619Houston</v>
      </c>
      <c r="H1585" t="s">
        <v>32443</v>
      </c>
      <c r="I1585" t="s">
        <v>23870</v>
      </c>
      <c r="J1585" t="str">
        <f t="shared" si="122"/>
        <v>E:\PropInv\MF</v>
      </c>
      <c r="K1585" s="103" t="str">
        <f>HYPERLINK("E:\PropInv\MF\Houston\34th St W_4619_Silver Creek Apts II_Houston_01829","34th St W_4619_Silver Creek Apts II_Houston_01829" )</f>
        <v>34th St W_4619_Silver Creek Apts II_Houston_01829</v>
      </c>
      <c r="L1585" s="104" t="s">
        <v>22253</v>
      </c>
      <c r="M1585" s="103" t="str">
        <f t="shared" si="123"/>
        <v>http://oconnordata.com/mlink/modules/profile/index.cfm?action=profile&amp;prop_id=1829</v>
      </c>
      <c r="N1585" s="1" t="str">
        <f t="shared" si="124"/>
        <v>01829</v>
      </c>
    </row>
    <row r="1586" spans="1:14" x14ac:dyDescent="0.3">
      <c r="A1586" s="1">
        <v>1830</v>
      </c>
      <c r="B1586" s="7" t="s">
        <v>2350</v>
      </c>
      <c r="C1586" s="12">
        <v>3130</v>
      </c>
      <c r="D1586" s="7" t="s">
        <v>2408</v>
      </c>
      <c r="E1586" s="13" t="s">
        <v>1657</v>
      </c>
      <c r="F1586" t="str">
        <f t="shared" si="120"/>
        <v>Mangum</v>
      </c>
      <c r="G1586" t="str">
        <f t="shared" si="121"/>
        <v>Mangum3130Houston</v>
      </c>
      <c r="H1586" t="s">
        <v>32444</v>
      </c>
      <c r="I1586" t="s">
        <v>23871</v>
      </c>
      <c r="J1586" t="str">
        <f t="shared" si="122"/>
        <v>E:\PropInv\MF</v>
      </c>
      <c r="K1586" s="103" t="str">
        <f>HYPERLINK("E:\PropInv\MF\Houston\Mangum_3130_Burnham Woods_Houston_01830","Mangum_3130_Burnham Woods_Houston_01830" )</f>
        <v>Mangum_3130_Burnham Woods_Houston_01830</v>
      </c>
      <c r="L1586" s="104" t="s">
        <v>22253</v>
      </c>
      <c r="M1586" s="103" t="str">
        <f t="shared" si="123"/>
        <v>http://oconnordata.com/mlink/modules/profile/index.cfm?action=profile&amp;prop_id=1830</v>
      </c>
      <c r="N1586" s="1" t="str">
        <f t="shared" si="124"/>
        <v>01830</v>
      </c>
    </row>
    <row r="1587" spans="1:14" x14ac:dyDescent="0.3">
      <c r="A1587" s="1">
        <v>1831</v>
      </c>
      <c r="B1587" s="7" t="s">
        <v>2409</v>
      </c>
      <c r="C1587" s="12">
        <v>7964</v>
      </c>
      <c r="D1587" s="7" t="s">
        <v>2410</v>
      </c>
      <c r="E1587" s="13" t="s">
        <v>1657</v>
      </c>
      <c r="F1587" t="str">
        <f t="shared" si="120"/>
        <v>Ravenwood</v>
      </c>
      <c r="G1587" t="str">
        <f t="shared" si="121"/>
        <v>Ravenwood7964Houston</v>
      </c>
      <c r="H1587" t="s">
        <v>32445</v>
      </c>
      <c r="I1587" t="s">
        <v>23872</v>
      </c>
      <c r="J1587" t="str">
        <f t="shared" si="122"/>
        <v>E:\PropInv\MF</v>
      </c>
      <c r="K1587" s="103" t="str">
        <f>HYPERLINK("E:\PropInv\MF\Houston\Ravenwood Cir_7964_Ravenwood_Houston_01831","Ravenwood Cir_7964_Ravenwood_Houston_01831" )</f>
        <v>Ravenwood Cir_7964_Ravenwood_Houston_01831</v>
      </c>
      <c r="L1587" s="104" t="s">
        <v>22253</v>
      </c>
      <c r="M1587" s="103" t="str">
        <f t="shared" si="123"/>
        <v>http://oconnordata.com/mlink/modules/profile/index.cfm?action=profile&amp;prop_id=1831</v>
      </c>
      <c r="N1587" s="1" t="str">
        <f t="shared" si="124"/>
        <v>01831</v>
      </c>
    </row>
    <row r="1588" spans="1:14" x14ac:dyDescent="0.3">
      <c r="A1588" s="1">
        <v>1832</v>
      </c>
      <c r="B1588" s="7" t="s">
        <v>2411</v>
      </c>
      <c r="C1588" s="12">
        <v>7901</v>
      </c>
      <c r="D1588" s="7" t="s">
        <v>2412</v>
      </c>
      <c r="E1588" s="13" t="s">
        <v>1657</v>
      </c>
      <c r="F1588" t="str">
        <f t="shared" si="120"/>
        <v>Amelia</v>
      </c>
      <c r="G1588" t="str">
        <f t="shared" si="121"/>
        <v>Amelia7901Houston</v>
      </c>
      <c r="H1588" t="s">
        <v>32446</v>
      </c>
      <c r="I1588" t="s">
        <v>23873</v>
      </c>
      <c r="J1588" t="str">
        <f t="shared" si="122"/>
        <v>E:\PropInv\MF</v>
      </c>
      <c r="K1588" s="103" t="str">
        <f>HYPERLINK("E:\PropInv\MF\Houston\Amelia_7901_Spring Branch Estates_Houston_01832","Amelia_7901_Spring Branch Estates_Houston_01832" )</f>
        <v>Amelia_7901_Spring Branch Estates_Houston_01832</v>
      </c>
      <c r="L1588" s="104" t="s">
        <v>22253</v>
      </c>
      <c r="M1588" s="103" t="str">
        <f t="shared" si="123"/>
        <v>http://oconnordata.com/mlink/modules/profile/index.cfm?action=profile&amp;prop_id=1832</v>
      </c>
      <c r="N1588" s="1" t="str">
        <f t="shared" si="124"/>
        <v>01832</v>
      </c>
    </row>
    <row r="1589" spans="1:14" x14ac:dyDescent="0.3">
      <c r="A1589" s="1">
        <v>1834</v>
      </c>
      <c r="B1589" s="7" t="s">
        <v>2305</v>
      </c>
      <c r="C1589" s="12">
        <v>7429</v>
      </c>
      <c r="D1589" s="7" t="s">
        <v>2413</v>
      </c>
      <c r="E1589" s="13" t="s">
        <v>1657</v>
      </c>
      <c r="F1589" t="str">
        <f t="shared" si="120"/>
        <v>Long</v>
      </c>
      <c r="G1589" t="str">
        <f t="shared" si="121"/>
        <v>Long7429Houston</v>
      </c>
      <c r="H1589" t="s">
        <v>32447</v>
      </c>
      <c r="I1589" t="s">
        <v>23874</v>
      </c>
      <c r="J1589" t="str">
        <f t="shared" si="122"/>
        <v>E:\PropInv\MF</v>
      </c>
      <c r="K1589" s="103" t="str">
        <f>HYPERLINK("E:\PropInv\MF\Houston\Long Point_7429_Palma Royal_Houston_01834","Long Point_7429_Palma Royal_Houston_01834" )</f>
        <v>Long Point_7429_Palma Royal_Houston_01834</v>
      </c>
      <c r="L1589" s="104" t="s">
        <v>22253</v>
      </c>
      <c r="M1589" s="103" t="str">
        <f t="shared" si="123"/>
        <v>http://oconnordata.com/mlink/modules/profile/index.cfm?action=profile&amp;prop_id=1834</v>
      </c>
      <c r="N1589" s="1" t="str">
        <f t="shared" si="124"/>
        <v>01834</v>
      </c>
    </row>
    <row r="1590" spans="1:14" x14ac:dyDescent="0.3">
      <c r="A1590" s="1">
        <v>1835</v>
      </c>
      <c r="B1590" s="7" t="s">
        <v>2305</v>
      </c>
      <c r="C1590" s="12">
        <v>7745</v>
      </c>
      <c r="D1590" s="7" t="s">
        <v>2414</v>
      </c>
      <c r="E1590" s="13" t="s">
        <v>1657</v>
      </c>
      <c r="F1590" t="str">
        <f t="shared" si="120"/>
        <v>Long</v>
      </c>
      <c r="G1590" t="str">
        <f t="shared" si="121"/>
        <v>Long7745Houston</v>
      </c>
      <c r="H1590" t="s">
        <v>32448</v>
      </c>
      <c r="I1590" t="s">
        <v>23875</v>
      </c>
      <c r="J1590" t="str">
        <f t="shared" si="122"/>
        <v>E:\PropInv\MF</v>
      </c>
      <c r="K1590" s="103" t="str">
        <f>HYPERLINK("E:\PropInv\MF\Houston\Long Point_7745_King Edward VI_Houston_01835","Long Point_7745_King Edward VI_Houston_01835" )</f>
        <v>Long Point_7745_King Edward VI_Houston_01835</v>
      </c>
      <c r="L1590" s="104" t="s">
        <v>22253</v>
      </c>
      <c r="M1590" s="103" t="str">
        <f t="shared" si="123"/>
        <v>http://oconnordata.com/mlink/modules/profile/index.cfm?action=profile&amp;prop_id=1835</v>
      </c>
      <c r="N1590" s="1" t="str">
        <f t="shared" si="124"/>
        <v>01835</v>
      </c>
    </row>
    <row r="1591" spans="1:14" x14ac:dyDescent="0.3">
      <c r="A1591" s="1">
        <v>1838</v>
      </c>
      <c r="B1591" s="7" t="s">
        <v>2389</v>
      </c>
      <c r="C1591" s="12">
        <v>3910</v>
      </c>
      <c r="D1591" s="7" t="s">
        <v>2415</v>
      </c>
      <c r="E1591" s="13" t="s">
        <v>1657</v>
      </c>
      <c r="F1591" t="str">
        <f t="shared" si="120"/>
        <v>Sherwood</v>
      </c>
      <c r="G1591" t="str">
        <f t="shared" si="121"/>
        <v>Sherwood3910Houston</v>
      </c>
      <c r="H1591" t="s">
        <v>32449</v>
      </c>
      <c r="I1591" t="s">
        <v>23876</v>
      </c>
      <c r="J1591" t="str">
        <f t="shared" si="122"/>
        <v>E:\PropInv\MF</v>
      </c>
      <c r="K1591" s="103" t="str">
        <f>HYPERLINK("E:\PropInv\MF\Houston\Sherwood Ln_3910_Canterbury Court_Houston_01838","Sherwood Ln_3910_Canterbury Court_Houston_01838" )</f>
        <v>Sherwood Ln_3910_Canterbury Court_Houston_01838</v>
      </c>
      <c r="L1591" s="104" t="s">
        <v>22253</v>
      </c>
      <c r="M1591" s="103" t="str">
        <f t="shared" si="123"/>
        <v>http://oconnordata.com/mlink/modules/profile/index.cfm?action=profile&amp;prop_id=1838</v>
      </c>
      <c r="N1591" s="1" t="str">
        <f t="shared" si="124"/>
        <v>01838</v>
      </c>
    </row>
    <row r="1592" spans="1:14" x14ac:dyDescent="0.3">
      <c r="A1592" s="1">
        <v>1839</v>
      </c>
      <c r="B1592" s="7" t="s">
        <v>2389</v>
      </c>
      <c r="C1592" s="12">
        <v>4008</v>
      </c>
      <c r="D1592" s="7" t="s">
        <v>2416</v>
      </c>
      <c r="E1592" s="13" t="s">
        <v>1657</v>
      </c>
      <c r="F1592" t="str">
        <f t="shared" si="120"/>
        <v>Sherwood</v>
      </c>
      <c r="G1592" t="str">
        <f t="shared" si="121"/>
        <v>Sherwood4008Houston</v>
      </c>
      <c r="H1592" t="s">
        <v>32450</v>
      </c>
      <c r="I1592" t="s">
        <v>23877</v>
      </c>
      <c r="J1592" t="str">
        <f t="shared" si="122"/>
        <v>E:\PropInv\MF</v>
      </c>
      <c r="K1592" s="103" t="str">
        <f>HYPERLINK("E:\PropInv\MF\Houston\Sherwood Ln_4008_Seven Gables_Houston_01839","Sherwood Ln_4008_Seven Gables_Houston_01839" )</f>
        <v>Sherwood Ln_4008_Seven Gables_Houston_01839</v>
      </c>
      <c r="L1592" s="104" t="s">
        <v>22253</v>
      </c>
      <c r="M1592" s="103" t="str">
        <f t="shared" si="123"/>
        <v>http://oconnordata.com/mlink/modules/profile/index.cfm?action=profile&amp;prop_id=1839</v>
      </c>
      <c r="N1592" s="1" t="str">
        <f t="shared" si="124"/>
        <v>01839</v>
      </c>
    </row>
    <row r="1593" spans="1:14" x14ac:dyDescent="0.3">
      <c r="A1593" s="1">
        <v>1840</v>
      </c>
      <c r="B1593" s="7" t="s">
        <v>2350</v>
      </c>
      <c r="C1593" s="12">
        <v>3200</v>
      </c>
      <c r="D1593" s="7" t="s">
        <v>363</v>
      </c>
      <c r="E1593" s="13" t="s">
        <v>1657</v>
      </c>
      <c r="F1593" t="str">
        <f t="shared" si="120"/>
        <v>Mangum</v>
      </c>
      <c r="G1593" t="str">
        <f t="shared" si="121"/>
        <v>Mangum3200Houston</v>
      </c>
      <c r="H1593" t="s">
        <v>32451</v>
      </c>
      <c r="I1593" t="s">
        <v>23878</v>
      </c>
      <c r="J1593" t="str">
        <f t="shared" si="122"/>
        <v>E:\PropInv\MF</v>
      </c>
      <c r="K1593" s="103" t="str">
        <f>HYPERLINK("E:\PropInv\MF\Houston\Mangum_3200_Silvercreek_Houston_01840","Mangum_3200_Silvercreek_Houston_01840" )</f>
        <v>Mangum_3200_Silvercreek_Houston_01840</v>
      </c>
      <c r="L1593" s="104" t="s">
        <v>22253</v>
      </c>
      <c r="M1593" s="103" t="str">
        <f t="shared" si="123"/>
        <v>http://oconnordata.com/mlink/modules/profile/index.cfm?action=profile&amp;prop_id=1840</v>
      </c>
      <c r="N1593" s="1" t="str">
        <f t="shared" si="124"/>
        <v>01840</v>
      </c>
    </row>
    <row r="1594" spans="1:14" x14ac:dyDescent="0.3">
      <c r="A1594" s="1">
        <v>1841</v>
      </c>
      <c r="B1594" s="7" t="s">
        <v>2350</v>
      </c>
      <c r="C1594" s="12">
        <v>3233</v>
      </c>
      <c r="D1594" s="7" t="s">
        <v>2417</v>
      </c>
      <c r="E1594" s="13" t="s">
        <v>1657</v>
      </c>
      <c r="F1594" t="str">
        <f t="shared" si="120"/>
        <v>Mangum</v>
      </c>
      <c r="G1594" t="str">
        <f t="shared" si="121"/>
        <v>Mangum3233Houston</v>
      </c>
      <c r="H1594" t="s">
        <v>32452</v>
      </c>
      <c r="I1594" t="s">
        <v>23879</v>
      </c>
      <c r="J1594" t="str">
        <f t="shared" si="122"/>
        <v>E:\PropInv\MF</v>
      </c>
      <c r="K1594" s="103" t="str">
        <f>HYPERLINK("E:\PropInv\MF\Houston\Mangum_3233_Kingswood Village_Houston_01841","Mangum_3233_Kingswood Village_Houston_01841" )</f>
        <v>Mangum_3233_Kingswood Village_Houston_01841</v>
      </c>
      <c r="L1594" s="104" t="s">
        <v>22253</v>
      </c>
      <c r="M1594" s="103" t="str">
        <f t="shared" si="123"/>
        <v>http://oconnordata.com/mlink/modules/profile/index.cfm?action=profile&amp;prop_id=1841</v>
      </c>
      <c r="N1594" s="1" t="str">
        <f t="shared" si="124"/>
        <v>01841</v>
      </c>
    </row>
    <row r="1595" spans="1:14" x14ac:dyDescent="0.3">
      <c r="A1595" s="1">
        <v>1842</v>
      </c>
      <c r="B1595" s="7" t="s">
        <v>2389</v>
      </c>
      <c r="C1595" s="12">
        <v>3821</v>
      </c>
      <c r="D1595" s="7" t="s">
        <v>2418</v>
      </c>
      <c r="E1595" s="13" t="s">
        <v>1657</v>
      </c>
      <c r="F1595" t="str">
        <f t="shared" si="120"/>
        <v>Sherwood</v>
      </c>
      <c r="G1595" t="str">
        <f t="shared" si="121"/>
        <v>Sherwood3821Houston</v>
      </c>
      <c r="H1595" t="s">
        <v>32453</v>
      </c>
      <c r="I1595" t="s">
        <v>23880</v>
      </c>
      <c r="J1595" t="str">
        <f t="shared" si="122"/>
        <v>E:\PropInv\MF</v>
      </c>
      <c r="K1595" s="103" t="str">
        <f>HYPERLINK("E:\PropInv\MF\Houston\Sherwood Ln_3821_Sherwood Gardens_Houston_01842","Sherwood Ln_3821_Sherwood Gardens_Houston_01842" )</f>
        <v>Sherwood Ln_3821_Sherwood Gardens_Houston_01842</v>
      </c>
      <c r="L1595" s="104" t="s">
        <v>22253</v>
      </c>
      <c r="M1595" s="103" t="str">
        <f t="shared" si="123"/>
        <v>http://oconnordata.com/mlink/modules/profile/index.cfm?action=profile&amp;prop_id=1842</v>
      </c>
      <c r="N1595" s="1" t="str">
        <f t="shared" si="124"/>
        <v>01842</v>
      </c>
    </row>
    <row r="1596" spans="1:14" x14ac:dyDescent="0.3">
      <c r="A1596" s="1">
        <v>1843</v>
      </c>
      <c r="B1596" s="7" t="s">
        <v>2405</v>
      </c>
      <c r="C1596" s="12">
        <v>4000</v>
      </c>
      <c r="D1596" s="7" t="s">
        <v>2419</v>
      </c>
      <c r="E1596" s="13" t="s">
        <v>1657</v>
      </c>
      <c r="F1596" t="str">
        <f t="shared" si="120"/>
        <v>34th</v>
      </c>
      <c r="G1596" t="str">
        <f t="shared" si="121"/>
        <v>34th4000Houston</v>
      </c>
      <c r="H1596" t="s">
        <v>32454</v>
      </c>
      <c r="I1596" t="s">
        <v>23881</v>
      </c>
      <c r="J1596" t="str">
        <f t="shared" si="122"/>
        <v>E:\PropInv\MF</v>
      </c>
      <c r="K1596" s="103" t="str">
        <f>HYPERLINK("E:\PropInv\MF\Houston\34th St W_4000_Clearbrook_Houston_01843","34th St W_4000_Clearbrook_Houston_01843" )</f>
        <v>34th St W_4000_Clearbrook_Houston_01843</v>
      </c>
      <c r="L1596" s="104" t="s">
        <v>22253</v>
      </c>
      <c r="M1596" s="103" t="str">
        <f t="shared" si="123"/>
        <v>http://oconnordata.com/mlink/modules/profile/index.cfm?action=profile&amp;prop_id=1843</v>
      </c>
      <c r="N1596" s="1" t="str">
        <f t="shared" si="124"/>
        <v>01843</v>
      </c>
    </row>
    <row r="1597" spans="1:14" x14ac:dyDescent="0.3">
      <c r="A1597" s="1">
        <v>1844</v>
      </c>
      <c r="B1597" s="7" t="s">
        <v>2405</v>
      </c>
      <c r="C1597" s="12">
        <v>4200</v>
      </c>
      <c r="D1597" s="7" t="s">
        <v>1358</v>
      </c>
      <c r="E1597" s="13" t="s">
        <v>1657</v>
      </c>
      <c r="F1597" t="str">
        <f t="shared" si="120"/>
        <v>34th</v>
      </c>
      <c r="G1597" t="str">
        <f t="shared" si="121"/>
        <v>34th4200Houston</v>
      </c>
      <c r="H1597" t="s">
        <v>32455</v>
      </c>
      <c r="I1597" t="s">
        <v>23882</v>
      </c>
      <c r="J1597" t="str">
        <f t="shared" si="122"/>
        <v>E:\PropInv\MF</v>
      </c>
      <c r="K1597" s="103" t="str">
        <f>HYPERLINK("E:\PropInv\MF\Houston\34th St W_4200_Spring Hill_Houston_01844","34th St W_4200_Spring Hill_Houston_01844" )</f>
        <v>34th St W_4200_Spring Hill_Houston_01844</v>
      </c>
      <c r="L1597" s="104" t="s">
        <v>22253</v>
      </c>
      <c r="M1597" s="103" t="str">
        <f t="shared" si="123"/>
        <v>http://oconnordata.com/mlink/modules/profile/index.cfm?action=profile&amp;prop_id=1844</v>
      </c>
      <c r="N1597" s="1" t="str">
        <f t="shared" si="124"/>
        <v>01844</v>
      </c>
    </row>
    <row r="1598" spans="1:14" x14ac:dyDescent="0.3">
      <c r="A1598" s="97">
        <v>1845</v>
      </c>
      <c r="B1598" s="7" t="s">
        <v>2420</v>
      </c>
      <c r="C1598" s="12">
        <v>7550</v>
      </c>
      <c r="D1598" s="7" t="s">
        <v>2421</v>
      </c>
      <c r="E1598" s="13" t="s">
        <v>1657</v>
      </c>
      <c r="F1598" t="str">
        <f t="shared" si="120"/>
        <v>Long</v>
      </c>
      <c r="G1598" t="str">
        <f t="shared" si="121"/>
        <v>Long7550Houston</v>
      </c>
      <c r="H1598" t="s">
        <v>32456</v>
      </c>
      <c r="I1598" t="s">
        <v>23883</v>
      </c>
      <c r="J1598" t="str">
        <f t="shared" si="122"/>
        <v>E:\PropInv\MF</v>
      </c>
      <c r="K1598" s="103" t="str">
        <f>HYPERLINK("E:\PropInv\MF\Houston\Long Point Rd_7550_Woodvine_Houston_01845","Long Point Rd_7550_Woodvine_Houston_01845" )</f>
        <v>Long Point Rd_7550_Woodvine_Houston_01845</v>
      </c>
      <c r="L1598" s="104" t="s">
        <v>22253</v>
      </c>
      <c r="M1598" s="103" t="str">
        <f t="shared" si="123"/>
        <v>http://oconnordata.com/mlink/modules/profile/index.cfm?action=profile&amp;prop_id=1845</v>
      </c>
      <c r="N1598" s="1" t="str">
        <f t="shared" si="124"/>
        <v>01845</v>
      </c>
    </row>
    <row r="1599" spans="1:14" x14ac:dyDescent="0.3">
      <c r="A1599" s="1">
        <v>1848</v>
      </c>
      <c r="B1599" s="7" t="s">
        <v>2395</v>
      </c>
      <c r="C1599" s="12">
        <v>1855</v>
      </c>
      <c r="D1599" s="7" t="s">
        <v>2422</v>
      </c>
      <c r="E1599" s="13" t="s">
        <v>1657</v>
      </c>
      <c r="F1599" t="str">
        <f t="shared" si="120"/>
        <v>Wirt</v>
      </c>
      <c r="G1599" t="str">
        <f t="shared" si="121"/>
        <v>Wirt1855Houston</v>
      </c>
      <c r="H1599" t="s">
        <v>32457</v>
      </c>
      <c r="I1599" t="s">
        <v>23884</v>
      </c>
      <c r="J1599" t="str">
        <f t="shared" si="122"/>
        <v>E:\PropInv\MF</v>
      </c>
      <c r="K1599" s="103" t="str">
        <f>HYPERLINK("E:\PropInv\MF\Houston\Wirt Rd_1855_Cancun_Houston_01848","Wirt Rd_1855_Cancun_Houston_01848" )</f>
        <v>Wirt Rd_1855_Cancun_Houston_01848</v>
      </c>
      <c r="L1599" s="104" t="s">
        <v>22253</v>
      </c>
      <c r="M1599" s="103" t="str">
        <f t="shared" si="123"/>
        <v>http://oconnordata.com/mlink/modules/profile/index.cfm?action=profile&amp;prop_id=1848</v>
      </c>
      <c r="N1599" s="1" t="str">
        <f t="shared" si="124"/>
        <v>01848</v>
      </c>
    </row>
    <row r="1600" spans="1:14" x14ac:dyDescent="0.3">
      <c r="A1600" s="1">
        <v>1849</v>
      </c>
      <c r="B1600" s="7" t="s">
        <v>2421</v>
      </c>
      <c r="C1600" s="12">
        <v>1742</v>
      </c>
      <c r="D1600" s="7" t="s">
        <v>2423</v>
      </c>
      <c r="E1600" s="13" t="s">
        <v>1657</v>
      </c>
      <c r="F1600" t="str">
        <f t="shared" si="120"/>
        <v>Woodvine</v>
      </c>
      <c r="G1600" t="str">
        <f t="shared" si="121"/>
        <v>Woodvine1742Houston</v>
      </c>
      <c r="H1600" t="s">
        <v>32458</v>
      </c>
      <c r="I1600" t="s">
        <v>23885</v>
      </c>
      <c r="J1600" t="str">
        <f t="shared" si="122"/>
        <v>E:\PropInv\MF</v>
      </c>
      <c r="K1600" s="103" t="str">
        <f>HYPERLINK("E:\PropInv\MF\Houston\Woodvine_1742_Long Point Plaza_Houston_01849","Woodvine_1742_Long Point Plaza_Houston_01849" )</f>
        <v>Woodvine_1742_Long Point Plaza_Houston_01849</v>
      </c>
      <c r="L1600" s="104" t="s">
        <v>22253</v>
      </c>
      <c r="M1600" s="103" t="str">
        <f t="shared" si="123"/>
        <v>http://oconnordata.com/mlink/modules/profile/index.cfm?action=profile&amp;prop_id=1849</v>
      </c>
      <c r="N1600" s="1" t="str">
        <f t="shared" si="124"/>
        <v>01849</v>
      </c>
    </row>
    <row r="1601" spans="1:14" x14ac:dyDescent="0.3">
      <c r="A1601" s="1">
        <v>1850</v>
      </c>
      <c r="B1601" s="7" t="s">
        <v>2400</v>
      </c>
      <c r="C1601" s="12">
        <v>1541</v>
      </c>
      <c r="D1601" s="7" t="s">
        <v>2424</v>
      </c>
      <c r="E1601" s="13" t="s">
        <v>1657</v>
      </c>
      <c r="F1601" t="str">
        <f t="shared" si="120"/>
        <v>Moritz</v>
      </c>
      <c r="G1601" t="str">
        <f t="shared" si="121"/>
        <v>Moritz1541Houston</v>
      </c>
      <c r="H1601" t="s">
        <v>32459</v>
      </c>
      <c r="I1601" t="s">
        <v>23886</v>
      </c>
      <c r="J1601" t="str">
        <f t="shared" si="122"/>
        <v>E:\PropInv\MF</v>
      </c>
      <c r="K1601" s="103" t="str">
        <f>HYPERLINK("E:\PropInv\MF\Houston\Moritz_1541_Oaks of Moritz_Houston_01850","Moritz_1541_Oaks of Moritz_Houston_01850" )</f>
        <v>Moritz_1541_Oaks of Moritz_Houston_01850</v>
      </c>
      <c r="L1601" s="104" t="s">
        <v>22253</v>
      </c>
      <c r="M1601" s="103" t="str">
        <f t="shared" si="123"/>
        <v>http://oconnordata.com/mlink/modules/profile/index.cfm?action=profile&amp;prop_id=1850</v>
      </c>
      <c r="N1601" s="1" t="str">
        <f t="shared" si="124"/>
        <v>01850</v>
      </c>
    </row>
    <row r="1602" spans="1:14" x14ac:dyDescent="0.3">
      <c r="A1602" s="1">
        <v>1851</v>
      </c>
      <c r="B1602" s="7" t="s">
        <v>2091</v>
      </c>
      <c r="C1602" s="12">
        <v>1710</v>
      </c>
      <c r="D1602" s="7" t="s">
        <v>2425</v>
      </c>
      <c r="E1602" s="13" t="s">
        <v>1657</v>
      </c>
      <c r="F1602" t="str">
        <f t="shared" ref="F1602:F1665" si="125">IFERROR(LEFT(B1602,FIND(" ",B1602)-1),B1602)</f>
        <v>TC</v>
      </c>
      <c r="G1602" t="str">
        <f t="shared" ref="G1602:G1665" si="126">F1602&amp;C1602&amp;E1602</f>
        <v>TC1710Houston</v>
      </c>
      <c r="H1602" t="s">
        <v>32460</v>
      </c>
      <c r="I1602" t="s">
        <v>23887</v>
      </c>
      <c r="J1602" t="str">
        <f t="shared" ref="J1602:J1665" si="127">IF(L1602="TX",Folder_Path,Folder_Path&amp;"\State_"&amp;L1602)</f>
        <v>E:\PropInv\MF</v>
      </c>
      <c r="K1602" s="103" t="str">
        <f>HYPERLINK("E:\PropInv\MF\Houston\TC Jester Blvd W_1710_The Grove at White Oak II_Houston_01851","TC Jester Blvd W_1710_The Grove at White Oak II_Houston_01851" )</f>
        <v>TC Jester Blvd W_1710_The Grove at White Oak II_Houston_01851</v>
      </c>
      <c r="L1602" s="104" t="s">
        <v>22253</v>
      </c>
      <c r="M1602" s="103" t="str">
        <f t="shared" ref="M1602:M1665" si="128">HYPERLINK("http://oconnordata.com/mlink/modules/profile/index.cfm?action=profile&amp;prop_id="&amp;A1602)</f>
        <v>http://oconnordata.com/mlink/modules/profile/index.cfm?action=profile&amp;prop_id=1851</v>
      </c>
      <c r="N1602" s="1" t="str">
        <f t="shared" ref="N1602:N1665" si="129">IF(LEN(A1602)=1,"0000"&amp;A1602,IF(LEN(A1602)=2,"000"&amp;A1602,IF(LEN(A1602)=3,"00"&amp;A1602,IF(LEN(A1602)=4,"0"&amp;A1602,IF(LEN(A1602)=5,IF(LEFT(A1602,1)="3",A1602+30000,A1602))))))</f>
        <v>01851</v>
      </c>
    </row>
    <row r="1603" spans="1:14" x14ac:dyDescent="0.3">
      <c r="A1603" s="1">
        <v>1853</v>
      </c>
      <c r="B1603" s="7" t="s">
        <v>2426</v>
      </c>
      <c r="C1603" s="12">
        <v>1110</v>
      </c>
      <c r="D1603" s="7" t="s">
        <v>2427</v>
      </c>
      <c r="E1603" s="13" t="s">
        <v>1657</v>
      </c>
      <c r="F1603" t="str">
        <f t="shared" si="125"/>
        <v>25th</v>
      </c>
      <c r="G1603" t="str">
        <f t="shared" si="126"/>
        <v>25th1110Houston</v>
      </c>
      <c r="H1603" t="s">
        <v>32461</v>
      </c>
      <c r="I1603" t="s">
        <v>23888</v>
      </c>
      <c r="J1603" t="str">
        <f t="shared" si="127"/>
        <v>E:\PropInv\MF</v>
      </c>
      <c r="K1603" s="103" t="str">
        <f>HYPERLINK("E:\PropInv\MF\Houston\25th St W_1110_Twin Pines_Houston_01853","25th St W_1110_Twin Pines_Houston_01853" )</f>
        <v>25th St W_1110_Twin Pines_Houston_01853</v>
      </c>
      <c r="L1603" s="104" t="s">
        <v>22253</v>
      </c>
      <c r="M1603" s="103" t="str">
        <f t="shared" si="128"/>
        <v>http://oconnordata.com/mlink/modules/profile/index.cfm?action=profile&amp;prop_id=1853</v>
      </c>
      <c r="N1603" s="1" t="str">
        <f t="shared" si="129"/>
        <v>01853</v>
      </c>
    </row>
    <row r="1604" spans="1:14" x14ac:dyDescent="0.3">
      <c r="A1604" s="1">
        <v>1854</v>
      </c>
      <c r="B1604" s="7" t="s">
        <v>2384</v>
      </c>
      <c r="C1604" s="12">
        <v>7726</v>
      </c>
      <c r="D1604" s="7" t="s">
        <v>2428</v>
      </c>
      <c r="E1604" s="13" t="s">
        <v>1657</v>
      </c>
      <c r="F1604" t="str">
        <f t="shared" si="125"/>
        <v>Shady</v>
      </c>
      <c r="G1604" t="str">
        <f t="shared" si="126"/>
        <v>Shady7726Houston</v>
      </c>
      <c r="H1604" t="s">
        <v>32462</v>
      </c>
      <c r="I1604" t="s">
        <v>23889</v>
      </c>
      <c r="J1604" t="str">
        <f t="shared" si="127"/>
        <v>E:\PropInv\MF</v>
      </c>
      <c r="K1604" s="103" t="str">
        <f>HYPERLINK("E:\PropInv\MF\Houston\Shady Villa_7726_Palms of Shady Villa_Houston_01854","Shady Villa_7726_Palms of Shady Villa_Houston_01854" )</f>
        <v>Shady Villa_7726_Palms of Shady Villa_Houston_01854</v>
      </c>
      <c r="L1604" s="104" t="s">
        <v>22253</v>
      </c>
      <c r="M1604" s="103" t="str">
        <f t="shared" si="128"/>
        <v>http://oconnordata.com/mlink/modules/profile/index.cfm?action=profile&amp;prop_id=1854</v>
      </c>
      <c r="N1604" s="1" t="str">
        <f t="shared" si="129"/>
        <v>01854</v>
      </c>
    </row>
    <row r="1605" spans="1:14" x14ac:dyDescent="0.3">
      <c r="A1605" s="97">
        <v>1855</v>
      </c>
      <c r="B1605" s="7" t="s">
        <v>2384</v>
      </c>
      <c r="C1605" s="12">
        <v>7727</v>
      </c>
      <c r="D1605" s="7" t="s">
        <v>2429</v>
      </c>
      <c r="E1605" s="13" t="s">
        <v>1657</v>
      </c>
      <c r="F1605" t="str">
        <f t="shared" si="125"/>
        <v>Shady</v>
      </c>
      <c r="G1605" t="str">
        <f t="shared" si="126"/>
        <v>Shady7727Houston</v>
      </c>
      <c r="H1605" t="s">
        <v>32463</v>
      </c>
      <c r="I1605" t="s">
        <v>23890</v>
      </c>
      <c r="J1605" t="str">
        <f t="shared" si="127"/>
        <v>E:\PropInv\MF</v>
      </c>
      <c r="K1605" s="103" t="str">
        <f>HYPERLINK("E:\PropInv\MF\Houston\Shady Villa_7727_Wood Hollow_Houston_01855","Shady Villa_7727_Wood Hollow_Houston_01855" )</f>
        <v>Shady Villa_7727_Wood Hollow_Houston_01855</v>
      </c>
      <c r="L1605" s="104" t="s">
        <v>22253</v>
      </c>
      <c r="M1605" s="103" t="str">
        <f t="shared" si="128"/>
        <v>http://oconnordata.com/mlink/modules/profile/index.cfm?action=profile&amp;prop_id=1855</v>
      </c>
      <c r="N1605" s="1" t="str">
        <f t="shared" si="129"/>
        <v>01855</v>
      </c>
    </row>
    <row r="1606" spans="1:14" x14ac:dyDescent="0.3">
      <c r="A1606" s="1">
        <v>1858</v>
      </c>
      <c r="B1606" s="7" t="s">
        <v>2288</v>
      </c>
      <c r="C1606" s="12">
        <v>712</v>
      </c>
      <c r="D1606" s="7" t="s">
        <v>2430</v>
      </c>
      <c r="E1606" s="13" t="s">
        <v>1657</v>
      </c>
      <c r="F1606" t="str">
        <f t="shared" si="125"/>
        <v>Pinemont</v>
      </c>
      <c r="G1606" t="str">
        <f t="shared" si="126"/>
        <v>Pinemont712Houston</v>
      </c>
      <c r="H1606" t="s">
        <v>32464</v>
      </c>
      <c r="I1606" t="s">
        <v>23891</v>
      </c>
      <c r="J1606" t="str">
        <f t="shared" si="127"/>
        <v>E:\PropInv\MF</v>
      </c>
      <c r="K1606" s="103" t="str">
        <f>HYPERLINK("E:\PropInv\MF\Houston\Pinemont_712_Pine Manor_Houston_01858","Pinemont_712_Pine Manor_Houston_01858" )</f>
        <v>Pinemont_712_Pine Manor_Houston_01858</v>
      </c>
      <c r="L1606" s="104" t="s">
        <v>22253</v>
      </c>
      <c r="M1606" s="103" t="str">
        <f t="shared" si="128"/>
        <v>http://oconnordata.com/mlink/modules/profile/index.cfm?action=profile&amp;prop_id=1858</v>
      </c>
      <c r="N1606" s="1" t="str">
        <f t="shared" si="129"/>
        <v>01858</v>
      </c>
    </row>
    <row r="1607" spans="1:14" x14ac:dyDescent="0.3">
      <c r="A1607" s="1">
        <v>1859</v>
      </c>
      <c r="B1607" s="7" t="s">
        <v>2431</v>
      </c>
      <c r="C1607" s="12">
        <v>4742</v>
      </c>
      <c r="D1607" s="7" t="s">
        <v>2432</v>
      </c>
      <c r="E1607" s="13" t="s">
        <v>1657</v>
      </c>
      <c r="F1607" t="str">
        <f t="shared" si="125"/>
        <v>Yale</v>
      </c>
      <c r="G1607" t="str">
        <f t="shared" si="126"/>
        <v>Yale4742Houston</v>
      </c>
      <c r="H1607" t="s">
        <v>32465</v>
      </c>
      <c r="I1607" t="s">
        <v>23892</v>
      </c>
      <c r="J1607" t="str">
        <f t="shared" si="127"/>
        <v>E:\PropInv\MF</v>
      </c>
      <c r="K1607" s="103" t="str">
        <f>HYPERLINK("E:\PropInv\MF\Houston\Yale_4742_Graceland Terrace_Houston_01859","Yale_4742_Graceland Terrace_Houston_01859" )</f>
        <v>Yale_4742_Graceland Terrace_Houston_01859</v>
      </c>
      <c r="L1607" s="104" t="s">
        <v>22253</v>
      </c>
      <c r="M1607" s="103" t="str">
        <f t="shared" si="128"/>
        <v>http://oconnordata.com/mlink/modules/profile/index.cfm?action=profile&amp;prop_id=1859</v>
      </c>
      <c r="N1607" s="1" t="str">
        <f t="shared" si="129"/>
        <v>01859</v>
      </c>
    </row>
    <row r="1608" spans="1:14" x14ac:dyDescent="0.3">
      <c r="A1608" s="1">
        <v>1861</v>
      </c>
      <c r="B1608" s="7" t="s">
        <v>2395</v>
      </c>
      <c r="C1608" s="12">
        <v>1702</v>
      </c>
      <c r="D1608" s="7" t="s">
        <v>2433</v>
      </c>
      <c r="E1608" s="13" t="s">
        <v>1657</v>
      </c>
      <c r="F1608" t="str">
        <f t="shared" si="125"/>
        <v>Wirt</v>
      </c>
      <c r="G1608" t="str">
        <f t="shared" si="126"/>
        <v>Wirt1702Houston</v>
      </c>
      <c r="H1608" t="s">
        <v>32466</v>
      </c>
      <c r="I1608" t="s">
        <v>23893</v>
      </c>
      <c r="J1608" t="str">
        <f t="shared" si="127"/>
        <v>E:\PropInv\MF</v>
      </c>
      <c r="K1608" s="103" t="str">
        <f>HYPERLINK("E:\PropInv\MF\Houston\Wirt Rd_1702_Malibu Courts_Houston_01861","Wirt Rd_1702_Malibu Courts_Houston_01861" )</f>
        <v>Wirt Rd_1702_Malibu Courts_Houston_01861</v>
      </c>
      <c r="L1608" s="104" t="s">
        <v>22253</v>
      </c>
      <c r="M1608" s="103" t="str">
        <f t="shared" si="128"/>
        <v>http://oconnordata.com/mlink/modules/profile/index.cfm?action=profile&amp;prop_id=1861</v>
      </c>
      <c r="N1608" s="1" t="str">
        <f t="shared" si="129"/>
        <v>01861</v>
      </c>
    </row>
    <row r="1609" spans="1:14" x14ac:dyDescent="0.3">
      <c r="A1609" s="1">
        <v>1862</v>
      </c>
      <c r="B1609" s="7" t="s">
        <v>2395</v>
      </c>
      <c r="C1609" s="12">
        <v>1714</v>
      </c>
      <c r="D1609" s="7" t="s">
        <v>2434</v>
      </c>
      <c r="E1609" s="13" t="s">
        <v>1657</v>
      </c>
      <c r="F1609" t="str">
        <f t="shared" si="125"/>
        <v>Wirt</v>
      </c>
      <c r="G1609" t="str">
        <f t="shared" si="126"/>
        <v>Wirt1714Houston</v>
      </c>
      <c r="H1609" t="s">
        <v>32467</v>
      </c>
      <c r="I1609" t="s">
        <v>23894</v>
      </c>
      <c r="J1609" t="str">
        <f t="shared" si="127"/>
        <v>E:\PropInv\MF</v>
      </c>
      <c r="K1609" s="103" t="str">
        <f>HYPERLINK("E:\PropInv\MF\Houston\Wirt Rd_1714_Spring Gardens_Houston_01862","Wirt Rd_1714_Spring Gardens_Houston_01862" )</f>
        <v>Wirt Rd_1714_Spring Gardens_Houston_01862</v>
      </c>
      <c r="L1609" s="104" t="s">
        <v>22253</v>
      </c>
      <c r="M1609" s="103" t="str">
        <f t="shared" si="128"/>
        <v>http://oconnordata.com/mlink/modules/profile/index.cfm?action=profile&amp;prop_id=1862</v>
      </c>
      <c r="N1609" s="1" t="str">
        <f t="shared" si="129"/>
        <v>01862</v>
      </c>
    </row>
    <row r="1610" spans="1:14" x14ac:dyDescent="0.3">
      <c r="A1610" s="1">
        <v>1864</v>
      </c>
      <c r="B1610" s="7" t="s">
        <v>2435</v>
      </c>
      <c r="C1610" s="12">
        <v>4300</v>
      </c>
      <c r="D1610" s="7" t="s">
        <v>2436</v>
      </c>
      <c r="E1610" s="13" t="s">
        <v>1657</v>
      </c>
      <c r="F1610" t="str">
        <f t="shared" si="125"/>
        <v>Rosslyn</v>
      </c>
      <c r="G1610" t="str">
        <f t="shared" si="126"/>
        <v>Rosslyn4300Houston</v>
      </c>
      <c r="H1610" t="s">
        <v>32468</v>
      </c>
      <c r="I1610" t="s">
        <v>23895</v>
      </c>
      <c r="J1610" t="str">
        <f t="shared" si="127"/>
        <v>E:\PropInv\MF</v>
      </c>
      <c r="K1610" s="103" t="str">
        <f>HYPERLINK("E:\PropInv\MF\Houston\Rosslyn_4300_Oak Forest Place_Houston_01864","Rosslyn_4300_Oak Forest Place_Houston_01864" )</f>
        <v>Rosslyn_4300_Oak Forest Place_Houston_01864</v>
      </c>
      <c r="L1610" s="104" t="s">
        <v>22253</v>
      </c>
      <c r="M1610" s="103" t="str">
        <f t="shared" si="128"/>
        <v>http://oconnordata.com/mlink/modules/profile/index.cfm?action=profile&amp;prop_id=1864</v>
      </c>
      <c r="N1610" s="1" t="str">
        <f t="shared" si="129"/>
        <v>01864</v>
      </c>
    </row>
    <row r="1611" spans="1:14" x14ac:dyDescent="0.3">
      <c r="A1611" s="1">
        <v>1865</v>
      </c>
      <c r="B1611" s="7" t="s">
        <v>2437</v>
      </c>
      <c r="C1611" s="12">
        <v>5116</v>
      </c>
      <c r="D1611" s="7" t="s">
        <v>2438</v>
      </c>
      <c r="E1611" s="13" t="s">
        <v>1657</v>
      </c>
      <c r="F1611" t="str">
        <f t="shared" si="125"/>
        <v>Alba</v>
      </c>
      <c r="G1611" t="str">
        <f t="shared" si="126"/>
        <v>Alba5116Houston</v>
      </c>
      <c r="H1611" t="s">
        <v>32469</v>
      </c>
      <c r="I1611" t="s">
        <v>23896</v>
      </c>
      <c r="J1611" t="str">
        <f t="shared" si="127"/>
        <v>E:\PropInv\MF</v>
      </c>
      <c r="K1611" s="103" t="str">
        <f>HYPERLINK("E:\PropInv\MF\Houston\Alba_5116_Candlelight Garden_Houston_01865","Alba_5116_Candlelight Garden_Houston_01865" )</f>
        <v>Alba_5116_Candlelight Garden_Houston_01865</v>
      </c>
      <c r="L1611" s="104" t="s">
        <v>22253</v>
      </c>
      <c r="M1611" s="103" t="str">
        <f t="shared" si="128"/>
        <v>http://oconnordata.com/mlink/modules/profile/index.cfm?action=profile&amp;prop_id=1865</v>
      </c>
      <c r="N1611" s="1" t="str">
        <f t="shared" si="129"/>
        <v>01865</v>
      </c>
    </row>
    <row r="1612" spans="1:14" x14ac:dyDescent="0.3">
      <c r="A1612" s="1">
        <v>1868</v>
      </c>
      <c r="B1612" s="7" t="s">
        <v>2288</v>
      </c>
      <c r="C1612" s="12">
        <v>818</v>
      </c>
      <c r="D1612" s="7" t="s">
        <v>2439</v>
      </c>
      <c r="E1612" s="13" t="s">
        <v>1657</v>
      </c>
      <c r="F1612" t="str">
        <f t="shared" si="125"/>
        <v>Pinemont</v>
      </c>
      <c r="G1612" t="str">
        <f t="shared" si="126"/>
        <v>Pinemont818Houston</v>
      </c>
      <c r="H1612" t="s">
        <v>32470</v>
      </c>
      <c r="I1612" t="s">
        <v>23897</v>
      </c>
      <c r="J1612" t="str">
        <f t="shared" si="127"/>
        <v>E:\PropInv\MF</v>
      </c>
      <c r="K1612" s="103" t="str">
        <f>HYPERLINK("E:\PropInv\MF\Houston\Pinemont_818_Candlelight Estates_Houston_01868","Pinemont_818_Candlelight Estates_Houston_01868" )</f>
        <v>Pinemont_818_Candlelight Estates_Houston_01868</v>
      </c>
      <c r="L1612" s="104" t="s">
        <v>22253</v>
      </c>
      <c r="M1612" s="103" t="str">
        <f t="shared" si="128"/>
        <v>http://oconnordata.com/mlink/modules/profile/index.cfm?action=profile&amp;prop_id=1868</v>
      </c>
      <c r="N1612" s="1" t="str">
        <f t="shared" si="129"/>
        <v>01868</v>
      </c>
    </row>
    <row r="1613" spans="1:14" x14ac:dyDescent="0.3">
      <c r="A1613" s="1">
        <v>1869</v>
      </c>
      <c r="B1613" s="7" t="s">
        <v>2288</v>
      </c>
      <c r="C1613" s="12">
        <v>1001</v>
      </c>
      <c r="D1613" s="7" t="s">
        <v>2440</v>
      </c>
      <c r="E1613" s="13" t="s">
        <v>1657</v>
      </c>
      <c r="F1613" t="str">
        <f t="shared" si="125"/>
        <v>Pinemont</v>
      </c>
      <c r="G1613" t="str">
        <f t="shared" si="126"/>
        <v>Pinemont1001Houston</v>
      </c>
      <c r="H1613" t="s">
        <v>32471</v>
      </c>
      <c r="I1613" t="s">
        <v>23898</v>
      </c>
      <c r="J1613" t="str">
        <f t="shared" si="127"/>
        <v>E:\PropInv\MF</v>
      </c>
      <c r="K1613" s="103" t="str">
        <f>HYPERLINK("E:\PropInv\MF\Houston\Pinemont_1001_Dominion Square_Houston_01869","Pinemont_1001_Dominion Square_Houston_01869" )</f>
        <v>Pinemont_1001_Dominion Square_Houston_01869</v>
      </c>
      <c r="L1613" s="104" t="s">
        <v>22253</v>
      </c>
      <c r="M1613" s="103" t="str">
        <f t="shared" si="128"/>
        <v>http://oconnordata.com/mlink/modules/profile/index.cfm?action=profile&amp;prop_id=1869</v>
      </c>
      <c r="N1613" s="1" t="str">
        <f t="shared" si="129"/>
        <v>01869</v>
      </c>
    </row>
    <row r="1614" spans="1:14" x14ac:dyDescent="0.3">
      <c r="A1614" s="1">
        <v>1870</v>
      </c>
      <c r="B1614" s="7" t="s">
        <v>2441</v>
      </c>
      <c r="C1614" s="12">
        <v>601</v>
      </c>
      <c r="D1614" s="7" t="s">
        <v>2442</v>
      </c>
      <c r="E1614" s="13" t="s">
        <v>1657</v>
      </c>
      <c r="F1614" t="str">
        <f t="shared" si="125"/>
        <v>Donovan</v>
      </c>
      <c r="G1614" t="str">
        <f t="shared" si="126"/>
        <v>Donovan601Houston</v>
      </c>
      <c r="H1614" t="s">
        <v>32472</v>
      </c>
      <c r="I1614" t="s">
        <v>23899</v>
      </c>
      <c r="J1614" t="str">
        <f t="shared" si="127"/>
        <v>E:\PropInv\MF</v>
      </c>
      <c r="K1614" s="103" t="str">
        <f>HYPERLINK("E:\PropInv\MF\Houston\Donovan W_601_Donovan Village_Houston_01870","Donovan W_601_Donovan Village_Houston_01870" )</f>
        <v>Donovan W_601_Donovan Village_Houston_01870</v>
      </c>
      <c r="L1614" s="104" t="s">
        <v>22253</v>
      </c>
      <c r="M1614" s="103" t="str">
        <f t="shared" si="128"/>
        <v>http://oconnordata.com/mlink/modules/profile/index.cfm?action=profile&amp;prop_id=1870</v>
      </c>
      <c r="N1614" s="1" t="str">
        <f t="shared" si="129"/>
        <v>01870</v>
      </c>
    </row>
    <row r="1615" spans="1:14" x14ac:dyDescent="0.3">
      <c r="A1615" s="1">
        <v>1871</v>
      </c>
      <c r="B1615" s="7" t="s">
        <v>2443</v>
      </c>
      <c r="C1615" s="12">
        <v>1118</v>
      </c>
      <c r="D1615" s="7" t="s">
        <v>2444</v>
      </c>
      <c r="E1615" s="13" t="s">
        <v>1657</v>
      </c>
      <c r="F1615" t="str">
        <f t="shared" si="125"/>
        <v>Coldstream</v>
      </c>
      <c r="G1615" t="str">
        <f t="shared" si="126"/>
        <v>Coldstream1118Houston</v>
      </c>
      <c r="H1615" t="s">
        <v>32473</v>
      </c>
      <c r="I1615" t="s">
        <v>23900</v>
      </c>
      <c r="J1615" t="str">
        <f t="shared" si="127"/>
        <v>E:\PropInv\MF</v>
      </c>
      <c r="K1615" s="103" t="str">
        <f>HYPERLINK("E:\PropInv\MF\Houston\Coldstream_1118_La Veranda Apts_Houston_01871","Coldstream_1118_La Veranda Apts_Houston_01871" )</f>
        <v>Coldstream_1118_La Veranda Apts_Houston_01871</v>
      </c>
      <c r="L1615" s="104" t="s">
        <v>22253</v>
      </c>
      <c r="M1615" s="103" t="str">
        <f t="shared" si="128"/>
        <v>http://oconnordata.com/mlink/modules/profile/index.cfm?action=profile&amp;prop_id=1871</v>
      </c>
      <c r="N1615" s="1" t="str">
        <f t="shared" si="129"/>
        <v>01871</v>
      </c>
    </row>
    <row r="1616" spans="1:14" x14ac:dyDescent="0.3">
      <c r="A1616" s="1">
        <v>1872</v>
      </c>
      <c r="B1616" s="7" t="s">
        <v>2260</v>
      </c>
      <c r="C1616" s="12">
        <v>6804</v>
      </c>
      <c r="D1616" s="7" t="s">
        <v>2445</v>
      </c>
      <c r="E1616" s="13" t="s">
        <v>1657</v>
      </c>
      <c r="F1616" t="str">
        <f t="shared" si="125"/>
        <v>Westview</v>
      </c>
      <c r="G1616" t="str">
        <f t="shared" si="126"/>
        <v>Westview6804Houston</v>
      </c>
      <c r="H1616" t="s">
        <v>32474</v>
      </c>
      <c r="I1616" t="s">
        <v>23901</v>
      </c>
      <c r="J1616" t="str">
        <f t="shared" si="127"/>
        <v>E:\PropInv\MF</v>
      </c>
      <c r="K1616" s="103" t="str">
        <f>HYPERLINK("E:\PropInv\MF\Houston\Westview_6804_Westview Gardens_Houston_01872","Westview_6804_Westview Gardens_Houston_01872" )</f>
        <v>Westview_6804_Westview Gardens_Houston_01872</v>
      </c>
      <c r="L1616" s="104" t="s">
        <v>22253</v>
      </c>
      <c r="M1616" s="103" t="str">
        <f t="shared" si="128"/>
        <v>http://oconnordata.com/mlink/modules/profile/index.cfm?action=profile&amp;prop_id=1872</v>
      </c>
      <c r="N1616" s="1" t="str">
        <f t="shared" si="129"/>
        <v>01872</v>
      </c>
    </row>
    <row r="1617" spans="1:14" x14ac:dyDescent="0.3">
      <c r="A1617" s="1">
        <v>1873</v>
      </c>
      <c r="B1617" s="7" t="s">
        <v>2260</v>
      </c>
      <c r="C1617" s="12">
        <v>7000</v>
      </c>
      <c r="D1617" s="7" t="s">
        <v>2446</v>
      </c>
      <c r="E1617" s="13" t="s">
        <v>1657</v>
      </c>
      <c r="F1617" t="str">
        <f t="shared" si="125"/>
        <v>Westview</v>
      </c>
      <c r="G1617" t="str">
        <f t="shared" si="126"/>
        <v>Westview7000Houston</v>
      </c>
      <c r="H1617" t="s">
        <v>32475</v>
      </c>
      <c r="I1617" t="s">
        <v>23902</v>
      </c>
      <c r="J1617" t="str">
        <f t="shared" si="127"/>
        <v>E:\PropInv\MF</v>
      </c>
      <c r="K1617" s="103" t="str">
        <f>HYPERLINK("E:\PropInv\MF\Houston\Westview_7000_Castlewood_Houston_01873","Westview_7000_Castlewood_Houston_01873" )</f>
        <v>Westview_7000_Castlewood_Houston_01873</v>
      </c>
      <c r="L1617" s="104" t="s">
        <v>22253</v>
      </c>
      <c r="M1617" s="103" t="str">
        <f t="shared" si="128"/>
        <v>http://oconnordata.com/mlink/modules/profile/index.cfm?action=profile&amp;prop_id=1873</v>
      </c>
      <c r="N1617" s="1" t="str">
        <f t="shared" si="129"/>
        <v>01873</v>
      </c>
    </row>
    <row r="1618" spans="1:14" x14ac:dyDescent="0.3">
      <c r="A1618" s="1">
        <v>1874</v>
      </c>
      <c r="B1618" s="7" t="s">
        <v>2447</v>
      </c>
      <c r="C1618" s="12">
        <v>500</v>
      </c>
      <c r="D1618" s="7" t="s">
        <v>2448</v>
      </c>
      <c r="E1618" s="13" t="s">
        <v>1657</v>
      </c>
      <c r="F1618" t="str">
        <f t="shared" si="125"/>
        <v>Crosstimbers</v>
      </c>
      <c r="G1618" t="str">
        <f t="shared" si="126"/>
        <v>Crosstimbers500Houston</v>
      </c>
      <c r="H1618" t="s">
        <v>32476</v>
      </c>
      <c r="I1618" t="s">
        <v>23903</v>
      </c>
      <c r="J1618" t="str">
        <f t="shared" si="127"/>
        <v>E:\PropInv\MF</v>
      </c>
      <c r="K1618" s="103" t="str">
        <f>HYPERLINK("E:\PropInv\MF\Houston\Crosstimbers W_500_West Crosstimbers_Houston_01874","Crosstimbers W_500_West Crosstimbers_Houston_01874" )</f>
        <v>Crosstimbers W_500_West Crosstimbers_Houston_01874</v>
      </c>
      <c r="L1618" s="104" t="s">
        <v>22253</v>
      </c>
      <c r="M1618" s="103" t="str">
        <f t="shared" si="128"/>
        <v>http://oconnordata.com/mlink/modules/profile/index.cfm?action=profile&amp;prop_id=1874</v>
      </c>
      <c r="N1618" s="1" t="str">
        <f t="shared" si="129"/>
        <v>01874</v>
      </c>
    </row>
    <row r="1619" spans="1:14" x14ac:dyDescent="0.3">
      <c r="A1619" s="1">
        <v>1875</v>
      </c>
      <c r="B1619" s="7" t="s">
        <v>2449</v>
      </c>
      <c r="C1619" s="12">
        <v>4411</v>
      </c>
      <c r="D1619" s="7" t="s">
        <v>2450</v>
      </c>
      <c r="E1619" s="13" t="s">
        <v>1657</v>
      </c>
      <c r="F1619" t="str">
        <f t="shared" si="125"/>
        <v>Shepherd</v>
      </c>
      <c r="G1619" t="str">
        <f t="shared" si="126"/>
        <v>Shepherd4411Houston</v>
      </c>
      <c r="H1619" t="s">
        <v>32477</v>
      </c>
      <c r="I1619" t="s">
        <v>23904</v>
      </c>
      <c r="J1619" t="str">
        <f t="shared" si="127"/>
        <v>E:\PropInv\MF</v>
      </c>
      <c r="K1619" s="103" t="str">
        <f>HYPERLINK("E:\PropInv\MF\Houston\Shepherd N_4411_Garden Oaks Village_Houston_01875","Shepherd N_4411_Garden Oaks Village_Houston_01875" )</f>
        <v>Shepherd N_4411_Garden Oaks Village_Houston_01875</v>
      </c>
      <c r="L1619" s="104" t="s">
        <v>22253</v>
      </c>
      <c r="M1619" s="103" t="str">
        <f t="shared" si="128"/>
        <v>http://oconnordata.com/mlink/modules/profile/index.cfm?action=profile&amp;prop_id=1875</v>
      </c>
      <c r="N1619" s="1" t="str">
        <f t="shared" si="129"/>
        <v>01875</v>
      </c>
    </row>
    <row r="1620" spans="1:14" x14ac:dyDescent="0.3">
      <c r="A1620" s="1">
        <v>1876</v>
      </c>
      <c r="B1620" s="7" t="s">
        <v>2389</v>
      </c>
      <c r="C1620" s="12">
        <v>3805</v>
      </c>
      <c r="D1620" s="7" t="s">
        <v>2451</v>
      </c>
      <c r="E1620" s="13" t="s">
        <v>1657</v>
      </c>
      <c r="F1620" t="str">
        <f t="shared" si="125"/>
        <v>Sherwood</v>
      </c>
      <c r="G1620" t="str">
        <f t="shared" si="126"/>
        <v>Sherwood3805Houston</v>
      </c>
      <c r="H1620" t="s">
        <v>32478</v>
      </c>
      <c r="I1620" t="s">
        <v>23905</v>
      </c>
      <c r="J1620" t="str">
        <f t="shared" si="127"/>
        <v>E:\PropInv\MF</v>
      </c>
      <c r="K1620" s="103" t="str">
        <f>HYPERLINK("E:\PropInv\MF\Houston\Sherwood Ln_3805_Sherwood Glen_Houston_01876","Sherwood Ln_3805_Sherwood Glen_Houston_01876" )</f>
        <v>Sherwood Ln_3805_Sherwood Glen_Houston_01876</v>
      </c>
      <c r="L1620" s="104" t="s">
        <v>22253</v>
      </c>
      <c r="M1620" s="103" t="str">
        <f t="shared" si="128"/>
        <v>http://oconnordata.com/mlink/modules/profile/index.cfm?action=profile&amp;prop_id=1876</v>
      </c>
      <c r="N1620" s="1" t="str">
        <f t="shared" si="129"/>
        <v>01876</v>
      </c>
    </row>
    <row r="1621" spans="1:14" x14ac:dyDescent="0.3">
      <c r="A1621" s="1">
        <v>1877</v>
      </c>
      <c r="B1621" s="7" t="s">
        <v>2389</v>
      </c>
      <c r="C1621" s="12">
        <v>3820</v>
      </c>
      <c r="D1621" s="7" t="s">
        <v>2452</v>
      </c>
      <c r="E1621" s="13" t="s">
        <v>1657</v>
      </c>
      <c r="F1621" t="str">
        <f t="shared" si="125"/>
        <v>Sherwood</v>
      </c>
      <c r="G1621" t="str">
        <f t="shared" si="126"/>
        <v>Sherwood3820Houston</v>
      </c>
      <c r="H1621" t="s">
        <v>32479</v>
      </c>
      <c r="I1621" t="s">
        <v>23906</v>
      </c>
      <c r="J1621" t="str">
        <f t="shared" si="127"/>
        <v>E:\PropInv\MF</v>
      </c>
      <c r="K1621" s="103" t="str">
        <f>HYPERLINK("E:\PropInv\MF\Houston\Sherwood Ln_3820_Plaza Real_Houston_01877","Sherwood Ln_3820_Plaza Real_Houston_01877" )</f>
        <v>Sherwood Ln_3820_Plaza Real_Houston_01877</v>
      </c>
      <c r="L1621" s="104" t="s">
        <v>22253</v>
      </c>
      <c r="M1621" s="103" t="str">
        <f t="shared" si="128"/>
        <v>http://oconnordata.com/mlink/modules/profile/index.cfm?action=profile&amp;prop_id=1877</v>
      </c>
      <c r="N1621" s="1" t="str">
        <f t="shared" si="129"/>
        <v>01877</v>
      </c>
    </row>
    <row r="1622" spans="1:14" x14ac:dyDescent="0.3">
      <c r="A1622" s="1">
        <v>1878</v>
      </c>
      <c r="B1622" s="7" t="s">
        <v>2091</v>
      </c>
      <c r="C1622" s="12">
        <v>2802</v>
      </c>
      <c r="D1622" s="7" t="s">
        <v>2453</v>
      </c>
      <c r="E1622" s="13" t="s">
        <v>1657</v>
      </c>
      <c r="F1622" t="str">
        <f t="shared" si="125"/>
        <v>TC</v>
      </c>
      <c r="G1622" t="str">
        <f t="shared" si="126"/>
        <v>TC2802Houston</v>
      </c>
      <c r="H1622" t="s">
        <v>32480</v>
      </c>
      <c r="I1622" t="s">
        <v>23907</v>
      </c>
      <c r="J1622" t="str">
        <f t="shared" si="127"/>
        <v>E:\PropInv\MF</v>
      </c>
      <c r="K1622" s="103" t="str">
        <f>HYPERLINK("E:\PropInv\MF\Houston\TC Jester Blvd W_2802_The Dunhill_Houston_01878","TC Jester Blvd W_2802_The Dunhill_Houston_01878" )</f>
        <v>TC Jester Blvd W_2802_The Dunhill_Houston_01878</v>
      </c>
      <c r="L1622" s="104" t="s">
        <v>22253</v>
      </c>
      <c r="M1622" s="103" t="str">
        <f t="shared" si="128"/>
        <v>http://oconnordata.com/mlink/modules/profile/index.cfm?action=profile&amp;prop_id=1878</v>
      </c>
      <c r="N1622" s="1" t="str">
        <f t="shared" si="129"/>
        <v>01878</v>
      </c>
    </row>
    <row r="1623" spans="1:14" x14ac:dyDescent="0.3">
      <c r="A1623" s="1">
        <v>1879</v>
      </c>
      <c r="B1623" s="7" t="s">
        <v>2368</v>
      </c>
      <c r="C1623" s="12">
        <v>1200</v>
      </c>
      <c r="D1623" s="7" t="s">
        <v>2454</v>
      </c>
      <c r="E1623" s="13" t="s">
        <v>1657</v>
      </c>
      <c r="F1623" t="str">
        <f t="shared" si="125"/>
        <v>Tidwell</v>
      </c>
      <c r="G1623" t="str">
        <f t="shared" si="126"/>
        <v>Tidwell1200Houston</v>
      </c>
      <c r="H1623" t="s">
        <v>32481</v>
      </c>
      <c r="I1623" t="s">
        <v>23908</v>
      </c>
      <c r="J1623" t="str">
        <f t="shared" si="127"/>
        <v>E:\PropInv\MF</v>
      </c>
      <c r="K1623" s="103" t="str">
        <f>HYPERLINK("E:\PropInv\MF\Houston\Tidwell W_1200_Tidwell Estates_Houston_01879","Tidwell W_1200_Tidwell Estates_Houston_01879" )</f>
        <v>Tidwell W_1200_Tidwell Estates_Houston_01879</v>
      </c>
      <c r="L1623" s="104" t="s">
        <v>22253</v>
      </c>
      <c r="M1623" s="103" t="str">
        <f t="shared" si="128"/>
        <v>http://oconnordata.com/mlink/modules/profile/index.cfm?action=profile&amp;prop_id=1879</v>
      </c>
      <c r="N1623" s="1" t="str">
        <f t="shared" si="129"/>
        <v>01879</v>
      </c>
    </row>
    <row r="1624" spans="1:14" x14ac:dyDescent="0.3">
      <c r="A1624" s="1">
        <v>1881</v>
      </c>
      <c r="B1624" s="19" t="s">
        <v>2455</v>
      </c>
      <c r="C1624" s="18">
        <v>5601</v>
      </c>
      <c r="D1624" s="19" t="s">
        <v>2456</v>
      </c>
      <c r="E1624" s="20" t="s">
        <v>1657</v>
      </c>
      <c r="F1624" t="str">
        <f t="shared" si="125"/>
        <v>Patrick</v>
      </c>
      <c r="G1624" t="str">
        <f t="shared" si="126"/>
        <v>Patrick5601Houston</v>
      </c>
      <c r="H1624" t="s">
        <v>32482</v>
      </c>
      <c r="I1624" t="s">
        <v>23909</v>
      </c>
      <c r="J1624" t="str">
        <f t="shared" si="127"/>
        <v>E:\PropInv\MF</v>
      </c>
      <c r="K1624" s="103" t="str">
        <f>HYPERLINK("E:\PropInv\MF\Houston\Patrick_5601_Boca del Rio Apts_Houston_01881","Patrick_5601_Boca del Rio Apts_Houston_01881" )</f>
        <v>Patrick_5601_Boca del Rio Apts_Houston_01881</v>
      </c>
      <c r="L1624" s="104" t="s">
        <v>22253</v>
      </c>
      <c r="M1624" s="103" t="str">
        <f t="shared" si="128"/>
        <v>http://oconnordata.com/mlink/modules/profile/index.cfm?action=profile&amp;prop_id=1881</v>
      </c>
      <c r="N1624" s="1" t="str">
        <f t="shared" si="129"/>
        <v>01881</v>
      </c>
    </row>
    <row r="1625" spans="1:14" x14ac:dyDescent="0.3">
      <c r="A1625" s="97">
        <v>1882</v>
      </c>
      <c r="B1625" s="7" t="s">
        <v>2457</v>
      </c>
      <c r="C1625" s="12">
        <v>5050</v>
      </c>
      <c r="D1625" s="7" t="s">
        <v>2458</v>
      </c>
      <c r="E1625" s="13" t="s">
        <v>1657</v>
      </c>
      <c r="F1625" t="str">
        <f t="shared" si="125"/>
        <v>Yale</v>
      </c>
      <c r="G1625" t="str">
        <f t="shared" si="126"/>
        <v>Yale5050Houston</v>
      </c>
      <c r="H1625" t="s">
        <v>32483</v>
      </c>
      <c r="I1625" t="s">
        <v>23910</v>
      </c>
      <c r="J1625" t="str">
        <f t="shared" si="127"/>
        <v>E:\PropInv\MF</v>
      </c>
      <c r="K1625" s="103" t="str">
        <f>HYPERLINK("E:\PropInv\MF\Houston\Yale St_5050_Yale Court_Houston_01882","Yale St_5050_Yale Court_Houston_01882" )</f>
        <v>Yale St_5050_Yale Court_Houston_01882</v>
      </c>
      <c r="L1625" s="104" t="s">
        <v>22253</v>
      </c>
      <c r="M1625" s="103" t="str">
        <f t="shared" si="128"/>
        <v>http://oconnordata.com/mlink/modules/profile/index.cfm?action=profile&amp;prop_id=1882</v>
      </c>
      <c r="N1625" s="1" t="str">
        <f t="shared" si="129"/>
        <v>01882</v>
      </c>
    </row>
    <row r="1626" spans="1:14" x14ac:dyDescent="0.3">
      <c r="A1626" s="1">
        <v>1883</v>
      </c>
      <c r="B1626" s="7" t="s">
        <v>2371</v>
      </c>
      <c r="C1626" s="12">
        <v>2006</v>
      </c>
      <c r="D1626" s="7" t="s">
        <v>2459</v>
      </c>
      <c r="E1626" s="13" t="s">
        <v>1657</v>
      </c>
      <c r="F1626" t="str">
        <f t="shared" si="125"/>
        <v>43rd</v>
      </c>
      <c r="G1626" t="str">
        <f t="shared" si="126"/>
        <v>43rd2006Houston</v>
      </c>
      <c r="H1626" t="s">
        <v>32484</v>
      </c>
      <c r="I1626" t="s">
        <v>23911</v>
      </c>
      <c r="J1626" t="str">
        <f t="shared" si="127"/>
        <v>E:\PropInv\MF</v>
      </c>
      <c r="K1626" s="103" t="str">
        <f>HYPERLINK("E:\PropInv\MF\Houston\43rd St W_2006_Oak Tree_Houston_01883","43rd St W_2006_Oak Tree_Houston_01883" )</f>
        <v>43rd St W_2006_Oak Tree_Houston_01883</v>
      </c>
      <c r="L1626" s="104" t="s">
        <v>22253</v>
      </c>
      <c r="M1626" s="103" t="str">
        <f t="shared" si="128"/>
        <v>http://oconnordata.com/mlink/modules/profile/index.cfm?action=profile&amp;prop_id=1883</v>
      </c>
      <c r="N1626" s="1" t="str">
        <f t="shared" si="129"/>
        <v>01883</v>
      </c>
    </row>
    <row r="1627" spans="1:14" x14ac:dyDescent="0.3">
      <c r="A1627" s="1">
        <v>1887</v>
      </c>
      <c r="B1627" s="7" t="s">
        <v>2260</v>
      </c>
      <c r="C1627" s="12">
        <v>7025</v>
      </c>
      <c r="D1627" s="7" t="s">
        <v>2460</v>
      </c>
      <c r="E1627" s="13" t="s">
        <v>1657</v>
      </c>
      <c r="F1627" t="str">
        <f t="shared" si="125"/>
        <v>Westview</v>
      </c>
      <c r="G1627" t="str">
        <f t="shared" si="126"/>
        <v>Westview7025Houston</v>
      </c>
      <c r="H1627" t="s">
        <v>32485</v>
      </c>
      <c r="I1627" t="s">
        <v>23912</v>
      </c>
      <c r="J1627" t="str">
        <f t="shared" si="127"/>
        <v>E:\PropInv\MF</v>
      </c>
      <c r="K1627" s="103" t="str">
        <f>HYPERLINK("E:\PropInv\MF\Houston\Westview_7025_Oak Forest_Houston_01887","Westview_7025_Oak Forest_Houston_01887" )</f>
        <v>Westview_7025_Oak Forest_Houston_01887</v>
      </c>
      <c r="L1627" s="104" t="s">
        <v>22253</v>
      </c>
      <c r="M1627" s="103" t="str">
        <f t="shared" si="128"/>
        <v>http://oconnordata.com/mlink/modules/profile/index.cfm?action=profile&amp;prop_id=1887</v>
      </c>
      <c r="N1627" s="1" t="str">
        <f t="shared" si="129"/>
        <v>01887</v>
      </c>
    </row>
    <row r="1628" spans="1:14" x14ac:dyDescent="0.3">
      <c r="A1628" s="1">
        <v>1888</v>
      </c>
      <c r="B1628" s="7" t="s">
        <v>2461</v>
      </c>
      <c r="C1628" s="12">
        <v>910</v>
      </c>
      <c r="D1628" s="7" t="s">
        <v>2462</v>
      </c>
      <c r="E1628" s="13" t="s">
        <v>1657</v>
      </c>
      <c r="F1628" t="str">
        <f t="shared" si="125"/>
        <v>Lehman</v>
      </c>
      <c r="G1628" t="str">
        <f t="shared" si="126"/>
        <v>Lehman910Houston</v>
      </c>
      <c r="H1628" t="s">
        <v>32486</v>
      </c>
      <c r="I1628" t="s">
        <v>23913</v>
      </c>
      <c r="J1628" t="str">
        <f t="shared" si="127"/>
        <v>E:\PropInv\MF</v>
      </c>
      <c r="K1628" s="103" t="str">
        <f>HYPERLINK("E:\PropInv\MF\Houston\Lehman St_910_Shepherd Forest_Houston_01888","Lehman St_910_Shepherd Forest_Houston_01888" )</f>
        <v>Lehman St_910_Shepherd Forest_Houston_01888</v>
      </c>
      <c r="L1628" s="104" t="s">
        <v>22253</v>
      </c>
      <c r="M1628" s="103" t="str">
        <f t="shared" si="128"/>
        <v>http://oconnordata.com/mlink/modules/profile/index.cfm?action=profile&amp;prop_id=1888</v>
      </c>
      <c r="N1628" s="1" t="str">
        <f t="shared" si="129"/>
        <v>01888</v>
      </c>
    </row>
    <row r="1629" spans="1:14" x14ac:dyDescent="0.3">
      <c r="A1629" s="1">
        <v>1889</v>
      </c>
      <c r="B1629" s="7" t="s">
        <v>2463</v>
      </c>
      <c r="C1629" s="12">
        <v>827</v>
      </c>
      <c r="D1629" s="7" t="s">
        <v>2464</v>
      </c>
      <c r="E1629" s="13" t="s">
        <v>1657</v>
      </c>
      <c r="F1629" t="str">
        <f t="shared" si="125"/>
        <v>Oak</v>
      </c>
      <c r="G1629" t="str">
        <f t="shared" si="126"/>
        <v>Oak827Houston</v>
      </c>
      <c r="H1629" t="s">
        <v>32487</v>
      </c>
      <c r="I1629" t="s">
        <v>23914</v>
      </c>
      <c r="J1629" t="str">
        <f t="shared" si="127"/>
        <v>E:\PropInv\MF</v>
      </c>
      <c r="K1629" s="103" t="str">
        <f>HYPERLINK("E:\PropInv\MF\Houston\Oak St_827_Villa Nueva_Houston_01889","Oak St_827_Villa Nueva_Houston_01889" )</f>
        <v>Oak St_827_Villa Nueva_Houston_01889</v>
      </c>
      <c r="L1629" s="104" t="s">
        <v>22253</v>
      </c>
      <c r="M1629" s="103" t="str">
        <f t="shared" si="128"/>
        <v>http://oconnordata.com/mlink/modules/profile/index.cfm?action=profile&amp;prop_id=1889</v>
      </c>
      <c r="N1629" s="1" t="str">
        <f t="shared" si="129"/>
        <v>01889</v>
      </c>
    </row>
    <row r="1630" spans="1:14" s="139" customFormat="1" x14ac:dyDescent="0.3">
      <c r="A1630" s="136">
        <v>1890</v>
      </c>
      <c r="B1630" s="137" t="s">
        <v>2463</v>
      </c>
      <c r="C1630" s="138">
        <v>838</v>
      </c>
      <c r="D1630" s="137" t="s">
        <v>2465</v>
      </c>
      <c r="E1630" s="137" t="s">
        <v>1657</v>
      </c>
      <c r="F1630" s="139" t="str">
        <f t="shared" si="125"/>
        <v>Oak</v>
      </c>
      <c r="G1630" s="139" t="str">
        <f t="shared" si="126"/>
        <v>Oak838Houston</v>
      </c>
      <c r="H1630" s="139" t="s">
        <v>32488</v>
      </c>
      <c r="I1630" s="139" t="s">
        <v>23915</v>
      </c>
      <c r="J1630" s="139" t="str">
        <f t="shared" si="127"/>
        <v>E:\PropInv\MF</v>
      </c>
      <c r="K1630" s="140" t="str">
        <f>HYPERLINK("E:\PropInv\MF\Houston\Oak St_838_Tiffany Oaks_Houston_01890","Oak St_838_Tiffany Oaks_Houston_01890" )</f>
        <v>Oak St_838_Tiffany Oaks_Houston_01890</v>
      </c>
      <c r="L1630" s="141" t="s">
        <v>22253</v>
      </c>
      <c r="M1630" s="140" t="str">
        <f t="shared" si="128"/>
        <v>http://oconnordata.com/mlink/modules/profile/index.cfm?action=profile&amp;prop_id=1890</v>
      </c>
      <c r="N1630" s="136" t="str">
        <f t="shared" si="129"/>
        <v>01890</v>
      </c>
    </row>
    <row r="1631" spans="1:14" x14ac:dyDescent="0.3">
      <c r="A1631" s="1">
        <v>1891</v>
      </c>
      <c r="B1631" s="7" t="s">
        <v>2466</v>
      </c>
      <c r="C1631" s="12">
        <v>505</v>
      </c>
      <c r="D1631" s="7" t="s">
        <v>2467</v>
      </c>
      <c r="E1631" s="13" t="s">
        <v>1657</v>
      </c>
      <c r="F1631" t="str">
        <f t="shared" si="125"/>
        <v>Thornton</v>
      </c>
      <c r="G1631" t="str">
        <f t="shared" si="126"/>
        <v>Thornton505Houston</v>
      </c>
      <c r="H1631" t="s">
        <v>32489</v>
      </c>
      <c r="I1631" t="s">
        <v>23916</v>
      </c>
      <c r="J1631" t="str">
        <f t="shared" si="127"/>
        <v>E:\PropInv\MF</v>
      </c>
      <c r="K1631" s="103" t="str">
        <f>HYPERLINK("E:\PropInv\MF\Houston\Thornton_505_Las Palmas Apts_Houston_01891","Thornton_505_Las Palmas Apts_Houston_01891" )</f>
        <v>Thornton_505_Las Palmas Apts_Houston_01891</v>
      </c>
      <c r="L1631" s="104" t="s">
        <v>22253</v>
      </c>
      <c r="M1631" s="103" t="str">
        <f t="shared" si="128"/>
        <v>http://oconnordata.com/mlink/modules/profile/index.cfm?action=profile&amp;prop_id=1891</v>
      </c>
      <c r="N1631" s="1" t="str">
        <f t="shared" si="129"/>
        <v>01891</v>
      </c>
    </row>
    <row r="1632" spans="1:14" x14ac:dyDescent="0.3">
      <c r="A1632" s="1">
        <v>1892</v>
      </c>
      <c r="B1632" s="7" t="s">
        <v>2405</v>
      </c>
      <c r="C1632" s="12">
        <v>2223</v>
      </c>
      <c r="D1632" s="7" t="s">
        <v>2468</v>
      </c>
      <c r="E1632" s="13" t="s">
        <v>1657</v>
      </c>
      <c r="F1632" t="str">
        <f t="shared" si="125"/>
        <v>34th</v>
      </c>
      <c r="G1632" t="str">
        <f t="shared" si="126"/>
        <v>34th2223Houston</v>
      </c>
      <c r="H1632" t="s">
        <v>32490</v>
      </c>
      <c r="I1632" t="s">
        <v>23917</v>
      </c>
      <c r="J1632" t="str">
        <f t="shared" si="127"/>
        <v>E:\PropInv\MF</v>
      </c>
      <c r="K1632" s="103" t="str">
        <f>HYPERLINK("E:\PropInv\MF\Houston\34th St W_2223_Brookhollow_Houston_01892","34th St W_2223_Brookhollow_Houston_01892" )</f>
        <v>34th St W_2223_Brookhollow_Houston_01892</v>
      </c>
      <c r="L1632" s="104" t="s">
        <v>22253</v>
      </c>
      <c r="M1632" s="103" t="str">
        <f t="shared" si="128"/>
        <v>http://oconnordata.com/mlink/modules/profile/index.cfm?action=profile&amp;prop_id=1892</v>
      </c>
      <c r="N1632" s="1" t="str">
        <f t="shared" si="129"/>
        <v>01892</v>
      </c>
    </row>
    <row r="1633" spans="1:14" x14ac:dyDescent="0.3">
      <c r="A1633" s="1">
        <v>1893</v>
      </c>
      <c r="B1633" s="7" t="s">
        <v>2389</v>
      </c>
      <c r="C1633" s="12">
        <v>3800</v>
      </c>
      <c r="D1633" s="7" t="s">
        <v>2469</v>
      </c>
      <c r="E1633" s="13" t="s">
        <v>1657</v>
      </c>
      <c r="F1633" t="str">
        <f t="shared" si="125"/>
        <v>Sherwood</v>
      </c>
      <c r="G1633" t="str">
        <f t="shared" si="126"/>
        <v>Sherwood3800Houston</v>
      </c>
      <c r="H1633" t="s">
        <v>32491</v>
      </c>
      <c r="I1633" t="s">
        <v>23918</v>
      </c>
      <c r="J1633" t="str">
        <f t="shared" si="127"/>
        <v>E:\PropInv\MF</v>
      </c>
      <c r="K1633" s="103" t="str">
        <f>HYPERLINK("E:\PropInv\MF\Houston\Sherwood Ln_3800_Tara Oaks_Houston_01893","Sherwood Ln_3800_Tara Oaks_Houston_01893" )</f>
        <v>Sherwood Ln_3800_Tara Oaks_Houston_01893</v>
      </c>
      <c r="L1633" s="104" t="s">
        <v>22253</v>
      </c>
      <c r="M1633" s="103" t="str">
        <f t="shared" si="128"/>
        <v>http://oconnordata.com/mlink/modules/profile/index.cfm?action=profile&amp;prop_id=1893</v>
      </c>
      <c r="N1633" s="1" t="str">
        <f t="shared" si="129"/>
        <v>01893</v>
      </c>
    </row>
    <row r="1634" spans="1:14" x14ac:dyDescent="0.3">
      <c r="A1634" s="1">
        <v>1894</v>
      </c>
      <c r="B1634" s="7" t="s">
        <v>2470</v>
      </c>
      <c r="C1634" s="12">
        <v>2800</v>
      </c>
      <c r="D1634" s="7" t="s">
        <v>2471</v>
      </c>
      <c r="E1634" s="13" t="s">
        <v>1657</v>
      </c>
      <c r="F1634" t="str">
        <f t="shared" si="125"/>
        <v>TC</v>
      </c>
      <c r="G1634" t="str">
        <f t="shared" si="126"/>
        <v>TC2800Houston</v>
      </c>
      <c r="H1634" t="s">
        <v>32492</v>
      </c>
      <c r="I1634" t="s">
        <v>23919</v>
      </c>
      <c r="J1634" t="str">
        <f t="shared" si="127"/>
        <v>E:\PropInv\MF</v>
      </c>
      <c r="K1634" s="103" t="str">
        <f>HYPERLINK("E:\PropInv\MF\Houston\TC Jester W_2800_Turtle Creek_Houston_01894","TC Jester W_2800_Turtle Creek_Houston_01894" )</f>
        <v>TC Jester W_2800_Turtle Creek_Houston_01894</v>
      </c>
      <c r="L1634" s="104" t="s">
        <v>22253</v>
      </c>
      <c r="M1634" s="103" t="str">
        <f t="shared" si="128"/>
        <v>http://oconnordata.com/mlink/modules/profile/index.cfm?action=profile&amp;prop_id=1894</v>
      </c>
      <c r="N1634" s="1" t="str">
        <f t="shared" si="129"/>
        <v>01894</v>
      </c>
    </row>
    <row r="1635" spans="1:14" x14ac:dyDescent="0.3">
      <c r="A1635" s="1">
        <v>1895</v>
      </c>
      <c r="B1635" s="7" t="s">
        <v>1772</v>
      </c>
      <c r="C1635" s="12">
        <v>2121</v>
      </c>
      <c r="D1635" s="7" t="s">
        <v>2472</v>
      </c>
      <c r="E1635" s="13" t="s">
        <v>1657</v>
      </c>
      <c r="F1635" t="str">
        <f t="shared" si="125"/>
        <v>Ella</v>
      </c>
      <c r="G1635" t="str">
        <f t="shared" si="126"/>
        <v>Ella2121Houston</v>
      </c>
      <c r="H1635" t="s">
        <v>32493</v>
      </c>
      <c r="I1635" t="s">
        <v>23920</v>
      </c>
      <c r="J1635" t="str">
        <f t="shared" si="127"/>
        <v>E:\PropInv\MF</v>
      </c>
      <c r="K1635" s="103" t="str">
        <f>HYPERLINK("E:\PropInv\MF\Houston\Ella Blvd_2121_Ella Creek_Houston_01895","Ella Blvd_2121_Ella Creek_Houston_01895" )</f>
        <v>Ella Blvd_2121_Ella Creek_Houston_01895</v>
      </c>
      <c r="L1635" s="104" t="s">
        <v>22253</v>
      </c>
      <c r="M1635" s="103" t="str">
        <f t="shared" si="128"/>
        <v>http://oconnordata.com/mlink/modules/profile/index.cfm?action=profile&amp;prop_id=1895</v>
      </c>
      <c r="N1635" s="1" t="str">
        <f t="shared" si="129"/>
        <v>01895</v>
      </c>
    </row>
    <row r="1636" spans="1:14" x14ac:dyDescent="0.3">
      <c r="A1636" s="1">
        <v>1897</v>
      </c>
      <c r="B1636" s="21" t="s">
        <v>2473</v>
      </c>
      <c r="C1636" s="12">
        <v>5600</v>
      </c>
      <c r="D1636" s="7" t="s">
        <v>2474</v>
      </c>
      <c r="E1636" s="13" t="s">
        <v>1657</v>
      </c>
      <c r="F1636" t="str">
        <f t="shared" si="125"/>
        <v>N</v>
      </c>
      <c r="G1636" t="str">
        <f t="shared" si="126"/>
        <v>N5600Houston</v>
      </c>
      <c r="H1636" t="s">
        <v>32494</v>
      </c>
      <c r="I1636" t="s">
        <v>23921</v>
      </c>
      <c r="J1636" t="str">
        <f t="shared" si="127"/>
        <v>E:\PropInv\MF</v>
      </c>
      <c r="K1636" s="103" t="str">
        <f>HYPERLINK("E:\PropInv\MF\Houston\N Fwy_5600_Nordling Chateau_Houston_01897","N Fwy_5600_Nordling Chateau_Houston_01897" )</f>
        <v>N Fwy_5600_Nordling Chateau_Houston_01897</v>
      </c>
      <c r="L1636" s="104" t="s">
        <v>22253</v>
      </c>
      <c r="M1636" s="103" t="str">
        <f t="shared" si="128"/>
        <v>http://oconnordata.com/mlink/modules/profile/index.cfm?action=profile&amp;prop_id=1897</v>
      </c>
      <c r="N1636" s="1" t="str">
        <f t="shared" si="129"/>
        <v>01897</v>
      </c>
    </row>
    <row r="1637" spans="1:14" x14ac:dyDescent="0.3">
      <c r="A1637" s="1">
        <v>1900</v>
      </c>
      <c r="B1637" s="7" t="s">
        <v>2470</v>
      </c>
      <c r="C1637" s="12">
        <v>3600</v>
      </c>
      <c r="D1637" s="7" t="s">
        <v>1054</v>
      </c>
      <c r="E1637" s="13" t="s">
        <v>1657</v>
      </c>
      <c r="F1637" t="str">
        <f t="shared" si="125"/>
        <v>TC</v>
      </c>
      <c r="G1637" t="str">
        <f t="shared" si="126"/>
        <v>TC3600Houston</v>
      </c>
      <c r="H1637" t="s">
        <v>32495</v>
      </c>
      <c r="I1637" t="s">
        <v>23922</v>
      </c>
      <c r="J1637" t="str">
        <f t="shared" si="127"/>
        <v>E:\PropInv\MF</v>
      </c>
      <c r="K1637" s="103" t="str">
        <f>HYPERLINK("E:\PropInv\MF\Houston\TC Jester W_3600_Forest Oaks_Houston_01900","TC Jester W_3600_Forest Oaks_Houston_01900" )</f>
        <v>TC Jester W_3600_Forest Oaks_Houston_01900</v>
      </c>
      <c r="L1637" s="104" t="s">
        <v>22253</v>
      </c>
      <c r="M1637" s="103" t="str">
        <f t="shared" si="128"/>
        <v>http://oconnordata.com/mlink/modules/profile/index.cfm?action=profile&amp;prop_id=1900</v>
      </c>
      <c r="N1637" s="1" t="str">
        <f t="shared" si="129"/>
        <v>01900</v>
      </c>
    </row>
    <row r="1638" spans="1:14" x14ac:dyDescent="0.3">
      <c r="A1638" s="1">
        <v>1901</v>
      </c>
      <c r="B1638" s="7" t="s">
        <v>2405</v>
      </c>
      <c r="C1638" s="12">
        <v>1705</v>
      </c>
      <c r="D1638" s="7" t="s">
        <v>2475</v>
      </c>
      <c r="E1638" s="13" t="s">
        <v>1657</v>
      </c>
      <c r="F1638" t="str">
        <f t="shared" si="125"/>
        <v>34th</v>
      </c>
      <c r="G1638" t="str">
        <f t="shared" si="126"/>
        <v>34th1705Houston</v>
      </c>
      <c r="H1638" t="s">
        <v>32496</v>
      </c>
      <c r="I1638" t="s">
        <v>23923</v>
      </c>
      <c r="J1638" t="str">
        <f t="shared" si="127"/>
        <v>E:\PropInv\MF</v>
      </c>
      <c r="K1638" s="103" t="str">
        <f>HYPERLINK("E:\PropInv\MF\Houston\34th St W_1705_Oak Manor_Houston_01901","34th St W_1705_Oak Manor_Houston_01901" )</f>
        <v>34th St W_1705_Oak Manor_Houston_01901</v>
      </c>
      <c r="L1638" s="104" t="s">
        <v>22253</v>
      </c>
      <c r="M1638" s="103" t="str">
        <f t="shared" si="128"/>
        <v>http://oconnordata.com/mlink/modules/profile/index.cfm?action=profile&amp;prop_id=1901</v>
      </c>
      <c r="N1638" s="1" t="str">
        <f t="shared" si="129"/>
        <v>01901</v>
      </c>
    </row>
    <row r="1639" spans="1:14" x14ac:dyDescent="0.3">
      <c r="A1639" s="1">
        <v>1902</v>
      </c>
      <c r="B1639" s="7" t="s">
        <v>1772</v>
      </c>
      <c r="C1639" s="12">
        <v>3011</v>
      </c>
      <c r="D1639" s="7" t="s">
        <v>2476</v>
      </c>
      <c r="E1639" s="13" t="s">
        <v>1657</v>
      </c>
      <c r="F1639" t="str">
        <f t="shared" si="125"/>
        <v>Ella</v>
      </c>
      <c r="G1639" t="str">
        <f t="shared" si="126"/>
        <v>Ella3011Houston</v>
      </c>
      <c r="H1639" t="s">
        <v>32497</v>
      </c>
      <c r="I1639" t="s">
        <v>23924</v>
      </c>
      <c r="J1639" t="str">
        <f t="shared" si="127"/>
        <v>E:\PropInv\MF</v>
      </c>
      <c r="K1639" s="103" t="str">
        <f>HYPERLINK("E:\PropInv\MF\Houston\Ella Blvd_3011_Ella Square_Houston_01902","Ella Blvd_3011_Ella Square_Houston_01902" )</f>
        <v>Ella Blvd_3011_Ella Square_Houston_01902</v>
      </c>
      <c r="L1639" s="104" t="s">
        <v>22253</v>
      </c>
      <c r="M1639" s="103" t="str">
        <f t="shared" si="128"/>
        <v>http://oconnordata.com/mlink/modules/profile/index.cfm?action=profile&amp;prop_id=1902</v>
      </c>
      <c r="N1639" s="1" t="str">
        <f t="shared" si="129"/>
        <v>01902</v>
      </c>
    </row>
    <row r="1640" spans="1:14" x14ac:dyDescent="0.3">
      <c r="A1640" s="97">
        <v>1904</v>
      </c>
      <c r="B1640" s="7" t="s">
        <v>2477</v>
      </c>
      <c r="C1640" s="12">
        <v>2400</v>
      </c>
      <c r="D1640" s="7" t="s">
        <v>2478</v>
      </c>
      <c r="E1640" s="13" t="s">
        <v>1657</v>
      </c>
      <c r="F1640" t="str">
        <f t="shared" si="125"/>
        <v>Hackett</v>
      </c>
      <c r="G1640" t="str">
        <f t="shared" si="126"/>
        <v>Hackett2400Houston</v>
      </c>
      <c r="H1640" t="s">
        <v>32498</v>
      </c>
      <c r="I1640" t="s">
        <v>23925</v>
      </c>
      <c r="J1640" t="str">
        <f t="shared" si="127"/>
        <v>E:\PropInv\MF</v>
      </c>
      <c r="K1640" s="103" t="str">
        <f>HYPERLINK("E:\PropInv\MF\Houston\Hackett_2400_Woodside Village_Houston_01904","Hackett_2400_Woodside Village_Houston_01904" )</f>
        <v>Hackett_2400_Woodside Village_Houston_01904</v>
      </c>
      <c r="L1640" s="104" t="s">
        <v>22253</v>
      </c>
      <c r="M1640" s="103" t="str">
        <f t="shared" si="128"/>
        <v>http://oconnordata.com/mlink/modules/profile/index.cfm?action=profile&amp;prop_id=1904</v>
      </c>
      <c r="N1640" s="1" t="str">
        <f t="shared" si="129"/>
        <v>01904</v>
      </c>
    </row>
    <row r="1641" spans="1:14" x14ac:dyDescent="0.3">
      <c r="A1641" s="1">
        <v>1905</v>
      </c>
      <c r="B1641" s="7" t="s">
        <v>2479</v>
      </c>
      <c r="C1641" s="12">
        <v>1700</v>
      </c>
      <c r="D1641" s="7" t="s">
        <v>2480</v>
      </c>
      <c r="E1641" s="13" t="s">
        <v>1657</v>
      </c>
      <c r="F1641" t="str">
        <f t="shared" si="125"/>
        <v>Seaspray</v>
      </c>
      <c r="G1641" t="str">
        <f t="shared" si="126"/>
        <v>Seaspray1700Houston</v>
      </c>
      <c r="H1641" t="s">
        <v>32499</v>
      </c>
      <c r="I1641" t="s">
        <v>23926</v>
      </c>
      <c r="J1641" t="str">
        <f t="shared" si="127"/>
        <v>E:\PropInv\MF</v>
      </c>
      <c r="K1641" s="103" t="str">
        <f>HYPERLINK("E:\PropInv\MF\Houston\Seaspray Ct_1700_The Oaks of Timbergrove_Houston_01905","Seaspray Ct_1700_The Oaks of Timbergrove_Houston_01905" )</f>
        <v>Seaspray Ct_1700_The Oaks of Timbergrove_Houston_01905</v>
      </c>
      <c r="L1641" s="104" t="s">
        <v>22253</v>
      </c>
      <c r="M1641" s="103" t="str">
        <f t="shared" si="128"/>
        <v>http://oconnordata.com/mlink/modules/profile/index.cfm?action=profile&amp;prop_id=1905</v>
      </c>
      <c r="N1641" s="1" t="str">
        <f t="shared" si="129"/>
        <v>01905</v>
      </c>
    </row>
    <row r="1642" spans="1:14" x14ac:dyDescent="0.3">
      <c r="A1642" s="1">
        <v>1907</v>
      </c>
      <c r="B1642" s="7" t="s">
        <v>2091</v>
      </c>
      <c r="C1642" s="12">
        <v>2790</v>
      </c>
      <c r="D1642" s="7" t="s">
        <v>2481</v>
      </c>
      <c r="E1642" s="13" t="s">
        <v>1657</v>
      </c>
      <c r="F1642" t="str">
        <f t="shared" si="125"/>
        <v>TC</v>
      </c>
      <c r="G1642" t="str">
        <f t="shared" si="126"/>
        <v>TC2790Houston</v>
      </c>
      <c r="H1642" t="s">
        <v>32500</v>
      </c>
      <c r="I1642" t="s">
        <v>23927</v>
      </c>
      <c r="J1642" t="str">
        <f t="shared" si="127"/>
        <v>E:\PropInv\MF</v>
      </c>
      <c r="K1642" s="103" t="str">
        <f>HYPERLINK("E:\PropInv\MF\Houston\TC Jester Blvd W_2790_Pointe Plaza_Houston_01907","TC Jester Blvd W_2790_Pointe Plaza_Houston_01907" )</f>
        <v>TC Jester Blvd W_2790_Pointe Plaza_Houston_01907</v>
      </c>
      <c r="L1642" s="104" t="s">
        <v>22253</v>
      </c>
      <c r="M1642" s="103" t="str">
        <f t="shared" si="128"/>
        <v>http://oconnordata.com/mlink/modules/profile/index.cfm?action=profile&amp;prop_id=1907</v>
      </c>
      <c r="N1642" s="1" t="str">
        <f t="shared" si="129"/>
        <v>01907</v>
      </c>
    </row>
    <row r="1643" spans="1:14" x14ac:dyDescent="0.3">
      <c r="A1643" s="1">
        <v>1908</v>
      </c>
      <c r="B1643" s="7" t="s">
        <v>2482</v>
      </c>
      <c r="C1643" s="12">
        <v>2424</v>
      </c>
      <c r="D1643" s="7" t="s">
        <v>2483</v>
      </c>
      <c r="E1643" s="13" t="s">
        <v>1657</v>
      </c>
      <c r="F1643" t="str">
        <f t="shared" si="125"/>
        <v>TC</v>
      </c>
      <c r="G1643" t="str">
        <f t="shared" si="126"/>
        <v>TC2424Houston</v>
      </c>
      <c r="H1643" t="s">
        <v>32501</v>
      </c>
      <c r="I1643" t="s">
        <v>23928</v>
      </c>
      <c r="J1643" t="str">
        <f t="shared" si="127"/>
        <v>E:\PropInv\MF</v>
      </c>
      <c r="K1643" s="103" t="str">
        <f>HYPERLINK("E:\PropInv\MF\Houston\TC Jester E_2424_Crossing at White Oak_Houston_01908","TC Jester E_2424_Crossing at White Oak_Houston_01908" )</f>
        <v>TC Jester E_2424_Crossing at White Oak_Houston_01908</v>
      </c>
      <c r="L1643" s="104" t="s">
        <v>22253</v>
      </c>
      <c r="M1643" s="103" t="str">
        <f t="shared" si="128"/>
        <v>http://oconnordata.com/mlink/modules/profile/index.cfm?action=profile&amp;prop_id=1908</v>
      </c>
      <c r="N1643" s="1" t="str">
        <f t="shared" si="129"/>
        <v>01908</v>
      </c>
    </row>
    <row r="1644" spans="1:14" x14ac:dyDescent="0.3">
      <c r="A1644" s="1">
        <v>1909</v>
      </c>
      <c r="B1644" s="7" t="s">
        <v>2484</v>
      </c>
      <c r="C1644" s="12">
        <v>2338</v>
      </c>
      <c r="D1644" s="7" t="s">
        <v>2485</v>
      </c>
      <c r="E1644" s="13" t="s">
        <v>1657</v>
      </c>
      <c r="F1644" t="str">
        <f t="shared" si="125"/>
        <v>18th</v>
      </c>
      <c r="G1644" t="str">
        <f t="shared" si="126"/>
        <v>18th2338Houston</v>
      </c>
      <c r="H1644" t="s">
        <v>32502</v>
      </c>
      <c r="I1644" t="s">
        <v>23929</v>
      </c>
      <c r="J1644" t="str">
        <f t="shared" si="127"/>
        <v>E:\PropInv\MF</v>
      </c>
      <c r="K1644" s="103" t="str">
        <f>HYPERLINK("E:\PropInv\MF\Houston\18th St W_2338_Brittany Place_Houston_01909","18th St W_2338_Brittany Place_Houston_01909" )</f>
        <v>18th St W_2338_Brittany Place_Houston_01909</v>
      </c>
      <c r="L1644" s="104" t="s">
        <v>22253</v>
      </c>
      <c r="M1644" s="103" t="str">
        <f t="shared" si="128"/>
        <v>http://oconnordata.com/mlink/modules/profile/index.cfm?action=profile&amp;prop_id=1909</v>
      </c>
      <c r="N1644" s="1" t="str">
        <f t="shared" si="129"/>
        <v>01909</v>
      </c>
    </row>
    <row r="1645" spans="1:14" x14ac:dyDescent="0.3">
      <c r="A1645" s="1">
        <v>1910</v>
      </c>
      <c r="B1645" s="19" t="s">
        <v>2486</v>
      </c>
      <c r="C1645" s="18">
        <v>1353</v>
      </c>
      <c r="D1645" s="19" t="s">
        <v>2487</v>
      </c>
      <c r="E1645" s="20" t="s">
        <v>1657</v>
      </c>
      <c r="F1645" t="str">
        <f t="shared" si="125"/>
        <v>Judiway</v>
      </c>
      <c r="G1645" t="str">
        <f t="shared" si="126"/>
        <v>Judiway1353Houston</v>
      </c>
      <c r="H1645" t="s">
        <v>32503</v>
      </c>
      <c r="I1645" t="s">
        <v>23930</v>
      </c>
      <c r="J1645" t="str">
        <f t="shared" si="127"/>
        <v>E:\PropInv\MF</v>
      </c>
      <c r="K1645" s="103" t="str">
        <f>HYPERLINK("E:\PropInv\MF\Houston\Judiway_1353_Colony Oaks Apts_Houston_01910","Judiway_1353_Colony Oaks Apts_Houston_01910" )</f>
        <v>Judiway_1353_Colony Oaks Apts_Houston_01910</v>
      </c>
      <c r="L1645" s="104" t="s">
        <v>22253</v>
      </c>
      <c r="M1645" s="103" t="str">
        <f t="shared" si="128"/>
        <v>http://oconnordata.com/mlink/modules/profile/index.cfm?action=profile&amp;prop_id=1910</v>
      </c>
      <c r="N1645" s="1" t="str">
        <f t="shared" si="129"/>
        <v>01910</v>
      </c>
    </row>
    <row r="1646" spans="1:14" x14ac:dyDescent="0.3">
      <c r="A1646" s="1">
        <v>1913</v>
      </c>
      <c r="B1646" s="7" t="s">
        <v>2091</v>
      </c>
      <c r="C1646" s="12">
        <v>1600</v>
      </c>
      <c r="D1646" s="7" t="s">
        <v>2488</v>
      </c>
      <c r="E1646" s="13" t="s">
        <v>1657</v>
      </c>
      <c r="F1646" t="str">
        <f t="shared" si="125"/>
        <v>TC</v>
      </c>
      <c r="G1646" t="str">
        <f t="shared" si="126"/>
        <v>TC1600Houston</v>
      </c>
      <c r="H1646" t="s">
        <v>32504</v>
      </c>
      <c r="I1646" t="s">
        <v>23931</v>
      </c>
      <c r="J1646" t="str">
        <f t="shared" si="127"/>
        <v>E:\PropInv\MF</v>
      </c>
      <c r="K1646" s="103" t="str">
        <f>HYPERLINK("E:\PropInv\MF\Houston\TC Jester Blvd W_1600_Timbergrove_Houston_01913","TC Jester Blvd W_1600_Timbergrove_Houston_01913" )</f>
        <v>TC Jester Blvd W_1600_Timbergrove_Houston_01913</v>
      </c>
      <c r="L1646" s="104" t="s">
        <v>22253</v>
      </c>
      <c r="M1646" s="103" t="str">
        <f t="shared" si="128"/>
        <v>http://oconnordata.com/mlink/modules/profile/index.cfm?action=profile&amp;prop_id=1913</v>
      </c>
      <c r="N1646" s="1" t="str">
        <f t="shared" si="129"/>
        <v>01913</v>
      </c>
    </row>
    <row r="1647" spans="1:14" x14ac:dyDescent="0.3">
      <c r="A1647" s="1">
        <v>1914</v>
      </c>
      <c r="B1647" s="7" t="s">
        <v>2091</v>
      </c>
      <c r="C1647" s="12">
        <v>1660</v>
      </c>
      <c r="D1647" s="7" t="s">
        <v>2489</v>
      </c>
      <c r="E1647" s="13" t="s">
        <v>1657</v>
      </c>
      <c r="F1647" t="str">
        <f t="shared" si="125"/>
        <v>TC</v>
      </c>
      <c r="G1647" t="str">
        <f t="shared" si="126"/>
        <v>TC1660Houston</v>
      </c>
      <c r="H1647" t="s">
        <v>32505</v>
      </c>
      <c r="I1647" t="s">
        <v>23932</v>
      </c>
      <c r="J1647" t="str">
        <f t="shared" si="127"/>
        <v>E:\PropInv\MF</v>
      </c>
      <c r="K1647" s="103" t="str">
        <f>HYPERLINK("E:\PropInv\MF\Houston\TC Jester Blvd W_1660_The Gardens_Houston_01914","TC Jester Blvd W_1660_The Gardens_Houston_01914" )</f>
        <v>TC Jester Blvd W_1660_The Gardens_Houston_01914</v>
      </c>
      <c r="L1647" s="104" t="s">
        <v>22253</v>
      </c>
      <c r="M1647" s="103" t="str">
        <f t="shared" si="128"/>
        <v>http://oconnordata.com/mlink/modules/profile/index.cfm?action=profile&amp;prop_id=1914</v>
      </c>
      <c r="N1647" s="1" t="str">
        <f t="shared" si="129"/>
        <v>01914</v>
      </c>
    </row>
    <row r="1648" spans="1:14" x14ac:dyDescent="0.3">
      <c r="A1648" s="1">
        <v>1915</v>
      </c>
      <c r="B1648" s="7" t="s">
        <v>2091</v>
      </c>
      <c r="C1648" s="12">
        <v>1700</v>
      </c>
      <c r="D1648" s="7" t="s">
        <v>2490</v>
      </c>
      <c r="E1648" s="13" t="s">
        <v>1657</v>
      </c>
      <c r="F1648" t="str">
        <f t="shared" si="125"/>
        <v>TC</v>
      </c>
      <c r="G1648" t="str">
        <f t="shared" si="126"/>
        <v>TC1700Houston</v>
      </c>
      <c r="H1648" t="s">
        <v>32506</v>
      </c>
      <c r="I1648" t="s">
        <v>23933</v>
      </c>
      <c r="J1648" t="str">
        <f t="shared" si="127"/>
        <v>E:\PropInv\MF</v>
      </c>
      <c r="K1648" s="103" t="str">
        <f>HYPERLINK("E:\PropInv\MF\Houston\TC Jester Blvd W_1700_The Grove at White Oak I_Houston_01915","TC Jester Blvd W_1700_The Grove at White Oak I_Houston_01915" )</f>
        <v>TC Jester Blvd W_1700_The Grove at White Oak I_Houston_01915</v>
      </c>
      <c r="L1648" s="104" t="s">
        <v>22253</v>
      </c>
      <c r="M1648" s="103" t="str">
        <f t="shared" si="128"/>
        <v>http://oconnordata.com/mlink/modules/profile/index.cfm?action=profile&amp;prop_id=1915</v>
      </c>
      <c r="N1648" s="1" t="str">
        <f t="shared" si="129"/>
        <v>01915</v>
      </c>
    </row>
    <row r="1649" spans="1:14" x14ac:dyDescent="0.3">
      <c r="A1649" s="1">
        <v>1916</v>
      </c>
      <c r="B1649" s="7" t="s">
        <v>2491</v>
      </c>
      <c r="C1649" s="12">
        <v>4503</v>
      </c>
      <c r="D1649" s="7" t="s">
        <v>2492</v>
      </c>
      <c r="E1649" s="13" t="s">
        <v>1657</v>
      </c>
      <c r="F1649" t="str">
        <f t="shared" si="125"/>
        <v>Werner</v>
      </c>
      <c r="G1649" t="str">
        <f t="shared" si="126"/>
        <v>Werner4503Houston</v>
      </c>
      <c r="H1649" t="s">
        <v>32507</v>
      </c>
      <c r="I1649" t="s">
        <v>23934</v>
      </c>
      <c r="J1649" t="str">
        <f t="shared" si="127"/>
        <v>E:\PropInv\MF</v>
      </c>
      <c r="K1649" s="103" t="str">
        <f>HYPERLINK("E:\PropInv\MF\Houston\Werner_4503_Monterrey Vista_Houston_01916","Werner_4503_Monterrey Vista_Houston_01916" )</f>
        <v>Werner_4503_Monterrey Vista_Houston_01916</v>
      </c>
      <c r="L1649" s="104" t="s">
        <v>22253</v>
      </c>
      <c r="M1649" s="103" t="str">
        <f t="shared" si="128"/>
        <v>http://oconnordata.com/mlink/modules/profile/index.cfm?action=profile&amp;prop_id=1916</v>
      </c>
      <c r="N1649" s="1" t="str">
        <f t="shared" si="129"/>
        <v>01916</v>
      </c>
    </row>
    <row r="1650" spans="1:14" x14ac:dyDescent="0.3">
      <c r="A1650" s="1">
        <v>1917</v>
      </c>
      <c r="B1650" s="7" t="s">
        <v>2491</v>
      </c>
      <c r="C1650" s="12">
        <v>4635</v>
      </c>
      <c r="D1650" s="7" t="s">
        <v>2493</v>
      </c>
      <c r="E1650" s="13" t="s">
        <v>1657</v>
      </c>
      <c r="F1650" t="str">
        <f t="shared" si="125"/>
        <v>Werner</v>
      </c>
      <c r="G1650" t="str">
        <f t="shared" si="126"/>
        <v>Werner4635Houston</v>
      </c>
      <c r="H1650" t="s">
        <v>32508</v>
      </c>
      <c r="I1650" t="s">
        <v>23935</v>
      </c>
      <c r="J1650" t="str">
        <f t="shared" si="127"/>
        <v>E:\PropInv\MF</v>
      </c>
      <c r="K1650" s="103" t="str">
        <f>HYPERLINK("E:\PropInv\MF\Houston\Werner_4635_Redwood Village II_Houston_01917","Werner_4635_Redwood Village II_Houston_01917" )</f>
        <v>Werner_4635_Redwood Village II_Houston_01917</v>
      </c>
      <c r="L1650" s="104" t="s">
        <v>22253</v>
      </c>
      <c r="M1650" s="103" t="str">
        <f t="shared" si="128"/>
        <v>http://oconnordata.com/mlink/modules/profile/index.cfm?action=profile&amp;prop_id=1917</v>
      </c>
      <c r="N1650" s="1" t="str">
        <f t="shared" si="129"/>
        <v>01917</v>
      </c>
    </row>
    <row r="1651" spans="1:14" x14ac:dyDescent="0.3">
      <c r="A1651" s="1">
        <v>1921</v>
      </c>
      <c r="B1651" s="19" t="s">
        <v>2494</v>
      </c>
      <c r="C1651" s="18">
        <v>6301</v>
      </c>
      <c r="D1651" s="19" t="s">
        <v>2495</v>
      </c>
      <c r="E1651" s="20" t="s">
        <v>1657</v>
      </c>
      <c r="F1651" t="str">
        <f t="shared" si="125"/>
        <v>Alfano</v>
      </c>
      <c r="G1651" t="str">
        <f t="shared" si="126"/>
        <v>Alfano6301Houston</v>
      </c>
      <c r="H1651" t="s">
        <v>32509</v>
      </c>
      <c r="I1651" t="s">
        <v>23936</v>
      </c>
      <c r="J1651" t="str">
        <f t="shared" si="127"/>
        <v>E:\PropInv\MF</v>
      </c>
      <c r="K1651" s="103" t="str">
        <f>HYPERLINK("E:\PropInv\MF\Houston\Alfano_6301_Rustic Glen_Houston_01921","Alfano_6301_Rustic Glen_Houston_01921" )</f>
        <v>Alfano_6301_Rustic Glen_Houston_01921</v>
      </c>
      <c r="L1651" s="104" t="s">
        <v>22253</v>
      </c>
      <c r="M1651" s="103" t="str">
        <f t="shared" si="128"/>
        <v>http://oconnordata.com/mlink/modules/profile/index.cfm?action=profile&amp;prop_id=1921</v>
      </c>
      <c r="N1651" s="1" t="str">
        <f t="shared" si="129"/>
        <v>01921</v>
      </c>
    </row>
    <row r="1652" spans="1:14" x14ac:dyDescent="0.3">
      <c r="A1652" s="1">
        <v>1933</v>
      </c>
      <c r="B1652" s="7" t="s">
        <v>2496</v>
      </c>
      <c r="C1652" s="12">
        <v>427</v>
      </c>
      <c r="D1652" s="7" t="s">
        <v>2497</v>
      </c>
      <c r="E1652" s="13" t="s">
        <v>1657</v>
      </c>
      <c r="F1652" t="str">
        <f t="shared" si="125"/>
        <v>16th</v>
      </c>
      <c r="G1652" t="str">
        <f t="shared" si="126"/>
        <v>16th427Houston</v>
      </c>
      <c r="H1652" t="s">
        <v>32510</v>
      </c>
      <c r="I1652" t="s">
        <v>23937</v>
      </c>
      <c r="J1652" t="str">
        <f t="shared" si="127"/>
        <v>E:\PropInv\MF</v>
      </c>
      <c r="K1652" s="103" t="str">
        <f>HYPERLINK("E:\PropInv\MF\Houston\16th St W_427_NF_Houston_01933","16th St W_427_NF_Houston_01933" )</f>
        <v>16th St W_427_NF_Houston_01933</v>
      </c>
      <c r="L1652" s="104" t="s">
        <v>22253</v>
      </c>
      <c r="M1652" s="103" t="str">
        <f t="shared" si="128"/>
        <v>http://oconnordata.com/mlink/modules/profile/index.cfm?action=profile&amp;prop_id=1933</v>
      </c>
      <c r="N1652" s="1" t="str">
        <f t="shared" si="129"/>
        <v>01933</v>
      </c>
    </row>
    <row r="1653" spans="1:14" x14ac:dyDescent="0.3">
      <c r="A1653" s="1">
        <v>1934</v>
      </c>
      <c r="B1653" s="7" t="s">
        <v>2498</v>
      </c>
      <c r="C1653" s="12">
        <v>304</v>
      </c>
      <c r="D1653" s="7" t="s">
        <v>2499</v>
      </c>
      <c r="E1653" s="13" t="s">
        <v>1657</v>
      </c>
      <c r="F1653" t="str">
        <f t="shared" si="125"/>
        <v>27th</v>
      </c>
      <c r="G1653" t="str">
        <f t="shared" si="126"/>
        <v>27th304Houston</v>
      </c>
      <c r="H1653" t="s">
        <v>32511</v>
      </c>
      <c r="I1653" t="s">
        <v>23938</v>
      </c>
      <c r="J1653" t="str">
        <f t="shared" si="127"/>
        <v>E:\PropInv\MF</v>
      </c>
      <c r="K1653" s="103" t="str">
        <f>HYPERLINK("E:\PropInv\MF\Houston\27th St W_304_Ben Hur Apts_Houston_01934","27th St W_304_Ben Hur Apts_Houston_01934" )</f>
        <v>27th St W_304_Ben Hur Apts_Houston_01934</v>
      </c>
      <c r="L1653" s="104" t="s">
        <v>22253</v>
      </c>
      <c r="M1653" s="103" t="str">
        <f t="shared" si="128"/>
        <v>http://oconnordata.com/mlink/modules/profile/index.cfm?action=profile&amp;prop_id=1934</v>
      </c>
      <c r="N1653" s="1" t="str">
        <f t="shared" si="129"/>
        <v>01934</v>
      </c>
    </row>
    <row r="1654" spans="1:14" x14ac:dyDescent="0.3">
      <c r="A1654" s="1">
        <v>1935</v>
      </c>
      <c r="B1654" s="7" t="s">
        <v>2500</v>
      </c>
      <c r="C1654" s="12">
        <v>2100</v>
      </c>
      <c r="D1654" s="7" t="s">
        <v>2501</v>
      </c>
      <c r="E1654" s="13" t="s">
        <v>1657</v>
      </c>
      <c r="F1654" t="str">
        <f t="shared" si="125"/>
        <v>Tannehill</v>
      </c>
      <c r="G1654" t="str">
        <f t="shared" si="126"/>
        <v>Tannehill2100Houston</v>
      </c>
      <c r="H1654" t="s">
        <v>32512</v>
      </c>
      <c r="I1654" t="s">
        <v>23939</v>
      </c>
      <c r="J1654" t="str">
        <f t="shared" si="127"/>
        <v>E:\PropInv\MF</v>
      </c>
      <c r="K1654" s="103" t="str">
        <f>HYPERLINK("E:\PropInv\MF\Houston\Tannehill_2100_Whispertree_Houston_01935","Tannehill_2100_Whispertree_Houston_01935" )</f>
        <v>Tannehill_2100_Whispertree_Houston_01935</v>
      </c>
      <c r="L1654" s="104" t="s">
        <v>22253</v>
      </c>
      <c r="M1654" s="103" t="str">
        <f t="shared" si="128"/>
        <v>http://oconnordata.com/mlink/modules/profile/index.cfm?action=profile&amp;prop_id=1935</v>
      </c>
      <c r="N1654" s="1" t="str">
        <f t="shared" si="129"/>
        <v>01935</v>
      </c>
    </row>
    <row r="1655" spans="1:14" x14ac:dyDescent="0.3">
      <c r="A1655" s="1">
        <v>1936</v>
      </c>
      <c r="B1655" s="7" t="s">
        <v>2502</v>
      </c>
      <c r="C1655" s="12">
        <v>1640</v>
      </c>
      <c r="D1655" s="7" t="s">
        <v>2503</v>
      </c>
      <c r="E1655" s="13" t="s">
        <v>1657</v>
      </c>
      <c r="F1655" t="str">
        <f t="shared" si="125"/>
        <v>TC</v>
      </c>
      <c r="G1655" t="str">
        <f t="shared" si="126"/>
        <v>TC1640Houston</v>
      </c>
      <c r="H1655" t="s">
        <v>32513</v>
      </c>
      <c r="I1655" t="s">
        <v>23940</v>
      </c>
      <c r="J1655" t="str">
        <f t="shared" si="127"/>
        <v>E:\PropInv\MF</v>
      </c>
      <c r="K1655" s="103" t="str">
        <f>HYPERLINK("E:\PropInv\MF\Houston\TC Jester Blvd E_1640_Retreat at City Park_Houston_01936","TC Jester Blvd E_1640_Retreat at City Park_Houston_01936" )</f>
        <v>TC Jester Blvd E_1640_Retreat at City Park_Houston_01936</v>
      </c>
      <c r="L1655" s="104" t="s">
        <v>22253</v>
      </c>
      <c r="M1655" s="103" t="str">
        <f t="shared" si="128"/>
        <v>http://oconnordata.com/mlink/modules/profile/index.cfm?action=profile&amp;prop_id=1936</v>
      </c>
      <c r="N1655" s="1" t="str">
        <f t="shared" si="129"/>
        <v>01936</v>
      </c>
    </row>
    <row r="1656" spans="1:14" x14ac:dyDescent="0.3">
      <c r="A1656" s="1">
        <v>1938</v>
      </c>
      <c r="B1656" s="19" t="s">
        <v>2504</v>
      </c>
      <c r="C1656" s="18">
        <v>4920</v>
      </c>
      <c r="D1656" s="19" t="s">
        <v>2505</v>
      </c>
      <c r="E1656" s="20" t="s">
        <v>1657</v>
      </c>
      <c r="F1656" t="str">
        <f t="shared" si="125"/>
        <v>Marable</v>
      </c>
      <c r="G1656" t="str">
        <f t="shared" si="126"/>
        <v>Marable4920Houston</v>
      </c>
      <c r="H1656" t="s">
        <v>32514</v>
      </c>
      <c r="I1656" t="s">
        <v>23941</v>
      </c>
      <c r="J1656" t="str">
        <f t="shared" si="127"/>
        <v>E:\PropInv\MF</v>
      </c>
      <c r="K1656" s="103" t="str">
        <f>HYPERLINK("E:\PropInv\MF\Houston\Marable_4920_La Vista Villa_Houston_01938","Marable_4920_La Vista Villa_Houston_01938" )</f>
        <v>Marable_4920_La Vista Villa_Houston_01938</v>
      </c>
      <c r="L1656" s="104" t="s">
        <v>22253</v>
      </c>
      <c r="M1656" s="103" t="str">
        <f t="shared" si="128"/>
        <v>http://oconnordata.com/mlink/modules/profile/index.cfm?action=profile&amp;prop_id=1938</v>
      </c>
      <c r="N1656" s="1" t="str">
        <f t="shared" si="129"/>
        <v>01938</v>
      </c>
    </row>
    <row r="1657" spans="1:14" x14ac:dyDescent="0.3">
      <c r="A1657" s="1">
        <v>1939</v>
      </c>
      <c r="B1657" s="21" t="s">
        <v>2473</v>
      </c>
      <c r="C1657" s="12">
        <v>4911</v>
      </c>
      <c r="D1657" s="7" t="s">
        <v>2506</v>
      </c>
      <c r="E1657" s="13" t="s">
        <v>1657</v>
      </c>
      <c r="F1657" t="str">
        <f t="shared" si="125"/>
        <v>N</v>
      </c>
      <c r="G1657" t="str">
        <f t="shared" si="126"/>
        <v>N4911Houston</v>
      </c>
      <c r="H1657" t="s">
        <v>32515</v>
      </c>
      <c r="I1657" t="s">
        <v>23942</v>
      </c>
      <c r="J1657" t="str">
        <f t="shared" si="127"/>
        <v>E:\PropInv\MF</v>
      </c>
      <c r="K1657" s="103" t="str">
        <f>HYPERLINK("E:\PropInv\MF\Houston\N Fwy_4911_Villa Provincial Apts_Houston_01939","N Fwy_4911_Villa Provincial Apts_Houston_01939" )</f>
        <v>N Fwy_4911_Villa Provincial Apts_Houston_01939</v>
      </c>
      <c r="L1657" s="104" t="s">
        <v>22253</v>
      </c>
      <c r="M1657" s="103" t="str">
        <f t="shared" si="128"/>
        <v>http://oconnordata.com/mlink/modules/profile/index.cfm?action=profile&amp;prop_id=1939</v>
      </c>
      <c r="N1657" s="1" t="str">
        <f t="shared" si="129"/>
        <v>01939</v>
      </c>
    </row>
    <row r="1658" spans="1:14" x14ac:dyDescent="0.3">
      <c r="A1658" s="1">
        <v>1940</v>
      </c>
      <c r="B1658" s="7" t="s">
        <v>2507</v>
      </c>
      <c r="C1658" s="12">
        <v>74</v>
      </c>
      <c r="D1658" s="7" t="s">
        <v>1973</v>
      </c>
      <c r="E1658" s="13" t="s">
        <v>1657</v>
      </c>
      <c r="F1658" t="str">
        <f t="shared" si="125"/>
        <v>Lyerly</v>
      </c>
      <c r="G1658" t="str">
        <f t="shared" si="126"/>
        <v>Lyerly74Houston</v>
      </c>
      <c r="H1658" t="s">
        <v>32516</v>
      </c>
      <c r="I1658" t="s">
        <v>23943</v>
      </c>
      <c r="J1658" t="str">
        <f t="shared" si="127"/>
        <v>E:\PropInv\MF</v>
      </c>
      <c r="K1658" s="103" t="str">
        <f>HYPERLINK("E:\PropInv\MF\Houston\Lyerly_74_Northpoint_Houston_01940","Lyerly_74_Northpoint_Houston_01940" )</f>
        <v>Lyerly_74_Northpoint_Houston_01940</v>
      </c>
      <c r="L1658" s="104" t="s">
        <v>22253</v>
      </c>
      <c r="M1658" s="103" t="str">
        <f t="shared" si="128"/>
        <v>http://oconnordata.com/mlink/modules/profile/index.cfm?action=profile&amp;prop_id=1940</v>
      </c>
      <c r="N1658" s="1" t="str">
        <f t="shared" si="129"/>
        <v>01940</v>
      </c>
    </row>
    <row r="1659" spans="1:14" x14ac:dyDescent="0.3">
      <c r="A1659" s="1">
        <v>1942</v>
      </c>
      <c r="B1659" s="7" t="s">
        <v>2507</v>
      </c>
      <c r="C1659" s="12">
        <v>80</v>
      </c>
      <c r="D1659" s="7" t="s">
        <v>2508</v>
      </c>
      <c r="E1659" s="13" t="s">
        <v>1657</v>
      </c>
      <c r="F1659" t="str">
        <f t="shared" si="125"/>
        <v>Lyerly</v>
      </c>
      <c r="G1659" t="str">
        <f t="shared" si="126"/>
        <v>Lyerly80Houston</v>
      </c>
      <c r="H1659" t="s">
        <v>32517</v>
      </c>
      <c r="I1659" t="s">
        <v>23944</v>
      </c>
      <c r="J1659" t="str">
        <f t="shared" si="127"/>
        <v>E:\PropInv\MF</v>
      </c>
      <c r="K1659" s="103" t="str">
        <f>HYPERLINK("E:\PropInv\MF\Houston\Lyerly_80_Northline Colonial_Houston_01942","Lyerly_80_Northline Colonial_Houston_01942" )</f>
        <v>Lyerly_80_Northline Colonial_Houston_01942</v>
      </c>
      <c r="L1659" s="104" t="s">
        <v>22253</v>
      </c>
      <c r="M1659" s="103" t="str">
        <f t="shared" si="128"/>
        <v>http://oconnordata.com/mlink/modules/profile/index.cfm?action=profile&amp;prop_id=1942</v>
      </c>
      <c r="N1659" s="1" t="str">
        <f t="shared" si="129"/>
        <v>01942</v>
      </c>
    </row>
    <row r="1660" spans="1:14" x14ac:dyDescent="0.3">
      <c r="A1660" s="1">
        <v>1943</v>
      </c>
      <c r="B1660" s="7" t="s">
        <v>2509</v>
      </c>
      <c r="C1660" s="12">
        <v>8210</v>
      </c>
      <c r="D1660" s="7" t="s">
        <v>2510</v>
      </c>
      <c r="E1660" s="13" t="s">
        <v>1657</v>
      </c>
      <c r="F1660" t="str">
        <f t="shared" si="125"/>
        <v>Bauman</v>
      </c>
      <c r="G1660" t="str">
        <f t="shared" si="126"/>
        <v>Bauman8210Houston</v>
      </c>
      <c r="H1660" t="s">
        <v>32518</v>
      </c>
      <c r="I1660" t="s">
        <v>23945</v>
      </c>
      <c r="J1660" t="str">
        <f t="shared" si="127"/>
        <v>E:\PropInv\MF</v>
      </c>
      <c r="K1660" s="103" t="str">
        <f>HYPERLINK("E:\PropInv\MF\Houston\Bauman_8210_Village Park North_Houston_01943","Bauman_8210_Village Park North_Houston_01943" )</f>
        <v>Bauman_8210_Village Park North_Houston_01943</v>
      </c>
      <c r="L1660" s="104" t="s">
        <v>22253</v>
      </c>
      <c r="M1660" s="103" t="str">
        <f t="shared" si="128"/>
        <v>http://oconnordata.com/mlink/modules/profile/index.cfm?action=profile&amp;prop_id=1943</v>
      </c>
      <c r="N1660" s="1" t="str">
        <f t="shared" si="129"/>
        <v>01943</v>
      </c>
    </row>
    <row r="1661" spans="1:14" x14ac:dyDescent="0.3">
      <c r="A1661" s="1">
        <v>1944</v>
      </c>
      <c r="B1661" s="7" t="s">
        <v>2511</v>
      </c>
      <c r="C1661" s="12">
        <v>9121</v>
      </c>
      <c r="D1661" s="7" t="s">
        <v>2512</v>
      </c>
      <c r="E1661" s="13" t="s">
        <v>1657</v>
      </c>
      <c r="F1661" t="str">
        <f t="shared" si="125"/>
        <v>Irvington</v>
      </c>
      <c r="G1661" t="str">
        <f t="shared" si="126"/>
        <v>Irvington9121Houston</v>
      </c>
      <c r="H1661" t="s">
        <v>32519</v>
      </c>
      <c r="I1661" t="s">
        <v>23946</v>
      </c>
      <c r="J1661" t="str">
        <f t="shared" si="127"/>
        <v>E:\PropInv\MF</v>
      </c>
      <c r="K1661" s="103" t="str">
        <f>HYPERLINK("E:\PropInv\MF\Houston\Irvington_9121_Monterrey Villa_Houston_01944","Irvington_9121_Monterrey Villa_Houston_01944" )</f>
        <v>Irvington_9121_Monterrey Villa_Houston_01944</v>
      </c>
      <c r="L1661" s="104" t="s">
        <v>22253</v>
      </c>
      <c r="M1661" s="103" t="str">
        <f t="shared" si="128"/>
        <v>http://oconnordata.com/mlink/modules/profile/index.cfm?action=profile&amp;prop_id=1944</v>
      </c>
      <c r="N1661" s="1" t="str">
        <f t="shared" si="129"/>
        <v>01944</v>
      </c>
    </row>
    <row r="1662" spans="1:14" x14ac:dyDescent="0.3">
      <c r="A1662" s="1">
        <v>1947</v>
      </c>
      <c r="B1662" s="7" t="s">
        <v>2513</v>
      </c>
      <c r="C1662" s="12">
        <v>4410</v>
      </c>
      <c r="D1662" s="7" t="s">
        <v>2514</v>
      </c>
      <c r="E1662" s="13" t="s">
        <v>1657</v>
      </c>
      <c r="F1662" t="str">
        <f t="shared" si="125"/>
        <v>Oxford</v>
      </c>
      <c r="G1662" t="str">
        <f t="shared" si="126"/>
        <v>Oxford4410Houston</v>
      </c>
      <c r="H1662" t="s">
        <v>32520</v>
      </c>
      <c r="I1662" t="s">
        <v>23947</v>
      </c>
      <c r="J1662" t="str">
        <f t="shared" si="127"/>
        <v>E:\PropInv\MF</v>
      </c>
      <c r="K1662" s="103" t="str">
        <f>HYPERLINK("E:\PropInv\MF\Houston\Oxford_4410_Oxford Square_Houston_01947","Oxford_4410_Oxford Square_Houston_01947" )</f>
        <v>Oxford_4410_Oxford Square_Houston_01947</v>
      </c>
      <c r="L1662" s="104" t="s">
        <v>22253</v>
      </c>
      <c r="M1662" s="103" t="str">
        <f t="shared" si="128"/>
        <v>http://oconnordata.com/mlink/modules/profile/index.cfm?action=profile&amp;prop_id=1947</v>
      </c>
      <c r="N1662" s="1" t="str">
        <f t="shared" si="129"/>
        <v>01947</v>
      </c>
    </row>
    <row r="1663" spans="1:14" x14ac:dyDescent="0.3">
      <c r="A1663" s="1">
        <v>1949</v>
      </c>
      <c r="B1663" s="7" t="s">
        <v>2515</v>
      </c>
      <c r="C1663" s="12">
        <v>6</v>
      </c>
      <c r="D1663" s="7" t="s">
        <v>2516</v>
      </c>
      <c r="E1663" s="13" t="s">
        <v>1657</v>
      </c>
      <c r="F1663" t="str">
        <f t="shared" si="125"/>
        <v>Burress</v>
      </c>
      <c r="G1663" t="str">
        <f t="shared" si="126"/>
        <v>Burress6Houston</v>
      </c>
      <c r="H1663" t="s">
        <v>32521</v>
      </c>
      <c r="I1663" t="s">
        <v>23948</v>
      </c>
      <c r="J1663" t="str">
        <f t="shared" si="127"/>
        <v>E:\PropInv\MF</v>
      </c>
      <c r="K1663" s="103" t="str">
        <f>HYPERLINK("E:\PropInv\MF\Houston\Burress_6_Independence Hall_Houston_01949","Burress_6_Independence Hall_Houston_01949" )</f>
        <v>Burress_6_Independence Hall_Houston_01949</v>
      </c>
      <c r="L1663" s="104" t="s">
        <v>22253</v>
      </c>
      <c r="M1663" s="103" t="str">
        <f t="shared" si="128"/>
        <v>http://oconnordata.com/mlink/modules/profile/index.cfm?action=profile&amp;prop_id=1949</v>
      </c>
      <c r="N1663" s="1" t="str">
        <f t="shared" si="129"/>
        <v>01949</v>
      </c>
    </row>
    <row r="1664" spans="1:14" x14ac:dyDescent="0.3">
      <c r="A1664" s="1">
        <v>1952</v>
      </c>
      <c r="B1664" s="7" t="s">
        <v>2517</v>
      </c>
      <c r="C1664" s="12">
        <v>101</v>
      </c>
      <c r="D1664" s="7" t="s">
        <v>2518</v>
      </c>
      <c r="E1664" s="13" t="s">
        <v>1657</v>
      </c>
      <c r="F1664" t="str">
        <f t="shared" si="125"/>
        <v>Tidwell</v>
      </c>
      <c r="G1664" t="str">
        <f t="shared" si="126"/>
        <v>Tidwell101Houston</v>
      </c>
      <c r="H1664" t="s">
        <v>32522</v>
      </c>
      <c r="I1664" t="s">
        <v>23949</v>
      </c>
      <c r="J1664" t="str">
        <f t="shared" si="127"/>
        <v>E:\PropInv\MF</v>
      </c>
      <c r="K1664" s="103" t="str">
        <f>HYPERLINK("E:\PropInv\MF\Houston\Tidwell E_101_Vista Villa_Houston_01952","Tidwell E_101_Vista Villa_Houston_01952" )</f>
        <v>Tidwell E_101_Vista Villa_Houston_01952</v>
      </c>
      <c r="L1664" s="104" t="s">
        <v>22253</v>
      </c>
      <c r="M1664" s="103" t="str">
        <f t="shared" si="128"/>
        <v>http://oconnordata.com/mlink/modules/profile/index.cfm?action=profile&amp;prop_id=1952</v>
      </c>
      <c r="N1664" s="1" t="str">
        <f t="shared" si="129"/>
        <v>01952</v>
      </c>
    </row>
    <row r="1665" spans="1:14" x14ac:dyDescent="0.3">
      <c r="A1665" s="1">
        <v>1954</v>
      </c>
      <c r="B1665" s="7" t="s">
        <v>2509</v>
      </c>
      <c r="C1665" s="12">
        <v>9400</v>
      </c>
      <c r="D1665" s="7" t="s">
        <v>2519</v>
      </c>
      <c r="E1665" s="13" t="s">
        <v>1657</v>
      </c>
      <c r="F1665" t="str">
        <f t="shared" si="125"/>
        <v>Bauman</v>
      </c>
      <c r="G1665" t="str">
        <f t="shared" si="126"/>
        <v>Bauman9400Houston</v>
      </c>
      <c r="H1665" t="s">
        <v>32523</v>
      </c>
      <c r="I1665" t="s">
        <v>23950</v>
      </c>
      <c r="J1665" t="str">
        <f t="shared" si="127"/>
        <v>E:\PropInv\MF</v>
      </c>
      <c r="K1665" s="103" t="str">
        <f>HYPERLINK("E:\PropInv\MF\Houston\Bauman_9400_Tidwell Park_Houston_01954","Bauman_9400_Tidwell Park_Houston_01954" )</f>
        <v>Bauman_9400_Tidwell Park_Houston_01954</v>
      </c>
      <c r="L1665" s="104" t="s">
        <v>22253</v>
      </c>
      <c r="M1665" s="103" t="str">
        <f t="shared" si="128"/>
        <v>http://oconnordata.com/mlink/modules/profile/index.cfm?action=profile&amp;prop_id=1954</v>
      </c>
      <c r="N1665" s="1" t="str">
        <f t="shared" si="129"/>
        <v>01954</v>
      </c>
    </row>
    <row r="1666" spans="1:14" x14ac:dyDescent="0.3">
      <c r="A1666" s="1">
        <v>1955</v>
      </c>
      <c r="B1666" s="7" t="s">
        <v>2520</v>
      </c>
      <c r="C1666" s="12">
        <v>8001</v>
      </c>
      <c r="D1666" s="7" t="s">
        <v>2521</v>
      </c>
      <c r="E1666" s="13" t="s">
        <v>1657</v>
      </c>
      <c r="F1666" t="str">
        <f t="shared" ref="F1666:F1729" si="130">IFERROR(LEFT(B1666,FIND(" ",B1666)-1),B1666)</f>
        <v>Fulton</v>
      </c>
      <c r="G1666" t="str">
        <f t="shared" ref="G1666:G1729" si="131">F1666&amp;C1666&amp;E1666</f>
        <v>Fulton8001Houston</v>
      </c>
      <c r="H1666" t="s">
        <v>32524</v>
      </c>
      <c r="I1666" t="s">
        <v>23951</v>
      </c>
      <c r="J1666" t="str">
        <f t="shared" ref="J1666:J1729" si="132">IF(L1666="TX",Folder_Path,Folder_Path&amp;"\State_"&amp;L1666)</f>
        <v>E:\PropInv\MF</v>
      </c>
      <c r="K1666" s="103" t="str">
        <f>HYPERLINK("E:\PropInv\MF\Houston\Fulton_8001_Versailles_Houston_01955","Fulton_8001_Versailles_Houston_01955" )</f>
        <v>Fulton_8001_Versailles_Houston_01955</v>
      </c>
      <c r="L1666" s="104" t="s">
        <v>22253</v>
      </c>
      <c r="M1666" s="103" t="str">
        <f t="shared" ref="M1666:M1729" si="133">HYPERLINK("http://oconnordata.com/mlink/modules/profile/index.cfm?action=profile&amp;prop_id="&amp;A1666)</f>
        <v>http://oconnordata.com/mlink/modules/profile/index.cfm?action=profile&amp;prop_id=1955</v>
      </c>
      <c r="N1666" s="1" t="str">
        <f t="shared" ref="N1666:N1729" si="134">IF(LEN(A1666)=1,"0000"&amp;A1666,IF(LEN(A1666)=2,"000"&amp;A1666,IF(LEN(A1666)=3,"00"&amp;A1666,IF(LEN(A1666)=4,"0"&amp;A1666,IF(LEN(A1666)=5,IF(LEFT(A1666,1)="3",A1666+30000,A1666))))))</f>
        <v>01955</v>
      </c>
    </row>
    <row r="1667" spans="1:14" x14ac:dyDescent="0.3">
      <c r="A1667" s="1">
        <v>1956</v>
      </c>
      <c r="B1667" s="7" t="s">
        <v>2522</v>
      </c>
      <c r="C1667" s="12">
        <v>8217</v>
      </c>
      <c r="D1667" s="7" t="s">
        <v>2523</v>
      </c>
      <c r="E1667" s="13" t="s">
        <v>1657</v>
      </c>
      <c r="F1667" t="str">
        <f t="shared" si="130"/>
        <v>Fulton</v>
      </c>
      <c r="G1667" t="str">
        <f t="shared" si="131"/>
        <v>Fulton8217Houston</v>
      </c>
      <c r="H1667" t="s">
        <v>32525</v>
      </c>
      <c r="I1667" t="s">
        <v>23952</v>
      </c>
      <c r="J1667" t="str">
        <f t="shared" si="132"/>
        <v>E:\PropInv\MF</v>
      </c>
      <c r="K1667" s="103" t="str">
        <f>HYPERLINK("E:\PropInv\MF\Houston\Fulton St_8217_Meadow Lea_Houston_01956","Fulton St_8217_Meadow Lea_Houston_01956" )</f>
        <v>Fulton St_8217_Meadow Lea_Houston_01956</v>
      </c>
      <c r="L1667" s="104" t="s">
        <v>22253</v>
      </c>
      <c r="M1667" s="103" t="str">
        <f t="shared" si="133"/>
        <v>http://oconnordata.com/mlink/modules/profile/index.cfm?action=profile&amp;prop_id=1956</v>
      </c>
      <c r="N1667" s="1" t="str">
        <f t="shared" si="134"/>
        <v>01956</v>
      </c>
    </row>
    <row r="1668" spans="1:14" x14ac:dyDescent="0.3">
      <c r="A1668" s="1">
        <v>1957</v>
      </c>
      <c r="B1668" s="21" t="s">
        <v>2473</v>
      </c>
      <c r="C1668" s="12">
        <v>5135</v>
      </c>
      <c r="D1668" s="7" t="s">
        <v>2524</v>
      </c>
      <c r="E1668" s="13" t="s">
        <v>1657</v>
      </c>
      <c r="F1668" t="str">
        <f t="shared" si="130"/>
        <v>N</v>
      </c>
      <c r="G1668" t="str">
        <f t="shared" si="131"/>
        <v>N5135Houston</v>
      </c>
      <c r="H1668" t="s">
        <v>32526</v>
      </c>
      <c r="I1668" t="s">
        <v>23953</v>
      </c>
      <c r="J1668" t="str">
        <f t="shared" si="132"/>
        <v>E:\PropInv\MF</v>
      </c>
      <c r="K1668" s="103" t="str">
        <f>HYPERLINK("E:\PropInv\MF\Houston\N Fwy_5135_Ventana Gardens_Houston_01957","N Fwy_5135_Ventana Gardens_Houston_01957" )</f>
        <v>N Fwy_5135_Ventana Gardens_Houston_01957</v>
      </c>
      <c r="L1668" s="104" t="s">
        <v>22253</v>
      </c>
      <c r="M1668" s="103" t="str">
        <f t="shared" si="133"/>
        <v>http://oconnordata.com/mlink/modules/profile/index.cfm?action=profile&amp;prop_id=1957</v>
      </c>
      <c r="N1668" s="1" t="str">
        <f t="shared" si="134"/>
        <v>01957</v>
      </c>
    </row>
    <row r="1669" spans="1:14" x14ac:dyDescent="0.3">
      <c r="A1669" s="1">
        <v>1958</v>
      </c>
      <c r="B1669" s="7" t="s">
        <v>2525</v>
      </c>
      <c r="C1669" s="12">
        <v>300</v>
      </c>
      <c r="D1669" s="7" t="s">
        <v>2526</v>
      </c>
      <c r="E1669" s="13" t="s">
        <v>1657</v>
      </c>
      <c r="F1669" t="str">
        <f t="shared" si="130"/>
        <v>Victoria</v>
      </c>
      <c r="G1669" t="str">
        <f t="shared" si="131"/>
        <v>Victoria300Houston</v>
      </c>
      <c r="H1669" t="s">
        <v>32527</v>
      </c>
      <c r="I1669" t="s">
        <v>23954</v>
      </c>
      <c r="J1669" t="str">
        <f t="shared" si="132"/>
        <v>E:\PropInv\MF</v>
      </c>
      <c r="K1669" s="103" t="str">
        <f>HYPERLINK("E:\PropInv\MF\Houston\Victoria_300_Redwood Village I_Houston_01958","Victoria_300_Redwood Village I_Houston_01958" )</f>
        <v>Victoria_300_Redwood Village I_Houston_01958</v>
      </c>
      <c r="L1669" s="104" t="s">
        <v>22253</v>
      </c>
      <c r="M1669" s="103" t="str">
        <f t="shared" si="133"/>
        <v>http://oconnordata.com/mlink/modules/profile/index.cfm?action=profile&amp;prop_id=1958</v>
      </c>
      <c r="N1669" s="1" t="str">
        <f t="shared" si="134"/>
        <v>01958</v>
      </c>
    </row>
    <row r="1670" spans="1:14" x14ac:dyDescent="0.3">
      <c r="A1670" s="1">
        <v>1959</v>
      </c>
      <c r="B1670" s="7" t="s">
        <v>2525</v>
      </c>
      <c r="C1670" s="12">
        <v>830</v>
      </c>
      <c r="D1670" s="7" t="s">
        <v>2527</v>
      </c>
      <c r="E1670" s="13" t="s">
        <v>1657</v>
      </c>
      <c r="F1670" t="str">
        <f t="shared" si="130"/>
        <v>Victoria</v>
      </c>
      <c r="G1670" t="str">
        <f t="shared" si="131"/>
        <v>Victoria830Houston</v>
      </c>
      <c r="H1670" t="s">
        <v>32528</v>
      </c>
      <c r="I1670" t="s">
        <v>23955</v>
      </c>
      <c r="J1670" t="str">
        <f t="shared" si="132"/>
        <v>E:\PropInv\MF</v>
      </c>
      <c r="K1670" s="103" t="str">
        <f>HYPERLINK("E:\PropInv\MF\Houston\Victoria_830_Victoria Manor_Houston_01959","Victoria_830_Victoria Manor_Houston_01959" )</f>
        <v>Victoria_830_Victoria Manor_Houston_01959</v>
      </c>
      <c r="L1670" s="104" t="s">
        <v>22253</v>
      </c>
      <c r="M1670" s="103" t="str">
        <f t="shared" si="133"/>
        <v>http://oconnordata.com/mlink/modules/profile/index.cfm?action=profile&amp;prop_id=1959</v>
      </c>
      <c r="N1670" s="1" t="str">
        <f t="shared" si="134"/>
        <v>01959</v>
      </c>
    </row>
    <row r="1671" spans="1:14" x14ac:dyDescent="0.3">
      <c r="A1671" s="1">
        <v>1960</v>
      </c>
      <c r="B1671" s="7" t="s">
        <v>2104</v>
      </c>
      <c r="C1671" s="12">
        <v>4000</v>
      </c>
      <c r="D1671" s="7" t="s">
        <v>2528</v>
      </c>
      <c r="E1671" s="13" t="s">
        <v>1657</v>
      </c>
      <c r="F1671" t="str">
        <f t="shared" si="130"/>
        <v>Hollister</v>
      </c>
      <c r="G1671" t="str">
        <f t="shared" si="131"/>
        <v>Hollister4000Houston</v>
      </c>
      <c r="H1671" t="s">
        <v>32529</v>
      </c>
      <c r="I1671" t="s">
        <v>23956</v>
      </c>
      <c r="J1671" t="str">
        <f t="shared" si="132"/>
        <v>E:\PropInv\MF</v>
      </c>
      <c r="K1671" s="103" t="str">
        <f>HYPERLINK("E:\PropInv\MF\Houston\Hollister_4000_Villa Del Sol_Houston_01960","Hollister_4000_Villa Del Sol_Houston_01960" )</f>
        <v>Hollister_4000_Villa Del Sol_Houston_01960</v>
      </c>
      <c r="L1671" s="104" t="s">
        <v>22253</v>
      </c>
      <c r="M1671" s="103" t="str">
        <f t="shared" si="133"/>
        <v>http://oconnordata.com/mlink/modules/profile/index.cfm?action=profile&amp;prop_id=1960</v>
      </c>
      <c r="N1671" s="1" t="str">
        <f t="shared" si="134"/>
        <v>01960</v>
      </c>
    </row>
    <row r="1672" spans="1:14" x14ac:dyDescent="0.3">
      <c r="A1672" s="1">
        <v>1961</v>
      </c>
      <c r="B1672" s="7" t="s">
        <v>2258</v>
      </c>
      <c r="C1672" s="12">
        <v>915</v>
      </c>
      <c r="D1672" s="7" t="s">
        <v>2529</v>
      </c>
      <c r="E1672" s="13" t="s">
        <v>1657</v>
      </c>
      <c r="F1672" t="str">
        <f t="shared" si="130"/>
        <v>Tidwell</v>
      </c>
      <c r="G1672" t="str">
        <f t="shared" si="131"/>
        <v>Tidwell915Houston</v>
      </c>
      <c r="H1672" t="s">
        <v>32530</v>
      </c>
      <c r="I1672" t="s">
        <v>23957</v>
      </c>
      <c r="J1672" t="str">
        <f t="shared" si="132"/>
        <v>E:\PropInv\MF</v>
      </c>
      <c r="K1672" s="103" t="str">
        <f>HYPERLINK("E:\PropInv\MF\Houston\Tidwell_915_House of Kent_Houston_01961","Tidwell_915_House of Kent_Houston_01961" )</f>
        <v>Tidwell_915_House of Kent_Houston_01961</v>
      </c>
      <c r="L1672" s="104" t="s">
        <v>22253</v>
      </c>
      <c r="M1672" s="103" t="str">
        <f t="shared" si="133"/>
        <v>http://oconnordata.com/mlink/modules/profile/index.cfm?action=profile&amp;prop_id=1961</v>
      </c>
      <c r="N1672" s="1" t="str">
        <f t="shared" si="134"/>
        <v>01961</v>
      </c>
    </row>
    <row r="1673" spans="1:14" x14ac:dyDescent="0.3">
      <c r="A1673" s="1">
        <v>1963</v>
      </c>
      <c r="B1673" s="7" t="s">
        <v>2530</v>
      </c>
      <c r="C1673" s="12">
        <v>122</v>
      </c>
      <c r="D1673" s="7" t="s">
        <v>2531</v>
      </c>
      <c r="E1673" s="13" t="s">
        <v>1657</v>
      </c>
      <c r="F1673" t="str">
        <f t="shared" si="130"/>
        <v>Crosstimbers</v>
      </c>
      <c r="G1673" t="str">
        <f t="shared" si="131"/>
        <v>Crosstimbers122Houston</v>
      </c>
      <c r="H1673" t="s">
        <v>32531</v>
      </c>
      <c r="I1673" t="s">
        <v>23958</v>
      </c>
      <c r="J1673" t="str">
        <f t="shared" si="132"/>
        <v>E:\PropInv\MF</v>
      </c>
      <c r="K1673" s="103" t="str">
        <f>HYPERLINK("E:\PropInv\MF\Houston\Crosstimbers E_122_Northline Terrace_Houston_01963","Crosstimbers E_122_Northline Terrace_Houston_01963" )</f>
        <v>Crosstimbers E_122_Northline Terrace_Houston_01963</v>
      </c>
      <c r="L1673" s="104" t="s">
        <v>22253</v>
      </c>
      <c r="M1673" s="103" t="str">
        <f t="shared" si="133"/>
        <v>http://oconnordata.com/mlink/modules/profile/index.cfm?action=profile&amp;prop_id=1963</v>
      </c>
      <c r="N1673" s="1" t="str">
        <f t="shared" si="134"/>
        <v>01963</v>
      </c>
    </row>
    <row r="1674" spans="1:14" x14ac:dyDescent="0.3">
      <c r="A1674" s="1">
        <v>1966</v>
      </c>
      <c r="B1674" s="7" t="s">
        <v>2532</v>
      </c>
      <c r="C1674" s="12">
        <v>611</v>
      </c>
      <c r="D1674" s="7" t="s">
        <v>2533</v>
      </c>
      <c r="E1674" s="13" t="s">
        <v>1657</v>
      </c>
      <c r="F1674" t="str">
        <f t="shared" si="130"/>
        <v>Cavalcade</v>
      </c>
      <c r="G1674" t="str">
        <f t="shared" si="131"/>
        <v>Cavalcade611Houston</v>
      </c>
      <c r="H1674" t="s">
        <v>32532</v>
      </c>
      <c r="I1674" t="s">
        <v>23959</v>
      </c>
      <c r="J1674" t="str">
        <f t="shared" si="132"/>
        <v>E:\PropInv\MF</v>
      </c>
      <c r="K1674" s="103" t="str">
        <f>HYPERLINK("E:\PropInv\MF\Houston\Cavalcade W_611_Oakwood Manor_Houston_01966","Cavalcade W_611_Oakwood Manor_Houston_01966" )</f>
        <v>Cavalcade W_611_Oakwood Manor_Houston_01966</v>
      </c>
      <c r="L1674" s="104" t="s">
        <v>22253</v>
      </c>
      <c r="M1674" s="103" t="str">
        <f t="shared" si="133"/>
        <v>http://oconnordata.com/mlink/modules/profile/index.cfm?action=profile&amp;prop_id=1966</v>
      </c>
      <c r="N1674" s="1" t="str">
        <f t="shared" si="134"/>
        <v>01966</v>
      </c>
    </row>
    <row r="1675" spans="1:14" x14ac:dyDescent="0.3">
      <c r="A1675" s="1">
        <v>1968</v>
      </c>
      <c r="B1675" s="10" t="s">
        <v>2520</v>
      </c>
      <c r="C1675" s="9">
        <v>5100</v>
      </c>
      <c r="D1675" s="10" t="s">
        <v>2534</v>
      </c>
      <c r="E1675" s="11" t="s">
        <v>1657</v>
      </c>
      <c r="F1675" t="str">
        <f t="shared" si="130"/>
        <v>Fulton</v>
      </c>
      <c r="G1675" t="str">
        <f t="shared" si="131"/>
        <v>Fulton5100Houston</v>
      </c>
      <c r="H1675" t="s">
        <v>32533</v>
      </c>
      <c r="I1675" t="s">
        <v>23960</v>
      </c>
      <c r="J1675" t="str">
        <f t="shared" si="132"/>
        <v>E:\PropInv\MF</v>
      </c>
      <c r="K1675" s="103" t="str">
        <f>HYPERLINK("E:\PropInv\MF\Houston\Fulton_5100_Pillars_Houston_01968","Fulton_5100_Pillars_Houston_01968" )</f>
        <v>Fulton_5100_Pillars_Houston_01968</v>
      </c>
      <c r="L1675" s="104" t="s">
        <v>22253</v>
      </c>
      <c r="M1675" s="103" t="str">
        <f t="shared" si="133"/>
        <v>http://oconnordata.com/mlink/modules/profile/index.cfm?action=profile&amp;prop_id=1968</v>
      </c>
      <c r="N1675" s="1" t="str">
        <f t="shared" si="134"/>
        <v>01968</v>
      </c>
    </row>
    <row r="1676" spans="1:14" x14ac:dyDescent="0.3">
      <c r="A1676" s="1">
        <v>1974</v>
      </c>
      <c r="B1676" s="7" t="s">
        <v>2535</v>
      </c>
      <c r="C1676" s="12">
        <v>1950</v>
      </c>
      <c r="D1676" s="7" t="s">
        <v>2536</v>
      </c>
      <c r="E1676" s="13" t="s">
        <v>1657</v>
      </c>
      <c r="F1676" t="str">
        <f t="shared" si="130"/>
        <v>Heights</v>
      </c>
      <c r="G1676" t="str">
        <f t="shared" si="131"/>
        <v>Heights1950Houston</v>
      </c>
      <c r="H1676" t="s">
        <v>32534</v>
      </c>
      <c r="I1676" t="s">
        <v>23961</v>
      </c>
      <c r="J1676" t="str">
        <f t="shared" si="132"/>
        <v>E:\PropInv\MF</v>
      </c>
      <c r="K1676" s="103" t="str">
        <f>HYPERLINK("E:\PropInv\MF\Houston\Heights Blvd_1950_Heights House_Houston_01974","Heights Blvd_1950_Heights House_Houston_01974" )</f>
        <v>Heights Blvd_1950_Heights House_Houston_01974</v>
      </c>
      <c r="L1676" s="104" t="s">
        <v>22253</v>
      </c>
      <c r="M1676" s="103" t="str">
        <f t="shared" si="133"/>
        <v>http://oconnordata.com/mlink/modules/profile/index.cfm?action=profile&amp;prop_id=1974</v>
      </c>
      <c r="N1676" s="1" t="str">
        <f t="shared" si="134"/>
        <v>01974</v>
      </c>
    </row>
    <row r="1677" spans="1:14" x14ac:dyDescent="0.3">
      <c r="A1677" s="1">
        <v>1979</v>
      </c>
      <c r="B1677" s="7" t="s">
        <v>2537</v>
      </c>
      <c r="C1677" s="12">
        <v>9603</v>
      </c>
      <c r="D1677" s="7" t="s">
        <v>2538</v>
      </c>
      <c r="E1677" s="13" t="s">
        <v>1657</v>
      </c>
      <c r="F1677" t="str">
        <f t="shared" si="130"/>
        <v>Homestead</v>
      </c>
      <c r="G1677" t="str">
        <f t="shared" si="131"/>
        <v>Homestead9603Houston</v>
      </c>
      <c r="H1677" t="s">
        <v>32535</v>
      </c>
      <c r="I1677" t="s">
        <v>23962</v>
      </c>
      <c r="J1677" t="str">
        <f t="shared" si="132"/>
        <v>E:\PropInv\MF</v>
      </c>
      <c r="K1677" s="103" t="str">
        <f>HYPERLINK("E:\PropInv\MF\Houston\Homestead_9603_Swiss Village on the Park_Houston_01979","Homestead_9603_Swiss Village on the Park_Houston_01979" )</f>
        <v>Homestead_9603_Swiss Village on the Park_Houston_01979</v>
      </c>
      <c r="L1677" s="104" t="s">
        <v>22253</v>
      </c>
      <c r="M1677" s="103" t="str">
        <f t="shared" si="133"/>
        <v>http://oconnordata.com/mlink/modules/profile/index.cfm?action=profile&amp;prop_id=1979</v>
      </c>
      <c r="N1677" s="1" t="str">
        <f t="shared" si="134"/>
        <v>01979</v>
      </c>
    </row>
    <row r="1678" spans="1:14" x14ac:dyDescent="0.3">
      <c r="A1678" s="1">
        <v>1984</v>
      </c>
      <c r="B1678" s="7" t="s">
        <v>2530</v>
      </c>
      <c r="C1678" s="18">
        <v>3605</v>
      </c>
      <c r="D1678" s="19" t="s">
        <v>2539</v>
      </c>
      <c r="E1678" s="20" t="s">
        <v>1657</v>
      </c>
      <c r="F1678" t="str">
        <f t="shared" si="130"/>
        <v>Crosstimbers</v>
      </c>
      <c r="G1678" t="str">
        <f t="shared" si="131"/>
        <v>Crosstimbers3605Houston</v>
      </c>
      <c r="H1678" t="s">
        <v>32536</v>
      </c>
      <c r="I1678" t="s">
        <v>23963</v>
      </c>
      <c r="J1678" t="str">
        <f t="shared" si="132"/>
        <v>E:\PropInv\MF</v>
      </c>
      <c r="K1678" s="103" t="str">
        <f>HYPERLINK("E:\PropInv\MF\Houston\Crosstimbers E_3605_Colonial Apts_Houston_01984","Crosstimbers E_3605_Colonial Apts_Houston_01984" )</f>
        <v>Crosstimbers E_3605_Colonial Apts_Houston_01984</v>
      </c>
      <c r="L1678" s="104" t="s">
        <v>22253</v>
      </c>
      <c r="M1678" s="103" t="str">
        <f t="shared" si="133"/>
        <v>http://oconnordata.com/mlink/modules/profile/index.cfm?action=profile&amp;prop_id=1984</v>
      </c>
      <c r="N1678" s="1" t="str">
        <f t="shared" si="134"/>
        <v>01984</v>
      </c>
    </row>
    <row r="1679" spans="1:14" x14ac:dyDescent="0.3">
      <c r="A1679" s="1">
        <v>1988</v>
      </c>
      <c r="B1679" s="7" t="s">
        <v>2540</v>
      </c>
      <c r="C1679" s="12">
        <v>9555</v>
      </c>
      <c r="D1679" s="7" t="s">
        <v>2541</v>
      </c>
      <c r="E1679" s="13" t="s">
        <v>1657</v>
      </c>
      <c r="F1679" t="str">
        <f t="shared" si="130"/>
        <v>Crofton</v>
      </c>
      <c r="G1679" t="str">
        <f t="shared" si="131"/>
        <v>Crofton9555Houston</v>
      </c>
      <c r="H1679" t="s">
        <v>32537</v>
      </c>
      <c r="I1679" t="s">
        <v>23964</v>
      </c>
      <c r="J1679" t="str">
        <f t="shared" si="132"/>
        <v>E:\PropInv\MF</v>
      </c>
      <c r="K1679" s="103" t="str">
        <f>HYPERLINK("E:\PropInv\MF\Houston\Crofton_9555_Crofton Place_Houston_01988","Crofton_9555_Crofton Place_Houston_01988" )</f>
        <v>Crofton_9555_Crofton Place_Houston_01988</v>
      </c>
      <c r="L1679" s="104" t="s">
        <v>22253</v>
      </c>
      <c r="M1679" s="103" t="str">
        <f t="shared" si="133"/>
        <v>http://oconnordata.com/mlink/modules/profile/index.cfm?action=profile&amp;prop_id=1988</v>
      </c>
      <c r="N1679" s="1" t="str">
        <f t="shared" si="134"/>
        <v>01988</v>
      </c>
    </row>
    <row r="1680" spans="1:14" x14ac:dyDescent="0.3">
      <c r="A1680" s="1">
        <v>1989</v>
      </c>
      <c r="B1680" s="7" t="s">
        <v>2530</v>
      </c>
      <c r="C1680" s="12">
        <v>2612</v>
      </c>
      <c r="D1680" s="7" t="s">
        <v>2542</v>
      </c>
      <c r="E1680" s="13" t="s">
        <v>1657</v>
      </c>
      <c r="F1680" t="str">
        <f t="shared" si="130"/>
        <v>Crosstimbers</v>
      </c>
      <c r="G1680" t="str">
        <f t="shared" si="131"/>
        <v>Crosstimbers2612Houston</v>
      </c>
      <c r="H1680" t="s">
        <v>32538</v>
      </c>
      <c r="I1680" t="s">
        <v>23965</v>
      </c>
      <c r="J1680" t="str">
        <f t="shared" si="132"/>
        <v>E:\PropInv\MF</v>
      </c>
      <c r="K1680" s="103" t="str">
        <f>HYPERLINK("E:\PropInv\MF\Houston\Crosstimbers E_2612_Crosstimber Oaks Apts_Houston_01989","Crosstimbers E_2612_Crosstimber Oaks Apts_Houston_01989" )</f>
        <v>Crosstimbers E_2612_Crosstimber Oaks Apts_Houston_01989</v>
      </c>
      <c r="L1680" s="104" t="s">
        <v>22253</v>
      </c>
      <c r="M1680" s="103" t="str">
        <f t="shared" si="133"/>
        <v>http://oconnordata.com/mlink/modules/profile/index.cfm?action=profile&amp;prop_id=1989</v>
      </c>
      <c r="N1680" s="1" t="str">
        <f t="shared" si="134"/>
        <v>01989</v>
      </c>
    </row>
    <row r="1681" spans="1:14" x14ac:dyDescent="0.3">
      <c r="A1681" s="1">
        <v>1990</v>
      </c>
      <c r="B1681" s="7" t="s">
        <v>2535</v>
      </c>
      <c r="C1681" s="12">
        <v>1603</v>
      </c>
      <c r="D1681" s="7" t="s">
        <v>2543</v>
      </c>
      <c r="E1681" s="13" t="s">
        <v>1657</v>
      </c>
      <c r="F1681" t="str">
        <f t="shared" si="130"/>
        <v>Heights</v>
      </c>
      <c r="G1681" t="str">
        <f t="shared" si="131"/>
        <v>Heights1603Houston</v>
      </c>
      <c r="H1681" t="s">
        <v>32539</v>
      </c>
      <c r="I1681" t="s">
        <v>23966</v>
      </c>
      <c r="J1681" t="str">
        <f t="shared" si="132"/>
        <v>E:\PropInv\MF</v>
      </c>
      <c r="K1681" s="103" t="str">
        <f>HYPERLINK("E:\PropInv\MF\Houston\Heights Blvd_1603_Shadow Pines North_Houston_01990","Heights Blvd_1603_Shadow Pines North_Houston_01990" )</f>
        <v>Heights Blvd_1603_Shadow Pines North_Houston_01990</v>
      </c>
      <c r="L1681" s="104" t="s">
        <v>22253</v>
      </c>
      <c r="M1681" s="103" t="str">
        <f t="shared" si="133"/>
        <v>http://oconnordata.com/mlink/modules/profile/index.cfm?action=profile&amp;prop_id=1990</v>
      </c>
      <c r="N1681" s="1" t="str">
        <f t="shared" si="134"/>
        <v>01990</v>
      </c>
    </row>
    <row r="1682" spans="1:14" x14ac:dyDescent="0.3">
      <c r="A1682" s="1">
        <v>1992</v>
      </c>
      <c r="B1682" s="7" t="s">
        <v>2544</v>
      </c>
      <c r="C1682" s="12">
        <v>4500</v>
      </c>
      <c r="D1682" s="7" t="s">
        <v>1160</v>
      </c>
      <c r="E1682" s="13" t="s">
        <v>1657</v>
      </c>
      <c r="F1682" t="str">
        <f t="shared" si="130"/>
        <v>Main</v>
      </c>
      <c r="G1682" t="str">
        <f t="shared" si="131"/>
        <v>Main4500Houston</v>
      </c>
      <c r="H1682" t="s">
        <v>32540</v>
      </c>
      <c r="I1682" t="s">
        <v>23967</v>
      </c>
      <c r="J1682" t="str">
        <f t="shared" si="132"/>
        <v>E:\PropInv\MF</v>
      </c>
      <c r="K1682" s="103" t="str">
        <f>HYPERLINK("E:\PropInv\MF\Houston\Main N_4500_Las Brisas_Houston_01992","Main N_4500_Las Brisas_Houston_01992" )</f>
        <v>Main N_4500_Las Brisas_Houston_01992</v>
      </c>
      <c r="L1682" s="104" t="s">
        <v>22253</v>
      </c>
      <c r="M1682" s="103" t="str">
        <f t="shared" si="133"/>
        <v>http://oconnordata.com/mlink/modules/profile/index.cfm?action=profile&amp;prop_id=1992</v>
      </c>
      <c r="N1682" s="1" t="str">
        <f t="shared" si="134"/>
        <v>01992</v>
      </c>
    </row>
    <row r="1683" spans="1:14" x14ac:dyDescent="0.3">
      <c r="A1683" s="1">
        <v>1994</v>
      </c>
      <c r="B1683" s="7" t="s">
        <v>2545</v>
      </c>
      <c r="C1683" s="12">
        <v>7601</v>
      </c>
      <c r="D1683" s="7" t="s">
        <v>2546</v>
      </c>
      <c r="E1683" s="13" t="s">
        <v>1657</v>
      </c>
      <c r="F1683" t="str">
        <f t="shared" si="130"/>
        <v>Curry</v>
      </c>
      <c r="G1683" t="str">
        <f t="shared" si="131"/>
        <v>Curry7601Houston</v>
      </c>
      <c r="H1683" t="s">
        <v>32541</v>
      </c>
      <c r="I1683" t="s">
        <v>23968</v>
      </c>
      <c r="J1683" t="str">
        <f t="shared" si="132"/>
        <v>E:\PropInv\MF</v>
      </c>
      <c r="K1683" s="103" t="str">
        <f>HYPERLINK("E:\PropInv\MF\Houston\Curry_7601_Branch Village_Houston_01994","Curry_7601_Branch Village_Houston_01994" )</f>
        <v>Curry_7601_Branch Village_Houston_01994</v>
      </c>
      <c r="L1683" s="104" t="s">
        <v>22253</v>
      </c>
      <c r="M1683" s="103" t="str">
        <f t="shared" si="133"/>
        <v>http://oconnordata.com/mlink/modules/profile/index.cfm?action=profile&amp;prop_id=1994</v>
      </c>
      <c r="N1683" s="1" t="str">
        <f t="shared" si="134"/>
        <v>01994</v>
      </c>
    </row>
    <row r="1684" spans="1:14" x14ac:dyDescent="0.3">
      <c r="A1684" s="1">
        <v>1995</v>
      </c>
      <c r="B1684" s="7" t="s">
        <v>2547</v>
      </c>
      <c r="C1684" s="12">
        <v>7301</v>
      </c>
      <c r="D1684" s="7" t="s">
        <v>2548</v>
      </c>
      <c r="E1684" s="13" t="s">
        <v>1657</v>
      </c>
      <c r="F1684" t="str">
        <f t="shared" si="130"/>
        <v>Jensen</v>
      </c>
      <c r="G1684" t="str">
        <f t="shared" si="131"/>
        <v>Jensen7301Houston</v>
      </c>
      <c r="H1684" t="s">
        <v>32542</v>
      </c>
      <c r="I1684" t="s">
        <v>23969</v>
      </c>
      <c r="J1684" t="str">
        <f t="shared" si="132"/>
        <v>E:\PropInv\MF</v>
      </c>
      <c r="K1684" s="103" t="str">
        <f>HYPERLINK("E:\PropInv\MF\Houston\Jensen_7301_Vance Plaza_Houston_01995","Jensen_7301_Vance Plaza_Houston_01995" )</f>
        <v>Jensen_7301_Vance Plaza_Houston_01995</v>
      </c>
      <c r="L1684" s="104" t="s">
        <v>22253</v>
      </c>
      <c r="M1684" s="103" t="str">
        <f t="shared" si="133"/>
        <v>http://oconnordata.com/mlink/modules/profile/index.cfm?action=profile&amp;prop_id=1995</v>
      </c>
      <c r="N1684" s="1" t="str">
        <f t="shared" si="134"/>
        <v>01995</v>
      </c>
    </row>
    <row r="1685" spans="1:14" x14ac:dyDescent="0.3">
      <c r="A1685" s="1">
        <v>1997</v>
      </c>
      <c r="B1685" s="7" t="s">
        <v>2549</v>
      </c>
      <c r="C1685" s="12">
        <v>8826</v>
      </c>
      <c r="D1685" s="7" t="s">
        <v>2550</v>
      </c>
      <c r="E1685" s="13" t="s">
        <v>1657</v>
      </c>
      <c r="F1685" t="str">
        <f t="shared" si="130"/>
        <v>Harrell</v>
      </c>
      <c r="G1685" t="str">
        <f t="shared" si="131"/>
        <v>Harrell8826Houston</v>
      </c>
      <c r="H1685" t="s">
        <v>32543</v>
      </c>
      <c r="I1685" t="s">
        <v>23970</v>
      </c>
      <c r="J1685" t="str">
        <f t="shared" si="132"/>
        <v>E:\PropInv\MF</v>
      </c>
      <c r="K1685" s="103" t="str">
        <f>HYPERLINK("E:\PropInv\MF\Houston\Harrell_8826_W Leo Daniel Tower_Houston_01997","Harrell_8826_W Leo Daniel Tower_Houston_01997" )</f>
        <v>Harrell_8826_W Leo Daniel Tower_Houston_01997</v>
      </c>
      <c r="L1685" s="104" t="s">
        <v>22253</v>
      </c>
      <c r="M1685" s="103" t="str">
        <f t="shared" si="133"/>
        <v>http://oconnordata.com/mlink/modules/profile/index.cfm?action=profile&amp;prop_id=1997</v>
      </c>
      <c r="N1685" s="1" t="str">
        <f t="shared" si="134"/>
        <v>01997</v>
      </c>
    </row>
    <row r="1686" spans="1:14" x14ac:dyDescent="0.3">
      <c r="A1686" s="1">
        <v>1999</v>
      </c>
      <c r="B1686" s="7" t="s">
        <v>2544</v>
      </c>
      <c r="C1686" s="12">
        <v>4725</v>
      </c>
      <c r="D1686" s="7" t="s">
        <v>2551</v>
      </c>
      <c r="E1686" s="13" t="s">
        <v>1657</v>
      </c>
      <c r="F1686" t="str">
        <f t="shared" si="130"/>
        <v>Main</v>
      </c>
      <c r="G1686" t="str">
        <f t="shared" si="131"/>
        <v>Main4725Houston</v>
      </c>
      <c r="H1686" t="s">
        <v>32544</v>
      </c>
      <c r="I1686" t="s">
        <v>23971</v>
      </c>
      <c r="J1686" t="str">
        <f t="shared" si="132"/>
        <v>E:\PropInv\MF</v>
      </c>
      <c r="K1686" s="103" t="str">
        <f>HYPERLINK("E:\PropInv\MF\Houston\Main N_4725_Pecan Villas_Houston_01999","Main N_4725_Pecan Villas_Houston_01999" )</f>
        <v>Main N_4725_Pecan Villas_Houston_01999</v>
      </c>
      <c r="L1686" s="104" t="s">
        <v>22253</v>
      </c>
      <c r="M1686" s="103" t="str">
        <f t="shared" si="133"/>
        <v>http://oconnordata.com/mlink/modules/profile/index.cfm?action=profile&amp;prop_id=1999</v>
      </c>
      <c r="N1686" s="1" t="str">
        <f t="shared" si="134"/>
        <v>01999</v>
      </c>
    </row>
    <row r="1687" spans="1:14" x14ac:dyDescent="0.3">
      <c r="A1687" s="1">
        <v>2002</v>
      </c>
      <c r="B1687" s="7" t="s">
        <v>2520</v>
      </c>
      <c r="C1687" s="12">
        <v>4411</v>
      </c>
      <c r="D1687" s="7" t="s">
        <v>2552</v>
      </c>
      <c r="E1687" s="13" t="s">
        <v>1657</v>
      </c>
      <c r="F1687" t="str">
        <f t="shared" si="130"/>
        <v>Fulton</v>
      </c>
      <c r="G1687" t="str">
        <f t="shared" si="131"/>
        <v>Fulton4411Houston</v>
      </c>
      <c r="H1687" t="s">
        <v>32545</v>
      </c>
      <c r="I1687" t="s">
        <v>23972</v>
      </c>
      <c r="J1687" t="str">
        <f t="shared" si="132"/>
        <v>E:\PropInv\MF</v>
      </c>
      <c r="K1687" s="103" t="str">
        <f>HYPERLINK("E:\PropInv\MF\Houston\Fulton_4411_Central Apts_Houston_02002","Fulton_4411_Central Apts_Houston_02002" )</f>
        <v>Fulton_4411_Central Apts_Houston_02002</v>
      </c>
      <c r="L1687" s="104" t="s">
        <v>22253</v>
      </c>
      <c r="M1687" s="103" t="str">
        <f t="shared" si="133"/>
        <v>http://oconnordata.com/mlink/modules/profile/index.cfm?action=profile&amp;prop_id=2002</v>
      </c>
      <c r="N1687" s="1" t="str">
        <f t="shared" si="134"/>
        <v>02002</v>
      </c>
    </row>
    <row r="1688" spans="1:14" x14ac:dyDescent="0.3">
      <c r="A1688" s="1">
        <v>2007</v>
      </c>
      <c r="B1688" s="7" t="s">
        <v>2553</v>
      </c>
      <c r="C1688" s="12">
        <v>2635</v>
      </c>
      <c r="D1688" s="7" t="s">
        <v>2554</v>
      </c>
      <c r="E1688" s="13" t="s">
        <v>1657</v>
      </c>
      <c r="F1688" t="str">
        <f t="shared" si="130"/>
        <v>Tim</v>
      </c>
      <c r="G1688" t="str">
        <f t="shared" si="131"/>
        <v>Tim2635Houston</v>
      </c>
      <c r="H1688" t="s">
        <v>32546</v>
      </c>
      <c r="I1688" t="s">
        <v>23973</v>
      </c>
      <c r="J1688" t="str">
        <f t="shared" si="132"/>
        <v>E:\PropInv\MF</v>
      </c>
      <c r="K1688" s="103" t="str">
        <f>HYPERLINK("E:\PropInv\MF\Houston\Tim St_2635_La Casita Homes_Houston_02007","Tim St_2635_La Casita Homes_Houston_02007" )</f>
        <v>Tim St_2635_La Casita Homes_Houston_02007</v>
      </c>
      <c r="L1688" s="104" t="s">
        <v>22253</v>
      </c>
      <c r="M1688" s="103" t="str">
        <f t="shared" si="133"/>
        <v>http://oconnordata.com/mlink/modules/profile/index.cfm?action=profile&amp;prop_id=2007</v>
      </c>
      <c r="N1688" s="1" t="str">
        <f t="shared" si="134"/>
        <v>02007</v>
      </c>
    </row>
    <row r="1689" spans="1:14" x14ac:dyDescent="0.3">
      <c r="A1689" s="1">
        <v>2010</v>
      </c>
      <c r="B1689" s="7" t="s">
        <v>2555</v>
      </c>
      <c r="C1689" s="12">
        <v>3201</v>
      </c>
      <c r="D1689" s="7" t="s">
        <v>2556</v>
      </c>
      <c r="E1689" s="13" t="s">
        <v>1657</v>
      </c>
      <c r="F1689" t="str">
        <f t="shared" si="130"/>
        <v>Laura</v>
      </c>
      <c r="G1689" t="str">
        <f t="shared" si="131"/>
        <v>Laura3201Houston</v>
      </c>
      <c r="H1689" t="s">
        <v>32547</v>
      </c>
      <c r="I1689" t="s">
        <v>23974</v>
      </c>
      <c r="J1689" t="str">
        <f t="shared" si="132"/>
        <v>E:\PropInv\MF</v>
      </c>
      <c r="K1689" s="103" t="str">
        <f>HYPERLINK("E:\PropInv\MF\Houston\Laura Koppe_3201_Colonial Arms_Houston_02010","Laura Koppe_3201_Colonial Arms_Houston_02010" )</f>
        <v>Laura Koppe_3201_Colonial Arms_Houston_02010</v>
      </c>
      <c r="L1689" s="104" t="s">
        <v>22253</v>
      </c>
      <c r="M1689" s="103" t="str">
        <f t="shared" si="133"/>
        <v>http://oconnordata.com/mlink/modules/profile/index.cfm?action=profile&amp;prop_id=2010</v>
      </c>
      <c r="N1689" s="1" t="str">
        <f t="shared" si="134"/>
        <v>02010</v>
      </c>
    </row>
    <row r="1690" spans="1:14" x14ac:dyDescent="0.3">
      <c r="A1690" s="1">
        <v>2013</v>
      </c>
      <c r="B1690" s="7" t="s">
        <v>2557</v>
      </c>
      <c r="C1690" s="12">
        <v>7430</v>
      </c>
      <c r="D1690" s="7" t="s">
        <v>2558</v>
      </c>
      <c r="E1690" s="13" t="s">
        <v>1657</v>
      </c>
      <c r="F1690" t="str">
        <f t="shared" si="130"/>
        <v>Schuller</v>
      </c>
      <c r="G1690" t="str">
        <f t="shared" si="131"/>
        <v>Schuller7430Houston</v>
      </c>
      <c r="H1690" t="s">
        <v>32548</v>
      </c>
      <c r="I1690" t="s">
        <v>23975</v>
      </c>
      <c r="J1690" t="str">
        <f t="shared" si="132"/>
        <v>E:\PropInv\MF</v>
      </c>
      <c r="K1690" s="103" t="str">
        <f>HYPERLINK("E:\PropInv\MF\Houston\Schuller_7430_Palms View-Villa Bonita_Houston_02013","Schuller_7430_Palms View-Villa Bonita_Houston_02013" )</f>
        <v>Schuller_7430_Palms View-Villa Bonita_Houston_02013</v>
      </c>
      <c r="L1690" s="104" t="s">
        <v>22253</v>
      </c>
      <c r="M1690" s="103" t="str">
        <f t="shared" si="133"/>
        <v>http://oconnordata.com/mlink/modules/profile/index.cfm?action=profile&amp;prop_id=2013</v>
      </c>
      <c r="N1690" s="1" t="str">
        <f t="shared" si="134"/>
        <v>02013</v>
      </c>
    </row>
    <row r="1691" spans="1:14" x14ac:dyDescent="0.3">
      <c r="A1691" s="1">
        <v>2017</v>
      </c>
      <c r="B1691" s="19" t="s">
        <v>2559</v>
      </c>
      <c r="C1691" s="18">
        <v>8600</v>
      </c>
      <c r="D1691" s="19" t="s">
        <v>2560</v>
      </c>
      <c r="E1691" s="20" t="s">
        <v>1657</v>
      </c>
      <c r="F1691" t="str">
        <f t="shared" si="130"/>
        <v>Sterlingshire</v>
      </c>
      <c r="G1691" t="str">
        <f t="shared" si="131"/>
        <v>Sterlingshire8600Houston</v>
      </c>
      <c r="H1691" t="s">
        <v>32549</v>
      </c>
      <c r="I1691" t="s">
        <v>23976</v>
      </c>
      <c r="J1691" t="str">
        <f t="shared" si="132"/>
        <v>E:\PropInv\MF</v>
      </c>
      <c r="K1691" s="103" t="str">
        <f>HYPERLINK("E:\PropInv\MF\Houston\Sterlingshire_8600_Miracle Point_Houston_02017","Sterlingshire_8600_Miracle Point_Houston_02017" )</f>
        <v>Sterlingshire_8600_Miracle Point_Houston_02017</v>
      </c>
      <c r="L1691" s="104" t="s">
        <v>22253</v>
      </c>
      <c r="M1691" s="103" t="str">
        <f t="shared" si="133"/>
        <v>http://oconnordata.com/mlink/modules/profile/index.cfm?action=profile&amp;prop_id=2017</v>
      </c>
      <c r="N1691" s="1" t="str">
        <f t="shared" si="134"/>
        <v>02017</v>
      </c>
    </row>
    <row r="1692" spans="1:14" x14ac:dyDescent="0.3">
      <c r="A1692" s="1">
        <v>2018</v>
      </c>
      <c r="B1692" s="19" t="s">
        <v>2559</v>
      </c>
      <c r="C1692" s="18">
        <v>8660</v>
      </c>
      <c r="D1692" s="19" t="s">
        <v>2561</v>
      </c>
      <c r="E1692" s="20" t="s">
        <v>1657</v>
      </c>
      <c r="F1692" t="str">
        <f t="shared" si="130"/>
        <v>Sterlingshire</v>
      </c>
      <c r="G1692" t="str">
        <f t="shared" si="131"/>
        <v>Sterlingshire8660Houston</v>
      </c>
      <c r="H1692" t="s">
        <v>32550</v>
      </c>
      <c r="I1692" t="s">
        <v>23977</v>
      </c>
      <c r="J1692" t="str">
        <f t="shared" si="132"/>
        <v>E:\PropInv\MF</v>
      </c>
      <c r="K1692" s="103" t="str">
        <f>HYPERLINK("E:\PropInv\MF\Houston\Sterlingshire_8660_Miracle Point II Apts_Houston_02018","Sterlingshire_8660_Miracle Point II Apts_Houston_02018" )</f>
        <v>Sterlingshire_8660_Miracle Point II Apts_Houston_02018</v>
      </c>
      <c r="L1692" s="104" t="s">
        <v>22253</v>
      </c>
      <c r="M1692" s="103" t="str">
        <f t="shared" si="133"/>
        <v>http://oconnordata.com/mlink/modules/profile/index.cfm?action=profile&amp;prop_id=2018</v>
      </c>
      <c r="N1692" s="1" t="str">
        <f t="shared" si="134"/>
        <v>02018</v>
      </c>
    </row>
    <row r="1693" spans="1:14" x14ac:dyDescent="0.3">
      <c r="A1693" s="1">
        <v>2021</v>
      </c>
      <c r="B1693" s="7" t="s">
        <v>2562</v>
      </c>
      <c r="C1693" s="12">
        <v>5420</v>
      </c>
      <c r="D1693" s="7" t="s">
        <v>2563</v>
      </c>
      <c r="E1693" s="13" t="s">
        <v>1657</v>
      </c>
      <c r="F1693" t="str">
        <f t="shared" si="130"/>
        <v>Rand</v>
      </c>
      <c r="G1693" t="str">
        <f t="shared" si="131"/>
        <v>Rand5420Houston</v>
      </c>
      <c r="H1693" t="s">
        <v>32551</v>
      </c>
      <c r="I1693" t="s">
        <v>23978</v>
      </c>
      <c r="J1693" t="str">
        <f t="shared" si="132"/>
        <v>E:\PropInv\MF</v>
      </c>
      <c r="K1693" s="103" t="str">
        <f>HYPERLINK("E:\PropInv\MF\Houston\Rand St_5420_Lockwood Landing II_Houston_02021","Rand St_5420_Lockwood Landing II_Houston_02021" )</f>
        <v>Rand St_5420_Lockwood Landing II_Houston_02021</v>
      </c>
      <c r="L1693" s="104" t="s">
        <v>22253</v>
      </c>
      <c r="M1693" s="103" t="str">
        <f t="shared" si="133"/>
        <v>http://oconnordata.com/mlink/modules/profile/index.cfm?action=profile&amp;prop_id=2021</v>
      </c>
      <c r="N1693" s="1" t="str">
        <f t="shared" si="134"/>
        <v>02021</v>
      </c>
    </row>
    <row r="1694" spans="1:14" x14ac:dyDescent="0.3">
      <c r="A1694" s="1">
        <v>2022</v>
      </c>
      <c r="B1694" s="7" t="s">
        <v>2559</v>
      </c>
      <c r="C1694" s="12">
        <v>9002</v>
      </c>
      <c r="D1694" s="7" t="s">
        <v>2559</v>
      </c>
      <c r="E1694" s="13" t="s">
        <v>1657</v>
      </c>
      <c r="F1694" t="str">
        <f t="shared" si="130"/>
        <v>Sterlingshire</v>
      </c>
      <c r="G1694" t="str">
        <f t="shared" si="131"/>
        <v>Sterlingshire9002Houston</v>
      </c>
      <c r="H1694" t="s">
        <v>32552</v>
      </c>
      <c r="I1694" t="s">
        <v>23979</v>
      </c>
      <c r="J1694" t="str">
        <f t="shared" si="132"/>
        <v>E:\PropInv\MF</v>
      </c>
      <c r="K1694" s="103" t="str">
        <f>HYPERLINK("E:\PropInv\MF\Houston\Sterlingshire_9002_Sterlingshire_Houston_02022","Sterlingshire_9002_Sterlingshire_Houston_02022" )</f>
        <v>Sterlingshire_9002_Sterlingshire_Houston_02022</v>
      </c>
      <c r="L1694" s="104" t="s">
        <v>22253</v>
      </c>
      <c r="M1694" s="103" t="str">
        <f t="shared" si="133"/>
        <v>http://oconnordata.com/mlink/modules/profile/index.cfm?action=profile&amp;prop_id=2022</v>
      </c>
      <c r="N1694" s="1" t="str">
        <f t="shared" si="134"/>
        <v>02022</v>
      </c>
    </row>
    <row r="1695" spans="1:14" x14ac:dyDescent="0.3">
      <c r="A1695" s="1">
        <v>2026</v>
      </c>
      <c r="B1695" s="7" t="s">
        <v>2564</v>
      </c>
      <c r="C1695" s="12">
        <v>6603</v>
      </c>
      <c r="D1695" s="7" t="s">
        <v>2565</v>
      </c>
      <c r="E1695" s="13" t="s">
        <v>1657</v>
      </c>
      <c r="F1695" t="str">
        <f t="shared" si="130"/>
        <v>Hirsch</v>
      </c>
      <c r="G1695" t="str">
        <f t="shared" si="131"/>
        <v>Hirsch6603Houston</v>
      </c>
      <c r="H1695" t="s">
        <v>32553</v>
      </c>
      <c r="I1695" t="s">
        <v>23980</v>
      </c>
      <c r="J1695" t="str">
        <f t="shared" si="132"/>
        <v>E:\PropInv\MF</v>
      </c>
      <c r="K1695" s="103" t="str">
        <f>HYPERLINK("E:\PropInv\MF\Houston\Hirsch_6603_Gulf Coast Arms_Houston_02026","Hirsch_6603_Gulf Coast Arms_Houston_02026" )</f>
        <v>Hirsch_6603_Gulf Coast Arms_Houston_02026</v>
      </c>
      <c r="L1695" s="104" t="s">
        <v>22253</v>
      </c>
      <c r="M1695" s="103" t="str">
        <f t="shared" si="133"/>
        <v>http://oconnordata.com/mlink/modules/profile/index.cfm?action=profile&amp;prop_id=2026</v>
      </c>
      <c r="N1695" s="1" t="str">
        <f t="shared" si="134"/>
        <v>02026</v>
      </c>
    </row>
    <row r="1696" spans="1:14" x14ac:dyDescent="0.3">
      <c r="A1696" s="1">
        <v>2033</v>
      </c>
      <c r="B1696" s="7" t="s">
        <v>2566</v>
      </c>
      <c r="C1696" s="12">
        <v>5006</v>
      </c>
      <c r="D1696" s="7" t="s">
        <v>2567</v>
      </c>
      <c r="E1696" s="13" t="s">
        <v>1657</v>
      </c>
      <c r="F1696" t="str">
        <f t="shared" si="130"/>
        <v>Cavalcade</v>
      </c>
      <c r="G1696" t="str">
        <f t="shared" si="131"/>
        <v>Cavalcade5006Houston</v>
      </c>
      <c r="H1696" t="s">
        <v>32554</v>
      </c>
      <c r="I1696" t="s">
        <v>23981</v>
      </c>
      <c r="J1696" t="str">
        <f t="shared" si="132"/>
        <v>E:\PropInv\MF</v>
      </c>
      <c r="K1696" s="103" t="str">
        <f>HYPERLINK("E:\PropInv\MF\Houston\Cavalcade_5006_Kashmere Royal_Houston_02033","Cavalcade_5006_Kashmere Royal_Houston_02033" )</f>
        <v>Cavalcade_5006_Kashmere Royal_Houston_02033</v>
      </c>
      <c r="L1696" s="104" t="s">
        <v>22253</v>
      </c>
      <c r="M1696" s="103" t="str">
        <f t="shared" si="133"/>
        <v>http://oconnordata.com/mlink/modules/profile/index.cfm?action=profile&amp;prop_id=2033</v>
      </c>
      <c r="N1696" s="1" t="str">
        <f t="shared" si="134"/>
        <v>02033</v>
      </c>
    </row>
    <row r="1697" spans="1:14" x14ac:dyDescent="0.3">
      <c r="A1697" s="1">
        <v>2034</v>
      </c>
      <c r="B1697" s="7" t="s">
        <v>2568</v>
      </c>
      <c r="C1697" s="12">
        <v>14900</v>
      </c>
      <c r="D1697" s="7" t="s">
        <v>2569</v>
      </c>
      <c r="E1697" s="13" t="s">
        <v>1657</v>
      </c>
      <c r="F1697" t="str">
        <f t="shared" si="130"/>
        <v>Memorial</v>
      </c>
      <c r="G1697" t="str">
        <f t="shared" si="131"/>
        <v>Memorial14900Houston</v>
      </c>
      <c r="H1697" t="s">
        <v>32555</v>
      </c>
      <c r="I1697" t="s">
        <v>23982</v>
      </c>
      <c r="J1697" t="str">
        <f t="shared" si="132"/>
        <v>E:\PropInv\MF</v>
      </c>
      <c r="K1697" s="103" t="str">
        <f>HYPERLINK("E:\PropInv\MF\Houston\Memorial Dr_14900_Argyle at Memorial_Houston_02034","Memorial Dr_14900_Argyle at Memorial_Houston_02034" )</f>
        <v>Memorial Dr_14900_Argyle at Memorial_Houston_02034</v>
      </c>
      <c r="L1697" s="104" t="s">
        <v>22253</v>
      </c>
      <c r="M1697" s="103" t="str">
        <f t="shared" si="133"/>
        <v>http://oconnordata.com/mlink/modules/profile/index.cfm?action=profile&amp;prop_id=2034</v>
      </c>
      <c r="N1697" s="1" t="str">
        <f t="shared" si="134"/>
        <v>02034</v>
      </c>
    </row>
    <row r="1698" spans="1:14" x14ac:dyDescent="0.3">
      <c r="A1698" s="1">
        <v>2035</v>
      </c>
      <c r="B1698" s="7" t="s">
        <v>2568</v>
      </c>
      <c r="C1698" s="12">
        <v>14800</v>
      </c>
      <c r="D1698" s="7" t="s">
        <v>2570</v>
      </c>
      <c r="E1698" s="13" t="s">
        <v>1657</v>
      </c>
      <c r="F1698" t="str">
        <f t="shared" si="130"/>
        <v>Memorial</v>
      </c>
      <c r="G1698" t="str">
        <f t="shared" si="131"/>
        <v>Memorial14800Houston</v>
      </c>
      <c r="H1698" t="s">
        <v>32556</v>
      </c>
      <c r="I1698" t="s">
        <v>23983</v>
      </c>
      <c r="J1698" t="str">
        <f t="shared" si="132"/>
        <v>E:\PropInv\MF</v>
      </c>
      <c r="K1698" s="103" t="str">
        <f>HYPERLINK("E:\PropInv\MF\Houston\Memorial Dr_14800_Princeton Club_Houston_02035","Memorial Dr_14800_Princeton Club_Houston_02035" )</f>
        <v>Memorial Dr_14800_Princeton Club_Houston_02035</v>
      </c>
      <c r="L1698" s="104" t="s">
        <v>22253</v>
      </c>
      <c r="M1698" s="103" t="str">
        <f t="shared" si="133"/>
        <v>http://oconnordata.com/mlink/modules/profile/index.cfm?action=profile&amp;prop_id=2035</v>
      </c>
      <c r="N1698" s="1" t="str">
        <f t="shared" si="134"/>
        <v>02035</v>
      </c>
    </row>
    <row r="1699" spans="1:14" x14ac:dyDescent="0.3">
      <c r="A1699" s="1">
        <v>2038</v>
      </c>
      <c r="B1699" s="7" t="s">
        <v>2571</v>
      </c>
      <c r="C1699" s="12">
        <v>5117</v>
      </c>
      <c r="D1699" s="7" t="s">
        <v>2572</v>
      </c>
      <c r="E1699" s="13" t="s">
        <v>1657</v>
      </c>
      <c r="F1699" t="str">
        <f t="shared" si="130"/>
        <v>Lavender</v>
      </c>
      <c r="G1699" t="str">
        <f t="shared" si="131"/>
        <v>Lavender5117Houston</v>
      </c>
      <c r="H1699" t="s">
        <v>32557</v>
      </c>
      <c r="I1699" t="s">
        <v>23984</v>
      </c>
      <c r="J1699" t="str">
        <f t="shared" si="132"/>
        <v>E:\PropInv\MF</v>
      </c>
      <c r="K1699" s="103" t="str">
        <f>HYPERLINK("E:\PropInv\MF\Houston\Lavender_5117_Alta Arms_Houston_02038","Lavender_5117_Alta Arms_Houston_02038" )</f>
        <v>Lavender_5117_Alta Arms_Houston_02038</v>
      </c>
      <c r="L1699" s="104" t="s">
        <v>22253</v>
      </c>
      <c r="M1699" s="103" t="str">
        <f t="shared" si="133"/>
        <v>http://oconnordata.com/mlink/modules/profile/index.cfm?action=profile&amp;prop_id=2038</v>
      </c>
      <c r="N1699" s="1" t="str">
        <f t="shared" si="134"/>
        <v>02038</v>
      </c>
    </row>
    <row r="1700" spans="1:14" x14ac:dyDescent="0.3">
      <c r="A1700" s="1">
        <v>2039</v>
      </c>
      <c r="B1700" s="7" t="s">
        <v>2573</v>
      </c>
      <c r="C1700" s="12">
        <v>14445</v>
      </c>
      <c r="D1700" s="7" t="s">
        <v>2574</v>
      </c>
      <c r="E1700" s="13" t="s">
        <v>1657</v>
      </c>
      <c r="F1700" t="str">
        <f t="shared" si="130"/>
        <v>Wallisville</v>
      </c>
      <c r="G1700" t="str">
        <f t="shared" si="131"/>
        <v>Wallisville14445Houston</v>
      </c>
      <c r="H1700" t="s">
        <v>32558</v>
      </c>
      <c r="I1700" t="s">
        <v>23985</v>
      </c>
      <c r="J1700" t="str">
        <f t="shared" si="132"/>
        <v>E:\PropInv\MF</v>
      </c>
      <c r="K1700" s="103" t="str">
        <f>HYPERLINK("E:\PropInv\MF\Houston\Wallisville Rd_14445_Dover Pointe_Houston_02039","Wallisville Rd_14445_Dover Pointe_Houston_02039" )</f>
        <v>Wallisville Rd_14445_Dover Pointe_Houston_02039</v>
      </c>
      <c r="L1700" s="104" t="s">
        <v>22253</v>
      </c>
      <c r="M1700" s="103" t="str">
        <f t="shared" si="133"/>
        <v>http://oconnordata.com/mlink/modules/profile/index.cfm?action=profile&amp;prop_id=2039</v>
      </c>
      <c r="N1700" s="1" t="str">
        <f t="shared" si="134"/>
        <v>02039</v>
      </c>
    </row>
    <row r="1701" spans="1:14" x14ac:dyDescent="0.3">
      <c r="A1701" s="1">
        <v>2040</v>
      </c>
      <c r="B1701" s="7" t="s">
        <v>2575</v>
      </c>
      <c r="C1701" s="12" t="s">
        <v>2576</v>
      </c>
      <c r="D1701" s="7" t="s">
        <v>2577</v>
      </c>
      <c r="E1701" s="13" t="s">
        <v>1657</v>
      </c>
      <c r="F1701" t="str">
        <f t="shared" si="130"/>
        <v>Uvalde</v>
      </c>
      <c r="G1701" t="str">
        <f t="shared" si="131"/>
        <v>Uvalde230-280Houston</v>
      </c>
      <c r="H1701" t="s">
        <v>32559</v>
      </c>
      <c r="I1701" t="s">
        <v>23986</v>
      </c>
      <c r="J1701" t="str">
        <f t="shared" si="132"/>
        <v>E:\PropInv\MF</v>
      </c>
      <c r="K1701" s="103" t="str">
        <f>HYPERLINK("E:\PropInv\MF\Houston\Uvalde Rd_230-280_Village at Uvalde_Houston_02040","Uvalde Rd_230-280_Village at Uvalde_Houston_02040" )</f>
        <v>Uvalde Rd_230-280_Village at Uvalde_Houston_02040</v>
      </c>
      <c r="L1701" s="104" t="s">
        <v>22253</v>
      </c>
      <c r="M1701" s="103" t="str">
        <f t="shared" si="133"/>
        <v>http://oconnordata.com/mlink/modules/profile/index.cfm?action=profile&amp;prop_id=2040</v>
      </c>
      <c r="N1701" s="1" t="str">
        <f t="shared" si="134"/>
        <v>02040</v>
      </c>
    </row>
    <row r="1702" spans="1:14" x14ac:dyDescent="0.3">
      <c r="A1702" s="1">
        <v>2042</v>
      </c>
      <c r="B1702" s="7" t="s">
        <v>2578</v>
      </c>
      <c r="C1702" s="12">
        <v>5675</v>
      </c>
      <c r="D1702" s="7" t="s">
        <v>2579</v>
      </c>
      <c r="E1702" s="13" t="s">
        <v>1657</v>
      </c>
      <c r="F1702" t="str">
        <f t="shared" si="130"/>
        <v>Purple</v>
      </c>
      <c r="G1702" t="str">
        <f t="shared" si="131"/>
        <v>Purple5675Houston</v>
      </c>
      <c r="H1702" t="s">
        <v>32560</v>
      </c>
      <c r="I1702" t="s">
        <v>23987</v>
      </c>
      <c r="J1702" t="str">
        <f t="shared" si="132"/>
        <v>E:\PropInv\MF</v>
      </c>
      <c r="K1702" s="103" t="str">
        <f>HYPERLINK("E:\PropInv\MF\Houston\Purple Sage_5675_Hunters Creek_Houston_02042","Purple Sage_5675_Hunters Creek_Houston_02042" )</f>
        <v>Purple Sage_5675_Hunters Creek_Houston_02042</v>
      </c>
      <c r="L1702" s="104" t="s">
        <v>22253</v>
      </c>
      <c r="M1702" s="103" t="str">
        <f t="shared" si="133"/>
        <v>http://oconnordata.com/mlink/modules/profile/index.cfm?action=profile&amp;prop_id=2042</v>
      </c>
      <c r="N1702" s="1" t="str">
        <f t="shared" si="134"/>
        <v>02042</v>
      </c>
    </row>
    <row r="1703" spans="1:14" x14ac:dyDescent="0.3">
      <c r="A1703" s="1">
        <v>2043</v>
      </c>
      <c r="B1703" s="7" t="s">
        <v>2580</v>
      </c>
      <c r="C1703" s="12">
        <v>13502</v>
      </c>
      <c r="D1703" s="7" t="s">
        <v>2581</v>
      </c>
      <c r="E1703" s="13" t="s">
        <v>1657</v>
      </c>
      <c r="F1703" t="str">
        <f t="shared" si="130"/>
        <v>Thorntree</v>
      </c>
      <c r="G1703" t="str">
        <f t="shared" si="131"/>
        <v>Thorntree13502Houston</v>
      </c>
      <c r="H1703" t="s">
        <v>32561</v>
      </c>
      <c r="I1703" t="s">
        <v>23988</v>
      </c>
      <c r="J1703" t="str">
        <f t="shared" si="132"/>
        <v>E:\PropInv\MF</v>
      </c>
      <c r="K1703" s="103" t="str">
        <f>HYPERLINK("E:\PropInv\MF\Houston\Thorntree N_13502_Thorntree_Houston_02043","Thorntree N_13502_Thorntree_Houston_02043" )</f>
        <v>Thorntree N_13502_Thorntree_Houston_02043</v>
      </c>
      <c r="L1703" s="104" t="s">
        <v>22253</v>
      </c>
      <c r="M1703" s="103" t="str">
        <f t="shared" si="133"/>
        <v>http://oconnordata.com/mlink/modules/profile/index.cfm?action=profile&amp;prop_id=2043</v>
      </c>
      <c r="N1703" s="1" t="str">
        <f t="shared" si="134"/>
        <v>02043</v>
      </c>
    </row>
    <row r="1704" spans="1:14" x14ac:dyDescent="0.3">
      <c r="A1704" s="1">
        <v>2049</v>
      </c>
      <c r="B1704" s="7" t="s">
        <v>2582</v>
      </c>
      <c r="C1704" s="12">
        <v>9700</v>
      </c>
      <c r="D1704" s="7" t="s">
        <v>2583</v>
      </c>
      <c r="E1704" s="13" t="s">
        <v>1657</v>
      </c>
      <c r="F1704" t="str">
        <f t="shared" si="130"/>
        <v>Mesa</v>
      </c>
      <c r="G1704" t="str">
        <f t="shared" si="131"/>
        <v>Mesa9700Houston</v>
      </c>
      <c r="H1704" t="s">
        <v>32562</v>
      </c>
      <c r="I1704" t="s">
        <v>23989</v>
      </c>
      <c r="J1704" t="str">
        <f t="shared" si="132"/>
        <v>E:\PropInv\MF</v>
      </c>
      <c r="K1704" s="103" t="str">
        <f>HYPERLINK("E:\PropInv\MF\Houston\Mesa_9700_Dyersdale Village_Houston_02049","Mesa_9700_Dyersdale Village_Houston_02049" )</f>
        <v>Mesa_9700_Dyersdale Village_Houston_02049</v>
      </c>
      <c r="L1704" s="104" t="s">
        <v>22253</v>
      </c>
      <c r="M1704" s="103" t="str">
        <f t="shared" si="133"/>
        <v>http://oconnordata.com/mlink/modules/profile/index.cfm?action=profile&amp;prop_id=2049</v>
      </c>
      <c r="N1704" s="1" t="str">
        <f t="shared" si="134"/>
        <v>02049</v>
      </c>
    </row>
    <row r="1705" spans="1:14" x14ac:dyDescent="0.3">
      <c r="A1705" s="1">
        <v>2051</v>
      </c>
      <c r="B1705" s="7" t="s">
        <v>2584</v>
      </c>
      <c r="C1705" s="12">
        <v>7373</v>
      </c>
      <c r="D1705" s="7" t="s">
        <v>2585</v>
      </c>
      <c r="E1705" s="13" t="s">
        <v>1657</v>
      </c>
      <c r="F1705" t="str">
        <f t="shared" si="130"/>
        <v>Wayside</v>
      </c>
      <c r="G1705" t="str">
        <f t="shared" si="131"/>
        <v>Wayside7373Houston</v>
      </c>
      <c r="H1705" t="s">
        <v>32563</v>
      </c>
      <c r="I1705" t="s">
        <v>23990</v>
      </c>
      <c r="J1705" t="str">
        <f t="shared" si="132"/>
        <v>E:\PropInv\MF</v>
      </c>
      <c r="K1705" s="103" t="str">
        <f>HYPERLINK("E:\PropInv\MF\Houston\Wayside N_7373_Settegast Heights Village_Houston_02051","Wayside N_7373_Settegast Heights Village_Houston_02051" )</f>
        <v>Wayside N_7373_Settegast Heights Village_Houston_02051</v>
      </c>
      <c r="L1705" s="104" t="s">
        <v>22253</v>
      </c>
      <c r="M1705" s="103" t="str">
        <f t="shared" si="133"/>
        <v>http://oconnordata.com/mlink/modules/profile/index.cfm?action=profile&amp;prop_id=2051</v>
      </c>
      <c r="N1705" s="1" t="str">
        <f t="shared" si="134"/>
        <v>02051</v>
      </c>
    </row>
    <row r="1706" spans="1:14" x14ac:dyDescent="0.3">
      <c r="A1706" s="1">
        <v>2054</v>
      </c>
      <c r="B1706" s="7" t="s">
        <v>2586</v>
      </c>
      <c r="C1706" s="12">
        <v>3905</v>
      </c>
      <c r="D1706" s="7" t="s">
        <v>2587</v>
      </c>
      <c r="E1706" s="13" t="s">
        <v>1657</v>
      </c>
      <c r="F1706" t="str">
        <f t="shared" si="130"/>
        <v>Lockwood</v>
      </c>
      <c r="G1706" t="str">
        <f t="shared" si="131"/>
        <v>Lockwood3905Houston</v>
      </c>
      <c r="H1706" t="s">
        <v>32564</v>
      </c>
      <c r="I1706" t="s">
        <v>23991</v>
      </c>
      <c r="J1706" t="str">
        <f t="shared" si="132"/>
        <v>E:\PropInv\MF</v>
      </c>
      <c r="K1706" s="103" t="str">
        <f>HYPERLINK("E:\PropInv\MF\Houston\Lockwood_3905_Legacy Apts_Houston_02054","Lockwood_3905_Legacy Apts_Houston_02054" )</f>
        <v>Lockwood_3905_Legacy Apts_Houston_02054</v>
      </c>
      <c r="L1706" s="104" t="s">
        <v>22253</v>
      </c>
      <c r="M1706" s="103" t="str">
        <f t="shared" si="133"/>
        <v>http://oconnordata.com/mlink/modules/profile/index.cfm?action=profile&amp;prop_id=2054</v>
      </c>
      <c r="N1706" s="1" t="str">
        <f t="shared" si="134"/>
        <v>02054</v>
      </c>
    </row>
    <row r="1707" spans="1:14" x14ac:dyDescent="0.3">
      <c r="A1707" s="1">
        <v>2055</v>
      </c>
      <c r="B1707" s="7" t="s">
        <v>2588</v>
      </c>
      <c r="C1707" s="12">
        <v>4712</v>
      </c>
      <c r="D1707" s="7" t="s">
        <v>2589</v>
      </c>
      <c r="E1707" s="13" t="s">
        <v>1657</v>
      </c>
      <c r="F1707" t="str">
        <f t="shared" si="130"/>
        <v>Lockwood</v>
      </c>
      <c r="G1707" t="str">
        <f t="shared" si="131"/>
        <v>Lockwood4712Houston</v>
      </c>
      <c r="H1707" t="s">
        <v>32565</v>
      </c>
      <c r="I1707" t="s">
        <v>23992</v>
      </c>
      <c r="J1707" t="str">
        <f t="shared" si="132"/>
        <v>E:\PropInv\MF</v>
      </c>
      <c r="K1707" s="103" t="str">
        <f>HYPERLINK("E:\PropInv\MF\Houston\Lockwood Dr_4712_Lockwood Landing I_Houston_02055","Lockwood Dr_4712_Lockwood Landing I_Houston_02055" )</f>
        <v>Lockwood Dr_4712_Lockwood Landing I_Houston_02055</v>
      </c>
      <c r="L1707" s="104" t="s">
        <v>22253</v>
      </c>
      <c r="M1707" s="103" t="str">
        <f t="shared" si="133"/>
        <v>http://oconnordata.com/mlink/modules/profile/index.cfm?action=profile&amp;prop_id=2055</v>
      </c>
      <c r="N1707" s="1" t="str">
        <f t="shared" si="134"/>
        <v>02055</v>
      </c>
    </row>
    <row r="1708" spans="1:14" x14ac:dyDescent="0.3">
      <c r="A1708" s="1">
        <v>2056</v>
      </c>
      <c r="B1708" s="7" t="s">
        <v>2590</v>
      </c>
      <c r="C1708" s="12">
        <v>90</v>
      </c>
      <c r="D1708" s="7" t="s">
        <v>2591</v>
      </c>
      <c r="E1708" s="13" t="s">
        <v>1657</v>
      </c>
      <c r="F1708" t="str">
        <f t="shared" si="130"/>
        <v>Uvalde</v>
      </c>
      <c r="G1708" t="str">
        <f t="shared" si="131"/>
        <v>Uvalde90Houston</v>
      </c>
      <c r="H1708" t="s">
        <v>32566</v>
      </c>
      <c r="I1708" t="s">
        <v>23993</v>
      </c>
      <c r="J1708" t="str">
        <f t="shared" si="132"/>
        <v>E:\PropInv\MF</v>
      </c>
      <c r="K1708" s="103" t="str">
        <f>HYPERLINK("E:\PropInv\MF\Houston\Uvalde_90_Pines of Woodforest_Houston_02056","Uvalde_90_Pines of Woodforest_Houston_02056" )</f>
        <v>Uvalde_90_Pines of Woodforest_Houston_02056</v>
      </c>
      <c r="L1708" s="104" t="s">
        <v>22253</v>
      </c>
      <c r="M1708" s="103" t="str">
        <f t="shared" si="133"/>
        <v>http://oconnordata.com/mlink/modules/profile/index.cfm?action=profile&amp;prop_id=2056</v>
      </c>
      <c r="N1708" s="1" t="str">
        <f t="shared" si="134"/>
        <v>02056</v>
      </c>
    </row>
    <row r="1709" spans="1:14" x14ac:dyDescent="0.3">
      <c r="A1709" s="1">
        <v>2058</v>
      </c>
      <c r="B1709" s="7" t="s">
        <v>2592</v>
      </c>
      <c r="C1709" s="12">
        <v>450</v>
      </c>
      <c r="D1709" s="7" t="s">
        <v>2593</v>
      </c>
      <c r="E1709" s="13" t="s">
        <v>1657</v>
      </c>
      <c r="F1709" t="str">
        <f t="shared" si="130"/>
        <v>Normandy</v>
      </c>
      <c r="G1709" t="str">
        <f t="shared" si="131"/>
        <v>Normandy450Houston</v>
      </c>
      <c r="H1709" t="s">
        <v>32567</v>
      </c>
      <c r="I1709" t="s">
        <v>23994</v>
      </c>
      <c r="J1709" t="str">
        <f t="shared" si="132"/>
        <v>E:\PropInv\MF</v>
      </c>
      <c r="K1709" s="103" t="str">
        <f>HYPERLINK("E:\PropInv\MF\Houston\Normandy_450_Riverwalk_Houston_02058","Normandy_450_Riverwalk_Houston_02058" )</f>
        <v>Normandy_450_Riverwalk_Houston_02058</v>
      </c>
      <c r="L1709" s="104" t="s">
        <v>22253</v>
      </c>
      <c r="M1709" s="103" t="str">
        <f t="shared" si="133"/>
        <v>http://oconnordata.com/mlink/modules/profile/index.cfm?action=profile&amp;prop_id=2058</v>
      </c>
      <c r="N1709" s="1" t="str">
        <f t="shared" si="134"/>
        <v>02058</v>
      </c>
    </row>
    <row r="1710" spans="1:14" x14ac:dyDescent="0.3">
      <c r="A1710" s="1">
        <v>2059</v>
      </c>
      <c r="B1710" s="7" t="s">
        <v>2594</v>
      </c>
      <c r="C1710" s="12">
        <v>12603</v>
      </c>
      <c r="D1710" s="7" t="s">
        <v>2595</v>
      </c>
      <c r="E1710" s="13" t="s">
        <v>1657</v>
      </c>
      <c r="F1710" t="str">
        <f t="shared" si="130"/>
        <v>Woodforest</v>
      </c>
      <c r="G1710" t="str">
        <f t="shared" si="131"/>
        <v>Woodforest12603Houston</v>
      </c>
      <c r="H1710" t="s">
        <v>32568</v>
      </c>
      <c r="I1710" t="s">
        <v>23995</v>
      </c>
      <c r="J1710" t="str">
        <f t="shared" si="132"/>
        <v>E:\PropInv\MF</v>
      </c>
      <c r="K1710" s="103" t="str">
        <f>HYPERLINK("E:\PropInv\MF\Houston\Woodforest Blvd_12603_Forrester II_Houston_02059","Woodforest Blvd_12603_Forrester II_Houston_02059" )</f>
        <v>Woodforest Blvd_12603_Forrester II_Houston_02059</v>
      </c>
      <c r="L1710" s="104" t="s">
        <v>22253</v>
      </c>
      <c r="M1710" s="103" t="str">
        <f t="shared" si="133"/>
        <v>http://oconnordata.com/mlink/modules/profile/index.cfm?action=profile&amp;prop_id=2059</v>
      </c>
      <c r="N1710" s="1" t="str">
        <f t="shared" si="134"/>
        <v>02059</v>
      </c>
    </row>
    <row r="1711" spans="1:14" x14ac:dyDescent="0.3">
      <c r="A1711" s="1">
        <v>2061</v>
      </c>
      <c r="B1711" s="7" t="s">
        <v>2596</v>
      </c>
      <c r="C1711" s="12">
        <v>22022</v>
      </c>
      <c r="D1711" s="7" t="s">
        <v>2597</v>
      </c>
      <c r="E1711" s="13" t="s">
        <v>2198</v>
      </c>
      <c r="F1711" t="str">
        <f t="shared" si="130"/>
        <v>Cimarron</v>
      </c>
      <c r="G1711" t="str">
        <f t="shared" si="131"/>
        <v>Cimarron22022Katy</v>
      </c>
      <c r="H1711" t="s">
        <v>32569</v>
      </c>
      <c r="I1711" t="s">
        <v>23996</v>
      </c>
      <c r="J1711" t="str">
        <f t="shared" si="132"/>
        <v>E:\PropInv\MF</v>
      </c>
      <c r="K1711" s="103" t="str">
        <f>HYPERLINK("E:\PropInv\MF\Katy\Cimarron Pkwy_22022_Cimarron Parkway_Katy_02061","Cimarron Pkwy_22022_Cimarron Parkway_Katy_02061" )</f>
        <v>Cimarron Pkwy_22022_Cimarron Parkway_Katy_02061</v>
      </c>
      <c r="L1711" s="104" t="s">
        <v>22253</v>
      </c>
      <c r="M1711" s="103" t="str">
        <f t="shared" si="133"/>
        <v>http://oconnordata.com/mlink/modules/profile/index.cfm?action=profile&amp;prop_id=2061</v>
      </c>
      <c r="N1711" s="1" t="str">
        <f t="shared" si="134"/>
        <v>02061</v>
      </c>
    </row>
    <row r="1712" spans="1:14" x14ac:dyDescent="0.3">
      <c r="A1712" s="1">
        <v>2062</v>
      </c>
      <c r="B1712" s="7" t="s">
        <v>2258</v>
      </c>
      <c r="C1712" s="12">
        <v>12355</v>
      </c>
      <c r="D1712" s="7" t="s">
        <v>2598</v>
      </c>
      <c r="E1712" s="13" t="s">
        <v>1657</v>
      </c>
      <c r="F1712" t="str">
        <f t="shared" si="130"/>
        <v>Tidwell</v>
      </c>
      <c r="G1712" t="str">
        <f t="shared" si="131"/>
        <v>Tidwell12355Houston</v>
      </c>
      <c r="H1712" t="s">
        <v>32570</v>
      </c>
      <c r="I1712" t="s">
        <v>23997</v>
      </c>
      <c r="J1712" t="str">
        <f t="shared" si="132"/>
        <v>E:\PropInv\MF</v>
      </c>
      <c r="K1712" s="103" t="str">
        <f>HYPERLINK("E:\PropInv\MF\Houston\Tidwell_12355_South Lake Villas_Houston_02062","Tidwell_12355_South Lake Villas_Houston_02062" )</f>
        <v>Tidwell_12355_South Lake Villas_Houston_02062</v>
      </c>
      <c r="L1712" s="104" t="s">
        <v>22253</v>
      </c>
      <c r="M1712" s="103" t="str">
        <f t="shared" si="133"/>
        <v>http://oconnordata.com/mlink/modules/profile/index.cfm?action=profile&amp;prop_id=2062</v>
      </c>
      <c r="N1712" s="1" t="str">
        <f t="shared" si="134"/>
        <v>02062</v>
      </c>
    </row>
    <row r="1713" spans="1:14" x14ac:dyDescent="0.3">
      <c r="A1713" s="1">
        <v>2063</v>
      </c>
      <c r="B1713" s="7" t="s">
        <v>2517</v>
      </c>
      <c r="C1713" s="12">
        <v>12635</v>
      </c>
      <c r="D1713" s="7" t="s">
        <v>665</v>
      </c>
      <c r="E1713" s="13" t="s">
        <v>1657</v>
      </c>
      <c r="F1713" t="str">
        <f t="shared" si="130"/>
        <v>Tidwell</v>
      </c>
      <c r="G1713" t="str">
        <f t="shared" si="131"/>
        <v>Tidwell12635Houston</v>
      </c>
      <c r="H1713" t="s">
        <v>32571</v>
      </c>
      <c r="I1713" t="s">
        <v>23998</v>
      </c>
      <c r="J1713" t="str">
        <f t="shared" si="132"/>
        <v>E:\PropInv\MF</v>
      </c>
      <c r="K1713" s="103" t="str">
        <f>HYPERLINK("E:\PropInv\MF\Houston\Tidwell E_12635_Forest Park_Houston_02063","Tidwell E_12635_Forest Park_Houston_02063" )</f>
        <v>Tidwell E_12635_Forest Park_Houston_02063</v>
      </c>
      <c r="L1713" s="104" t="s">
        <v>22253</v>
      </c>
      <c r="M1713" s="103" t="str">
        <f t="shared" si="133"/>
        <v>http://oconnordata.com/mlink/modules/profile/index.cfm?action=profile&amp;prop_id=2063</v>
      </c>
      <c r="N1713" s="1" t="str">
        <f t="shared" si="134"/>
        <v>02063</v>
      </c>
    </row>
    <row r="1714" spans="1:14" x14ac:dyDescent="0.3">
      <c r="A1714" s="1">
        <v>2064</v>
      </c>
      <c r="B1714" s="7" t="s">
        <v>2599</v>
      </c>
      <c r="C1714" s="12">
        <v>5830</v>
      </c>
      <c r="D1714" s="7" t="s">
        <v>2600</v>
      </c>
      <c r="E1714" s="13" t="s">
        <v>1657</v>
      </c>
      <c r="F1714" t="str">
        <f t="shared" si="130"/>
        <v>Lake</v>
      </c>
      <c r="G1714" t="str">
        <f t="shared" si="131"/>
        <v>Lake5830Houston</v>
      </c>
      <c r="H1714" t="s">
        <v>32572</v>
      </c>
      <c r="I1714" t="s">
        <v>23999</v>
      </c>
      <c r="J1714" t="str">
        <f t="shared" si="132"/>
        <v>E:\PropInv\MF</v>
      </c>
      <c r="K1714" s="103" t="str">
        <f>HYPERLINK("E:\PropInv\MF\Houston\Lake Houston Pkwy S_5830_Lake Houston Pines_Houston_02064","Lake Houston Pkwy S_5830_Lake Houston Pines_Houston_02064" )</f>
        <v>Lake Houston Pkwy S_5830_Lake Houston Pines_Houston_02064</v>
      </c>
      <c r="L1714" s="104" t="s">
        <v>22253</v>
      </c>
      <c r="M1714" s="103" t="str">
        <f t="shared" si="133"/>
        <v>http://oconnordata.com/mlink/modules/profile/index.cfm?action=profile&amp;prop_id=2064</v>
      </c>
      <c r="N1714" s="1" t="str">
        <f t="shared" si="134"/>
        <v>02064</v>
      </c>
    </row>
    <row r="1715" spans="1:14" x14ac:dyDescent="0.3">
      <c r="A1715" s="1">
        <v>2065</v>
      </c>
      <c r="B1715" s="7" t="s">
        <v>2599</v>
      </c>
      <c r="C1715" s="12">
        <v>6415</v>
      </c>
      <c r="D1715" s="7" t="s">
        <v>2601</v>
      </c>
      <c r="E1715" s="13" t="s">
        <v>1657</v>
      </c>
      <c r="F1715" t="str">
        <f t="shared" si="130"/>
        <v>Lake</v>
      </c>
      <c r="G1715" t="str">
        <f t="shared" si="131"/>
        <v>Lake6415Houston</v>
      </c>
      <c r="H1715" t="s">
        <v>32573</v>
      </c>
      <c r="I1715" t="s">
        <v>24000</v>
      </c>
      <c r="J1715" t="str">
        <f t="shared" si="132"/>
        <v>E:\PropInv\MF</v>
      </c>
      <c r="K1715" s="103" t="str">
        <f>HYPERLINK("E:\PropInv\MF\Houston\Lake Houston Pkwy S_6415_The Woods_Houston_02065","Lake Houston Pkwy S_6415_The Woods_Houston_02065" )</f>
        <v>Lake Houston Pkwy S_6415_The Woods_Houston_02065</v>
      </c>
      <c r="L1715" s="104" t="s">
        <v>22253</v>
      </c>
      <c r="M1715" s="103" t="str">
        <f t="shared" si="133"/>
        <v>http://oconnordata.com/mlink/modules/profile/index.cfm?action=profile&amp;prop_id=2065</v>
      </c>
      <c r="N1715" s="1" t="str">
        <f t="shared" si="134"/>
        <v>02065</v>
      </c>
    </row>
    <row r="1716" spans="1:14" x14ac:dyDescent="0.3">
      <c r="A1716" s="1">
        <v>2066</v>
      </c>
      <c r="B1716" s="7" t="s">
        <v>2594</v>
      </c>
      <c r="C1716" s="12">
        <v>12800</v>
      </c>
      <c r="D1716" s="7" t="s">
        <v>2602</v>
      </c>
      <c r="E1716" s="13" t="s">
        <v>1657</v>
      </c>
      <c r="F1716" t="str">
        <f t="shared" si="130"/>
        <v>Woodforest</v>
      </c>
      <c r="G1716" t="str">
        <f t="shared" si="131"/>
        <v>Woodforest12800Houston</v>
      </c>
      <c r="H1716" t="s">
        <v>32574</v>
      </c>
      <c r="I1716" t="s">
        <v>24001</v>
      </c>
      <c r="J1716" t="str">
        <f t="shared" si="132"/>
        <v>E:\PropInv\MF</v>
      </c>
      <c r="K1716" s="103" t="str">
        <f>HYPERLINK("E:\PropInv\MF\Houston\Woodforest Blvd_12800_Forrester I_Houston_02066","Woodforest Blvd_12800_Forrester I_Houston_02066" )</f>
        <v>Woodforest Blvd_12800_Forrester I_Houston_02066</v>
      </c>
      <c r="L1716" s="104" t="s">
        <v>22253</v>
      </c>
      <c r="M1716" s="103" t="str">
        <f t="shared" si="133"/>
        <v>http://oconnordata.com/mlink/modules/profile/index.cfm?action=profile&amp;prop_id=2066</v>
      </c>
      <c r="N1716" s="1" t="str">
        <f t="shared" si="134"/>
        <v>02066</v>
      </c>
    </row>
    <row r="1717" spans="1:14" x14ac:dyDescent="0.3">
      <c r="A1717" s="1">
        <v>2067</v>
      </c>
      <c r="B1717" s="7" t="s">
        <v>2575</v>
      </c>
      <c r="C1717" s="12">
        <v>5915</v>
      </c>
      <c r="D1717" s="7" t="s">
        <v>2603</v>
      </c>
      <c r="E1717" s="13" t="s">
        <v>1657</v>
      </c>
      <c r="F1717" t="str">
        <f t="shared" si="130"/>
        <v>Uvalde</v>
      </c>
      <c r="G1717" t="str">
        <f t="shared" si="131"/>
        <v>Uvalde5915Houston</v>
      </c>
      <c r="H1717" t="s">
        <v>32575</v>
      </c>
      <c r="I1717" t="s">
        <v>24002</v>
      </c>
      <c r="J1717" t="str">
        <f t="shared" si="132"/>
        <v>E:\PropInv\MF</v>
      </c>
      <c r="K1717" s="103" t="str">
        <f>HYPERLINK("E:\PropInv\MF\Houston\Uvalde Rd_5915_Forest Creek_Houston_02067","Uvalde Rd_5915_Forest Creek_Houston_02067" )</f>
        <v>Uvalde Rd_5915_Forest Creek_Houston_02067</v>
      </c>
      <c r="L1717" s="104" t="s">
        <v>22253</v>
      </c>
      <c r="M1717" s="103" t="str">
        <f t="shared" si="133"/>
        <v>http://oconnordata.com/mlink/modules/profile/index.cfm?action=profile&amp;prop_id=2067</v>
      </c>
      <c r="N1717" s="1" t="str">
        <f t="shared" si="134"/>
        <v>02067</v>
      </c>
    </row>
    <row r="1718" spans="1:14" x14ac:dyDescent="0.3">
      <c r="A1718" s="1">
        <v>2070</v>
      </c>
      <c r="B1718" s="7" t="s">
        <v>2604</v>
      </c>
      <c r="C1718" s="12">
        <v>2500</v>
      </c>
      <c r="D1718" s="7" t="s">
        <v>2605</v>
      </c>
      <c r="E1718" s="13" t="s">
        <v>2606</v>
      </c>
      <c r="F1718" t="str">
        <f t="shared" si="130"/>
        <v>Wallisville</v>
      </c>
      <c r="G1718" t="str">
        <f t="shared" si="131"/>
        <v>Wallisville2500Highlands</v>
      </c>
      <c r="H1718" t="s">
        <v>32576</v>
      </c>
      <c r="I1718" t="s">
        <v>24003</v>
      </c>
      <c r="J1718" t="str">
        <f t="shared" si="132"/>
        <v>E:\PropInv\MF</v>
      </c>
      <c r="K1718" s="103" t="str">
        <f>HYPERLINK("E:\PropInv\MF\Highlands\Wallisville E_2500_Country Terrace I_Highlands_02070","Wallisville E_2500_Country Terrace I_Highlands_02070" )</f>
        <v>Wallisville E_2500_Country Terrace I_Highlands_02070</v>
      </c>
      <c r="L1718" s="104" t="s">
        <v>22253</v>
      </c>
      <c r="M1718" s="103" t="str">
        <f t="shared" si="133"/>
        <v>http://oconnordata.com/mlink/modules/profile/index.cfm?action=profile&amp;prop_id=2070</v>
      </c>
      <c r="N1718" s="1" t="str">
        <f t="shared" si="134"/>
        <v>02070</v>
      </c>
    </row>
    <row r="1719" spans="1:14" x14ac:dyDescent="0.3">
      <c r="A1719" s="1">
        <v>2071</v>
      </c>
      <c r="B1719" s="7" t="s">
        <v>2607</v>
      </c>
      <c r="C1719" s="12">
        <v>8410</v>
      </c>
      <c r="D1719" s="7" t="s">
        <v>2608</v>
      </c>
      <c r="E1719" s="13" t="s">
        <v>2609</v>
      </c>
      <c r="F1719" t="str">
        <f t="shared" si="130"/>
        <v>Oleander</v>
      </c>
      <c r="G1719" t="str">
        <f t="shared" si="131"/>
        <v>Oleander8410Baytown</v>
      </c>
      <c r="H1719" t="s">
        <v>32577</v>
      </c>
      <c r="I1719" t="s">
        <v>24004</v>
      </c>
      <c r="J1719" t="str">
        <f t="shared" si="132"/>
        <v>E:\PropInv\MF</v>
      </c>
      <c r="K1719" s="103" t="str">
        <f>HYPERLINK("E:\PropInv\MF\Baytown\Oleander Dr_8410_Country Terrace II_Baytown_02071","Oleander Dr_8410_Country Terrace II_Baytown_02071" )</f>
        <v>Oleander Dr_8410_Country Terrace II_Baytown_02071</v>
      </c>
      <c r="L1719" s="104" t="s">
        <v>22253</v>
      </c>
      <c r="M1719" s="103" t="str">
        <f t="shared" si="133"/>
        <v>http://oconnordata.com/mlink/modules/profile/index.cfm?action=profile&amp;prop_id=2071</v>
      </c>
      <c r="N1719" s="1" t="str">
        <f t="shared" si="134"/>
        <v>02071</v>
      </c>
    </row>
    <row r="1720" spans="1:14" x14ac:dyDescent="0.3">
      <c r="A1720" s="1">
        <v>2072</v>
      </c>
      <c r="B1720" s="7" t="s">
        <v>2610</v>
      </c>
      <c r="C1720" s="12">
        <v>3301</v>
      </c>
      <c r="D1720" s="7" t="s">
        <v>2611</v>
      </c>
      <c r="E1720" s="13" t="s">
        <v>2609</v>
      </c>
      <c r="F1720" t="str">
        <f t="shared" si="130"/>
        <v>Royal</v>
      </c>
      <c r="G1720" t="str">
        <f t="shared" si="131"/>
        <v>Royal3301Baytown</v>
      </c>
      <c r="H1720" t="s">
        <v>32578</v>
      </c>
      <c r="I1720" t="s">
        <v>24005</v>
      </c>
      <c r="J1720" t="str">
        <f t="shared" si="132"/>
        <v>E:\PropInv\MF</v>
      </c>
      <c r="K1720" s="103" t="str">
        <f>HYPERLINK("E:\PropInv\MF\Baytown\Royal Ave_3301_Bay City Village_Baytown_02072","Royal Ave_3301_Bay City Village_Baytown_02072" )</f>
        <v>Royal Ave_3301_Bay City Village_Baytown_02072</v>
      </c>
      <c r="L1720" s="104" t="s">
        <v>22253</v>
      </c>
      <c r="M1720" s="103" t="str">
        <f t="shared" si="133"/>
        <v>http://oconnordata.com/mlink/modules/profile/index.cfm?action=profile&amp;prop_id=2072</v>
      </c>
      <c r="N1720" s="1" t="str">
        <f t="shared" si="134"/>
        <v>02072</v>
      </c>
    </row>
    <row r="1721" spans="1:14" x14ac:dyDescent="0.3">
      <c r="A1721" s="1">
        <v>2073</v>
      </c>
      <c r="B1721" s="7" t="s">
        <v>2612</v>
      </c>
      <c r="C1721" s="12">
        <v>800</v>
      </c>
      <c r="D1721" s="7" t="s">
        <v>2613</v>
      </c>
      <c r="E1721" s="13" t="s">
        <v>2609</v>
      </c>
      <c r="F1721" t="str">
        <f t="shared" si="130"/>
        <v>Hunt</v>
      </c>
      <c r="G1721" t="str">
        <f t="shared" si="131"/>
        <v>Hunt800Baytown</v>
      </c>
      <c r="H1721" t="s">
        <v>32579</v>
      </c>
      <c r="I1721" t="s">
        <v>24006</v>
      </c>
      <c r="J1721" t="str">
        <f t="shared" si="132"/>
        <v>E:\PropInv\MF</v>
      </c>
      <c r="K1721" s="103" t="str">
        <f>HYPERLINK("E:\PropInv\MF\Baytown\Hunt Rd_800_Hunt Garden_Baytown_02073","Hunt Rd_800_Hunt Garden_Baytown_02073" )</f>
        <v>Hunt Rd_800_Hunt Garden_Baytown_02073</v>
      </c>
      <c r="L1721" s="104" t="s">
        <v>22253</v>
      </c>
      <c r="M1721" s="103" t="str">
        <f t="shared" si="133"/>
        <v>http://oconnordata.com/mlink/modules/profile/index.cfm?action=profile&amp;prop_id=2073</v>
      </c>
      <c r="N1721" s="1" t="str">
        <f t="shared" si="134"/>
        <v>02073</v>
      </c>
    </row>
    <row r="1722" spans="1:14" x14ac:dyDescent="0.3">
      <c r="A1722" s="1">
        <v>2074</v>
      </c>
      <c r="B1722" s="7" t="s">
        <v>2568</v>
      </c>
      <c r="C1722" s="12">
        <v>14855</v>
      </c>
      <c r="D1722" s="7" t="s">
        <v>2614</v>
      </c>
      <c r="E1722" s="13" t="s">
        <v>1657</v>
      </c>
      <c r="F1722" t="str">
        <f t="shared" si="130"/>
        <v>Memorial</v>
      </c>
      <c r="G1722" t="str">
        <f t="shared" si="131"/>
        <v>Memorial14855Houston</v>
      </c>
      <c r="H1722" t="s">
        <v>32580</v>
      </c>
      <c r="I1722" t="s">
        <v>24007</v>
      </c>
      <c r="J1722" t="str">
        <f t="shared" si="132"/>
        <v>E:\PropInv\MF</v>
      </c>
      <c r="K1722" s="103" t="str">
        <f>HYPERLINK("E:\PropInv\MF\Houston\Memorial Dr_14855_The Park on Memorial_Houston_02074","Memorial Dr_14855_The Park on Memorial_Houston_02074" )</f>
        <v>Memorial Dr_14855_The Park on Memorial_Houston_02074</v>
      </c>
      <c r="L1722" s="104" t="s">
        <v>22253</v>
      </c>
      <c r="M1722" s="103" t="str">
        <f t="shared" si="133"/>
        <v>http://oconnordata.com/mlink/modules/profile/index.cfm?action=profile&amp;prop_id=2074</v>
      </c>
      <c r="N1722" s="1" t="str">
        <f t="shared" si="134"/>
        <v>02074</v>
      </c>
    </row>
    <row r="1723" spans="1:14" x14ac:dyDescent="0.3">
      <c r="A1723" s="1">
        <v>2075</v>
      </c>
      <c r="B1723" s="7" t="s">
        <v>2615</v>
      </c>
      <c r="C1723" s="12">
        <v>15135</v>
      </c>
      <c r="D1723" s="7" t="s">
        <v>2616</v>
      </c>
      <c r="E1723" s="13" t="s">
        <v>1657</v>
      </c>
      <c r="F1723" t="str">
        <f t="shared" si="130"/>
        <v>Memorial</v>
      </c>
      <c r="G1723" t="str">
        <f t="shared" si="131"/>
        <v>Memorial15135Houston</v>
      </c>
      <c r="H1723" t="s">
        <v>32581</v>
      </c>
      <c r="I1723" t="s">
        <v>24008</v>
      </c>
      <c r="J1723" t="str">
        <f t="shared" si="132"/>
        <v>E:\PropInv\MF</v>
      </c>
      <c r="K1723" s="103" t="str">
        <f>HYPERLINK("E:\PropInv\MF\Houston\Memorial_15135_The Memorial_Houston_02075","Memorial_15135_The Memorial_Houston_02075" )</f>
        <v>Memorial_15135_The Memorial_Houston_02075</v>
      </c>
      <c r="L1723" s="104" t="s">
        <v>22253</v>
      </c>
      <c r="M1723" s="103" t="str">
        <f t="shared" si="133"/>
        <v>http://oconnordata.com/mlink/modules/profile/index.cfm?action=profile&amp;prop_id=2075</v>
      </c>
      <c r="N1723" s="1" t="str">
        <f t="shared" si="134"/>
        <v>02075</v>
      </c>
    </row>
    <row r="1724" spans="1:14" x14ac:dyDescent="0.3">
      <c r="A1724" s="1">
        <v>2076</v>
      </c>
      <c r="B1724" s="7" t="s">
        <v>2617</v>
      </c>
      <c r="C1724" s="12">
        <v>1007</v>
      </c>
      <c r="D1724" s="7" t="s">
        <v>2618</v>
      </c>
      <c r="E1724" s="13" t="s">
        <v>2198</v>
      </c>
      <c r="F1724" t="str">
        <f t="shared" si="130"/>
        <v>Mason</v>
      </c>
      <c r="G1724" t="str">
        <f t="shared" si="131"/>
        <v>Mason1007Katy</v>
      </c>
      <c r="H1724" t="s">
        <v>32582</v>
      </c>
      <c r="I1724" t="s">
        <v>24009</v>
      </c>
      <c r="J1724" t="str">
        <f t="shared" si="132"/>
        <v>E:\PropInv\MF</v>
      </c>
      <c r="K1724" s="103" t="str">
        <f>HYPERLINK("E:\PropInv\MF\Katy\Mason S_1007_The Fountains at Katy_Katy_02076","Mason S_1007_The Fountains at Katy_Katy_02076" )</f>
        <v>Mason S_1007_The Fountains at Katy_Katy_02076</v>
      </c>
      <c r="L1724" s="104" t="s">
        <v>22253</v>
      </c>
      <c r="M1724" s="103" t="str">
        <f t="shared" si="133"/>
        <v>http://oconnordata.com/mlink/modules/profile/index.cfm?action=profile&amp;prop_id=2076</v>
      </c>
      <c r="N1724" s="1" t="str">
        <f t="shared" si="134"/>
        <v>02076</v>
      </c>
    </row>
    <row r="1725" spans="1:14" x14ac:dyDescent="0.3">
      <c r="A1725" s="1">
        <v>2077</v>
      </c>
      <c r="B1725" s="7" t="s">
        <v>2619</v>
      </c>
      <c r="C1725" s="12">
        <v>333</v>
      </c>
      <c r="D1725" s="7" t="s">
        <v>2620</v>
      </c>
      <c r="E1725" s="13" t="s">
        <v>2198</v>
      </c>
      <c r="F1725" t="str">
        <f t="shared" si="130"/>
        <v>Dominion</v>
      </c>
      <c r="G1725" t="str">
        <f t="shared" si="131"/>
        <v>Dominion333Katy</v>
      </c>
      <c r="H1725" t="s">
        <v>32583</v>
      </c>
      <c r="I1725" t="s">
        <v>24010</v>
      </c>
      <c r="J1725" t="str">
        <f t="shared" si="132"/>
        <v>E:\PropInv\MF</v>
      </c>
      <c r="K1725" s="103" t="str">
        <f>HYPERLINK("E:\PropInv\MF\Katy\Dominion_333_Nottingham Place_Katy_02077","Dominion_333_Nottingham Place_Katy_02077" )</f>
        <v>Dominion_333_Nottingham Place_Katy_02077</v>
      </c>
      <c r="L1725" s="104" t="s">
        <v>22253</v>
      </c>
      <c r="M1725" s="103" t="str">
        <f t="shared" si="133"/>
        <v>http://oconnordata.com/mlink/modules/profile/index.cfm?action=profile&amp;prop_id=2077</v>
      </c>
      <c r="N1725" s="1" t="str">
        <f t="shared" si="134"/>
        <v>02077</v>
      </c>
    </row>
    <row r="1726" spans="1:14" x14ac:dyDescent="0.3">
      <c r="A1726" s="1">
        <v>2078</v>
      </c>
      <c r="B1726" s="7" t="s">
        <v>2621</v>
      </c>
      <c r="C1726" s="12">
        <v>2002</v>
      </c>
      <c r="D1726" s="7" t="s">
        <v>2622</v>
      </c>
      <c r="E1726" s="13" t="s">
        <v>2198</v>
      </c>
      <c r="F1726" t="str">
        <f t="shared" si="130"/>
        <v>Mason</v>
      </c>
      <c r="G1726" t="str">
        <f t="shared" si="131"/>
        <v>Mason2002Katy</v>
      </c>
      <c r="H1726" t="s">
        <v>32584</v>
      </c>
      <c r="I1726" t="s">
        <v>24011</v>
      </c>
      <c r="J1726" t="str">
        <f t="shared" si="132"/>
        <v>E:\PropInv\MF</v>
      </c>
      <c r="K1726" s="103" t="str">
        <f>HYPERLINK("E:\PropInv\MF\Katy\Mason Rd S_2002_Cornerstone Ranch_Katy_02078","Mason Rd S_2002_Cornerstone Ranch_Katy_02078" )</f>
        <v>Mason Rd S_2002_Cornerstone Ranch_Katy_02078</v>
      </c>
      <c r="L1726" s="104" t="s">
        <v>22253</v>
      </c>
      <c r="M1726" s="103" t="str">
        <f t="shared" si="133"/>
        <v>http://oconnordata.com/mlink/modules/profile/index.cfm?action=profile&amp;prop_id=2078</v>
      </c>
      <c r="N1726" s="1" t="str">
        <f t="shared" si="134"/>
        <v>02078</v>
      </c>
    </row>
    <row r="1727" spans="1:14" x14ac:dyDescent="0.3">
      <c r="A1727" s="1">
        <v>2079</v>
      </c>
      <c r="B1727" s="7" t="s">
        <v>2623</v>
      </c>
      <c r="C1727" s="12">
        <v>21540</v>
      </c>
      <c r="D1727" s="7" t="s">
        <v>2624</v>
      </c>
      <c r="E1727" s="13" t="s">
        <v>2198</v>
      </c>
      <c r="F1727" t="str">
        <f t="shared" si="130"/>
        <v>Provincial</v>
      </c>
      <c r="G1727" t="str">
        <f t="shared" si="131"/>
        <v>Provincial21540Katy</v>
      </c>
      <c r="H1727" t="s">
        <v>32585</v>
      </c>
      <c r="I1727" t="s">
        <v>24012</v>
      </c>
      <c r="J1727" t="str">
        <f t="shared" si="132"/>
        <v>E:\PropInv\MF</v>
      </c>
      <c r="K1727" s="103" t="str">
        <f>HYPERLINK("E:\PropInv\MF\Katy\Provincial Blvd_21540_Kingston Villas_Katy_02079","Provincial Blvd_21540_Kingston Villas_Katy_02079" )</f>
        <v>Provincial Blvd_21540_Kingston Villas_Katy_02079</v>
      </c>
      <c r="L1727" s="104" t="s">
        <v>22253</v>
      </c>
      <c r="M1727" s="103" t="str">
        <f t="shared" si="133"/>
        <v>http://oconnordata.com/mlink/modules/profile/index.cfm?action=profile&amp;prop_id=2079</v>
      </c>
      <c r="N1727" s="1" t="str">
        <f t="shared" si="134"/>
        <v>02079</v>
      </c>
    </row>
    <row r="1728" spans="1:14" x14ac:dyDescent="0.3">
      <c r="A1728" s="1">
        <v>2080</v>
      </c>
      <c r="B1728" s="7" t="s">
        <v>2625</v>
      </c>
      <c r="C1728" s="12">
        <v>2013</v>
      </c>
      <c r="D1728" s="7" t="s">
        <v>2626</v>
      </c>
      <c r="E1728" s="13" t="s">
        <v>2198</v>
      </c>
      <c r="F1728" t="str">
        <f t="shared" si="130"/>
        <v>Fry</v>
      </c>
      <c r="G1728" t="str">
        <f t="shared" si="131"/>
        <v>Fry2013Katy</v>
      </c>
      <c r="H1728" t="s">
        <v>32586</v>
      </c>
      <c r="I1728" t="s">
        <v>24013</v>
      </c>
      <c r="J1728" t="str">
        <f t="shared" si="132"/>
        <v>E:\PropInv\MF</v>
      </c>
      <c r="K1728" s="103" t="str">
        <f>HYPERLINK("E:\PropInv\MF\Katy\Fry Rd_2013_Farmington_Katy_02080","Fry Rd_2013_Farmington_Katy_02080" )</f>
        <v>Fry Rd_2013_Farmington_Katy_02080</v>
      </c>
      <c r="L1728" s="104" t="s">
        <v>22253</v>
      </c>
      <c r="M1728" s="103" t="str">
        <f t="shared" si="133"/>
        <v>http://oconnordata.com/mlink/modules/profile/index.cfm?action=profile&amp;prop_id=2080</v>
      </c>
      <c r="N1728" s="1" t="str">
        <f t="shared" si="134"/>
        <v>02080</v>
      </c>
    </row>
    <row r="1729" spans="1:14" x14ac:dyDescent="0.3">
      <c r="A1729" s="1">
        <v>2081</v>
      </c>
      <c r="B1729" s="7" t="s">
        <v>2627</v>
      </c>
      <c r="C1729" s="12">
        <v>1111</v>
      </c>
      <c r="D1729" s="7" t="s">
        <v>2628</v>
      </c>
      <c r="E1729" s="13" t="s">
        <v>2198</v>
      </c>
      <c r="F1729" t="str">
        <f t="shared" si="130"/>
        <v>Houghton</v>
      </c>
      <c r="G1729" t="str">
        <f t="shared" si="131"/>
        <v>Houghton1111Katy</v>
      </c>
      <c r="H1729" t="s">
        <v>32587</v>
      </c>
      <c r="I1729" t="s">
        <v>24014</v>
      </c>
      <c r="J1729" t="str">
        <f t="shared" si="132"/>
        <v>E:\PropInv\MF</v>
      </c>
      <c r="K1729" s="103" t="str">
        <f>HYPERLINK("E:\PropInv\MF\Katy\Houghton_1111_The Place at Green Trails_Katy_02081","Houghton_1111_The Place at Green Trails_Katy_02081" )</f>
        <v>Houghton_1111_The Place at Green Trails_Katy_02081</v>
      </c>
      <c r="L1729" s="104" t="s">
        <v>22253</v>
      </c>
      <c r="M1729" s="103" t="str">
        <f t="shared" si="133"/>
        <v>http://oconnordata.com/mlink/modules/profile/index.cfm?action=profile&amp;prop_id=2081</v>
      </c>
      <c r="N1729" s="1" t="str">
        <f t="shared" si="134"/>
        <v>02081</v>
      </c>
    </row>
    <row r="1730" spans="1:14" x14ac:dyDescent="0.3">
      <c r="A1730" s="1">
        <v>2082</v>
      </c>
      <c r="B1730" s="7" t="s">
        <v>2629</v>
      </c>
      <c r="C1730" s="12">
        <v>14250</v>
      </c>
      <c r="D1730" s="7" t="s">
        <v>2630</v>
      </c>
      <c r="E1730" s="13" t="s">
        <v>1657</v>
      </c>
      <c r="F1730" t="str">
        <f t="shared" ref="F1730:F1793" si="135">IFERROR(LEFT(B1730,FIND(" ",B1730)-1),B1730)</f>
        <v>Kimberley</v>
      </c>
      <c r="G1730" t="str">
        <f t="shared" ref="G1730:G1793" si="136">F1730&amp;C1730&amp;E1730</f>
        <v>Kimberley14250Houston</v>
      </c>
      <c r="H1730" t="s">
        <v>32588</v>
      </c>
      <c r="I1730" t="s">
        <v>24015</v>
      </c>
      <c r="J1730" t="str">
        <f t="shared" ref="J1730:J1793" si="137">IF(L1730="TX",Folder_Path,Folder_Path&amp;"\State_"&amp;L1730)</f>
        <v>E:\PropInv\MF</v>
      </c>
      <c r="K1730" s="103" t="str">
        <f>HYPERLINK("E:\PropInv\MF\Houston\Kimberley Ln_14250_The Nottingham Village I_Houston_02082","Kimberley Ln_14250_The Nottingham Village I_Houston_02082" )</f>
        <v>Kimberley Ln_14250_The Nottingham Village I_Houston_02082</v>
      </c>
      <c r="L1730" s="104" t="s">
        <v>22253</v>
      </c>
      <c r="M1730" s="103" t="str">
        <f t="shared" ref="M1730:M1793" si="138">HYPERLINK("http://oconnordata.com/mlink/modules/profile/index.cfm?action=profile&amp;prop_id="&amp;A1730)</f>
        <v>http://oconnordata.com/mlink/modules/profile/index.cfm?action=profile&amp;prop_id=2082</v>
      </c>
      <c r="N1730" s="1" t="str">
        <f t="shared" ref="N1730:N1793" si="139">IF(LEN(A1730)=1,"0000"&amp;A1730,IF(LEN(A1730)=2,"000"&amp;A1730,IF(LEN(A1730)=3,"00"&amp;A1730,IF(LEN(A1730)=4,"0"&amp;A1730,IF(LEN(A1730)=5,IF(LEFT(A1730,1)="3",A1730+30000,A1730))))))</f>
        <v>02082</v>
      </c>
    </row>
    <row r="1731" spans="1:14" x14ac:dyDescent="0.3">
      <c r="A1731" s="1">
        <v>2083</v>
      </c>
      <c r="B1731" s="7" t="s">
        <v>2631</v>
      </c>
      <c r="C1731" s="12">
        <v>851</v>
      </c>
      <c r="D1731" s="7" t="s">
        <v>2632</v>
      </c>
      <c r="E1731" s="13" t="s">
        <v>1657</v>
      </c>
      <c r="F1731" t="str">
        <f t="shared" si="135"/>
        <v>Threadneedle</v>
      </c>
      <c r="G1731" t="str">
        <f t="shared" si="136"/>
        <v>Threadneedle851Houston</v>
      </c>
      <c r="H1731" t="s">
        <v>32589</v>
      </c>
      <c r="I1731" t="s">
        <v>24016</v>
      </c>
      <c r="J1731" t="str">
        <f t="shared" si="137"/>
        <v>E:\PropInv\MF</v>
      </c>
      <c r="K1731" s="103" t="str">
        <f>HYPERLINK("E:\PropInv\MF\Houston\Threadneedle_851_Live Oak_Houston_02083","Threadneedle_851_Live Oak_Houston_02083" )</f>
        <v>Threadneedle_851_Live Oak_Houston_02083</v>
      </c>
      <c r="L1731" s="104" t="s">
        <v>22253</v>
      </c>
      <c r="M1731" s="103" t="str">
        <f t="shared" si="138"/>
        <v>http://oconnordata.com/mlink/modules/profile/index.cfm?action=profile&amp;prop_id=2083</v>
      </c>
      <c r="N1731" s="1" t="str">
        <f t="shared" si="139"/>
        <v>02083</v>
      </c>
    </row>
    <row r="1732" spans="1:14" x14ac:dyDescent="0.3">
      <c r="A1732" s="1">
        <v>2084</v>
      </c>
      <c r="B1732" s="7" t="s">
        <v>2568</v>
      </c>
      <c r="C1732" s="12">
        <v>15885</v>
      </c>
      <c r="D1732" s="7" t="s">
        <v>2633</v>
      </c>
      <c r="E1732" s="13" t="s">
        <v>1657</v>
      </c>
      <c r="F1732" t="str">
        <f t="shared" si="135"/>
        <v>Memorial</v>
      </c>
      <c r="G1732" t="str">
        <f t="shared" si="136"/>
        <v>Memorial15885Houston</v>
      </c>
      <c r="H1732" t="s">
        <v>32590</v>
      </c>
      <c r="I1732" t="s">
        <v>24017</v>
      </c>
      <c r="J1732" t="str">
        <f t="shared" si="137"/>
        <v>E:\PropInv\MF</v>
      </c>
      <c r="K1732" s="103" t="str">
        <f>HYPERLINK("E:\PropInv\MF\Houston\Memorial Dr_15885_Marquis on Memorial_Houston_02084","Memorial Dr_15885_Marquis on Memorial_Houston_02084" )</f>
        <v>Memorial Dr_15885_Marquis on Memorial_Houston_02084</v>
      </c>
      <c r="L1732" s="104" t="s">
        <v>22253</v>
      </c>
      <c r="M1732" s="103" t="str">
        <f t="shared" si="138"/>
        <v>http://oconnordata.com/mlink/modules/profile/index.cfm?action=profile&amp;prop_id=2084</v>
      </c>
      <c r="N1732" s="1" t="str">
        <f t="shared" si="139"/>
        <v>02084</v>
      </c>
    </row>
    <row r="1733" spans="1:14" x14ac:dyDescent="0.3">
      <c r="A1733" s="1">
        <v>2086</v>
      </c>
      <c r="B1733" s="7" t="s">
        <v>2634</v>
      </c>
      <c r="C1733" s="12">
        <v>1414</v>
      </c>
      <c r="D1733" s="7" t="s">
        <v>2635</v>
      </c>
      <c r="E1733" s="13" t="s">
        <v>1657</v>
      </c>
      <c r="F1733" t="str">
        <f t="shared" si="135"/>
        <v>Dairy</v>
      </c>
      <c r="G1733" t="str">
        <f t="shared" si="136"/>
        <v>Dairy1414Houston</v>
      </c>
      <c r="H1733" t="s">
        <v>32591</v>
      </c>
      <c r="I1733" t="s">
        <v>24018</v>
      </c>
      <c r="J1733" t="str">
        <f t="shared" si="137"/>
        <v>E:\PropInv\MF</v>
      </c>
      <c r="K1733" s="103" t="str">
        <f>HYPERLINK("E:\PropInv\MF\Houston\Dairy Ashford S_1414_Briar Meadows_Houston_02086","Dairy Ashford S_1414_Briar Meadows_Houston_02086" )</f>
        <v>Dairy Ashford S_1414_Briar Meadows_Houston_02086</v>
      </c>
      <c r="L1733" s="104" t="s">
        <v>22253</v>
      </c>
      <c r="M1733" s="103" t="str">
        <f t="shared" si="138"/>
        <v>http://oconnordata.com/mlink/modules/profile/index.cfm?action=profile&amp;prop_id=2086</v>
      </c>
      <c r="N1733" s="1" t="str">
        <f t="shared" si="139"/>
        <v>02086</v>
      </c>
    </row>
    <row r="1734" spans="1:14" x14ac:dyDescent="0.3">
      <c r="A1734" s="1">
        <v>2087</v>
      </c>
      <c r="B1734" s="7" t="s">
        <v>2636</v>
      </c>
      <c r="C1734" s="12">
        <v>2255</v>
      </c>
      <c r="D1734" s="7" t="s">
        <v>2637</v>
      </c>
      <c r="E1734" s="13" t="s">
        <v>1657</v>
      </c>
      <c r="F1734" t="str">
        <f t="shared" si="135"/>
        <v>Eldridge</v>
      </c>
      <c r="G1734" t="str">
        <f t="shared" si="136"/>
        <v>Eldridge2255Houston</v>
      </c>
      <c r="H1734" t="s">
        <v>32592</v>
      </c>
      <c r="I1734" t="s">
        <v>24019</v>
      </c>
      <c r="J1734" t="str">
        <f t="shared" si="137"/>
        <v>E:\PropInv\MF</v>
      </c>
      <c r="K1734" s="103" t="str">
        <f>HYPERLINK("E:\PropInv\MF\Houston\Eldridge Pkwy_2255_The Biarritz_Houston_02087","Eldridge Pkwy_2255_The Biarritz_Houston_02087" )</f>
        <v>Eldridge Pkwy_2255_The Biarritz_Houston_02087</v>
      </c>
      <c r="L1734" s="104" t="s">
        <v>22253</v>
      </c>
      <c r="M1734" s="103" t="str">
        <f t="shared" si="138"/>
        <v>http://oconnordata.com/mlink/modules/profile/index.cfm?action=profile&amp;prop_id=2087</v>
      </c>
      <c r="N1734" s="1" t="str">
        <f t="shared" si="139"/>
        <v>02087</v>
      </c>
    </row>
    <row r="1735" spans="1:14" x14ac:dyDescent="0.3">
      <c r="A1735" s="1">
        <v>2089</v>
      </c>
      <c r="B1735" s="7" t="s">
        <v>2638</v>
      </c>
      <c r="C1735" s="12">
        <v>14504</v>
      </c>
      <c r="D1735" s="7" t="s">
        <v>2639</v>
      </c>
      <c r="E1735" s="13" t="s">
        <v>1657</v>
      </c>
      <c r="F1735" t="str">
        <f t="shared" si="135"/>
        <v>Briar</v>
      </c>
      <c r="G1735" t="str">
        <f t="shared" si="136"/>
        <v>Briar14504Houston</v>
      </c>
      <c r="H1735" t="s">
        <v>32593</v>
      </c>
      <c r="I1735" t="s">
        <v>24020</v>
      </c>
      <c r="J1735" t="str">
        <f t="shared" si="137"/>
        <v>E:\PropInv\MF</v>
      </c>
      <c r="K1735" s="103" t="str">
        <f>HYPERLINK("E:\PropInv\MF\Houston\Briar Forest Dr_14504_The Villages of Briar Forest_Houston_02089","Briar Forest Dr_14504_The Villages of Briar Forest_Houston_02089" )</f>
        <v>Briar Forest Dr_14504_The Villages of Briar Forest_Houston_02089</v>
      </c>
      <c r="L1735" s="104" t="s">
        <v>22253</v>
      </c>
      <c r="M1735" s="103" t="str">
        <f t="shared" si="138"/>
        <v>http://oconnordata.com/mlink/modules/profile/index.cfm?action=profile&amp;prop_id=2089</v>
      </c>
      <c r="N1735" s="1" t="str">
        <f t="shared" si="139"/>
        <v>02089</v>
      </c>
    </row>
    <row r="1736" spans="1:14" x14ac:dyDescent="0.3">
      <c r="A1736" s="1">
        <v>2090</v>
      </c>
      <c r="B1736" s="7" t="s">
        <v>2636</v>
      </c>
      <c r="C1736" s="12">
        <v>1415</v>
      </c>
      <c r="D1736" s="7" t="s">
        <v>2640</v>
      </c>
      <c r="E1736" s="13" t="s">
        <v>1657</v>
      </c>
      <c r="F1736" t="str">
        <f t="shared" si="135"/>
        <v>Eldridge</v>
      </c>
      <c r="G1736" t="str">
        <f t="shared" si="136"/>
        <v>Eldridge1415Houston</v>
      </c>
      <c r="H1736" t="s">
        <v>32594</v>
      </c>
      <c r="I1736" t="s">
        <v>24021</v>
      </c>
      <c r="J1736" t="str">
        <f t="shared" si="137"/>
        <v>E:\PropInv\MF</v>
      </c>
      <c r="K1736" s="103" t="str">
        <f>HYPERLINK("E:\PropInv\MF\Houston\Eldridge Pkwy_1415_AMLI on Eldridge Parkway I_Houston_02090","Eldridge Pkwy_1415_AMLI on Eldridge Parkway I_Houston_02090" )</f>
        <v>Eldridge Pkwy_1415_AMLI on Eldridge Parkway I_Houston_02090</v>
      </c>
      <c r="L1736" s="104" t="s">
        <v>22253</v>
      </c>
      <c r="M1736" s="103" t="str">
        <f t="shared" si="138"/>
        <v>http://oconnordata.com/mlink/modules/profile/index.cfm?action=profile&amp;prop_id=2090</v>
      </c>
      <c r="N1736" s="1" t="str">
        <f t="shared" si="139"/>
        <v>02090</v>
      </c>
    </row>
    <row r="1737" spans="1:14" x14ac:dyDescent="0.3">
      <c r="A1737" s="1">
        <v>2091</v>
      </c>
      <c r="B1737" s="7" t="s">
        <v>2636</v>
      </c>
      <c r="C1737" s="12">
        <v>1950</v>
      </c>
      <c r="D1737" s="7" t="s">
        <v>2641</v>
      </c>
      <c r="E1737" s="13" t="s">
        <v>1657</v>
      </c>
      <c r="F1737" t="str">
        <f t="shared" si="135"/>
        <v>Eldridge</v>
      </c>
      <c r="G1737" t="str">
        <f t="shared" si="136"/>
        <v>Eldridge1950Houston</v>
      </c>
      <c r="H1737" t="s">
        <v>32595</v>
      </c>
      <c r="I1737" t="s">
        <v>24022</v>
      </c>
      <c r="J1737" t="str">
        <f t="shared" si="137"/>
        <v>E:\PropInv\MF</v>
      </c>
      <c r="K1737" s="103" t="str">
        <f>HYPERLINK("E:\PropInv\MF\Houston\Eldridge Pkwy_1950_Chandler Park_Houston_02091","Eldridge Pkwy_1950_Chandler Park_Houston_02091" )</f>
        <v>Eldridge Pkwy_1950_Chandler Park_Houston_02091</v>
      </c>
      <c r="L1737" s="104" t="s">
        <v>22253</v>
      </c>
      <c r="M1737" s="103" t="str">
        <f t="shared" si="138"/>
        <v>http://oconnordata.com/mlink/modules/profile/index.cfm?action=profile&amp;prop_id=2091</v>
      </c>
      <c r="N1737" s="1" t="str">
        <f t="shared" si="139"/>
        <v>02091</v>
      </c>
    </row>
    <row r="1738" spans="1:14" x14ac:dyDescent="0.3">
      <c r="A1738" s="1">
        <v>2092</v>
      </c>
      <c r="B1738" s="7" t="s">
        <v>2636</v>
      </c>
      <c r="C1738" s="12">
        <v>1415</v>
      </c>
      <c r="D1738" s="7" t="s">
        <v>2642</v>
      </c>
      <c r="E1738" s="13" t="s">
        <v>1657</v>
      </c>
      <c r="F1738" t="str">
        <f t="shared" si="135"/>
        <v>Eldridge</v>
      </c>
      <c r="G1738" t="str">
        <f t="shared" si="136"/>
        <v>Eldridge1415Houston</v>
      </c>
      <c r="H1738" t="s">
        <v>32596</v>
      </c>
      <c r="I1738" t="s">
        <v>24023</v>
      </c>
      <c r="J1738" t="str">
        <f t="shared" si="137"/>
        <v>E:\PropInv\MF</v>
      </c>
      <c r="K1738" s="103" t="str">
        <f>HYPERLINK("E:\PropInv\MF\Houston\Eldridge Pkwy_1415_AMLI on Eldridge Parkway II_Houston_02092","Eldridge Pkwy_1415_AMLI on Eldridge Parkway II_Houston_02092" )</f>
        <v>Eldridge Pkwy_1415_AMLI on Eldridge Parkway II_Houston_02092</v>
      </c>
      <c r="L1738" s="104" t="s">
        <v>22253</v>
      </c>
      <c r="M1738" s="103" t="str">
        <f t="shared" si="138"/>
        <v>http://oconnordata.com/mlink/modules/profile/index.cfm?action=profile&amp;prop_id=2092</v>
      </c>
      <c r="N1738" s="1" t="str">
        <f t="shared" si="139"/>
        <v>02092</v>
      </c>
    </row>
    <row r="1739" spans="1:14" x14ac:dyDescent="0.3">
      <c r="A1739" s="1">
        <v>2093</v>
      </c>
      <c r="B1739" s="7" t="s">
        <v>2643</v>
      </c>
      <c r="C1739" s="12">
        <v>2100</v>
      </c>
      <c r="D1739" s="7" t="s">
        <v>2644</v>
      </c>
      <c r="E1739" s="13" t="s">
        <v>2609</v>
      </c>
      <c r="F1739" t="str">
        <f t="shared" si="135"/>
        <v>Baker</v>
      </c>
      <c r="G1739" t="str">
        <f t="shared" si="136"/>
        <v>Baker2100Baytown</v>
      </c>
      <c r="H1739" t="s">
        <v>32597</v>
      </c>
      <c r="I1739" t="s">
        <v>24024</v>
      </c>
      <c r="J1739" t="str">
        <f t="shared" si="137"/>
        <v>E:\PropInv\MF</v>
      </c>
      <c r="K1739" s="103" t="str">
        <f>HYPERLINK("E:\PropInv\MF\Baytown\Baker Rd_2100_Camden Baytown_Baytown_02093","Baker Rd_2100_Camden Baytown_Baytown_02093" )</f>
        <v>Baker Rd_2100_Camden Baytown_Baytown_02093</v>
      </c>
      <c r="L1739" s="104" t="s">
        <v>22253</v>
      </c>
      <c r="M1739" s="103" t="str">
        <f t="shared" si="138"/>
        <v>http://oconnordata.com/mlink/modules/profile/index.cfm?action=profile&amp;prop_id=2093</v>
      </c>
      <c r="N1739" s="1" t="str">
        <f t="shared" si="139"/>
        <v>02093</v>
      </c>
    </row>
    <row r="1740" spans="1:14" x14ac:dyDescent="0.3">
      <c r="A1740" s="1">
        <v>2094</v>
      </c>
      <c r="B1740" s="21" t="s">
        <v>2093</v>
      </c>
      <c r="C1740" s="12">
        <v>15125</v>
      </c>
      <c r="D1740" s="7" t="s">
        <v>2645</v>
      </c>
      <c r="E1740" s="13" t="s">
        <v>1657</v>
      </c>
      <c r="F1740" t="str">
        <f t="shared" si="135"/>
        <v>W</v>
      </c>
      <c r="G1740" t="str">
        <f t="shared" si="136"/>
        <v>W15125Houston</v>
      </c>
      <c r="H1740" t="s">
        <v>32598</v>
      </c>
      <c r="I1740" t="s">
        <v>24025</v>
      </c>
      <c r="J1740" t="str">
        <f t="shared" si="137"/>
        <v>E:\PropInv\MF</v>
      </c>
      <c r="K1740" s="103" t="str">
        <f>HYPERLINK("E:\PropInv\MF\Houston\W Rd_15125_The Lodge at Copperfield_Houston_02094","W Rd_15125_The Lodge at Copperfield_Houston_02094" )</f>
        <v>W Rd_15125_The Lodge at Copperfield_Houston_02094</v>
      </c>
      <c r="L1740" s="104" t="s">
        <v>22253</v>
      </c>
      <c r="M1740" s="103" t="str">
        <f t="shared" si="138"/>
        <v>http://oconnordata.com/mlink/modules/profile/index.cfm?action=profile&amp;prop_id=2094</v>
      </c>
      <c r="N1740" s="1" t="str">
        <f t="shared" si="139"/>
        <v>02094</v>
      </c>
    </row>
    <row r="1741" spans="1:14" x14ac:dyDescent="0.3">
      <c r="A1741" s="1">
        <v>2095</v>
      </c>
      <c r="B1741" s="7" t="s">
        <v>2646</v>
      </c>
      <c r="C1741" s="12">
        <v>700</v>
      </c>
      <c r="D1741" s="7" t="s">
        <v>2647</v>
      </c>
      <c r="E1741" s="13" t="s">
        <v>1657</v>
      </c>
      <c r="F1741" t="str">
        <f t="shared" si="135"/>
        <v>Memorial</v>
      </c>
      <c r="G1741" t="str">
        <f t="shared" si="136"/>
        <v>Memorial700Houston</v>
      </c>
      <c r="H1741" t="s">
        <v>32599</v>
      </c>
      <c r="I1741" t="s">
        <v>24026</v>
      </c>
      <c r="J1741" t="str">
        <f t="shared" si="137"/>
        <v>E:\PropInv\MF</v>
      </c>
      <c r="K1741" s="103" t="str">
        <f>HYPERLINK("E:\PropInv\MF\Houston\Memorial Mews_700_Meadows on Memorial_Houston_02095","Memorial Mews_700_Meadows on Memorial_Houston_02095" )</f>
        <v>Memorial Mews_700_Meadows on Memorial_Houston_02095</v>
      </c>
      <c r="L1741" s="104" t="s">
        <v>22253</v>
      </c>
      <c r="M1741" s="103" t="str">
        <f t="shared" si="138"/>
        <v>http://oconnordata.com/mlink/modules/profile/index.cfm?action=profile&amp;prop_id=2095</v>
      </c>
      <c r="N1741" s="1" t="str">
        <f t="shared" si="139"/>
        <v>02095</v>
      </c>
    </row>
    <row r="1742" spans="1:14" x14ac:dyDescent="0.3">
      <c r="A1742" s="1">
        <v>2096</v>
      </c>
      <c r="B1742" s="7" t="s">
        <v>2648</v>
      </c>
      <c r="C1742" s="12">
        <v>1815</v>
      </c>
      <c r="D1742" s="7" t="s">
        <v>2649</v>
      </c>
      <c r="E1742" s="13" t="s">
        <v>1657</v>
      </c>
      <c r="F1742" t="str">
        <f t="shared" si="135"/>
        <v>Enclave</v>
      </c>
      <c r="G1742" t="str">
        <f t="shared" si="136"/>
        <v>Enclave1815Houston</v>
      </c>
      <c r="H1742" t="s">
        <v>32600</v>
      </c>
      <c r="I1742" t="s">
        <v>24027</v>
      </c>
      <c r="J1742" t="str">
        <f t="shared" si="137"/>
        <v>E:\PropInv\MF</v>
      </c>
      <c r="K1742" s="103" t="str">
        <f>HYPERLINK("E:\PropInv\MF\Houston\Enclave Pkwy_1815_Tarrytowne Estates_Houston_02096","Enclave Pkwy_1815_Tarrytowne Estates_Houston_02096" )</f>
        <v>Enclave Pkwy_1815_Tarrytowne Estates_Houston_02096</v>
      </c>
      <c r="L1742" s="104" t="s">
        <v>22253</v>
      </c>
      <c r="M1742" s="103" t="str">
        <f t="shared" si="138"/>
        <v>http://oconnordata.com/mlink/modules/profile/index.cfm?action=profile&amp;prop_id=2096</v>
      </c>
      <c r="N1742" s="1" t="str">
        <f t="shared" si="139"/>
        <v>02096</v>
      </c>
    </row>
    <row r="1743" spans="1:14" x14ac:dyDescent="0.3">
      <c r="A1743" s="1">
        <v>2098</v>
      </c>
      <c r="B1743" s="7" t="s">
        <v>2650</v>
      </c>
      <c r="C1743" s="12">
        <v>14814</v>
      </c>
      <c r="D1743" s="7" t="s">
        <v>2651</v>
      </c>
      <c r="E1743" s="13" t="s">
        <v>1657</v>
      </c>
      <c r="F1743" t="str">
        <f t="shared" si="135"/>
        <v>Perthshire</v>
      </c>
      <c r="G1743" t="str">
        <f t="shared" si="136"/>
        <v>Perthshire14814Houston</v>
      </c>
      <c r="H1743" t="s">
        <v>32601</v>
      </c>
      <c r="I1743" t="s">
        <v>24028</v>
      </c>
      <c r="J1743" t="str">
        <f t="shared" si="137"/>
        <v>E:\PropInv\MF</v>
      </c>
      <c r="K1743" s="103" t="str">
        <f>HYPERLINK("E:\PropInv\MF\Houston\Perthshire_14814_Sheffield Square_Houston_02098","Perthshire_14814_Sheffield Square_Houston_02098" )</f>
        <v>Perthshire_14814_Sheffield Square_Houston_02098</v>
      </c>
      <c r="L1743" s="104" t="s">
        <v>22253</v>
      </c>
      <c r="M1743" s="103" t="str">
        <f t="shared" si="138"/>
        <v>http://oconnordata.com/mlink/modules/profile/index.cfm?action=profile&amp;prop_id=2098</v>
      </c>
      <c r="N1743" s="1" t="str">
        <f t="shared" si="139"/>
        <v>02098</v>
      </c>
    </row>
    <row r="1744" spans="1:14" x14ac:dyDescent="0.3">
      <c r="A1744" s="1">
        <v>2099</v>
      </c>
      <c r="B1744" s="7" t="s">
        <v>2652</v>
      </c>
      <c r="C1744" s="12">
        <v>1600</v>
      </c>
      <c r="D1744" s="7" t="s">
        <v>2653</v>
      </c>
      <c r="E1744" s="13" t="s">
        <v>1657</v>
      </c>
      <c r="F1744" t="str">
        <f t="shared" si="135"/>
        <v>Eldridge</v>
      </c>
      <c r="G1744" t="str">
        <f t="shared" si="136"/>
        <v>Eldridge1600Houston</v>
      </c>
      <c r="H1744" t="s">
        <v>32602</v>
      </c>
      <c r="I1744" t="s">
        <v>24029</v>
      </c>
      <c r="J1744" t="str">
        <f t="shared" si="137"/>
        <v>E:\PropInv\MF</v>
      </c>
      <c r="K1744" s="103" t="str">
        <f>HYPERLINK("E:\PropInv\MF\Houston\Eldridge_1600_San Montego_Houston_02099","Eldridge_1600_San Montego_Houston_02099" )</f>
        <v>Eldridge_1600_San Montego_Houston_02099</v>
      </c>
      <c r="L1744" s="104" t="s">
        <v>22253</v>
      </c>
      <c r="M1744" s="103" t="str">
        <f t="shared" si="138"/>
        <v>http://oconnordata.com/mlink/modules/profile/index.cfm?action=profile&amp;prop_id=2099</v>
      </c>
      <c r="N1744" s="1" t="str">
        <f t="shared" si="139"/>
        <v>02099</v>
      </c>
    </row>
    <row r="1745" spans="1:14" x14ac:dyDescent="0.3">
      <c r="A1745" s="1">
        <v>2100</v>
      </c>
      <c r="B1745" s="7" t="s">
        <v>2636</v>
      </c>
      <c r="C1745" s="12">
        <v>1333</v>
      </c>
      <c r="D1745" s="7" t="s">
        <v>2654</v>
      </c>
      <c r="E1745" s="13" t="s">
        <v>1657</v>
      </c>
      <c r="F1745" t="str">
        <f t="shared" si="135"/>
        <v>Eldridge</v>
      </c>
      <c r="G1745" t="str">
        <f t="shared" si="136"/>
        <v>Eldridge1333Houston</v>
      </c>
      <c r="H1745" t="s">
        <v>32603</v>
      </c>
      <c r="I1745" t="s">
        <v>24030</v>
      </c>
      <c r="J1745" t="str">
        <f t="shared" si="137"/>
        <v>E:\PropInv\MF</v>
      </c>
      <c r="K1745" s="103" t="str">
        <f>HYPERLINK("E:\PropInv\MF\Houston\Eldridge Pkwy_1333_Village on the Parkway_Houston_02100","Eldridge Pkwy_1333_Village on the Parkway_Houston_02100" )</f>
        <v>Eldridge Pkwy_1333_Village on the Parkway_Houston_02100</v>
      </c>
      <c r="L1745" s="104" t="s">
        <v>22253</v>
      </c>
      <c r="M1745" s="103" t="str">
        <f t="shared" si="138"/>
        <v>http://oconnordata.com/mlink/modules/profile/index.cfm?action=profile&amp;prop_id=2100</v>
      </c>
      <c r="N1745" s="1" t="str">
        <f t="shared" si="139"/>
        <v>02100</v>
      </c>
    </row>
    <row r="1746" spans="1:14" x14ac:dyDescent="0.3">
      <c r="A1746" s="1">
        <v>2101</v>
      </c>
      <c r="B1746" s="7" t="s">
        <v>2655</v>
      </c>
      <c r="C1746" s="12">
        <v>600</v>
      </c>
      <c r="D1746" s="7" t="s">
        <v>2615</v>
      </c>
      <c r="E1746" s="13" t="s">
        <v>1657</v>
      </c>
      <c r="F1746" t="str">
        <f t="shared" si="135"/>
        <v>Nottingham</v>
      </c>
      <c r="G1746" t="str">
        <f t="shared" si="136"/>
        <v>Nottingham600Houston</v>
      </c>
      <c r="H1746" t="s">
        <v>32604</v>
      </c>
      <c r="I1746" t="s">
        <v>24031</v>
      </c>
      <c r="J1746" t="str">
        <f t="shared" si="137"/>
        <v>E:\PropInv\MF</v>
      </c>
      <c r="K1746" s="103" t="str">
        <f>HYPERLINK("E:\PropInv\MF\Houston\Nottingham Oaks_600_Memorial_Houston_02101","Nottingham Oaks_600_Memorial_Houston_02101" )</f>
        <v>Nottingham Oaks_600_Memorial_Houston_02101</v>
      </c>
      <c r="L1746" s="104" t="s">
        <v>22253</v>
      </c>
      <c r="M1746" s="103" t="str">
        <f t="shared" si="138"/>
        <v>http://oconnordata.com/mlink/modules/profile/index.cfm?action=profile&amp;prop_id=2101</v>
      </c>
      <c r="N1746" s="1" t="str">
        <f t="shared" si="139"/>
        <v>02101</v>
      </c>
    </row>
    <row r="1747" spans="1:14" x14ac:dyDescent="0.3">
      <c r="A1747" s="97">
        <v>2102</v>
      </c>
      <c r="B1747" s="7" t="s">
        <v>2656</v>
      </c>
      <c r="C1747" s="12">
        <v>611</v>
      </c>
      <c r="D1747" s="7" t="s">
        <v>2657</v>
      </c>
      <c r="E1747" s="13" t="s">
        <v>1657</v>
      </c>
      <c r="F1747" t="str">
        <f t="shared" si="135"/>
        <v>Dairy</v>
      </c>
      <c r="G1747" t="str">
        <f t="shared" si="136"/>
        <v>Dairy611Houston</v>
      </c>
      <c r="H1747" t="s">
        <v>32605</v>
      </c>
      <c r="I1747" t="s">
        <v>24032</v>
      </c>
      <c r="J1747" t="str">
        <f t="shared" si="137"/>
        <v>E:\PropInv\MF</v>
      </c>
      <c r="K1747" s="103" t="str">
        <f>HYPERLINK("E:\PropInv\MF\Houston\Dairy Ashford N_611_Wisteria Gardens_Houston_02102","Dairy Ashford N_611_Wisteria Gardens_Houston_02102" )</f>
        <v>Dairy Ashford N_611_Wisteria Gardens_Houston_02102</v>
      </c>
      <c r="L1747" s="104" t="s">
        <v>22253</v>
      </c>
      <c r="M1747" s="103" t="str">
        <f t="shared" si="138"/>
        <v>http://oconnordata.com/mlink/modules/profile/index.cfm?action=profile&amp;prop_id=2102</v>
      </c>
      <c r="N1747" s="1" t="str">
        <f t="shared" si="139"/>
        <v>02102</v>
      </c>
    </row>
    <row r="1748" spans="1:14" x14ac:dyDescent="0.3">
      <c r="A1748" s="1">
        <v>2103</v>
      </c>
      <c r="B1748" s="7" t="s">
        <v>2658</v>
      </c>
      <c r="C1748" s="12">
        <v>12730</v>
      </c>
      <c r="D1748" s="7" t="s">
        <v>1071</v>
      </c>
      <c r="E1748" s="13" t="s">
        <v>1657</v>
      </c>
      <c r="F1748" t="str">
        <f t="shared" si="135"/>
        <v>Whittington</v>
      </c>
      <c r="G1748" t="str">
        <f t="shared" si="136"/>
        <v>Whittington12730Houston</v>
      </c>
      <c r="H1748" t="s">
        <v>32606</v>
      </c>
      <c r="I1748" t="s">
        <v>24033</v>
      </c>
      <c r="J1748" t="str">
        <f t="shared" si="137"/>
        <v>E:\PropInv\MF</v>
      </c>
      <c r="K1748" s="103" t="str">
        <f>HYPERLINK("E:\PropInv\MF\Houston\Whittington_12730_The Gables_Houston_02103","Whittington_12730_The Gables_Houston_02103" )</f>
        <v>Whittington_12730_The Gables_Houston_02103</v>
      </c>
      <c r="L1748" s="104" t="s">
        <v>22253</v>
      </c>
      <c r="M1748" s="103" t="str">
        <f t="shared" si="138"/>
        <v>http://oconnordata.com/mlink/modules/profile/index.cfm?action=profile&amp;prop_id=2103</v>
      </c>
      <c r="N1748" s="1" t="str">
        <f t="shared" si="139"/>
        <v>02103</v>
      </c>
    </row>
    <row r="1749" spans="1:14" x14ac:dyDescent="0.3">
      <c r="A1749" s="1">
        <v>2104</v>
      </c>
      <c r="B1749" s="7" t="s">
        <v>2658</v>
      </c>
      <c r="C1749" s="12">
        <v>12735</v>
      </c>
      <c r="D1749" s="7" t="s">
        <v>2659</v>
      </c>
      <c r="E1749" s="13" t="s">
        <v>1657</v>
      </c>
      <c r="F1749" t="str">
        <f t="shared" si="135"/>
        <v>Whittington</v>
      </c>
      <c r="G1749" t="str">
        <f t="shared" si="136"/>
        <v>Whittington12735Houston</v>
      </c>
      <c r="H1749" t="s">
        <v>32607</v>
      </c>
      <c r="I1749" t="s">
        <v>24034</v>
      </c>
      <c r="J1749" t="str">
        <f t="shared" si="137"/>
        <v>E:\PropInv\MF</v>
      </c>
      <c r="K1749" s="103" t="str">
        <f>HYPERLINK("E:\PropInv\MF\Houston\Whittington_12735_Whittfield_Houston_02104","Whittington_12735_Whittfield_Houston_02104" )</f>
        <v>Whittington_12735_Whittfield_Houston_02104</v>
      </c>
      <c r="L1749" s="104" t="s">
        <v>22253</v>
      </c>
      <c r="M1749" s="103" t="str">
        <f t="shared" si="138"/>
        <v>http://oconnordata.com/mlink/modules/profile/index.cfm?action=profile&amp;prop_id=2104</v>
      </c>
      <c r="N1749" s="1" t="str">
        <f t="shared" si="139"/>
        <v>02104</v>
      </c>
    </row>
    <row r="1750" spans="1:14" x14ac:dyDescent="0.3">
      <c r="A1750" s="1">
        <v>2105</v>
      </c>
      <c r="B1750" s="7" t="s">
        <v>2634</v>
      </c>
      <c r="C1750" s="12">
        <v>1200</v>
      </c>
      <c r="D1750" s="7" t="s">
        <v>2660</v>
      </c>
      <c r="E1750" s="13" t="s">
        <v>1657</v>
      </c>
      <c r="F1750" t="str">
        <f t="shared" si="135"/>
        <v>Dairy</v>
      </c>
      <c r="G1750" t="str">
        <f t="shared" si="136"/>
        <v>Dairy1200Houston</v>
      </c>
      <c r="H1750" t="s">
        <v>32608</v>
      </c>
      <c r="I1750" t="s">
        <v>24035</v>
      </c>
      <c r="J1750" t="str">
        <f t="shared" si="137"/>
        <v>E:\PropInv\MF</v>
      </c>
      <c r="K1750" s="103" t="str">
        <f>HYPERLINK("E:\PropInv\MF\Houston\Dairy Ashford S_1200_Ashford Lakes_Houston_02105","Dairy Ashford S_1200_Ashford Lakes_Houston_02105" )</f>
        <v>Dairy Ashford S_1200_Ashford Lakes_Houston_02105</v>
      </c>
      <c r="L1750" s="104" t="s">
        <v>22253</v>
      </c>
      <c r="M1750" s="103" t="str">
        <f t="shared" si="138"/>
        <v>http://oconnordata.com/mlink/modules/profile/index.cfm?action=profile&amp;prop_id=2105</v>
      </c>
      <c r="N1750" s="1" t="str">
        <f t="shared" si="139"/>
        <v>02105</v>
      </c>
    </row>
    <row r="1751" spans="1:14" x14ac:dyDescent="0.3">
      <c r="A1751" s="1">
        <v>2106</v>
      </c>
      <c r="B1751" s="7" t="s">
        <v>2661</v>
      </c>
      <c r="C1751" s="12">
        <v>1335</v>
      </c>
      <c r="D1751" s="7" t="s">
        <v>2662</v>
      </c>
      <c r="E1751" s="13" t="s">
        <v>1657</v>
      </c>
      <c r="F1751" t="str">
        <f t="shared" si="135"/>
        <v>Silverado</v>
      </c>
      <c r="G1751" t="str">
        <f t="shared" si="136"/>
        <v>Silverado1335Houston</v>
      </c>
      <c r="H1751" t="s">
        <v>32609</v>
      </c>
      <c r="I1751" t="s">
        <v>24036</v>
      </c>
      <c r="J1751" t="str">
        <f t="shared" si="137"/>
        <v>E:\PropInv\MF</v>
      </c>
      <c r="K1751" s="103" t="str">
        <f>HYPERLINK("E:\PropInv\MF\Houston\Silverado Dr_1335_Silverado_Houston_02106","Silverado Dr_1335_Silverado_Houston_02106" )</f>
        <v>Silverado Dr_1335_Silverado_Houston_02106</v>
      </c>
      <c r="L1751" s="104" t="s">
        <v>22253</v>
      </c>
      <c r="M1751" s="103" t="str">
        <f t="shared" si="138"/>
        <v>http://oconnordata.com/mlink/modules/profile/index.cfm?action=profile&amp;prop_id=2106</v>
      </c>
      <c r="N1751" s="1" t="str">
        <f t="shared" si="139"/>
        <v>02106</v>
      </c>
    </row>
    <row r="1752" spans="1:14" x14ac:dyDescent="0.3">
      <c r="A1752" s="1">
        <v>2107</v>
      </c>
      <c r="B1752" s="7" t="s">
        <v>2663</v>
      </c>
      <c r="C1752" s="12">
        <v>1910</v>
      </c>
      <c r="D1752" s="7" t="s">
        <v>2664</v>
      </c>
      <c r="E1752" s="13" t="s">
        <v>1657</v>
      </c>
      <c r="F1752" t="str">
        <f t="shared" si="135"/>
        <v>Westmead</v>
      </c>
      <c r="G1752" t="str">
        <f t="shared" si="136"/>
        <v>Westmead1910Houston</v>
      </c>
      <c r="H1752" t="s">
        <v>32610</v>
      </c>
      <c r="I1752" t="s">
        <v>24037</v>
      </c>
      <c r="J1752" t="str">
        <f t="shared" si="137"/>
        <v>E:\PropInv\MF</v>
      </c>
      <c r="K1752" s="103" t="str">
        <f>HYPERLINK("E:\PropInv\MF\Houston\Westmead Dr_1910_Ashton Park_Houston_02107","Westmead Dr_1910_Ashton Park_Houston_02107" )</f>
        <v>Westmead Dr_1910_Ashton Park_Houston_02107</v>
      </c>
      <c r="L1752" s="104" t="s">
        <v>22253</v>
      </c>
      <c r="M1752" s="103" t="str">
        <f t="shared" si="138"/>
        <v>http://oconnordata.com/mlink/modules/profile/index.cfm?action=profile&amp;prop_id=2107</v>
      </c>
      <c r="N1752" s="1" t="str">
        <f t="shared" si="139"/>
        <v>02107</v>
      </c>
    </row>
    <row r="1753" spans="1:14" x14ac:dyDescent="0.3">
      <c r="A1753" s="1">
        <v>2108</v>
      </c>
      <c r="B1753" s="7" t="s">
        <v>2658</v>
      </c>
      <c r="C1753" s="12">
        <v>12850</v>
      </c>
      <c r="D1753" s="7" t="s">
        <v>2665</v>
      </c>
      <c r="E1753" s="13" t="s">
        <v>1657</v>
      </c>
      <c r="F1753" t="str">
        <f t="shared" si="135"/>
        <v>Whittington</v>
      </c>
      <c r="G1753" t="str">
        <f t="shared" si="136"/>
        <v>Whittington12850Houston</v>
      </c>
      <c r="H1753" t="s">
        <v>32611</v>
      </c>
      <c r="I1753" t="s">
        <v>24038</v>
      </c>
      <c r="J1753" t="str">
        <f t="shared" si="137"/>
        <v>E:\PropInv\MF</v>
      </c>
      <c r="K1753" s="103" t="str">
        <f>HYPERLINK("E:\PropInv\MF\Houston\Whittington_12850_Walden Pond_Houston_02108","Whittington_12850_Walden Pond_Houston_02108" )</f>
        <v>Whittington_12850_Walden Pond_Houston_02108</v>
      </c>
      <c r="L1753" s="104" t="s">
        <v>22253</v>
      </c>
      <c r="M1753" s="103" t="str">
        <f t="shared" si="138"/>
        <v>http://oconnordata.com/mlink/modules/profile/index.cfm?action=profile&amp;prop_id=2108</v>
      </c>
      <c r="N1753" s="1" t="str">
        <f t="shared" si="139"/>
        <v>02108</v>
      </c>
    </row>
    <row r="1754" spans="1:14" x14ac:dyDescent="0.3">
      <c r="A1754" s="1">
        <v>2109</v>
      </c>
      <c r="B1754" s="7" t="s">
        <v>2648</v>
      </c>
      <c r="C1754" s="12">
        <v>1715</v>
      </c>
      <c r="D1754" s="7" t="s">
        <v>2666</v>
      </c>
      <c r="E1754" s="13" t="s">
        <v>1657</v>
      </c>
      <c r="F1754" t="str">
        <f t="shared" si="135"/>
        <v>Enclave</v>
      </c>
      <c r="G1754" t="str">
        <f t="shared" si="136"/>
        <v>Enclave1715Houston</v>
      </c>
      <c r="H1754" t="s">
        <v>32612</v>
      </c>
      <c r="I1754" t="s">
        <v>24039</v>
      </c>
      <c r="J1754" t="str">
        <f t="shared" si="137"/>
        <v>E:\PropInv\MF</v>
      </c>
      <c r="K1754" s="103" t="str">
        <f>HYPERLINK("E:\PropInv\MF\Houston\Enclave Pkwy_1715_Chalfonte_Houston_02109","Enclave Pkwy_1715_Chalfonte_Houston_02109" )</f>
        <v>Enclave Pkwy_1715_Chalfonte_Houston_02109</v>
      </c>
      <c r="L1754" s="104" t="s">
        <v>22253</v>
      </c>
      <c r="M1754" s="103" t="str">
        <f t="shared" si="138"/>
        <v>http://oconnordata.com/mlink/modules/profile/index.cfm?action=profile&amp;prop_id=2109</v>
      </c>
      <c r="N1754" s="1" t="str">
        <f t="shared" si="139"/>
        <v>02109</v>
      </c>
    </row>
    <row r="1755" spans="1:14" x14ac:dyDescent="0.3">
      <c r="A1755" s="1">
        <v>2110</v>
      </c>
      <c r="B1755" s="7" t="s">
        <v>2638</v>
      </c>
      <c r="C1755" s="12">
        <v>12951</v>
      </c>
      <c r="D1755" s="7" t="s">
        <v>2667</v>
      </c>
      <c r="E1755" s="13" t="s">
        <v>1657</v>
      </c>
      <c r="F1755" t="str">
        <f t="shared" si="135"/>
        <v>Briar</v>
      </c>
      <c r="G1755" t="str">
        <f t="shared" si="136"/>
        <v>Briar12951Houston</v>
      </c>
      <c r="H1755" t="s">
        <v>32613</v>
      </c>
      <c r="I1755" t="s">
        <v>24040</v>
      </c>
      <c r="J1755" t="str">
        <f t="shared" si="137"/>
        <v>E:\PropInv\MF</v>
      </c>
      <c r="K1755" s="103" t="str">
        <f>HYPERLINK("E:\PropInv\MF\Houston\Briar Forest Dr_12951_ARIUM Briar Forest I_Houston_02110","Briar Forest Dr_12951_ARIUM Briar Forest I_Houston_02110" )</f>
        <v>Briar Forest Dr_12951_ARIUM Briar Forest I_Houston_02110</v>
      </c>
      <c r="L1755" s="104" t="s">
        <v>22253</v>
      </c>
      <c r="M1755" s="103" t="str">
        <f t="shared" si="138"/>
        <v>http://oconnordata.com/mlink/modules/profile/index.cfm?action=profile&amp;prop_id=2110</v>
      </c>
      <c r="N1755" s="1" t="str">
        <f t="shared" si="139"/>
        <v>02110</v>
      </c>
    </row>
    <row r="1756" spans="1:14" x14ac:dyDescent="0.3">
      <c r="A1756" s="1">
        <v>2111</v>
      </c>
      <c r="B1756" s="7" t="s">
        <v>2668</v>
      </c>
      <c r="C1756" s="12">
        <v>13101</v>
      </c>
      <c r="D1756" s="7" t="s">
        <v>2669</v>
      </c>
      <c r="E1756" s="13" t="s">
        <v>1657</v>
      </c>
      <c r="F1756" t="str">
        <f t="shared" si="135"/>
        <v>Briar</v>
      </c>
      <c r="G1756" t="str">
        <f t="shared" si="136"/>
        <v>Briar13101Houston</v>
      </c>
      <c r="H1756" t="s">
        <v>32614</v>
      </c>
      <c r="I1756" t="s">
        <v>24041</v>
      </c>
      <c r="J1756" t="str">
        <f t="shared" si="137"/>
        <v>E:\PropInv\MF</v>
      </c>
      <c r="K1756" s="103" t="str">
        <f>HYPERLINK("E:\PropInv\MF\Houston\Briar Forest_13101_The Abbey at Eldridge I_Houston_02111","Briar Forest_13101_The Abbey at Eldridge I_Houston_02111" )</f>
        <v>Briar Forest_13101_The Abbey at Eldridge I_Houston_02111</v>
      </c>
      <c r="L1756" s="104" t="s">
        <v>22253</v>
      </c>
      <c r="M1756" s="103" t="str">
        <f t="shared" si="138"/>
        <v>http://oconnordata.com/mlink/modules/profile/index.cfm?action=profile&amp;prop_id=2111</v>
      </c>
      <c r="N1756" s="1" t="str">
        <f t="shared" si="139"/>
        <v>02111</v>
      </c>
    </row>
    <row r="1757" spans="1:14" x14ac:dyDescent="0.3">
      <c r="A1757" s="1">
        <v>2112</v>
      </c>
      <c r="B1757" s="7" t="s">
        <v>2648</v>
      </c>
      <c r="C1757" s="12">
        <v>1520</v>
      </c>
      <c r="D1757" s="7" t="s">
        <v>2670</v>
      </c>
      <c r="E1757" s="13" t="s">
        <v>1657</v>
      </c>
      <c r="F1757" t="str">
        <f t="shared" si="135"/>
        <v>Enclave</v>
      </c>
      <c r="G1757" t="str">
        <f t="shared" si="136"/>
        <v>Enclave1520Houston</v>
      </c>
      <c r="H1757" t="s">
        <v>32615</v>
      </c>
      <c r="I1757" t="s">
        <v>24042</v>
      </c>
      <c r="J1757" t="str">
        <f t="shared" si="137"/>
        <v>E:\PropInv\MF</v>
      </c>
      <c r="K1757" s="103" t="str">
        <f>HYPERLINK("E:\PropInv\MF\Houston\Enclave Pkwy_1520_Myriad_Houston_02112","Enclave Pkwy_1520_Myriad_Houston_02112" )</f>
        <v>Enclave Pkwy_1520_Myriad_Houston_02112</v>
      </c>
      <c r="L1757" s="104" t="s">
        <v>22253</v>
      </c>
      <c r="M1757" s="103" t="str">
        <f t="shared" si="138"/>
        <v>http://oconnordata.com/mlink/modules/profile/index.cfm?action=profile&amp;prop_id=2112</v>
      </c>
      <c r="N1757" s="1" t="str">
        <f t="shared" si="139"/>
        <v>02112</v>
      </c>
    </row>
    <row r="1758" spans="1:14" x14ac:dyDescent="0.3">
      <c r="A1758" s="1">
        <v>2113</v>
      </c>
      <c r="B1758" s="7" t="s">
        <v>2671</v>
      </c>
      <c r="C1758" s="12">
        <v>201</v>
      </c>
      <c r="D1758" s="7" t="s">
        <v>2672</v>
      </c>
      <c r="E1758" s="13" t="s">
        <v>1657</v>
      </c>
      <c r="F1758" t="str">
        <f t="shared" si="135"/>
        <v>Wilcrest</v>
      </c>
      <c r="G1758" t="str">
        <f t="shared" si="136"/>
        <v>Wilcrest201Houston</v>
      </c>
      <c r="H1758" t="s">
        <v>32616</v>
      </c>
      <c r="I1758" t="s">
        <v>24043</v>
      </c>
      <c r="J1758" t="str">
        <f t="shared" si="137"/>
        <v>E:\PropInv\MF</v>
      </c>
      <c r="K1758" s="103" t="str">
        <f>HYPERLINK("E:\PropInv\MF\Houston\Wilcrest_201_Lakeside Place I_Houston_02113","Wilcrest_201_Lakeside Place I_Houston_02113" )</f>
        <v>Wilcrest_201_Lakeside Place I_Houston_02113</v>
      </c>
      <c r="L1758" s="104" t="s">
        <v>22253</v>
      </c>
      <c r="M1758" s="103" t="str">
        <f t="shared" si="138"/>
        <v>http://oconnordata.com/mlink/modules/profile/index.cfm?action=profile&amp;prop_id=2113</v>
      </c>
      <c r="N1758" s="1" t="str">
        <f t="shared" si="139"/>
        <v>02113</v>
      </c>
    </row>
    <row r="1759" spans="1:14" x14ac:dyDescent="0.3">
      <c r="A1759" s="1">
        <v>2114</v>
      </c>
      <c r="B1759" s="7" t="s">
        <v>2671</v>
      </c>
      <c r="C1759" s="12">
        <v>301</v>
      </c>
      <c r="D1759" s="7" t="s">
        <v>2673</v>
      </c>
      <c r="E1759" s="13" t="s">
        <v>1657</v>
      </c>
      <c r="F1759" t="str">
        <f t="shared" si="135"/>
        <v>Wilcrest</v>
      </c>
      <c r="G1759" t="str">
        <f t="shared" si="136"/>
        <v>Wilcrest301Houston</v>
      </c>
      <c r="H1759" t="s">
        <v>32617</v>
      </c>
      <c r="I1759" t="s">
        <v>24044</v>
      </c>
      <c r="J1759" t="str">
        <f t="shared" si="137"/>
        <v>E:\PropInv\MF</v>
      </c>
      <c r="K1759" s="103" t="str">
        <f>HYPERLINK("E:\PropInv\MF\Houston\Wilcrest_301_Lakeside Place II_Houston_02114","Wilcrest_301_Lakeside Place II_Houston_02114" )</f>
        <v>Wilcrest_301_Lakeside Place II_Houston_02114</v>
      </c>
      <c r="L1759" s="104" t="s">
        <v>22253</v>
      </c>
      <c r="M1759" s="103" t="str">
        <f t="shared" si="138"/>
        <v>http://oconnordata.com/mlink/modules/profile/index.cfm?action=profile&amp;prop_id=2114</v>
      </c>
      <c r="N1759" s="1" t="str">
        <f t="shared" si="139"/>
        <v>02114</v>
      </c>
    </row>
    <row r="1760" spans="1:14" x14ac:dyDescent="0.3">
      <c r="A1760" s="1">
        <v>2115</v>
      </c>
      <c r="B1760" s="7" t="s">
        <v>2671</v>
      </c>
      <c r="C1760" s="12">
        <v>1201</v>
      </c>
      <c r="D1760" s="7" t="s">
        <v>2674</v>
      </c>
      <c r="E1760" s="13" t="s">
        <v>1657</v>
      </c>
      <c r="F1760" t="str">
        <f t="shared" si="135"/>
        <v>Wilcrest</v>
      </c>
      <c r="G1760" t="str">
        <f t="shared" si="136"/>
        <v>Wilcrest1201Houston</v>
      </c>
      <c r="H1760" t="s">
        <v>32618</v>
      </c>
      <c r="I1760" t="s">
        <v>24045</v>
      </c>
      <c r="J1760" t="str">
        <f t="shared" si="137"/>
        <v>E:\PropInv\MF</v>
      </c>
      <c r="K1760" s="103" t="str">
        <f>HYPERLINK("E:\PropInv\MF\Houston\Wilcrest_1201_Oaks of Brittany_Houston_02115","Wilcrest_1201_Oaks of Brittany_Houston_02115" )</f>
        <v>Wilcrest_1201_Oaks of Brittany_Houston_02115</v>
      </c>
      <c r="L1760" s="104" t="s">
        <v>22253</v>
      </c>
      <c r="M1760" s="103" t="str">
        <f t="shared" si="138"/>
        <v>http://oconnordata.com/mlink/modules/profile/index.cfm?action=profile&amp;prop_id=2115</v>
      </c>
      <c r="N1760" s="1" t="str">
        <f t="shared" si="139"/>
        <v>02115</v>
      </c>
    </row>
    <row r="1761" spans="1:14" x14ac:dyDescent="0.3">
      <c r="A1761" s="1">
        <v>2116</v>
      </c>
      <c r="B1761" s="7" t="s">
        <v>2675</v>
      </c>
      <c r="C1761" s="12">
        <v>13702</v>
      </c>
      <c r="D1761" s="7" t="s">
        <v>2676</v>
      </c>
      <c r="E1761" s="13" t="s">
        <v>1657</v>
      </c>
      <c r="F1761" t="str">
        <f t="shared" si="135"/>
        <v>Richmond</v>
      </c>
      <c r="G1761" t="str">
        <f t="shared" si="136"/>
        <v>Richmond13702Houston</v>
      </c>
      <c r="H1761" t="s">
        <v>32619</v>
      </c>
      <c r="I1761" t="s">
        <v>24046</v>
      </c>
      <c r="J1761" t="str">
        <f t="shared" si="137"/>
        <v>E:\PropInv\MF</v>
      </c>
      <c r="K1761" s="103" t="str">
        <f>HYPERLINK("E:\PropInv\MF\Houston\Richmond_13702_Westhollow Place_Houston_02116","Richmond_13702_Westhollow Place_Houston_02116" )</f>
        <v>Richmond_13702_Westhollow Place_Houston_02116</v>
      </c>
      <c r="L1761" s="104" t="s">
        <v>22253</v>
      </c>
      <c r="M1761" s="103" t="str">
        <f t="shared" si="138"/>
        <v>http://oconnordata.com/mlink/modules/profile/index.cfm?action=profile&amp;prop_id=2116</v>
      </c>
      <c r="N1761" s="1" t="str">
        <f t="shared" si="139"/>
        <v>02116</v>
      </c>
    </row>
    <row r="1762" spans="1:14" x14ac:dyDescent="0.3">
      <c r="A1762" s="1">
        <v>2117</v>
      </c>
      <c r="B1762" s="7" t="s">
        <v>2677</v>
      </c>
      <c r="C1762" s="12">
        <v>12360</v>
      </c>
      <c r="D1762" s="7" t="s">
        <v>2678</v>
      </c>
      <c r="E1762" s="13" t="s">
        <v>1657</v>
      </c>
      <c r="F1762" t="str">
        <f t="shared" si="135"/>
        <v>Richmond</v>
      </c>
      <c r="G1762" t="str">
        <f t="shared" si="136"/>
        <v>Richmond12360Houston</v>
      </c>
      <c r="H1762" t="s">
        <v>32620</v>
      </c>
      <c r="I1762" t="s">
        <v>24047</v>
      </c>
      <c r="J1762" t="str">
        <f t="shared" si="137"/>
        <v>E:\PropInv\MF</v>
      </c>
      <c r="K1762" s="103" t="str">
        <f>HYPERLINK("E:\PropInv\MF\Houston\Richmond Ave_12360_The Lodge at Shadowlake I_Houston_02117","Richmond Ave_12360_The Lodge at Shadowlake I_Houston_02117" )</f>
        <v>Richmond Ave_12360_The Lodge at Shadowlake I_Houston_02117</v>
      </c>
      <c r="L1762" s="104" t="s">
        <v>22253</v>
      </c>
      <c r="M1762" s="103" t="str">
        <f t="shared" si="138"/>
        <v>http://oconnordata.com/mlink/modules/profile/index.cfm?action=profile&amp;prop_id=2117</v>
      </c>
      <c r="N1762" s="1" t="str">
        <f t="shared" si="139"/>
        <v>02117</v>
      </c>
    </row>
    <row r="1763" spans="1:14" x14ac:dyDescent="0.3">
      <c r="A1763" s="1">
        <v>2118</v>
      </c>
      <c r="B1763" s="7" t="s">
        <v>2679</v>
      </c>
      <c r="C1763" s="12">
        <v>14723</v>
      </c>
      <c r="D1763" s="7" t="s">
        <v>2680</v>
      </c>
      <c r="E1763" s="13" t="s">
        <v>1657</v>
      </c>
      <c r="F1763" t="str">
        <f t="shared" si="135"/>
        <v>Oaks</v>
      </c>
      <c r="G1763" t="str">
        <f t="shared" si="136"/>
        <v>Oaks14723Houston</v>
      </c>
      <c r="H1763" t="s">
        <v>32621</v>
      </c>
      <c r="I1763" t="s">
        <v>24048</v>
      </c>
      <c r="J1763" t="str">
        <f t="shared" si="137"/>
        <v>E:\PropInv\MF</v>
      </c>
      <c r="K1763" s="103" t="str">
        <f>HYPERLINK("E:\PropInv\MF\Houston\Oaks Plaza Dr W_14723_Limestone Apts_Houston_02118","Oaks Plaza Dr W_14723_Limestone Apts_Houston_02118" )</f>
        <v>Oaks Plaza Dr W_14723_Limestone Apts_Houston_02118</v>
      </c>
      <c r="L1763" s="104" t="s">
        <v>22253</v>
      </c>
      <c r="M1763" s="103" t="str">
        <f t="shared" si="138"/>
        <v>http://oconnordata.com/mlink/modules/profile/index.cfm?action=profile&amp;prop_id=2118</v>
      </c>
      <c r="N1763" s="1" t="str">
        <f t="shared" si="139"/>
        <v>02118</v>
      </c>
    </row>
    <row r="1764" spans="1:14" x14ac:dyDescent="0.3">
      <c r="A1764" s="1">
        <v>2119</v>
      </c>
      <c r="B1764" s="7" t="s">
        <v>2681</v>
      </c>
      <c r="C1764" s="12">
        <v>2503</v>
      </c>
      <c r="D1764" s="7" t="s">
        <v>2682</v>
      </c>
      <c r="E1764" s="13" t="s">
        <v>1657</v>
      </c>
      <c r="F1764" t="str">
        <f t="shared" si="135"/>
        <v>Panagard</v>
      </c>
      <c r="G1764" t="str">
        <f t="shared" si="136"/>
        <v>Panagard2503Houston</v>
      </c>
      <c r="H1764" t="s">
        <v>32622</v>
      </c>
      <c r="I1764" t="s">
        <v>24049</v>
      </c>
      <c r="J1764" t="str">
        <f t="shared" si="137"/>
        <v>E:\PropInv\MF</v>
      </c>
      <c r="K1764" s="103" t="str">
        <f>HYPERLINK("E:\PropInv\MF\Houston\Panagard Dr_2503_Arcadia at Westheimer_Houston_02119","Panagard Dr_2503_Arcadia at Westheimer_Houston_02119" )</f>
        <v>Panagard Dr_2503_Arcadia at Westheimer_Houston_02119</v>
      </c>
      <c r="L1764" s="104" t="s">
        <v>22253</v>
      </c>
      <c r="M1764" s="103" t="str">
        <f t="shared" si="138"/>
        <v>http://oconnordata.com/mlink/modules/profile/index.cfm?action=profile&amp;prop_id=2119</v>
      </c>
      <c r="N1764" s="1" t="str">
        <f t="shared" si="139"/>
        <v>02119</v>
      </c>
    </row>
    <row r="1765" spans="1:14" x14ac:dyDescent="0.3">
      <c r="A1765" s="1">
        <v>2120</v>
      </c>
      <c r="B1765" s="7" t="s">
        <v>2683</v>
      </c>
      <c r="C1765" s="12">
        <v>2215</v>
      </c>
      <c r="D1765" s="7" t="s">
        <v>2684</v>
      </c>
      <c r="E1765" s="13" t="s">
        <v>1657</v>
      </c>
      <c r="F1765" t="str">
        <f t="shared" si="135"/>
        <v>Avenida</v>
      </c>
      <c r="G1765" t="str">
        <f t="shared" si="136"/>
        <v>Avenida2215Houston</v>
      </c>
      <c r="H1765" t="s">
        <v>32623</v>
      </c>
      <c r="I1765" t="s">
        <v>24050</v>
      </c>
      <c r="J1765" t="str">
        <f t="shared" si="137"/>
        <v>E:\PropInv\MF</v>
      </c>
      <c r="K1765" s="103" t="str">
        <f>HYPERLINK("E:\PropInv\MF\Houston\Avenida La Quinta_2215_Briarwood Village I &amp; II_Houston_02120","Avenida La Quinta_2215_Briarwood Village I &amp; II_Houston_02120" )</f>
        <v>Avenida La Quinta_2215_Briarwood Village I &amp; II_Houston_02120</v>
      </c>
      <c r="L1765" s="104" t="s">
        <v>22253</v>
      </c>
      <c r="M1765" s="103" t="str">
        <f t="shared" si="138"/>
        <v>http://oconnordata.com/mlink/modules/profile/index.cfm?action=profile&amp;prop_id=2120</v>
      </c>
      <c r="N1765" s="1" t="str">
        <f t="shared" si="139"/>
        <v>02120</v>
      </c>
    </row>
    <row r="1766" spans="1:14" x14ac:dyDescent="0.3">
      <c r="A1766" s="1">
        <v>2121</v>
      </c>
      <c r="B1766" s="7" t="s">
        <v>2685</v>
      </c>
      <c r="C1766" s="12">
        <v>791</v>
      </c>
      <c r="D1766" s="7" t="s">
        <v>2686</v>
      </c>
      <c r="E1766" s="13" t="s">
        <v>1657</v>
      </c>
      <c r="F1766" t="str">
        <f t="shared" si="135"/>
        <v>Bateswood</v>
      </c>
      <c r="G1766" t="str">
        <f t="shared" si="136"/>
        <v>Bateswood791Houston</v>
      </c>
      <c r="H1766" t="s">
        <v>32624</v>
      </c>
      <c r="I1766" t="s">
        <v>24051</v>
      </c>
      <c r="J1766" t="str">
        <f t="shared" si="137"/>
        <v>E:\PropInv\MF</v>
      </c>
      <c r="K1766" s="103" t="str">
        <f>HYPERLINK("E:\PropInv\MF\Houston\Bateswood Dr_791_Country Wood_Houston_02121","Bateswood Dr_791_Country Wood_Houston_02121" )</f>
        <v>Bateswood Dr_791_Country Wood_Houston_02121</v>
      </c>
      <c r="L1766" s="104" t="s">
        <v>22253</v>
      </c>
      <c r="M1766" s="103" t="str">
        <f t="shared" si="138"/>
        <v>http://oconnordata.com/mlink/modules/profile/index.cfm?action=profile&amp;prop_id=2121</v>
      </c>
      <c r="N1766" s="1" t="str">
        <f t="shared" si="139"/>
        <v>02121</v>
      </c>
    </row>
    <row r="1767" spans="1:14" x14ac:dyDescent="0.3">
      <c r="A1767" s="1">
        <v>2122</v>
      </c>
      <c r="B1767" s="7" t="s">
        <v>2687</v>
      </c>
      <c r="C1767" s="12">
        <v>801</v>
      </c>
      <c r="D1767" s="7" t="s">
        <v>2688</v>
      </c>
      <c r="E1767" s="13" t="s">
        <v>1657</v>
      </c>
      <c r="F1767" t="str">
        <f t="shared" si="135"/>
        <v>Country</v>
      </c>
      <c r="G1767" t="str">
        <f t="shared" si="136"/>
        <v>Country801Houston</v>
      </c>
      <c r="H1767" t="s">
        <v>32625</v>
      </c>
      <c r="I1767" t="s">
        <v>24052</v>
      </c>
      <c r="J1767" t="str">
        <f t="shared" si="137"/>
        <v>E:\PropInv\MF</v>
      </c>
      <c r="K1767" s="103" t="str">
        <f>HYPERLINK("E:\PropInv\MF\Houston\Country Place_801_Palm Court_Houston_02122","Country Place_801_Palm Court_Houston_02122" )</f>
        <v>Country Place_801_Palm Court_Houston_02122</v>
      </c>
      <c r="L1767" s="104" t="s">
        <v>22253</v>
      </c>
      <c r="M1767" s="103" t="str">
        <f t="shared" si="138"/>
        <v>http://oconnordata.com/mlink/modules/profile/index.cfm?action=profile&amp;prop_id=2122</v>
      </c>
      <c r="N1767" s="1" t="str">
        <f t="shared" si="139"/>
        <v>02122</v>
      </c>
    </row>
    <row r="1768" spans="1:14" x14ac:dyDescent="0.3">
      <c r="A1768" s="1">
        <v>2123</v>
      </c>
      <c r="B1768" s="7" t="s">
        <v>2273</v>
      </c>
      <c r="C1768" s="12">
        <v>8332</v>
      </c>
      <c r="D1768" s="7" t="s">
        <v>2689</v>
      </c>
      <c r="E1768" s="13" t="s">
        <v>1657</v>
      </c>
      <c r="F1768" t="str">
        <f t="shared" si="135"/>
        <v>Hammerly</v>
      </c>
      <c r="G1768" t="str">
        <f t="shared" si="136"/>
        <v>Hammerly8332Houston</v>
      </c>
      <c r="H1768" t="s">
        <v>32626</v>
      </c>
      <c r="I1768" t="s">
        <v>24053</v>
      </c>
      <c r="J1768" t="str">
        <f t="shared" si="137"/>
        <v>E:\PropInv\MF</v>
      </c>
      <c r="K1768" s="103" t="str">
        <f>HYPERLINK("E:\PropInv\MF\Houston\Hammerly_8332_Hammerly Gardens_Houston_02123","Hammerly_8332_Hammerly Gardens_Houston_02123" )</f>
        <v>Hammerly_8332_Hammerly Gardens_Houston_02123</v>
      </c>
      <c r="L1768" s="104" t="s">
        <v>22253</v>
      </c>
      <c r="M1768" s="103" t="str">
        <f t="shared" si="138"/>
        <v>http://oconnordata.com/mlink/modules/profile/index.cfm?action=profile&amp;prop_id=2123</v>
      </c>
      <c r="N1768" s="1" t="str">
        <f t="shared" si="139"/>
        <v>02123</v>
      </c>
    </row>
    <row r="1769" spans="1:14" x14ac:dyDescent="0.3">
      <c r="A1769" s="1">
        <v>2124</v>
      </c>
      <c r="B1769" s="7" t="s">
        <v>2276</v>
      </c>
      <c r="C1769" s="12">
        <v>1112</v>
      </c>
      <c r="D1769" s="7" t="s">
        <v>2690</v>
      </c>
      <c r="E1769" s="13" t="s">
        <v>1657</v>
      </c>
      <c r="F1769" t="str">
        <f t="shared" si="135"/>
        <v>Shadowdale</v>
      </c>
      <c r="G1769" t="str">
        <f t="shared" si="136"/>
        <v>Shadowdale1112Houston</v>
      </c>
      <c r="H1769" t="s">
        <v>32627</v>
      </c>
      <c r="I1769" t="s">
        <v>24054</v>
      </c>
      <c r="J1769" t="str">
        <f t="shared" si="137"/>
        <v>E:\PropInv\MF</v>
      </c>
      <c r="K1769" s="103" t="str">
        <f>HYPERLINK("E:\PropInv\MF\Houston\Shadowdale_1112_Southern Pines_Houston_02124","Shadowdale_1112_Southern Pines_Houston_02124" )</f>
        <v>Shadowdale_1112_Southern Pines_Houston_02124</v>
      </c>
      <c r="L1769" s="104" t="s">
        <v>22253</v>
      </c>
      <c r="M1769" s="103" t="str">
        <f t="shared" si="138"/>
        <v>http://oconnordata.com/mlink/modules/profile/index.cfm?action=profile&amp;prop_id=2124</v>
      </c>
      <c r="N1769" s="1" t="str">
        <f t="shared" si="139"/>
        <v>02124</v>
      </c>
    </row>
    <row r="1770" spans="1:14" x14ac:dyDescent="0.3">
      <c r="A1770" s="1">
        <v>2125</v>
      </c>
      <c r="B1770" s="7" t="s">
        <v>2691</v>
      </c>
      <c r="C1770" s="12">
        <v>738</v>
      </c>
      <c r="D1770" s="7" t="s">
        <v>2692</v>
      </c>
      <c r="E1770" s="13" t="s">
        <v>1657</v>
      </c>
      <c r="F1770" t="str">
        <f t="shared" si="135"/>
        <v>Bateswood</v>
      </c>
      <c r="G1770" t="str">
        <f t="shared" si="136"/>
        <v>Bateswood738Houston</v>
      </c>
      <c r="H1770" t="s">
        <v>32628</v>
      </c>
      <c r="I1770" t="s">
        <v>24055</v>
      </c>
      <c r="J1770" t="str">
        <f t="shared" si="137"/>
        <v>E:\PropInv\MF</v>
      </c>
      <c r="K1770" s="103" t="str">
        <f>HYPERLINK("E:\PropInv\MF\Houston\Bateswood_738_Regents Walk_Houston_02125","Bateswood_738_Regents Walk_Houston_02125" )</f>
        <v>Bateswood_738_Regents Walk_Houston_02125</v>
      </c>
      <c r="L1770" s="104" t="s">
        <v>22253</v>
      </c>
      <c r="M1770" s="103" t="str">
        <f t="shared" si="138"/>
        <v>http://oconnordata.com/mlink/modules/profile/index.cfm?action=profile&amp;prop_id=2125</v>
      </c>
      <c r="N1770" s="1" t="str">
        <f t="shared" si="139"/>
        <v>02125</v>
      </c>
    </row>
    <row r="1771" spans="1:14" x14ac:dyDescent="0.3">
      <c r="A1771" s="1">
        <v>2126</v>
      </c>
      <c r="B1771" s="7" t="s">
        <v>2691</v>
      </c>
      <c r="C1771" s="12">
        <v>777</v>
      </c>
      <c r="D1771" s="7" t="s">
        <v>2693</v>
      </c>
      <c r="E1771" s="13" t="s">
        <v>1657</v>
      </c>
      <c r="F1771" t="str">
        <f t="shared" si="135"/>
        <v>Bateswood</v>
      </c>
      <c r="G1771" t="str">
        <f t="shared" si="136"/>
        <v>Bateswood777Houston</v>
      </c>
      <c r="H1771" t="s">
        <v>32629</v>
      </c>
      <c r="I1771" t="s">
        <v>24056</v>
      </c>
      <c r="J1771" t="str">
        <f t="shared" si="137"/>
        <v>E:\PropInv\MF</v>
      </c>
      <c r="K1771" s="103" t="str">
        <f>HYPERLINK("E:\PropInv\MF\Houston\Bateswood_777_Brighton Oaks_Houston_02126","Bateswood_777_Brighton Oaks_Houston_02126" )</f>
        <v>Bateswood_777_Brighton Oaks_Houston_02126</v>
      </c>
      <c r="L1771" s="104" t="s">
        <v>22253</v>
      </c>
      <c r="M1771" s="103" t="str">
        <f t="shared" si="138"/>
        <v>http://oconnordata.com/mlink/modules/profile/index.cfm?action=profile&amp;prop_id=2126</v>
      </c>
      <c r="N1771" s="1" t="str">
        <f t="shared" si="139"/>
        <v>02126</v>
      </c>
    </row>
    <row r="1772" spans="1:14" x14ac:dyDescent="0.3">
      <c r="A1772" s="1">
        <v>2127</v>
      </c>
      <c r="B1772" s="7" t="s">
        <v>2691</v>
      </c>
      <c r="C1772" s="12">
        <v>788</v>
      </c>
      <c r="D1772" s="7" t="s">
        <v>2694</v>
      </c>
      <c r="E1772" s="13" t="s">
        <v>1657</v>
      </c>
      <c r="F1772" t="str">
        <f t="shared" si="135"/>
        <v>Bateswood</v>
      </c>
      <c r="G1772" t="str">
        <f t="shared" si="136"/>
        <v>Bateswood788Houston</v>
      </c>
      <c r="H1772" t="s">
        <v>32630</v>
      </c>
      <c r="I1772" t="s">
        <v>24057</v>
      </c>
      <c r="J1772" t="str">
        <f t="shared" si="137"/>
        <v>E:\PropInv\MF</v>
      </c>
      <c r="K1772" s="103" t="str">
        <f>HYPERLINK("E:\PropInv\MF\Houston\Bateswood_788_Bateswood Manor_Houston_02127","Bateswood_788_Bateswood Manor_Houston_02127" )</f>
        <v>Bateswood_788_Bateswood Manor_Houston_02127</v>
      </c>
      <c r="L1772" s="104" t="s">
        <v>22253</v>
      </c>
      <c r="M1772" s="103" t="str">
        <f t="shared" si="138"/>
        <v>http://oconnordata.com/mlink/modules/profile/index.cfm?action=profile&amp;prop_id=2127</v>
      </c>
      <c r="N1772" s="1" t="str">
        <f t="shared" si="139"/>
        <v>02127</v>
      </c>
    </row>
    <row r="1773" spans="1:14" x14ac:dyDescent="0.3">
      <c r="A1773" s="1">
        <v>2128</v>
      </c>
      <c r="B1773" s="7" t="s">
        <v>2695</v>
      </c>
      <c r="C1773" s="12">
        <v>2400</v>
      </c>
      <c r="D1773" s="7" t="s">
        <v>2696</v>
      </c>
      <c r="E1773" s="13" t="s">
        <v>1657</v>
      </c>
      <c r="F1773" t="str">
        <f t="shared" si="135"/>
        <v>Briarwest</v>
      </c>
      <c r="G1773" t="str">
        <f t="shared" si="136"/>
        <v>Briarwest2400Houston</v>
      </c>
      <c r="H1773" t="s">
        <v>32631</v>
      </c>
      <c r="I1773" t="s">
        <v>24058</v>
      </c>
      <c r="J1773" t="str">
        <f t="shared" si="137"/>
        <v>E:\PropInv\MF</v>
      </c>
      <c r="K1773" s="103" t="str">
        <f>HYPERLINK("E:\PropInv\MF\Houston\Briarwest Blvd_2400_West Oaks_Houston_02128","Briarwest Blvd_2400_West Oaks_Houston_02128" )</f>
        <v>Briarwest Blvd_2400_West Oaks_Houston_02128</v>
      </c>
      <c r="L1773" s="104" t="s">
        <v>22253</v>
      </c>
      <c r="M1773" s="103" t="str">
        <f t="shared" si="138"/>
        <v>http://oconnordata.com/mlink/modules/profile/index.cfm?action=profile&amp;prop_id=2128</v>
      </c>
      <c r="N1773" s="1" t="str">
        <f t="shared" si="139"/>
        <v>02128</v>
      </c>
    </row>
    <row r="1774" spans="1:14" x14ac:dyDescent="0.3">
      <c r="A1774" s="1">
        <v>2130</v>
      </c>
      <c r="B1774" s="7" t="s">
        <v>2697</v>
      </c>
      <c r="C1774" s="12">
        <v>2023</v>
      </c>
      <c r="D1774" s="7" t="s">
        <v>2698</v>
      </c>
      <c r="E1774" s="13" t="s">
        <v>1657</v>
      </c>
      <c r="F1774" t="str">
        <f t="shared" si="135"/>
        <v>Gentryside</v>
      </c>
      <c r="G1774" t="str">
        <f t="shared" si="136"/>
        <v>Gentryside2023Houston</v>
      </c>
      <c r="H1774" t="s">
        <v>32632</v>
      </c>
      <c r="I1774" t="s">
        <v>24059</v>
      </c>
      <c r="J1774" t="str">
        <f t="shared" si="137"/>
        <v>E:\PropInv\MF</v>
      </c>
      <c r="K1774" s="103" t="str">
        <f>HYPERLINK("E:\PropInv\MF\Houston\Gentryside_2023_Reflections on the Lake_Houston_02130","Gentryside_2023_Reflections on the Lake_Houston_02130" )</f>
        <v>Gentryside_2023_Reflections on the Lake_Houston_02130</v>
      </c>
      <c r="L1774" s="104" t="s">
        <v>22253</v>
      </c>
      <c r="M1774" s="103" t="str">
        <f t="shared" si="138"/>
        <v>http://oconnordata.com/mlink/modules/profile/index.cfm?action=profile&amp;prop_id=2130</v>
      </c>
      <c r="N1774" s="1" t="str">
        <f t="shared" si="139"/>
        <v>02130</v>
      </c>
    </row>
    <row r="1775" spans="1:14" x14ac:dyDescent="0.3">
      <c r="A1775" s="1">
        <v>2131</v>
      </c>
      <c r="B1775" s="7" t="s">
        <v>2636</v>
      </c>
      <c r="C1775" s="12">
        <v>2323</v>
      </c>
      <c r="D1775" s="7" t="s">
        <v>2699</v>
      </c>
      <c r="E1775" s="13" t="s">
        <v>1657</v>
      </c>
      <c r="F1775" t="str">
        <f t="shared" si="135"/>
        <v>Eldridge</v>
      </c>
      <c r="G1775" t="str">
        <f t="shared" si="136"/>
        <v>Eldridge2323Houston</v>
      </c>
      <c r="H1775" t="s">
        <v>32633</v>
      </c>
      <c r="I1775" t="s">
        <v>24060</v>
      </c>
      <c r="J1775" t="str">
        <f t="shared" si="137"/>
        <v>E:\PropInv\MF</v>
      </c>
      <c r="K1775" s="103" t="str">
        <f>HYPERLINK("E:\PropInv\MF\Houston\Eldridge Pkwy_2323_The Retreat at Eldridge_Houston_02131","Eldridge Pkwy_2323_The Retreat at Eldridge_Houston_02131" )</f>
        <v>Eldridge Pkwy_2323_The Retreat at Eldridge_Houston_02131</v>
      </c>
      <c r="L1775" s="104" t="s">
        <v>22253</v>
      </c>
      <c r="M1775" s="103" t="str">
        <f t="shared" si="138"/>
        <v>http://oconnordata.com/mlink/modules/profile/index.cfm?action=profile&amp;prop_id=2131</v>
      </c>
      <c r="N1775" s="1" t="str">
        <f t="shared" si="139"/>
        <v>02131</v>
      </c>
    </row>
    <row r="1776" spans="1:14" x14ac:dyDescent="0.3">
      <c r="A1776" s="1">
        <v>2133</v>
      </c>
      <c r="B1776" s="7" t="s">
        <v>2677</v>
      </c>
      <c r="C1776" s="12">
        <v>14913</v>
      </c>
      <c r="D1776" s="7" t="s">
        <v>2700</v>
      </c>
      <c r="E1776" s="13" t="s">
        <v>1657</v>
      </c>
      <c r="F1776" t="str">
        <f t="shared" si="135"/>
        <v>Richmond</v>
      </c>
      <c r="G1776" t="str">
        <f t="shared" si="136"/>
        <v>Richmond14913Houston</v>
      </c>
      <c r="H1776" t="s">
        <v>32634</v>
      </c>
      <c r="I1776" t="s">
        <v>24061</v>
      </c>
      <c r="J1776" t="str">
        <f t="shared" si="137"/>
        <v>E:\PropInv\MF</v>
      </c>
      <c r="K1776" s="103" t="str">
        <f>HYPERLINK("E:\PropInv\MF\Houston\Richmond Ave_14913_The Lodge at West Oaks_Houston_02133","Richmond Ave_14913_The Lodge at West Oaks_Houston_02133" )</f>
        <v>Richmond Ave_14913_The Lodge at West Oaks_Houston_02133</v>
      </c>
      <c r="L1776" s="104" t="s">
        <v>22253</v>
      </c>
      <c r="M1776" s="103" t="str">
        <f t="shared" si="138"/>
        <v>http://oconnordata.com/mlink/modules/profile/index.cfm?action=profile&amp;prop_id=2133</v>
      </c>
      <c r="N1776" s="1" t="str">
        <f t="shared" si="139"/>
        <v>02133</v>
      </c>
    </row>
    <row r="1777" spans="1:14" x14ac:dyDescent="0.3">
      <c r="A1777" s="1">
        <v>2134</v>
      </c>
      <c r="B1777" s="7" t="s">
        <v>2701</v>
      </c>
      <c r="C1777" s="12">
        <v>3233</v>
      </c>
      <c r="D1777" s="7" t="s">
        <v>2702</v>
      </c>
      <c r="E1777" s="13" t="s">
        <v>1657</v>
      </c>
      <c r="F1777" t="str">
        <f t="shared" si="135"/>
        <v>Windchase</v>
      </c>
      <c r="G1777" t="str">
        <f t="shared" si="136"/>
        <v>Windchase3233Houston</v>
      </c>
      <c r="H1777" t="s">
        <v>32635</v>
      </c>
      <c r="I1777" t="s">
        <v>24062</v>
      </c>
      <c r="J1777" t="str">
        <f t="shared" si="137"/>
        <v>E:\PropInv\MF</v>
      </c>
      <c r="K1777" s="103" t="str">
        <f>HYPERLINK("E:\PropInv\MF\Houston\Windchase_3233_Windchase Hamlet_Houston_02134","Windchase_3233_Windchase Hamlet_Houston_02134" )</f>
        <v>Windchase_3233_Windchase Hamlet_Houston_02134</v>
      </c>
      <c r="L1777" s="104" t="s">
        <v>22253</v>
      </c>
      <c r="M1777" s="103" t="str">
        <f t="shared" si="138"/>
        <v>http://oconnordata.com/mlink/modules/profile/index.cfm?action=profile&amp;prop_id=2134</v>
      </c>
      <c r="N1777" s="1" t="str">
        <f t="shared" si="139"/>
        <v>02134</v>
      </c>
    </row>
    <row r="1778" spans="1:14" x14ac:dyDescent="0.3">
      <c r="A1778" s="1">
        <v>2135</v>
      </c>
      <c r="B1778" s="7" t="s">
        <v>2634</v>
      </c>
      <c r="C1778" s="12">
        <v>2800</v>
      </c>
      <c r="D1778" s="7" t="s">
        <v>2703</v>
      </c>
      <c r="E1778" s="13" t="s">
        <v>1657</v>
      </c>
      <c r="F1778" t="str">
        <f t="shared" si="135"/>
        <v>Dairy</v>
      </c>
      <c r="G1778" t="str">
        <f t="shared" si="136"/>
        <v>Dairy2800Houston</v>
      </c>
      <c r="H1778" t="s">
        <v>32636</v>
      </c>
      <c r="I1778" t="s">
        <v>24063</v>
      </c>
      <c r="J1778" t="str">
        <f t="shared" si="137"/>
        <v>E:\PropInv\MF</v>
      </c>
      <c r="K1778" s="103" t="str">
        <f>HYPERLINK("E:\PropInv\MF\Houston\Dairy Ashford S_2800_Charleston_Houston_02135","Dairy Ashford S_2800_Charleston_Houston_02135" )</f>
        <v>Dairy Ashford S_2800_Charleston_Houston_02135</v>
      </c>
      <c r="L1778" s="104" t="s">
        <v>22253</v>
      </c>
      <c r="M1778" s="103" t="str">
        <f t="shared" si="138"/>
        <v>http://oconnordata.com/mlink/modules/profile/index.cfm?action=profile&amp;prop_id=2135</v>
      </c>
      <c r="N1778" s="1" t="str">
        <f t="shared" si="139"/>
        <v>02135</v>
      </c>
    </row>
    <row r="1779" spans="1:14" x14ac:dyDescent="0.3">
      <c r="A1779" s="1">
        <v>2140</v>
      </c>
      <c r="B1779" s="7" t="s">
        <v>2701</v>
      </c>
      <c r="C1779" s="12">
        <v>3003</v>
      </c>
      <c r="D1779" s="7" t="s">
        <v>2704</v>
      </c>
      <c r="E1779" s="13" t="s">
        <v>1657</v>
      </c>
      <c r="F1779" t="str">
        <f t="shared" si="135"/>
        <v>Windchase</v>
      </c>
      <c r="G1779" t="str">
        <f t="shared" si="136"/>
        <v>Windchase3003Houston</v>
      </c>
      <c r="H1779" t="s">
        <v>32637</v>
      </c>
      <c r="I1779" t="s">
        <v>24064</v>
      </c>
      <c r="J1779" t="str">
        <f t="shared" si="137"/>
        <v>E:\PropInv\MF</v>
      </c>
      <c r="K1779" s="103" t="str">
        <f>HYPERLINK("E:\PropInv\MF\Houston\Windchase_3003_Savannah Place I &amp; II_Houston_02140","Windchase_3003_Savannah Place I &amp; II_Houston_02140" )</f>
        <v>Windchase_3003_Savannah Place I &amp; II_Houston_02140</v>
      </c>
      <c r="L1779" s="104" t="s">
        <v>22253</v>
      </c>
      <c r="M1779" s="103" t="str">
        <f t="shared" si="138"/>
        <v>http://oconnordata.com/mlink/modules/profile/index.cfm?action=profile&amp;prop_id=2140</v>
      </c>
      <c r="N1779" s="1" t="str">
        <f t="shared" si="139"/>
        <v>02140</v>
      </c>
    </row>
    <row r="1780" spans="1:14" x14ac:dyDescent="0.3">
      <c r="A1780" s="1">
        <v>2142</v>
      </c>
      <c r="B1780" s="7" t="s">
        <v>2634</v>
      </c>
      <c r="C1780" s="12">
        <v>2700</v>
      </c>
      <c r="D1780" s="7" t="s">
        <v>2705</v>
      </c>
      <c r="E1780" s="13" t="s">
        <v>1657</v>
      </c>
      <c r="F1780" t="str">
        <f t="shared" si="135"/>
        <v>Dairy</v>
      </c>
      <c r="G1780" t="str">
        <f t="shared" si="136"/>
        <v>Dairy2700Houston</v>
      </c>
      <c r="H1780" t="s">
        <v>32638</v>
      </c>
      <c r="I1780" t="s">
        <v>24065</v>
      </c>
      <c r="J1780" t="str">
        <f t="shared" si="137"/>
        <v>E:\PropInv\MF</v>
      </c>
      <c r="K1780" s="103" t="str">
        <f>HYPERLINK("E:\PropInv\MF\Houston\Dairy Ashford S_2700_The Ashford Park_Houston_02142","Dairy Ashford S_2700_The Ashford Park_Houston_02142" )</f>
        <v>Dairy Ashford S_2700_The Ashford Park_Houston_02142</v>
      </c>
      <c r="L1780" s="104" t="s">
        <v>22253</v>
      </c>
      <c r="M1780" s="103" t="str">
        <f t="shared" si="138"/>
        <v>http://oconnordata.com/mlink/modules/profile/index.cfm?action=profile&amp;prop_id=2142</v>
      </c>
      <c r="N1780" s="1" t="str">
        <f t="shared" si="139"/>
        <v>02142</v>
      </c>
    </row>
    <row r="1781" spans="1:14" x14ac:dyDescent="0.3">
      <c r="A1781" s="1">
        <v>2143</v>
      </c>
      <c r="B1781" s="7" t="s">
        <v>2706</v>
      </c>
      <c r="C1781" s="12">
        <v>12200</v>
      </c>
      <c r="D1781" s="7" t="s">
        <v>2707</v>
      </c>
      <c r="E1781" s="13" t="s">
        <v>1657</v>
      </c>
      <c r="F1781" t="str">
        <f t="shared" si="135"/>
        <v>Overbrook</v>
      </c>
      <c r="G1781" t="str">
        <f t="shared" si="136"/>
        <v>Overbrook12200Houston</v>
      </c>
      <c r="H1781" t="s">
        <v>32639</v>
      </c>
      <c r="I1781" t="s">
        <v>24066</v>
      </c>
      <c r="J1781" t="str">
        <f t="shared" si="137"/>
        <v>E:\PropInv\MF</v>
      </c>
      <c r="K1781" s="103" t="str">
        <f>HYPERLINK("E:\PropInv\MF\Houston\Overbrook_12200_Mansions of Shadowbriar_Houston_02143","Overbrook_12200_Mansions of Shadowbriar_Houston_02143" )</f>
        <v>Overbrook_12200_Mansions of Shadowbriar_Houston_02143</v>
      </c>
      <c r="L1781" s="104" t="s">
        <v>22253</v>
      </c>
      <c r="M1781" s="103" t="str">
        <f t="shared" si="138"/>
        <v>http://oconnordata.com/mlink/modules/profile/index.cfm?action=profile&amp;prop_id=2143</v>
      </c>
      <c r="N1781" s="1" t="str">
        <f t="shared" si="139"/>
        <v>02143</v>
      </c>
    </row>
    <row r="1782" spans="1:14" x14ac:dyDescent="0.3">
      <c r="A1782" s="1">
        <v>2144</v>
      </c>
      <c r="B1782" s="7" t="s">
        <v>2708</v>
      </c>
      <c r="C1782" s="12">
        <v>12580</v>
      </c>
      <c r="D1782" s="7" t="s">
        <v>2709</v>
      </c>
      <c r="E1782" s="13" t="s">
        <v>1657</v>
      </c>
      <c r="F1782" t="str">
        <f t="shared" si="135"/>
        <v>Piping</v>
      </c>
      <c r="G1782" t="str">
        <f t="shared" si="136"/>
        <v>Piping12580Houston</v>
      </c>
      <c r="H1782" t="s">
        <v>32640</v>
      </c>
      <c r="I1782" t="s">
        <v>24067</v>
      </c>
      <c r="J1782" t="str">
        <f t="shared" si="137"/>
        <v>E:\PropInv\MF</v>
      </c>
      <c r="K1782" s="103" t="str">
        <f>HYPERLINK("E:\PropInv\MF\Houston\Piping Rock Ln_12580_Hunters Point_Houston_02144","Piping Rock Ln_12580_Hunters Point_Houston_02144" )</f>
        <v>Piping Rock Ln_12580_Hunters Point_Houston_02144</v>
      </c>
      <c r="L1782" s="104" t="s">
        <v>22253</v>
      </c>
      <c r="M1782" s="103" t="str">
        <f t="shared" si="138"/>
        <v>http://oconnordata.com/mlink/modules/profile/index.cfm?action=profile&amp;prop_id=2144</v>
      </c>
      <c r="N1782" s="1" t="str">
        <f t="shared" si="139"/>
        <v>02144</v>
      </c>
    </row>
    <row r="1783" spans="1:14" x14ac:dyDescent="0.3">
      <c r="A1783" s="1">
        <v>2145</v>
      </c>
      <c r="B1783" s="7" t="s">
        <v>2710</v>
      </c>
      <c r="C1783" s="12">
        <v>2920</v>
      </c>
      <c r="D1783" s="7" t="s">
        <v>2711</v>
      </c>
      <c r="E1783" s="13" t="s">
        <v>1657</v>
      </c>
      <c r="F1783" t="str">
        <f t="shared" si="135"/>
        <v>Shadowbriar</v>
      </c>
      <c r="G1783" t="str">
        <f t="shared" si="136"/>
        <v>Shadowbriar2920Houston</v>
      </c>
      <c r="H1783" t="s">
        <v>32641</v>
      </c>
      <c r="I1783" t="s">
        <v>24068</v>
      </c>
      <c r="J1783" t="str">
        <f t="shared" si="137"/>
        <v>E:\PropInv\MF</v>
      </c>
      <c r="K1783" s="103" t="str">
        <f>HYPERLINK("E:\PropInv\MF\Houston\Shadowbriar Dr_2920_Renaissance Village at Shadowlake I_Houston_02145","Shadowbriar Dr_2920_Renaissance Village at Shadowlake I_Houston_02145" )</f>
        <v>Shadowbriar Dr_2920_Renaissance Village at Shadowlake I_Houston_02145</v>
      </c>
      <c r="L1783" s="104" t="s">
        <v>22253</v>
      </c>
      <c r="M1783" s="103" t="str">
        <f t="shared" si="138"/>
        <v>http://oconnordata.com/mlink/modules/profile/index.cfm?action=profile&amp;prop_id=2145</v>
      </c>
      <c r="N1783" s="1" t="str">
        <f t="shared" si="139"/>
        <v>02145</v>
      </c>
    </row>
    <row r="1784" spans="1:14" x14ac:dyDescent="0.3">
      <c r="A1784" s="1">
        <v>2146</v>
      </c>
      <c r="B1784" s="7" t="s">
        <v>2710</v>
      </c>
      <c r="C1784" s="12">
        <v>3030</v>
      </c>
      <c r="D1784" s="7" t="s">
        <v>2712</v>
      </c>
      <c r="E1784" s="13" t="s">
        <v>1657</v>
      </c>
      <c r="F1784" t="str">
        <f t="shared" si="135"/>
        <v>Shadowbriar</v>
      </c>
      <c r="G1784" t="str">
        <f t="shared" si="136"/>
        <v>Shadowbriar3030Houston</v>
      </c>
      <c r="H1784" t="s">
        <v>32642</v>
      </c>
      <c r="I1784" t="s">
        <v>24069</v>
      </c>
      <c r="J1784" t="str">
        <f t="shared" si="137"/>
        <v>E:\PropInv\MF</v>
      </c>
      <c r="K1784" s="103" t="str">
        <f>HYPERLINK("E:\PropInv\MF\Houston\Shadowbriar Dr_3030_Renaissance Village at Shadowlake II_Houston_02146","Shadowbriar Dr_3030_Renaissance Village at Shadowlake II_Houston_02146" )</f>
        <v>Shadowbriar Dr_3030_Renaissance Village at Shadowlake II_Houston_02146</v>
      </c>
      <c r="L1784" s="104" t="s">
        <v>22253</v>
      </c>
      <c r="M1784" s="103" t="str">
        <f t="shared" si="138"/>
        <v>http://oconnordata.com/mlink/modules/profile/index.cfm?action=profile&amp;prop_id=2146</v>
      </c>
      <c r="N1784" s="1" t="str">
        <f t="shared" si="139"/>
        <v>02146</v>
      </c>
    </row>
    <row r="1785" spans="1:14" x14ac:dyDescent="0.3">
      <c r="A1785" s="1">
        <v>2147</v>
      </c>
      <c r="B1785" s="7" t="s">
        <v>2713</v>
      </c>
      <c r="C1785" s="12">
        <v>11601</v>
      </c>
      <c r="D1785" s="7" t="s">
        <v>2714</v>
      </c>
      <c r="E1785" s="13" t="s">
        <v>1657</v>
      </c>
      <c r="F1785" t="str">
        <f t="shared" si="135"/>
        <v>Katy</v>
      </c>
      <c r="G1785" t="str">
        <f t="shared" si="136"/>
        <v>Katy11601Houston</v>
      </c>
      <c r="H1785" t="s">
        <v>32643</v>
      </c>
      <c r="I1785" t="s">
        <v>24070</v>
      </c>
      <c r="J1785" t="str">
        <f t="shared" si="137"/>
        <v>E:\PropInv\MF</v>
      </c>
      <c r="K1785" s="103" t="str">
        <f>HYPERLINK("E:\PropInv\MF\Houston\Katy Fwy_11601_Lafayette West_Houston_02147","Katy Fwy_11601_Lafayette West_Houston_02147" )</f>
        <v>Katy Fwy_11601_Lafayette West_Houston_02147</v>
      </c>
      <c r="L1785" s="104" t="s">
        <v>22253</v>
      </c>
      <c r="M1785" s="103" t="str">
        <f t="shared" si="138"/>
        <v>http://oconnordata.com/mlink/modules/profile/index.cfm?action=profile&amp;prop_id=2147</v>
      </c>
      <c r="N1785" s="1" t="str">
        <f t="shared" si="139"/>
        <v>02147</v>
      </c>
    </row>
    <row r="1786" spans="1:14" x14ac:dyDescent="0.3">
      <c r="A1786" s="1">
        <v>2149</v>
      </c>
      <c r="B1786" s="7" t="s">
        <v>2715</v>
      </c>
      <c r="C1786" s="12">
        <v>874</v>
      </c>
      <c r="D1786" s="7" t="s">
        <v>2716</v>
      </c>
      <c r="E1786" s="13" t="s">
        <v>1657</v>
      </c>
      <c r="F1786" t="str">
        <f t="shared" si="135"/>
        <v>Yorkchester</v>
      </c>
      <c r="G1786" t="str">
        <f t="shared" si="136"/>
        <v>Yorkchester874Houston</v>
      </c>
      <c r="H1786" t="s">
        <v>32644</v>
      </c>
      <c r="I1786" t="s">
        <v>24071</v>
      </c>
      <c r="J1786" t="str">
        <f t="shared" si="137"/>
        <v>E:\PropInv\MF</v>
      </c>
      <c r="K1786" s="103" t="str">
        <f>HYPERLINK("E:\PropInv\MF\Houston\Yorkchester_874_Memorial Fountains_Houston_02149","Yorkchester_874_Memorial Fountains_Houston_02149" )</f>
        <v>Yorkchester_874_Memorial Fountains_Houston_02149</v>
      </c>
      <c r="L1786" s="104" t="s">
        <v>22253</v>
      </c>
      <c r="M1786" s="103" t="str">
        <f t="shared" si="138"/>
        <v>http://oconnordata.com/mlink/modules/profile/index.cfm?action=profile&amp;prop_id=2149</v>
      </c>
      <c r="N1786" s="1" t="str">
        <f t="shared" si="139"/>
        <v>02149</v>
      </c>
    </row>
    <row r="1787" spans="1:14" x14ac:dyDescent="0.3">
      <c r="A1787" s="1">
        <v>2150</v>
      </c>
      <c r="B1787" s="7" t="s">
        <v>2717</v>
      </c>
      <c r="C1787" s="12">
        <v>1000</v>
      </c>
      <c r="D1787" s="7" t="s">
        <v>2718</v>
      </c>
      <c r="E1787" s="13" t="s">
        <v>1657</v>
      </c>
      <c r="F1787" t="str">
        <f t="shared" si="135"/>
        <v>Country</v>
      </c>
      <c r="G1787" t="str">
        <f t="shared" si="136"/>
        <v>Country1000Houston</v>
      </c>
      <c r="H1787" t="s">
        <v>32645</v>
      </c>
      <c r="I1787" t="s">
        <v>24072</v>
      </c>
      <c r="J1787" t="str">
        <f t="shared" si="137"/>
        <v>E:\PropInv\MF</v>
      </c>
      <c r="K1787" s="103" t="str">
        <f>HYPERLINK("E:\PropInv\MF\Houston\Country Place Dr_1000_The Park at Country Place_Houston_02150","Country Place Dr_1000_The Park at Country Place_Houston_02150" )</f>
        <v>Country Place Dr_1000_The Park at Country Place_Houston_02150</v>
      </c>
      <c r="L1787" s="104" t="s">
        <v>22253</v>
      </c>
      <c r="M1787" s="103" t="str">
        <f t="shared" si="138"/>
        <v>http://oconnordata.com/mlink/modules/profile/index.cfm?action=profile&amp;prop_id=2150</v>
      </c>
      <c r="N1787" s="1" t="str">
        <f t="shared" si="139"/>
        <v>02150</v>
      </c>
    </row>
    <row r="1788" spans="1:14" x14ac:dyDescent="0.3">
      <c r="A1788" s="1">
        <v>2151</v>
      </c>
      <c r="B1788" s="7" t="s">
        <v>2687</v>
      </c>
      <c r="C1788" s="12">
        <v>1015</v>
      </c>
      <c r="D1788" s="7" t="s">
        <v>2687</v>
      </c>
      <c r="E1788" s="13" t="s">
        <v>1657</v>
      </c>
      <c r="F1788" t="str">
        <f t="shared" si="135"/>
        <v>Country</v>
      </c>
      <c r="G1788" t="str">
        <f t="shared" si="136"/>
        <v>Country1015Houston</v>
      </c>
      <c r="H1788" t="s">
        <v>32646</v>
      </c>
      <c r="I1788" t="s">
        <v>24073</v>
      </c>
      <c r="J1788" t="str">
        <f t="shared" si="137"/>
        <v>E:\PropInv\MF</v>
      </c>
      <c r="K1788" s="103" t="str">
        <f>HYPERLINK("E:\PropInv\MF\Houston\Country Place_1015_Country Place_Houston_02151","Country Place_1015_Country Place_Houston_02151" )</f>
        <v>Country Place_1015_Country Place_Houston_02151</v>
      </c>
      <c r="L1788" s="104" t="s">
        <v>22253</v>
      </c>
      <c r="M1788" s="103" t="str">
        <f t="shared" si="138"/>
        <v>http://oconnordata.com/mlink/modules/profile/index.cfm?action=profile&amp;prop_id=2151</v>
      </c>
      <c r="N1788" s="1" t="str">
        <f t="shared" si="139"/>
        <v>02151</v>
      </c>
    </row>
    <row r="1789" spans="1:14" x14ac:dyDescent="0.3">
      <c r="A1789" s="1">
        <v>2152</v>
      </c>
      <c r="B1789" s="7" t="s">
        <v>2719</v>
      </c>
      <c r="C1789" s="12">
        <v>2700</v>
      </c>
      <c r="D1789" s="7" t="s">
        <v>2720</v>
      </c>
      <c r="E1789" s="13" t="s">
        <v>1657</v>
      </c>
      <c r="F1789" t="str">
        <f t="shared" si="135"/>
        <v>Woodland</v>
      </c>
      <c r="G1789" t="str">
        <f t="shared" si="136"/>
        <v>Woodland2700Houston</v>
      </c>
      <c r="H1789" t="s">
        <v>32647</v>
      </c>
      <c r="I1789" t="s">
        <v>24074</v>
      </c>
      <c r="J1789" t="str">
        <f t="shared" si="137"/>
        <v>E:\PropInv\MF</v>
      </c>
      <c r="K1789" s="103" t="str">
        <f>HYPERLINK("E:\PropInv\MF\Houston\Woodland Park Dr_2700_Camden Park_Houston_02152","Woodland Park Dr_2700_Camden Park_Houston_02152" )</f>
        <v>Woodland Park Dr_2700_Camden Park_Houston_02152</v>
      </c>
      <c r="L1789" s="104" t="s">
        <v>22253</v>
      </c>
      <c r="M1789" s="103" t="str">
        <f t="shared" si="138"/>
        <v>http://oconnordata.com/mlink/modules/profile/index.cfm?action=profile&amp;prop_id=2152</v>
      </c>
      <c r="N1789" s="1" t="str">
        <f t="shared" si="139"/>
        <v>02152</v>
      </c>
    </row>
    <row r="1790" spans="1:14" x14ac:dyDescent="0.3">
      <c r="A1790" s="1">
        <v>2153</v>
      </c>
      <c r="B1790" s="7" t="s">
        <v>2719</v>
      </c>
      <c r="C1790" s="12">
        <v>2601</v>
      </c>
      <c r="D1790" s="7" t="s">
        <v>2721</v>
      </c>
      <c r="E1790" s="13" t="s">
        <v>1657</v>
      </c>
      <c r="F1790" t="str">
        <f t="shared" si="135"/>
        <v>Woodland</v>
      </c>
      <c r="G1790" t="str">
        <f t="shared" si="136"/>
        <v>Woodland2601Houston</v>
      </c>
      <c r="H1790" t="s">
        <v>32648</v>
      </c>
      <c r="I1790" t="s">
        <v>24075</v>
      </c>
      <c r="J1790" t="str">
        <f t="shared" si="137"/>
        <v>E:\PropInv\MF</v>
      </c>
      <c r="K1790" s="103" t="str">
        <f>HYPERLINK("E:\PropInv\MF\Houston\Woodland Park Dr_2601_Archstone Plaza at Westchase_Houston_02153","Woodland Park Dr_2601_Archstone Plaza at Westchase_Houston_02153" )</f>
        <v>Woodland Park Dr_2601_Archstone Plaza at Westchase_Houston_02153</v>
      </c>
      <c r="L1790" s="104" t="s">
        <v>22253</v>
      </c>
      <c r="M1790" s="103" t="str">
        <f t="shared" si="138"/>
        <v>http://oconnordata.com/mlink/modules/profile/index.cfm?action=profile&amp;prop_id=2153</v>
      </c>
      <c r="N1790" s="1" t="str">
        <f t="shared" si="139"/>
        <v>02153</v>
      </c>
    </row>
    <row r="1791" spans="1:14" x14ac:dyDescent="0.3">
      <c r="A1791" s="1">
        <v>2155</v>
      </c>
      <c r="B1791" s="7" t="s">
        <v>2722</v>
      </c>
      <c r="C1791" s="12">
        <v>680</v>
      </c>
      <c r="D1791" s="7" t="s">
        <v>2723</v>
      </c>
      <c r="E1791" s="13" t="s">
        <v>1657</v>
      </c>
      <c r="F1791" t="str">
        <f t="shared" si="135"/>
        <v>Sam</v>
      </c>
      <c r="G1791" t="str">
        <f t="shared" si="136"/>
        <v>Sam680Houston</v>
      </c>
      <c r="H1791" t="s">
        <v>32649</v>
      </c>
      <c r="I1791" t="s">
        <v>24076</v>
      </c>
      <c r="J1791" t="str">
        <f t="shared" si="137"/>
        <v>E:\PropInv\MF</v>
      </c>
      <c r="K1791" s="103" t="str">
        <f>HYPERLINK("E:\PropInv\MF\Houston\Sam Houston Pkwy S W_680_Camden Holly Springs_Houston_02155","Sam Houston Pkwy S W_680_Camden Holly Springs_Houston_02155" )</f>
        <v>Sam Houston Pkwy S W_680_Camden Holly Springs_Houston_02155</v>
      </c>
      <c r="L1791" s="104" t="s">
        <v>22253</v>
      </c>
      <c r="M1791" s="103" t="str">
        <f t="shared" si="138"/>
        <v>http://oconnordata.com/mlink/modules/profile/index.cfm?action=profile&amp;prop_id=2155</v>
      </c>
      <c r="N1791" s="1" t="str">
        <f t="shared" si="139"/>
        <v>02155</v>
      </c>
    </row>
    <row r="1792" spans="1:14" x14ac:dyDescent="0.3">
      <c r="A1792" s="1">
        <v>2156</v>
      </c>
      <c r="B1792" s="7" t="s">
        <v>2724</v>
      </c>
      <c r="C1792" s="12">
        <v>1202</v>
      </c>
      <c r="D1792" s="7" t="s">
        <v>2725</v>
      </c>
      <c r="E1792" s="13" t="s">
        <v>1657</v>
      </c>
      <c r="F1792" t="str">
        <f t="shared" si="135"/>
        <v>Seagler</v>
      </c>
      <c r="G1792" t="str">
        <f t="shared" si="136"/>
        <v>Seagler1202Houston</v>
      </c>
      <c r="H1792" t="s">
        <v>32650</v>
      </c>
      <c r="I1792" t="s">
        <v>24077</v>
      </c>
      <c r="J1792" t="str">
        <f t="shared" si="137"/>
        <v>E:\PropInv\MF</v>
      </c>
      <c r="K1792" s="103" t="str">
        <f>HYPERLINK("E:\PropInv\MF\Houston\Seagler_1202_Abbey at Briargrove Park_Houston_02156","Seagler_1202_Abbey at Briargrove Park_Houston_02156" )</f>
        <v>Seagler_1202_Abbey at Briargrove Park_Houston_02156</v>
      </c>
      <c r="L1792" s="104" t="s">
        <v>22253</v>
      </c>
      <c r="M1792" s="103" t="str">
        <f t="shared" si="138"/>
        <v>http://oconnordata.com/mlink/modules/profile/index.cfm?action=profile&amp;prop_id=2156</v>
      </c>
      <c r="N1792" s="1" t="str">
        <f t="shared" si="139"/>
        <v>02156</v>
      </c>
    </row>
    <row r="1793" spans="1:14" x14ac:dyDescent="0.3">
      <c r="A1793" s="1">
        <v>2157</v>
      </c>
      <c r="B1793" s="7" t="s">
        <v>2671</v>
      </c>
      <c r="C1793" s="12">
        <v>1251</v>
      </c>
      <c r="D1793" s="7" t="s">
        <v>2726</v>
      </c>
      <c r="E1793" s="13" t="s">
        <v>1657</v>
      </c>
      <c r="F1793" t="str">
        <f t="shared" si="135"/>
        <v>Wilcrest</v>
      </c>
      <c r="G1793" t="str">
        <f t="shared" si="136"/>
        <v>Wilcrest1251Houston</v>
      </c>
      <c r="H1793" t="s">
        <v>32651</v>
      </c>
      <c r="I1793" t="s">
        <v>24078</v>
      </c>
      <c r="J1793" t="str">
        <f t="shared" si="137"/>
        <v>E:\PropInv\MF</v>
      </c>
      <c r="K1793" s="103" t="str">
        <f>HYPERLINK("E:\PropInv\MF\Houston\Wilcrest_1251_Lakeside Forest_Houston_02157","Wilcrest_1251_Lakeside Forest_Houston_02157" )</f>
        <v>Wilcrest_1251_Lakeside Forest_Houston_02157</v>
      </c>
      <c r="L1793" s="104" t="s">
        <v>22253</v>
      </c>
      <c r="M1793" s="103" t="str">
        <f t="shared" si="138"/>
        <v>http://oconnordata.com/mlink/modules/profile/index.cfm?action=profile&amp;prop_id=2157</v>
      </c>
      <c r="N1793" s="1" t="str">
        <f t="shared" si="139"/>
        <v>02157</v>
      </c>
    </row>
    <row r="1794" spans="1:14" x14ac:dyDescent="0.3">
      <c r="A1794" s="1">
        <v>2158</v>
      </c>
      <c r="B1794" s="7" t="s">
        <v>2671</v>
      </c>
      <c r="C1794" s="12">
        <v>1300</v>
      </c>
      <c r="D1794" s="7" t="s">
        <v>2727</v>
      </c>
      <c r="E1794" s="13" t="s">
        <v>1657</v>
      </c>
      <c r="F1794" t="str">
        <f t="shared" ref="F1794:F1857" si="140">IFERROR(LEFT(B1794,FIND(" ",B1794)-1),B1794)</f>
        <v>Wilcrest</v>
      </c>
      <c r="G1794" t="str">
        <f t="shared" ref="G1794:G1857" si="141">F1794&amp;C1794&amp;E1794</f>
        <v>Wilcrest1300Houston</v>
      </c>
      <c r="H1794" t="s">
        <v>32652</v>
      </c>
      <c r="I1794" t="s">
        <v>24079</v>
      </c>
      <c r="J1794" t="str">
        <f t="shared" ref="J1794:J1857" si="142">IF(L1794="TX",Folder_Path,Folder_Path&amp;"\State_"&amp;L1794)</f>
        <v>E:\PropInv\MF</v>
      </c>
      <c r="K1794" s="103" t="str">
        <f>HYPERLINK("E:\PropInv\MF\Houston\Wilcrest_1300_Briar Creek_Houston_02158","Wilcrest_1300_Briar Creek_Houston_02158" )</f>
        <v>Wilcrest_1300_Briar Creek_Houston_02158</v>
      </c>
      <c r="L1794" s="104" t="s">
        <v>22253</v>
      </c>
      <c r="M1794" s="103" t="str">
        <f t="shared" ref="M1794:M1857" si="143">HYPERLINK("http://oconnordata.com/mlink/modules/profile/index.cfm?action=profile&amp;prop_id="&amp;A1794)</f>
        <v>http://oconnordata.com/mlink/modules/profile/index.cfm?action=profile&amp;prop_id=2158</v>
      </c>
      <c r="N1794" s="1" t="str">
        <f t="shared" ref="N1794:N1857" si="144">IF(LEN(A1794)=1,"0000"&amp;A1794,IF(LEN(A1794)=2,"000"&amp;A1794,IF(LEN(A1794)=3,"00"&amp;A1794,IF(LEN(A1794)=4,"0"&amp;A1794,IF(LEN(A1794)=5,IF(LEFT(A1794,1)="3",A1794+30000,A1794))))))</f>
        <v>02158</v>
      </c>
    </row>
    <row r="1795" spans="1:14" x14ac:dyDescent="0.3">
      <c r="A1795" s="1">
        <v>2160</v>
      </c>
      <c r="B1795" s="7" t="s">
        <v>2677</v>
      </c>
      <c r="C1795" s="12">
        <v>11355</v>
      </c>
      <c r="D1795" s="7" t="s">
        <v>2728</v>
      </c>
      <c r="E1795" s="13" t="s">
        <v>1657</v>
      </c>
      <c r="F1795" t="str">
        <f t="shared" si="140"/>
        <v>Richmond</v>
      </c>
      <c r="G1795" t="str">
        <f t="shared" si="141"/>
        <v>Richmond11355Houston</v>
      </c>
      <c r="H1795" t="s">
        <v>32653</v>
      </c>
      <c r="I1795" t="s">
        <v>24080</v>
      </c>
      <c r="J1795" t="str">
        <f t="shared" si="142"/>
        <v>E:\PropInv\MF</v>
      </c>
      <c r="K1795" s="103" t="str">
        <f>HYPERLINK("E:\PropInv\MF\Houston\Richmond Ave_11355_Westchase Forest_Houston_02160","Richmond Ave_11355_Westchase Forest_Houston_02160" )</f>
        <v>Richmond Ave_11355_Westchase Forest_Houston_02160</v>
      </c>
      <c r="L1795" s="104" t="s">
        <v>22253</v>
      </c>
      <c r="M1795" s="103" t="str">
        <f t="shared" si="143"/>
        <v>http://oconnordata.com/mlink/modules/profile/index.cfm?action=profile&amp;prop_id=2160</v>
      </c>
      <c r="N1795" s="1" t="str">
        <f t="shared" si="144"/>
        <v>02160</v>
      </c>
    </row>
    <row r="1796" spans="1:14" x14ac:dyDescent="0.3">
      <c r="A1796" s="1">
        <v>2161</v>
      </c>
      <c r="B1796" s="7" t="s">
        <v>2729</v>
      </c>
      <c r="C1796" s="12">
        <v>10615</v>
      </c>
      <c r="D1796" s="7" t="s">
        <v>254</v>
      </c>
      <c r="E1796" s="13" t="s">
        <v>1657</v>
      </c>
      <c r="F1796" t="str">
        <f t="shared" si="140"/>
        <v>Meadowglen</v>
      </c>
      <c r="G1796" t="str">
        <f t="shared" si="141"/>
        <v>Meadowglen10615Houston</v>
      </c>
      <c r="H1796" t="s">
        <v>32654</v>
      </c>
      <c r="I1796" t="s">
        <v>24081</v>
      </c>
      <c r="J1796" t="str">
        <f t="shared" si="142"/>
        <v>E:\PropInv\MF</v>
      </c>
      <c r="K1796" s="103" t="str">
        <f>HYPERLINK("E:\PropInv\MF\Houston\Meadowglen Ln_10615_The Meadows_Houston_02161","Meadowglen Ln_10615_The Meadows_Houston_02161" )</f>
        <v>Meadowglen Ln_10615_The Meadows_Houston_02161</v>
      </c>
      <c r="L1796" s="104" t="s">
        <v>22253</v>
      </c>
      <c r="M1796" s="103" t="str">
        <f t="shared" si="143"/>
        <v>http://oconnordata.com/mlink/modules/profile/index.cfm?action=profile&amp;prop_id=2161</v>
      </c>
      <c r="N1796" s="1" t="str">
        <f t="shared" si="144"/>
        <v>02161</v>
      </c>
    </row>
    <row r="1797" spans="1:14" x14ac:dyDescent="0.3">
      <c r="A1797" s="1">
        <v>2162</v>
      </c>
      <c r="B1797" s="7" t="s">
        <v>2730</v>
      </c>
      <c r="C1797" s="12">
        <v>2310</v>
      </c>
      <c r="D1797" s="7" t="s">
        <v>2731</v>
      </c>
      <c r="E1797" s="13" t="s">
        <v>1657</v>
      </c>
      <c r="F1797" t="str">
        <f t="shared" si="140"/>
        <v>Crescent</v>
      </c>
      <c r="G1797" t="str">
        <f t="shared" si="141"/>
        <v>Crescent2310Houston</v>
      </c>
      <c r="H1797" t="s">
        <v>32655</v>
      </c>
      <c r="I1797" t="s">
        <v>24082</v>
      </c>
      <c r="J1797" t="str">
        <f t="shared" si="142"/>
        <v>E:\PropInv\MF</v>
      </c>
      <c r="K1797" s="103" t="str">
        <f>HYPERLINK("E:\PropInv\MF\Houston\Crescent Park Dr_2310_Avalon at Royal Oaks II_Houston_02162","Crescent Park Dr_2310_Avalon at Royal Oaks II_Houston_02162" )</f>
        <v>Crescent Park Dr_2310_Avalon at Royal Oaks II_Houston_02162</v>
      </c>
      <c r="L1797" s="104" t="s">
        <v>22253</v>
      </c>
      <c r="M1797" s="103" t="str">
        <f t="shared" si="143"/>
        <v>http://oconnordata.com/mlink/modules/profile/index.cfm?action=profile&amp;prop_id=2162</v>
      </c>
      <c r="N1797" s="1" t="str">
        <f t="shared" si="144"/>
        <v>02162</v>
      </c>
    </row>
    <row r="1798" spans="1:14" x14ac:dyDescent="0.3">
      <c r="A1798" s="1">
        <v>2163</v>
      </c>
      <c r="B1798" s="7" t="s">
        <v>2732</v>
      </c>
      <c r="C1798" s="12">
        <v>2101</v>
      </c>
      <c r="D1798" s="7" t="s">
        <v>2733</v>
      </c>
      <c r="E1798" s="13" t="s">
        <v>1657</v>
      </c>
      <c r="F1798" t="str">
        <f t="shared" si="140"/>
        <v>Hayes</v>
      </c>
      <c r="G1798" t="str">
        <f t="shared" si="141"/>
        <v>Hayes2101Houston</v>
      </c>
      <c r="H1798" t="s">
        <v>32656</v>
      </c>
      <c r="I1798" t="s">
        <v>24083</v>
      </c>
      <c r="J1798" t="str">
        <f t="shared" si="142"/>
        <v>E:\PropInv\MF</v>
      </c>
      <c r="K1798" s="103" t="str">
        <f>HYPERLINK("E:\PropInv\MF\Houston\Hayes Rd_2101_Westchase Ranch I_Houston_02163","Hayes Rd_2101_Westchase Ranch I_Houston_02163" )</f>
        <v>Hayes Rd_2101_Westchase Ranch I_Houston_02163</v>
      </c>
      <c r="L1798" s="104" t="s">
        <v>22253</v>
      </c>
      <c r="M1798" s="103" t="str">
        <f t="shared" si="143"/>
        <v>http://oconnordata.com/mlink/modules/profile/index.cfm?action=profile&amp;prop_id=2163</v>
      </c>
      <c r="N1798" s="1" t="str">
        <f t="shared" si="144"/>
        <v>02163</v>
      </c>
    </row>
    <row r="1799" spans="1:14" x14ac:dyDescent="0.3">
      <c r="A1799" s="1">
        <v>2164</v>
      </c>
      <c r="B1799" s="7" t="s">
        <v>2734</v>
      </c>
      <c r="C1799" s="12">
        <v>2020</v>
      </c>
      <c r="D1799" s="7" t="s">
        <v>2735</v>
      </c>
      <c r="E1799" s="13" t="s">
        <v>1657</v>
      </c>
      <c r="F1799" t="str">
        <f t="shared" si="140"/>
        <v>Bentworth</v>
      </c>
      <c r="G1799" t="str">
        <f t="shared" si="141"/>
        <v>Bentworth2020Houston</v>
      </c>
      <c r="H1799" t="s">
        <v>32657</v>
      </c>
      <c r="I1799" t="s">
        <v>24084</v>
      </c>
      <c r="J1799" t="str">
        <f t="shared" si="142"/>
        <v>E:\PropInv\MF</v>
      </c>
      <c r="K1799" s="103" t="str">
        <f>HYPERLINK("E:\PropInv\MF\Houston\Bentworth_2020_Abbey at Briarforest II_Houston_02164","Bentworth_2020_Abbey at Briarforest II_Houston_02164" )</f>
        <v>Bentworth_2020_Abbey at Briarforest II_Houston_02164</v>
      </c>
      <c r="L1799" s="104" t="s">
        <v>22253</v>
      </c>
      <c r="M1799" s="103" t="str">
        <f t="shared" si="143"/>
        <v>http://oconnordata.com/mlink/modules/profile/index.cfm?action=profile&amp;prop_id=2164</v>
      </c>
      <c r="N1799" s="1" t="str">
        <f t="shared" si="144"/>
        <v>02164</v>
      </c>
    </row>
    <row r="1800" spans="1:14" x14ac:dyDescent="0.3">
      <c r="A1800" s="1">
        <v>2165</v>
      </c>
      <c r="B1800" s="7" t="s">
        <v>2668</v>
      </c>
      <c r="C1800" s="12">
        <v>11250</v>
      </c>
      <c r="D1800" s="7" t="s">
        <v>2736</v>
      </c>
      <c r="E1800" s="13" t="s">
        <v>1657</v>
      </c>
      <c r="F1800" t="str">
        <f t="shared" si="140"/>
        <v>Briar</v>
      </c>
      <c r="G1800" t="str">
        <f t="shared" si="141"/>
        <v>Briar11250Houston</v>
      </c>
      <c r="H1800" t="s">
        <v>32658</v>
      </c>
      <c r="I1800" t="s">
        <v>24085</v>
      </c>
      <c r="J1800" t="str">
        <f t="shared" si="142"/>
        <v>E:\PropInv\MF</v>
      </c>
      <c r="K1800" s="103" t="str">
        <f>HYPERLINK("E:\PropInv\MF\Houston\Briar Forest_11250_Briar Court_Houston_02165","Briar Forest_11250_Briar Court_Houston_02165" )</f>
        <v>Briar Forest_11250_Briar Court_Houston_02165</v>
      </c>
      <c r="L1800" s="104" t="s">
        <v>22253</v>
      </c>
      <c r="M1800" s="103" t="str">
        <f t="shared" si="143"/>
        <v>http://oconnordata.com/mlink/modules/profile/index.cfm?action=profile&amp;prop_id=2165</v>
      </c>
      <c r="N1800" s="1" t="str">
        <f t="shared" si="144"/>
        <v>02165</v>
      </c>
    </row>
    <row r="1801" spans="1:14" x14ac:dyDescent="0.3">
      <c r="A1801" s="1">
        <v>2166</v>
      </c>
      <c r="B1801" s="7" t="s">
        <v>2737</v>
      </c>
      <c r="C1801" s="12">
        <v>2301</v>
      </c>
      <c r="D1801" s="7" t="s">
        <v>2738</v>
      </c>
      <c r="E1801" s="13" t="s">
        <v>1657</v>
      </c>
      <c r="F1801" t="str">
        <f t="shared" si="140"/>
        <v>Hayes</v>
      </c>
      <c r="G1801" t="str">
        <f t="shared" si="141"/>
        <v>Hayes2301Houston</v>
      </c>
      <c r="H1801" t="s">
        <v>32659</v>
      </c>
      <c r="I1801" t="s">
        <v>24086</v>
      </c>
      <c r="J1801" t="str">
        <f t="shared" si="142"/>
        <v>E:\PropInv\MF</v>
      </c>
      <c r="K1801" s="103" t="str">
        <f>HYPERLINK("E:\PropInv\MF\Houston\Hayes_2301_The Waverly_Houston_02166","Hayes_2301_The Waverly_Houston_02166" )</f>
        <v>Hayes_2301_The Waverly_Houston_02166</v>
      </c>
      <c r="L1801" s="104" t="s">
        <v>22253</v>
      </c>
      <c r="M1801" s="103" t="str">
        <f t="shared" si="143"/>
        <v>http://oconnordata.com/mlink/modules/profile/index.cfm?action=profile&amp;prop_id=2166</v>
      </c>
      <c r="N1801" s="1" t="str">
        <f t="shared" si="144"/>
        <v>02166</v>
      </c>
    </row>
    <row r="1802" spans="1:14" x14ac:dyDescent="0.3">
      <c r="A1802" s="1">
        <v>2167</v>
      </c>
      <c r="B1802" s="7" t="s">
        <v>2737</v>
      </c>
      <c r="C1802" s="12">
        <v>2305</v>
      </c>
      <c r="D1802" s="7" t="s">
        <v>2739</v>
      </c>
      <c r="E1802" s="13" t="s">
        <v>1657</v>
      </c>
      <c r="F1802" t="str">
        <f t="shared" si="140"/>
        <v>Hayes</v>
      </c>
      <c r="G1802" t="str">
        <f t="shared" si="141"/>
        <v>Hayes2305Houston</v>
      </c>
      <c r="H1802" t="s">
        <v>32660</v>
      </c>
      <c r="I1802" t="s">
        <v>24087</v>
      </c>
      <c r="J1802" t="str">
        <f t="shared" si="142"/>
        <v>E:\PropInv\MF</v>
      </c>
      <c r="K1802" s="103" t="str">
        <f>HYPERLINK("E:\PropInv\MF\Houston\Hayes_2305_Hayes Place_Houston_02167","Hayes_2305_Hayes Place_Houston_02167" )</f>
        <v>Hayes_2305_Hayes Place_Houston_02167</v>
      </c>
      <c r="L1802" s="104" t="s">
        <v>22253</v>
      </c>
      <c r="M1802" s="103" t="str">
        <f t="shared" si="143"/>
        <v>http://oconnordata.com/mlink/modules/profile/index.cfm?action=profile&amp;prop_id=2167</v>
      </c>
      <c r="N1802" s="1" t="str">
        <f t="shared" si="144"/>
        <v>02167</v>
      </c>
    </row>
    <row r="1803" spans="1:14" x14ac:dyDescent="0.3">
      <c r="A1803" s="1">
        <v>2168</v>
      </c>
      <c r="B1803" s="7" t="s">
        <v>2740</v>
      </c>
      <c r="C1803" s="12">
        <v>1919</v>
      </c>
      <c r="D1803" s="7" t="s">
        <v>2741</v>
      </c>
      <c r="E1803" s="13" t="s">
        <v>1657</v>
      </c>
      <c r="F1803" t="str">
        <f t="shared" si="140"/>
        <v>Kirkwood</v>
      </c>
      <c r="G1803" t="str">
        <f t="shared" si="141"/>
        <v>Kirkwood1919Houston</v>
      </c>
      <c r="H1803" t="s">
        <v>32661</v>
      </c>
      <c r="I1803" t="s">
        <v>24088</v>
      </c>
      <c r="J1803" t="str">
        <f t="shared" si="142"/>
        <v>E:\PropInv\MF</v>
      </c>
      <c r="K1803" s="103" t="str">
        <f>HYPERLINK("E:\PropInv\MF\Houston\Kirkwood S_1919_Abbey at Briarforest III_Houston_02168","Kirkwood S_1919_Abbey at Briarforest III_Houston_02168" )</f>
        <v>Kirkwood S_1919_Abbey at Briarforest III_Houston_02168</v>
      </c>
      <c r="L1803" s="104" t="s">
        <v>22253</v>
      </c>
      <c r="M1803" s="103" t="str">
        <f t="shared" si="143"/>
        <v>http://oconnordata.com/mlink/modules/profile/index.cfm?action=profile&amp;prop_id=2168</v>
      </c>
      <c r="N1803" s="1" t="str">
        <f t="shared" si="144"/>
        <v>02168</v>
      </c>
    </row>
    <row r="1804" spans="1:14" x14ac:dyDescent="0.3">
      <c r="A1804" s="1">
        <v>2169</v>
      </c>
      <c r="B1804" s="7" t="s">
        <v>2668</v>
      </c>
      <c r="C1804" s="12">
        <v>12750</v>
      </c>
      <c r="D1804" s="7" t="s">
        <v>1175</v>
      </c>
      <c r="E1804" s="13" t="s">
        <v>1657</v>
      </c>
      <c r="F1804" t="str">
        <f t="shared" si="140"/>
        <v>Briar</v>
      </c>
      <c r="G1804" t="str">
        <f t="shared" si="141"/>
        <v>Briar12750Houston</v>
      </c>
      <c r="H1804" t="s">
        <v>32662</v>
      </c>
      <c r="I1804" t="s">
        <v>24089</v>
      </c>
      <c r="J1804" t="str">
        <f t="shared" si="142"/>
        <v>E:\PropInv\MF</v>
      </c>
      <c r="K1804" s="103" t="str">
        <f>HYPERLINK("E:\PropInv\MF\Houston\Briar Forest_12750_The Lexington_Houston_02169","Briar Forest_12750_The Lexington_Houston_02169" )</f>
        <v>Briar Forest_12750_The Lexington_Houston_02169</v>
      </c>
      <c r="L1804" s="104" t="s">
        <v>22253</v>
      </c>
      <c r="M1804" s="103" t="str">
        <f t="shared" si="143"/>
        <v>http://oconnordata.com/mlink/modules/profile/index.cfm?action=profile&amp;prop_id=2169</v>
      </c>
      <c r="N1804" s="1" t="str">
        <f t="shared" si="144"/>
        <v>02169</v>
      </c>
    </row>
    <row r="1805" spans="1:14" x14ac:dyDescent="0.3">
      <c r="A1805" s="1">
        <v>2170</v>
      </c>
      <c r="B1805" s="7" t="s">
        <v>2740</v>
      </c>
      <c r="C1805" s="12">
        <v>2151</v>
      </c>
      <c r="D1805" s="7" t="s">
        <v>2742</v>
      </c>
      <c r="E1805" s="13" t="s">
        <v>1657</v>
      </c>
      <c r="F1805" t="str">
        <f t="shared" si="140"/>
        <v>Kirkwood</v>
      </c>
      <c r="G1805" t="str">
        <f t="shared" si="141"/>
        <v>Kirkwood2151Houston</v>
      </c>
      <c r="H1805" t="s">
        <v>32663</v>
      </c>
      <c r="I1805" t="s">
        <v>24090</v>
      </c>
      <c r="J1805" t="str">
        <f t="shared" si="142"/>
        <v>E:\PropInv\MF</v>
      </c>
      <c r="K1805" s="103" t="str">
        <f>HYPERLINK("E:\PropInv\MF\Houston\Kirkwood S_2151_The Steeples_Houston_02170","Kirkwood S_2151_The Steeples_Houston_02170" )</f>
        <v>Kirkwood S_2151_The Steeples_Houston_02170</v>
      </c>
      <c r="L1805" s="104" t="s">
        <v>22253</v>
      </c>
      <c r="M1805" s="103" t="str">
        <f t="shared" si="143"/>
        <v>http://oconnordata.com/mlink/modules/profile/index.cfm?action=profile&amp;prop_id=2170</v>
      </c>
      <c r="N1805" s="1" t="str">
        <f t="shared" si="144"/>
        <v>02170</v>
      </c>
    </row>
    <row r="1806" spans="1:14" x14ac:dyDescent="0.3">
      <c r="A1806" s="1">
        <v>2171</v>
      </c>
      <c r="B1806" s="7" t="s">
        <v>2668</v>
      </c>
      <c r="C1806" s="12">
        <v>11655</v>
      </c>
      <c r="D1806" s="7" t="s">
        <v>2743</v>
      </c>
      <c r="E1806" s="13" t="s">
        <v>1657</v>
      </c>
      <c r="F1806" t="str">
        <f t="shared" si="140"/>
        <v>Briar</v>
      </c>
      <c r="G1806" t="str">
        <f t="shared" si="141"/>
        <v>Briar11655Houston</v>
      </c>
      <c r="H1806" t="s">
        <v>32664</v>
      </c>
      <c r="I1806" t="s">
        <v>24091</v>
      </c>
      <c r="J1806" t="str">
        <f t="shared" si="142"/>
        <v>E:\PropInv\MF</v>
      </c>
      <c r="K1806" s="103" t="str">
        <f>HYPERLINK("E:\PropInv\MF\Houston\Briar Forest_11655_Abbey at Briarforest I_Houston_02171","Briar Forest_11655_Abbey at Briarforest I_Houston_02171" )</f>
        <v>Briar Forest_11655_Abbey at Briarforest I_Houston_02171</v>
      </c>
      <c r="L1806" s="104" t="s">
        <v>22253</v>
      </c>
      <c r="M1806" s="103" t="str">
        <f t="shared" si="143"/>
        <v>http://oconnordata.com/mlink/modules/profile/index.cfm?action=profile&amp;prop_id=2171</v>
      </c>
      <c r="N1806" s="1" t="str">
        <f t="shared" si="144"/>
        <v>02171</v>
      </c>
    </row>
    <row r="1807" spans="1:14" x14ac:dyDescent="0.3">
      <c r="A1807" s="1">
        <v>2172</v>
      </c>
      <c r="B1807" s="7" t="s">
        <v>2638</v>
      </c>
      <c r="C1807" s="12">
        <v>11710</v>
      </c>
      <c r="D1807" s="7" t="s">
        <v>2744</v>
      </c>
      <c r="E1807" s="13" t="s">
        <v>1657</v>
      </c>
      <c r="F1807" t="str">
        <f t="shared" si="140"/>
        <v>Briar</v>
      </c>
      <c r="G1807" t="str">
        <f t="shared" si="141"/>
        <v>Briar11710Houston</v>
      </c>
      <c r="H1807" t="s">
        <v>32665</v>
      </c>
      <c r="I1807" t="s">
        <v>24092</v>
      </c>
      <c r="J1807" t="str">
        <f t="shared" si="142"/>
        <v>E:\PropInv\MF</v>
      </c>
      <c r="K1807" s="103" t="str">
        <f>HYPERLINK("E:\PropInv\MF\Houston\Briar Forest Dr_11710_Palms at Kirkwood_Houston_02172","Briar Forest Dr_11710_Palms at Kirkwood_Houston_02172" )</f>
        <v>Briar Forest Dr_11710_Palms at Kirkwood_Houston_02172</v>
      </c>
      <c r="L1807" s="104" t="s">
        <v>22253</v>
      </c>
      <c r="M1807" s="103" t="str">
        <f t="shared" si="143"/>
        <v>http://oconnordata.com/mlink/modules/profile/index.cfm?action=profile&amp;prop_id=2172</v>
      </c>
      <c r="N1807" s="1" t="str">
        <f t="shared" si="144"/>
        <v>02172</v>
      </c>
    </row>
    <row r="1808" spans="1:14" x14ac:dyDescent="0.3">
      <c r="A1808" s="1">
        <v>2173</v>
      </c>
      <c r="B1808" s="7" t="s">
        <v>1019</v>
      </c>
      <c r="C1808" s="12">
        <v>10440</v>
      </c>
      <c r="D1808" s="7" t="s">
        <v>2745</v>
      </c>
      <c r="E1808" s="13" t="s">
        <v>1657</v>
      </c>
      <c r="F1808" t="str">
        <f t="shared" si="140"/>
        <v>Deerwood</v>
      </c>
      <c r="G1808" t="str">
        <f t="shared" si="141"/>
        <v>Deerwood10440Houston</v>
      </c>
      <c r="H1808" t="s">
        <v>32666</v>
      </c>
      <c r="I1808" t="s">
        <v>24093</v>
      </c>
      <c r="J1808" t="str">
        <f t="shared" si="142"/>
        <v>E:\PropInv\MF</v>
      </c>
      <c r="K1808" s="103" t="str">
        <f>HYPERLINK("E:\PropInv\MF\Houston\Deerwood_10440_Creekstone_Houston_02173","Deerwood_10440_Creekstone_Houston_02173" )</f>
        <v>Deerwood_10440_Creekstone_Houston_02173</v>
      </c>
      <c r="L1808" s="104" t="s">
        <v>22253</v>
      </c>
      <c r="M1808" s="103" t="str">
        <f t="shared" si="143"/>
        <v>http://oconnordata.com/mlink/modules/profile/index.cfm?action=profile&amp;prop_id=2173</v>
      </c>
      <c r="N1808" s="1" t="str">
        <f t="shared" si="144"/>
        <v>02173</v>
      </c>
    </row>
    <row r="1809" spans="1:14" x14ac:dyDescent="0.3">
      <c r="A1809" s="1">
        <v>2174</v>
      </c>
      <c r="B1809" s="7" t="s">
        <v>2737</v>
      </c>
      <c r="C1809" s="12">
        <v>2828</v>
      </c>
      <c r="D1809" s="7" t="s">
        <v>2746</v>
      </c>
      <c r="E1809" s="13" t="s">
        <v>1657</v>
      </c>
      <c r="F1809" t="str">
        <f t="shared" si="140"/>
        <v>Hayes</v>
      </c>
      <c r="G1809" t="str">
        <f t="shared" si="141"/>
        <v>Hayes2828Houston</v>
      </c>
      <c r="H1809" t="s">
        <v>32667</v>
      </c>
      <c r="I1809" t="s">
        <v>24094</v>
      </c>
      <c r="J1809" t="str">
        <f t="shared" si="142"/>
        <v>E:\PropInv\MF</v>
      </c>
      <c r="K1809" s="103" t="str">
        <f>HYPERLINK("E:\PropInv\MF\Houston\Hayes_2828_City West_Houston_02174","Hayes_2828_City West_Houston_02174" )</f>
        <v>Hayes_2828_City West_Houston_02174</v>
      </c>
      <c r="L1809" s="104" t="s">
        <v>22253</v>
      </c>
      <c r="M1809" s="103" t="str">
        <f t="shared" si="143"/>
        <v>http://oconnordata.com/mlink/modules/profile/index.cfm?action=profile&amp;prop_id=2174</v>
      </c>
      <c r="N1809" s="1" t="str">
        <f t="shared" si="144"/>
        <v>02174</v>
      </c>
    </row>
    <row r="1810" spans="1:14" x14ac:dyDescent="0.3">
      <c r="A1810" s="97">
        <v>2175</v>
      </c>
      <c r="B1810" s="7" t="s">
        <v>2737</v>
      </c>
      <c r="C1810" s="12">
        <v>2909</v>
      </c>
      <c r="D1810" s="7" t="s">
        <v>2747</v>
      </c>
      <c r="E1810" s="13" t="s">
        <v>1657</v>
      </c>
      <c r="F1810" t="str">
        <f t="shared" si="140"/>
        <v>Hayes</v>
      </c>
      <c r="G1810" t="str">
        <f t="shared" si="141"/>
        <v>Hayes2909Houston</v>
      </c>
      <c r="H1810" t="s">
        <v>32668</v>
      </c>
      <c r="I1810" t="s">
        <v>24095</v>
      </c>
      <c r="J1810" t="str">
        <f t="shared" si="142"/>
        <v>E:\PropInv\MF</v>
      </c>
      <c r="K1810" s="103" t="str">
        <f>HYPERLINK("E:\PropInv\MF\Houston\Hayes_2909_Windemere_Houston_02175","Hayes_2909_Windemere_Houston_02175" )</f>
        <v>Hayes_2909_Windemere_Houston_02175</v>
      </c>
      <c r="L1810" s="104" t="s">
        <v>22253</v>
      </c>
      <c r="M1810" s="103" t="str">
        <f t="shared" si="143"/>
        <v>http://oconnordata.com/mlink/modules/profile/index.cfm?action=profile&amp;prop_id=2175</v>
      </c>
      <c r="N1810" s="1" t="str">
        <f t="shared" si="144"/>
        <v>02175</v>
      </c>
    </row>
    <row r="1811" spans="1:14" x14ac:dyDescent="0.3">
      <c r="A1811" s="1">
        <v>2176</v>
      </c>
      <c r="B1811" s="7" t="s">
        <v>2671</v>
      </c>
      <c r="C1811" s="12">
        <v>1307</v>
      </c>
      <c r="D1811" s="7" t="s">
        <v>2748</v>
      </c>
      <c r="E1811" s="13" t="s">
        <v>1657</v>
      </c>
      <c r="F1811" t="str">
        <f t="shared" si="140"/>
        <v>Wilcrest</v>
      </c>
      <c r="G1811" t="str">
        <f t="shared" si="141"/>
        <v>Wilcrest1307Houston</v>
      </c>
      <c r="H1811" t="s">
        <v>32669</v>
      </c>
      <c r="I1811" t="s">
        <v>24096</v>
      </c>
      <c r="J1811" t="str">
        <f t="shared" si="142"/>
        <v>E:\PropInv\MF</v>
      </c>
      <c r="K1811" s="103" t="str">
        <f>HYPERLINK("E:\PropInv\MF\Houston\Wilcrest_1307_Evergreen Pointe_Houston_02176","Wilcrest_1307_Evergreen Pointe_Houston_02176" )</f>
        <v>Wilcrest_1307_Evergreen Pointe_Houston_02176</v>
      </c>
      <c r="L1811" s="104" t="s">
        <v>22253</v>
      </c>
      <c r="M1811" s="103" t="str">
        <f t="shared" si="143"/>
        <v>http://oconnordata.com/mlink/modules/profile/index.cfm?action=profile&amp;prop_id=2176</v>
      </c>
      <c r="N1811" s="1" t="str">
        <f t="shared" si="144"/>
        <v>02176</v>
      </c>
    </row>
    <row r="1812" spans="1:14" x14ac:dyDescent="0.3">
      <c r="A1812" s="1">
        <v>2177</v>
      </c>
      <c r="B1812" s="7" t="s">
        <v>2749</v>
      </c>
      <c r="C1812" s="12">
        <v>1445</v>
      </c>
      <c r="D1812" s="7" t="s">
        <v>2750</v>
      </c>
      <c r="E1812" s="13" t="s">
        <v>1657</v>
      </c>
      <c r="F1812" t="str">
        <f t="shared" si="140"/>
        <v>Lakeside</v>
      </c>
      <c r="G1812" t="str">
        <f t="shared" si="141"/>
        <v>Lakeside1445Houston</v>
      </c>
      <c r="H1812" t="s">
        <v>32670</v>
      </c>
      <c r="I1812" t="s">
        <v>24097</v>
      </c>
      <c r="J1812" t="str">
        <f t="shared" si="142"/>
        <v>E:\PropInv\MF</v>
      </c>
      <c r="K1812" s="103" t="str">
        <f>HYPERLINK("E:\PropInv\MF\Houston\Lakeside Estates_1445_Park at Lakeside I_Houston_02177","Lakeside Estates_1445_Park at Lakeside I_Houston_02177" )</f>
        <v>Lakeside Estates_1445_Park at Lakeside I_Houston_02177</v>
      </c>
      <c r="L1812" s="104" t="s">
        <v>22253</v>
      </c>
      <c r="M1812" s="103" t="str">
        <f t="shared" si="143"/>
        <v>http://oconnordata.com/mlink/modules/profile/index.cfm?action=profile&amp;prop_id=2177</v>
      </c>
      <c r="N1812" s="1" t="str">
        <f t="shared" si="144"/>
        <v>02177</v>
      </c>
    </row>
    <row r="1813" spans="1:14" x14ac:dyDescent="0.3">
      <c r="A1813" s="1">
        <v>2178</v>
      </c>
      <c r="B1813" s="7" t="s">
        <v>2751</v>
      </c>
      <c r="C1813" s="12">
        <v>10501</v>
      </c>
      <c r="D1813" s="7" t="s">
        <v>2752</v>
      </c>
      <c r="E1813" s="13" t="s">
        <v>1657</v>
      </c>
      <c r="F1813" t="str">
        <f t="shared" si="140"/>
        <v>Holly</v>
      </c>
      <c r="G1813" t="str">
        <f t="shared" si="141"/>
        <v>Holly10501Houston</v>
      </c>
      <c r="H1813" t="s">
        <v>32671</v>
      </c>
      <c r="I1813" t="s">
        <v>24098</v>
      </c>
      <c r="J1813" t="str">
        <f t="shared" si="142"/>
        <v>E:\PropInv\MF</v>
      </c>
      <c r="K1813" s="103" t="str">
        <f>HYPERLINK("E:\PropInv\MF\Houston\Holly Springs_10501_Belmont Place-La Fontaine_Houston_02178","Holly Springs_10501_Belmont Place-La Fontaine_Houston_02178" )</f>
        <v>Holly Springs_10501_Belmont Place-La Fontaine_Houston_02178</v>
      </c>
      <c r="L1813" s="104" t="s">
        <v>22253</v>
      </c>
      <c r="M1813" s="103" t="str">
        <f t="shared" si="143"/>
        <v>http://oconnordata.com/mlink/modules/profile/index.cfm?action=profile&amp;prop_id=2178</v>
      </c>
      <c r="N1813" s="1" t="str">
        <f t="shared" si="144"/>
        <v>02178</v>
      </c>
    </row>
    <row r="1814" spans="1:14" x14ac:dyDescent="0.3">
      <c r="A1814" s="1">
        <v>2179</v>
      </c>
      <c r="B1814" s="7" t="s">
        <v>2753</v>
      </c>
      <c r="C1814" s="12">
        <v>2475</v>
      </c>
      <c r="D1814" s="7" t="s">
        <v>2754</v>
      </c>
      <c r="E1814" s="13" t="s">
        <v>1657</v>
      </c>
      <c r="F1814" t="str">
        <f t="shared" si="140"/>
        <v>Gray</v>
      </c>
      <c r="G1814" t="str">
        <f t="shared" si="141"/>
        <v>Gray2475Houston</v>
      </c>
      <c r="H1814" t="s">
        <v>32672</v>
      </c>
      <c r="I1814" t="s">
        <v>24099</v>
      </c>
      <c r="J1814" t="str">
        <f t="shared" si="142"/>
        <v>E:\PropInv\MF</v>
      </c>
      <c r="K1814" s="103" t="str">
        <f>HYPERLINK("E:\PropInv\MF\Houston\Gray Falls_2475_West Chase Crossing_Houston_02179","Gray Falls_2475_West Chase Crossing_Houston_02179" )</f>
        <v>Gray Falls_2475_West Chase Crossing_Houston_02179</v>
      </c>
      <c r="L1814" s="104" t="s">
        <v>22253</v>
      </c>
      <c r="M1814" s="103" t="str">
        <f t="shared" si="143"/>
        <v>http://oconnordata.com/mlink/modules/profile/index.cfm?action=profile&amp;prop_id=2179</v>
      </c>
      <c r="N1814" s="1" t="str">
        <f t="shared" si="144"/>
        <v>02179</v>
      </c>
    </row>
    <row r="1815" spans="1:14" x14ac:dyDescent="0.3">
      <c r="A1815" s="1">
        <v>2180</v>
      </c>
      <c r="B1815" s="7" t="s">
        <v>2719</v>
      </c>
      <c r="C1815" s="12">
        <v>2500</v>
      </c>
      <c r="D1815" s="7" t="s">
        <v>2755</v>
      </c>
      <c r="E1815" s="13" t="s">
        <v>1657</v>
      </c>
      <c r="F1815" t="str">
        <f t="shared" si="140"/>
        <v>Woodland</v>
      </c>
      <c r="G1815" t="str">
        <f t="shared" si="141"/>
        <v>Woodland2500Houston</v>
      </c>
      <c r="H1815" t="s">
        <v>32673</v>
      </c>
      <c r="I1815" t="s">
        <v>24100</v>
      </c>
      <c r="J1815" t="str">
        <f t="shared" si="142"/>
        <v>E:\PropInv\MF</v>
      </c>
      <c r="K1815" s="103" t="str">
        <f>HYPERLINK("E:\PropInv\MF\Houston\Woodland Park Dr_2500_The Milano_Houston_02180","Woodland Park Dr_2500_The Milano_Houston_02180" )</f>
        <v>Woodland Park Dr_2500_The Milano_Houston_02180</v>
      </c>
      <c r="L1815" s="104" t="s">
        <v>22253</v>
      </c>
      <c r="M1815" s="103" t="str">
        <f t="shared" si="143"/>
        <v>http://oconnordata.com/mlink/modules/profile/index.cfm?action=profile&amp;prop_id=2180</v>
      </c>
      <c r="N1815" s="1" t="str">
        <f t="shared" si="144"/>
        <v>02180</v>
      </c>
    </row>
    <row r="1816" spans="1:14" x14ac:dyDescent="0.3">
      <c r="A1816" s="97">
        <v>2181</v>
      </c>
      <c r="B1816" s="7" t="s">
        <v>2740</v>
      </c>
      <c r="C1816" s="12">
        <v>2410</v>
      </c>
      <c r="D1816" s="7" t="s">
        <v>2756</v>
      </c>
      <c r="E1816" s="13" t="s">
        <v>1657</v>
      </c>
      <c r="F1816" t="str">
        <f t="shared" si="140"/>
        <v>Kirkwood</v>
      </c>
      <c r="G1816" t="str">
        <f t="shared" si="141"/>
        <v>Kirkwood2410Houston</v>
      </c>
      <c r="H1816" t="s">
        <v>32674</v>
      </c>
      <c r="I1816" t="s">
        <v>24101</v>
      </c>
      <c r="J1816" t="str">
        <f t="shared" si="142"/>
        <v>E:\PropInv\MF</v>
      </c>
      <c r="K1816" s="103" t="str">
        <f>HYPERLINK("E:\PropInv\MF\Houston\Kirkwood S_2410_Wyndham Oaks_Houston_02181","Kirkwood S_2410_Wyndham Oaks_Houston_02181" )</f>
        <v>Kirkwood S_2410_Wyndham Oaks_Houston_02181</v>
      </c>
      <c r="L1816" s="104" t="s">
        <v>22253</v>
      </c>
      <c r="M1816" s="103" t="str">
        <f t="shared" si="143"/>
        <v>http://oconnordata.com/mlink/modules/profile/index.cfm?action=profile&amp;prop_id=2181</v>
      </c>
      <c r="N1816" s="1" t="str">
        <f t="shared" si="144"/>
        <v>02181</v>
      </c>
    </row>
    <row r="1817" spans="1:14" x14ac:dyDescent="0.3">
      <c r="A1817" s="1">
        <v>2182</v>
      </c>
      <c r="B1817" s="7" t="s">
        <v>2719</v>
      </c>
      <c r="C1817" s="12">
        <v>2777</v>
      </c>
      <c r="D1817" s="7" t="s">
        <v>2757</v>
      </c>
      <c r="E1817" s="13" t="s">
        <v>1657</v>
      </c>
      <c r="F1817" t="str">
        <f t="shared" si="140"/>
        <v>Woodland</v>
      </c>
      <c r="G1817" t="str">
        <f t="shared" si="141"/>
        <v>Woodland2777Houston</v>
      </c>
      <c r="H1817" t="s">
        <v>32675</v>
      </c>
      <c r="I1817" t="s">
        <v>24102</v>
      </c>
      <c r="J1817" t="str">
        <f t="shared" si="142"/>
        <v>E:\PropInv\MF</v>
      </c>
      <c r="K1817" s="103" t="str">
        <f>HYPERLINK("E:\PropInv\MF\Houston\Woodland Park Dr_2777_Marquis at Westchase_Houston_02182","Woodland Park Dr_2777_Marquis at Westchase_Houston_02182" )</f>
        <v>Woodland Park Dr_2777_Marquis at Westchase_Houston_02182</v>
      </c>
      <c r="L1817" s="104" t="s">
        <v>22253</v>
      </c>
      <c r="M1817" s="103" t="str">
        <f t="shared" si="143"/>
        <v>http://oconnordata.com/mlink/modules/profile/index.cfm?action=profile&amp;prop_id=2182</v>
      </c>
      <c r="N1817" s="1" t="str">
        <f t="shared" si="144"/>
        <v>02182</v>
      </c>
    </row>
    <row r="1818" spans="1:14" x14ac:dyDescent="0.3">
      <c r="A1818" s="1">
        <v>2184</v>
      </c>
      <c r="B1818" s="7" t="s">
        <v>2758</v>
      </c>
      <c r="C1818" s="12">
        <v>11755</v>
      </c>
      <c r="D1818" s="7" t="s">
        <v>2759</v>
      </c>
      <c r="E1818" s="13" t="s">
        <v>1657</v>
      </c>
      <c r="F1818" t="str">
        <f t="shared" si="140"/>
        <v>Southlake</v>
      </c>
      <c r="G1818" t="str">
        <f t="shared" si="141"/>
        <v>Southlake11755Houston</v>
      </c>
      <c r="H1818" t="s">
        <v>32676</v>
      </c>
      <c r="I1818" t="s">
        <v>24103</v>
      </c>
      <c r="J1818" t="str">
        <f t="shared" si="142"/>
        <v>E:\PropInv\MF</v>
      </c>
      <c r="K1818" s="103" t="str">
        <f>HYPERLINK("E:\PropInv\MF\Houston\Southlake Dr_11755_Avalon at Royal Oaks I_Houston_02184","Southlake Dr_11755_Avalon at Royal Oaks I_Houston_02184" )</f>
        <v>Southlake Dr_11755_Avalon at Royal Oaks I_Houston_02184</v>
      </c>
      <c r="L1818" s="104" t="s">
        <v>22253</v>
      </c>
      <c r="M1818" s="103" t="str">
        <f t="shared" si="143"/>
        <v>http://oconnordata.com/mlink/modules/profile/index.cfm?action=profile&amp;prop_id=2184</v>
      </c>
      <c r="N1818" s="1" t="str">
        <f t="shared" si="144"/>
        <v>02184</v>
      </c>
    </row>
    <row r="1819" spans="1:14" x14ac:dyDescent="0.3">
      <c r="A1819" s="1">
        <v>2185</v>
      </c>
      <c r="B1819" s="10" t="s">
        <v>2638</v>
      </c>
      <c r="C1819" s="9">
        <v>10925</v>
      </c>
      <c r="D1819" s="10" t="s">
        <v>2760</v>
      </c>
      <c r="E1819" s="11" t="s">
        <v>1657</v>
      </c>
      <c r="F1819" t="str">
        <f t="shared" si="140"/>
        <v>Briar</v>
      </c>
      <c r="G1819" t="str">
        <f t="shared" si="141"/>
        <v>Briar10925Houston</v>
      </c>
      <c r="H1819" t="s">
        <v>32677</v>
      </c>
      <c r="I1819" t="s">
        <v>24104</v>
      </c>
      <c r="J1819" t="str">
        <f t="shared" si="142"/>
        <v>E:\PropInv\MF</v>
      </c>
      <c r="K1819" s="103" t="str">
        <f>HYPERLINK("E:\PropInv\MF\Houston\Briar Forest Dr_10925_La Mirage Resort_Houston_02185","Briar Forest Dr_10925_La Mirage Resort_Houston_02185" )</f>
        <v>Briar Forest Dr_10925_La Mirage Resort_Houston_02185</v>
      </c>
      <c r="L1819" s="104" t="s">
        <v>22253</v>
      </c>
      <c r="M1819" s="103" t="str">
        <f t="shared" si="143"/>
        <v>http://oconnordata.com/mlink/modules/profile/index.cfm?action=profile&amp;prop_id=2185</v>
      </c>
      <c r="N1819" s="1" t="str">
        <f t="shared" si="144"/>
        <v>02185</v>
      </c>
    </row>
    <row r="1820" spans="1:14" x14ac:dyDescent="0.3">
      <c r="A1820" s="1">
        <v>2186</v>
      </c>
      <c r="B1820" s="7" t="s">
        <v>2668</v>
      </c>
      <c r="C1820" s="12">
        <v>10950</v>
      </c>
      <c r="D1820" s="7" t="s">
        <v>2761</v>
      </c>
      <c r="E1820" s="13" t="s">
        <v>1657</v>
      </c>
      <c r="F1820" t="str">
        <f t="shared" si="140"/>
        <v>Briar</v>
      </c>
      <c r="G1820" t="str">
        <f t="shared" si="141"/>
        <v>Briar10950Houston</v>
      </c>
      <c r="H1820" t="s">
        <v>32678</v>
      </c>
      <c r="I1820" t="s">
        <v>24105</v>
      </c>
      <c r="J1820" t="str">
        <f t="shared" si="142"/>
        <v>E:\PropInv\MF</v>
      </c>
      <c r="K1820" s="103" t="str">
        <f>HYPERLINK("E:\PropInv\MF\Houston\Briar Forest_10950_Park at Lakeside II_Houston_02186","Briar Forest_10950_Park at Lakeside II_Houston_02186" )</f>
        <v>Briar Forest_10950_Park at Lakeside II_Houston_02186</v>
      </c>
      <c r="L1820" s="104" t="s">
        <v>22253</v>
      </c>
      <c r="M1820" s="103" t="str">
        <f t="shared" si="143"/>
        <v>http://oconnordata.com/mlink/modules/profile/index.cfm?action=profile&amp;prop_id=2186</v>
      </c>
      <c r="N1820" s="1" t="str">
        <f t="shared" si="144"/>
        <v>02186</v>
      </c>
    </row>
    <row r="1821" spans="1:14" x14ac:dyDescent="0.3">
      <c r="A1821" s="1">
        <v>2187</v>
      </c>
      <c r="B1821" s="7" t="s">
        <v>2762</v>
      </c>
      <c r="C1821" s="12">
        <v>10440</v>
      </c>
      <c r="D1821" s="7" t="s">
        <v>2763</v>
      </c>
      <c r="E1821" s="13" t="s">
        <v>1657</v>
      </c>
      <c r="F1821" t="str">
        <f t="shared" si="140"/>
        <v>Valley</v>
      </c>
      <c r="G1821" t="str">
        <f t="shared" si="141"/>
        <v>Valley10440Houston</v>
      </c>
      <c r="H1821" t="s">
        <v>32679</v>
      </c>
      <c r="I1821" t="s">
        <v>24106</v>
      </c>
      <c r="J1821" t="str">
        <f t="shared" si="142"/>
        <v>E:\PropInv\MF</v>
      </c>
      <c r="K1821" s="103" t="str">
        <f>HYPERLINK("E:\PropInv\MF\Houston\Valley Forge_10440_Amherst_Houston_02187","Valley Forge_10440_Amherst_Houston_02187" )</f>
        <v>Valley Forge_10440_Amherst_Houston_02187</v>
      </c>
      <c r="L1821" s="104" t="s">
        <v>22253</v>
      </c>
      <c r="M1821" s="103" t="str">
        <f t="shared" si="143"/>
        <v>http://oconnordata.com/mlink/modules/profile/index.cfm?action=profile&amp;prop_id=2187</v>
      </c>
      <c r="N1821" s="1" t="str">
        <f t="shared" si="144"/>
        <v>02187</v>
      </c>
    </row>
    <row r="1822" spans="1:14" x14ac:dyDescent="0.3">
      <c r="A1822" s="1">
        <v>2188</v>
      </c>
      <c r="B1822" s="7" t="s">
        <v>2764</v>
      </c>
      <c r="C1822" s="12">
        <v>2750</v>
      </c>
      <c r="D1822" s="7" t="s">
        <v>2765</v>
      </c>
      <c r="E1822" s="13" t="s">
        <v>1657</v>
      </c>
      <c r="F1822" t="str">
        <f t="shared" si="140"/>
        <v>Wallingford</v>
      </c>
      <c r="G1822" t="str">
        <f t="shared" si="141"/>
        <v>Wallingford2750Houston</v>
      </c>
      <c r="H1822" t="s">
        <v>32680</v>
      </c>
      <c r="I1822" t="s">
        <v>24107</v>
      </c>
      <c r="J1822" t="str">
        <f t="shared" si="142"/>
        <v>E:\PropInv\MF</v>
      </c>
      <c r="K1822" s="103" t="str">
        <f>HYPERLINK("E:\PropInv\MF\Houston\Wallingford Dr_2750_Wallingford_Houston_02188","Wallingford Dr_2750_Wallingford_Houston_02188" )</f>
        <v>Wallingford Dr_2750_Wallingford_Houston_02188</v>
      </c>
      <c r="L1822" s="104" t="s">
        <v>22253</v>
      </c>
      <c r="M1822" s="103" t="str">
        <f t="shared" si="143"/>
        <v>http://oconnordata.com/mlink/modules/profile/index.cfm?action=profile&amp;prop_id=2188</v>
      </c>
      <c r="N1822" s="1" t="str">
        <f t="shared" si="144"/>
        <v>02188</v>
      </c>
    </row>
    <row r="1823" spans="1:14" x14ac:dyDescent="0.3">
      <c r="A1823" s="1">
        <v>2189</v>
      </c>
      <c r="B1823" s="7" t="s">
        <v>2671</v>
      </c>
      <c r="C1823" s="12">
        <v>2300</v>
      </c>
      <c r="D1823" s="7" t="s">
        <v>2766</v>
      </c>
      <c r="E1823" s="13" t="s">
        <v>1657</v>
      </c>
      <c r="F1823" t="str">
        <f t="shared" si="140"/>
        <v>Wilcrest</v>
      </c>
      <c r="G1823" t="str">
        <f t="shared" si="141"/>
        <v>Wilcrest2300Houston</v>
      </c>
      <c r="H1823" t="s">
        <v>32681</v>
      </c>
      <c r="I1823" t="s">
        <v>24108</v>
      </c>
      <c r="J1823" t="str">
        <f t="shared" si="142"/>
        <v>E:\PropInv\MF</v>
      </c>
      <c r="K1823" s="103" t="str">
        <f>HYPERLINK("E:\PropInv\MF\Houston\Wilcrest_2300_Crest_Houston_02189","Wilcrest_2300_Crest_Houston_02189" )</f>
        <v>Wilcrest_2300_Crest_Houston_02189</v>
      </c>
      <c r="L1823" s="104" t="s">
        <v>22253</v>
      </c>
      <c r="M1823" s="103" t="str">
        <f t="shared" si="143"/>
        <v>http://oconnordata.com/mlink/modules/profile/index.cfm?action=profile&amp;prop_id=2189</v>
      </c>
      <c r="N1823" s="1" t="str">
        <f t="shared" si="144"/>
        <v>02189</v>
      </c>
    </row>
    <row r="1824" spans="1:14" x14ac:dyDescent="0.3">
      <c r="A1824" s="1">
        <v>2190</v>
      </c>
      <c r="B1824" s="7" t="s">
        <v>2767</v>
      </c>
      <c r="C1824" s="12">
        <v>10010</v>
      </c>
      <c r="D1824" s="7" t="s">
        <v>291</v>
      </c>
      <c r="E1824" s="13" t="s">
        <v>1657</v>
      </c>
      <c r="F1824" t="str">
        <f t="shared" si="140"/>
        <v>Westpark</v>
      </c>
      <c r="G1824" t="str">
        <f t="shared" si="141"/>
        <v>Westpark10010Houston</v>
      </c>
      <c r="H1824" t="s">
        <v>32682</v>
      </c>
      <c r="I1824" t="s">
        <v>24109</v>
      </c>
      <c r="J1824" t="str">
        <f t="shared" si="142"/>
        <v>E:\PropInv\MF</v>
      </c>
      <c r="K1824" s="103" t="str">
        <f>HYPERLINK("E:\PropInv\MF\Houston\Westpark Dr_10010_Park Plaza_Houston_02190","Westpark Dr_10010_Park Plaza_Houston_02190" )</f>
        <v>Westpark Dr_10010_Park Plaza_Houston_02190</v>
      </c>
      <c r="L1824" s="104" t="s">
        <v>22253</v>
      </c>
      <c r="M1824" s="103" t="str">
        <f t="shared" si="143"/>
        <v>http://oconnordata.com/mlink/modules/profile/index.cfm?action=profile&amp;prop_id=2190</v>
      </c>
      <c r="N1824" s="1" t="str">
        <f t="shared" si="144"/>
        <v>02190</v>
      </c>
    </row>
    <row r="1825" spans="1:14" x14ac:dyDescent="0.3">
      <c r="A1825" s="1">
        <v>2191</v>
      </c>
      <c r="B1825" s="7" t="s">
        <v>2768</v>
      </c>
      <c r="C1825" s="12">
        <v>10100</v>
      </c>
      <c r="D1825" s="7" t="s">
        <v>2769</v>
      </c>
      <c r="E1825" s="13" t="s">
        <v>1657</v>
      </c>
      <c r="F1825" t="str">
        <f t="shared" si="140"/>
        <v>Westpark</v>
      </c>
      <c r="G1825" t="str">
        <f t="shared" si="141"/>
        <v>Westpark10100Houston</v>
      </c>
      <c r="H1825" t="s">
        <v>32683</v>
      </c>
      <c r="I1825" t="s">
        <v>24110</v>
      </c>
      <c r="J1825" t="str">
        <f t="shared" si="142"/>
        <v>E:\PropInv\MF</v>
      </c>
      <c r="K1825" s="103" t="str">
        <f>HYPERLINK("E:\PropInv\MF\Houston\Westpark_10100_Willow Falls_Houston_02191","Westpark_10100_Willow Falls_Houston_02191" )</f>
        <v>Westpark_10100_Willow Falls_Houston_02191</v>
      </c>
      <c r="L1825" s="104" t="s">
        <v>22253</v>
      </c>
      <c r="M1825" s="103" t="str">
        <f t="shared" si="143"/>
        <v>http://oconnordata.com/mlink/modules/profile/index.cfm?action=profile&amp;prop_id=2191</v>
      </c>
      <c r="N1825" s="1" t="str">
        <f t="shared" si="144"/>
        <v>02191</v>
      </c>
    </row>
    <row r="1826" spans="1:14" x14ac:dyDescent="0.3">
      <c r="A1826" s="1">
        <v>2192</v>
      </c>
      <c r="B1826" s="7" t="s">
        <v>2729</v>
      </c>
      <c r="C1826" s="12">
        <v>10936</v>
      </c>
      <c r="D1826" s="7" t="s">
        <v>2770</v>
      </c>
      <c r="E1826" s="13" t="s">
        <v>1657</v>
      </c>
      <c r="F1826" t="str">
        <f t="shared" si="140"/>
        <v>Meadowglen</v>
      </c>
      <c r="G1826" t="str">
        <f t="shared" si="141"/>
        <v>Meadowglen10936Houston</v>
      </c>
      <c r="H1826" t="s">
        <v>32684</v>
      </c>
      <c r="I1826" t="s">
        <v>24111</v>
      </c>
      <c r="J1826" t="str">
        <f t="shared" si="142"/>
        <v>E:\PropInv\MF</v>
      </c>
      <c r="K1826" s="103" t="str">
        <f>HYPERLINK("E:\PropInv\MF\Houston\Meadowglen Ln_10936_Celebration at Westchase I_Houston_02192","Meadowglen Ln_10936_Celebration at Westchase I_Houston_02192" )</f>
        <v>Meadowglen Ln_10936_Celebration at Westchase I_Houston_02192</v>
      </c>
      <c r="L1826" s="104" t="s">
        <v>22253</v>
      </c>
      <c r="M1826" s="103" t="str">
        <f t="shared" si="143"/>
        <v>http://oconnordata.com/mlink/modules/profile/index.cfm?action=profile&amp;prop_id=2192</v>
      </c>
      <c r="N1826" s="1" t="str">
        <f t="shared" si="144"/>
        <v>02192</v>
      </c>
    </row>
    <row r="1827" spans="1:14" x14ac:dyDescent="0.3">
      <c r="A1827" s="1">
        <v>2193</v>
      </c>
      <c r="B1827" s="7" t="s">
        <v>2771</v>
      </c>
      <c r="C1827" s="12">
        <v>10940</v>
      </c>
      <c r="D1827" s="7" t="s">
        <v>2772</v>
      </c>
      <c r="E1827" s="13" t="s">
        <v>1657</v>
      </c>
      <c r="F1827" t="str">
        <f t="shared" si="140"/>
        <v>Meadowglen</v>
      </c>
      <c r="G1827" t="str">
        <f t="shared" si="141"/>
        <v>Meadowglen10940Houston</v>
      </c>
      <c r="H1827" t="s">
        <v>32685</v>
      </c>
      <c r="I1827" t="s">
        <v>24112</v>
      </c>
      <c r="J1827" t="str">
        <f t="shared" si="142"/>
        <v>E:\PropInv\MF</v>
      </c>
      <c r="K1827" s="103" t="str">
        <f>HYPERLINK("E:\PropInv\MF\Houston\Meadowglen_10940_Celebration at Westchase II_Houston_02193","Meadowglen_10940_Celebration at Westchase II_Houston_02193" )</f>
        <v>Meadowglen_10940_Celebration at Westchase II_Houston_02193</v>
      </c>
      <c r="L1827" s="104" t="s">
        <v>22253</v>
      </c>
      <c r="M1827" s="103" t="str">
        <f t="shared" si="143"/>
        <v>http://oconnordata.com/mlink/modules/profile/index.cfm?action=profile&amp;prop_id=2193</v>
      </c>
      <c r="N1827" s="1" t="str">
        <f t="shared" si="144"/>
        <v>02193</v>
      </c>
    </row>
    <row r="1828" spans="1:14" x14ac:dyDescent="0.3">
      <c r="A1828" s="1">
        <v>2194</v>
      </c>
      <c r="B1828" s="7" t="s">
        <v>2729</v>
      </c>
      <c r="C1828" s="12">
        <v>10751</v>
      </c>
      <c r="D1828" s="7" t="s">
        <v>2773</v>
      </c>
      <c r="E1828" s="13" t="s">
        <v>1657</v>
      </c>
      <c r="F1828" t="str">
        <f t="shared" si="140"/>
        <v>Meadowglen</v>
      </c>
      <c r="G1828" t="str">
        <f t="shared" si="141"/>
        <v>Meadowglen10751Houston</v>
      </c>
      <c r="H1828" t="s">
        <v>32686</v>
      </c>
      <c r="I1828" t="s">
        <v>24113</v>
      </c>
      <c r="J1828" t="str">
        <f t="shared" si="142"/>
        <v>E:\PropInv\MF</v>
      </c>
      <c r="K1828" s="103" t="str">
        <f>HYPERLINK("E:\PropInv\MF\Houston\Meadowglen Ln_10751_Meadowchase_Houston_02194","Meadowglen Ln_10751_Meadowchase_Houston_02194" )</f>
        <v>Meadowglen Ln_10751_Meadowchase_Houston_02194</v>
      </c>
      <c r="L1828" s="104" t="s">
        <v>22253</v>
      </c>
      <c r="M1828" s="103" t="str">
        <f t="shared" si="143"/>
        <v>http://oconnordata.com/mlink/modules/profile/index.cfm?action=profile&amp;prop_id=2194</v>
      </c>
      <c r="N1828" s="1" t="str">
        <f t="shared" si="144"/>
        <v>02194</v>
      </c>
    </row>
    <row r="1829" spans="1:14" x14ac:dyDescent="0.3">
      <c r="A1829" s="1">
        <v>2195</v>
      </c>
      <c r="B1829" s="7" t="s">
        <v>2771</v>
      </c>
      <c r="C1829" s="12">
        <v>10901</v>
      </c>
      <c r="D1829" s="7" t="s">
        <v>2774</v>
      </c>
      <c r="E1829" s="13" t="s">
        <v>1657</v>
      </c>
      <c r="F1829" t="str">
        <f t="shared" si="140"/>
        <v>Meadowglen</v>
      </c>
      <c r="G1829" t="str">
        <f t="shared" si="141"/>
        <v>Meadowglen10901Houston</v>
      </c>
      <c r="H1829" t="s">
        <v>32687</v>
      </c>
      <c r="I1829" t="s">
        <v>24114</v>
      </c>
      <c r="J1829" t="str">
        <f t="shared" si="142"/>
        <v>E:\PropInv\MF</v>
      </c>
      <c r="K1829" s="103" t="str">
        <f>HYPERLINK("E:\PropInv\MF\Houston\Meadowglen_10901_Cambridge Place_Houston_02195","Meadowglen_10901_Cambridge Place_Houston_02195" )</f>
        <v>Meadowglen_10901_Cambridge Place_Houston_02195</v>
      </c>
      <c r="L1829" s="104" t="s">
        <v>22253</v>
      </c>
      <c r="M1829" s="103" t="str">
        <f t="shared" si="143"/>
        <v>http://oconnordata.com/mlink/modules/profile/index.cfm?action=profile&amp;prop_id=2195</v>
      </c>
      <c r="N1829" s="1" t="str">
        <f t="shared" si="144"/>
        <v>02195</v>
      </c>
    </row>
    <row r="1830" spans="1:14" x14ac:dyDescent="0.3">
      <c r="A1830" s="1">
        <v>2196</v>
      </c>
      <c r="B1830" s="7" t="s">
        <v>2310</v>
      </c>
      <c r="C1830" s="12">
        <v>1275</v>
      </c>
      <c r="D1830" s="7" t="s">
        <v>2775</v>
      </c>
      <c r="E1830" s="13" t="s">
        <v>1657</v>
      </c>
      <c r="F1830" t="str">
        <f t="shared" si="140"/>
        <v>Witte</v>
      </c>
      <c r="G1830" t="str">
        <f t="shared" si="141"/>
        <v>Witte1275Houston</v>
      </c>
      <c r="H1830" t="s">
        <v>32688</v>
      </c>
      <c r="I1830" t="s">
        <v>24115</v>
      </c>
      <c r="J1830" t="str">
        <f t="shared" si="142"/>
        <v>E:\PropInv\MF</v>
      </c>
      <c r="K1830" s="103" t="str">
        <f>HYPERLINK("E:\PropInv\MF\Houston\Witte_1275_Westview Court_Houston_02196","Witte_1275_Westview Court_Houston_02196" )</f>
        <v>Witte_1275_Westview Court_Houston_02196</v>
      </c>
      <c r="L1830" s="104" t="s">
        <v>22253</v>
      </c>
      <c r="M1830" s="103" t="str">
        <f t="shared" si="143"/>
        <v>http://oconnordata.com/mlink/modules/profile/index.cfm?action=profile&amp;prop_id=2196</v>
      </c>
      <c r="N1830" s="1" t="str">
        <f t="shared" si="144"/>
        <v>02196</v>
      </c>
    </row>
    <row r="1831" spans="1:14" x14ac:dyDescent="0.3">
      <c r="A1831" s="1">
        <v>2197</v>
      </c>
      <c r="B1831" s="7" t="s">
        <v>2776</v>
      </c>
      <c r="C1831" s="12">
        <v>11900</v>
      </c>
      <c r="D1831" s="7" t="s">
        <v>2777</v>
      </c>
      <c r="E1831" s="13" t="s">
        <v>1657</v>
      </c>
      <c r="F1831" t="str">
        <f t="shared" si="140"/>
        <v>Barryknoll</v>
      </c>
      <c r="G1831" t="str">
        <f t="shared" si="141"/>
        <v>Barryknoll11900Houston</v>
      </c>
      <c r="H1831" t="s">
        <v>32689</v>
      </c>
      <c r="I1831" t="s">
        <v>24116</v>
      </c>
      <c r="J1831" t="str">
        <f t="shared" si="142"/>
        <v>E:\PropInv\MF</v>
      </c>
      <c r="K1831" s="103" t="str">
        <f>HYPERLINK("E:\PropInv\MF\Houston\Barryknoll_11900_Terrace at Memorial City_Houston_02197","Barryknoll_11900_Terrace at Memorial City_Houston_02197" )</f>
        <v>Barryknoll_11900_Terrace at Memorial City_Houston_02197</v>
      </c>
      <c r="L1831" s="104" t="s">
        <v>22253</v>
      </c>
      <c r="M1831" s="103" t="str">
        <f t="shared" si="143"/>
        <v>http://oconnordata.com/mlink/modules/profile/index.cfm?action=profile&amp;prop_id=2197</v>
      </c>
      <c r="N1831" s="1" t="str">
        <f t="shared" si="144"/>
        <v>02197</v>
      </c>
    </row>
    <row r="1832" spans="1:14" x14ac:dyDescent="0.3">
      <c r="A1832" s="97">
        <v>2201</v>
      </c>
      <c r="B1832" s="7" t="s">
        <v>2668</v>
      </c>
      <c r="C1832" s="12">
        <v>9449</v>
      </c>
      <c r="D1832" s="7" t="s">
        <v>2778</v>
      </c>
      <c r="E1832" s="13" t="s">
        <v>1657</v>
      </c>
      <c r="F1832" t="str">
        <f t="shared" si="140"/>
        <v>Briar</v>
      </c>
      <c r="G1832" t="str">
        <f t="shared" si="141"/>
        <v>Briar9449Houston</v>
      </c>
      <c r="H1832" t="s">
        <v>32690</v>
      </c>
      <c r="I1832" t="s">
        <v>24117</v>
      </c>
      <c r="J1832" t="str">
        <f t="shared" si="142"/>
        <v>E:\PropInv\MF</v>
      </c>
      <c r="K1832" s="103" t="str">
        <f>HYPERLINK("E:\PropInv\MF\Houston\Briar Forest_9449_Woodlake on the Bayou_Houston_02201","Briar Forest_9449_Woodlake on the Bayou_Houston_02201" )</f>
        <v>Briar Forest_9449_Woodlake on the Bayou_Houston_02201</v>
      </c>
      <c r="L1832" s="104" t="s">
        <v>22253</v>
      </c>
      <c r="M1832" s="103" t="str">
        <f t="shared" si="143"/>
        <v>http://oconnordata.com/mlink/modules/profile/index.cfm?action=profile&amp;prop_id=2201</v>
      </c>
      <c r="N1832" s="1" t="str">
        <f t="shared" si="144"/>
        <v>02201</v>
      </c>
    </row>
    <row r="1833" spans="1:14" x14ac:dyDescent="0.3">
      <c r="A1833" s="1">
        <v>2202</v>
      </c>
      <c r="B1833" s="7" t="s">
        <v>2779</v>
      </c>
      <c r="C1833" s="12">
        <v>2717</v>
      </c>
      <c r="D1833" s="7" t="s">
        <v>2779</v>
      </c>
      <c r="E1833" s="13" t="s">
        <v>1657</v>
      </c>
      <c r="F1833" t="str">
        <f t="shared" si="140"/>
        <v>Stoney</v>
      </c>
      <c r="G1833" t="str">
        <f t="shared" si="141"/>
        <v>Stoney2717Houston</v>
      </c>
      <c r="H1833" t="s">
        <v>32691</v>
      </c>
      <c r="I1833" t="s">
        <v>17141</v>
      </c>
      <c r="J1833" t="str">
        <f t="shared" si="142"/>
        <v>E:\PropInv\MF</v>
      </c>
      <c r="K1833" s="103" t="str">
        <f>HYPERLINK("E:\PropInv\MF\Houston\Stoney Brook_2717_Stoney Brook_Houston_02202","Stoney Brook_2717_Stoney Brook_Houston_02202" )</f>
        <v>Stoney Brook_2717_Stoney Brook_Houston_02202</v>
      </c>
      <c r="L1833" s="104" t="s">
        <v>22253</v>
      </c>
      <c r="M1833" s="103" t="str">
        <f t="shared" si="143"/>
        <v>http://oconnordata.com/mlink/modules/profile/index.cfm?action=profile&amp;prop_id=2202</v>
      </c>
      <c r="N1833" s="1" t="str">
        <f t="shared" si="144"/>
        <v>02202</v>
      </c>
    </row>
    <row r="1834" spans="1:14" x14ac:dyDescent="0.3">
      <c r="A1834" s="1">
        <v>2203</v>
      </c>
      <c r="B1834" s="7" t="s">
        <v>2780</v>
      </c>
      <c r="C1834" s="12">
        <v>2424</v>
      </c>
      <c r="D1834" s="7" t="s">
        <v>2781</v>
      </c>
      <c r="E1834" s="13" t="s">
        <v>1657</v>
      </c>
      <c r="F1834" t="str">
        <f t="shared" si="140"/>
        <v>Voss</v>
      </c>
      <c r="G1834" t="str">
        <f t="shared" si="141"/>
        <v>Voss2424Houston</v>
      </c>
      <c r="H1834" t="s">
        <v>32692</v>
      </c>
      <c r="I1834" t="s">
        <v>24118</v>
      </c>
      <c r="J1834" t="str">
        <f t="shared" si="142"/>
        <v>E:\PropInv\MF</v>
      </c>
      <c r="K1834" s="103" t="str">
        <f>HYPERLINK("E:\PropInv\MF\Houston\Voss S_2424_The Park at Voss_Houston_02203","Voss S_2424_The Park at Voss_Houston_02203" )</f>
        <v>Voss S_2424_The Park at Voss_Houston_02203</v>
      </c>
      <c r="L1834" s="104" t="s">
        <v>22253</v>
      </c>
      <c r="M1834" s="103" t="str">
        <f t="shared" si="143"/>
        <v>http://oconnordata.com/mlink/modules/profile/index.cfm?action=profile&amp;prop_id=2203</v>
      </c>
      <c r="N1834" s="1" t="str">
        <f t="shared" si="144"/>
        <v>02203</v>
      </c>
    </row>
    <row r="1835" spans="1:14" x14ac:dyDescent="0.3">
      <c r="A1835" s="1">
        <v>2204</v>
      </c>
      <c r="B1835" s="7" t="s">
        <v>2780</v>
      </c>
      <c r="C1835" s="12">
        <v>2505</v>
      </c>
      <c r="D1835" s="7" t="s">
        <v>2782</v>
      </c>
      <c r="E1835" s="13" t="s">
        <v>1657</v>
      </c>
      <c r="F1835" t="str">
        <f t="shared" si="140"/>
        <v>Voss</v>
      </c>
      <c r="G1835" t="str">
        <f t="shared" si="141"/>
        <v>Voss2505Houston</v>
      </c>
      <c r="H1835" t="s">
        <v>32693</v>
      </c>
      <c r="I1835" t="s">
        <v>24119</v>
      </c>
      <c r="J1835" t="str">
        <f t="shared" si="142"/>
        <v>E:\PropInv\MF</v>
      </c>
      <c r="K1835" s="103" t="str">
        <f>HYPERLINK("E:\PropInv\MF\Houston\Voss S_2505_Tuscany Park_Houston_02204","Voss S_2505_Tuscany Park_Houston_02204" )</f>
        <v>Voss S_2505_Tuscany Park_Houston_02204</v>
      </c>
      <c r="L1835" s="104" t="s">
        <v>22253</v>
      </c>
      <c r="M1835" s="103" t="str">
        <f t="shared" si="143"/>
        <v>http://oconnordata.com/mlink/modules/profile/index.cfm?action=profile&amp;prop_id=2204</v>
      </c>
      <c r="N1835" s="1" t="str">
        <f t="shared" si="144"/>
        <v>02204</v>
      </c>
    </row>
    <row r="1836" spans="1:14" x14ac:dyDescent="0.3">
      <c r="A1836" s="1">
        <v>2205</v>
      </c>
      <c r="B1836" s="7" t="s">
        <v>5</v>
      </c>
      <c r="C1836" s="12">
        <v>11770</v>
      </c>
      <c r="D1836" s="7" t="s">
        <v>2783</v>
      </c>
      <c r="E1836" s="13" t="s">
        <v>1657</v>
      </c>
      <c r="F1836" t="str">
        <f t="shared" si="140"/>
        <v>Westheimer</v>
      </c>
      <c r="G1836" t="str">
        <f t="shared" si="141"/>
        <v>Westheimer11770Houston</v>
      </c>
      <c r="H1836" t="s">
        <v>32694</v>
      </c>
      <c r="I1836" t="s">
        <v>24120</v>
      </c>
      <c r="J1836" t="str">
        <f t="shared" si="142"/>
        <v>E:\PropInv\MF</v>
      </c>
      <c r="K1836" s="103" t="str">
        <f>HYPERLINK("E:\PropInv\MF\Houston\Westheimer_11770_Water Song_Houston_02205","Westheimer_11770_Water Song_Houston_02205" )</f>
        <v>Westheimer_11770_Water Song_Houston_02205</v>
      </c>
      <c r="L1836" s="104" t="s">
        <v>22253</v>
      </c>
      <c r="M1836" s="103" t="str">
        <f t="shared" si="143"/>
        <v>http://oconnordata.com/mlink/modules/profile/index.cfm?action=profile&amp;prop_id=2205</v>
      </c>
      <c r="N1836" s="1" t="str">
        <f t="shared" si="144"/>
        <v>02205</v>
      </c>
    </row>
    <row r="1837" spans="1:14" x14ac:dyDescent="0.3">
      <c r="A1837" s="1">
        <v>2206</v>
      </c>
      <c r="B1837" s="7" t="s">
        <v>2719</v>
      </c>
      <c r="C1837" s="12">
        <v>3000</v>
      </c>
      <c r="D1837" s="7" t="s">
        <v>2784</v>
      </c>
      <c r="E1837" s="13" t="s">
        <v>1657</v>
      </c>
      <c r="F1837" t="str">
        <f t="shared" si="140"/>
        <v>Woodland</v>
      </c>
      <c r="G1837" t="str">
        <f t="shared" si="141"/>
        <v>Woodland3000Houston</v>
      </c>
      <c r="H1837" t="s">
        <v>32695</v>
      </c>
      <c r="I1837" t="s">
        <v>24121</v>
      </c>
      <c r="J1837" t="str">
        <f t="shared" si="142"/>
        <v>E:\PropInv\MF</v>
      </c>
      <c r="K1837" s="103" t="str">
        <f>HYPERLINK("E:\PropInv\MF\Houston\Woodland Park Dr_3000_Westchase Creek_Houston_02206","Woodland Park Dr_3000_Westchase Creek_Houston_02206" )</f>
        <v>Woodland Park Dr_3000_Westchase Creek_Houston_02206</v>
      </c>
      <c r="L1837" s="104" t="s">
        <v>22253</v>
      </c>
      <c r="M1837" s="103" t="str">
        <f t="shared" si="143"/>
        <v>http://oconnordata.com/mlink/modules/profile/index.cfm?action=profile&amp;prop_id=2206</v>
      </c>
      <c r="N1837" s="1" t="str">
        <f t="shared" si="144"/>
        <v>02206</v>
      </c>
    </row>
    <row r="1838" spans="1:14" x14ac:dyDescent="0.3">
      <c r="A1838" s="1">
        <v>2207</v>
      </c>
      <c r="B1838" s="7" t="s">
        <v>2732</v>
      </c>
      <c r="C1838" s="12">
        <v>3131</v>
      </c>
      <c r="D1838" s="7" t="s">
        <v>2785</v>
      </c>
      <c r="E1838" s="13" t="s">
        <v>1657</v>
      </c>
      <c r="F1838" t="str">
        <f t="shared" si="140"/>
        <v>Hayes</v>
      </c>
      <c r="G1838" t="str">
        <f t="shared" si="141"/>
        <v>Hayes3131Houston</v>
      </c>
      <c r="H1838" t="s">
        <v>32696</v>
      </c>
      <c r="I1838" t="s">
        <v>24122</v>
      </c>
      <c r="J1838" t="str">
        <f t="shared" si="142"/>
        <v>E:\PropInv\MF</v>
      </c>
      <c r="K1838" s="103" t="str">
        <f>HYPERLINK("E:\PropInv\MF\Houston\Hayes Rd_3131_Mediterra at Westchase_Houston_02207","Hayes Rd_3131_Mediterra at Westchase_Houston_02207" )</f>
        <v>Hayes Rd_3131_Mediterra at Westchase_Houston_02207</v>
      </c>
      <c r="L1838" s="104" t="s">
        <v>22253</v>
      </c>
      <c r="M1838" s="103" t="str">
        <f t="shared" si="143"/>
        <v>http://oconnordata.com/mlink/modules/profile/index.cfm?action=profile&amp;prop_id=2207</v>
      </c>
      <c r="N1838" s="1" t="str">
        <f t="shared" si="144"/>
        <v>02207</v>
      </c>
    </row>
    <row r="1839" spans="1:14" x14ac:dyDescent="0.3">
      <c r="A1839" s="1">
        <v>2208</v>
      </c>
      <c r="B1839" s="7" t="s">
        <v>2786</v>
      </c>
      <c r="C1839" s="12">
        <v>3225</v>
      </c>
      <c r="D1839" s="7" t="s">
        <v>2787</v>
      </c>
      <c r="E1839" s="13" t="s">
        <v>1657</v>
      </c>
      <c r="F1839" t="str">
        <f t="shared" si="140"/>
        <v>Woodland</v>
      </c>
      <c r="G1839" t="str">
        <f t="shared" si="141"/>
        <v>Woodland3225Houston</v>
      </c>
      <c r="H1839" t="s">
        <v>32697</v>
      </c>
      <c r="I1839" t="s">
        <v>24123</v>
      </c>
      <c r="J1839" t="str">
        <f t="shared" si="142"/>
        <v>E:\PropInv\MF</v>
      </c>
      <c r="K1839" s="103" t="str">
        <f>HYPERLINK("E:\PropInv\MF\Houston\Woodland Park_3225_Gramercy Park_Houston_02208","Woodland Park_3225_Gramercy Park_Houston_02208" )</f>
        <v>Woodland Park_3225_Gramercy Park_Houston_02208</v>
      </c>
      <c r="L1839" s="104" t="s">
        <v>22253</v>
      </c>
      <c r="M1839" s="103" t="str">
        <f t="shared" si="143"/>
        <v>http://oconnordata.com/mlink/modules/profile/index.cfm?action=profile&amp;prop_id=2208</v>
      </c>
      <c r="N1839" s="1" t="str">
        <f t="shared" si="144"/>
        <v>02208</v>
      </c>
    </row>
    <row r="1840" spans="1:14" x14ac:dyDescent="0.3">
      <c r="A1840" s="1">
        <v>2211</v>
      </c>
      <c r="B1840" s="7" t="s">
        <v>2768</v>
      </c>
      <c r="C1840" s="12">
        <v>10161</v>
      </c>
      <c r="D1840" s="7" t="s">
        <v>2788</v>
      </c>
      <c r="E1840" s="13" t="s">
        <v>1657</v>
      </c>
      <c r="F1840" t="str">
        <f t="shared" si="140"/>
        <v>Westpark</v>
      </c>
      <c r="G1840" t="str">
        <f t="shared" si="141"/>
        <v>Westpark10161Houston</v>
      </c>
      <c r="H1840" t="s">
        <v>32698</v>
      </c>
      <c r="I1840" t="s">
        <v>24124</v>
      </c>
      <c r="J1840" t="str">
        <f t="shared" si="142"/>
        <v>E:\PropInv\MF</v>
      </c>
      <c r="K1840" s="103" t="str">
        <f>HYPERLINK("E:\PropInv\MF\Houston\Westpark_10161_Parkwest Place_Houston_02211","Westpark_10161_Parkwest Place_Houston_02211" )</f>
        <v>Westpark_10161_Parkwest Place_Houston_02211</v>
      </c>
      <c r="L1840" s="104" t="s">
        <v>22253</v>
      </c>
      <c r="M1840" s="103" t="str">
        <f t="shared" si="143"/>
        <v>http://oconnordata.com/mlink/modules/profile/index.cfm?action=profile&amp;prop_id=2211</v>
      </c>
      <c r="N1840" s="1" t="str">
        <f t="shared" si="144"/>
        <v>02211</v>
      </c>
    </row>
    <row r="1841" spans="1:14" x14ac:dyDescent="0.3">
      <c r="A1841" s="1">
        <v>2212</v>
      </c>
      <c r="B1841" s="10" t="s">
        <v>2789</v>
      </c>
      <c r="C1841" s="9">
        <v>872</v>
      </c>
      <c r="D1841" s="10" t="s">
        <v>2790</v>
      </c>
      <c r="E1841" s="11" t="s">
        <v>1657</v>
      </c>
      <c r="F1841" t="str">
        <f t="shared" si="140"/>
        <v>Bettina</v>
      </c>
      <c r="G1841" t="str">
        <f t="shared" si="141"/>
        <v>Bettina872Houston</v>
      </c>
      <c r="H1841" t="s">
        <v>32699</v>
      </c>
      <c r="I1841" t="s">
        <v>24125</v>
      </c>
      <c r="J1841" t="str">
        <f t="shared" si="142"/>
        <v>E:\PropInv\MF</v>
      </c>
      <c r="K1841" s="103" t="str">
        <f>HYPERLINK("E:\PropInv\MF\Houston\Bettina Ct_872_Memorial City_Houston_02212","Bettina Ct_872_Memorial City_Houston_02212" )</f>
        <v>Bettina Ct_872_Memorial City_Houston_02212</v>
      </c>
      <c r="L1841" s="104" t="s">
        <v>22253</v>
      </c>
      <c r="M1841" s="103" t="str">
        <f t="shared" si="143"/>
        <v>http://oconnordata.com/mlink/modules/profile/index.cfm?action=profile&amp;prop_id=2212</v>
      </c>
      <c r="N1841" s="1" t="str">
        <f t="shared" si="144"/>
        <v>02212</v>
      </c>
    </row>
    <row r="1842" spans="1:14" x14ac:dyDescent="0.3">
      <c r="A1842" s="1">
        <v>2213</v>
      </c>
      <c r="B1842" s="7" t="s">
        <v>2791</v>
      </c>
      <c r="C1842" s="12">
        <v>10060</v>
      </c>
      <c r="D1842" s="7" t="s">
        <v>2792</v>
      </c>
      <c r="E1842" s="13" t="s">
        <v>1657</v>
      </c>
      <c r="F1842" t="str">
        <f t="shared" si="140"/>
        <v>Old</v>
      </c>
      <c r="G1842" t="str">
        <f t="shared" si="141"/>
        <v>Old10060Houston</v>
      </c>
      <c r="H1842" t="s">
        <v>32700</v>
      </c>
      <c r="I1842" t="s">
        <v>24126</v>
      </c>
      <c r="J1842" t="str">
        <f t="shared" si="142"/>
        <v>E:\PropInv\MF</v>
      </c>
      <c r="K1842" s="103" t="str">
        <f>HYPERLINK("E:\PropInv\MF\Houston\Old Katy Rd_10060_Ivy Club_Houston_02213","Old Katy Rd_10060_Ivy Club_Houston_02213" )</f>
        <v>Old Katy Rd_10060_Ivy Club_Houston_02213</v>
      </c>
      <c r="L1842" s="104" t="s">
        <v>22253</v>
      </c>
      <c r="M1842" s="103" t="str">
        <f t="shared" si="143"/>
        <v>http://oconnordata.com/mlink/modules/profile/index.cfm?action=profile&amp;prop_id=2213</v>
      </c>
      <c r="N1842" s="1" t="str">
        <f t="shared" si="144"/>
        <v>02213</v>
      </c>
    </row>
    <row r="1843" spans="1:14" x14ac:dyDescent="0.3">
      <c r="A1843" s="1">
        <v>2214</v>
      </c>
      <c r="B1843" s="7" t="s">
        <v>2764</v>
      </c>
      <c r="C1843" s="12">
        <v>2851</v>
      </c>
      <c r="D1843" s="7" t="s">
        <v>2793</v>
      </c>
      <c r="E1843" s="13" t="s">
        <v>1657</v>
      </c>
      <c r="F1843" t="str">
        <f t="shared" si="140"/>
        <v>Wallingford</v>
      </c>
      <c r="G1843" t="str">
        <f t="shared" si="141"/>
        <v>Wallingford2851Houston</v>
      </c>
      <c r="H1843" t="s">
        <v>32701</v>
      </c>
      <c r="I1843" t="s">
        <v>24127</v>
      </c>
      <c r="J1843" t="str">
        <f t="shared" si="142"/>
        <v>E:\PropInv\MF</v>
      </c>
      <c r="K1843" s="103" t="str">
        <f>HYPERLINK("E:\PropInv\MF\Houston\Wallingford Dr_2851_The Oaks of Westchase_Houston_02214","Wallingford Dr_2851_The Oaks of Westchase_Houston_02214" )</f>
        <v>Wallingford Dr_2851_The Oaks of Westchase_Houston_02214</v>
      </c>
      <c r="L1843" s="104" t="s">
        <v>22253</v>
      </c>
      <c r="M1843" s="103" t="str">
        <f t="shared" si="143"/>
        <v>http://oconnordata.com/mlink/modules/profile/index.cfm?action=profile&amp;prop_id=2214</v>
      </c>
      <c r="N1843" s="1" t="str">
        <f t="shared" si="144"/>
        <v>02214</v>
      </c>
    </row>
    <row r="1844" spans="1:14" x14ac:dyDescent="0.3">
      <c r="A1844" s="1">
        <v>2215</v>
      </c>
      <c r="B1844" s="7" t="s">
        <v>2794</v>
      </c>
      <c r="C1844" s="12">
        <v>2801</v>
      </c>
      <c r="D1844" s="7" t="s">
        <v>2795</v>
      </c>
      <c r="E1844" s="13" t="s">
        <v>1657</v>
      </c>
      <c r="F1844" t="str">
        <f t="shared" si="140"/>
        <v>Walnut</v>
      </c>
      <c r="G1844" t="str">
        <f t="shared" si="141"/>
        <v>Walnut2801Houston</v>
      </c>
      <c r="H1844" t="s">
        <v>32702</v>
      </c>
      <c r="I1844" t="s">
        <v>24128</v>
      </c>
      <c r="J1844" t="str">
        <f t="shared" si="142"/>
        <v>E:\PropInv\MF</v>
      </c>
      <c r="K1844" s="103" t="str">
        <f>HYPERLINK("E:\PropInv\MF\Houston\Walnut Bend_2801_Walnut Terrace_Houston_02215","Walnut Bend_2801_Walnut Terrace_Houston_02215" )</f>
        <v>Walnut Bend_2801_Walnut Terrace_Houston_02215</v>
      </c>
      <c r="L1844" s="104" t="s">
        <v>22253</v>
      </c>
      <c r="M1844" s="103" t="str">
        <f t="shared" si="143"/>
        <v>http://oconnordata.com/mlink/modules/profile/index.cfm?action=profile&amp;prop_id=2215</v>
      </c>
      <c r="N1844" s="1" t="str">
        <f t="shared" si="144"/>
        <v>02215</v>
      </c>
    </row>
    <row r="1845" spans="1:14" x14ac:dyDescent="0.3">
      <c r="A1845" s="1">
        <v>2216</v>
      </c>
      <c r="B1845" s="7" t="s">
        <v>2796</v>
      </c>
      <c r="C1845" s="12">
        <v>2828</v>
      </c>
      <c r="D1845" s="7" t="s">
        <v>2797</v>
      </c>
      <c r="E1845" s="13" t="s">
        <v>1657</v>
      </c>
      <c r="F1845" t="str">
        <f t="shared" si="140"/>
        <v>Rogerdale</v>
      </c>
      <c r="G1845" t="str">
        <f t="shared" si="141"/>
        <v>Rogerdale2828Houston</v>
      </c>
      <c r="H1845" t="s">
        <v>32703</v>
      </c>
      <c r="I1845" t="s">
        <v>24129</v>
      </c>
      <c r="J1845" t="str">
        <f t="shared" si="142"/>
        <v>E:\PropInv\MF</v>
      </c>
      <c r="K1845" s="103" t="str">
        <f>HYPERLINK("E:\PropInv\MF\Houston\Rogerdale_2828_Walden of Westchase_Houston_02216","Rogerdale_2828_Walden of Westchase_Houston_02216" )</f>
        <v>Rogerdale_2828_Walden of Westchase_Houston_02216</v>
      </c>
      <c r="L1845" s="104" t="s">
        <v>22253</v>
      </c>
      <c r="M1845" s="103" t="str">
        <f t="shared" si="143"/>
        <v>http://oconnordata.com/mlink/modules/profile/index.cfm?action=profile&amp;prop_id=2216</v>
      </c>
      <c r="N1845" s="1" t="str">
        <f t="shared" si="144"/>
        <v>02216</v>
      </c>
    </row>
    <row r="1846" spans="1:14" x14ac:dyDescent="0.3">
      <c r="A1846" s="1">
        <v>2217</v>
      </c>
      <c r="B1846" s="7" t="s">
        <v>2798</v>
      </c>
      <c r="C1846" s="12">
        <v>3354</v>
      </c>
      <c r="D1846" s="7" t="s">
        <v>2799</v>
      </c>
      <c r="E1846" s="13" t="s">
        <v>1657</v>
      </c>
      <c r="F1846" t="str">
        <f t="shared" si="140"/>
        <v>Rogerdale</v>
      </c>
      <c r="G1846" t="str">
        <f t="shared" si="141"/>
        <v>Rogerdale3354Houston</v>
      </c>
      <c r="H1846" t="s">
        <v>32704</v>
      </c>
      <c r="I1846" t="s">
        <v>24130</v>
      </c>
      <c r="J1846" t="str">
        <f t="shared" si="142"/>
        <v>E:\PropInv\MF</v>
      </c>
      <c r="K1846" s="103" t="str">
        <f>HYPERLINK("E:\PropInv\MF\Houston\Rogerdale Rd_3354_Western Ridge_Houston_02217","Rogerdale Rd_3354_Western Ridge_Houston_02217" )</f>
        <v>Rogerdale Rd_3354_Western Ridge_Houston_02217</v>
      </c>
      <c r="L1846" s="104" t="s">
        <v>22253</v>
      </c>
      <c r="M1846" s="103" t="str">
        <f t="shared" si="143"/>
        <v>http://oconnordata.com/mlink/modules/profile/index.cfm?action=profile&amp;prop_id=2217</v>
      </c>
      <c r="N1846" s="1" t="str">
        <f t="shared" si="144"/>
        <v>02217</v>
      </c>
    </row>
    <row r="1847" spans="1:14" x14ac:dyDescent="0.3">
      <c r="A1847" s="1">
        <v>2218</v>
      </c>
      <c r="B1847" s="7" t="s">
        <v>2800</v>
      </c>
      <c r="C1847" s="12">
        <v>2200</v>
      </c>
      <c r="D1847" s="7" t="s">
        <v>2801</v>
      </c>
      <c r="E1847" s="13" t="s">
        <v>1657</v>
      </c>
      <c r="F1847" t="str">
        <f t="shared" si="140"/>
        <v>Gessner</v>
      </c>
      <c r="G1847" t="str">
        <f t="shared" si="141"/>
        <v>Gessner2200Houston</v>
      </c>
      <c r="H1847" t="s">
        <v>32705</v>
      </c>
      <c r="I1847" t="s">
        <v>24131</v>
      </c>
      <c r="J1847" t="str">
        <f t="shared" si="142"/>
        <v>E:\PropInv\MF</v>
      </c>
      <c r="K1847" s="103" t="str">
        <f>HYPERLINK("E:\PropInv\MF\Houston\Gessner S_2200_Sunblossom at Woodlake_Houston_02218","Gessner S_2200_Sunblossom at Woodlake_Houston_02218" )</f>
        <v>Gessner S_2200_Sunblossom at Woodlake_Houston_02218</v>
      </c>
      <c r="L1847" s="104" t="s">
        <v>22253</v>
      </c>
      <c r="M1847" s="103" t="str">
        <f t="shared" si="143"/>
        <v>http://oconnordata.com/mlink/modules/profile/index.cfm?action=profile&amp;prop_id=2218</v>
      </c>
      <c r="N1847" s="1" t="str">
        <f t="shared" si="144"/>
        <v>02218</v>
      </c>
    </row>
    <row r="1848" spans="1:14" x14ac:dyDescent="0.3">
      <c r="A1848" s="1">
        <v>2219</v>
      </c>
      <c r="B1848" s="7" t="s">
        <v>2802</v>
      </c>
      <c r="C1848" s="12">
        <v>2727</v>
      </c>
      <c r="D1848" s="7" t="s">
        <v>2803</v>
      </c>
      <c r="E1848" s="13" t="s">
        <v>1657</v>
      </c>
      <c r="F1848" t="str">
        <f t="shared" si="140"/>
        <v>Elmside</v>
      </c>
      <c r="G1848" t="str">
        <f t="shared" si="141"/>
        <v>Elmside2727Houston</v>
      </c>
      <c r="H1848" t="s">
        <v>32706</v>
      </c>
      <c r="I1848" t="s">
        <v>24132</v>
      </c>
      <c r="J1848" t="str">
        <f t="shared" si="142"/>
        <v>E:\PropInv\MF</v>
      </c>
      <c r="K1848" s="103" t="str">
        <f>HYPERLINK("E:\PropInv\MF\Houston\Elmside_2727_Parc Royale_Houston_02219","Elmside_2727_Parc Royale_Houston_02219" )</f>
        <v>Elmside_2727_Parc Royale_Houston_02219</v>
      </c>
      <c r="L1848" s="104" t="s">
        <v>22253</v>
      </c>
      <c r="M1848" s="103" t="str">
        <f t="shared" si="143"/>
        <v>http://oconnordata.com/mlink/modules/profile/index.cfm?action=profile&amp;prop_id=2219</v>
      </c>
      <c r="N1848" s="1" t="str">
        <f t="shared" si="144"/>
        <v>02219</v>
      </c>
    </row>
    <row r="1849" spans="1:14" x14ac:dyDescent="0.3">
      <c r="A1849" s="1">
        <v>2221</v>
      </c>
      <c r="B1849" s="7" t="s">
        <v>2675</v>
      </c>
      <c r="C1849" s="12">
        <v>10777</v>
      </c>
      <c r="D1849" s="7" t="s">
        <v>2804</v>
      </c>
      <c r="E1849" s="13" t="s">
        <v>1657</v>
      </c>
      <c r="F1849" t="str">
        <f t="shared" si="140"/>
        <v>Richmond</v>
      </c>
      <c r="G1849" t="str">
        <f t="shared" si="141"/>
        <v>Richmond10777Houston</v>
      </c>
      <c r="H1849" t="s">
        <v>32707</v>
      </c>
      <c r="I1849" t="s">
        <v>24133</v>
      </c>
      <c r="J1849" t="str">
        <f t="shared" si="142"/>
        <v>E:\PropInv\MF</v>
      </c>
      <c r="K1849" s="103" t="str">
        <f>HYPERLINK("E:\PropInv\MF\Houston\Richmond_10777_Richmond Towne Homes_Houston_02221","Richmond_10777_Richmond Towne Homes_Houston_02221" )</f>
        <v>Richmond_10777_Richmond Towne Homes_Houston_02221</v>
      </c>
      <c r="L1849" s="104" t="s">
        <v>22253</v>
      </c>
      <c r="M1849" s="103" t="str">
        <f t="shared" si="143"/>
        <v>http://oconnordata.com/mlink/modules/profile/index.cfm?action=profile&amp;prop_id=2221</v>
      </c>
      <c r="N1849" s="1" t="str">
        <f t="shared" si="144"/>
        <v>02221</v>
      </c>
    </row>
    <row r="1850" spans="1:14" x14ac:dyDescent="0.3">
      <c r="A1850" s="1">
        <v>2223</v>
      </c>
      <c r="B1850" s="7" t="s">
        <v>2675</v>
      </c>
      <c r="C1850" s="12">
        <v>10881</v>
      </c>
      <c r="D1850" s="7" t="s">
        <v>2794</v>
      </c>
      <c r="E1850" s="13" t="s">
        <v>1657</v>
      </c>
      <c r="F1850" t="str">
        <f t="shared" si="140"/>
        <v>Richmond</v>
      </c>
      <c r="G1850" t="str">
        <f t="shared" si="141"/>
        <v>Richmond10881Houston</v>
      </c>
      <c r="H1850" t="s">
        <v>32708</v>
      </c>
      <c r="I1850" t="s">
        <v>24134</v>
      </c>
      <c r="J1850" t="str">
        <f t="shared" si="142"/>
        <v>E:\PropInv\MF</v>
      </c>
      <c r="K1850" s="103" t="str">
        <f>HYPERLINK("E:\PropInv\MF\Houston\Richmond_10881_Walnut Bend_Houston_02223","Richmond_10881_Walnut Bend_Houston_02223" )</f>
        <v>Richmond_10881_Walnut Bend_Houston_02223</v>
      </c>
      <c r="L1850" s="104" t="s">
        <v>22253</v>
      </c>
      <c r="M1850" s="103" t="str">
        <f t="shared" si="143"/>
        <v>http://oconnordata.com/mlink/modules/profile/index.cfm?action=profile&amp;prop_id=2223</v>
      </c>
      <c r="N1850" s="1" t="str">
        <f t="shared" si="144"/>
        <v>02223</v>
      </c>
    </row>
    <row r="1851" spans="1:14" x14ac:dyDescent="0.3">
      <c r="A1851" s="1">
        <v>2224</v>
      </c>
      <c r="B1851" s="7" t="s">
        <v>2805</v>
      </c>
      <c r="C1851" s="12">
        <v>970</v>
      </c>
      <c r="D1851" s="7" t="s">
        <v>2806</v>
      </c>
      <c r="E1851" s="13" t="s">
        <v>1657</v>
      </c>
      <c r="F1851" t="str">
        <f t="shared" si="140"/>
        <v>Bunker</v>
      </c>
      <c r="G1851" t="str">
        <f t="shared" si="141"/>
        <v>Bunker970Houston</v>
      </c>
      <c r="H1851" t="s">
        <v>32709</v>
      </c>
      <c r="I1851" t="s">
        <v>24135</v>
      </c>
      <c r="J1851" t="str">
        <f t="shared" si="142"/>
        <v>E:\PropInv\MF</v>
      </c>
      <c r="K1851" s="103" t="str">
        <f>HYPERLINK("E:\PropInv\MF\Houston\Bunker Hill_970_Le Renaissance_Houston_02224","Bunker Hill_970_Le Renaissance_Houston_02224" )</f>
        <v>Bunker Hill_970_Le Renaissance_Houston_02224</v>
      </c>
      <c r="L1851" s="104" t="s">
        <v>22253</v>
      </c>
      <c r="M1851" s="103" t="str">
        <f t="shared" si="143"/>
        <v>http://oconnordata.com/mlink/modules/profile/index.cfm?action=profile&amp;prop_id=2224</v>
      </c>
      <c r="N1851" s="1" t="str">
        <f t="shared" si="144"/>
        <v>02224</v>
      </c>
    </row>
    <row r="1852" spans="1:14" x14ac:dyDescent="0.3">
      <c r="A1852" s="1">
        <v>2225</v>
      </c>
      <c r="B1852" s="7" t="s">
        <v>2807</v>
      </c>
      <c r="C1852" s="12">
        <v>1111</v>
      </c>
      <c r="D1852" s="7" t="s">
        <v>2808</v>
      </c>
      <c r="E1852" s="13" t="s">
        <v>1657</v>
      </c>
      <c r="F1852" t="str">
        <f t="shared" si="140"/>
        <v>Blalock</v>
      </c>
      <c r="G1852" t="str">
        <f t="shared" si="141"/>
        <v>Blalock1111Houston</v>
      </c>
      <c r="H1852" t="s">
        <v>32710</v>
      </c>
      <c r="I1852" t="s">
        <v>24136</v>
      </c>
      <c r="J1852" t="str">
        <f t="shared" si="142"/>
        <v>E:\PropInv\MF</v>
      </c>
      <c r="K1852" s="103" t="str">
        <f>HYPERLINK("E:\PropInv\MF\Houston\Blalock Rd_1111_Blalock Woods_Houston_02225","Blalock Rd_1111_Blalock Woods_Houston_02225" )</f>
        <v>Blalock Rd_1111_Blalock Woods_Houston_02225</v>
      </c>
      <c r="L1852" s="104" t="s">
        <v>22253</v>
      </c>
      <c r="M1852" s="103" t="str">
        <f t="shared" si="143"/>
        <v>http://oconnordata.com/mlink/modules/profile/index.cfm?action=profile&amp;prop_id=2225</v>
      </c>
      <c r="N1852" s="1" t="str">
        <f t="shared" si="144"/>
        <v>02225</v>
      </c>
    </row>
    <row r="1853" spans="1:14" x14ac:dyDescent="0.3">
      <c r="A1853" s="1">
        <v>2226</v>
      </c>
      <c r="B1853" s="7" t="s">
        <v>2809</v>
      </c>
      <c r="C1853" s="12">
        <v>9075</v>
      </c>
      <c r="D1853" s="7" t="s">
        <v>2810</v>
      </c>
      <c r="E1853" s="13" t="s">
        <v>1657</v>
      </c>
      <c r="F1853" t="str">
        <f t="shared" si="140"/>
        <v>Gaylord</v>
      </c>
      <c r="G1853" t="str">
        <f t="shared" si="141"/>
        <v>Gaylord9075Houston</v>
      </c>
      <c r="H1853" t="s">
        <v>32711</v>
      </c>
      <c r="I1853" t="s">
        <v>24137</v>
      </c>
      <c r="J1853" t="str">
        <f t="shared" si="142"/>
        <v>E:\PropInv\MF</v>
      </c>
      <c r="K1853" s="103" t="str">
        <f>HYPERLINK("E:\PropInv\MF\Houston\Gaylord_9075_Village Place_Houston_02226","Gaylord_9075_Village Place_Houston_02226" )</f>
        <v>Gaylord_9075_Village Place_Houston_02226</v>
      </c>
      <c r="L1853" s="104" t="s">
        <v>22253</v>
      </c>
      <c r="M1853" s="103" t="str">
        <f t="shared" si="143"/>
        <v>http://oconnordata.com/mlink/modules/profile/index.cfm?action=profile&amp;prop_id=2226</v>
      </c>
      <c r="N1853" s="1" t="str">
        <f t="shared" si="144"/>
        <v>02226</v>
      </c>
    </row>
    <row r="1854" spans="1:14" x14ac:dyDescent="0.3">
      <c r="A1854" s="97">
        <v>2227</v>
      </c>
      <c r="B1854" s="7" t="s">
        <v>2811</v>
      </c>
      <c r="C1854" s="12">
        <v>9550</v>
      </c>
      <c r="D1854" s="7" t="s">
        <v>2812</v>
      </c>
      <c r="E1854" s="13" t="s">
        <v>1657</v>
      </c>
      <c r="F1854" t="str">
        <f t="shared" si="140"/>
        <v>Ella</v>
      </c>
      <c r="G1854" t="str">
        <f t="shared" si="141"/>
        <v>Ella9550Houston</v>
      </c>
      <c r="H1854" t="s">
        <v>32712</v>
      </c>
      <c r="I1854" t="s">
        <v>24138</v>
      </c>
      <c r="J1854" t="str">
        <f t="shared" si="142"/>
        <v>E:\PropInv\MF</v>
      </c>
      <c r="K1854" s="103" t="str">
        <f>HYPERLINK("E:\PropInv\MF\Houston\Ella Lee Ln_9550_Woodlake Oaks_Houston_02227","Ella Lee Ln_9550_Woodlake Oaks_Houston_02227" )</f>
        <v>Ella Lee Ln_9550_Woodlake Oaks_Houston_02227</v>
      </c>
      <c r="L1854" s="104" t="s">
        <v>22253</v>
      </c>
      <c r="M1854" s="103" t="str">
        <f t="shared" si="143"/>
        <v>http://oconnordata.com/mlink/modules/profile/index.cfm?action=profile&amp;prop_id=2227</v>
      </c>
      <c r="N1854" s="1" t="str">
        <f t="shared" si="144"/>
        <v>02227</v>
      </c>
    </row>
    <row r="1855" spans="1:14" x14ac:dyDescent="0.3">
      <c r="A1855" s="1">
        <v>2228</v>
      </c>
      <c r="B1855" s="7" t="s">
        <v>2780</v>
      </c>
      <c r="C1855" s="12">
        <v>1413</v>
      </c>
      <c r="D1855" s="7" t="s">
        <v>2813</v>
      </c>
      <c r="E1855" s="13" t="s">
        <v>1657</v>
      </c>
      <c r="F1855" t="str">
        <f t="shared" si="140"/>
        <v>Voss</v>
      </c>
      <c r="G1855" t="str">
        <f t="shared" si="141"/>
        <v>Voss1413Houston</v>
      </c>
      <c r="H1855" t="s">
        <v>32713</v>
      </c>
      <c r="I1855" t="s">
        <v>24139</v>
      </c>
      <c r="J1855" t="str">
        <f t="shared" si="142"/>
        <v>E:\PropInv\MF</v>
      </c>
      <c r="K1855" s="103" t="str">
        <f>HYPERLINK("E:\PropInv\MF\Houston\Voss S_1413_The Glenchester_Houston_02228","Voss S_1413_The Glenchester_Houston_02228" )</f>
        <v>Voss S_1413_The Glenchester_Houston_02228</v>
      </c>
      <c r="L1855" s="104" t="s">
        <v>22253</v>
      </c>
      <c r="M1855" s="103" t="str">
        <f t="shared" si="143"/>
        <v>http://oconnordata.com/mlink/modules/profile/index.cfm?action=profile&amp;prop_id=2228</v>
      </c>
      <c r="N1855" s="1" t="str">
        <f t="shared" si="144"/>
        <v>02228</v>
      </c>
    </row>
    <row r="1856" spans="1:14" x14ac:dyDescent="0.3">
      <c r="A1856" s="1">
        <v>2229</v>
      </c>
      <c r="B1856" s="7" t="s">
        <v>2800</v>
      </c>
      <c r="C1856" s="12">
        <v>2021</v>
      </c>
      <c r="D1856" s="7" t="s">
        <v>2814</v>
      </c>
      <c r="E1856" s="13" t="s">
        <v>1657</v>
      </c>
      <c r="F1856" t="str">
        <f t="shared" si="140"/>
        <v>Gessner</v>
      </c>
      <c r="G1856" t="str">
        <f t="shared" si="141"/>
        <v>Gessner2021Houston</v>
      </c>
      <c r="H1856" t="s">
        <v>32714</v>
      </c>
      <c r="I1856" t="s">
        <v>24140</v>
      </c>
      <c r="J1856" t="str">
        <f t="shared" si="142"/>
        <v>E:\PropInv\MF</v>
      </c>
      <c r="K1856" s="103" t="str">
        <f>HYPERLINK("E:\PropInv\MF\Houston\Gessner S_2021_The Quadrangle of Woodlake_Houston_02229","Gessner S_2021_The Quadrangle of Woodlake_Houston_02229" )</f>
        <v>Gessner S_2021_The Quadrangle of Woodlake_Houston_02229</v>
      </c>
      <c r="L1856" s="104" t="s">
        <v>22253</v>
      </c>
      <c r="M1856" s="103" t="str">
        <f t="shared" si="143"/>
        <v>http://oconnordata.com/mlink/modules/profile/index.cfm?action=profile&amp;prop_id=2229</v>
      </c>
      <c r="N1856" s="1" t="str">
        <f t="shared" si="144"/>
        <v>02229</v>
      </c>
    </row>
    <row r="1857" spans="1:14" x14ac:dyDescent="0.3">
      <c r="A1857" s="1">
        <v>2230</v>
      </c>
      <c r="B1857" s="7" t="s">
        <v>2815</v>
      </c>
      <c r="C1857" s="12">
        <v>2222</v>
      </c>
      <c r="D1857" s="7" t="s">
        <v>2816</v>
      </c>
      <c r="E1857" s="13" t="s">
        <v>1657</v>
      </c>
      <c r="F1857" t="str">
        <f t="shared" si="140"/>
        <v>Westerland</v>
      </c>
      <c r="G1857" t="str">
        <f t="shared" si="141"/>
        <v>Westerland2222Houston</v>
      </c>
      <c r="H1857" t="s">
        <v>32715</v>
      </c>
      <c r="I1857" t="s">
        <v>24141</v>
      </c>
      <c r="J1857" t="str">
        <f t="shared" si="142"/>
        <v>E:\PropInv\MF</v>
      </c>
      <c r="K1857" s="103" t="str">
        <f>HYPERLINK("E:\PropInv\MF\Houston\Westerland_2222_Trails of Woodlake_Houston_02230","Westerland_2222_Trails of Woodlake_Houston_02230" )</f>
        <v>Westerland_2222_Trails of Woodlake_Houston_02230</v>
      </c>
      <c r="L1857" s="104" t="s">
        <v>22253</v>
      </c>
      <c r="M1857" s="103" t="str">
        <f t="shared" si="143"/>
        <v>http://oconnordata.com/mlink/modules/profile/index.cfm?action=profile&amp;prop_id=2230</v>
      </c>
      <c r="N1857" s="1" t="str">
        <f t="shared" si="144"/>
        <v>02230</v>
      </c>
    </row>
    <row r="1858" spans="1:14" x14ac:dyDescent="0.3">
      <c r="A1858" s="97">
        <v>2231</v>
      </c>
      <c r="B1858" s="7" t="s">
        <v>2815</v>
      </c>
      <c r="C1858" s="12">
        <v>2600</v>
      </c>
      <c r="D1858" s="7" t="s">
        <v>2817</v>
      </c>
      <c r="E1858" s="13" t="s">
        <v>1657</v>
      </c>
      <c r="F1858" t="str">
        <f t="shared" ref="F1858:F1921" si="145">IFERROR(LEFT(B1858,FIND(" ",B1858)-1),B1858)</f>
        <v>Westerland</v>
      </c>
      <c r="G1858" t="str">
        <f t="shared" ref="G1858:G1921" si="146">F1858&amp;C1858&amp;E1858</f>
        <v>Westerland2600Houston</v>
      </c>
      <c r="H1858" t="s">
        <v>32716</v>
      </c>
      <c r="I1858" t="s">
        <v>24142</v>
      </c>
      <c r="J1858" t="str">
        <f t="shared" ref="J1858:J1921" si="147">IF(L1858="TX",Folder_Path,Folder_Path&amp;"\State_"&amp;L1858)</f>
        <v>E:\PropInv\MF</v>
      </c>
      <c r="K1858" s="103" t="str">
        <f>HYPERLINK("E:\PropInv\MF\Houston\Westerland_2600_Woodlake TH_Houston_02231","Westerland_2600_Woodlake TH_Houston_02231" )</f>
        <v>Westerland_2600_Woodlake TH_Houston_02231</v>
      </c>
      <c r="L1858" s="104" t="s">
        <v>22253</v>
      </c>
      <c r="M1858" s="103" t="str">
        <f t="shared" ref="M1858:M1921" si="148">HYPERLINK("http://oconnordata.com/mlink/modules/profile/index.cfm?action=profile&amp;prop_id="&amp;A1858)</f>
        <v>http://oconnordata.com/mlink/modules/profile/index.cfm?action=profile&amp;prop_id=2231</v>
      </c>
      <c r="N1858" s="1" t="str">
        <f t="shared" ref="N1858:N1921" si="149">IF(LEN(A1858)=1,"0000"&amp;A1858,IF(LEN(A1858)=2,"000"&amp;A1858,IF(LEN(A1858)=3,"00"&amp;A1858,IF(LEN(A1858)=4,"0"&amp;A1858,IF(LEN(A1858)=5,IF(LEFT(A1858,1)="3",A1858+30000,A1858))))))</f>
        <v>02231</v>
      </c>
    </row>
    <row r="1859" spans="1:14" x14ac:dyDescent="0.3">
      <c r="A1859" s="1">
        <v>2232</v>
      </c>
      <c r="B1859" s="7" t="s">
        <v>2818</v>
      </c>
      <c r="C1859" s="12">
        <v>9407</v>
      </c>
      <c r="D1859" s="7" t="s">
        <v>2819</v>
      </c>
      <c r="E1859" s="13" t="s">
        <v>1657</v>
      </c>
      <c r="F1859" t="str">
        <f t="shared" si="145"/>
        <v>Westheimer</v>
      </c>
      <c r="G1859" t="str">
        <f t="shared" si="146"/>
        <v>Westheimer9407Houston</v>
      </c>
      <c r="H1859" t="s">
        <v>32717</v>
      </c>
      <c r="I1859" t="s">
        <v>24143</v>
      </c>
      <c r="J1859" t="str">
        <f t="shared" si="147"/>
        <v>E:\PropInv\MF</v>
      </c>
      <c r="K1859" s="103" t="str">
        <f>HYPERLINK("E:\PropInv\MF\Houston\Westheimer Rd_9407_Westheimer Terrace_Houston_02232","Westheimer Rd_9407_Westheimer Terrace_Houston_02232" )</f>
        <v>Westheimer Rd_9407_Westheimer Terrace_Houston_02232</v>
      </c>
      <c r="L1859" s="104" t="s">
        <v>22253</v>
      </c>
      <c r="M1859" s="103" t="str">
        <f t="shared" si="148"/>
        <v>http://oconnordata.com/mlink/modules/profile/index.cfm?action=profile&amp;prop_id=2232</v>
      </c>
      <c r="N1859" s="1" t="str">
        <f t="shared" si="149"/>
        <v>02232</v>
      </c>
    </row>
    <row r="1860" spans="1:14" x14ac:dyDescent="0.3">
      <c r="A1860" s="1">
        <v>2233</v>
      </c>
      <c r="B1860" s="7" t="s">
        <v>2820</v>
      </c>
      <c r="C1860" s="12">
        <v>8787</v>
      </c>
      <c r="D1860" s="7" t="s">
        <v>2821</v>
      </c>
      <c r="E1860" s="13" t="s">
        <v>1657</v>
      </c>
      <c r="F1860" t="str">
        <f t="shared" si="145"/>
        <v>Woodway</v>
      </c>
      <c r="G1860" t="str">
        <f t="shared" si="146"/>
        <v>Woodway8787Houston</v>
      </c>
      <c r="H1860" t="s">
        <v>32718</v>
      </c>
      <c r="I1860" t="s">
        <v>24144</v>
      </c>
      <c r="J1860" t="str">
        <f t="shared" si="147"/>
        <v>E:\PropInv\MF</v>
      </c>
      <c r="K1860" s="103" t="str">
        <f>HYPERLINK("E:\PropInv\MF\Houston\Woodway_8787_Broadstone Piney Point_Houston_02233","Woodway_8787_Broadstone Piney Point_Houston_02233" )</f>
        <v>Woodway_8787_Broadstone Piney Point_Houston_02233</v>
      </c>
      <c r="L1860" s="104" t="s">
        <v>22253</v>
      </c>
      <c r="M1860" s="103" t="str">
        <f t="shared" si="148"/>
        <v>http://oconnordata.com/mlink/modules/profile/index.cfm?action=profile&amp;prop_id=2233</v>
      </c>
      <c r="N1860" s="1" t="str">
        <f t="shared" si="149"/>
        <v>02233</v>
      </c>
    </row>
    <row r="1861" spans="1:14" x14ac:dyDescent="0.3">
      <c r="A1861" s="1">
        <v>2234</v>
      </c>
      <c r="B1861" s="7" t="s">
        <v>2822</v>
      </c>
      <c r="C1861" s="12">
        <v>8501</v>
      </c>
      <c r="D1861" s="7" t="s">
        <v>2823</v>
      </c>
      <c r="E1861" s="13" t="s">
        <v>1657</v>
      </c>
      <c r="F1861" t="str">
        <f t="shared" si="145"/>
        <v>Westhiemer</v>
      </c>
      <c r="G1861" t="str">
        <f t="shared" si="146"/>
        <v>Westhiemer8501Houston</v>
      </c>
      <c r="H1861" t="s">
        <v>32719</v>
      </c>
      <c r="I1861" t="s">
        <v>24145</v>
      </c>
      <c r="J1861" t="str">
        <f t="shared" si="147"/>
        <v>E:\PropInv\MF</v>
      </c>
      <c r="K1861" s="103" t="str">
        <f>HYPERLINK("E:\PropInv\MF\Houston\Westhiemer_8501_The Arbors On Westheimer_Houston_02234","Westhiemer_8501_The Arbors On Westheimer_Houston_02234" )</f>
        <v>Westhiemer_8501_The Arbors On Westheimer_Houston_02234</v>
      </c>
      <c r="L1861" s="104" t="s">
        <v>22253</v>
      </c>
      <c r="M1861" s="103" t="str">
        <f t="shared" si="148"/>
        <v>http://oconnordata.com/mlink/modules/profile/index.cfm?action=profile&amp;prop_id=2234</v>
      </c>
      <c r="N1861" s="1" t="str">
        <f t="shared" si="149"/>
        <v>02234</v>
      </c>
    </row>
    <row r="1862" spans="1:14" x14ac:dyDescent="0.3">
      <c r="A1862" s="1">
        <v>2235</v>
      </c>
      <c r="B1862" s="7" t="s">
        <v>2824</v>
      </c>
      <c r="C1862" s="12">
        <v>2929</v>
      </c>
      <c r="D1862" s="7" t="s">
        <v>2825</v>
      </c>
      <c r="E1862" s="13" t="s">
        <v>1657</v>
      </c>
      <c r="F1862" t="str">
        <f t="shared" si="145"/>
        <v>Dunvale</v>
      </c>
      <c r="G1862" t="str">
        <f t="shared" si="146"/>
        <v>Dunvale2929Houston</v>
      </c>
      <c r="H1862" t="s">
        <v>32720</v>
      </c>
      <c r="I1862" t="s">
        <v>24146</v>
      </c>
      <c r="J1862" t="str">
        <f t="shared" si="147"/>
        <v>E:\PropInv\MF</v>
      </c>
      <c r="K1862" s="103" t="str">
        <f>HYPERLINK("E:\PropInv\MF\Houston\Dunvale_2929_Rolido Parque_Houston_02235","Dunvale_2929_Rolido Parque_Houston_02235" )</f>
        <v>Dunvale_2929_Rolido Parque_Houston_02235</v>
      </c>
      <c r="L1862" s="104" t="s">
        <v>22253</v>
      </c>
      <c r="M1862" s="103" t="str">
        <f t="shared" si="148"/>
        <v>http://oconnordata.com/mlink/modules/profile/index.cfm?action=profile&amp;prop_id=2235</v>
      </c>
      <c r="N1862" s="1" t="str">
        <f t="shared" si="149"/>
        <v>02235</v>
      </c>
    </row>
    <row r="1863" spans="1:14" x14ac:dyDescent="0.3">
      <c r="A1863" s="1">
        <v>2236</v>
      </c>
      <c r="B1863" s="7" t="s">
        <v>5</v>
      </c>
      <c r="C1863" s="12">
        <v>8740</v>
      </c>
      <c r="D1863" s="7" t="s">
        <v>2826</v>
      </c>
      <c r="E1863" s="13" t="s">
        <v>1657</v>
      </c>
      <c r="F1863" t="str">
        <f t="shared" si="145"/>
        <v>Westheimer</v>
      </c>
      <c r="G1863" t="str">
        <f t="shared" si="146"/>
        <v>Westheimer8740Houston</v>
      </c>
      <c r="H1863" t="s">
        <v>32721</v>
      </c>
      <c r="I1863" t="s">
        <v>24147</v>
      </c>
      <c r="J1863" t="str">
        <f t="shared" si="147"/>
        <v>E:\PropInv\MF</v>
      </c>
      <c r="K1863" s="103" t="str">
        <f>HYPERLINK("E:\PropInv\MF\Houston\Westheimer_8740_Victoria Place_Houston_02236","Westheimer_8740_Victoria Place_Houston_02236" )</f>
        <v>Westheimer_8740_Victoria Place_Houston_02236</v>
      </c>
      <c r="L1863" s="104" t="s">
        <v>22253</v>
      </c>
      <c r="M1863" s="103" t="str">
        <f t="shared" si="148"/>
        <v>http://oconnordata.com/mlink/modules/profile/index.cfm?action=profile&amp;prop_id=2236</v>
      </c>
      <c r="N1863" s="1" t="str">
        <f t="shared" si="149"/>
        <v>02236</v>
      </c>
    </row>
    <row r="1864" spans="1:14" x14ac:dyDescent="0.3">
      <c r="A1864" s="1">
        <v>2238</v>
      </c>
      <c r="B1864" s="7" t="s">
        <v>2827</v>
      </c>
      <c r="C1864" s="12">
        <v>2742</v>
      </c>
      <c r="D1864" s="7" t="s">
        <v>2828</v>
      </c>
      <c r="E1864" s="13" t="s">
        <v>1657</v>
      </c>
      <c r="F1864" t="str">
        <f t="shared" si="145"/>
        <v>Jeanetta</v>
      </c>
      <c r="G1864" t="str">
        <f t="shared" si="146"/>
        <v>Jeanetta2742Houston</v>
      </c>
      <c r="H1864" t="s">
        <v>32722</v>
      </c>
      <c r="I1864" t="s">
        <v>24148</v>
      </c>
      <c r="J1864" t="str">
        <f t="shared" si="147"/>
        <v>E:\PropInv\MF</v>
      </c>
      <c r="K1864" s="103" t="str">
        <f>HYPERLINK("E:\PropInv\MF\Houston\Jeanetta_2742_The Marquis On Westheimer_Houston_02238","Jeanetta_2742_The Marquis On Westheimer_Houston_02238" )</f>
        <v>Jeanetta_2742_The Marquis On Westheimer_Houston_02238</v>
      </c>
      <c r="L1864" s="104" t="s">
        <v>22253</v>
      </c>
      <c r="M1864" s="103" t="str">
        <f t="shared" si="148"/>
        <v>http://oconnordata.com/mlink/modules/profile/index.cfm?action=profile&amp;prop_id=2238</v>
      </c>
      <c r="N1864" s="1" t="str">
        <f t="shared" si="149"/>
        <v>02238</v>
      </c>
    </row>
    <row r="1865" spans="1:14" x14ac:dyDescent="0.3">
      <c r="A1865" s="1">
        <v>2241</v>
      </c>
      <c r="B1865" s="7" t="s">
        <v>2829</v>
      </c>
      <c r="C1865" s="12">
        <v>7510</v>
      </c>
      <c r="D1865" s="7" t="s">
        <v>2830</v>
      </c>
      <c r="E1865" s="13" t="s">
        <v>1657</v>
      </c>
      <c r="F1865" t="str">
        <f t="shared" si="145"/>
        <v>Burgoyne</v>
      </c>
      <c r="G1865" t="str">
        <f t="shared" si="146"/>
        <v>Burgoyne7510Houston</v>
      </c>
      <c r="H1865" t="s">
        <v>32723</v>
      </c>
      <c r="I1865" t="s">
        <v>24149</v>
      </c>
      <c r="J1865" t="str">
        <f t="shared" si="147"/>
        <v>E:\PropInv\MF</v>
      </c>
      <c r="K1865" s="103" t="str">
        <f>HYPERLINK("E:\PropInv\MF\Houston\Burgoyne_7510_La Scala at Voss_Houston_02241","Burgoyne_7510_La Scala at Voss_Houston_02241" )</f>
        <v>Burgoyne_7510_La Scala at Voss_Houston_02241</v>
      </c>
      <c r="L1865" s="104" t="s">
        <v>22253</v>
      </c>
      <c r="M1865" s="103" t="str">
        <f t="shared" si="148"/>
        <v>http://oconnordata.com/mlink/modules/profile/index.cfm?action=profile&amp;prop_id=2241</v>
      </c>
      <c r="N1865" s="1" t="str">
        <f t="shared" si="149"/>
        <v>02241</v>
      </c>
    </row>
    <row r="1866" spans="1:14" x14ac:dyDescent="0.3">
      <c r="A1866" s="1">
        <v>2242</v>
      </c>
      <c r="B1866" s="7" t="s">
        <v>2811</v>
      </c>
      <c r="C1866" s="12">
        <v>6434</v>
      </c>
      <c r="D1866" s="7" t="s">
        <v>500</v>
      </c>
      <c r="E1866" s="13" t="s">
        <v>1657</v>
      </c>
      <c r="F1866" t="str">
        <f t="shared" si="145"/>
        <v>Ella</v>
      </c>
      <c r="G1866" t="str">
        <f t="shared" si="146"/>
        <v>Ella6434Houston</v>
      </c>
      <c r="H1866" t="s">
        <v>32724</v>
      </c>
      <c r="I1866" t="s">
        <v>24150</v>
      </c>
      <c r="J1866" t="str">
        <f t="shared" si="147"/>
        <v>E:\PropInv\MF</v>
      </c>
      <c r="K1866" s="103" t="str">
        <f>HYPERLINK("E:\PropInv\MF\Houston\Ella Lee Ln_6434_Barcelona_Houston_02242","Ella Lee Ln_6434_Barcelona_Houston_02242" )</f>
        <v>Ella Lee Ln_6434_Barcelona_Houston_02242</v>
      </c>
      <c r="L1866" s="104" t="s">
        <v>22253</v>
      </c>
      <c r="M1866" s="103" t="str">
        <f t="shared" si="148"/>
        <v>http://oconnordata.com/mlink/modules/profile/index.cfm?action=profile&amp;prop_id=2242</v>
      </c>
      <c r="N1866" s="1" t="str">
        <f t="shared" si="149"/>
        <v>02242</v>
      </c>
    </row>
    <row r="1867" spans="1:14" x14ac:dyDescent="0.3">
      <c r="A1867" s="1">
        <v>2243</v>
      </c>
      <c r="B1867" s="7" t="s">
        <v>2811</v>
      </c>
      <c r="C1867" s="12">
        <v>9545</v>
      </c>
      <c r="D1867" s="7" t="s">
        <v>2831</v>
      </c>
      <c r="E1867" s="13" t="s">
        <v>1657</v>
      </c>
      <c r="F1867" t="str">
        <f t="shared" si="145"/>
        <v>Ella</v>
      </c>
      <c r="G1867" t="str">
        <f t="shared" si="146"/>
        <v>Ella9545Houston</v>
      </c>
      <c r="H1867" t="s">
        <v>32725</v>
      </c>
      <c r="I1867" t="s">
        <v>24151</v>
      </c>
      <c r="J1867" t="str">
        <f t="shared" si="147"/>
        <v>E:\PropInv\MF</v>
      </c>
      <c r="K1867" s="103" t="str">
        <f>HYPERLINK("E:\PropInv\MF\Houston\Ella Lee Ln_9545_The Park at Woodlake_Houston_02243","Ella Lee Ln_9545_The Park at Woodlake_Houston_02243" )</f>
        <v>Ella Lee Ln_9545_The Park at Woodlake_Houston_02243</v>
      </c>
      <c r="L1867" s="104" t="s">
        <v>22253</v>
      </c>
      <c r="M1867" s="103" t="str">
        <f t="shared" si="148"/>
        <v>http://oconnordata.com/mlink/modules/profile/index.cfm?action=profile&amp;prop_id=2243</v>
      </c>
      <c r="N1867" s="1" t="str">
        <f t="shared" si="149"/>
        <v>02243</v>
      </c>
    </row>
    <row r="1868" spans="1:14" x14ac:dyDescent="0.3">
      <c r="A1868" s="1">
        <v>2245</v>
      </c>
      <c r="B1868" s="7" t="s">
        <v>2832</v>
      </c>
      <c r="C1868" s="12">
        <v>2500</v>
      </c>
      <c r="D1868" s="7" t="s">
        <v>2833</v>
      </c>
      <c r="E1868" s="13" t="s">
        <v>1657</v>
      </c>
      <c r="F1868" t="str">
        <f t="shared" si="145"/>
        <v>Old</v>
      </c>
      <c r="G1868" t="str">
        <f t="shared" si="146"/>
        <v>Old2500Houston</v>
      </c>
      <c r="H1868" t="s">
        <v>32726</v>
      </c>
      <c r="I1868" t="s">
        <v>24152</v>
      </c>
      <c r="J1868" t="str">
        <f t="shared" si="147"/>
        <v>E:\PropInv\MF</v>
      </c>
      <c r="K1868" s="103" t="str">
        <f>HYPERLINK("E:\PropInv\MF\Houston\Old Farm Rd_2500_Old Farm II, The Crossing_Houston_02245","Old Farm Rd_2500_Old Farm II, The Crossing_Houston_02245" )</f>
        <v>Old Farm Rd_2500_Old Farm II, The Crossing_Houston_02245</v>
      </c>
      <c r="L1868" s="104" t="s">
        <v>22253</v>
      </c>
      <c r="M1868" s="103" t="str">
        <f t="shared" si="148"/>
        <v>http://oconnordata.com/mlink/modules/profile/index.cfm?action=profile&amp;prop_id=2245</v>
      </c>
      <c r="N1868" s="1" t="str">
        <f t="shared" si="149"/>
        <v>02245</v>
      </c>
    </row>
    <row r="1869" spans="1:14" x14ac:dyDescent="0.3">
      <c r="A1869" s="1">
        <v>2247</v>
      </c>
      <c r="B1869" s="7" t="s">
        <v>2818</v>
      </c>
      <c r="C1869" s="12">
        <v>8600</v>
      </c>
      <c r="D1869" s="7" t="s">
        <v>2834</v>
      </c>
      <c r="E1869" s="13" t="s">
        <v>1657</v>
      </c>
      <c r="F1869" t="str">
        <f t="shared" si="145"/>
        <v>Westheimer</v>
      </c>
      <c r="G1869" t="str">
        <f t="shared" si="146"/>
        <v>Westheimer8600Houston</v>
      </c>
      <c r="H1869" t="s">
        <v>32727</v>
      </c>
      <c r="I1869" t="s">
        <v>24153</v>
      </c>
      <c r="J1869" t="str">
        <f t="shared" si="147"/>
        <v>E:\PropInv\MF</v>
      </c>
      <c r="K1869" s="103" t="str">
        <f>HYPERLINK("E:\PropInv\MF\Houston\Westheimer Rd_8600_Westpoint-Creekside II_Houston_02247","Westheimer Rd_8600_Westpoint-Creekside II_Houston_02247" )</f>
        <v>Westheimer Rd_8600_Westpoint-Creekside II_Houston_02247</v>
      </c>
      <c r="L1869" s="104" t="s">
        <v>22253</v>
      </c>
      <c r="M1869" s="103" t="str">
        <f t="shared" si="148"/>
        <v>http://oconnordata.com/mlink/modules/profile/index.cfm?action=profile&amp;prop_id=2247</v>
      </c>
      <c r="N1869" s="1" t="str">
        <f t="shared" si="149"/>
        <v>02247</v>
      </c>
    </row>
    <row r="1870" spans="1:14" x14ac:dyDescent="0.3">
      <c r="A1870" s="1">
        <v>2248</v>
      </c>
      <c r="B1870" s="7" t="s">
        <v>2835</v>
      </c>
      <c r="C1870" s="12">
        <v>8600</v>
      </c>
      <c r="D1870" s="7" t="s">
        <v>2836</v>
      </c>
      <c r="E1870" s="13" t="s">
        <v>1657</v>
      </c>
      <c r="F1870" t="str">
        <f t="shared" si="145"/>
        <v>Woodway</v>
      </c>
      <c r="G1870" t="str">
        <f t="shared" si="146"/>
        <v>Woodway8600Houston</v>
      </c>
      <c r="H1870" t="s">
        <v>32728</v>
      </c>
      <c r="I1870" t="s">
        <v>24154</v>
      </c>
      <c r="J1870" t="str">
        <f t="shared" si="147"/>
        <v>E:\PropInv\MF</v>
      </c>
      <c r="K1870" s="103" t="str">
        <f>HYPERLINK("E:\PropInv\MF\Houston\Woodway Dr_8600_Westpoint-Creekside III_Houston_02248","Woodway Dr_8600_Westpoint-Creekside III_Houston_02248" )</f>
        <v>Woodway Dr_8600_Westpoint-Creekside III_Houston_02248</v>
      </c>
      <c r="L1870" s="104" t="s">
        <v>22253</v>
      </c>
      <c r="M1870" s="103" t="str">
        <f t="shared" si="148"/>
        <v>http://oconnordata.com/mlink/modules/profile/index.cfm?action=profile&amp;prop_id=2248</v>
      </c>
      <c r="N1870" s="1" t="str">
        <f t="shared" si="149"/>
        <v>02248</v>
      </c>
    </row>
    <row r="1871" spans="1:14" x14ac:dyDescent="0.3">
      <c r="A1871" s="1">
        <v>2249</v>
      </c>
      <c r="B1871" s="7" t="s">
        <v>2820</v>
      </c>
      <c r="C1871" s="12">
        <v>8585</v>
      </c>
      <c r="D1871" s="7" t="s">
        <v>2837</v>
      </c>
      <c r="E1871" s="13" t="s">
        <v>1657</v>
      </c>
      <c r="F1871" t="str">
        <f t="shared" si="145"/>
        <v>Woodway</v>
      </c>
      <c r="G1871" t="str">
        <f t="shared" si="146"/>
        <v>Woodway8585Houston</v>
      </c>
      <c r="H1871" t="s">
        <v>32729</v>
      </c>
      <c r="I1871" t="s">
        <v>24155</v>
      </c>
      <c r="J1871" t="str">
        <f t="shared" si="147"/>
        <v>E:\PropInv\MF</v>
      </c>
      <c r="K1871" s="103" t="str">
        <f>HYPERLINK("E:\PropInv\MF\Houston\Woodway_8585_Verandas at Old Farm_Houston_02249","Woodway_8585_Verandas at Old Farm_Houston_02249" )</f>
        <v>Woodway_8585_Verandas at Old Farm_Houston_02249</v>
      </c>
      <c r="L1871" s="104" t="s">
        <v>22253</v>
      </c>
      <c r="M1871" s="103" t="str">
        <f t="shared" si="148"/>
        <v>http://oconnordata.com/mlink/modules/profile/index.cfm?action=profile&amp;prop_id=2249</v>
      </c>
      <c r="N1871" s="1" t="str">
        <f t="shared" si="149"/>
        <v>02249</v>
      </c>
    </row>
    <row r="1872" spans="1:14" x14ac:dyDescent="0.3">
      <c r="A1872" s="1">
        <v>2250</v>
      </c>
      <c r="B1872" s="7" t="s">
        <v>2838</v>
      </c>
      <c r="C1872" s="12">
        <v>7600</v>
      </c>
      <c r="D1872" s="7" t="s">
        <v>2839</v>
      </c>
      <c r="E1872" s="13" t="s">
        <v>1657</v>
      </c>
      <c r="F1872" t="str">
        <f t="shared" si="145"/>
        <v>Highmeadow</v>
      </c>
      <c r="G1872" t="str">
        <f t="shared" si="146"/>
        <v>Highmeadow7600Houston</v>
      </c>
      <c r="H1872" t="s">
        <v>32730</v>
      </c>
      <c r="I1872" t="s">
        <v>24156</v>
      </c>
      <c r="J1872" t="str">
        <f t="shared" si="147"/>
        <v>E:\PropInv\MF</v>
      </c>
      <c r="K1872" s="103" t="str">
        <f>HYPERLINK("E:\PropInv\MF\Houston\Highmeadow_7600_Place Vendome_Houston_02250","Highmeadow_7600_Place Vendome_Houston_02250" )</f>
        <v>Highmeadow_7600_Place Vendome_Houston_02250</v>
      </c>
      <c r="L1872" s="104" t="s">
        <v>22253</v>
      </c>
      <c r="M1872" s="103" t="str">
        <f t="shared" si="148"/>
        <v>http://oconnordata.com/mlink/modules/profile/index.cfm?action=profile&amp;prop_id=2250</v>
      </c>
      <c r="N1872" s="1" t="str">
        <f t="shared" si="149"/>
        <v>02250</v>
      </c>
    </row>
    <row r="1873" spans="1:14" x14ac:dyDescent="0.3">
      <c r="A1873" s="1">
        <v>2251</v>
      </c>
      <c r="B1873" s="7" t="s">
        <v>2840</v>
      </c>
      <c r="C1873" s="12">
        <v>7900</v>
      </c>
      <c r="D1873" s="7" t="s">
        <v>2841</v>
      </c>
      <c r="E1873" s="13" t="s">
        <v>1657</v>
      </c>
      <c r="F1873" t="str">
        <f t="shared" si="145"/>
        <v>Locke</v>
      </c>
      <c r="G1873" t="str">
        <f t="shared" si="146"/>
        <v>Locke7900Houston</v>
      </c>
      <c r="H1873" t="s">
        <v>32731</v>
      </c>
      <c r="I1873" t="s">
        <v>24157</v>
      </c>
      <c r="J1873" t="str">
        <f t="shared" si="147"/>
        <v>E:\PropInv\MF</v>
      </c>
      <c r="K1873" s="103" t="str">
        <f>HYPERLINK("E:\PropInv\MF\Houston\Locke Ln_7900_The Villagio_Houston_02251","Locke Ln_7900_The Villagio_Houston_02251" )</f>
        <v>Locke Ln_7900_The Villagio_Houston_02251</v>
      </c>
      <c r="L1873" s="104" t="s">
        <v>22253</v>
      </c>
      <c r="M1873" s="103" t="str">
        <f t="shared" si="148"/>
        <v>http://oconnordata.com/mlink/modules/profile/index.cfm?action=profile&amp;prop_id=2251</v>
      </c>
      <c r="N1873" s="1" t="str">
        <f t="shared" si="149"/>
        <v>02251</v>
      </c>
    </row>
    <row r="1874" spans="1:14" x14ac:dyDescent="0.3">
      <c r="A1874" s="1">
        <v>2252</v>
      </c>
      <c r="B1874" s="7" t="s">
        <v>2842</v>
      </c>
      <c r="C1874" s="12">
        <v>2666</v>
      </c>
      <c r="D1874" s="7" t="s">
        <v>2843</v>
      </c>
      <c r="E1874" s="13" t="s">
        <v>1657</v>
      </c>
      <c r="F1874" t="str">
        <f t="shared" si="145"/>
        <v>Marilee</v>
      </c>
      <c r="G1874" t="str">
        <f t="shared" si="146"/>
        <v>Marilee2666Houston</v>
      </c>
      <c r="H1874" t="s">
        <v>32732</v>
      </c>
      <c r="I1874" t="s">
        <v>24158</v>
      </c>
      <c r="J1874" t="str">
        <f t="shared" si="147"/>
        <v>E:\PropInv\MF</v>
      </c>
      <c r="K1874" s="103" t="str">
        <f>HYPERLINK("E:\PropInv\MF\Houston\Marilee Ln_2666_The Heritage_Houston_02252","Marilee Ln_2666_The Heritage_Houston_02252" )</f>
        <v>Marilee Ln_2666_The Heritage_Houston_02252</v>
      </c>
      <c r="L1874" s="104" t="s">
        <v>22253</v>
      </c>
      <c r="M1874" s="103" t="str">
        <f t="shared" si="148"/>
        <v>http://oconnordata.com/mlink/modules/profile/index.cfm?action=profile&amp;prop_id=2252</v>
      </c>
      <c r="N1874" s="1" t="str">
        <f t="shared" si="149"/>
        <v>02252</v>
      </c>
    </row>
    <row r="1875" spans="1:14" x14ac:dyDescent="0.3">
      <c r="A1875" s="1">
        <v>2253</v>
      </c>
      <c r="B1875" s="7" t="s">
        <v>2844</v>
      </c>
      <c r="C1875" s="12">
        <v>9767</v>
      </c>
      <c r="D1875" s="7" t="s">
        <v>2845</v>
      </c>
      <c r="E1875" s="13" t="s">
        <v>1657</v>
      </c>
      <c r="F1875" t="str">
        <f t="shared" si="145"/>
        <v>Pagewood</v>
      </c>
      <c r="G1875" t="str">
        <f t="shared" si="146"/>
        <v>Pagewood9767Houston</v>
      </c>
      <c r="H1875" t="s">
        <v>32733</v>
      </c>
      <c r="I1875" t="s">
        <v>24159</v>
      </c>
      <c r="J1875" t="str">
        <f t="shared" si="147"/>
        <v>E:\PropInv\MF</v>
      </c>
      <c r="K1875" s="103" t="str">
        <f>HYPERLINK("E:\PropInv\MF\Houston\Pagewood Ln_9767_Pagewood Place_Houston_02253","Pagewood Ln_9767_Pagewood Place_Houston_02253" )</f>
        <v>Pagewood Ln_9767_Pagewood Place_Houston_02253</v>
      </c>
      <c r="L1875" s="104" t="s">
        <v>22253</v>
      </c>
      <c r="M1875" s="103" t="str">
        <f t="shared" si="148"/>
        <v>http://oconnordata.com/mlink/modules/profile/index.cfm?action=profile&amp;prop_id=2253</v>
      </c>
      <c r="N1875" s="1" t="str">
        <f t="shared" si="149"/>
        <v>02253</v>
      </c>
    </row>
    <row r="1876" spans="1:14" x14ac:dyDescent="0.3">
      <c r="A1876" s="1">
        <v>2254</v>
      </c>
      <c r="B1876" s="7" t="s">
        <v>2677</v>
      </c>
      <c r="C1876" s="12">
        <v>9850</v>
      </c>
      <c r="D1876" s="7" t="s">
        <v>2846</v>
      </c>
      <c r="E1876" s="13" t="s">
        <v>1657</v>
      </c>
      <c r="F1876" t="str">
        <f t="shared" si="145"/>
        <v>Richmond</v>
      </c>
      <c r="G1876" t="str">
        <f t="shared" si="146"/>
        <v>Richmond9850Houston</v>
      </c>
      <c r="H1876" t="s">
        <v>32734</v>
      </c>
      <c r="I1876" t="s">
        <v>24160</v>
      </c>
      <c r="J1876" t="str">
        <f t="shared" si="147"/>
        <v>E:\PropInv\MF</v>
      </c>
      <c r="K1876" s="103" t="str">
        <f>HYPERLINK("E:\PropInv\MF\Houston\Richmond Ave_9850_Camden Stonebridge_Houston_02254","Richmond Ave_9850_Camden Stonebridge_Houston_02254" )</f>
        <v>Richmond Ave_9850_Camden Stonebridge_Houston_02254</v>
      </c>
      <c r="L1876" s="104" t="s">
        <v>22253</v>
      </c>
      <c r="M1876" s="103" t="str">
        <f t="shared" si="148"/>
        <v>http://oconnordata.com/mlink/modules/profile/index.cfm?action=profile&amp;prop_id=2254</v>
      </c>
      <c r="N1876" s="1" t="str">
        <f t="shared" si="149"/>
        <v>02254</v>
      </c>
    </row>
    <row r="1877" spans="1:14" x14ac:dyDescent="0.3">
      <c r="A1877" s="1">
        <v>2255</v>
      </c>
      <c r="B1877" s="7" t="s">
        <v>2820</v>
      </c>
      <c r="C1877" s="12">
        <v>5010</v>
      </c>
      <c r="D1877" s="7" t="s">
        <v>2847</v>
      </c>
      <c r="E1877" s="13" t="s">
        <v>1657</v>
      </c>
      <c r="F1877" t="str">
        <f t="shared" si="145"/>
        <v>Woodway</v>
      </c>
      <c r="G1877" t="str">
        <f t="shared" si="146"/>
        <v>Woodway5010Houston</v>
      </c>
      <c r="H1877" t="s">
        <v>32735</v>
      </c>
      <c r="I1877" t="s">
        <v>24161</v>
      </c>
      <c r="J1877" t="str">
        <f t="shared" si="147"/>
        <v>E:\PropInv\MF</v>
      </c>
      <c r="K1877" s="103" t="str">
        <f>HYPERLINK("E:\PropInv\MF\Houston\Woodway_5010_The Bordeaux_Houston_02255","Woodway_5010_The Bordeaux_Houston_02255" )</f>
        <v>Woodway_5010_The Bordeaux_Houston_02255</v>
      </c>
      <c r="L1877" s="104" t="s">
        <v>22253</v>
      </c>
      <c r="M1877" s="103" t="str">
        <f t="shared" si="148"/>
        <v>http://oconnordata.com/mlink/modules/profile/index.cfm?action=profile&amp;prop_id=2255</v>
      </c>
      <c r="N1877" s="1" t="str">
        <f t="shared" si="149"/>
        <v>02255</v>
      </c>
    </row>
    <row r="1878" spans="1:14" x14ac:dyDescent="0.3">
      <c r="A1878" s="1">
        <v>2256</v>
      </c>
      <c r="B1878" s="7" t="s">
        <v>2848</v>
      </c>
      <c r="C1878" s="12">
        <v>99</v>
      </c>
      <c r="D1878" s="7" t="s">
        <v>2849</v>
      </c>
      <c r="E1878" s="13" t="s">
        <v>1657</v>
      </c>
      <c r="F1878" t="str">
        <f t="shared" si="145"/>
        <v>Post</v>
      </c>
      <c r="G1878" t="str">
        <f t="shared" si="146"/>
        <v>Post99Houston</v>
      </c>
      <c r="H1878" t="s">
        <v>32736</v>
      </c>
      <c r="I1878" t="s">
        <v>24162</v>
      </c>
      <c r="J1878" t="str">
        <f t="shared" si="147"/>
        <v>E:\PropInv\MF</v>
      </c>
      <c r="K1878" s="103" t="str">
        <f>HYPERLINK("E:\PropInv\MF\Houston\Post Oak Ln N_99_Post Oak at Woodway_Houston_02256","Post Oak Ln N_99_Post Oak at Woodway_Houston_02256" )</f>
        <v>Post Oak Ln N_99_Post Oak at Woodway_Houston_02256</v>
      </c>
      <c r="L1878" s="104" t="s">
        <v>22253</v>
      </c>
      <c r="M1878" s="103" t="str">
        <f t="shared" si="148"/>
        <v>http://oconnordata.com/mlink/modules/profile/index.cfm?action=profile&amp;prop_id=2256</v>
      </c>
      <c r="N1878" s="1" t="str">
        <f t="shared" si="149"/>
        <v>02256</v>
      </c>
    </row>
    <row r="1879" spans="1:14" x14ac:dyDescent="0.3">
      <c r="A1879" s="1">
        <v>2257</v>
      </c>
      <c r="B1879" s="7" t="s">
        <v>2850</v>
      </c>
      <c r="C1879" s="12">
        <v>6403</v>
      </c>
      <c r="D1879" s="7" t="s">
        <v>2851</v>
      </c>
      <c r="E1879" s="13" t="s">
        <v>1657</v>
      </c>
      <c r="F1879" t="str">
        <f t="shared" si="145"/>
        <v>Del</v>
      </c>
      <c r="G1879" t="str">
        <f t="shared" si="146"/>
        <v>Del6403Houston</v>
      </c>
      <c r="H1879" t="s">
        <v>32737</v>
      </c>
      <c r="I1879" t="s">
        <v>24163</v>
      </c>
      <c r="J1879" t="str">
        <f t="shared" si="147"/>
        <v>E:\PropInv\MF</v>
      </c>
      <c r="K1879" s="103" t="str">
        <f>HYPERLINK("E:\PropInv\MF\Houston\Del Monte_6403_Waters of Winrock_Houston_02257","Del Monte_6403_Waters of Winrock_Houston_02257" )</f>
        <v>Del Monte_6403_Waters of Winrock_Houston_02257</v>
      </c>
      <c r="L1879" s="104" t="s">
        <v>22253</v>
      </c>
      <c r="M1879" s="103" t="str">
        <f t="shared" si="148"/>
        <v>http://oconnordata.com/mlink/modules/profile/index.cfm?action=profile&amp;prop_id=2257</v>
      </c>
      <c r="N1879" s="1" t="str">
        <f t="shared" si="149"/>
        <v>02257</v>
      </c>
    </row>
    <row r="1880" spans="1:14" x14ac:dyDescent="0.3">
      <c r="A1880" s="1">
        <v>2258</v>
      </c>
      <c r="B1880" s="7" t="s">
        <v>2675</v>
      </c>
      <c r="C1880" s="12">
        <v>8990</v>
      </c>
      <c r="D1880" s="7" t="s">
        <v>2852</v>
      </c>
      <c r="E1880" s="13" t="s">
        <v>1657</v>
      </c>
      <c r="F1880" t="str">
        <f t="shared" si="145"/>
        <v>Richmond</v>
      </c>
      <c r="G1880" t="str">
        <f t="shared" si="146"/>
        <v>Richmond8990Houston</v>
      </c>
      <c r="H1880" t="s">
        <v>32738</v>
      </c>
      <c r="I1880" t="s">
        <v>24164</v>
      </c>
      <c r="J1880" t="str">
        <f t="shared" si="147"/>
        <v>E:\PropInv\MF</v>
      </c>
      <c r="K1880" s="103" t="str">
        <f>HYPERLINK("E:\PropInv\MF\Houston\Richmond_8990_The Granite Club_Houston_02258","Richmond_8990_The Granite Club_Houston_02258" )</f>
        <v>Richmond_8990_The Granite Club_Houston_02258</v>
      </c>
      <c r="L1880" s="104" t="s">
        <v>22253</v>
      </c>
      <c r="M1880" s="103" t="str">
        <f t="shared" si="148"/>
        <v>http://oconnordata.com/mlink/modules/profile/index.cfm?action=profile&amp;prop_id=2258</v>
      </c>
      <c r="N1880" s="1" t="str">
        <f t="shared" si="149"/>
        <v>02258</v>
      </c>
    </row>
    <row r="1881" spans="1:14" x14ac:dyDescent="0.3">
      <c r="A1881" s="1">
        <v>2259</v>
      </c>
      <c r="B1881" s="7" t="s">
        <v>2853</v>
      </c>
      <c r="C1881" s="12">
        <v>2929</v>
      </c>
      <c r="D1881" s="7" t="s">
        <v>2854</v>
      </c>
      <c r="E1881" s="13" t="s">
        <v>1657</v>
      </c>
      <c r="F1881" t="str">
        <f t="shared" si="145"/>
        <v>Crossview</v>
      </c>
      <c r="G1881" t="str">
        <f t="shared" si="146"/>
        <v>Crossview2929Houston</v>
      </c>
      <c r="H1881" t="s">
        <v>32739</v>
      </c>
      <c r="I1881" t="s">
        <v>24165</v>
      </c>
      <c r="J1881" t="str">
        <f t="shared" si="147"/>
        <v>E:\PropInv\MF</v>
      </c>
      <c r="K1881" s="103" t="str">
        <f>HYPERLINK("E:\PropInv\MF\Houston\Crossview_2929_Crossview Court_Houston_02259","Crossview_2929_Crossview Court_Houston_02259" )</f>
        <v>Crossview_2929_Crossview Court_Houston_02259</v>
      </c>
      <c r="L1881" s="104" t="s">
        <v>22253</v>
      </c>
      <c r="M1881" s="103" t="str">
        <f t="shared" si="148"/>
        <v>http://oconnordata.com/mlink/modules/profile/index.cfm?action=profile&amp;prop_id=2259</v>
      </c>
      <c r="N1881" s="1" t="str">
        <f t="shared" si="149"/>
        <v>02259</v>
      </c>
    </row>
    <row r="1882" spans="1:14" x14ac:dyDescent="0.3">
      <c r="A1882" s="1">
        <v>2260</v>
      </c>
      <c r="B1882" s="7" t="s">
        <v>2824</v>
      </c>
      <c r="C1882" s="12">
        <v>3401</v>
      </c>
      <c r="D1882" s="7" t="s">
        <v>2855</v>
      </c>
      <c r="E1882" s="13" t="s">
        <v>1657</v>
      </c>
      <c r="F1882" t="str">
        <f t="shared" si="145"/>
        <v>Dunvale</v>
      </c>
      <c r="G1882" t="str">
        <f t="shared" si="146"/>
        <v>Dunvale3401Houston</v>
      </c>
      <c r="H1882" t="s">
        <v>32740</v>
      </c>
      <c r="I1882" t="s">
        <v>24166</v>
      </c>
      <c r="J1882" t="str">
        <f t="shared" si="147"/>
        <v>E:\PropInv\MF</v>
      </c>
      <c r="K1882" s="103" t="str">
        <f>HYPERLINK("E:\PropInv\MF\Houston\Dunvale_3401_Turtle Pointe South_Houston_02260","Dunvale_3401_Turtle Pointe South_Houston_02260" )</f>
        <v>Dunvale_3401_Turtle Pointe South_Houston_02260</v>
      </c>
      <c r="L1882" s="104" t="s">
        <v>22253</v>
      </c>
      <c r="M1882" s="103" t="str">
        <f t="shared" si="148"/>
        <v>http://oconnordata.com/mlink/modules/profile/index.cfm?action=profile&amp;prop_id=2260</v>
      </c>
      <c r="N1882" s="1" t="str">
        <f t="shared" si="149"/>
        <v>02260</v>
      </c>
    </row>
    <row r="1883" spans="1:14" x14ac:dyDescent="0.3">
      <c r="A1883" s="1">
        <v>2261</v>
      </c>
      <c r="B1883" s="7" t="s">
        <v>2677</v>
      </c>
      <c r="C1883" s="12">
        <v>8155</v>
      </c>
      <c r="D1883" s="7" t="s">
        <v>2856</v>
      </c>
      <c r="E1883" s="13" t="s">
        <v>1657</v>
      </c>
      <c r="F1883" t="str">
        <f t="shared" si="145"/>
        <v>Richmond</v>
      </c>
      <c r="G1883" t="str">
        <f t="shared" si="146"/>
        <v>Richmond8155Houston</v>
      </c>
      <c r="H1883" t="s">
        <v>32741</v>
      </c>
      <c r="I1883" t="s">
        <v>24167</v>
      </c>
      <c r="J1883" t="str">
        <f t="shared" si="147"/>
        <v>E:\PropInv\MF</v>
      </c>
      <c r="K1883" s="103" t="str">
        <f>HYPERLINK("E:\PropInv\MF\Houston\Richmond Ave_8155_Richmond Chase_Houston_02261","Richmond Ave_8155_Richmond Chase_Houston_02261" )</f>
        <v>Richmond Ave_8155_Richmond Chase_Houston_02261</v>
      </c>
      <c r="L1883" s="104" t="s">
        <v>22253</v>
      </c>
      <c r="M1883" s="103" t="str">
        <f t="shared" si="148"/>
        <v>http://oconnordata.com/mlink/modules/profile/index.cfm?action=profile&amp;prop_id=2261</v>
      </c>
      <c r="N1883" s="1" t="str">
        <f t="shared" si="149"/>
        <v>02261</v>
      </c>
    </row>
    <row r="1884" spans="1:14" x14ac:dyDescent="0.3">
      <c r="A1884" s="1">
        <v>2262</v>
      </c>
      <c r="B1884" s="7" t="s">
        <v>2677</v>
      </c>
      <c r="C1884" s="12">
        <v>8162</v>
      </c>
      <c r="D1884" s="7" t="s">
        <v>2857</v>
      </c>
      <c r="E1884" s="13" t="s">
        <v>1657</v>
      </c>
      <c r="F1884" t="str">
        <f t="shared" si="145"/>
        <v>Richmond</v>
      </c>
      <c r="G1884" t="str">
        <f t="shared" si="146"/>
        <v>Richmond8162Houston</v>
      </c>
      <c r="H1884" t="s">
        <v>32742</v>
      </c>
      <c r="I1884" t="s">
        <v>24168</v>
      </c>
      <c r="J1884" t="str">
        <f t="shared" si="147"/>
        <v>E:\PropInv\MF</v>
      </c>
      <c r="K1884" s="103" t="str">
        <f>HYPERLINK("E:\PropInv\MF\Houston\Richmond Ave_8162_Turtle Pointe_Houston_02262","Richmond Ave_8162_Turtle Pointe_Houston_02262" )</f>
        <v>Richmond Ave_8162_Turtle Pointe_Houston_02262</v>
      </c>
      <c r="L1884" s="104" t="s">
        <v>22253</v>
      </c>
      <c r="M1884" s="103" t="str">
        <f t="shared" si="148"/>
        <v>http://oconnordata.com/mlink/modules/profile/index.cfm?action=profile&amp;prop_id=2262</v>
      </c>
      <c r="N1884" s="1" t="str">
        <f t="shared" si="149"/>
        <v>02262</v>
      </c>
    </row>
    <row r="1885" spans="1:14" x14ac:dyDescent="0.3">
      <c r="A1885" s="97">
        <v>2263</v>
      </c>
      <c r="B1885" s="7" t="s">
        <v>2677</v>
      </c>
      <c r="C1885" s="12">
        <v>9900</v>
      </c>
      <c r="D1885" s="7" t="s">
        <v>2858</v>
      </c>
      <c r="E1885" s="13" t="s">
        <v>1657</v>
      </c>
      <c r="F1885" t="str">
        <f t="shared" si="145"/>
        <v>Richmond</v>
      </c>
      <c r="G1885" t="str">
        <f t="shared" si="146"/>
        <v>Richmond9900Houston</v>
      </c>
      <c r="H1885" t="s">
        <v>32743</v>
      </c>
      <c r="I1885" t="s">
        <v>24169</v>
      </c>
      <c r="J1885" t="str">
        <f t="shared" si="147"/>
        <v>E:\PropInv\MF</v>
      </c>
      <c r="K1885" s="103" t="str">
        <f>HYPERLINK("E:\PropInv\MF\Houston\Richmond Ave_9900_Woodtrail_Houston_02263","Richmond Ave_9900_Woodtrail_Houston_02263" )</f>
        <v>Richmond Ave_9900_Woodtrail_Houston_02263</v>
      </c>
      <c r="L1885" s="104" t="s">
        <v>22253</v>
      </c>
      <c r="M1885" s="103" t="str">
        <f t="shared" si="148"/>
        <v>http://oconnordata.com/mlink/modules/profile/index.cfm?action=profile&amp;prop_id=2263</v>
      </c>
      <c r="N1885" s="1" t="str">
        <f t="shared" si="149"/>
        <v>02263</v>
      </c>
    </row>
    <row r="1886" spans="1:14" x14ac:dyDescent="0.3">
      <c r="A1886" s="1">
        <v>2264</v>
      </c>
      <c r="B1886" s="7" t="s">
        <v>2677</v>
      </c>
      <c r="C1886" s="12">
        <v>9940</v>
      </c>
      <c r="D1886" s="7" t="s">
        <v>2859</v>
      </c>
      <c r="E1886" s="13" t="s">
        <v>1657</v>
      </c>
      <c r="F1886" t="str">
        <f t="shared" si="145"/>
        <v>Richmond</v>
      </c>
      <c r="G1886" t="str">
        <f t="shared" si="146"/>
        <v>Richmond9940Houston</v>
      </c>
      <c r="H1886" t="s">
        <v>32744</v>
      </c>
      <c r="I1886" t="s">
        <v>24170</v>
      </c>
      <c r="J1886" t="str">
        <f t="shared" si="147"/>
        <v>E:\PropInv\MF</v>
      </c>
      <c r="K1886" s="103" t="str">
        <f>HYPERLINK("E:\PropInv\MF\Houston\Richmond Ave_9940_Richmond Green_Houston_02264","Richmond Ave_9940_Richmond Green_Houston_02264" )</f>
        <v>Richmond Ave_9940_Richmond Green_Houston_02264</v>
      </c>
      <c r="L1886" s="104" t="s">
        <v>22253</v>
      </c>
      <c r="M1886" s="103" t="str">
        <f t="shared" si="148"/>
        <v>http://oconnordata.com/mlink/modules/profile/index.cfm?action=profile&amp;prop_id=2264</v>
      </c>
      <c r="N1886" s="1" t="str">
        <f t="shared" si="149"/>
        <v>02264</v>
      </c>
    </row>
    <row r="1887" spans="1:14" x14ac:dyDescent="0.3">
      <c r="A1887" s="1">
        <v>2265</v>
      </c>
      <c r="B1887" s="7" t="s">
        <v>5</v>
      </c>
      <c r="C1887" s="12">
        <v>7900</v>
      </c>
      <c r="D1887" s="7" t="s">
        <v>2860</v>
      </c>
      <c r="E1887" s="13" t="s">
        <v>1657</v>
      </c>
      <c r="F1887" t="str">
        <f t="shared" si="145"/>
        <v>Westheimer</v>
      </c>
      <c r="G1887" t="str">
        <f t="shared" si="146"/>
        <v>Westheimer7900Houston</v>
      </c>
      <c r="H1887" t="s">
        <v>32745</v>
      </c>
      <c r="I1887" t="s">
        <v>24171</v>
      </c>
      <c r="J1887" t="str">
        <f t="shared" si="147"/>
        <v>E:\PropInv\MF</v>
      </c>
      <c r="K1887" s="103" t="str">
        <f>HYPERLINK("E:\PropInv\MF\Houston\Westheimer_7900_Carrington Court_Houston_02265","Westheimer_7900_Carrington Court_Houston_02265" )</f>
        <v>Westheimer_7900_Carrington Court_Houston_02265</v>
      </c>
      <c r="L1887" s="104" t="s">
        <v>22253</v>
      </c>
      <c r="M1887" s="103" t="str">
        <f t="shared" si="148"/>
        <v>http://oconnordata.com/mlink/modules/profile/index.cfm?action=profile&amp;prop_id=2265</v>
      </c>
      <c r="N1887" s="1" t="str">
        <f t="shared" si="149"/>
        <v>02265</v>
      </c>
    </row>
    <row r="1888" spans="1:14" x14ac:dyDescent="0.3">
      <c r="A1888" s="1">
        <v>2266</v>
      </c>
      <c r="B1888" s="7" t="s">
        <v>5</v>
      </c>
      <c r="C1888" s="12">
        <v>7979</v>
      </c>
      <c r="D1888" s="7" t="s">
        <v>2861</v>
      </c>
      <c r="E1888" s="13" t="s">
        <v>1657</v>
      </c>
      <c r="F1888" t="str">
        <f t="shared" si="145"/>
        <v>Westheimer</v>
      </c>
      <c r="G1888" t="str">
        <f t="shared" si="146"/>
        <v>Westheimer7979Houston</v>
      </c>
      <c r="H1888" t="s">
        <v>32746</v>
      </c>
      <c r="I1888" t="s">
        <v>24172</v>
      </c>
      <c r="J1888" t="str">
        <f t="shared" si="147"/>
        <v>E:\PropInv\MF</v>
      </c>
      <c r="K1888" s="103" t="str">
        <f>HYPERLINK("E:\PropInv\MF\Houston\Westheimer_7979_7979 Westheimer AH_Houston_02266","Westheimer_7979_7979 Westheimer AH_Houston_02266" )</f>
        <v>Westheimer_7979_7979 Westheimer AH_Houston_02266</v>
      </c>
      <c r="L1888" s="104" t="s">
        <v>22253</v>
      </c>
      <c r="M1888" s="103" t="str">
        <f t="shared" si="148"/>
        <v>http://oconnordata.com/mlink/modules/profile/index.cfm?action=profile&amp;prop_id=2266</v>
      </c>
      <c r="N1888" s="1" t="str">
        <f t="shared" si="149"/>
        <v>02266</v>
      </c>
    </row>
    <row r="1889" spans="1:14" x14ac:dyDescent="0.3">
      <c r="A1889" s="1">
        <v>2267</v>
      </c>
      <c r="B1889" s="7" t="s">
        <v>2780</v>
      </c>
      <c r="C1889" s="12">
        <v>2525</v>
      </c>
      <c r="D1889" s="7" t="s">
        <v>2862</v>
      </c>
      <c r="E1889" s="13" t="s">
        <v>1657</v>
      </c>
      <c r="F1889" t="str">
        <f t="shared" si="145"/>
        <v>Voss</v>
      </c>
      <c r="G1889" t="str">
        <f t="shared" si="146"/>
        <v>Voss2525Houston</v>
      </c>
      <c r="H1889" t="s">
        <v>32747</v>
      </c>
      <c r="I1889" t="s">
        <v>24173</v>
      </c>
      <c r="J1889" t="str">
        <f t="shared" si="147"/>
        <v>E:\PropInv\MF</v>
      </c>
      <c r="K1889" s="103" t="str">
        <f>HYPERLINK("E:\PropInv\MF\Houston\Voss S_2525_Times Square (Demolished)_Houston_02267","Voss S_2525_Times Square (Demolished)_Houston_02267" )</f>
        <v>Voss S_2525_Times Square (Demolished)_Houston_02267</v>
      </c>
      <c r="L1889" s="104" t="s">
        <v>22253</v>
      </c>
      <c r="M1889" s="103" t="str">
        <f t="shared" si="148"/>
        <v>http://oconnordata.com/mlink/modules/profile/index.cfm?action=profile&amp;prop_id=2267</v>
      </c>
      <c r="N1889" s="1" t="str">
        <f t="shared" si="149"/>
        <v>02267</v>
      </c>
    </row>
    <row r="1890" spans="1:14" x14ac:dyDescent="0.3">
      <c r="A1890" s="1">
        <v>2268</v>
      </c>
      <c r="B1890" s="7" t="s">
        <v>2818</v>
      </c>
      <c r="C1890" s="12">
        <v>6505</v>
      </c>
      <c r="D1890" s="7" t="s">
        <v>2863</v>
      </c>
      <c r="E1890" s="13" t="s">
        <v>1657</v>
      </c>
      <c r="F1890" t="str">
        <f t="shared" si="145"/>
        <v>Westheimer</v>
      </c>
      <c r="G1890" t="str">
        <f t="shared" si="146"/>
        <v>Westheimer6505Houston</v>
      </c>
      <c r="H1890" t="s">
        <v>32748</v>
      </c>
      <c r="I1890" t="s">
        <v>24174</v>
      </c>
      <c r="J1890" t="str">
        <f t="shared" si="147"/>
        <v>E:\PropInv\MF</v>
      </c>
      <c r="K1890" s="103" t="str">
        <f>HYPERLINK("E:\PropInv\MF\Houston\Westheimer Rd_6505_The Water Mill_Houston_02268","Westheimer Rd_6505_The Water Mill_Houston_02268" )</f>
        <v>Westheimer Rd_6505_The Water Mill_Houston_02268</v>
      </c>
      <c r="L1890" s="104" t="s">
        <v>22253</v>
      </c>
      <c r="M1890" s="103" t="str">
        <f t="shared" si="148"/>
        <v>http://oconnordata.com/mlink/modules/profile/index.cfm?action=profile&amp;prop_id=2268</v>
      </c>
      <c r="N1890" s="1" t="str">
        <f t="shared" si="149"/>
        <v>02268</v>
      </c>
    </row>
    <row r="1891" spans="1:14" x14ac:dyDescent="0.3">
      <c r="A1891" s="1">
        <v>2270</v>
      </c>
      <c r="B1891" s="7" t="s">
        <v>2864</v>
      </c>
      <c r="C1891" s="12">
        <v>3401</v>
      </c>
      <c r="D1891" s="7" t="s">
        <v>2865</v>
      </c>
      <c r="E1891" s="13" t="s">
        <v>1657</v>
      </c>
      <c r="F1891" t="str">
        <f t="shared" si="145"/>
        <v>Ocee</v>
      </c>
      <c r="G1891" t="str">
        <f t="shared" si="146"/>
        <v>Ocee3401Houston</v>
      </c>
      <c r="H1891" t="s">
        <v>32749</v>
      </c>
      <c r="I1891" t="s">
        <v>24175</v>
      </c>
      <c r="J1891" t="str">
        <f t="shared" si="147"/>
        <v>E:\PropInv\MF</v>
      </c>
      <c r="K1891" s="103" t="str">
        <f>HYPERLINK("E:\PropInv\MF\Houston\Ocee_3401_Spring Meadows_Houston_02270","Ocee_3401_Spring Meadows_Houston_02270" )</f>
        <v>Ocee_3401_Spring Meadows_Houston_02270</v>
      </c>
      <c r="L1891" s="104" t="s">
        <v>22253</v>
      </c>
      <c r="M1891" s="103" t="str">
        <f t="shared" si="148"/>
        <v>http://oconnordata.com/mlink/modules/profile/index.cfm?action=profile&amp;prop_id=2270</v>
      </c>
      <c r="N1891" s="1" t="str">
        <f t="shared" si="149"/>
        <v>02270</v>
      </c>
    </row>
    <row r="1892" spans="1:14" x14ac:dyDescent="0.3">
      <c r="A1892" s="1">
        <v>2271</v>
      </c>
      <c r="B1892" s="7" t="s">
        <v>2866</v>
      </c>
      <c r="C1892" s="12">
        <v>9221</v>
      </c>
      <c r="D1892" s="7" t="s">
        <v>2867</v>
      </c>
      <c r="E1892" s="13" t="s">
        <v>1657</v>
      </c>
      <c r="F1892" t="str">
        <f t="shared" si="145"/>
        <v>Pagewood</v>
      </c>
      <c r="G1892" t="str">
        <f t="shared" si="146"/>
        <v>Pagewood9221Houston</v>
      </c>
      <c r="H1892" t="s">
        <v>32750</v>
      </c>
      <c r="I1892" t="s">
        <v>24176</v>
      </c>
      <c r="J1892" t="str">
        <f t="shared" si="147"/>
        <v>E:\PropInv\MF</v>
      </c>
      <c r="K1892" s="103" t="str">
        <f>HYPERLINK("E:\PropInv\MF\Houston\Pagewood_9221_Summervale_Houston_02271","Pagewood_9221_Summervale_Houston_02271" )</f>
        <v>Pagewood_9221_Summervale_Houston_02271</v>
      </c>
      <c r="L1892" s="104" t="s">
        <v>22253</v>
      </c>
      <c r="M1892" s="103" t="str">
        <f t="shared" si="148"/>
        <v>http://oconnordata.com/mlink/modules/profile/index.cfm?action=profile&amp;prop_id=2271</v>
      </c>
      <c r="N1892" s="1" t="str">
        <f t="shared" si="149"/>
        <v>02271</v>
      </c>
    </row>
    <row r="1893" spans="1:14" x14ac:dyDescent="0.3">
      <c r="A1893" s="1">
        <v>2272</v>
      </c>
      <c r="B1893" s="7" t="s">
        <v>2868</v>
      </c>
      <c r="C1893" s="12">
        <v>3001</v>
      </c>
      <c r="D1893" s="7" t="s">
        <v>2869</v>
      </c>
      <c r="E1893" s="13" t="s">
        <v>1657</v>
      </c>
      <c r="F1893" t="str">
        <f t="shared" si="145"/>
        <v>Hillcroft</v>
      </c>
      <c r="G1893" t="str">
        <f t="shared" si="146"/>
        <v>Hillcroft3001Houston</v>
      </c>
      <c r="H1893" t="s">
        <v>32751</v>
      </c>
      <c r="I1893" t="s">
        <v>24177</v>
      </c>
      <c r="J1893" t="str">
        <f t="shared" si="147"/>
        <v>E:\PropInv\MF</v>
      </c>
      <c r="K1893" s="103" t="str">
        <f>HYPERLINK("E:\PropInv\MF\Houston\Hillcroft St_3001_Mirabella Galleria_Houston_02272","Hillcroft St_3001_Mirabella Galleria_Houston_02272" )</f>
        <v>Hillcroft St_3001_Mirabella Galleria_Houston_02272</v>
      </c>
      <c r="L1893" s="104" t="s">
        <v>22253</v>
      </c>
      <c r="M1893" s="103" t="str">
        <f t="shared" si="148"/>
        <v>http://oconnordata.com/mlink/modules/profile/index.cfm?action=profile&amp;prop_id=2272</v>
      </c>
      <c r="N1893" s="1" t="str">
        <f t="shared" si="149"/>
        <v>02272</v>
      </c>
    </row>
    <row r="1894" spans="1:14" x14ac:dyDescent="0.3">
      <c r="A1894" s="1">
        <v>2273</v>
      </c>
      <c r="B1894" s="7" t="s">
        <v>2870</v>
      </c>
      <c r="C1894" s="12">
        <v>3737</v>
      </c>
      <c r="D1894" s="7" t="s">
        <v>2871</v>
      </c>
      <c r="E1894" s="13" t="s">
        <v>1657</v>
      </c>
      <c r="F1894" t="str">
        <f t="shared" si="145"/>
        <v>Hillcroft</v>
      </c>
      <c r="G1894" t="str">
        <f t="shared" si="146"/>
        <v>Hillcroft3737Houston</v>
      </c>
      <c r="H1894" t="s">
        <v>32752</v>
      </c>
      <c r="I1894" t="s">
        <v>24178</v>
      </c>
      <c r="J1894" t="str">
        <f t="shared" si="147"/>
        <v>E:\PropInv\MF</v>
      </c>
      <c r="K1894" s="103" t="str">
        <f>HYPERLINK("E:\PropInv\MF\Houston\Hillcroft_3737_3737 Hillcroft_Houston_02273","Hillcroft_3737_3737 Hillcroft_Houston_02273" )</f>
        <v>Hillcroft_3737_3737 Hillcroft_Houston_02273</v>
      </c>
      <c r="L1894" s="104" t="s">
        <v>22253</v>
      </c>
      <c r="M1894" s="103" t="str">
        <f t="shared" si="148"/>
        <v>http://oconnordata.com/mlink/modules/profile/index.cfm?action=profile&amp;prop_id=2273</v>
      </c>
      <c r="N1894" s="1" t="str">
        <f t="shared" si="149"/>
        <v>02273</v>
      </c>
    </row>
    <row r="1895" spans="1:14" x14ac:dyDescent="0.3">
      <c r="A1895" s="97">
        <v>2275</v>
      </c>
      <c r="B1895" s="7" t="s">
        <v>2820</v>
      </c>
      <c r="C1895" s="12">
        <v>8003</v>
      </c>
      <c r="D1895" s="7" t="s">
        <v>2872</v>
      </c>
      <c r="E1895" s="13" t="s">
        <v>1657</v>
      </c>
      <c r="F1895" t="str">
        <f t="shared" si="145"/>
        <v>Woodway</v>
      </c>
      <c r="G1895" t="str">
        <f t="shared" si="146"/>
        <v>Woodway8003Houston</v>
      </c>
      <c r="H1895" t="s">
        <v>32753</v>
      </c>
      <c r="I1895" t="s">
        <v>24179</v>
      </c>
      <c r="J1895" t="str">
        <f t="shared" si="147"/>
        <v>E:\PropInv\MF</v>
      </c>
      <c r="K1895" s="103" t="str">
        <f>HYPERLINK("E:\PropInv\MF\Houston\Woodway_8003_Woodway Garden TH_Houston_02275","Woodway_8003_Woodway Garden TH_Houston_02275" )</f>
        <v>Woodway_8003_Woodway Garden TH_Houston_02275</v>
      </c>
      <c r="L1895" s="104" t="s">
        <v>22253</v>
      </c>
      <c r="M1895" s="103" t="str">
        <f t="shared" si="148"/>
        <v>http://oconnordata.com/mlink/modules/profile/index.cfm?action=profile&amp;prop_id=2275</v>
      </c>
      <c r="N1895" s="1" t="str">
        <f t="shared" si="149"/>
        <v>02275</v>
      </c>
    </row>
    <row r="1896" spans="1:14" x14ac:dyDescent="0.3">
      <c r="A1896" s="1">
        <v>2276</v>
      </c>
      <c r="B1896" s="7" t="s">
        <v>2873</v>
      </c>
      <c r="C1896" s="12">
        <v>2901</v>
      </c>
      <c r="D1896" s="7" t="s">
        <v>2874</v>
      </c>
      <c r="E1896" s="13" t="s">
        <v>1657</v>
      </c>
      <c r="F1896" t="str">
        <f t="shared" si="145"/>
        <v>Elmside</v>
      </c>
      <c r="G1896" t="str">
        <f t="shared" si="146"/>
        <v>Elmside2901Houston</v>
      </c>
      <c r="H1896" t="s">
        <v>32754</v>
      </c>
      <c r="I1896" t="s">
        <v>24180</v>
      </c>
      <c r="J1896" t="str">
        <f t="shared" si="147"/>
        <v>E:\PropInv\MF</v>
      </c>
      <c r="K1896" s="103" t="str">
        <f>HYPERLINK("E:\PropInv\MF\Houston\Elmside Dr_2901_The Pathway_Houston_02276","Elmside Dr_2901_The Pathway_Houston_02276" )</f>
        <v>Elmside Dr_2901_The Pathway_Houston_02276</v>
      </c>
      <c r="L1896" s="104" t="s">
        <v>22253</v>
      </c>
      <c r="M1896" s="103" t="str">
        <f t="shared" si="148"/>
        <v>http://oconnordata.com/mlink/modules/profile/index.cfm?action=profile&amp;prop_id=2276</v>
      </c>
      <c r="N1896" s="1" t="str">
        <f t="shared" si="149"/>
        <v>02276</v>
      </c>
    </row>
    <row r="1897" spans="1:14" x14ac:dyDescent="0.3">
      <c r="A1897" s="1">
        <v>2277</v>
      </c>
      <c r="B1897" s="7" t="s">
        <v>2802</v>
      </c>
      <c r="C1897" s="12">
        <v>3030</v>
      </c>
      <c r="D1897" s="7" t="s">
        <v>2875</v>
      </c>
      <c r="E1897" s="13" t="s">
        <v>1657</v>
      </c>
      <c r="F1897" t="str">
        <f t="shared" si="145"/>
        <v>Elmside</v>
      </c>
      <c r="G1897" t="str">
        <f t="shared" si="146"/>
        <v>Elmside3030Houston</v>
      </c>
      <c r="H1897" t="s">
        <v>32755</v>
      </c>
      <c r="I1897" t="s">
        <v>24181</v>
      </c>
      <c r="J1897" t="str">
        <f t="shared" si="147"/>
        <v>E:\PropInv\MF</v>
      </c>
      <c r="K1897" s="103" t="str">
        <f>HYPERLINK("E:\PropInv\MF\Houston\Elmside_3030_Stonecrossing of Westchase_Houston_02277","Elmside_3030_Stonecrossing of Westchase_Houston_02277" )</f>
        <v>Elmside_3030_Stonecrossing of Westchase_Houston_02277</v>
      </c>
      <c r="L1897" s="104" t="s">
        <v>22253</v>
      </c>
      <c r="M1897" s="103" t="str">
        <f t="shared" si="148"/>
        <v>http://oconnordata.com/mlink/modules/profile/index.cfm?action=profile&amp;prop_id=2277</v>
      </c>
      <c r="N1897" s="1" t="str">
        <f t="shared" si="149"/>
        <v>02277</v>
      </c>
    </row>
    <row r="1898" spans="1:14" x14ac:dyDescent="0.3">
      <c r="A1898" s="97">
        <v>2278</v>
      </c>
      <c r="B1898" s="7" t="s">
        <v>2800</v>
      </c>
      <c r="C1898" s="12">
        <v>2900</v>
      </c>
      <c r="D1898" s="7" t="s">
        <v>463</v>
      </c>
      <c r="E1898" s="13" t="s">
        <v>1657</v>
      </c>
      <c r="F1898" t="str">
        <f t="shared" si="145"/>
        <v>Gessner</v>
      </c>
      <c r="G1898" t="str">
        <f t="shared" si="146"/>
        <v>Gessner2900Houston</v>
      </c>
      <c r="H1898" t="s">
        <v>32756</v>
      </c>
      <c r="I1898" t="s">
        <v>24182</v>
      </c>
      <c r="J1898" t="str">
        <f t="shared" si="147"/>
        <v>E:\PropInv\MF</v>
      </c>
      <c r="K1898" s="103" t="str">
        <f>HYPERLINK("E:\PropInv\MF\Houston\Gessner S_2900_Woodchase_Houston_02278","Gessner S_2900_Woodchase_Houston_02278" )</f>
        <v>Gessner S_2900_Woodchase_Houston_02278</v>
      </c>
      <c r="L1898" s="104" t="s">
        <v>22253</v>
      </c>
      <c r="M1898" s="103" t="str">
        <f t="shared" si="148"/>
        <v>http://oconnordata.com/mlink/modules/profile/index.cfm?action=profile&amp;prop_id=2278</v>
      </c>
      <c r="N1898" s="1" t="str">
        <f t="shared" si="149"/>
        <v>02278</v>
      </c>
    </row>
    <row r="1899" spans="1:14" x14ac:dyDescent="0.3">
      <c r="A1899" s="1">
        <v>2279</v>
      </c>
      <c r="B1899" s="7" t="s">
        <v>2800</v>
      </c>
      <c r="C1899" s="12">
        <v>3230</v>
      </c>
      <c r="D1899" s="7" t="s">
        <v>2876</v>
      </c>
      <c r="E1899" s="13" t="s">
        <v>1657</v>
      </c>
      <c r="F1899" t="str">
        <f t="shared" si="145"/>
        <v>Gessner</v>
      </c>
      <c r="G1899" t="str">
        <f t="shared" si="146"/>
        <v>Gessner3230Houston</v>
      </c>
      <c r="H1899" t="s">
        <v>32757</v>
      </c>
      <c r="I1899" t="s">
        <v>24183</v>
      </c>
      <c r="J1899" t="str">
        <f t="shared" si="147"/>
        <v>E:\PropInv\MF</v>
      </c>
      <c r="K1899" s="103" t="str">
        <f>HYPERLINK("E:\PropInv\MF\Houston\Gessner S_3230_Central Park_Houston_02279","Gessner S_3230_Central Park_Houston_02279" )</f>
        <v>Gessner S_3230_Central Park_Houston_02279</v>
      </c>
      <c r="L1899" s="104" t="s">
        <v>22253</v>
      </c>
      <c r="M1899" s="103" t="str">
        <f t="shared" si="148"/>
        <v>http://oconnordata.com/mlink/modules/profile/index.cfm?action=profile&amp;prop_id=2279</v>
      </c>
      <c r="N1899" s="1" t="str">
        <f t="shared" si="149"/>
        <v>02279</v>
      </c>
    </row>
    <row r="1900" spans="1:14" x14ac:dyDescent="0.3">
      <c r="A1900" s="1">
        <v>2280</v>
      </c>
      <c r="B1900" s="7" t="s">
        <v>2800</v>
      </c>
      <c r="C1900" s="12">
        <v>3777</v>
      </c>
      <c r="D1900" s="7" t="s">
        <v>2877</v>
      </c>
      <c r="E1900" s="13" t="s">
        <v>1657</v>
      </c>
      <c r="F1900" t="str">
        <f t="shared" si="145"/>
        <v>Gessner</v>
      </c>
      <c r="G1900" t="str">
        <f t="shared" si="146"/>
        <v>Gessner3777Houston</v>
      </c>
      <c r="H1900" t="s">
        <v>32758</v>
      </c>
      <c r="I1900" t="s">
        <v>24184</v>
      </c>
      <c r="J1900" t="str">
        <f t="shared" si="147"/>
        <v>E:\PropInv\MF</v>
      </c>
      <c r="K1900" s="103" t="str">
        <f>HYPERLINK("E:\PropInv\MF\Houston\Gessner S_3777_Boca Springs_Houston_02280","Gessner S_3777_Boca Springs_Houston_02280" )</f>
        <v>Gessner S_3777_Boca Springs_Houston_02280</v>
      </c>
      <c r="L1900" s="104" t="s">
        <v>22253</v>
      </c>
      <c r="M1900" s="103" t="str">
        <f t="shared" si="148"/>
        <v>http://oconnordata.com/mlink/modules/profile/index.cfm?action=profile&amp;prop_id=2280</v>
      </c>
      <c r="N1900" s="1" t="str">
        <f t="shared" si="149"/>
        <v>02280</v>
      </c>
    </row>
    <row r="1901" spans="1:14" x14ac:dyDescent="0.3">
      <c r="A1901" s="1">
        <v>2281</v>
      </c>
      <c r="B1901" s="7" t="s">
        <v>1305</v>
      </c>
      <c r="C1901" s="12">
        <v>3400</v>
      </c>
      <c r="D1901" s="7" t="s">
        <v>2878</v>
      </c>
      <c r="E1901" s="13" t="s">
        <v>1657</v>
      </c>
      <c r="F1901" t="str">
        <f t="shared" si="145"/>
        <v>Woodchase</v>
      </c>
      <c r="G1901" t="str">
        <f t="shared" si="146"/>
        <v>Woodchase3400Houston</v>
      </c>
      <c r="H1901" t="s">
        <v>32759</v>
      </c>
      <c r="I1901" t="s">
        <v>24185</v>
      </c>
      <c r="J1901" t="str">
        <f t="shared" si="147"/>
        <v>E:\PropInv\MF</v>
      </c>
      <c r="K1901" s="103" t="str">
        <f>HYPERLINK("E:\PropInv\MF\Houston\Woodchase Dr_3400_Aberdeen_Houston_02281","Woodchase Dr_3400_Aberdeen_Houston_02281" )</f>
        <v>Woodchase Dr_3400_Aberdeen_Houston_02281</v>
      </c>
      <c r="L1901" s="104" t="s">
        <v>22253</v>
      </c>
      <c r="M1901" s="103" t="str">
        <f t="shared" si="148"/>
        <v>http://oconnordata.com/mlink/modules/profile/index.cfm?action=profile&amp;prop_id=2281</v>
      </c>
      <c r="N1901" s="1" t="str">
        <f t="shared" si="149"/>
        <v>02281</v>
      </c>
    </row>
    <row r="1902" spans="1:14" x14ac:dyDescent="0.3">
      <c r="A1902" s="1">
        <v>2282</v>
      </c>
      <c r="B1902" s="7" t="s">
        <v>463</v>
      </c>
      <c r="C1902" s="12">
        <v>3600</v>
      </c>
      <c r="D1902" s="7" t="s">
        <v>2879</v>
      </c>
      <c r="E1902" s="13" t="s">
        <v>1657</v>
      </c>
      <c r="F1902" t="str">
        <f t="shared" si="145"/>
        <v>Woodchase</v>
      </c>
      <c r="G1902" t="str">
        <f t="shared" si="146"/>
        <v>Woodchase3600Houston</v>
      </c>
      <c r="H1902" t="s">
        <v>32760</v>
      </c>
      <c r="I1902" t="s">
        <v>24186</v>
      </c>
      <c r="J1902" t="str">
        <f t="shared" si="147"/>
        <v>E:\PropInv\MF</v>
      </c>
      <c r="K1902" s="103" t="str">
        <f>HYPERLINK("E:\PropInv\MF\Houston\Woodchase_3600_The Fountains of Westchase_Houston_02282","Woodchase_3600_The Fountains of Westchase_Houston_02282" )</f>
        <v>Woodchase_3600_The Fountains of Westchase_Houston_02282</v>
      </c>
      <c r="L1902" s="104" t="s">
        <v>22253</v>
      </c>
      <c r="M1902" s="103" t="str">
        <f t="shared" si="148"/>
        <v>http://oconnordata.com/mlink/modules/profile/index.cfm?action=profile&amp;prop_id=2282</v>
      </c>
      <c r="N1902" s="1" t="str">
        <f t="shared" si="149"/>
        <v>02282</v>
      </c>
    </row>
    <row r="1903" spans="1:14" x14ac:dyDescent="0.3">
      <c r="A1903" s="1">
        <v>2283</v>
      </c>
      <c r="B1903" s="7" t="s">
        <v>2880</v>
      </c>
      <c r="C1903" s="12">
        <v>3400</v>
      </c>
      <c r="D1903" s="7" t="s">
        <v>2881</v>
      </c>
      <c r="E1903" s="13" t="s">
        <v>1657</v>
      </c>
      <c r="F1903" t="str">
        <f t="shared" si="145"/>
        <v>Ocee</v>
      </c>
      <c r="G1903" t="str">
        <f t="shared" si="146"/>
        <v>Ocee3400Houston</v>
      </c>
      <c r="H1903" t="s">
        <v>32761</v>
      </c>
      <c r="I1903" t="s">
        <v>24187</v>
      </c>
      <c r="J1903" t="str">
        <f t="shared" si="147"/>
        <v>E:\PropInv\MF</v>
      </c>
      <c r="K1903" s="103" t="str">
        <f>HYPERLINK("E:\PropInv\MF\Houston\Ocee St_3400_The Gables at Richmond_Houston_02283","Ocee St_3400_The Gables at Richmond_Houston_02283" )</f>
        <v>Ocee St_3400_The Gables at Richmond_Houston_02283</v>
      </c>
      <c r="L1903" s="104" t="s">
        <v>22253</v>
      </c>
      <c r="M1903" s="103" t="str">
        <f t="shared" si="148"/>
        <v>http://oconnordata.com/mlink/modules/profile/index.cfm?action=profile&amp;prop_id=2283</v>
      </c>
      <c r="N1903" s="1" t="str">
        <f t="shared" si="149"/>
        <v>02283</v>
      </c>
    </row>
    <row r="1904" spans="1:14" x14ac:dyDescent="0.3">
      <c r="A1904" s="1">
        <v>2284</v>
      </c>
      <c r="B1904" s="7" t="s">
        <v>2882</v>
      </c>
      <c r="C1904" s="12">
        <v>6419</v>
      </c>
      <c r="D1904" s="7" t="s">
        <v>742</v>
      </c>
      <c r="E1904" s="13" t="s">
        <v>1657</v>
      </c>
      <c r="F1904" t="str">
        <f t="shared" si="145"/>
        <v>Skyline</v>
      </c>
      <c r="G1904" t="str">
        <f t="shared" si="146"/>
        <v>Skyline6419Houston</v>
      </c>
      <c r="H1904" t="s">
        <v>32762</v>
      </c>
      <c r="I1904" t="s">
        <v>24188</v>
      </c>
      <c r="J1904" t="str">
        <f t="shared" si="147"/>
        <v>E:\PropInv\MF</v>
      </c>
      <c r="K1904" s="103" t="str">
        <f>HYPERLINK("E:\PropInv\MF\Houston\Skyline_6419_Stonehaven_Houston_02284","Skyline_6419_Stonehaven_Houston_02284" )</f>
        <v>Skyline_6419_Stonehaven_Houston_02284</v>
      </c>
      <c r="L1904" s="104" t="s">
        <v>22253</v>
      </c>
      <c r="M1904" s="103" t="str">
        <f t="shared" si="148"/>
        <v>http://oconnordata.com/mlink/modules/profile/index.cfm?action=profile&amp;prop_id=2284</v>
      </c>
      <c r="N1904" s="1" t="str">
        <f t="shared" si="149"/>
        <v>02284</v>
      </c>
    </row>
    <row r="1905" spans="1:14" x14ac:dyDescent="0.3">
      <c r="A1905" s="1">
        <v>2285</v>
      </c>
      <c r="B1905" s="7" t="s">
        <v>2883</v>
      </c>
      <c r="C1905" s="12">
        <v>855</v>
      </c>
      <c r="D1905" s="7" t="s">
        <v>2884</v>
      </c>
      <c r="E1905" s="13" t="s">
        <v>1657</v>
      </c>
      <c r="F1905" t="str">
        <f t="shared" si="145"/>
        <v>Queen</v>
      </c>
      <c r="G1905" t="str">
        <f t="shared" si="146"/>
        <v>Queen855Houston</v>
      </c>
      <c r="H1905" t="s">
        <v>32763</v>
      </c>
      <c r="I1905" t="s">
        <v>24189</v>
      </c>
      <c r="J1905" t="str">
        <f t="shared" si="147"/>
        <v>E:\PropInv\MF</v>
      </c>
      <c r="K1905" s="103" t="str">
        <f>HYPERLINK("E:\PropInv\MF\Houston\Queen Annes_855_Kingsbrook Village_Houston_02285","Queen Annes_855_Kingsbrook Village_Houston_02285" )</f>
        <v>Queen Annes_855_Kingsbrook Village_Houston_02285</v>
      </c>
      <c r="L1905" s="104" t="s">
        <v>22253</v>
      </c>
      <c r="M1905" s="103" t="str">
        <f t="shared" si="148"/>
        <v>http://oconnordata.com/mlink/modules/profile/index.cfm?action=profile&amp;prop_id=2285</v>
      </c>
      <c r="N1905" s="1" t="str">
        <f t="shared" si="149"/>
        <v>02285</v>
      </c>
    </row>
    <row r="1906" spans="1:14" x14ac:dyDescent="0.3">
      <c r="A1906" s="1">
        <v>2286</v>
      </c>
      <c r="B1906" s="7" t="s">
        <v>2771</v>
      </c>
      <c r="C1906" s="12">
        <v>9850</v>
      </c>
      <c r="D1906" s="7" t="s">
        <v>2885</v>
      </c>
      <c r="E1906" s="13" t="s">
        <v>1657</v>
      </c>
      <c r="F1906" t="str">
        <f t="shared" si="145"/>
        <v>Meadowglen</v>
      </c>
      <c r="G1906" t="str">
        <f t="shared" si="146"/>
        <v>Meadowglen9850Houston</v>
      </c>
      <c r="H1906" t="s">
        <v>32764</v>
      </c>
      <c r="I1906" t="s">
        <v>24190</v>
      </c>
      <c r="J1906" t="str">
        <f t="shared" si="147"/>
        <v>E:\PropInv\MF</v>
      </c>
      <c r="K1906" s="103" t="str">
        <f>HYPERLINK("E:\PropInv\MF\Houston\Meadowglen_9850_Sunset Shadows_Houston_02286","Meadowglen_9850_Sunset Shadows_Houston_02286" )</f>
        <v>Meadowglen_9850_Sunset Shadows_Houston_02286</v>
      </c>
      <c r="L1906" s="104" t="s">
        <v>22253</v>
      </c>
      <c r="M1906" s="103" t="str">
        <f t="shared" si="148"/>
        <v>http://oconnordata.com/mlink/modules/profile/index.cfm?action=profile&amp;prop_id=2286</v>
      </c>
      <c r="N1906" s="1" t="str">
        <f t="shared" si="149"/>
        <v>02286</v>
      </c>
    </row>
    <row r="1907" spans="1:14" x14ac:dyDescent="0.3">
      <c r="A1907" s="1">
        <v>2287</v>
      </c>
      <c r="B1907" s="7" t="s">
        <v>2771</v>
      </c>
      <c r="C1907" s="12">
        <v>9801</v>
      </c>
      <c r="D1907" s="7" t="s">
        <v>2886</v>
      </c>
      <c r="E1907" s="13" t="s">
        <v>1657</v>
      </c>
      <c r="F1907" t="str">
        <f t="shared" si="145"/>
        <v>Meadowglen</v>
      </c>
      <c r="G1907" t="str">
        <f t="shared" si="146"/>
        <v>Meadowglen9801Houston</v>
      </c>
      <c r="H1907" t="s">
        <v>32765</v>
      </c>
      <c r="I1907" t="s">
        <v>24191</v>
      </c>
      <c r="J1907" t="str">
        <f t="shared" si="147"/>
        <v>E:\PropInv\MF</v>
      </c>
      <c r="K1907" s="103" t="str">
        <f>HYPERLINK("E:\PropInv\MF\Houston\Meadowglen_9801_Madison Park of Westchase I_Houston_02287","Meadowglen_9801_Madison Park of Westchase I_Houston_02287" )</f>
        <v>Meadowglen_9801_Madison Park of Westchase I_Houston_02287</v>
      </c>
      <c r="L1907" s="104" t="s">
        <v>22253</v>
      </c>
      <c r="M1907" s="103" t="str">
        <f t="shared" si="148"/>
        <v>http://oconnordata.com/mlink/modules/profile/index.cfm?action=profile&amp;prop_id=2287</v>
      </c>
      <c r="N1907" s="1" t="str">
        <f t="shared" si="149"/>
        <v>02287</v>
      </c>
    </row>
    <row r="1908" spans="1:14" x14ac:dyDescent="0.3">
      <c r="A1908" s="1">
        <v>2288</v>
      </c>
      <c r="B1908" s="7" t="s">
        <v>2771</v>
      </c>
      <c r="C1908" s="12">
        <v>9797</v>
      </c>
      <c r="D1908" s="7" t="s">
        <v>2887</v>
      </c>
      <c r="E1908" s="13" t="s">
        <v>1657</v>
      </c>
      <c r="F1908" t="str">
        <f t="shared" si="145"/>
        <v>Meadowglen</v>
      </c>
      <c r="G1908" t="str">
        <f t="shared" si="146"/>
        <v>Meadowglen9797Houston</v>
      </c>
      <c r="H1908" t="s">
        <v>32766</v>
      </c>
      <c r="I1908" t="s">
        <v>24192</v>
      </c>
      <c r="J1908" t="str">
        <f t="shared" si="147"/>
        <v>E:\PropInv\MF</v>
      </c>
      <c r="K1908" s="103" t="str">
        <f>HYPERLINK("E:\PropInv\MF\Houston\Meadowglen_9797_Landing at Westchase_Houston_02288","Meadowglen_9797_Landing at Westchase_Houston_02288" )</f>
        <v>Meadowglen_9797_Landing at Westchase_Houston_02288</v>
      </c>
      <c r="L1908" s="104" t="s">
        <v>22253</v>
      </c>
      <c r="M1908" s="103" t="str">
        <f t="shared" si="148"/>
        <v>http://oconnordata.com/mlink/modules/profile/index.cfm?action=profile&amp;prop_id=2288</v>
      </c>
      <c r="N1908" s="1" t="str">
        <f t="shared" si="149"/>
        <v>02288</v>
      </c>
    </row>
    <row r="1909" spans="1:14" x14ac:dyDescent="0.3">
      <c r="A1909" s="1">
        <v>2291</v>
      </c>
      <c r="B1909" s="7" t="s">
        <v>2888</v>
      </c>
      <c r="C1909" s="12">
        <v>1919</v>
      </c>
      <c r="D1909" s="7" t="s">
        <v>2889</v>
      </c>
      <c r="E1909" s="13" t="s">
        <v>1657</v>
      </c>
      <c r="F1909" t="str">
        <f t="shared" si="145"/>
        <v>Post</v>
      </c>
      <c r="G1909" t="str">
        <f t="shared" si="146"/>
        <v>Post1919Houston</v>
      </c>
      <c r="H1909" t="s">
        <v>32767</v>
      </c>
      <c r="I1909" t="s">
        <v>24193</v>
      </c>
      <c r="J1909" t="str">
        <f t="shared" si="147"/>
        <v>E:\PropInv\MF</v>
      </c>
      <c r="K1909" s="103" t="str">
        <f>HYPERLINK("E:\PropInv\MF\Houston\Post Oak Park Rd_1919_Post Oak Park_Houston_02291","Post Oak Park Rd_1919_Post Oak Park_Houston_02291" )</f>
        <v>Post Oak Park Rd_1919_Post Oak Park_Houston_02291</v>
      </c>
      <c r="L1909" s="104" t="s">
        <v>22253</v>
      </c>
      <c r="M1909" s="103" t="str">
        <f t="shared" si="148"/>
        <v>http://oconnordata.com/mlink/modules/profile/index.cfm?action=profile&amp;prop_id=2291</v>
      </c>
      <c r="N1909" s="1" t="str">
        <f t="shared" si="149"/>
        <v>02291</v>
      </c>
    </row>
    <row r="1910" spans="1:14" x14ac:dyDescent="0.3">
      <c r="A1910" s="1">
        <v>2293</v>
      </c>
      <c r="B1910" s="7" t="s">
        <v>2890</v>
      </c>
      <c r="C1910" s="12">
        <v>2530</v>
      </c>
      <c r="D1910" s="7" t="s">
        <v>2891</v>
      </c>
      <c r="E1910" s="13" t="s">
        <v>1657</v>
      </c>
      <c r="F1910" t="str">
        <f t="shared" si="145"/>
        <v>Briar</v>
      </c>
      <c r="G1910" t="str">
        <f t="shared" si="146"/>
        <v>Briar2530Houston</v>
      </c>
      <c r="H1910" t="s">
        <v>32768</v>
      </c>
      <c r="I1910" t="s">
        <v>24194</v>
      </c>
      <c r="J1910" t="str">
        <f t="shared" si="147"/>
        <v>E:\PropInv\MF</v>
      </c>
      <c r="K1910" s="103" t="str">
        <f>HYPERLINK("E:\PropInv\MF\Houston\Briar Ridge_2530_Westbriar_Houston_02293","Briar Ridge_2530_Westbriar_Houston_02293" )</f>
        <v>Briar Ridge_2530_Westbriar_Houston_02293</v>
      </c>
      <c r="L1910" s="104" t="s">
        <v>22253</v>
      </c>
      <c r="M1910" s="103" t="str">
        <f t="shared" si="148"/>
        <v>http://oconnordata.com/mlink/modules/profile/index.cfm?action=profile&amp;prop_id=2293</v>
      </c>
      <c r="N1910" s="1" t="str">
        <f t="shared" si="149"/>
        <v>02293</v>
      </c>
    </row>
    <row r="1911" spans="1:14" x14ac:dyDescent="0.3">
      <c r="A1911" s="1">
        <v>2296</v>
      </c>
      <c r="B1911" s="7" t="s">
        <v>2892</v>
      </c>
      <c r="C1911" s="12">
        <v>915</v>
      </c>
      <c r="D1911" s="7" t="s">
        <v>2893</v>
      </c>
      <c r="E1911" s="13" t="s">
        <v>1657</v>
      </c>
      <c r="F1911" t="str">
        <f t="shared" si="145"/>
        <v>Silber</v>
      </c>
      <c r="G1911" t="str">
        <f t="shared" si="146"/>
        <v>Silber915Houston</v>
      </c>
      <c r="H1911" t="s">
        <v>32769</v>
      </c>
      <c r="I1911" t="s">
        <v>24195</v>
      </c>
      <c r="J1911" t="str">
        <f t="shared" si="147"/>
        <v>E:\PropInv\MF</v>
      </c>
      <c r="K1911" s="103" t="str">
        <f>HYPERLINK("E:\PropInv\MF\Houston\Silber_915_Legends of Memorial I_Houston_02296","Silber_915_Legends of Memorial I_Houston_02296" )</f>
        <v>Silber_915_Legends of Memorial I_Houston_02296</v>
      </c>
      <c r="L1911" s="104" t="s">
        <v>22253</v>
      </c>
      <c r="M1911" s="103" t="str">
        <f t="shared" si="148"/>
        <v>http://oconnordata.com/mlink/modules/profile/index.cfm?action=profile&amp;prop_id=2296</v>
      </c>
      <c r="N1911" s="1" t="str">
        <f t="shared" si="149"/>
        <v>02296</v>
      </c>
    </row>
    <row r="1912" spans="1:14" x14ac:dyDescent="0.3">
      <c r="A1912" s="1">
        <v>2298</v>
      </c>
      <c r="B1912" s="7" t="s">
        <v>2568</v>
      </c>
      <c r="C1912" s="12">
        <v>10220</v>
      </c>
      <c r="D1912" s="7" t="s">
        <v>2894</v>
      </c>
      <c r="E1912" s="13" t="s">
        <v>1657</v>
      </c>
      <c r="F1912" t="str">
        <f t="shared" si="145"/>
        <v>Memorial</v>
      </c>
      <c r="G1912" t="str">
        <f t="shared" si="146"/>
        <v>Memorial10220Houston</v>
      </c>
      <c r="H1912" t="s">
        <v>32770</v>
      </c>
      <c r="I1912" t="s">
        <v>24196</v>
      </c>
      <c r="J1912" t="str">
        <f t="shared" si="147"/>
        <v>E:\PropInv\MF</v>
      </c>
      <c r="K1912" s="103" t="str">
        <f>HYPERLINK("E:\PropInv\MF\Houston\Memorial Dr_10220_Memorial Creole_Houston_02298","Memorial Dr_10220_Memorial Creole_Houston_02298" )</f>
        <v>Memorial Dr_10220_Memorial Creole_Houston_02298</v>
      </c>
      <c r="L1912" s="104" t="s">
        <v>22253</v>
      </c>
      <c r="M1912" s="103" t="str">
        <f t="shared" si="148"/>
        <v>http://oconnordata.com/mlink/modules/profile/index.cfm?action=profile&amp;prop_id=2298</v>
      </c>
      <c r="N1912" s="1" t="str">
        <f t="shared" si="149"/>
        <v>02298</v>
      </c>
    </row>
    <row r="1913" spans="1:14" x14ac:dyDescent="0.3">
      <c r="A1913" s="1">
        <v>2299</v>
      </c>
      <c r="B1913" s="7" t="s">
        <v>2895</v>
      </c>
      <c r="C1913" s="12">
        <v>1100</v>
      </c>
      <c r="D1913" s="7" t="s">
        <v>2896</v>
      </c>
      <c r="E1913" s="13" t="s">
        <v>1657</v>
      </c>
      <c r="F1913" t="str">
        <f t="shared" si="145"/>
        <v>Bering</v>
      </c>
      <c r="G1913" t="str">
        <f t="shared" si="146"/>
        <v>Bering1100Houston</v>
      </c>
      <c r="H1913" t="s">
        <v>32771</v>
      </c>
      <c r="I1913" t="s">
        <v>24197</v>
      </c>
      <c r="J1913" t="str">
        <f t="shared" si="147"/>
        <v>E:\PropInv\MF</v>
      </c>
      <c r="K1913" s="103" t="str">
        <f>HYPERLINK("E:\PropInv\MF\Houston\Bering Dr_1100_Tuscany_Houston_02299","Bering Dr_1100_Tuscany_Houston_02299" )</f>
        <v>Bering Dr_1100_Tuscany_Houston_02299</v>
      </c>
      <c r="L1913" s="104" t="s">
        <v>22253</v>
      </c>
      <c r="M1913" s="103" t="str">
        <f t="shared" si="148"/>
        <v>http://oconnordata.com/mlink/modules/profile/index.cfm?action=profile&amp;prop_id=2299</v>
      </c>
      <c r="N1913" s="1" t="str">
        <f t="shared" si="149"/>
        <v>02299</v>
      </c>
    </row>
    <row r="1914" spans="1:14" x14ac:dyDescent="0.3">
      <c r="A1914" s="1">
        <v>2306</v>
      </c>
      <c r="B1914" s="7" t="s">
        <v>2897</v>
      </c>
      <c r="C1914" s="12">
        <v>722</v>
      </c>
      <c r="D1914" s="7" t="s">
        <v>2898</v>
      </c>
      <c r="E1914" s="13" t="s">
        <v>1657</v>
      </c>
      <c r="F1914" t="str">
        <f t="shared" si="145"/>
        <v>International</v>
      </c>
      <c r="G1914" t="str">
        <f t="shared" si="146"/>
        <v>International722Houston</v>
      </c>
      <c r="H1914" t="s">
        <v>32772</v>
      </c>
      <c r="I1914" t="s">
        <v>24198</v>
      </c>
      <c r="J1914" t="str">
        <f t="shared" si="147"/>
        <v>E:\PropInv\MF</v>
      </c>
      <c r="K1914" s="103" t="str">
        <f>HYPERLINK("E:\PropInv\MF\Houston\International Blvd_722_9900 Memorial_Houston_02306","International Blvd_722_9900 Memorial_Houston_02306" )</f>
        <v>International Blvd_722_9900 Memorial_Houston_02306</v>
      </c>
      <c r="L1914" s="104" t="s">
        <v>22253</v>
      </c>
      <c r="M1914" s="103" t="str">
        <f t="shared" si="148"/>
        <v>http://oconnordata.com/mlink/modules/profile/index.cfm?action=profile&amp;prop_id=2306</v>
      </c>
      <c r="N1914" s="1" t="str">
        <f t="shared" si="149"/>
        <v>02306</v>
      </c>
    </row>
    <row r="1915" spans="1:14" x14ac:dyDescent="0.3">
      <c r="A1915" s="1">
        <v>2308</v>
      </c>
      <c r="B1915" s="7" t="s">
        <v>2899</v>
      </c>
      <c r="C1915" s="12">
        <v>8222</v>
      </c>
      <c r="D1915" s="7" t="s">
        <v>2900</v>
      </c>
      <c r="E1915" s="13" t="s">
        <v>1657</v>
      </c>
      <c r="F1915" t="str">
        <f t="shared" si="145"/>
        <v>Kingsbrook</v>
      </c>
      <c r="G1915" t="str">
        <f t="shared" si="146"/>
        <v>Kingsbrook8222Houston</v>
      </c>
      <c r="H1915" t="s">
        <v>32773</v>
      </c>
      <c r="I1915" t="s">
        <v>24199</v>
      </c>
      <c r="J1915" t="str">
        <f t="shared" si="147"/>
        <v>E:\PropInv\MF</v>
      </c>
      <c r="K1915" s="103" t="str">
        <f>HYPERLINK("E:\PropInv\MF\Houston\Kingsbrook_8222_Fox Hall_Houston_02308","Kingsbrook_8222_Fox Hall_Houston_02308" )</f>
        <v>Kingsbrook_8222_Fox Hall_Houston_02308</v>
      </c>
      <c r="L1915" s="104" t="s">
        <v>22253</v>
      </c>
      <c r="M1915" s="103" t="str">
        <f t="shared" si="148"/>
        <v>http://oconnordata.com/mlink/modules/profile/index.cfm?action=profile&amp;prop_id=2308</v>
      </c>
      <c r="N1915" s="1" t="str">
        <f t="shared" si="149"/>
        <v>02308</v>
      </c>
    </row>
    <row r="1916" spans="1:14" x14ac:dyDescent="0.3">
      <c r="A1916" s="1">
        <v>2310</v>
      </c>
      <c r="B1916" s="7" t="s">
        <v>2820</v>
      </c>
      <c r="C1916" s="12">
        <v>5800</v>
      </c>
      <c r="D1916" s="7" t="s">
        <v>2901</v>
      </c>
      <c r="E1916" s="13" t="s">
        <v>1657</v>
      </c>
      <c r="F1916" t="str">
        <f t="shared" si="145"/>
        <v>Woodway</v>
      </c>
      <c r="G1916" t="str">
        <f t="shared" si="146"/>
        <v>Woodway5800Houston</v>
      </c>
      <c r="H1916" t="s">
        <v>32774</v>
      </c>
      <c r="I1916" t="s">
        <v>24200</v>
      </c>
      <c r="J1916" t="str">
        <f t="shared" si="147"/>
        <v>E:\PropInv\MF</v>
      </c>
      <c r="K1916" s="103" t="str">
        <f>HYPERLINK("E:\PropInv\MF\Houston\Woodway_5800_The Deerwood_Houston_02310","Woodway_5800_The Deerwood_Houston_02310" )</f>
        <v>Woodway_5800_The Deerwood_Houston_02310</v>
      </c>
      <c r="L1916" s="104" t="s">
        <v>22253</v>
      </c>
      <c r="M1916" s="103" t="str">
        <f t="shared" si="148"/>
        <v>http://oconnordata.com/mlink/modules/profile/index.cfm?action=profile&amp;prop_id=2310</v>
      </c>
      <c r="N1916" s="1" t="str">
        <f t="shared" si="149"/>
        <v>02310</v>
      </c>
    </row>
    <row r="1917" spans="1:14" x14ac:dyDescent="0.3">
      <c r="A1917" s="1">
        <v>2311</v>
      </c>
      <c r="B1917" s="7" t="s">
        <v>2902</v>
      </c>
      <c r="C1917" s="12">
        <v>502</v>
      </c>
      <c r="D1917" s="7" t="s">
        <v>2903</v>
      </c>
      <c r="E1917" s="13" t="s">
        <v>1657</v>
      </c>
      <c r="F1917" t="str">
        <f t="shared" si="145"/>
        <v>Post</v>
      </c>
      <c r="G1917" t="str">
        <f t="shared" si="146"/>
        <v>Post502Houston</v>
      </c>
      <c r="H1917" t="s">
        <v>32775</v>
      </c>
      <c r="I1917" t="s">
        <v>24201</v>
      </c>
      <c r="J1917" t="str">
        <f t="shared" si="147"/>
        <v>E:\PropInv\MF</v>
      </c>
      <c r="K1917" s="103" t="str">
        <f>HYPERLINK("E:\PropInv\MF\Houston\Post Oak Ln S_502_502 South Post Oak Lane_Houston_02311","Post Oak Ln S_502_502 South Post Oak Lane_Houston_02311" )</f>
        <v>Post Oak Ln S_502_502 South Post Oak Lane_Houston_02311</v>
      </c>
      <c r="L1917" s="104" t="s">
        <v>22253</v>
      </c>
      <c r="M1917" s="103" t="str">
        <f t="shared" si="148"/>
        <v>http://oconnordata.com/mlink/modules/profile/index.cfm?action=profile&amp;prop_id=2311</v>
      </c>
      <c r="N1917" s="1" t="str">
        <f t="shared" si="149"/>
        <v>02311</v>
      </c>
    </row>
    <row r="1918" spans="1:14" x14ac:dyDescent="0.3">
      <c r="A1918" s="1">
        <v>2313</v>
      </c>
      <c r="B1918" s="7" t="s">
        <v>2904</v>
      </c>
      <c r="C1918" s="12">
        <v>6815</v>
      </c>
      <c r="D1918" s="7" t="s">
        <v>2905</v>
      </c>
      <c r="E1918" s="13" t="s">
        <v>1657</v>
      </c>
      <c r="F1918" t="str">
        <f t="shared" si="145"/>
        <v>Shavelson</v>
      </c>
      <c r="G1918" t="str">
        <f t="shared" si="146"/>
        <v>Shavelson6815Houston</v>
      </c>
      <c r="H1918" t="s">
        <v>32776</v>
      </c>
      <c r="I1918" t="s">
        <v>24202</v>
      </c>
      <c r="J1918" t="str">
        <f t="shared" si="147"/>
        <v>E:\PropInv\MF</v>
      </c>
      <c r="K1918" s="103" t="str">
        <f>HYPERLINK("E:\PropInv\MF\Houston\Shavelson_6815_Memorial Springs_Houston_02313","Shavelson_6815_Memorial Springs_Houston_02313" )</f>
        <v>Shavelson_6815_Memorial Springs_Houston_02313</v>
      </c>
      <c r="L1918" s="104" t="s">
        <v>22253</v>
      </c>
      <c r="M1918" s="103" t="str">
        <f t="shared" si="148"/>
        <v>http://oconnordata.com/mlink/modules/profile/index.cfm?action=profile&amp;prop_id=2313</v>
      </c>
      <c r="N1918" s="1" t="str">
        <f t="shared" si="149"/>
        <v>02313</v>
      </c>
    </row>
    <row r="1919" spans="1:14" x14ac:dyDescent="0.3">
      <c r="A1919" s="1">
        <v>2314</v>
      </c>
      <c r="B1919" s="7" t="s">
        <v>2892</v>
      </c>
      <c r="C1919" s="12">
        <v>910</v>
      </c>
      <c r="D1919" s="7" t="s">
        <v>2906</v>
      </c>
      <c r="E1919" s="13" t="s">
        <v>1657</v>
      </c>
      <c r="F1919" t="str">
        <f t="shared" si="145"/>
        <v>Silber</v>
      </c>
      <c r="G1919" t="str">
        <f t="shared" si="146"/>
        <v>Silber910Houston</v>
      </c>
      <c r="H1919" t="s">
        <v>32777</v>
      </c>
      <c r="I1919" t="s">
        <v>24203</v>
      </c>
      <c r="J1919" t="str">
        <f t="shared" si="147"/>
        <v>E:\PropInv\MF</v>
      </c>
      <c r="K1919" s="103" t="str">
        <f>HYPERLINK("E:\PropInv\MF\Houston\Silber_910_Legends of Memorial II_Houston_02314","Silber_910_Legends of Memorial II_Houston_02314" )</f>
        <v>Silber_910_Legends of Memorial II_Houston_02314</v>
      </c>
      <c r="L1919" s="104" t="s">
        <v>22253</v>
      </c>
      <c r="M1919" s="103" t="str">
        <f t="shared" si="148"/>
        <v>http://oconnordata.com/mlink/modules/profile/index.cfm?action=profile&amp;prop_id=2314</v>
      </c>
      <c r="N1919" s="1" t="str">
        <f t="shared" si="149"/>
        <v>02314</v>
      </c>
    </row>
    <row r="1920" spans="1:14" x14ac:dyDescent="0.3">
      <c r="A1920" s="1">
        <v>2315</v>
      </c>
      <c r="B1920" s="7" t="s">
        <v>2818</v>
      </c>
      <c r="C1920" s="12">
        <v>6425</v>
      </c>
      <c r="D1920" s="7" t="s">
        <v>2907</v>
      </c>
      <c r="E1920" s="13" t="s">
        <v>1657</v>
      </c>
      <c r="F1920" t="str">
        <f t="shared" si="145"/>
        <v>Westheimer</v>
      </c>
      <c r="G1920" t="str">
        <f t="shared" si="146"/>
        <v>Westheimer6425Houston</v>
      </c>
      <c r="H1920" t="s">
        <v>32778</v>
      </c>
      <c r="I1920" t="s">
        <v>24204</v>
      </c>
      <c r="J1920" t="str">
        <f t="shared" si="147"/>
        <v>E:\PropInv\MF</v>
      </c>
      <c r="K1920" s="103" t="str">
        <f>HYPERLINK("E:\PropInv\MF\Houston\Westheimer Rd_6425_The Palms on Westheimer_Houston_02315","Westheimer Rd_6425_The Palms on Westheimer_Houston_02315" )</f>
        <v>Westheimer Rd_6425_The Palms on Westheimer_Houston_02315</v>
      </c>
      <c r="L1920" s="104" t="s">
        <v>22253</v>
      </c>
      <c r="M1920" s="103" t="str">
        <f t="shared" si="148"/>
        <v>http://oconnordata.com/mlink/modules/profile/index.cfm?action=profile&amp;prop_id=2315</v>
      </c>
      <c r="N1920" s="1" t="str">
        <f t="shared" si="149"/>
        <v>02315</v>
      </c>
    </row>
    <row r="1921" spans="1:14" x14ac:dyDescent="0.3">
      <c r="A1921" s="1">
        <v>2316</v>
      </c>
      <c r="B1921" s="7" t="s">
        <v>2908</v>
      </c>
      <c r="C1921" s="12">
        <v>1915</v>
      </c>
      <c r="D1921" s="7" t="s">
        <v>2909</v>
      </c>
      <c r="E1921" s="13" t="s">
        <v>1657</v>
      </c>
      <c r="F1921" t="str">
        <f t="shared" si="145"/>
        <v>Winrock</v>
      </c>
      <c r="G1921" t="str">
        <f t="shared" si="146"/>
        <v>Winrock1915Houston</v>
      </c>
      <c r="H1921" t="s">
        <v>32779</v>
      </c>
      <c r="I1921" t="s">
        <v>24205</v>
      </c>
      <c r="J1921" t="str">
        <f t="shared" si="147"/>
        <v>E:\PropInv\MF</v>
      </c>
      <c r="K1921" s="103" t="str">
        <f>HYPERLINK("E:\PropInv\MF\Houston\Winrock_1915_Briarwest_Houston_02316","Winrock_1915_Briarwest_Houston_02316" )</f>
        <v>Winrock_1915_Briarwest_Houston_02316</v>
      </c>
      <c r="L1921" s="104" t="s">
        <v>22253</v>
      </c>
      <c r="M1921" s="103" t="str">
        <f t="shared" si="148"/>
        <v>http://oconnordata.com/mlink/modules/profile/index.cfm?action=profile&amp;prop_id=2316</v>
      </c>
      <c r="N1921" s="1" t="str">
        <f t="shared" si="149"/>
        <v>02316</v>
      </c>
    </row>
    <row r="1922" spans="1:14" x14ac:dyDescent="0.3">
      <c r="A1922" s="1">
        <v>2317</v>
      </c>
      <c r="B1922" s="7" t="s">
        <v>2908</v>
      </c>
      <c r="C1922" s="12">
        <v>2100</v>
      </c>
      <c r="D1922" s="7" t="s">
        <v>2910</v>
      </c>
      <c r="E1922" s="13" t="s">
        <v>1657</v>
      </c>
      <c r="F1922" t="str">
        <f t="shared" ref="F1922:F1985" si="150">IFERROR(LEFT(B1922,FIND(" ",B1922)-1),B1922)</f>
        <v>Winrock</v>
      </c>
      <c r="G1922" t="str">
        <f t="shared" ref="G1922:G1985" si="151">F1922&amp;C1922&amp;E1922</f>
        <v>Winrock2100Houston</v>
      </c>
      <c r="H1922" t="s">
        <v>32780</v>
      </c>
      <c r="I1922" t="s">
        <v>24206</v>
      </c>
      <c r="J1922" t="str">
        <f t="shared" ref="J1922:J1985" si="152">IF(L1922="TX",Folder_Path,Folder_Path&amp;"\State_"&amp;L1922)</f>
        <v>E:\PropInv\MF</v>
      </c>
      <c r="K1922" s="103" t="str">
        <f>HYPERLINK("E:\PropInv\MF\Houston\Winrock_2100_The Winrock_Houston_02317","Winrock_2100_The Winrock_Houston_02317" )</f>
        <v>Winrock_2100_The Winrock_Houston_02317</v>
      </c>
      <c r="L1922" s="104" t="s">
        <v>22253</v>
      </c>
      <c r="M1922" s="103" t="str">
        <f t="shared" ref="M1922:M1985" si="153">HYPERLINK("http://oconnordata.com/mlink/modules/profile/index.cfm?action=profile&amp;prop_id="&amp;A1922)</f>
        <v>http://oconnordata.com/mlink/modules/profile/index.cfm?action=profile&amp;prop_id=2317</v>
      </c>
      <c r="N1922" s="1" t="str">
        <f t="shared" ref="N1922:N1985" si="154">IF(LEN(A1922)=1,"0000"&amp;A1922,IF(LEN(A1922)=2,"000"&amp;A1922,IF(LEN(A1922)=3,"00"&amp;A1922,IF(LEN(A1922)=4,"0"&amp;A1922,IF(LEN(A1922)=5,IF(LEFT(A1922,1)="3",A1922+30000,A1922))))))</f>
        <v>02317</v>
      </c>
    </row>
    <row r="1923" spans="1:14" x14ac:dyDescent="0.3">
      <c r="A1923" s="97">
        <v>2318</v>
      </c>
      <c r="B1923" s="7" t="s">
        <v>2911</v>
      </c>
      <c r="C1923" s="12">
        <v>1200</v>
      </c>
      <c r="D1923" s="7" t="s">
        <v>2912</v>
      </c>
      <c r="E1923" s="13" t="s">
        <v>1657</v>
      </c>
      <c r="F1923" t="str">
        <f t="shared" si="150"/>
        <v>Winrock</v>
      </c>
      <c r="G1923" t="str">
        <f t="shared" si="151"/>
        <v>Winrock1200Houston</v>
      </c>
      <c r="H1923" t="s">
        <v>32781</v>
      </c>
      <c r="I1923" t="s">
        <v>24207</v>
      </c>
      <c r="J1923" t="str">
        <f t="shared" si="152"/>
        <v>E:\PropInv\MF</v>
      </c>
      <c r="K1923" s="103" t="str">
        <f>HYPERLINK("E:\PropInv\MF\Houston\Winrock Blvd_1200_Woodway Square_Houston_02318","Winrock Blvd_1200_Woodway Square_Houston_02318" )</f>
        <v>Winrock Blvd_1200_Woodway Square_Houston_02318</v>
      </c>
      <c r="L1923" s="104" t="s">
        <v>22253</v>
      </c>
      <c r="M1923" s="103" t="str">
        <f t="shared" si="153"/>
        <v>http://oconnordata.com/mlink/modules/profile/index.cfm?action=profile&amp;prop_id=2318</v>
      </c>
      <c r="N1923" s="1" t="str">
        <f t="shared" si="154"/>
        <v>02318</v>
      </c>
    </row>
    <row r="1924" spans="1:14" x14ac:dyDescent="0.3">
      <c r="A1924" s="1">
        <v>2320</v>
      </c>
      <c r="B1924" s="7" t="s">
        <v>2913</v>
      </c>
      <c r="C1924" s="12">
        <v>1819</v>
      </c>
      <c r="D1924" s="7" t="s">
        <v>2914</v>
      </c>
      <c r="E1924" s="13" t="s">
        <v>1657</v>
      </c>
      <c r="F1924" t="str">
        <f t="shared" si="150"/>
        <v>Augusta</v>
      </c>
      <c r="G1924" t="str">
        <f t="shared" si="151"/>
        <v>Augusta1819Houston</v>
      </c>
      <c r="H1924" t="s">
        <v>32782</v>
      </c>
      <c r="I1924" t="s">
        <v>24208</v>
      </c>
      <c r="J1924" t="str">
        <f t="shared" si="152"/>
        <v>E:\PropInv\MF</v>
      </c>
      <c r="K1924" s="103" t="str">
        <f>HYPERLINK("E:\PropInv\MF\Houston\Augusta_1819_Augusta Court Mid-Rise_Houston_02320","Augusta_1819_Augusta Court Mid-Rise_Houston_02320" )</f>
        <v>Augusta_1819_Augusta Court Mid-Rise_Houston_02320</v>
      </c>
      <c r="L1924" s="104" t="s">
        <v>22253</v>
      </c>
      <c r="M1924" s="103" t="str">
        <f t="shared" si="153"/>
        <v>http://oconnordata.com/mlink/modules/profile/index.cfm?action=profile&amp;prop_id=2320</v>
      </c>
      <c r="N1924" s="1" t="str">
        <f t="shared" si="154"/>
        <v>02320</v>
      </c>
    </row>
    <row r="1925" spans="1:14" x14ac:dyDescent="0.3">
      <c r="A1925" s="1">
        <v>2324</v>
      </c>
      <c r="B1925" s="7" t="s">
        <v>2915</v>
      </c>
      <c r="C1925" s="12">
        <v>6363</v>
      </c>
      <c r="D1925" s="7" t="s">
        <v>2916</v>
      </c>
      <c r="E1925" s="13" t="s">
        <v>1657</v>
      </c>
      <c r="F1925" t="str">
        <f t="shared" si="150"/>
        <v>San</v>
      </c>
      <c r="G1925" t="str">
        <f t="shared" si="151"/>
        <v>San6363Houston</v>
      </c>
      <c r="H1925" t="s">
        <v>32783</v>
      </c>
      <c r="I1925" t="s">
        <v>24209</v>
      </c>
      <c r="J1925" t="str">
        <f t="shared" si="152"/>
        <v>E:\PropInv\MF</v>
      </c>
      <c r="K1925" s="103" t="str">
        <f>HYPERLINK("E:\PropInv\MF\Houston\San Felipe_6363_Regency Arms_Houston_02324","San Felipe_6363_Regency Arms_Houston_02324" )</f>
        <v>San Felipe_6363_Regency Arms_Houston_02324</v>
      </c>
      <c r="L1925" s="104" t="s">
        <v>22253</v>
      </c>
      <c r="M1925" s="103" t="str">
        <f t="shared" si="153"/>
        <v>http://oconnordata.com/mlink/modules/profile/index.cfm?action=profile&amp;prop_id=2324</v>
      </c>
      <c r="N1925" s="1" t="str">
        <f t="shared" si="154"/>
        <v>02324</v>
      </c>
    </row>
    <row r="1926" spans="1:14" x14ac:dyDescent="0.3">
      <c r="A1926" s="97">
        <v>2325</v>
      </c>
      <c r="B1926" s="7" t="s">
        <v>2429</v>
      </c>
      <c r="C1926" s="12">
        <v>1416</v>
      </c>
      <c r="D1926" s="7" t="s">
        <v>2917</v>
      </c>
      <c r="E1926" s="13" t="s">
        <v>1657</v>
      </c>
      <c r="F1926" t="str">
        <f t="shared" si="150"/>
        <v>Wood</v>
      </c>
      <c r="G1926" t="str">
        <f t="shared" si="151"/>
        <v>Wood1416Houston</v>
      </c>
      <c r="H1926" t="s">
        <v>32784</v>
      </c>
      <c r="I1926" t="s">
        <v>24210</v>
      </c>
      <c r="J1926" t="str">
        <f t="shared" si="152"/>
        <v>E:\PropInv\MF</v>
      </c>
      <c r="K1926" s="103" t="str">
        <f>HYPERLINK("E:\PropInv\MF\Houston\Wood Hollow_1416_Woodway on San Felipe_Houston_02325","Wood Hollow_1416_Woodway on San Felipe_Houston_02325" )</f>
        <v>Wood Hollow_1416_Woodway on San Felipe_Houston_02325</v>
      </c>
      <c r="L1926" s="104" t="s">
        <v>22253</v>
      </c>
      <c r="M1926" s="103" t="str">
        <f t="shared" si="153"/>
        <v>http://oconnordata.com/mlink/modules/profile/index.cfm?action=profile&amp;prop_id=2325</v>
      </c>
      <c r="N1926" s="1" t="str">
        <f t="shared" si="154"/>
        <v>02325</v>
      </c>
    </row>
    <row r="1927" spans="1:14" x14ac:dyDescent="0.3">
      <c r="A1927" s="1">
        <v>2329</v>
      </c>
      <c r="B1927" s="7" t="s">
        <v>2918</v>
      </c>
      <c r="C1927" s="12">
        <v>1617</v>
      </c>
      <c r="D1927" s="7" t="s">
        <v>2919</v>
      </c>
      <c r="E1927" s="13" t="s">
        <v>1657</v>
      </c>
      <c r="F1927" t="str">
        <f t="shared" si="150"/>
        <v>Fountainview</v>
      </c>
      <c r="G1927" t="str">
        <f t="shared" si="151"/>
        <v>Fountainview1617Houston</v>
      </c>
      <c r="H1927" t="s">
        <v>32785</v>
      </c>
      <c r="I1927" t="s">
        <v>24211</v>
      </c>
      <c r="J1927" t="str">
        <f t="shared" si="152"/>
        <v>E:\PropInv\MF</v>
      </c>
      <c r="K1927" s="103" t="str">
        <f>HYPERLINK("E:\PropInv\MF\Houston\Fountainview_1617_Three Fountains III_Houston_02329","Fountainview_1617_Three Fountains III_Houston_02329" )</f>
        <v>Fountainview_1617_Three Fountains III_Houston_02329</v>
      </c>
      <c r="L1927" s="104" t="s">
        <v>22253</v>
      </c>
      <c r="M1927" s="103" t="str">
        <f t="shared" si="153"/>
        <v>http://oconnordata.com/mlink/modules/profile/index.cfm?action=profile&amp;prop_id=2329</v>
      </c>
      <c r="N1927" s="1" t="str">
        <f t="shared" si="154"/>
        <v>02329</v>
      </c>
    </row>
    <row r="1928" spans="1:14" x14ac:dyDescent="0.3">
      <c r="A1928" s="1">
        <v>2330</v>
      </c>
      <c r="B1928" s="7" t="s">
        <v>2915</v>
      </c>
      <c r="C1928" s="12">
        <v>5885</v>
      </c>
      <c r="D1928" s="7" t="s">
        <v>2920</v>
      </c>
      <c r="E1928" s="13" t="s">
        <v>1657</v>
      </c>
      <c r="F1928" t="str">
        <f t="shared" si="150"/>
        <v>San</v>
      </c>
      <c r="G1928" t="str">
        <f t="shared" si="151"/>
        <v>San5885Houston</v>
      </c>
      <c r="H1928" t="s">
        <v>32786</v>
      </c>
      <c r="I1928" t="s">
        <v>24212</v>
      </c>
      <c r="J1928" t="str">
        <f t="shared" si="152"/>
        <v>E:\PropInv\MF</v>
      </c>
      <c r="K1928" s="103" t="str">
        <f>HYPERLINK("E:\PropInv\MF\Houston\San Felipe_5885_Tanglewood Court_Houston_02330","San Felipe_5885_Tanglewood Court_Houston_02330" )</f>
        <v>San Felipe_5885_Tanglewood Court_Houston_02330</v>
      </c>
      <c r="L1928" s="104" t="s">
        <v>22253</v>
      </c>
      <c r="M1928" s="103" t="str">
        <f t="shared" si="153"/>
        <v>http://oconnordata.com/mlink/modules/profile/index.cfm?action=profile&amp;prop_id=2330</v>
      </c>
      <c r="N1928" s="1" t="str">
        <f t="shared" si="154"/>
        <v>02330</v>
      </c>
    </row>
    <row r="1929" spans="1:14" x14ac:dyDescent="0.3">
      <c r="A1929" s="1">
        <v>2331</v>
      </c>
      <c r="B1929" s="7" t="s">
        <v>2921</v>
      </c>
      <c r="C1929" s="12">
        <v>2313</v>
      </c>
      <c r="D1929" s="7" t="s">
        <v>1576</v>
      </c>
      <c r="E1929" s="13" t="s">
        <v>1657</v>
      </c>
      <c r="F1929" t="str">
        <f t="shared" si="150"/>
        <v>Fountain</v>
      </c>
      <c r="G1929" t="str">
        <f t="shared" si="151"/>
        <v>Fountain2313Houston</v>
      </c>
      <c r="H1929" t="s">
        <v>32787</v>
      </c>
      <c r="I1929" t="s">
        <v>24213</v>
      </c>
      <c r="J1929" t="str">
        <f t="shared" si="152"/>
        <v>E:\PropInv\MF</v>
      </c>
      <c r="K1929" s="103" t="str">
        <f>HYPERLINK("E:\PropInv\MF\Houston\Fountain View Dr_2313_Three Fountains_Houston_02331","Fountain View Dr_2313_Three Fountains_Houston_02331" )</f>
        <v>Fountain View Dr_2313_Three Fountains_Houston_02331</v>
      </c>
      <c r="L1929" s="104" t="s">
        <v>22253</v>
      </c>
      <c r="M1929" s="103" t="str">
        <f t="shared" si="153"/>
        <v>http://oconnordata.com/mlink/modules/profile/index.cfm?action=profile&amp;prop_id=2331</v>
      </c>
      <c r="N1929" s="1" t="str">
        <f t="shared" si="154"/>
        <v>02331</v>
      </c>
    </row>
    <row r="1930" spans="1:14" x14ac:dyDescent="0.3">
      <c r="A1930" s="1">
        <v>2334</v>
      </c>
      <c r="B1930" s="7" t="s">
        <v>2922</v>
      </c>
      <c r="C1930" s="12">
        <v>4510</v>
      </c>
      <c r="D1930" s="7" t="s">
        <v>2923</v>
      </c>
      <c r="E1930" s="13" t="s">
        <v>1657</v>
      </c>
      <c r="F1930" t="str">
        <f t="shared" si="150"/>
        <v>Briar</v>
      </c>
      <c r="G1930" t="str">
        <f t="shared" si="151"/>
        <v>Briar4510Houston</v>
      </c>
      <c r="H1930" t="s">
        <v>32788</v>
      </c>
      <c r="I1930" t="s">
        <v>24214</v>
      </c>
      <c r="J1930" t="str">
        <f t="shared" si="152"/>
        <v>E:\PropInv\MF</v>
      </c>
      <c r="K1930" s="103" t="str">
        <f>HYPERLINK("E:\PropInv\MF\Houston\Briar Hollow_4510_The Tree Tops at Post Oak_Houston_02334","Briar Hollow_4510_The Tree Tops at Post Oak_Houston_02334" )</f>
        <v>Briar Hollow_4510_The Tree Tops at Post Oak_Houston_02334</v>
      </c>
      <c r="L1930" s="104" t="s">
        <v>22253</v>
      </c>
      <c r="M1930" s="103" t="str">
        <f t="shared" si="153"/>
        <v>http://oconnordata.com/mlink/modules/profile/index.cfm?action=profile&amp;prop_id=2334</v>
      </c>
      <c r="N1930" s="1" t="str">
        <f t="shared" si="154"/>
        <v>02334</v>
      </c>
    </row>
    <row r="1931" spans="1:14" x14ac:dyDescent="0.3">
      <c r="A1931" s="1">
        <v>2335</v>
      </c>
      <c r="B1931" s="7" t="s">
        <v>2895</v>
      </c>
      <c r="C1931" s="12">
        <v>1801</v>
      </c>
      <c r="D1931" s="7" t="s">
        <v>2924</v>
      </c>
      <c r="E1931" s="13" t="s">
        <v>1657</v>
      </c>
      <c r="F1931" t="str">
        <f t="shared" si="150"/>
        <v>Bering</v>
      </c>
      <c r="G1931" t="str">
        <f t="shared" si="151"/>
        <v>Bering1801Houston</v>
      </c>
      <c r="H1931" t="s">
        <v>32789</v>
      </c>
      <c r="I1931" t="s">
        <v>24215</v>
      </c>
      <c r="J1931" t="str">
        <f t="shared" si="152"/>
        <v>E:\PropInv\MF</v>
      </c>
      <c r="K1931" s="103" t="str">
        <f>HYPERLINK("E:\PropInv\MF\Houston\Bering Dr_1801_Tuscany Gate_Houston_02335","Bering Dr_1801_Tuscany Gate_Houston_02335" )</f>
        <v>Bering Dr_1801_Tuscany Gate_Houston_02335</v>
      </c>
      <c r="L1931" s="104" t="s">
        <v>22253</v>
      </c>
      <c r="M1931" s="103" t="str">
        <f t="shared" si="153"/>
        <v>http://oconnordata.com/mlink/modules/profile/index.cfm?action=profile&amp;prop_id=2335</v>
      </c>
      <c r="N1931" s="1" t="str">
        <f t="shared" si="154"/>
        <v>02335</v>
      </c>
    </row>
    <row r="1932" spans="1:14" x14ac:dyDescent="0.3">
      <c r="A1932" s="1">
        <v>2336</v>
      </c>
      <c r="B1932" s="7" t="s">
        <v>2895</v>
      </c>
      <c r="C1932" s="12">
        <v>1615</v>
      </c>
      <c r="D1932" s="7" t="s">
        <v>2925</v>
      </c>
      <c r="E1932" s="25" t="s">
        <v>1657</v>
      </c>
      <c r="F1932" t="str">
        <f t="shared" si="150"/>
        <v>Bering</v>
      </c>
      <c r="G1932" t="str">
        <f t="shared" si="151"/>
        <v>Bering1615Houston</v>
      </c>
      <c r="H1932" t="s">
        <v>32790</v>
      </c>
      <c r="I1932" t="s">
        <v>24216</v>
      </c>
      <c r="J1932" t="str">
        <f t="shared" si="152"/>
        <v>E:\PropInv\MF</v>
      </c>
      <c r="K1932" s="103" t="str">
        <f>HYPERLINK("E:\PropInv\MF\Houston\Bering Dr_1615_Tuscany Lane_Houston_02336","Bering Dr_1615_Tuscany Lane_Houston_02336" )</f>
        <v>Bering Dr_1615_Tuscany Lane_Houston_02336</v>
      </c>
      <c r="L1932" s="104" t="s">
        <v>22253</v>
      </c>
      <c r="M1932" s="103" t="str">
        <f t="shared" si="153"/>
        <v>http://oconnordata.com/mlink/modules/profile/index.cfm?action=profile&amp;prop_id=2336</v>
      </c>
      <c r="N1932" s="1" t="str">
        <f t="shared" si="154"/>
        <v>02336</v>
      </c>
    </row>
    <row r="1933" spans="1:14" x14ac:dyDescent="0.3">
      <c r="A1933" s="1">
        <v>2337</v>
      </c>
      <c r="B1933" s="7" t="s">
        <v>2918</v>
      </c>
      <c r="C1933" s="12">
        <v>1430</v>
      </c>
      <c r="D1933" s="7" t="s">
        <v>2926</v>
      </c>
      <c r="E1933" s="13" t="s">
        <v>1657</v>
      </c>
      <c r="F1933" t="str">
        <f t="shared" si="150"/>
        <v>Fountainview</v>
      </c>
      <c r="G1933" t="str">
        <f t="shared" si="151"/>
        <v>Fountainview1430Houston</v>
      </c>
      <c r="H1933" t="s">
        <v>32791</v>
      </c>
      <c r="I1933" t="s">
        <v>24217</v>
      </c>
      <c r="J1933" t="str">
        <f t="shared" si="152"/>
        <v>E:\PropInv\MF</v>
      </c>
      <c r="K1933" s="103" t="str">
        <f>HYPERLINK("E:\PropInv\MF\Houston\Fountainview_1430_Tanglebrook_Houston_02337","Fountainview_1430_Tanglebrook_Houston_02337" )</f>
        <v>Fountainview_1430_Tanglebrook_Houston_02337</v>
      </c>
      <c r="L1933" s="104" t="s">
        <v>22253</v>
      </c>
      <c r="M1933" s="103" t="str">
        <f t="shared" si="153"/>
        <v>http://oconnordata.com/mlink/modules/profile/index.cfm?action=profile&amp;prop_id=2337</v>
      </c>
      <c r="N1933" s="1" t="str">
        <f t="shared" si="154"/>
        <v>02337</v>
      </c>
    </row>
    <row r="1934" spans="1:14" x14ac:dyDescent="0.3">
      <c r="A1934" s="1">
        <v>2338</v>
      </c>
      <c r="B1934" s="7" t="s">
        <v>2908</v>
      </c>
      <c r="C1934" s="12">
        <v>2395</v>
      </c>
      <c r="D1934" s="7" t="s">
        <v>2927</v>
      </c>
      <c r="E1934" s="13" t="s">
        <v>1657</v>
      </c>
      <c r="F1934" t="str">
        <f t="shared" si="150"/>
        <v>Winrock</v>
      </c>
      <c r="G1934" t="str">
        <f t="shared" si="151"/>
        <v>Winrock2395Houston</v>
      </c>
      <c r="H1934" t="s">
        <v>32792</v>
      </c>
      <c r="I1934" t="s">
        <v>24218</v>
      </c>
      <c r="J1934" t="str">
        <f t="shared" si="152"/>
        <v>E:\PropInv\MF</v>
      </c>
      <c r="K1934" s="103" t="str">
        <f>HYPERLINK("E:\PropInv\MF\Houston\Winrock_2395_Westgate_Houston_02338","Winrock_2395_Westgate_Houston_02338" )</f>
        <v>Winrock_2395_Westgate_Houston_02338</v>
      </c>
      <c r="L1934" s="104" t="s">
        <v>22253</v>
      </c>
      <c r="M1934" s="103" t="str">
        <f t="shared" si="153"/>
        <v>http://oconnordata.com/mlink/modules/profile/index.cfm?action=profile&amp;prop_id=2338</v>
      </c>
      <c r="N1934" s="1" t="str">
        <f t="shared" si="154"/>
        <v>02338</v>
      </c>
    </row>
    <row r="1935" spans="1:14" x14ac:dyDescent="0.3">
      <c r="A1935" s="1">
        <v>2339</v>
      </c>
      <c r="B1935" s="7" t="s">
        <v>2908</v>
      </c>
      <c r="C1935" s="12">
        <v>2520</v>
      </c>
      <c r="D1935" s="7" t="s">
        <v>2928</v>
      </c>
      <c r="E1935" s="13" t="s">
        <v>1657</v>
      </c>
      <c r="F1935" t="str">
        <f t="shared" si="150"/>
        <v>Winrock</v>
      </c>
      <c r="G1935" t="str">
        <f t="shared" si="151"/>
        <v>Winrock2520Houston</v>
      </c>
      <c r="H1935" t="s">
        <v>32793</v>
      </c>
      <c r="I1935" t="s">
        <v>24219</v>
      </c>
      <c r="J1935" t="str">
        <f t="shared" si="152"/>
        <v>E:\PropInv\MF</v>
      </c>
      <c r="K1935" s="103" t="str">
        <f>HYPERLINK("E:\PropInv\MF\Houston\Winrock_2520_Briarwood_Houston_02339","Winrock_2520_Briarwood_Houston_02339" )</f>
        <v>Winrock_2520_Briarwood_Houston_02339</v>
      </c>
      <c r="L1935" s="104" t="s">
        <v>22253</v>
      </c>
      <c r="M1935" s="103" t="str">
        <f t="shared" si="153"/>
        <v>http://oconnordata.com/mlink/modules/profile/index.cfm?action=profile&amp;prop_id=2339</v>
      </c>
      <c r="N1935" s="1" t="str">
        <f t="shared" si="154"/>
        <v>02339</v>
      </c>
    </row>
    <row r="1936" spans="1:14" x14ac:dyDescent="0.3">
      <c r="A1936" s="1">
        <v>2348</v>
      </c>
      <c r="B1936" s="7" t="s">
        <v>2818</v>
      </c>
      <c r="C1936" s="12">
        <v>6263</v>
      </c>
      <c r="D1936" s="7" t="s">
        <v>2929</v>
      </c>
      <c r="E1936" s="13" t="s">
        <v>1657</v>
      </c>
      <c r="F1936" t="str">
        <f t="shared" si="150"/>
        <v>Westheimer</v>
      </c>
      <c r="G1936" t="str">
        <f t="shared" si="151"/>
        <v>Westheimer6263Houston</v>
      </c>
      <c r="H1936" t="s">
        <v>32794</v>
      </c>
      <c r="I1936" t="s">
        <v>24220</v>
      </c>
      <c r="J1936" t="str">
        <f t="shared" si="152"/>
        <v>E:\PropInv\MF</v>
      </c>
      <c r="K1936" s="103" t="str">
        <f>HYPERLINK("E:\PropInv\MF\Houston\Westheimer Rd_6263_The Plaza on Westheimer_Houston_02348","Westheimer Rd_6263_The Plaza on Westheimer_Houston_02348" )</f>
        <v>Westheimer Rd_6263_The Plaza on Westheimer_Houston_02348</v>
      </c>
      <c r="L1936" s="104" t="s">
        <v>22253</v>
      </c>
      <c r="M1936" s="103" t="str">
        <f t="shared" si="153"/>
        <v>http://oconnordata.com/mlink/modules/profile/index.cfm?action=profile&amp;prop_id=2348</v>
      </c>
      <c r="N1936" s="1" t="str">
        <f t="shared" si="154"/>
        <v>02348</v>
      </c>
    </row>
    <row r="1937" spans="1:14" x14ac:dyDescent="0.3">
      <c r="A1937" s="1">
        <v>2349</v>
      </c>
      <c r="B1937" s="7" t="s">
        <v>2930</v>
      </c>
      <c r="C1937" s="12">
        <v>2400</v>
      </c>
      <c r="D1937" s="7" t="s">
        <v>2931</v>
      </c>
      <c r="E1937" s="13" t="s">
        <v>1657</v>
      </c>
      <c r="F1937" t="str">
        <f t="shared" si="150"/>
        <v>Yorktown</v>
      </c>
      <c r="G1937" t="str">
        <f t="shared" si="151"/>
        <v>Yorktown2400Houston</v>
      </c>
      <c r="H1937" t="s">
        <v>32795</v>
      </c>
      <c r="I1937" t="s">
        <v>24221</v>
      </c>
      <c r="J1937" t="str">
        <f t="shared" si="152"/>
        <v>E:\PropInv\MF</v>
      </c>
      <c r="K1937" s="103" t="str">
        <f>HYPERLINK("E:\PropInv\MF\Houston\Yorktown_2400_Creole On Yorktown_Houston_02349","Yorktown_2400_Creole On Yorktown_Houston_02349" )</f>
        <v>Yorktown_2400_Creole On Yorktown_Houston_02349</v>
      </c>
      <c r="L1937" s="104" t="s">
        <v>22253</v>
      </c>
      <c r="M1937" s="103" t="str">
        <f t="shared" si="153"/>
        <v>http://oconnordata.com/mlink/modules/profile/index.cfm?action=profile&amp;prop_id=2349</v>
      </c>
      <c r="N1937" s="1" t="str">
        <f t="shared" si="154"/>
        <v>02349</v>
      </c>
    </row>
    <row r="1938" spans="1:14" x14ac:dyDescent="0.3">
      <c r="A1938" s="97">
        <v>2350</v>
      </c>
      <c r="B1938" s="7" t="s">
        <v>2930</v>
      </c>
      <c r="C1938" s="12">
        <v>2530</v>
      </c>
      <c r="D1938" s="7" t="s">
        <v>2930</v>
      </c>
      <c r="E1938" s="13" t="s">
        <v>1657</v>
      </c>
      <c r="F1938" t="str">
        <f t="shared" si="150"/>
        <v>Yorktown</v>
      </c>
      <c r="G1938" t="str">
        <f t="shared" si="151"/>
        <v>Yorktown2530Houston</v>
      </c>
      <c r="H1938" t="s">
        <v>32796</v>
      </c>
      <c r="I1938" t="s">
        <v>24222</v>
      </c>
      <c r="J1938" t="str">
        <f t="shared" si="152"/>
        <v>E:\PropInv\MF</v>
      </c>
      <c r="K1938" s="103" t="str">
        <f>HYPERLINK("E:\PropInv\MF\Houston\Yorktown_2530_Yorktown_Houston_02350","Yorktown_2530_Yorktown_Houston_02350" )</f>
        <v>Yorktown_2530_Yorktown_Houston_02350</v>
      </c>
      <c r="L1938" s="104" t="s">
        <v>22253</v>
      </c>
      <c r="M1938" s="103" t="str">
        <f t="shared" si="153"/>
        <v>http://oconnordata.com/mlink/modules/profile/index.cfm?action=profile&amp;prop_id=2350</v>
      </c>
      <c r="N1938" s="1" t="str">
        <f t="shared" si="154"/>
        <v>02350</v>
      </c>
    </row>
    <row r="1939" spans="1:14" x14ac:dyDescent="0.3">
      <c r="A1939" s="1">
        <v>2351</v>
      </c>
      <c r="B1939" s="7" t="s">
        <v>2932</v>
      </c>
      <c r="C1939" s="12">
        <v>4727</v>
      </c>
      <c r="D1939" s="7" t="s">
        <v>2933</v>
      </c>
      <c r="E1939" s="13" t="s">
        <v>1657</v>
      </c>
      <c r="F1939" t="str">
        <f t="shared" si="150"/>
        <v>Alabama</v>
      </c>
      <c r="G1939" t="str">
        <f t="shared" si="151"/>
        <v>Alabama4727Houston</v>
      </c>
      <c r="H1939" t="s">
        <v>32797</v>
      </c>
      <c r="I1939" t="s">
        <v>24223</v>
      </c>
      <c r="J1939" t="str">
        <f t="shared" si="152"/>
        <v>E:\PropInv\MF</v>
      </c>
      <c r="K1939" s="103" t="str">
        <f>HYPERLINK("E:\PropInv\MF\Houston\Alabama W_4727_Afton Gardens_Houston_02351","Alabama W_4727_Afton Gardens_Houston_02351" )</f>
        <v>Alabama W_4727_Afton Gardens_Houston_02351</v>
      </c>
      <c r="L1939" s="104" t="s">
        <v>22253</v>
      </c>
      <c r="M1939" s="103" t="str">
        <f t="shared" si="153"/>
        <v>http://oconnordata.com/mlink/modules/profile/index.cfm?action=profile&amp;prop_id=2351</v>
      </c>
      <c r="N1939" s="1" t="str">
        <f t="shared" si="154"/>
        <v>02351</v>
      </c>
    </row>
    <row r="1940" spans="1:14" x14ac:dyDescent="0.3">
      <c r="A1940" s="1">
        <v>2355</v>
      </c>
      <c r="B1940" s="7" t="s">
        <v>2934</v>
      </c>
      <c r="C1940" s="12">
        <v>2815</v>
      </c>
      <c r="D1940" s="7" t="s">
        <v>2935</v>
      </c>
      <c r="E1940" s="13" t="s">
        <v>1657</v>
      </c>
      <c r="F1940" t="str">
        <f t="shared" si="150"/>
        <v>Greenridge</v>
      </c>
      <c r="G1940" t="str">
        <f t="shared" si="151"/>
        <v>Greenridge2815Houston</v>
      </c>
      <c r="H1940" t="s">
        <v>32798</v>
      </c>
      <c r="I1940" t="s">
        <v>24224</v>
      </c>
      <c r="J1940" t="str">
        <f t="shared" si="152"/>
        <v>E:\PropInv\MF</v>
      </c>
      <c r="K1940" s="103" t="str">
        <f>HYPERLINK("E:\PropInv\MF\Houston\Greenridge_2815_Oxford on Greenridge I_Houston_02355","Greenridge_2815_Oxford on Greenridge I_Houston_02355" )</f>
        <v>Greenridge_2815_Oxford on Greenridge I_Houston_02355</v>
      </c>
      <c r="L1940" s="104" t="s">
        <v>22253</v>
      </c>
      <c r="M1940" s="103" t="str">
        <f t="shared" si="153"/>
        <v>http://oconnordata.com/mlink/modules/profile/index.cfm?action=profile&amp;prop_id=2355</v>
      </c>
      <c r="N1940" s="1" t="str">
        <f t="shared" si="154"/>
        <v>02355</v>
      </c>
    </row>
    <row r="1941" spans="1:14" x14ac:dyDescent="0.3">
      <c r="A1941" s="1">
        <v>2356</v>
      </c>
      <c r="B1941" s="7" t="s">
        <v>2936</v>
      </c>
      <c r="C1941" s="12">
        <v>6041</v>
      </c>
      <c r="D1941" s="7" t="s">
        <v>2937</v>
      </c>
      <c r="E1941" s="13" t="s">
        <v>1657</v>
      </c>
      <c r="F1941" t="str">
        <f t="shared" si="150"/>
        <v>Winsome</v>
      </c>
      <c r="G1941" t="str">
        <f t="shared" si="151"/>
        <v>Winsome6041Houston</v>
      </c>
      <c r="H1941" t="s">
        <v>32799</v>
      </c>
      <c r="I1941" t="s">
        <v>24225</v>
      </c>
      <c r="J1941" t="str">
        <f t="shared" si="152"/>
        <v>E:\PropInv\MF</v>
      </c>
      <c r="K1941" s="103" t="str">
        <f>HYPERLINK("E:\PropInv\MF\Houston\Winsome_6041_Montebello Gardens_Houston_02356","Winsome_6041_Montebello Gardens_Houston_02356" )</f>
        <v>Winsome_6041_Montebello Gardens_Houston_02356</v>
      </c>
      <c r="L1941" s="104" t="s">
        <v>22253</v>
      </c>
      <c r="M1941" s="103" t="str">
        <f t="shared" si="153"/>
        <v>http://oconnordata.com/mlink/modules/profile/index.cfm?action=profile&amp;prop_id=2356</v>
      </c>
      <c r="N1941" s="1" t="str">
        <f t="shared" si="154"/>
        <v>02356</v>
      </c>
    </row>
    <row r="1942" spans="1:14" x14ac:dyDescent="0.3">
      <c r="A1942" s="1">
        <v>2357</v>
      </c>
      <c r="B1942" s="7" t="s">
        <v>2913</v>
      </c>
      <c r="C1942" s="12">
        <v>2525</v>
      </c>
      <c r="D1942" s="7" t="s">
        <v>2938</v>
      </c>
      <c r="E1942" s="13" t="s">
        <v>1657</v>
      </c>
      <c r="F1942" t="str">
        <f t="shared" si="150"/>
        <v>Augusta</v>
      </c>
      <c r="G1942" t="str">
        <f t="shared" si="151"/>
        <v>Augusta2525Houston</v>
      </c>
      <c r="H1942" t="s">
        <v>32800</v>
      </c>
      <c r="I1942" t="s">
        <v>24226</v>
      </c>
      <c r="J1942" t="str">
        <f t="shared" si="152"/>
        <v>E:\PropInv\MF</v>
      </c>
      <c r="K1942" s="103" t="str">
        <f>HYPERLINK("E:\PropInv\MF\Houston\Augusta_2525_Tuscany Oaks_Houston_02357","Augusta_2525_Tuscany Oaks_Houston_02357" )</f>
        <v>Augusta_2525_Tuscany Oaks_Houston_02357</v>
      </c>
      <c r="L1942" s="104" t="s">
        <v>22253</v>
      </c>
      <c r="M1942" s="103" t="str">
        <f t="shared" si="153"/>
        <v>http://oconnordata.com/mlink/modules/profile/index.cfm?action=profile&amp;prop_id=2357</v>
      </c>
      <c r="N1942" s="1" t="str">
        <f t="shared" si="154"/>
        <v>02357</v>
      </c>
    </row>
    <row r="1943" spans="1:14" x14ac:dyDescent="0.3">
      <c r="A1943" s="1">
        <v>2358</v>
      </c>
      <c r="B1943" s="7" t="s">
        <v>2939</v>
      </c>
      <c r="C1943" s="12">
        <v>2400</v>
      </c>
      <c r="D1943" s="7" t="s">
        <v>2940</v>
      </c>
      <c r="E1943" s="13" t="s">
        <v>1657</v>
      </c>
      <c r="F1943" t="str">
        <f t="shared" si="150"/>
        <v>McCue</v>
      </c>
      <c r="G1943" t="str">
        <f t="shared" si="151"/>
        <v>McCue2400Houston</v>
      </c>
      <c r="H1943" t="s">
        <v>32801</v>
      </c>
      <c r="I1943" t="s">
        <v>24227</v>
      </c>
      <c r="J1943" t="str">
        <f t="shared" si="152"/>
        <v>E:\PropInv\MF</v>
      </c>
      <c r="K1943" s="103" t="str">
        <f>HYPERLINK("E:\PropInv\MF\Houston\McCue_2400_2400 McCue_Houston_02358","McCue_2400_2400 McCue_Houston_02358" )</f>
        <v>McCue_2400_2400 McCue_Houston_02358</v>
      </c>
      <c r="L1943" s="104" t="s">
        <v>22253</v>
      </c>
      <c r="M1943" s="103" t="str">
        <f t="shared" si="153"/>
        <v>http://oconnordata.com/mlink/modules/profile/index.cfm?action=profile&amp;prop_id=2358</v>
      </c>
      <c r="N1943" s="1" t="str">
        <f t="shared" si="154"/>
        <v>02358</v>
      </c>
    </row>
    <row r="1944" spans="1:14" x14ac:dyDescent="0.3">
      <c r="A1944" s="1">
        <v>2360</v>
      </c>
      <c r="B1944" s="7" t="s">
        <v>2939</v>
      </c>
      <c r="C1944" s="12">
        <v>2525</v>
      </c>
      <c r="D1944" s="7" t="s">
        <v>2941</v>
      </c>
      <c r="E1944" s="13" t="s">
        <v>1657</v>
      </c>
      <c r="F1944" t="str">
        <f t="shared" si="150"/>
        <v>McCue</v>
      </c>
      <c r="G1944" t="str">
        <f t="shared" si="151"/>
        <v>McCue2525Houston</v>
      </c>
      <c r="H1944" t="s">
        <v>32802</v>
      </c>
      <c r="I1944" t="s">
        <v>24228</v>
      </c>
      <c r="J1944" t="str">
        <f t="shared" si="152"/>
        <v>E:\PropInv\MF</v>
      </c>
      <c r="K1944" s="103" t="str">
        <f>HYPERLINK("E:\PropInv\MF\Houston\McCue_2525_Marquee_Houston_02360","McCue_2525_Marquee_Houston_02360" )</f>
        <v>McCue_2525_Marquee_Houston_02360</v>
      </c>
      <c r="L1944" s="104" t="s">
        <v>22253</v>
      </c>
      <c r="M1944" s="103" t="str">
        <f t="shared" si="153"/>
        <v>http://oconnordata.com/mlink/modules/profile/index.cfm?action=profile&amp;prop_id=2360</v>
      </c>
      <c r="N1944" s="1" t="str">
        <f t="shared" si="154"/>
        <v>02360</v>
      </c>
    </row>
    <row r="1945" spans="1:14" x14ac:dyDescent="0.3">
      <c r="A1945" s="1">
        <v>2361</v>
      </c>
      <c r="B1945" s="7" t="s">
        <v>2942</v>
      </c>
      <c r="C1945" s="12">
        <v>6220</v>
      </c>
      <c r="D1945" s="7" t="s">
        <v>2943</v>
      </c>
      <c r="E1945" s="13" t="s">
        <v>1657</v>
      </c>
      <c r="F1945" t="str">
        <f t="shared" si="150"/>
        <v>Fairdale</v>
      </c>
      <c r="G1945" t="str">
        <f t="shared" si="151"/>
        <v>Fairdale6220Houston</v>
      </c>
      <c r="H1945" t="s">
        <v>32803</v>
      </c>
      <c r="I1945" t="s">
        <v>24229</v>
      </c>
      <c r="J1945" t="str">
        <f t="shared" si="152"/>
        <v>E:\PropInv\MF</v>
      </c>
      <c r="K1945" s="103" t="str">
        <f>HYPERLINK("E:\PropInv\MF\Houston\Fairdale Ln_6220_The Gallery_Houston_02361","Fairdale Ln_6220_The Gallery_Houston_02361" )</f>
        <v>Fairdale Ln_6220_The Gallery_Houston_02361</v>
      </c>
      <c r="L1945" s="104" t="s">
        <v>22253</v>
      </c>
      <c r="M1945" s="103" t="str">
        <f t="shared" si="153"/>
        <v>http://oconnordata.com/mlink/modules/profile/index.cfm?action=profile&amp;prop_id=2361</v>
      </c>
      <c r="N1945" s="1" t="str">
        <f t="shared" si="154"/>
        <v>02361</v>
      </c>
    </row>
    <row r="1946" spans="1:14" x14ac:dyDescent="0.3">
      <c r="A1946" s="1">
        <v>2362</v>
      </c>
      <c r="B1946" s="7" t="s">
        <v>2934</v>
      </c>
      <c r="C1946" s="12">
        <v>3000</v>
      </c>
      <c r="D1946" s="7" t="s">
        <v>2944</v>
      </c>
      <c r="E1946" s="13" t="s">
        <v>1657</v>
      </c>
      <c r="F1946" t="str">
        <f t="shared" si="150"/>
        <v>Greenridge</v>
      </c>
      <c r="G1946" t="str">
        <f t="shared" si="151"/>
        <v>Greenridge3000Houston</v>
      </c>
      <c r="H1946" t="s">
        <v>32804</v>
      </c>
      <c r="I1946" t="s">
        <v>24230</v>
      </c>
      <c r="J1946" t="str">
        <f t="shared" si="152"/>
        <v>E:\PropInv\MF</v>
      </c>
      <c r="K1946" s="103" t="str">
        <f>HYPERLINK("E:\PropInv\MF\Houston\Greenridge_3000_Greenridge Place_Houston_02362","Greenridge_3000_Greenridge Place_Houston_02362" )</f>
        <v>Greenridge_3000_Greenridge Place_Houston_02362</v>
      </c>
      <c r="L1946" s="104" t="s">
        <v>22253</v>
      </c>
      <c r="M1946" s="103" t="str">
        <f t="shared" si="153"/>
        <v>http://oconnordata.com/mlink/modules/profile/index.cfm?action=profile&amp;prop_id=2362</v>
      </c>
      <c r="N1946" s="1" t="str">
        <f t="shared" si="154"/>
        <v>02362</v>
      </c>
    </row>
    <row r="1947" spans="1:14" x14ac:dyDescent="0.3">
      <c r="A1947" s="1">
        <v>2363</v>
      </c>
      <c r="B1947" s="7" t="s">
        <v>2936</v>
      </c>
      <c r="C1947" s="12">
        <v>6015</v>
      </c>
      <c r="D1947" s="7" t="s">
        <v>2945</v>
      </c>
      <c r="E1947" s="13" t="s">
        <v>1657</v>
      </c>
      <c r="F1947" t="str">
        <f t="shared" si="150"/>
        <v>Winsome</v>
      </c>
      <c r="G1947" t="str">
        <f t="shared" si="151"/>
        <v>Winsome6015Houston</v>
      </c>
      <c r="H1947" t="s">
        <v>32805</v>
      </c>
      <c r="I1947" t="s">
        <v>24231</v>
      </c>
      <c r="J1947" t="str">
        <f t="shared" si="152"/>
        <v>E:\PropInv\MF</v>
      </c>
      <c r="K1947" s="103" t="str">
        <f>HYPERLINK("E:\PropInv\MF\Houston\Winsome_6015_Fountainview Lodge I_Houston_02363","Winsome_6015_Fountainview Lodge I_Houston_02363" )</f>
        <v>Winsome_6015_Fountainview Lodge I_Houston_02363</v>
      </c>
      <c r="L1947" s="104" t="s">
        <v>22253</v>
      </c>
      <c r="M1947" s="103" t="str">
        <f t="shared" si="153"/>
        <v>http://oconnordata.com/mlink/modules/profile/index.cfm?action=profile&amp;prop_id=2363</v>
      </c>
      <c r="N1947" s="1" t="str">
        <f t="shared" si="154"/>
        <v>02363</v>
      </c>
    </row>
    <row r="1948" spans="1:14" x14ac:dyDescent="0.3">
      <c r="A1948" s="1">
        <v>2364</v>
      </c>
      <c r="B1948" s="7" t="s">
        <v>2946</v>
      </c>
      <c r="C1948" s="12">
        <v>2300</v>
      </c>
      <c r="D1948" s="7" t="s">
        <v>262</v>
      </c>
      <c r="E1948" s="13" t="s">
        <v>1657</v>
      </c>
      <c r="F1948" t="str">
        <f t="shared" si="150"/>
        <v>McCue</v>
      </c>
      <c r="G1948" t="str">
        <f t="shared" si="151"/>
        <v>McCue2300Houston</v>
      </c>
      <c r="H1948" t="s">
        <v>32806</v>
      </c>
      <c r="I1948" t="s">
        <v>24232</v>
      </c>
      <c r="J1948" t="str">
        <f t="shared" si="152"/>
        <v>E:\PropInv\MF</v>
      </c>
      <c r="K1948" s="103" t="str">
        <f>HYPERLINK("E:\PropInv\MF\Houston\McCue St_2300_Montecito_Houston_02364","McCue St_2300_Montecito_Houston_02364" )</f>
        <v>McCue St_2300_Montecito_Houston_02364</v>
      </c>
      <c r="L1948" s="104" t="s">
        <v>22253</v>
      </c>
      <c r="M1948" s="103" t="str">
        <f t="shared" si="153"/>
        <v>http://oconnordata.com/mlink/modules/profile/index.cfm?action=profile&amp;prop_id=2364</v>
      </c>
      <c r="N1948" s="1" t="str">
        <f t="shared" si="154"/>
        <v>02364</v>
      </c>
    </row>
    <row r="1949" spans="1:14" x14ac:dyDescent="0.3">
      <c r="A1949" s="1">
        <v>2366</v>
      </c>
      <c r="B1949" s="7" t="s">
        <v>2939</v>
      </c>
      <c r="C1949" s="12">
        <v>2306</v>
      </c>
      <c r="D1949" s="7" t="s">
        <v>2947</v>
      </c>
      <c r="E1949" s="13" t="s">
        <v>1657</v>
      </c>
      <c r="F1949" t="str">
        <f t="shared" si="150"/>
        <v>McCue</v>
      </c>
      <c r="G1949" t="str">
        <f t="shared" si="151"/>
        <v>McCue2306Houston</v>
      </c>
      <c r="H1949" t="s">
        <v>32807</v>
      </c>
      <c r="I1949" t="s">
        <v>24233</v>
      </c>
      <c r="J1949" t="str">
        <f t="shared" si="152"/>
        <v>E:\PropInv\MF</v>
      </c>
      <c r="K1949" s="103" t="str">
        <f>HYPERLINK("E:\PropInv\MF\Houston\McCue_2306_Marquee West_Houston_02366","McCue_2306_Marquee West_Houston_02366" )</f>
        <v>McCue_2306_Marquee West_Houston_02366</v>
      </c>
      <c r="L1949" s="104" t="s">
        <v>22253</v>
      </c>
      <c r="M1949" s="103" t="str">
        <f t="shared" si="153"/>
        <v>http://oconnordata.com/mlink/modules/profile/index.cfm?action=profile&amp;prop_id=2366</v>
      </c>
      <c r="N1949" s="1" t="str">
        <f t="shared" si="154"/>
        <v>02366</v>
      </c>
    </row>
    <row r="1950" spans="1:14" x14ac:dyDescent="0.3">
      <c r="A1950" s="1">
        <v>2367</v>
      </c>
      <c r="B1950" s="7" t="s">
        <v>2939</v>
      </c>
      <c r="C1950" s="12">
        <v>2320</v>
      </c>
      <c r="D1950" s="7" t="s">
        <v>2948</v>
      </c>
      <c r="E1950" s="13" t="s">
        <v>1657</v>
      </c>
      <c r="F1950" t="str">
        <f t="shared" si="150"/>
        <v>McCue</v>
      </c>
      <c r="G1950" t="str">
        <f t="shared" si="151"/>
        <v>McCue2320Houston</v>
      </c>
      <c r="H1950" t="s">
        <v>32808</v>
      </c>
      <c r="I1950" t="s">
        <v>24234</v>
      </c>
      <c r="J1950" t="str">
        <f t="shared" si="152"/>
        <v>E:\PropInv\MF</v>
      </c>
      <c r="K1950" s="103" t="str">
        <f>HYPERLINK("E:\PropInv\MF\Houston\McCue_2320_Carriage Square_Houston_02367","McCue_2320_Carriage Square_Houston_02367" )</f>
        <v>McCue_2320_Carriage Square_Houston_02367</v>
      </c>
      <c r="L1950" s="104" t="s">
        <v>22253</v>
      </c>
      <c r="M1950" s="103" t="str">
        <f t="shared" si="153"/>
        <v>http://oconnordata.com/mlink/modules/profile/index.cfm?action=profile&amp;prop_id=2367</v>
      </c>
      <c r="N1950" s="1" t="str">
        <f t="shared" si="154"/>
        <v>02367</v>
      </c>
    </row>
    <row r="1951" spans="1:14" x14ac:dyDescent="0.3">
      <c r="A1951" s="1">
        <v>2370</v>
      </c>
      <c r="B1951" s="7" t="s">
        <v>2949</v>
      </c>
      <c r="C1951" s="12">
        <v>2309</v>
      </c>
      <c r="D1951" s="7" t="s">
        <v>2950</v>
      </c>
      <c r="E1951" s="13" t="s">
        <v>1657</v>
      </c>
      <c r="F1951" t="str">
        <f t="shared" si="150"/>
        <v>Sage</v>
      </c>
      <c r="G1951" t="str">
        <f t="shared" si="151"/>
        <v>Sage2309Houston</v>
      </c>
      <c r="H1951" t="s">
        <v>32809</v>
      </c>
      <c r="I1951" t="s">
        <v>24235</v>
      </c>
      <c r="J1951" t="str">
        <f t="shared" si="152"/>
        <v>E:\PropInv\MF</v>
      </c>
      <c r="K1951" s="103" t="str">
        <f>HYPERLINK("E:\PropInv\MF\Houston\Sage_2309_Sagewood Apts_Houston_02370","Sage_2309_Sagewood Apts_Houston_02370" )</f>
        <v>Sage_2309_Sagewood Apts_Houston_02370</v>
      </c>
      <c r="L1951" s="104" t="s">
        <v>22253</v>
      </c>
      <c r="M1951" s="103" t="str">
        <f t="shared" si="153"/>
        <v>http://oconnordata.com/mlink/modules/profile/index.cfm?action=profile&amp;prop_id=2370</v>
      </c>
      <c r="N1951" s="1" t="str">
        <f t="shared" si="154"/>
        <v>02370</v>
      </c>
    </row>
    <row r="1952" spans="1:14" x14ac:dyDescent="0.3">
      <c r="A1952" s="1">
        <v>2371</v>
      </c>
      <c r="B1952" s="7" t="s">
        <v>2949</v>
      </c>
      <c r="C1952" s="12">
        <v>2425</v>
      </c>
      <c r="D1952" s="7" t="s">
        <v>2951</v>
      </c>
      <c r="E1952" s="13" t="s">
        <v>1657</v>
      </c>
      <c r="F1952" t="str">
        <f t="shared" si="150"/>
        <v>Sage</v>
      </c>
      <c r="G1952" t="str">
        <f t="shared" si="151"/>
        <v>Sage2425Houston</v>
      </c>
      <c r="H1952" t="s">
        <v>32810</v>
      </c>
      <c r="I1952" t="s">
        <v>24236</v>
      </c>
      <c r="J1952" t="str">
        <f t="shared" si="152"/>
        <v>E:\PropInv\MF</v>
      </c>
      <c r="K1952" s="103" t="str">
        <f>HYPERLINK("E:\PropInv\MF\Houston\Sage_2425_Plantation_Houston_02371","Sage_2425_Plantation_Houston_02371" )</f>
        <v>Sage_2425_Plantation_Houston_02371</v>
      </c>
      <c r="L1952" s="104" t="s">
        <v>22253</v>
      </c>
      <c r="M1952" s="103" t="str">
        <f t="shared" si="153"/>
        <v>http://oconnordata.com/mlink/modules/profile/index.cfm?action=profile&amp;prop_id=2371</v>
      </c>
      <c r="N1952" s="1" t="str">
        <f t="shared" si="154"/>
        <v>02371</v>
      </c>
    </row>
    <row r="1953" spans="1:14" x14ac:dyDescent="0.3">
      <c r="A1953" s="1">
        <v>2375</v>
      </c>
      <c r="B1953" s="7" t="s">
        <v>2952</v>
      </c>
      <c r="C1953" s="12">
        <v>2100</v>
      </c>
      <c r="D1953" s="7" t="s">
        <v>2953</v>
      </c>
      <c r="E1953" s="13" t="s">
        <v>1657</v>
      </c>
      <c r="F1953" t="str">
        <f t="shared" si="150"/>
        <v>Bering</v>
      </c>
      <c r="G1953" t="str">
        <f t="shared" si="151"/>
        <v>Bering2100Houston</v>
      </c>
      <c r="H1953" t="s">
        <v>32811</v>
      </c>
      <c r="I1953" t="s">
        <v>24237</v>
      </c>
      <c r="J1953" t="str">
        <f t="shared" si="152"/>
        <v>E:\PropInv\MF</v>
      </c>
      <c r="K1953" s="103" t="str">
        <f>HYPERLINK("E:\PropInv\MF\Houston\Bering_2100_Mirage_Houston_02375","Bering_2100_Mirage_Houston_02375" )</f>
        <v>Bering_2100_Mirage_Houston_02375</v>
      </c>
      <c r="L1953" s="104" t="s">
        <v>22253</v>
      </c>
      <c r="M1953" s="103" t="str">
        <f t="shared" si="153"/>
        <v>http://oconnordata.com/mlink/modules/profile/index.cfm?action=profile&amp;prop_id=2375</v>
      </c>
      <c r="N1953" s="1" t="str">
        <f t="shared" si="154"/>
        <v>02375</v>
      </c>
    </row>
    <row r="1954" spans="1:14" x14ac:dyDescent="0.3">
      <c r="A1954" s="1">
        <v>2376</v>
      </c>
      <c r="B1954" s="7" t="s">
        <v>2952</v>
      </c>
      <c r="C1954" s="12">
        <v>2345</v>
      </c>
      <c r="D1954" s="7" t="s">
        <v>2954</v>
      </c>
      <c r="E1954" s="13" t="s">
        <v>1657</v>
      </c>
      <c r="F1954" t="str">
        <f t="shared" si="150"/>
        <v>Bering</v>
      </c>
      <c r="G1954" t="str">
        <f t="shared" si="151"/>
        <v>Bering2345Houston</v>
      </c>
      <c r="H1954" t="s">
        <v>32812</v>
      </c>
      <c r="I1954" t="s">
        <v>24238</v>
      </c>
      <c r="J1954" t="str">
        <f t="shared" si="152"/>
        <v>E:\PropInv\MF</v>
      </c>
      <c r="K1954" s="103" t="str">
        <f>HYPERLINK("E:\PropInv\MF\Houston\Bering_2345_Phoenician_Houston_02376","Bering_2345_Phoenician_Houston_02376" )</f>
        <v>Bering_2345_Phoenician_Houston_02376</v>
      </c>
      <c r="L1954" s="104" t="s">
        <v>22253</v>
      </c>
      <c r="M1954" s="103" t="str">
        <f t="shared" si="153"/>
        <v>http://oconnordata.com/mlink/modules/profile/index.cfm?action=profile&amp;prop_id=2376</v>
      </c>
      <c r="N1954" s="1" t="str">
        <f t="shared" si="154"/>
        <v>02376</v>
      </c>
    </row>
    <row r="1955" spans="1:14" x14ac:dyDescent="0.3">
      <c r="A1955" s="1">
        <v>2378</v>
      </c>
      <c r="B1955" s="7" t="s">
        <v>2918</v>
      </c>
      <c r="C1955" s="12">
        <v>2400</v>
      </c>
      <c r="D1955" s="7" t="s">
        <v>2955</v>
      </c>
      <c r="E1955" s="13" t="s">
        <v>1657</v>
      </c>
      <c r="F1955" t="str">
        <f t="shared" si="150"/>
        <v>Fountainview</v>
      </c>
      <c r="G1955" t="str">
        <f t="shared" si="151"/>
        <v>Fountainview2400Houston</v>
      </c>
      <c r="H1955" t="s">
        <v>32813</v>
      </c>
      <c r="I1955" t="s">
        <v>24239</v>
      </c>
      <c r="J1955" t="str">
        <f t="shared" si="152"/>
        <v>E:\PropInv\MF</v>
      </c>
      <c r="K1955" s="103" t="str">
        <f>HYPERLINK("E:\PropInv\MF\Houston\Fountainview_2400_La Tour Fontaine_Houston_02378","Fountainview_2400_La Tour Fontaine_Houston_02378" )</f>
        <v>Fountainview_2400_La Tour Fontaine_Houston_02378</v>
      </c>
      <c r="L1955" s="104" t="s">
        <v>22253</v>
      </c>
      <c r="M1955" s="103" t="str">
        <f t="shared" si="153"/>
        <v>http://oconnordata.com/mlink/modules/profile/index.cfm?action=profile&amp;prop_id=2378</v>
      </c>
      <c r="N1955" s="1" t="str">
        <f t="shared" si="154"/>
        <v>02378</v>
      </c>
    </row>
    <row r="1956" spans="1:14" x14ac:dyDescent="0.3">
      <c r="A1956" s="1">
        <v>2380</v>
      </c>
      <c r="B1956" s="7" t="s">
        <v>2956</v>
      </c>
      <c r="C1956" s="12">
        <v>6014</v>
      </c>
      <c r="D1956" s="7" t="s">
        <v>2957</v>
      </c>
      <c r="E1956" s="13" t="s">
        <v>1657</v>
      </c>
      <c r="F1956" t="str">
        <f t="shared" si="150"/>
        <v>Winsome</v>
      </c>
      <c r="G1956" t="str">
        <f t="shared" si="151"/>
        <v>Winsome6014Houston</v>
      </c>
      <c r="H1956" t="s">
        <v>32814</v>
      </c>
      <c r="I1956" t="s">
        <v>24240</v>
      </c>
      <c r="J1956" t="str">
        <f t="shared" si="152"/>
        <v>E:\PropInv\MF</v>
      </c>
      <c r="K1956" s="103" t="str">
        <f>HYPERLINK("E:\PropInv\MF\Houston\Winsome Ln_6014_The Lenox_Houston_02380","Winsome Ln_6014_The Lenox_Houston_02380" )</f>
        <v>Winsome Ln_6014_The Lenox_Houston_02380</v>
      </c>
      <c r="L1956" s="104" t="s">
        <v>22253</v>
      </c>
      <c r="M1956" s="103" t="str">
        <f t="shared" si="153"/>
        <v>http://oconnordata.com/mlink/modules/profile/index.cfm?action=profile&amp;prop_id=2380</v>
      </c>
      <c r="N1956" s="1" t="str">
        <f t="shared" si="154"/>
        <v>02380</v>
      </c>
    </row>
    <row r="1957" spans="1:14" x14ac:dyDescent="0.3">
      <c r="A1957" s="1">
        <v>2381</v>
      </c>
      <c r="B1957" s="7" t="s">
        <v>2934</v>
      </c>
      <c r="C1957" s="12">
        <v>3015</v>
      </c>
      <c r="D1957" s="7" t="s">
        <v>2958</v>
      </c>
      <c r="E1957" s="13" t="s">
        <v>1657</v>
      </c>
      <c r="F1957" t="str">
        <f t="shared" si="150"/>
        <v>Greenridge</v>
      </c>
      <c r="G1957" t="str">
        <f t="shared" si="151"/>
        <v>Greenridge3015Houston</v>
      </c>
      <c r="H1957" t="s">
        <v>32815</v>
      </c>
      <c r="I1957" t="s">
        <v>24241</v>
      </c>
      <c r="J1957" t="str">
        <f t="shared" si="152"/>
        <v>E:\PropInv\MF</v>
      </c>
      <c r="K1957" s="103" t="str">
        <f>HYPERLINK("E:\PropInv\MF\Houston\Greenridge_3015_Constitution Square_Houston_02381","Greenridge_3015_Constitution Square_Houston_02381" )</f>
        <v>Greenridge_3015_Constitution Square_Houston_02381</v>
      </c>
      <c r="L1957" s="104" t="s">
        <v>22253</v>
      </c>
      <c r="M1957" s="103" t="str">
        <f t="shared" si="153"/>
        <v>http://oconnordata.com/mlink/modules/profile/index.cfm?action=profile&amp;prop_id=2381</v>
      </c>
      <c r="N1957" s="1" t="str">
        <f t="shared" si="154"/>
        <v>02381</v>
      </c>
    </row>
    <row r="1958" spans="1:14" x14ac:dyDescent="0.3">
      <c r="A1958" s="1">
        <v>2382</v>
      </c>
      <c r="B1958" s="7" t="s">
        <v>2934</v>
      </c>
      <c r="C1958" s="12">
        <v>3030</v>
      </c>
      <c r="D1958" s="7" t="s">
        <v>2959</v>
      </c>
      <c r="E1958" s="13" t="s">
        <v>1657</v>
      </c>
      <c r="F1958" t="str">
        <f t="shared" si="150"/>
        <v>Greenridge</v>
      </c>
      <c r="G1958" t="str">
        <f t="shared" si="151"/>
        <v>Greenridge3030Houston</v>
      </c>
      <c r="H1958" t="s">
        <v>32816</v>
      </c>
      <c r="I1958" t="s">
        <v>24242</v>
      </c>
      <c r="J1958" t="str">
        <f t="shared" si="152"/>
        <v>E:\PropInv\MF</v>
      </c>
      <c r="K1958" s="103" t="str">
        <f>HYPERLINK("E:\PropInv\MF\Houston\Greenridge_3030_Tiffany Square_Houston_02382","Greenridge_3030_Tiffany Square_Houston_02382" )</f>
        <v>Greenridge_3030_Tiffany Square_Houston_02382</v>
      </c>
      <c r="L1958" s="104" t="s">
        <v>22253</v>
      </c>
      <c r="M1958" s="103" t="str">
        <f t="shared" si="153"/>
        <v>http://oconnordata.com/mlink/modules/profile/index.cfm?action=profile&amp;prop_id=2382</v>
      </c>
      <c r="N1958" s="1" t="str">
        <f t="shared" si="154"/>
        <v>02382</v>
      </c>
    </row>
    <row r="1959" spans="1:14" x14ac:dyDescent="0.3">
      <c r="A1959" s="1">
        <v>2383</v>
      </c>
      <c r="B1959" s="7" t="s">
        <v>2960</v>
      </c>
      <c r="C1959" s="12">
        <v>6311</v>
      </c>
      <c r="D1959" s="7" t="s">
        <v>2961</v>
      </c>
      <c r="E1959" s="13" t="s">
        <v>1657</v>
      </c>
      <c r="F1959" t="str">
        <f t="shared" si="150"/>
        <v>Beverly</v>
      </c>
      <c r="G1959" t="str">
        <f t="shared" si="151"/>
        <v>Beverly6311Houston</v>
      </c>
      <c r="H1959" t="s">
        <v>32817</v>
      </c>
      <c r="I1959" t="s">
        <v>24243</v>
      </c>
      <c r="J1959" t="str">
        <f t="shared" si="152"/>
        <v>E:\PropInv\MF</v>
      </c>
      <c r="K1959" s="103" t="str">
        <f>HYPERLINK("E:\PropInv\MF\Houston\Beverly Hill_6311_Adorable Pointe_Houston_02383","Beverly Hill_6311_Adorable Pointe_Houston_02383" )</f>
        <v>Beverly Hill_6311_Adorable Pointe_Houston_02383</v>
      </c>
      <c r="L1959" s="104" t="s">
        <v>22253</v>
      </c>
      <c r="M1959" s="103" t="str">
        <f t="shared" si="153"/>
        <v>http://oconnordata.com/mlink/modules/profile/index.cfm?action=profile&amp;prop_id=2383</v>
      </c>
      <c r="N1959" s="1" t="str">
        <f t="shared" si="154"/>
        <v>02383</v>
      </c>
    </row>
    <row r="1960" spans="1:14" x14ac:dyDescent="0.3">
      <c r="A1960" s="1">
        <v>2384</v>
      </c>
      <c r="B1960" s="7" t="s">
        <v>2960</v>
      </c>
      <c r="C1960" s="12">
        <v>6363</v>
      </c>
      <c r="D1960" s="7" t="s">
        <v>2962</v>
      </c>
      <c r="E1960" s="13" t="s">
        <v>1657</v>
      </c>
      <c r="F1960" t="str">
        <f t="shared" si="150"/>
        <v>Beverly</v>
      </c>
      <c r="G1960" t="str">
        <f t="shared" si="151"/>
        <v>Beverly6363Houston</v>
      </c>
      <c r="H1960" t="s">
        <v>32818</v>
      </c>
      <c r="I1960" t="s">
        <v>24244</v>
      </c>
      <c r="J1960" t="str">
        <f t="shared" si="152"/>
        <v>E:\PropInv\MF</v>
      </c>
      <c r="K1960" s="103" t="str">
        <f>HYPERLINK("E:\PropInv\MF\Houston\Beverly Hill_6363_Coral Hills_Houston_02384","Beverly Hill_6363_Coral Hills_Houston_02384" )</f>
        <v>Beverly Hill_6363_Coral Hills_Houston_02384</v>
      </c>
      <c r="L1960" s="104" t="s">
        <v>22253</v>
      </c>
      <c r="M1960" s="103" t="str">
        <f t="shared" si="153"/>
        <v>http://oconnordata.com/mlink/modules/profile/index.cfm?action=profile&amp;prop_id=2384</v>
      </c>
      <c r="N1960" s="1" t="str">
        <f t="shared" si="154"/>
        <v>02384</v>
      </c>
    </row>
    <row r="1961" spans="1:14" x14ac:dyDescent="0.3">
      <c r="A1961" s="1">
        <v>2385</v>
      </c>
      <c r="B1961" s="7" t="s">
        <v>2963</v>
      </c>
      <c r="C1961" s="12">
        <v>2777</v>
      </c>
      <c r="D1961" s="7" t="s">
        <v>2964</v>
      </c>
      <c r="E1961" s="13" t="s">
        <v>1657</v>
      </c>
      <c r="F1961" t="str">
        <f t="shared" si="150"/>
        <v>Briarhurst</v>
      </c>
      <c r="G1961" t="str">
        <f t="shared" si="151"/>
        <v>Briarhurst2777Houston</v>
      </c>
      <c r="H1961" t="s">
        <v>32819</v>
      </c>
      <c r="I1961" t="s">
        <v>24245</v>
      </c>
      <c r="J1961" t="str">
        <f t="shared" si="152"/>
        <v>E:\PropInv\MF</v>
      </c>
      <c r="K1961" s="103" t="str">
        <f>HYPERLINK("E:\PropInv\MF\Houston\Briarhurst Dr_2777_Trafalgar West II_Houston_02385","Briarhurst Dr_2777_Trafalgar West II_Houston_02385" )</f>
        <v>Briarhurst Dr_2777_Trafalgar West II_Houston_02385</v>
      </c>
      <c r="L1961" s="104" t="s">
        <v>22253</v>
      </c>
      <c r="M1961" s="103" t="str">
        <f t="shared" si="153"/>
        <v>http://oconnordata.com/mlink/modules/profile/index.cfm?action=profile&amp;prop_id=2385</v>
      </c>
      <c r="N1961" s="1" t="str">
        <f t="shared" si="154"/>
        <v>02385</v>
      </c>
    </row>
    <row r="1962" spans="1:14" x14ac:dyDescent="0.3">
      <c r="A1962" s="1">
        <v>2386</v>
      </c>
      <c r="B1962" s="7" t="s">
        <v>2965</v>
      </c>
      <c r="C1962" s="12">
        <v>6360</v>
      </c>
      <c r="D1962" s="7" t="s">
        <v>2966</v>
      </c>
      <c r="E1962" s="13" t="s">
        <v>1657</v>
      </c>
      <c r="F1962" t="str">
        <f t="shared" si="150"/>
        <v>Skyline</v>
      </c>
      <c r="G1962" t="str">
        <f t="shared" si="151"/>
        <v>Skyline6360Houston</v>
      </c>
      <c r="H1962" t="s">
        <v>32820</v>
      </c>
      <c r="I1962" t="s">
        <v>24246</v>
      </c>
      <c r="J1962" t="str">
        <f t="shared" si="152"/>
        <v>E:\PropInv\MF</v>
      </c>
      <c r="K1962" s="103" t="str">
        <f>HYPERLINK("E:\PropInv\MF\Houston\Skyline Dr_6360_Villas of Hillcroft-Hidden Pines_Houston_02386","Skyline Dr_6360_Villas of Hillcroft-Hidden Pines_Houston_02386" )</f>
        <v>Skyline Dr_6360_Villas of Hillcroft-Hidden Pines_Houston_02386</v>
      </c>
      <c r="L1962" s="104" t="s">
        <v>22253</v>
      </c>
      <c r="M1962" s="103" t="str">
        <f t="shared" si="153"/>
        <v>http://oconnordata.com/mlink/modules/profile/index.cfm?action=profile&amp;prop_id=2386</v>
      </c>
      <c r="N1962" s="1" t="str">
        <f t="shared" si="154"/>
        <v>02386</v>
      </c>
    </row>
    <row r="1963" spans="1:14" x14ac:dyDescent="0.3">
      <c r="A1963" s="1">
        <v>2387</v>
      </c>
      <c r="B1963" s="7" t="s">
        <v>2965</v>
      </c>
      <c r="C1963" s="12">
        <v>6363</v>
      </c>
      <c r="D1963" s="7" t="s">
        <v>2967</v>
      </c>
      <c r="E1963" s="13" t="s">
        <v>1657</v>
      </c>
      <c r="F1963" t="str">
        <f t="shared" si="150"/>
        <v>Skyline</v>
      </c>
      <c r="G1963" t="str">
        <f t="shared" si="151"/>
        <v>Skyline6363Houston</v>
      </c>
      <c r="H1963" t="s">
        <v>32821</v>
      </c>
      <c r="I1963" t="s">
        <v>24247</v>
      </c>
      <c r="J1963" t="str">
        <f t="shared" si="152"/>
        <v>E:\PropInv\MF</v>
      </c>
      <c r="K1963" s="103" t="str">
        <f>HYPERLINK("E:\PropInv\MF\Houston\Skyline Dr_6363_Villas of Hillcroft-Inglewood Village_Houston_02387","Skyline Dr_6363_Villas of Hillcroft-Inglewood Village_Houston_02387" )</f>
        <v>Skyline Dr_6363_Villas of Hillcroft-Inglewood Village_Houston_02387</v>
      </c>
      <c r="L1963" s="104" t="s">
        <v>22253</v>
      </c>
      <c r="M1963" s="103" t="str">
        <f t="shared" si="153"/>
        <v>http://oconnordata.com/mlink/modules/profile/index.cfm?action=profile&amp;prop_id=2387</v>
      </c>
      <c r="N1963" s="1" t="str">
        <f t="shared" si="154"/>
        <v>02387</v>
      </c>
    </row>
    <row r="1964" spans="1:14" x14ac:dyDescent="0.3">
      <c r="A1964" s="1">
        <v>2388</v>
      </c>
      <c r="B1964" s="21" t="s">
        <v>2968</v>
      </c>
      <c r="C1964" s="12">
        <v>6130</v>
      </c>
      <c r="D1964" s="7" t="s">
        <v>2969</v>
      </c>
      <c r="E1964" s="13" t="s">
        <v>1657</v>
      </c>
      <c r="F1964" t="str">
        <f t="shared" si="150"/>
        <v>SW</v>
      </c>
      <c r="G1964" t="str">
        <f t="shared" si="151"/>
        <v>SW6130Houston</v>
      </c>
      <c r="H1964" t="s">
        <v>32822</v>
      </c>
      <c r="I1964" t="s">
        <v>24248</v>
      </c>
      <c r="J1964" t="str">
        <f t="shared" si="152"/>
        <v>E:\PropInv\MF</v>
      </c>
      <c r="K1964" s="103" t="str">
        <f>HYPERLINK("E:\PropInv\MF\Houston\SW Fwy_6130_Falls of Westpark_Houston_02388","SW Fwy_6130_Falls of Westpark_Houston_02388" )</f>
        <v>SW Fwy_6130_Falls of Westpark_Houston_02388</v>
      </c>
      <c r="L1964" s="104" t="s">
        <v>22253</v>
      </c>
      <c r="M1964" s="103" t="str">
        <f t="shared" si="153"/>
        <v>http://oconnordata.com/mlink/modules/profile/index.cfm?action=profile&amp;prop_id=2388</v>
      </c>
      <c r="N1964" s="1" t="str">
        <f t="shared" si="154"/>
        <v>02388</v>
      </c>
    </row>
    <row r="1965" spans="1:14" x14ac:dyDescent="0.3">
      <c r="A1965" s="1">
        <v>2390</v>
      </c>
      <c r="B1965" s="7" t="s">
        <v>2970</v>
      </c>
      <c r="C1965" s="12">
        <v>2007</v>
      </c>
      <c r="D1965" s="7" t="s">
        <v>2971</v>
      </c>
      <c r="E1965" s="13" t="s">
        <v>1657</v>
      </c>
      <c r="F1965" t="str">
        <f t="shared" si="150"/>
        <v>Mid</v>
      </c>
      <c r="G1965" t="str">
        <f t="shared" si="151"/>
        <v>Mid2007Houston</v>
      </c>
      <c r="H1965" t="s">
        <v>32823</v>
      </c>
      <c r="I1965" t="s">
        <v>24249</v>
      </c>
      <c r="J1965" t="str">
        <f t="shared" si="152"/>
        <v>E:\PropInv\MF</v>
      </c>
      <c r="K1965" s="103" t="str">
        <f>HYPERLINK("E:\PropInv\MF\Houston\Mid Ln_2007_San Felipe Court at River Oaks_Houston_02390","Mid Ln_2007_San Felipe Court at River Oaks_Houston_02390" )</f>
        <v>Mid Ln_2007_San Felipe Court at River Oaks_Houston_02390</v>
      </c>
      <c r="L1965" s="104" t="s">
        <v>22253</v>
      </c>
      <c r="M1965" s="103" t="str">
        <f t="shared" si="153"/>
        <v>http://oconnordata.com/mlink/modules/profile/index.cfm?action=profile&amp;prop_id=2390</v>
      </c>
      <c r="N1965" s="1" t="str">
        <f t="shared" si="154"/>
        <v>02390</v>
      </c>
    </row>
    <row r="1966" spans="1:14" x14ac:dyDescent="0.3">
      <c r="A1966" s="1">
        <v>2395</v>
      </c>
      <c r="B1966" s="7" t="s">
        <v>2972</v>
      </c>
      <c r="C1966" s="12">
        <v>2350</v>
      </c>
      <c r="D1966" s="7" t="s">
        <v>2973</v>
      </c>
      <c r="E1966" s="13" t="s">
        <v>1657</v>
      </c>
      <c r="F1966" t="str">
        <f t="shared" si="150"/>
        <v>Westcreek</v>
      </c>
      <c r="G1966" t="str">
        <f t="shared" si="151"/>
        <v>Westcreek2350Houston</v>
      </c>
      <c r="H1966" t="s">
        <v>32824</v>
      </c>
      <c r="I1966" t="s">
        <v>24250</v>
      </c>
      <c r="J1966" t="str">
        <f t="shared" si="152"/>
        <v>E:\PropInv\MF</v>
      </c>
      <c r="K1966" s="103" t="str">
        <f>HYPERLINK("E:\PropInv\MF\Houston\Westcreek Ln_2350_Park at Westcreek_Houston_02395","Westcreek Ln_2350_Park at Westcreek_Houston_02395" )</f>
        <v>Westcreek Ln_2350_Park at Westcreek_Houston_02395</v>
      </c>
      <c r="L1966" s="104" t="s">
        <v>22253</v>
      </c>
      <c r="M1966" s="103" t="str">
        <f t="shared" si="153"/>
        <v>http://oconnordata.com/mlink/modules/profile/index.cfm?action=profile&amp;prop_id=2395</v>
      </c>
      <c r="N1966" s="1" t="str">
        <f t="shared" si="154"/>
        <v>02395</v>
      </c>
    </row>
    <row r="1967" spans="1:14" x14ac:dyDescent="0.3">
      <c r="A1967" s="1">
        <v>2396</v>
      </c>
      <c r="B1967" s="7" t="s">
        <v>2972</v>
      </c>
      <c r="C1967" s="12">
        <v>2049</v>
      </c>
      <c r="D1967" s="7" t="s">
        <v>2974</v>
      </c>
      <c r="E1967" s="13" t="s">
        <v>1657</v>
      </c>
      <c r="F1967" t="str">
        <f t="shared" si="150"/>
        <v>Westcreek</v>
      </c>
      <c r="G1967" t="str">
        <f t="shared" si="151"/>
        <v>Westcreek2049Houston</v>
      </c>
      <c r="H1967" t="s">
        <v>32825</v>
      </c>
      <c r="I1967" t="s">
        <v>24251</v>
      </c>
      <c r="J1967" t="str">
        <f t="shared" si="152"/>
        <v>E:\PropInv\MF</v>
      </c>
      <c r="K1967" s="103" t="str">
        <f>HYPERLINK("E:\PropInv\MF\Houston\Westcreek Ln_2049_Westcreek at River Oaks_Houston_02396","Westcreek Ln_2049_Westcreek at River Oaks_Houston_02396" )</f>
        <v>Westcreek Ln_2049_Westcreek at River Oaks_Houston_02396</v>
      </c>
      <c r="L1967" s="104" t="s">
        <v>22253</v>
      </c>
      <c r="M1967" s="103" t="str">
        <f t="shared" si="153"/>
        <v>http://oconnordata.com/mlink/modules/profile/index.cfm?action=profile&amp;prop_id=2396</v>
      </c>
      <c r="N1967" s="1" t="str">
        <f t="shared" si="154"/>
        <v>02396</v>
      </c>
    </row>
    <row r="1968" spans="1:14" x14ac:dyDescent="0.3">
      <c r="A1968" s="1">
        <v>2397</v>
      </c>
      <c r="B1968" s="7" t="s">
        <v>5</v>
      </c>
      <c r="C1968" s="12">
        <v>4444</v>
      </c>
      <c r="D1968" s="7" t="s">
        <v>2975</v>
      </c>
      <c r="E1968" s="13" t="s">
        <v>1657</v>
      </c>
      <c r="F1968" t="str">
        <f t="shared" si="150"/>
        <v>Westheimer</v>
      </c>
      <c r="G1968" t="str">
        <f t="shared" si="151"/>
        <v>Westheimer4444Houston</v>
      </c>
      <c r="H1968" t="s">
        <v>32826</v>
      </c>
      <c r="I1968" t="s">
        <v>24252</v>
      </c>
      <c r="J1968" t="str">
        <f t="shared" si="152"/>
        <v>E:\PropInv\MF</v>
      </c>
      <c r="K1968" s="103" t="str">
        <f>HYPERLINK("E:\PropInv\MF\Houston\Westheimer_4444_4444 Westheimer Apts_Houston_02397","Westheimer_4444_4444 Westheimer Apts_Houston_02397" )</f>
        <v>Westheimer_4444_4444 Westheimer Apts_Houston_02397</v>
      </c>
      <c r="L1968" s="104" t="s">
        <v>22253</v>
      </c>
      <c r="M1968" s="103" t="str">
        <f t="shared" si="153"/>
        <v>http://oconnordata.com/mlink/modules/profile/index.cfm?action=profile&amp;prop_id=2397</v>
      </c>
      <c r="N1968" s="1" t="str">
        <f t="shared" si="154"/>
        <v>02397</v>
      </c>
    </row>
    <row r="1969" spans="1:14" x14ac:dyDescent="0.3">
      <c r="A1969" s="1">
        <v>2401</v>
      </c>
      <c r="B1969" s="7" t="s">
        <v>1046</v>
      </c>
      <c r="C1969" s="12">
        <v>6100</v>
      </c>
      <c r="D1969" s="7" t="s">
        <v>2976</v>
      </c>
      <c r="E1969" s="13" t="s">
        <v>1657</v>
      </c>
      <c r="F1969" t="str">
        <f t="shared" si="150"/>
        <v>Fairdale</v>
      </c>
      <c r="G1969" t="str">
        <f t="shared" si="151"/>
        <v>Fairdale6100Houston</v>
      </c>
      <c r="H1969" t="s">
        <v>32827</v>
      </c>
      <c r="I1969" t="s">
        <v>24253</v>
      </c>
      <c r="J1969" t="str">
        <f t="shared" si="152"/>
        <v>E:\PropInv\MF</v>
      </c>
      <c r="K1969" s="103" t="str">
        <f>HYPERLINK("E:\PropInv\MF\Houston\Fairdale_6100_Fountainview Lodge II_Houston_02401","Fairdale_6100_Fountainview Lodge II_Houston_02401" )</f>
        <v>Fairdale_6100_Fountainview Lodge II_Houston_02401</v>
      </c>
      <c r="L1969" s="104" t="s">
        <v>22253</v>
      </c>
      <c r="M1969" s="103" t="str">
        <f t="shared" si="153"/>
        <v>http://oconnordata.com/mlink/modules/profile/index.cfm?action=profile&amp;prop_id=2401</v>
      </c>
      <c r="N1969" s="1" t="str">
        <f t="shared" si="154"/>
        <v>02401</v>
      </c>
    </row>
    <row r="1970" spans="1:14" x14ac:dyDescent="0.3">
      <c r="A1970" s="1">
        <v>2402</v>
      </c>
      <c r="B1970" s="7" t="s">
        <v>1046</v>
      </c>
      <c r="C1970" s="12">
        <v>6110</v>
      </c>
      <c r="D1970" s="7" t="s">
        <v>2977</v>
      </c>
      <c r="E1970" s="13" t="s">
        <v>1657</v>
      </c>
      <c r="F1970" t="str">
        <f t="shared" si="150"/>
        <v>Fairdale</v>
      </c>
      <c r="G1970" t="str">
        <f t="shared" si="151"/>
        <v>Fairdale6110Houston</v>
      </c>
      <c r="H1970" t="s">
        <v>32828</v>
      </c>
      <c r="I1970" t="s">
        <v>24254</v>
      </c>
      <c r="J1970" t="str">
        <f t="shared" si="152"/>
        <v>E:\PropInv\MF</v>
      </c>
      <c r="K1970" s="103" t="str">
        <f>HYPERLINK("E:\PropInv\MF\Houston\Fairdale_6110_Inwood Gardens_Houston_02402","Fairdale_6110_Inwood Gardens_Houston_02402" )</f>
        <v>Fairdale_6110_Inwood Gardens_Houston_02402</v>
      </c>
      <c r="L1970" s="104" t="s">
        <v>22253</v>
      </c>
      <c r="M1970" s="103" t="str">
        <f t="shared" si="153"/>
        <v>http://oconnordata.com/mlink/modules/profile/index.cfm?action=profile&amp;prop_id=2402</v>
      </c>
      <c r="N1970" s="1" t="str">
        <f t="shared" si="154"/>
        <v>02402</v>
      </c>
    </row>
    <row r="1971" spans="1:14" x14ac:dyDescent="0.3">
      <c r="A1971" s="1">
        <v>2404</v>
      </c>
      <c r="B1971" s="7" t="s">
        <v>2960</v>
      </c>
      <c r="C1971" s="12">
        <v>6061</v>
      </c>
      <c r="D1971" s="7" t="s">
        <v>2978</v>
      </c>
      <c r="E1971" s="13" t="s">
        <v>1657</v>
      </c>
      <c r="F1971" t="str">
        <f t="shared" si="150"/>
        <v>Beverly</v>
      </c>
      <c r="G1971" t="str">
        <f t="shared" si="151"/>
        <v>Beverly6061Houston</v>
      </c>
      <c r="H1971" t="s">
        <v>32829</v>
      </c>
      <c r="I1971" t="s">
        <v>24255</v>
      </c>
      <c r="J1971" t="str">
        <f t="shared" si="152"/>
        <v>E:\PropInv\MF</v>
      </c>
      <c r="K1971" s="103" t="str">
        <f>HYPERLINK("E:\PropInv\MF\Houston\Beverly Hill_6061_Beverly Palms_Houston_02404","Beverly Hill_6061_Beverly Palms_Houston_02404" )</f>
        <v>Beverly Hill_6061_Beverly Palms_Houston_02404</v>
      </c>
      <c r="L1971" s="104" t="s">
        <v>22253</v>
      </c>
      <c r="M1971" s="103" t="str">
        <f t="shared" si="153"/>
        <v>http://oconnordata.com/mlink/modules/profile/index.cfm?action=profile&amp;prop_id=2404</v>
      </c>
      <c r="N1971" s="1" t="str">
        <f t="shared" si="154"/>
        <v>02404</v>
      </c>
    </row>
    <row r="1972" spans="1:14" x14ac:dyDescent="0.3">
      <c r="A1972" s="1">
        <v>2405</v>
      </c>
      <c r="B1972" s="7" t="s">
        <v>2979</v>
      </c>
      <c r="C1972" s="12">
        <v>5920</v>
      </c>
      <c r="D1972" s="7" t="s">
        <v>2980</v>
      </c>
      <c r="E1972" s="13" t="s">
        <v>1657</v>
      </c>
      <c r="F1972" t="str">
        <f t="shared" si="150"/>
        <v>Beverly</v>
      </c>
      <c r="G1972" t="str">
        <f t="shared" si="151"/>
        <v>Beverly5920Houston</v>
      </c>
      <c r="H1972" t="s">
        <v>32830</v>
      </c>
      <c r="I1972" t="s">
        <v>24256</v>
      </c>
      <c r="J1972" t="str">
        <f t="shared" si="152"/>
        <v>E:\PropInv\MF</v>
      </c>
      <c r="K1972" s="103" t="str">
        <f>HYPERLINK("E:\PropInv\MF\Houston\Beverly Hills Walk_5920_Tanglewood Place_Houston_02405","Beverly Hills Walk_5920_Tanglewood Place_Houston_02405" )</f>
        <v>Beverly Hills Walk_5920_Tanglewood Place_Houston_02405</v>
      </c>
      <c r="L1972" s="104" t="s">
        <v>22253</v>
      </c>
      <c r="M1972" s="103" t="str">
        <f t="shared" si="153"/>
        <v>http://oconnordata.com/mlink/modules/profile/index.cfm?action=profile&amp;prop_id=2405</v>
      </c>
      <c r="N1972" s="1" t="str">
        <f t="shared" si="154"/>
        <v>02405</v>
      </c>
    </row>
    <row r="1973" spans="1:14" x14ac:dyDescent="0.3">
      <c r="A1973" s="1">
        <v>2406</v>
      </c>
      <c r="B1973" s="7" t="s">
        <v>2981</v>
      </c>
      <c r="C1973" s="12">
        <v>3424</v>
      </c>
      <c r="D1973" s="7" t="s">
        <v>2982</v>
      </c>
      <c r="E1973" s="13" t="s">
        <v>1657</v>
      </c>
      <c r="F1973" t="str">
        <f t="shared" si="150"/>
        <v>Chimney</v>
      </c>
      <c r="G1973" t="str">
        <f t="shared" si="151"/>
        <v>Chimney3424Houston</v>
      </c>
      <c r="H1973" t="s">
        <v>32831</v>
      </c>
      <c r="I1973" t="s">
        <v>24257</v>
      </c>
      <c r="J1973" t="str">
        <f t="shared" si="152"/>
        <v>E:\PropInv\MF</v>
      </c>
      <c r="K1973" s="103" t="str">
        <f>HYPERLINK("E:\PropInv\MF\Houston\Chimney Rock_3424_Chimney Rock Court_Houston_02406","Chimney Rock_3424_Chimney Rock Court_Houston_02406" )</f>
        <v>Chimney Rock_3424_Chimney Rock Court_Houston_02406</v>
      </c>
      <c r="L1973" s="104" t="s">
        <v>22253</v>
      </c>
      <c r="M1973" s="103" t="str">
        <f t="shared" si="153"/>
        <v>http://oconnordata.com/mlink/modules/profile/index.cfm?action=profile&amp;prop_id=2406</v>
      </c>
      <c r="N1973" s="1" t="str">
        <f t="shared" si="154"/>
        <v>02406</v>
      </c>
    </row>
    <row r="1974" spans="1:14" x14ac:dyDescent="0.3">
      <c r="A1974" s="1">
        <v>2407</v>
      </c>
      <c r="B1974" s="7" t="s">
        <v>2918</v>
      </c>
      <c r="C1974" s="12">
        <v>3304</v>
      </c>
      <c r="D1974" s="7" t="s">
        <v>2983</v>
      </c>
      <c r="E1974" s="13" t="s">
        <v>1657</v>
      </c>
      <c r="F1974" t="str">
        <f t="shared" si="150"/>
        <v>Fountainview</v>
      </c>
      <c r="G1974" t="str">
        <f t="shared" si="151"/>
        <v>Fountainview3304Houston</v>
      </c>
      <c r="H1974" t="s">
        <v>32832</v>
      </c>
      <c r="I1974" t="s">
        <v>24258</v>
      </c>
      <c r="J1974" t="str">
        <f t="shared" si="152"/>
        <v>E:\PropInv\MF</v>
      </c>
      <c r="K1974" s="103" t="str">
        <f>HYPERLINK("E:\PropInv\MF\Houston\Fountainview_3304_Wilshire_Houston_02407","Fountainview_3304_Wilshire_Houston_02407" )</f>
        <v>Fountainview_3304_Wilshire_Houston_02407</v>
      </c>
      <c r="L1974" s="104" t="s">
        <v>22253</v>
      </c>
      <c r="M1974" s="103" t="str">
        <f t="shared" si="153"/>
        <v>http://oconnordata.com/mlink/modules/profile/index.cfm?action=profile&amp;prop_id=2407</v>
      </c>
      <c r="N1974" s="1" t="str">
        <f t="shared" si="154"/>
        <v>02407</v>
      </c>
    </row>
    <row r="1975" spans="1:14" x14ac:dyDescent="0.3">
      <c r="A1975" s="1">
        <v>2408</v>
      </c>
      <c r="B1975" s="19" t="s">
        <v>2949</v>
      </c>
      <c r="C1975" s="18">
        <v>3101</v>
      </c>
      <c r="D1975" s="19" t="s">
        <v>2984</v>
      </c>
      <c r="E1975" s="20" t="s">
        <v>1657</v>
      </c>
      <c r="F1975" t="str">
        <f t="shared" si="150"/>
        <v>Sage</v>
      </c>
      <c r="G1975" t="str">
        <f t="shared" si="151"/>
        <v>Sage3101Houston</v>
      </c>
      <c r="H1975" t="s">
        <v>32833</v>
      </c>
      <c r="I1975" t="s">
        <v>24259</v>
      </c>
      <c r="J1975" t="str">
        <f t="shared" si="152"/>
        <v>E:\PropInv\MF</v>
      </c>
      <c r="K1975" s="103" t="str">
        <f>HYPERLINK("E:\PropInv\MF\Houston\Sage_3101_Bali Hai_Houston_02408","Sage_3101_Bali Hai_Houston_02408" )</f>
        <v>Sage_3101_Bali Hai_Houston_02408</v>
      </c>
      <c r="L1975" s="104" t="s">
        <v>22253</v>
      </c>
      <c r="M1975" s="103" t="str">
        <f t="shared" si="153"/>
        <v>http://oconnordata.com/mlink/modules/profile/index.cfm?action=profile&amp;prop_id=2408</v>
      </c>
      <c r="N1975" s="1" t="str">
        <f t="shared" si="154"/>
        <v>02408</v>
      </c>
    </row>
    <row r="1976" spans="1:14" x14ac:dyDescent="0.3">
      <c r="A1976" s="1">
        <v>2409</v>
      </c>
      <c r="B1976" s="7" t="s">
        <v>2985</v>
      </c>
      <c r="C1976" s="12">
        <v>5701</v>
      </c>
      <c r="D1976" s="7" t="s">
        <v>2986</v>
      </c>
      <c r="E1976" s="13" t="s">
        <v>1657</v>
      </c>
      <c r="F1976" t="str">
        <f t="shared" si="150"/>
        <v>Schumacher</v>
      </c>
      <c r="G1976" t="str">
        <f t="shared" si="151"/>
        <v>Schumacher5701Houston</v>
      </c>
      <c r="H1976" t="s">
        <v>32834</v>
      </c>
      <c r="I1976" t="s">
        <v>24260</v>
      </c>
      <c r="J1976" t="str">
        <f t="shared" si="152"/>
        <v>E:\PropInv\MF</v>
      </c>
      <c r="K1976" s="103" t="str">
        <f>HYPERLINK("E:\PropInv\MF\Houston\Schumacher_5701_Schumacher Square_Houston_02409","Schumacher_5701_Schumacher Square_Houston_02409" )</f>
        <v>Schumacher_5701_Schumacher Square_Houston_02409</v>
      </c>
      <c r="L1976" s="104" t="s">
        <v>22253</v>
      </c>
      <c r="M1976" s="103" t="str">
        <f t="shared" si="153"/>
        <v>http://oconnordata.com/mlink/modules/profile/index.cfm?action=profile&amp;prop_id=2409</v>
      </c>
      <c r="N1976" s="1" t="str">
        <f t="shared" si="154"/>
        <v>02409</v>
      </c>
    </row>
    <row r="1977" spans="1:14" x14ac:dyDescent="0.3">
      <c r="A1977" s="1">
        <v>2410</v>
      </c>
      <c r="B1977" s="7" t="s">
        <v>2960</v>
      </c>
      <c r="C1977" s="12">
        <v>5301</v>
      </c>
      <c r="D1977" s="7" t="s">
        <v>2987</v>
      </c>
      <c r="E1977" s="13" t="s">
        <v>1657</v>
      </c>
      <c r="F1977" t="str">
        <f t="shared" si="150"/>
        <v>Beverly</v>
      </c>
      <c r="G1977" t="str">
        <f t="shared" si="151"/>
        <v>Beverly5301Houston</v>
      </c>
      <c r="H1977" t="s">
        <v>32835</v>
      </c>
      <c r="I1977" t="s">
        <v>24261</v>
      </c>
      <c r="J1977" t="str">
        <f t="shared" si="152"/>
        <v>E:\PropInv\MF</v>
      </c>
      <c r="K1977" s="103" t="str">
        <f>HYPERLINK("E:\PropInv\MF\Houston\Beverly Hill_5301_Oaks of Beverly Hills_Houston_02410","Beverly Hill_5301_Oaks of Beverly Hills_Houston_02410" )</f>
        <v>Beverly Hill_5301_Oaks of Beverly Hills_Houston_02410</v>
      </c>
      <c r="L1977" s="104" t="s">
        <v>22253</v>
      </c>
      <c r="M1977" s="103" t="str">
        <f t="shared" si="153"/>
        <v>http://oconnordata.com/mlink/modules/profile/index.cfm?action=profile&amp;prop_id=2410</v>
      </c>
      <c r="N1977" s="1" t="str">
        <f t="shared" si="154"/>
        <v>02410</v>
      </c>
    </row>
    <row r="1978" spans="1:14" x14ac:dyDescent="0.3">
      <c r="A1978" s="1">
        <v>2411</v>
      </c>
      <c r="B1978" s="7" t="s">
        <v>2675</v>
      </c>
      <c r="C1978" s="12">
        <v>5151</v>
      </c>
      <c r="D1978" s="7" t="s">
        <v>2988</v>
      </c>
      <c r="E1978" s="13" t="s">
        <v>1657</v>
      </c>
      <c r="F1978" t="str">
        <f t="shared" si="150"/>
        <v>Richmond</v>
      </c>
      <c r="G1978" t="str">
        <f t="shared" si="151"/>
        <v>Richmond5151Houston</v>
      </c>
      <c r="H1978" t="s">
        <v>32836</v>
      </c>
      <c r="I1978" t="s">
        <v>24262</v>
      </c>
      <c r="J1978" t="str">
        <f t="shared" si="152"/>
        <v>E:\PropInv\MF</v>
      </c>
      <c r="K1978" s="103" t="str">
        <f>HYPERLINK("E:\PropInv\MF\Houston\Richmond_5151_Galleria Oaks_Houston_02411","Richmond_5151_Galleria Oaks_Houston_02411" )</f>
        <v>Richmond_5151_Galleria Oaks_Houston_02411</v>
      </c>
      <c r="L1978" s="104" t="s">
        <v>22253</v>
      </c>
      <c r="M1978" s="103" t="str">
        <f t="shared" si="153"/>
        <v>http://oconnordata.com/mlink/modules/profile/index.cfm?action=profile&amp;prop_id=2411</v>
      </c>
      <c r="N1978" s="1" t="str">
        <f t="shared" si="154"/>
        <v>02411</v>
      </c>
    </row>
    <row r="1979" spans="1:14" x14ac:dyDescent="0.3">
      <c r="A1979" s="1">
        <v>2414</v>
      </c>
      <c r="B1979" s="7" t="s">
        <v>2989</v>
      </c>
      <c r="C1979" s="12">
        <v>6370</v>
      </c>
      <c r="D1979" s="7" t="s">
        <v>2990</v>
      </c>
      <c r="E1979" s="13" t="s">
        <v>1657</v>
      </c>
      <c r="F1979" t="str">
        <f t="shared" si="150"/>
        <v>Windswept</v>
      </c>
      <c r="G1979" t="str">
        <f t="shared" si="151"/>
        <v>Windswept6370Houston</v>
      </c>
      <c r="H1979" t="s">
        <v>32837</v>
      </c>
      <c r="I1979" t="s">
        <v>24263</v>
      </c>
      <c r="J1979" t="str">
        <f t="shared" si="152"/>
        <v>E:\PropInv\MF</v>
      </c>
      <c r="K1979" s="103" t="str">
        <f>HYPERLINK("E:\PropInv\MF\Houston\Windswept_6370_Unity Pointe_Houston_02414","Windswept_6370_Unity Pointe_Houston_02414" )</f>
        <v>Windswept_6370_Unity Pointe_Houston_02414</v>
      </c>
      <c r="L1979" s="104" t="s">
        <v>22253</v>
      </c>
      <c r="M1979" s="103" t="str">
        <f t="shared" si="153"/>
        <v>http://oconnordata.com/mlink/modules/profile/index.cfm?action=profile&amp;prop_id=2414</v>
      </c>
      <c r="N1979" s="1" t="str">
        <f t="shared" si="154"/>
        <v>02414</v>
      </c>
    </row>
    <row r="1980" spans="1:14" x14ac:dyDescent="0.3">
      <c r="A1980" s="1">
        <v>2415</v>
      </c>
      <c r="B1980" s="7" t="s">
        <v>2936</v>
      </c>
      <c r="C1980" s="12">
        <v>6111</v>
      </c>
      <c r="D1980" s="7" t="s">
        <v>2991</v>
      </c>
      <c r="E1980" s="13" t="s">
        <v>1657</v>
      </c>
      <c r="F1980" t="str">
        <f t="shared" si="150"/>
        <v>Winsome</v>
      </c>
      <c r="G1980" t="str">
        <f t="shared" si="151"/>
        <v>Winsome6111Houston</v>
      </c>
      <c r="H1980" t="s">
        <v>32838</v>
      </c>
      <c r="I1980" t="s">
        <v>24264</v>
      </c>
      <c r="J1980" t="str">
        <f t="shared" si="152"/>
        <v>E:\PropInv\MF</v>
      </c>
      <c r="K1980" s="103" t="str">
        <f>HYPERLINK("E:\PropInv\MF\Houston\Winsome_6111_The Registry_Houston_02415","Winsome_6111_The Registry_Houston_02415" )</f>
        <v>Winsome_6111_The Registry_Houston_02415</v>
      </c>
      <c r="L1980" s="104" t="s">
        <v>22253</v>
      </c>
      <c r="M1980" s="103" t="str">
        <f t="shared" si="153"/>
        <v>http://oconnordata.com/mlink/modules/profile/index.cfm?action=profile&amp;prop_id=2415</v>
      </c>
      <c r="N1980" s="1" t="str">
        <f t="shared" si="154"/>
        <v>02415</v>
      </c>
    </row>
    <row r="1981" spans="1:14" x14ac:dyDescent="0.3">
      <c r="A1981" s="1">
        <v>2416</v>
      </c>
      <c r="B1981" s="7" t="s">
        <v>2939</v>
      </c>
      <c r="C1981" s="12">
        <v>3323</v>
      </c>
      <c r="D1981" s="7" t="s">
        <v>2992</v>
      </c>
      <c r="E1981" s="13" t="s">
        <v>1657</v>
      </c>
      <c r="F1981" t="str">
        <f t="shared" si="150"/>
        <v>McCue</v>
      </c>
      <c r="G1981" t="str">
        <f t="shared" si="151"/>
        <v>McCue3323Houston</v>
      </c>
      <c r="H1981" t="s">
        <v>32839</v>
      </c>
      <c r="I1981" t="s">
        <v>24265</v>
      </c>
      <c r="J1981" t="str">
        <f t="shared" si="152"/>
        <v>E:\PropInv\MF</v>
      </c>
      <c r="K1981" s="103" t="str">
        <f>HYPERLINK("E:\PropInv\MF\Houston\McCue_3323_Providence Uptown_Houston_02416","McCue_3323_Providence Uptown_Houston_02416" )</f>
        <v>McCue_3323_Providence Uptown_Houston_02416</v>
      </c>
      <c r="L1981" s="104" t="s">
        <v>22253</v>
      </c>
      <c r="M1981" s="103" t="str">
        <f t="shared" si="153"/>
        <v>http://oconnordata.com/mlink/modules/profile/index.cfm?action=profile&amp;prop_id=2416</v>
      </c>
      <c r="N1981" s="1" t="str">
        <f t="shared" si="154"/>
        <v>02416</v>
      </c>
    </row>
    <row r="1982" spans="1:14" x14ac:dyDescent="0.3">
      <c r="A1982" s="1">
        <v>2417</v>
      </c>
      <c r="B1982" s="7" t="s">
        <v>2960</v>
      </c>
      <c r="C1982" s="12">
        <v>5331</v>
      </c>
      <c r="D1982" s="7" t="s">
        <v>2993</v>
      </c>
      <c r="E1982" s="13" t="s">
        <v>1657</v>
      </c>
      <c r="F1982" t="str">
        <f t="shared" si="150"/>
        <v>Beverly</v>
      </c>
      <c r="G1982" t="str">
        <f t="shared" si="151"/>
        <v>Beverly5331Houston</v>
      </c>
      <c r="H1982" t="s">
        <v>32840</v>
      </c>
      <c r="I1982" t="s">
        <v>24266</v>
      </c>
      <c r="J1982" t="str">
        <f t="shared" si="152"/>
        <v>E:\PropInv\MF</v>
      </c>
      <c r="K1982" s="103" t="str">
        <f>HYPERLINK("E:\PropInv\MF\Houston\Beverly Hill_5331_Verde Chateaux Dijon_Houston_02417","Beverly Hill_5331_Verde Chateaux Dijon_Houston_02417" )</f>
        <v>Beverly Hill_5331_Verde Chateaux Dijon_Houston_02417</v>
      </c>
      <c r="L1982" s="104" t="s">
        <v>22253</v>
      </c>
      <c r="M1982" s="103" t="str">
        <f t="shared" si="153"/>
        <v>http://oconnordata.com/mlink/modules/profile/index.cfm?action=profile&amp;prop_id=2417</v>
      </c>
      <c r="N1982" s="1" t="str">
        <f t="shared" si="154"/>
        <v>02417</v>
      </c>
    </row>
    <row r="1983" spans="1:14" x14ac:dyDescent="0.3">
      <c r="A1983" s="97">
        <v>2419</v>
      </c>
      <c r="B1983" s="7" t="s">
        <v>2994</v>
      </c>
      <c r="C1983" s="12">
        <v>6320</v>
      </c>
      <c r="D1983" s="7" t="s">
        <v>2995</v>
      </c>
      <c r="E1983" s="13" t="s">
        <v>1657</v>
      </c>
      <c r="F1983" t="str">
        <f t="shared" si="150"/>
        <v>Windswept</v>
      </c>
      <c r="G1983" t="str">
        <f t="shared" si="151"/>
        <v>Windswept6320Houston</v>
      </c>
      <c r="H1983" t="s">
        <v>32841</v>
      </c>
      <c r="I1983" t="s">
        <v>24267</v>
      </c>
      <c r="J1983" t="str">
        <f t="shared" si="152"/>
        <v>E:\PropInv\MF</v>
      </c>
      <c r="K1983" s="103" t="str">
        <f>HYPERLINK("E:\PropInv\MF\Houston\Windswept Ln_6320_Windswept Gardens_Houston_02419","Windswept Ln_6320_Windswept Gardens_Houston_02419" )</f>
        <v>Windswept Ln_6320_Windswept Gardens_Houston_02419</v>
      </c>
      <c r="L1983" s="104" t="s">
        <v>22253</v>
      </c>
      <c r="M1983" s="103" t="str">
        <f t="shared" si="153"/>
        <v>http://oconnordata.com/mlink/modules/profile/index.cfm?action=profile&amp;prop_id=2419</v>
      </c>
      <c r="N1983" s="1" t="str">
        <f t="shared" si="154"/>
        <v>02419</v>
      </c>
    </row>
    <row r="1984" spans="1:14" x14ac:dyDescent="0.3">
      <c r="A1984" s="1">
        <v>2420</v>
      </c>
      <c r="B1984" s="7" t="s">
        <v>2989</v>
      </c>
      <c r="C1984" s="12">
        <v>6330</v>
      </c>
      <c r="D1984" s="7" t="s">
        <v>2996</v>
      </c>
      <c r="E1984" s="13" t="s">
        <v>1657</v>
      </c>
      <c r="F1984" t="str">
        <f t="shared" si="150"/>
        <v>Windswept</v>
      </c>
      <c r="G1984" t="str">
        <f t="shared" si="151"/>
        <v>Windswept6330Houston</v>
      </c>
      <c r="H1984" t="s">
        <v>32842</v>
      </c>
      <c r="I1984" t="s">
        <v>24268</v>
      </c>
      <c r="J1984" t="str">
        <f t="shared" si="152"/>
        <v>E:\PropInv\MF</v>
      </c>
      <c r="K1984" s="103" t="str">
        <f>HYPERLINK("E:\PropInv\MF\Houston\Windswept_6330_Ashley Square_Houston_02420","Windswept_6330_Ashley Square_Houston_02420" )</f>
        <v>Windswept_6330_Ashley Square_Houston_02420</v>
      </c>
      <c r="L1984" s="104" t="s">
        <v>22253</v>
      </c>
      <c r="M1984" s="103" t="str">
        <f t="shared" si="153"/>
        <v>http://oconnordata.com/mlink/modules/profile/index.cfm?action=profile&amp;prop_id=2420</v>
      </c>
      <c r="N1984" s="1" t="str">
        <f t="shared" si="154"/>
        <v>02420</v>
      </c>
    </row>
    <row r="1985" spans="1:14" x14ac:dyDescent="0.3">
      <c r="A1985" s="1">
        <v>2421</v>
      </c>
      <c r="B1985" s="7" t="s">
        <v>2989</v>
      </c>
      <c r="C1985" s="12">
        <v>6333</v>
      </c>
      <c r="D1985" s="7" t="s">
        <v>2997</v>
      </c>
      <c r="E1985" s="13" t="s">
        <v>1657</v>
      </c>
      <c r="F1985" t="str">
        <f t="shared" si="150"/>
        <v>Windswept</v>
      </c>
      <c r="G1985" t="str">
        <f t="shared" si="151"/>
        <v>Windswept6333Houston</v>
      </c>
      <c r="H1985" t="s">
        <v>32843</v>
      </c>
      <c r="I1985" t="s">
        <v>24269</v>
      </c>
      <c r="J1985" t="str">
        <f t="shared" si="152"/>
        <v>E:\PropInv\MF</v>
      </c>
      <c r="K1985" s="103" t="str">
        <f>HYPERLINK("E:\PropInv\MF\Houston\Windswept_6333_Colonial Woods_Houston_02421","Windswept_6333_Colonial Woods_Houston_02421" )</f>
        <v>Windswept_6333_Colonial Woods_Houston_02421</v>
      </c>
      <c r="L1985" s="104" t="s">
        <v>22253</v>
      </c>
      <c r="M1985" s="103" t="str">
        <f t="shared" si="153"/>
        <v>http://oconnordata.com/mlink/modules/profile/index.cfm?action=profile&amp;prop_id=2421</v>
      </c>
      <c r="N1985" s="1" t="str">
        <f t="shared" si="154"/>
        <v>02421</v>
      </c>
    </row>
    <row r="1986" spans="1:14" x14ac:dyDescent="0.3">
      <c r="A1986" s="1">
        <v>2422</v>
      </c>
      <c r="B1986" s="7" t="s">
        <v>2965</v>
      </c>
      <c r="C1986" s="12">
        <v>6353</v>
      </c>
      <c r="D1986" s="7" t="s">
        <v>2998</v>
      </c>
      <c r="E1986" s="13" t="s">
        <v>1657</v>
      </c>
      <c r="F1986" t="str">
        <f t="shared" ref="F1986:F2049" si="155">IFERROR(LEFT(B1986,FIND(" ",B1986)-1),B1986)</f>
        <v>Skyline</v>
      </c>
      <c r="G1986" t="str">
        <f t="shared" ref="G1986:G2049" si="156">F1986&amp;C1986&amp;E1986</f>
        <v>Skyline6353Houston</v>
      </c>
      <c r="H1986" t="s">
        <v>32844</v>
      </c>
      <c r="I1986" t="s">
        <v>24270</v>
      </c>
      <c r="J1986" t="str">
        <f t="shared" ref="J1986:J2049" si="157">IF(L1986="TX",Folder_Path,Folder_Path&amp;"\State_"&amp;L1986)</f>
        <v>E:\PropInv\MF</v>
      </c>
      <c r="K1986" s="103" t="str">
        <f>HYPERLINK("E:\PropInv\MF\Houston\Skyline Dr_6353_Villas of Hillcroft-Southern Oaks_Houston_02422","Skyline Dr_6353_Villas of Hillcroft-Southern Oaks_Houston_02422" )</f>
        <v>Skyline Dr_6353_Villas of Hillcroft-Southern Oaks_Houston_02422</v>
      </c>
      <c r="L1986" s="104" t="s">
        <v>22253</v>
      </c>
      <c r="M1986" s="103" t="str">
        <f t="shared" ref="M1986:M2049" si="158">HYPERLINK("http://oconnordata.com/mlink/modules/profile/index.cfm?action=profile&amp;prop_id="&amp;A1986)</f>
        <v>http://oconnordata.com/mlink/modules/profile/index.cfm?action=profile&amp;prop_id=2422</v>
      </c>
      <c r="N1986" s="1" t="str">
        <f t="shared" ref="N1986:N2049" si="159">IF(LEN(A1986)=1,"0000"&amp;A1986,IF(LEN(A1986)=2,"000"&amp;A1986,IF(LEN(A1986)=3,"00"&amp;A1986,IF(LEN(A1986)=4,"0"&amp;A1986,IF(LEN(A1986)=5,IF(LEFT(A1986,1)="3",A1986+30000,A1986))))))</f>
        <v>02422</v>
      </c>
    </row>
    <row r="1987" spans="1:14" x14ac:dyDescent="0.3">
      <c r="A1987" s="1">
        <v>2425</v>
      </c>
      <c r="B1987" s="7" t="s">
        <v>2949</v>
      </c>
      <c r="C1987" s="12">
        <v>3525</v>
      </c>
      <c r="D1987" s="7" t="s">
        <v>2999</v>
      </c>
      <c r="E1987" s="13" t="s">
        <v>1657</v>
      </c>
      <c r="F1987" t="str">
        <f t="shared" si="155"/>
        <v>Sage</v>
      </c>
      <c r="G1987" t="str">
        <f t="shared" si="156"/>
        <v>Sage3525Houston</v>
      </c>
      <c r="H1987" t="s">
        <v>32845</v>
      </c>
      <c r="I1987" t="s">
        <v>24271</v>
      </c>
      <c r="J1987" t="str">
        <f t="shared" si="157"/>
        <v>E:\PropInv\MF</v>
      </c>
      <c r="K1987" s="103" t="str">
        <f>HYPERLINK("E:\PropInv\MF\Houston\Sage_3525_3525 Sage Hi Rise_Houston_02425","Sage_3525_3525 Sage Hi Rise_Houston_02425" )</f>
        <v>Sage_3525_3525 Sage Hi Rise_Houston_02425</v>
      </c>
      <c r="L1987" s="104" t="s">
        <v>22253</v>
      </c>
      <c r="M1987" s="103" t="str">
        <f t="shared" si="158"/>
        <v>http://oconnordata.com/mlink/modules/profile/index.cfm?action=profile&amp;prop_id=2425</v>
      </c>
      <c r="N1987" s="1" t="str">
        <f t="shared" si="159"/>
        <v>02425</v>
      </c>
    </row>
    <row r="1988" spans="1:14" x14ac:dyDescent="0.3">
      <c r="A1988" s="1">
        <v>2429</v>
      </c>
      <c r="B1988" s="7" t="s">
        <v>3000</v>
      </c>
      <c r="C1988" s="12">
        <v>2415</v>
      </c>
      <c r="D1988" s="7" t="s">
        <v>3001</v>
      </c>
      <c r="E1988" s="13" t="s">
        <v>1657</v>
      </c>
      <c r="F1988" t="str">
        <f t="shared" si="155"/>
        <v>Mimosa</v>
      </c>
      <c r="G1988" t="str">
        <f t="shared" si="156"/>
        <v>Mimosa2415Houston</v>
      </c>
      <c r="H1988" t="s">
        <v>32846</v>
      </c>
      <c r="I1988" t="s">
        <v>24272</v>
      </c>
      <c r="J1988" t="str">
        <f t="shared" si="157"/>
        <v>E:\PropInv\MF</v>
      </c>
      <c r="K1988" s="103" t="str">
        <f>HYPERLINK("E:\PropInv\MF\Houston\Mimosa Dr_2415_Mimosa and Argonne Forest_Houston_02429","Mimosa Dr_2415_Mimosa and Argonne Forest_Houston_02429" )</f>
        <v>Mimosa Dr_2415_Mimosa and Argonne Forest_Houston_02429</v>
      </c>
      <c r="L1988" s="104" t="s">
        <v>22253</v>
      </c>
      <c r="M1988" s="103" t="str">
        <f t="shared" si="158"/>
        <v>http://oconnordata.com/mlink/modules/profile/index.cfm?action=profile&amp;prop_id=2429</v>
      </c>
      <c r="N1988" s="1" t="str">
        <f t="shared" si="159"/>
        <v>02429</v>
      </c>
    </row>
    <row r="1989" spans="1:14" x14ac:dyDescent="0.3">
      <c r="A1989" s="1">
        <v>2434</v>
      </c>
      <c r="B1989" s="7" t="s">
        <v>3002</v>
      </c>
      <c r="C1989" s="12">
        <v>904</v>
      </c>
      <c r="D1989" s="7" t="s">
        <v>3003</v>
      </c>
      <c r="E1989" s="13" t="s">
        <v>1657</v>
      </c>
      <c r="F1989" t="str">
        <f t="shared" si="155"/>
        <v>Westcott</v>
      </c>
      <c r="G1989" t="str">
        <f t="shared" si="156"/>
        <v>Westcott904Houston</v>
      </c>
      <c r="H1989" t="s">
        <v>32847</v>
      </c>
      <c r="I1989" t="s">
        <v>24273</v>
      </c>
      <c r="J1989" t="str">
        <f t="shared" si="157"/>
        <v>E:\PropInv\MF</v>
      </c>
      <c r="K1989" s="103" t="str">
        <f>HYPERLINK("E:\PropInv\MF\Houston\Westcott_904_Memorial Club_Houston_02434","Westcott_904_Memorial Club_Houston_02434" )</f>
        <v>Westcott_904_Memorial Club_Houston_02434</v>
      </c>
      <c r="L1989" s="104" t="s">
        <v>22253</v>
      </c>
      <c r="M1989" s="103" t="str">
        <f t="shared" si="158"/>
        <v>http://oconnordata.com/mlink/modules/profile/index.cfm?action=profile&amp;prop_id=2434</v>
      </c>
      <c r="N1989" s="1" t="str">
        <f t="shared" si="159"/>
        <v>02434</v>
      </c>
    </row>
    <row r="1990" spans="1:14" x14ac:dyDescent="0.3">
      <c r="A1990" s="1">
        <v>2438</v>
      </c>
      <c r="B1990" s="7" t="s">
        <v>2949</v>
      </c>
      <c r="C1990" s="12">
        <v>3300</v>
      </c>
      <c r="D1990" s="7" t="s">
        <v>3004</v>
      </c>
      <c r="E1990" s="13" t="s">
        <v>1657</v>
      </c>
      <c r="F1990" t="str">
        <f t="shared" si="155"/>
        <v>Sage</v>
      </c>
      <c r="G1990" t="str">
        <f t="shared" si="156"/>
        <v>Sage3300Houston</v>
      </c>
      <c r="H1990" t="s">
        <v>32848</v>
      </c>
      <c r="I1990" t="s">
        <v>24274</v>
      </c>
      <c r="J1990" t="str">
        <f t="shared" si="157"/>
        <v>E:\PropInv\MF</v>
      </c>
      <c r="K1990" s="103" t="str">
        <f>HYPERLINK("E:\PropInv\MF\Houston\Sage_3300_Gables Metropolitan Uptown_Houston_02438","Sage_3300_Gables Metropolitan Uptown_Houston_02438" )</f>
        <v>Sage_3300_Gables Metropolitan Uptown_Houston_02438</v>
      </c>
      <c r="L1990" s="104" t="s">
        <v>22253</v>
      </c>
      <c r="M1990" s="103" t="str">
        <f t="shared" si="158"/>
        <v>http://oconnordata.com/mlink/modules/profile/index.cfm?action=profile&amp;prop_id=2438</v>
      </c>
      <c r="N1990" s="1" t="str">
        <f t="shared" si="159"/>
        <v>02438</v>
      </c>
    </row>
    <row r="1991" spans="1:14" x14ac:dyDescent="0.3">
      <c r="A1991" s="1">
        <v>2444</v>
      </c>
      <c r="B1991" s="7" t="s">
        <v>3005</v>
      </c>
      <c r="C1991" s="12">
        <v>4641</v>
      </c>
      <c r="D1991" s="7" t="s">
        <v>3006</v>
      </c>
      <c r="E1991" s="13" t="s">
        <v>1657</v>
      </c>
      <c r="F1991" t="str">
        <f t="shared" si="155"/>
        <v>Wild</v>
      </c>
      <c r="G1991" t="str">
        <f t="shared" si="156"/>
        <v>Wild4641Houston</v>
      </c>
      <c r="H1991" t="s">
        <v>32849</v>
      </c>
      <c r="I1991" t="s">
        <v>24275</v>
      </c>
      <c r="J1991" t="str">
        <f t="shared" si="157"/>
        <v>E:\PropInv\MF</v>
      </c>
      <c r="K1991" s="103" t="str">
        <f>HYPERLINK("E:\PropInv\MF\Houston\Wild Indigo_4641_Newcastle at Towne Plaza Condos_Houston_02444","Wild Indigo_4641_Newcastle at Towne Plaza Condos_Houston_02444" )</f>
        <v>Wild Indigo_4641_Newcastle at Towne Plaza Condos_Houston_02444</v>
      </c>
      <c r="L1991" s="104" t="s">
        <v>22253</v>
      </c>
      <c r="M1991" s="103" t="str">
        <f t="shared" si="158"/>
        <v>http://oconnordata.com/mlink/modules/profile/index.cfm?action=profile&amp;prop_id=2444</v>
      </c>
      <c r="N1991" s="1" t="str">
        <f t="shared" si="159"/>
        <v>02444</v>
      </c>
    </row>
    <row r="1992" spans="1:14" x14ac:dyDescent="0.3">
      <c r="A1992" s="1">
        <v>2445</v>
      </c>
      <c r="B1992" s="7" t="s">
        <v>3005</v>
      </c>
      <c r="C1992" s="12">
        <v>4655</v>
      </c>
      <c r="D1992" s="7" t="s">
        <v>3007</v>
      </c>
      <c r="E1992" s="13" t="s">
        <v>1657</v>
      </c>
      <c r="F1992" t="str">
        <f t="shared" si="155"/>
        <v>Wild</v>
      </c>
      <c r="G1992" t="str">
        <f t="shared" si="156"/>
        <v>Wild4655Houston</v>
      </c>
      <c r="H1992" t="s">
        <v>32850</v>
      </c>
      <c r="I1992" t="s">
        <v>24276</v>
      </c>
      <c r="J1992" t="str">
        <f t="shared" si="157"/>
        <v>E:\PropInv\MF</v>
      </c>
      <c r="K1992" s="103" t="str">
        <f>HYPERLINK("E:\PropInv\MF\Houston\Wild Indigo_4655_Towne Plaza_Houston_02445","Wild Indigo_4655_Towne Plaza_Houston_02445" )</f>
        <v>Wild Indigo_4655_Towne Plaza_Houston_02445</v>
      </c>
      <c r="L1992" s="104" t="s">
        <v>22253</v>
      </c>
      <c r="M1992" s="103" t="str">
        <f t="shared" si="158"/>
        <v>http://oconnordata.com/mlink/modules/profile/index.cfm?action=profile&amp;prop_id=2445</v>
      </c>
      <c r="N1992" s="1" t="str">
        <f t="shared" si="159"/>
        <v>02445</v>
      </c>
    </row>
    <row r="1993" spans="1:14" x14ac:dyDescent="0.3">
      <c r="A1993" s="1">
        <v>2446</v>
      </c>
      <c r="B1993" s="7" t="s">
        <v>3008</v>
      </c>
      <c r="C1993" s="12">
        <v>900</v>
      </c>
      <c r="D1993" s="7" t="s">
        <v>3009</v>
      </c>
      <c r="E1993" s="13" t="s">
        <v>1657</v>
      </c>
      <c r="F1993" t="str">
        <f t="shared" si="155"/>
        <v>Durham</v>
      </c>
      <c r="G1993" t="str">
        <f t="shared" si="156"/>
        <v>Durham900Houston</v>
      </c>
      <c r="H1993" t="s">
        <v>32851</v>
      </c>
      <c r="I1993" t="s">
        <v>24277</v>
      </c>
      <c r="J1993" t="str">
        <f t="shared" si="157"/>
        <v>E:\PropInv\MF</v>
      </c>
      <c r="K1993" s="103" t="str">
        <f>HYPERLINK("E:\PropInv\MF\Houston\Durham N_900_Colonial_Houston_02446","Durham N_900_Colonial_Houston_02446" )</f>
        <v>Durham N_900_Colonial_Houston_02446</v>
      </c>
      <c r="L1993" s="104" t="s">
        <v>22253</v>
      </c>
      <c r="M1993" s="103" t="str">
        <f t="shared" si="158"/>
        <v>http://oconnordata.com/mlink/modules/profile/index.cfm?action=profile&amp;prop_id=2446</v>
      </c>
      <c r="N1993" s="1" t="str">
        <f t="shared" si="159"/>
        <v>02446</v>
      </c>
    </row>
    <row r="1994" spans="1:14" x14ac:dyDescent="0.3">
      <c r="A1994" s="1">
        <v>2456</v>
      </c>
      <c r="B1994" s="7" t="s">
        <v>3010</v>
      </c>
      <c r="C1994" s="12">
        <v>160</v>
      </c>
      <c r="D1994" s="7" t="s">
        <v>3011</v>
      </c>
      <c r="E1994" s="13" t="s">
        <v>1657</v>
      </c>
      <c r="F1994" t="str">
        <f t="shared" si="155"/>
        <v>Birdsall</v>
      </c>
      <c r="G1994" t="str">
        <f t="shared" si="156"/>
        <v>Birdsall160Houston</v>
      </c>
      <c r="H1994" t="s">
        <v>32852</v>
      </c>
      <c r="I1994" t="s">
        <v>24278</v>
      </c>
      <c r="J1994" t="str">
        <f t="shared" si="157"/>
        <v>E:\PropInv\MF</v>
      </c>
      <c r="K1994" s="103" t="str">
        <f>HYPERLINK("E:\PropInv\MF\Houston\Birdsall_160_57 Off Memorial_Houston_02456","Birdsall_160_57 Off Memorial_Houston_02456" )</f>
        <v>Birdsall_160_57 Off Memorial_Houston_02456</v>
      </c>
      <c r="L1994" s="104" t="s">
        <v>22253</v>
      </c>
      <c r="M1994" s="103" t="str">
        <f t="shared" si="158"/>
        <v>http://oconnordata.com/mlink/modules/profile/index.cfm?action=profile&amp;prop_id=2456</v>
      </c>
      <c r="N1994" s="1" t="str">
        <f t="shared" si="159"/>
        <v>02456</v>
      </c>
    </row>
    <row r="1995" spans="1:14" x14ac:dyDescent="0.3">
      <c r="A1995" s="1">
        <v>2459</v>
      </c>
      <c r="B1995" s="7" t="s">
        <v>3012</v>
      </c>
      <c r="C1995" s="12">
        <v>3133</v>
      </c>
      <c r="D1995" s="7" t="s">
        <v>3013</v>
      </c>
      <c r="E1995" s="13" t="s">
        <v>1657</v>
      </c>
      <c r="F1995" t="str">
        <f t="shared" si="155"/>
        <v>Buffalo</v>
      </c>
      <c r="G1995" t="str">
        <f t="shared" si="156"/>
        <v>Buffalo3133Houston</v>
      </c>
      <c r="H1995" t="s">
        <v>32853</v>
      </c>
      <c r="I1995" t="s">
        <v>24279</v>
      </c>
      <c r="J1995" t="str">
        <f t="shared" si="157"/>
        <v>E:\PropInv\MF</v>
      </c>
      <c r="K1995" s="103" t="str">
        <f>HYPERLINK("E:\PropInv\MF\Houston\Buffalo Spdwy_3133_Inverness_Houston_02459","Buffalo Spdwy_3133_Inverness_Houston_02459" )</f>
        <v>Buffalo Spdwy_3133_Inverness_Houston_02459</v>
      </c>
      <c r="L1995" s="104" t="s">
        <v>22253</v>
      </c>
      <c r="M1995" s="103" t="str">
        <f t="shared" si="158"/>
        <v>http://oconnordata.com/mlink/modules/profile/index.cfm?action=profile&amp;prop_id=2459</v>
      </c>
      <c r="N1995" s="1" t="str">
        <f t="shared" si="159"/>
        <v>02459</v>
      </c>
    </row>
    <row r="1996" spans="1:14" x14ac:dyDescent="0.3">
      <c r="A1996" s="1">
        <v>2460</v>
      </c>
      <c r="B1996" s="7" t="s">
        <v>3012</v>
      </c>
      <c r="C1996" s="12">
        <v>3121</v>
      </c>
      <c r="D1996" s="7" t="s">
        <v>3014</v>
      </c>
      <c r="E1996" s="13" t="s">
        <v>1657</v>
      </c>
      <c r="F1996" t="str">
        <f t="shared" si="155"/>
        <v>Buffalo</v>
      </c>
      <c r="G1996" t="str">
        <f t="shared" si="156"/>
        <v>Buffalo3121Houston</v>
      </c>
      <c r="H1996" t="s">
        <v>32854</v>
      </c>
      <c r="I1996" t="s">
        <v>24280</v>
      </c>
      <c r="J1996" t="str">
        <f t="shared" si="157"/>
        <v>E:\PropInv\MF</v>
      </c>
      <c r="K1996" s="103" t="str">
        <f>HYPERLINK("E:\PropInv\MF\Houston\Buffalo Spdwy_3121_The Park at River Oaks_Houston_02460","Buffalo Spdwy_3121_The Park at River Oaks_Houston_02460" )</f>
        <v>Buffalo Spdwy_3121_The Park at River Oaks_Houston_02460</v>
      </c>
      <c r="L1996" s="104" t="s">
        <v>22253</v>
      </c>
      <c r="M1996" s="103" t="str">
        <f t="shared" si="158"/>
        <v>http://oconnordata.com/mlink/modules/profile/index.cfm?action=profile&amp;prop_id=2460</v>
      </c>
      <c r="N1996" s="1" t="str">
        <f t="shared" si="159"/>
        <v>02460</v>
      </c>
    </row>
    <row r="1997" spans="1:14" x14ac:dyDescent="0.3">
      <c r="A1997" s="1">
        <v>2462</v>
      </c>
      <c r="B1997" s="7" t="s">
        <v>3015</v>
      </c>
      <c r="C1997" s="12">
        <v>4200</v>
      </c>
      <c r="D1997" s="7" t="s">
        <v>3016</v>
      </c>
      <c r="E1997" s="13" t="s">
        <v>1657</v>
      </c>
      <c r="F1997" t="str">
        <f t="shared" si="155"/>
        <v>Scotland</v>
      </c>
      <c r="G1997" t="str">
        <f t="shared" si="156"/>
        <v>Scotland4200Houston</v>
      </c>
      <c r="H1997" t="s">
        <v>32855</v>
      </c>
      <c r="I1997" t="s">
        <v>24281</v>
      </c>
      <c r="J1997" t="str">
        <f t="shared" si="157"/>
        <v>E:\PropInv\MF</v>
      </c>
      <c r="K1997" s="103" t="str">
        <f>HYPERLINK("E:\PropInv\MF\Houston\Scotland_4200_Memorial Hills (Demolished)_Houston_02462","Scotland_4200_Memorial Hills (Demolished)_Houston_02462" )</f>
        <v>Scotland_4200_Memorial Hills (Demolished)_Houston_02462</v>
      </c>
      <c r="L1997" s="104" t="s">
        <v>22253</v>
      </c>
      <c r="M1997" s="103" t="str">
        <f t="shared" si="158"/>
        <v>http://oconnordata.com/mlink/modules/profile/index.cfm?action=profile&amp;prop_id=2462</v>
      </c>
      <c r="N1997" s="1" t="str">
        <f t="shared" si="159"/>
        <v>02462</v>
      </c>
    </row>
    <row r="1998" spans="1:14" x14ac:dyDescent="0.3">
      <c r="A1998" s="1">
        <v>2466</v>
      </c>
      <c r="B1998" s="7" t="s">
        <v>3017</v>
      </c>
      <c r="C1998" s="12">
        <v>777</v>
      </c>
      <c r="D1998" s="7" t="s">
        <v>3018</v>
      </c>
      <c r="E1998" s="13" t="s">
        <v>1657</v>
      </c>
      <c r="F1998" t="str">
        <f t="shared" si="155"/>
        <v>Dunlavy</v>
      </c>
      <c r="G1998" t="str">
        <f t="shared" si="156"/>
        <v>Dunlavy777Houston</v>
      </c>
      <c r="H1998" t="s">
        <v>32856</v>
      </c>
      <c r="I1998" t="s">
        <v>24282</v>
      </c>
      <c r="J1998" t="str">
        <f t="shared" si="157"/>
        <v>E:\PropInv\MF</v>
      </c>
      <c r="K1998" s="103" t="str">
        <f>HYPERLINK("E:\PropInv\MF\Houston\Dunlavy_777_The Villas at River Oaks_Houston_02466","Dunlavy_777_The Villas at River Oaks_Houston_02466" )</f>
        <v>Dunlavy_777_The Villas at River Oaks_Houston_02466</v>
      </c>
      <c r="L1998" s="104" t="s">
        <v>22253</v>
      </c>
      <c r="M1998" s="103" t="str">
        <f t="shared" si="158"/>
        <v>http://oconnordata.com/mlink/modules/profile/index.cfm?action=profile&amp;prop_id=2466</v>
      </c>
      <c r="N1998" s="1" t="str">
        <f t="shared" si="159"/>
        <v>02466</v>
      </c>
    </row>
    <row r="1999" spans="1:14" x14ac:dyDescent="0.3">
      <c r="A1999" s="1">
        <v>2467</v>
      </c>
      <c r="B1999" s="7" t="s">
        <v>3019</v>
      </c>
      <c r="C1999" s="12">
        <v>3433</v>
      </c>
      <c r="D1999" s="7" t="s">
        <v>3020</v>
      </c>
      <c r="E1999" s="13" t="s">
        <v>1657</v>
      </c>
      <c r="F1999" t="str">
        <f t="shared" si="155"/>
        <v>Dallas</v>
      </c>
      <c r="G1999" t="str">
        <f t="shared" si="156"/>
        <v>Dallas3433Houston</v>
      </c>
      <c r="H1999" t="s">
        <v>32857</v>
      </c>
      <c r="I1999" t="s">
        <v>24283</v>
      </c>
      <c r="J1999" t="str">
        <f t="shared" si="157"/>
        <v>E:\PropInv\MF</v>
      </c>
      <c r="K1999" s="103" t="str">
        <f>HYPERLINK("E:\PropInv\MF\Houston\Dallas W_3433_Allen House_Houston_02467","Dallas W_3433_Allen House_Houston_02467" )</f>
        <v>Dallas W_3433_Allen House_Houston_02467</v>
      </c>
      <c r="L1999" s="104" t="s">
        <v>22253</v>
      </c>
      <c r="M1999" s="103" t="str">
        <f t="shared" si="158"/>
        <v>http://oconnordata.com/mlink/modules/profile/index.cfm?action=profile&amp;prop_id=2467</v>
      </c>
      <c r="N1999" s="1" t="str">
        <f t="shared" si="159"/>
        <v>02467</v>
      </c>
    </row>
    <row r="2000" spans="1:14" x14ac:dyDescent="0.3">
      <c r="A2000" s="1">
        <v>2469</v>
      </c>
      <c r="B2000" s="10" t="s">
        <v>2615</v>
      </c>
      <c r="C2000" s="9">
        <v>5400</v>
      </c>
      <c r="D2000" s="10" t="s">
        <v>3021</v>
      </c>
      <c r="E2000" s="11" t="s">
        <v>1657</v>
      </c>
      <c r="F2000" t="str">
        <f t="shared" si="155"/>
        <v>Memorial</v>
      </c>
      <c r="G2000" t="str">
        <f t="shared" si="156"/>
        <v>Memorial5400Houston</v>
      </c>
      <c r="H2000" t="s">
        <v>32858</v>
      </c>
      <c r="I2000" t="s">
        <v>24284</v>
      </c>
      <c r="J2000" t="str">
        <f t="shared" si="157"/>
        <v>E:\PropInv\MF</v>
      </c>
      <c r="K2000" s="103" t="str">
        <f>HYPERLINK("E:\PropInv\MF\Houston\Memorial_5400_Memorial Towers_Houston_02469","Memorial_5400_Memorial Towers_Houston_02469" )</f>
        <v>Memorial_5400_Memorial Towers_Houston_02469</v>
      </c>
      <c r="L2000" s="104" t="s">
        <v>22253</v>
      </c>
      <c r="M2000" s="103" t="str">
        <f t="shared" si="158"/>
        <v>http://oconnordata.com/mlink/modules/profile/index.cfm?action=profile&amp;prop_id=2469</v>
      </c>
      <c r="N2000" s="1" t="str">
        <f t="shared" si="159"/>
        <v>02469</v>
      </c>
    </row>
    <row r="2001" spans="1:14" x14ac:dyDescent="0.3">
      <c r="A2001" s="1">
        <v>2470</v>
      </c>
      <c r="B2001" s="7" t="s">
        <v>2568</v>
      </c>
      <c r="C2001" s="12">
        <v>4400</v>
      </c>
      <c r="D2001" s="7" t="s">
        <v>3022</v>
      </c>
      <c r="E2001" s="13" t="s">
        <v>1657</v>
      </c>
      <c r="F2001" t="str">
        <f t="shared" si="155"/>
        <v>Memorial</v>
      </c>
      <c r="G2001" t="str">
        <f t="shared" si="156"/>
        <v>Memorial4400Houston</v>
      </c>
      <c r="H2001" t="s">
        <v>32859</v>
      </c>
      <c r="I2001" t="s">
        <v>24285</v>
      </c>
      <c r="J2001" t="str">
        <f t="shared" si="157"/>
        <v>E:\PropInv\MF</v>
      </c>
      <c r="K2001" s="103" t="str">
        <f>HYPERLINK("E:\PropInv\MF\Houston\Memorial Dr_4400_Bayou Park Village_Houston_02470","Memorial Dr_4400_Bayou Park Village_Houston_02470" )</f>
        <v>Memorial Dr_4400_Bayou Park Village_Houston_02470</v>
      </c>
      <c r="L2001" s="104" t="s">
        <v>22253</v>
      </c>
      <c r="M2001" s="103" t="str">
        <f t="shared" si="158"/>
        <v>http://oconnordata.com/mlink/modules/profile/index.cfm?action=profile&amp;prop_id=2470</v>
      </c>
      <c r="N2001" s="1" t="str">
        <f t="shared" si="159"/>
        <v>02470</v>
      </c>
    </row>
    <row r="2002" spans="1:14" x14ac:dyDescent="0.3">
      <c r="A2002" s="1">
        <v>2471</v>
      </c>
      <c r="B2002" s="7" t="s">
        <v>2568</v>
      </c>
      <c r="C2002" s="12">
        <v>5353</v>
      </c>
      <c r="D2002" s="7" t="s">
        <v>3023</v>
      </c>
      <c r="E2002" s="13" t="s">
        <v>1657</v>
      </c>
      <c r="F2002" t="str">
        <f t="shared" si="155"/>
        <v>Memorial</v>
      </c>
      <c r="G2002" t="str">
        <f t="shared" si="156"/>
        <v>Memorial5353Houston</v>
      </c>
      <c r="H2002" t="s">
        <v>32860</v>
      </c>
      <c r="I2002" t="s">
        <v>24286</v>
      </c>
      <c r="J2002" t="str">
        <f t="shared" si="157"/>
        <v>E:\PropInv\MF</v>
      </c>
      <c r="K2002" s="103" t="str">
        <f>HYPERLINK("E:\PropInv\MF\Houston\Memorial Dr_5353_The Left Bank River Oaks_Houston_02471","Memorial Dr_5353_The Left Bank River Oaks_Houston_02471" )</f>
        <v>Memorial Dr_5353_The Left Bank River Oaks_Houston_02471</v>
      </c>
      <c r="L2002" s="104" t="s">
        <v>22253</v>
      </c>
      <c r="M2002" s="103" t="str">
        <f t="shared" si="158"/>
        <v>http://oconnordata.com/mlink/modules/profile/index.cfm?action=profile&amp;prop_id=2471</v>
      </c>
      <c r="N2002" s="1" t="str">
        <f t="shared" si="159"/>
        <v>02471</v>
      </c>
    </row>
    <row r="2003" spans="1:14" x14ac:dyDescent="0.3">
      <c r="A2003" s="1">
        <v>2477</v>
      </c>
      <c r="B2003" s="7" t="s">
        <v>3024</v>
      </c>
      <c r="C2003" s="12">
        <v>3919</v>
      </c>
      <c r="D2003" s="7" t="s">
        <v>3025</v>
      </c>
      <c r="E2003" s="13" t="s">
        <v>1657</v>
      </c>
      <c r="F2003" t="str">
        <f t="shared" si="155"/>
        <v>Essex</v>
      </c>
      <c r="G2003" t="str">
        <f t="shared" si="156"/>
        <v>Essex3919Houston</v>
      </c>
      <c r="H2003" t="s">
        <v>32861</v>
      </c>
      <c r="I2003" t="s">
        <v>24287</v>
      </c>
      <c r="J2003" t="str">
        <f t="shared" si="157"/>
        <v>E:\PropInv\MF</v>
      </c>
      <c r="K2003" s="103" t="str">
        <f>HYPERLINK("E:\PropInv\MF\Houston\Essex Ln_3919_The Essex House_Houston_02477","Essex Ln_3919_The Essex House_Houston_02477" )</f>
        <v>Essex Ln_3919_The Essex House_Houston_02477</v>
      </c>
      <c r="L2003" s="104" t="s">
        <v>22253</v>
      </c>
      <c r="M2003" s="103" t="str">
        <f t="shared" si="158"/>
        <v>http://oconnordata.com/mlink/modules/profile/index.cfm?action=profile&amp;prop_id=2477</v>
      </c>
      <c r="N2003" s="1" t="str">
        <f t="shared" si="159"/>
        <v>02477</v>
      </c>
    </row>
    <row r="2004" spans="1:14" x14ac:dyDescent="0.3">
      <c r="A2004" s="1">
        <v>2478</v>
      </c>
      <c r="B2004" s="7" t="s">
        <v>3026</v>
      </c>
      <c r="C2004" s="12">
        <v>1920</v>
      </c>
      <c r="D2004" s="7" t="s">
        <v>3027</v>
      </c>
      <c r="E2004" s="13" t="s">
        <v>1657</v>
      </c>
      <c r="F2004" t="str">
        <f t="shared" si="155"/>
        <v>Gray</v>
      </c>
      <c r="G2004" t="str">
        <f t="shared" si="156"/>
        <v>Gray1920Houston</v>
      </c>
      <c r="H2004" t="s">
        <v>32862</v>
      </c>
      <c r="I2004" t="s">
        <v>24288</v>
      </c>
      <c r="J2004" t="str">
        <f t="shared" si="157"/>
        <v>E:\PropInv\MF</v>
      </c>
      <c r="K2004" s="103" t="str">
        <f>HYPERLINK("E:\PropInv\MF\Houston\Gray W_1920_The Plaza at River Oaks_Houston_02478","Gray W_1920_The Plaza at River Oaks_Houston_02478" )</f>
        <v>Gray W_1920_The Plaza at River Oaks_Houston_02478</v>
      </c>
      <c r="L2004" s="104" t="s">
        <v>22253</v>
      </c>
      <c r="M2004" s="103" t="str">
        <f t="shared" si="158"/>
        <v>http://oconnordata.com/mlink/modules/profile/index.cfm?action=profile&amp;prop_id=2478</v>
      </c>
      <c r="N2004" s="1" t="str">
        <f t="shared" si="159"/>
        <v>02478</v>
      </c>
    </row>
    <row r="2005" spans="1:14" x14ac:dyDescent="0.3">
      <c r="A2005" s="1">
        <v>2479</v>
      </c>
      <c r="B2005" s="7" t="s">
        <v>2932</v>
      </c>
      <c r="C2005" s="12">
        <v>3805</v>
      </c>
      <c r="D2005" s="7" t="s">
        <v>3028</v>
      </c>
      <c r="E2005" s="13" t="s">
        <v>1657</v>
      </c>
      <c r="F2005" t="str">
        <f t="shared" si="155"/>
        <v>Alabama</v>
      </c>
      <c r="G2005" t="str">
        <f t="shared" si="156"/>
        <v>Alabama3805Houston</v>
      </c>
      <c r="H2005" t="s">
        <v>32863</v>
      </c>
      <c r="I2005" t="s">
        <v>24289</v>
      </c>
      <c r="J2005" t="str">
        <f t="shared" si="157"/>
        <v>E:\PropInv\MF</v>
      </c>
      <c r="K2005" s="103" t="str">
        <f>HYPERLINK("E:\PropInv\MF\Houston\Alabama W_3805_The Carlton_Houston_02479","Alabama W_3805_The Carlton_Houston_02479" )</f>
        <v>Alabama W_3805_The Carlton_Houston_02479</v>
      </c>
      <c r="L2005" s="104" t="s">
        <v>22253</v>
      </c>
      <c r="M2005" s="103" t="str">
        <f t="shared" si="158"/>
        <v>http://oconnordata.com/mlink/modules/profile/index.cfm?action=profile&amp;prop_id=2479</v>
      </c>
      <c r="N2005" s="1" t="str">
        <f t="shared" si="159"/>
        <v>02479</v>
      </c>
    </row>
    <row r="2006" spans="1:14" x14ac:dyDescent="0.3">
      <c r="A2006" s="1">
        <v>2480</v>
      </c>
      <c r="B2006" s="7" t="s">
        <v>2932</v>
      </c>
      <c r="C2006" s="12">
        <v>3720</v>
      </c>
      <c r="D2006" s="7" t="s">
        <v>3029</v>
      </c>
      <c r="E2006" s="13" t="s">
        <v>1657</v>
      </c>
      <c r="F2006" t="str">
        <f t="shared" si="155"/>
        <v>Alabama</v>
      </c>
      <c r="G2006" t="str">
        <f t="shared" si="156"/>
        <v>Alabama3720Houston</v>
      </c>
      <c r="H2006" t="s">
        <v>32864</v>
      </c>
      <c r="I2006" t="s">
        <v>24290</v>
      </c>
      <c r="J2006" t="str">
        <f t="shared" si="157"/>
        <v>E:\PropInv\MF</v>
      </c>
      <c r="K2006" s="103" t="str">
        <f>HYPERLINK("E:\PropInv\MF\Houston\Alabama W_3720_Gables Cityscape_Houston_02480","Alabama W_3720_Gables Cityscape_Houston_02480" )</f>
        <v>Alabama W_3720_Gables Cityscape_Houston_02480</v>
      </c>
      <c r="L2006" s="104" t="s">
        <v>22253</v>
      </c>
      <c r="M2006" s="103" t="str">
        <f t="shared" si="158"/>
        <v>http://oconnordata.com/mlink/modules/profile/index.cfm?action=profile&amp;prop_id=2480</v>
      </c>
      <c r="N2006" s="1" t="str">
        <f t="shared" si="159"/>
        <v>02480</v>
      </c>
    </row>
    <row r="2007" spans="1:14" x14ac:dyDescent="0.3">
      <c r="A2007" s="1">
        <v>2483</v>
      </c>
      <c r="B2007" s="7" t="s">
        <v>5</v>
      </c>
      <c r="C2007" s="12">
        <v>3435</v>
      </c>
      <c r="D2007" s="7" t="s">
        <v>3030</v>
      </c>
      <c r="E2007" s="13" t="s">
        <v>1657</v>
      </c>
      <c r="F2007" t="str">
        <f t="shared" si="155"/>
        <v>Westheimer</v>
      </c>
      <c r="G2007" t="str">
        <f t="shared" si="156"/>
        <v>Westheimer3435Houston</v>
      </c>
      <c r="H2007" t="s">
        <v>32865</v>
      </c>
      <c r="I2007" t="s">
        <v>24291</v>
      </c>
      <c r="J2007" t="str">
        <f t="shared" si="157"/>
        <v>E:\PropInv\MF</v>
      </c>
      <c r="K2007" s="103" t="str">
        <f>HYPERLINK("E:\PropInv\MF\Houston\Westheimer_3435_The River Oaks_Houston_02483","Westheimer_3435_The River Oaks_Houston_02483" )</f>
        <v>Westheimer_3435_The River Oaks_Houston_02483</v>
      </c>
      <c r="L2007" s="104" t="s">
        <v>22253</v>
      </c>
      <c r="M2007" s="103" t="str">
        <f t="shared" si="158"/>
        <v>http://oconnordata.com/mlink/modules/profile/index.cfm?action=profile&amp;prop_id=2483</v>
      </c>
      <c r="N2007" s="1" t="str">
        <f t="shared" si="159"/>
        <v>02483</v>
      </c>
    </row>
    <row r="2008" spans="1:14" x14ac:dyDescent="0.3">
      <c r="A2008" s="1">
        <v>2485</v>
      </c>
      <c r="B2008" s="7" t="s">
        <v>3031</v>
      </c>
      <c r="C2008" s="12">
        <v>2828</v>
      </c>
      <c r="D2008" s="7" t="s">
        <v>3032</v>
      </c>
      <c r="E2008" s="13" t="s">
        <v>1657</v>
      </c>
      <c r="F2008" t="str">
        <f t="shared" si="155"/>
        <v>Bammel</v>
      </c>
      <c r="G2008" t="str">
        <f t="shared" si="156"/>
        <v>Bammel2828Houston</v>
      </c>
      <c r="H2008" t="s">
        <v>32866</v>
      </c>
      <c r="I2008" t="s">
        <v>24292</v>
      </c>
      <c r="J2008" t="str">
        <f t="shared" si="157"/>
        <v>E:\PropInv\MF</v>
      </c>
      <c r="K2008" s="103" t="str">
        <f>HYPERLINK("E:\PropInv\MF\Houston\Bammel Ln_2828_Cabochon at River Oaks_Houston_02485","Bammel Ln_2828_Cabochon at River Oaks_Houston_02485" )</f>
        <v>Bammel Ln_2828_Cabochon at River Oaks_Houston_02485</v>
      </c>
      <c r="L2008" s="104" t="s">
        <v>22253</v>
      </c>
      <c r="M2008" s="103" t="str">
        <f t="shared" si="158"/>
        <v>http://oconnordata.com/mlink/modules/profile/index.cfm?action=profile&amp;prop_id=2485</v>
      </c>
      <c r="N2008" s="1" t="str">
        <f t="shared" si="159"/>
        <v>02485</v>
      </c>
    </row>
    <row r="2009" spans="1:14" x14ac:dyDescent="0.3">
      <c r="A2009" s="1">
        <v>2487</v>
      </c>
      <c r="B2009" s="7" t="s">
        <v>3033</v>
      </c>
      <c r="C2009" s="12">
        <v>3131</v>
      </c>
      <c r="D2009" s="7" t="s">
        <v>3034</v>
      </c>
      <c r="E2009" s="13" t="s">
        <v>1657</v>
      </c>
      <c r="F2009" t="str">
        <f t="shared" si="155"/>
        <v>Timmons</v>
      </c>
      <c r="G2009" t="str">
        <f t="shared" si="156"/>
        <v>Timmons3131Houston</v>
      </c>
      <c r="H2009" t="s">
        <v>32867</v>
      </c>
      <c r="I2009" t="s">
        <v>24293</v>
      </c>
      <c r="J2009" t="str">
        <f t="shared" si="157"/>
        <v>E:\PropInv\MF</v>
      </c>
      <c r="K2009" s="103" t="str">
        <f>HYPERLINK("E:\PropInv\MF\Houston\Timmons_3131_Greenway Gardens_Houston_02487","Timmons_3131_Greenway Gardens_Houston_02487" )</f>
        <v>Timmons_3131_Greenway Gardens_Houston_02487</v>
      </c>
      <c r="L2009" s="104" t="s">
        <v>22253</v>
      </c>
      <c r="M2009" s="103" t="str">
        <f t="shared" si="158"/>
        <v>http://oconnordata.com/mlink/modules/profile/index.cfm?action=profile&amp;prop_id=2487</v>
      </c>
      <c r="N2009" s="1" t="str">
        <f t="shared" si="159"/>
        <v>02487</v>
      </c>
    </row>
    <row r="2010" spans="1:14" x14ac:dyDescent="0.3">
      <c r="A2010" s="1">
        <v>2490</v>
      </c>
      <c r="B2010" s="7" t="s">
        <v>3024</v>
      </c>
      <c r="C2010" s="12">
        <v>4000</v>
      </c>
      <c r="D2010" s="7" t="s">
        <v>3035</v>
      </c>
      <c r="E2010" s="13" t="s">
        <v>1657</v>
      </c>
      <c r="F2010" t="str">
        <f t="shared" si="155"/>
        <v>Essex</v>
      </c>
      <c r="G2010" t="str">
        <f t="shared" si="156"/>
        <v>Essex4000Houston</v>
      </c>
      <c r="H2010" t="s">
        <v>32868</v>
      </c>
      <c r="I2010" t="s">
        <v>24294</v>
      </c>
      <c r="J2010" t="str">
        <f t="shared" si="157"/>
        <v>E:\PropInv\MF</v>
      </c>
      <c r="K2010" s="103" t="str">
        <f>HYPERLINK("E:\PropInv\MF\Houston\Essex Ln_4000_The Gael_Houston_02490","Essex Ln_4000_The Gael_Houston_02490" )</f>
        <v>Essex Ln_4000_The Gael_Houston_02490</v>
      </c>
      <c r="L2010" s="104" t="s">
        <v>22253</v>
      </c>
      <c r="M2010" s="103" t="str">
        <f t="shared" si="158"/>
        <v>http://oconnordata.com/mlink/modules/profile/index.cfm?action=profile&amp;prop_id=2490</v>
      </c>
      <c r="N2010" s="1" t="str">
        <f t="shared" si="159"/>
        <v>02490</v>
      </c>
    </row>
    <row r="2011" spans="1:14" x14ac:dyDescent="0.3">
      <c r="A2011" s="1">
        <v>2491</v>
      </c>
      <c r="B2011" s="7" t="s">
        <v>333</v>
      </c>
      <c r="C2011" s="12">
        <v>3237</v>
      </c>
      <c r="D2011" s="7" t="s">
        <v>3036</v>
      </c>
      <c r="E2011" s="13" t="s">
        <v>1657</v>
      </c>
      <c r="F2011" t="str">
        <f t="shared" si="155"/>
        <v>Las</v>
      </c>
      <c r="G2011" t="str">
        <f t="shared" si="156"/>
        <v>Las3237Houston</v>
      </c>
      <c r="H2011" t="s">
        <v>32869</v>
      </c>
      <c r="I2011" t="s">
        <v>24295</v>
      </c>
      <c r="J2011" t="str">
        <f t="shared" si="157"/>
        <v>E:\PropInv\MF</v>
      </c>
      <c r="K2011" s="103" t="str">
        <f>HYPERLINK("E:\PropInv\MF\Houston\Las Palmas_3237_Willowick Court TH (TBD)_Houston_02491","Las Palmas_3237_Willowick Court TH (TBD)_Houston_02491" )</f>
        <v>Las Palmas_3237_Willowick Court TH (TBD)_Houston_02491</v>
      </c>
      <c r="L2011" s="104" t="s">
        <v>22253</v>
      </c>
      <c r="M2011" s="103" t="str">
        <f t="shared" si="158"/>
        <v>http://oconnordata.com/mlink/modules/profile/index.cfm?action=profile&amp;prop_id=2491</v>
      </c>
      <c r="N2011" s="1" t="str">
        <f t="shared" si="159"/>
        <v>02491</v>
      </c>
    </row>
    <row r="2012" spans="1:14" x14ac:dyDescent="0.3">
      <c r="A2012" s="1">
        <v>2495</v>
      </c>
      <c r="B2012" s="7" t="s">
        <v>3037</v>
      </c>
      <c r="C2012" s="12">
        <v>2511</v>
      </c>
      <c r="D2012" s="7" t="s">
        <v>3038</v>
      </c>
      <c r="E2012" s="13" t="s">
        <v>1657</v>
      </c>
      <c r="F2012" t="str">
        <f t="shared" si="155"/>
        <v>Willowick</v>
      </c>
      <c r="G2012" t="str">
        <f t="shared" si="156"/>
        <v>Willowick2511Houston</v>
      </c>
      <c r="H2012" t="s">
        <v>32870</v>
      </c>
      <c r="I2012" t="s">
        <v>24296</v>
      </c>
      <c r="J2012" t="str">
        <f t="shared" si="157"/>
        <v>E:\PropInv\MF</v>
      </c>
      <c r="K2012" s="103" t="str">
        <f>HYPERLINK("E:\PropInv\MF\Houston\Willowick_2511_Georgian_Houston_02495","Willowick_2511_Georgian_Houston_02495" )</f>
        <v>Willowick_2511_Georgian_Houston_02495</v>
      </c>
      <c r="L2012" s="104" t="s">
        <v>22253</v>
      </c>
      <c r="M2012" s="103" t="str">
        <f t="shared" si="158"/>
        <v>http://oconnordata.com/mlink/modules/profile/index.cfm?action=profile&amp;prop_id=2495</v>
      </c>
      <c r="N2012" s="1" t="str">
        <f t="shared" si="159"/>
        <v>02495</v>
      </c>
    </row>
    <row r="2013" spans="1:14" x14ac:dyDescent="0.3">
      <c r="A2013" s="1">
        <v>2498</v>
      </c>
      <c r="B2013" s="7" t="s">
        <v>3039</v>
      </c>
      <c r="C2013" s="12">
        <v>2810</v>
      </c>
      <c r="D2013" s="7" t="s">
        <v>3039</v>
      </c>
      <c r="E2013" s="13" t="s">
        <v>1657</v>
      </c>
      <c r="F2013" t="str">
        <f t="shared" si="155"/>
        <v>McDuffie</v>
      </c>
      <c r="G2013" t="str">
        <f t="shared" si="156"/>
        <v>McDuffie2810Houston</v>
      </c>
      <c r="H2013" t="s">
        <v>32871</v>
      </c>
      <c r="I2013" t="s">
        <v>24297</v>
      </c>
      <c r="J2013" t="str">
        <f t="shared" si="157"/>
        <v>E:\PropInv\MF</v>
      </c>
      <c r="K2013" s="103" t="str">
        <f>HYPERLINK("E:\PropInv\MF\Houston\McDuffie_2810_McDuffie_Houston_02498","McDuffie_2810_McDuffie_Houston_02498" )</f>
        <v>McDuffie_2810_McDuffie_Houston_02498</v>
      </c>
      <c r="L2013" s="104" t="s">
        <v>22253</v>
      </c>
      <c r="M2013" s="103" t="str">
        <f t="shared" si="158"/>
        <v>http://oconnordata.com/mlink/modules/profile/index.cfm?action=profile&amp;prop_id=2498</v>
      </c>
      <c r="N2013" s="1" t="str">
        <f t="shared" si="159"/>
        <v>02498</v>
      </c>
    </row>
    <row r="2014" spans="1:14" x14ac:dyDescent="0.3">
      <c r="A2014" s="1">
        <v>2508</v>
      </c>
      <c r="B2014" s="7" t="s">
        <v>5</v>
      </c>
      <c r="C2014" s="12">
        <v>2001</v>
      </c>
      <c r="D2014" s="7" t="s">
        <v>3040</v>
      </c>
      <c r="E2014" s="13" t="s">
        <v>1657</v>
      </c>
      <c r="F2014" t="str">
        <f t="shared" si="155"/>
        <v>Westheimer</v>
      </c>
      <c r="G2014" t="str">
        <f t="shared" si="156"/>
        <v>Westheimer2001Houston</v>
      </c>
      <c r="H2014" t="s">
        <v>32872</v>
      </c>
      <c r="I2014" t="s">
        <v>24298</v>
      </c>
      <c r="J2014" t="str">
        <f t="shared" si="157"/>
        <v>E:\PropInv\MF</v>
      </c>
      <c r="K2014" s="103" t="str">
        <f>HYPERLINK("E:\PropInv\MF\Houston\Westheimer_2001_Westheimer Square_Houston_02508","Westheimer_2001_Westheimer Square_Houston_02508" )</f>
        <v>Westheimer_2001_Westheimer Square_Houston_02508</v>
      </c>
      <c r="L2014" s="104" t="s">
        <v>22253</v>
      </c>
      <c r="M2014" s="103" t="str">
        <f t="shared" si="158"/>
        <v>http://oconnordata.com/mlink/modules/profile/index.cfm?action=profile&amp;prop_id=2508</v>
      </c>
      <c r="N2014" s="1" t="str">
        <f t="shared" si="159"/>
        <v>02508</v>
      </c>
    </row>
    <row r="2015" spans="1:14" x14ac:dyDescent="0.3">
      <c r="A2015" s="1">
        <v>2509</v>
      </c>
      <c r="B2015" s="7" t="s">
        <v>5</v>
      </c>
      <c r="C2015" s="12">
        <v>2400</v>
      </c>
      <c r="D2015" s="7" t="s">
        <v>3041</v>
      </c>
      <c r="E2015" s="13" t="s">
        <v>1657</v>
      </c>
      <c r="F2015" t="str">
        <f t="shared" si="155"/>
        <v>Westheimer</v>
      </c>
      <c r="G2015" t="str">
        <f t="shared" si="156"/>
        <v>Westheimer2400Houston</v>
      </c>
      <c r="H2015" t="s">
        <v>32873</v>
      </c>
      <c r="I2015" t="s">
        <v>24299</v>
      </c>
      <c r="J2015" t="str">
        <f t="shared" si="157"/>
        <v>E:\PropInv\MF</v>
      </c>
      <c r="K2015" s="103" t="str">
        <f>HYPERLINK("E:\PropInv\MF\Houston\Westheimer_2400_Avalon Square_Houston_02509","Westheimer_2400_Avalon Square_Houston_02509" )</f>
        <v>Westheimer_2400_Avalon Square_Houston_02509</v>
      </c>
      <c r="L2015" s="104" t="s">
        <v>22253</v>
      </c>
      <c r="M2015" s="103" t="str">
        <f t="shared" si="158"/>
        <v>http://oconnordata.com/mlink/modules/profile/index.cfm?action=profile&amp;prop_id=2509</v>
      </c>
      <c r="N2015" s="1" t="str">
        <f t="shared" si="159"/>
        <v>02509</v>
      </c>
    </row>
    <row r="2016" spans="1:14" x14ac:dyDescent="0.3">
      <c r="A2016" s="1">
        <v>2512</v>
      </c>
      <c r="B2016" s="7" t="s">
        <v>3042</v>
      </c>
      <c r="C2016" s="12">
        <v>3333</v>
      </c>
      <c r="D2016" s="7" t="s">
        <v>3043</v>
      </c>
      <c r="E2016" s="13" t="s">
        <v>1657</v>
      </c>
      <c r="F2016" t="str">
        <f t="shared" si="155"/>
        <v>Cummins</v>
      </c>
      <c r="G2016" t="str">
        <f t="shared" si="156"/>
        <v>Cummins3333Houston</v>
      </c>
      <c r="H2016" t="s">
        <v>32874</v>
      </c>
      <c r="I2016" t="s">
        <v>24300</v>
      </c>
      <c r="J2016" t="str">
        <f t="shared" si="157"/>
        <v>E:\PropInv\MF</v>
      </c>
      <c r="K2016" s="103" t="str">
        <f>HYPERLINK("E:\PropInv\MF\Houston\Cummins St_3333_The Place at Greenway_Houston_02512","Cummins St_3333_The Place at Greenway_Houston_02512" )</f>
        <v>Cummins St_3333_The Place at Greenway_Houston_02512</v>
      </c>
      <c r="L2016" s="104" t="s">
        <v>22253</v>
      </c>
      <c r="M2016" s="103" t="str">
        <f t="shared" si="158"/>
        <v>http://oconnordata.com/mlink/modules/profile/index.cfm?action=profile&amp;prop_id=2512</v>
      </c>
      <c r="N2016" s="1" t="str">
        <f t="shared" si="159"/>
        <v>02512</v>
      </c>
    </row>
    <row r="2017" spans="1:14" x14ac:dyDescent="0.3">
      <c r="A2017" s="1">
        <v>2513</v>
      </c>
      <c r="B2017" s="7" t="s">
        <v>3044</v>
      </c>
      <c r="C2017" s="12">
        <v>3411</v>
      </c>
      <c r="D2017" s="7" t="s">
        <v>3045</v>
      </c>
      <c r="E2017" s="13" t="s">
        <v>1657</v>
      </c>
      <c r="F2017" t="str">
        <f t="shared" si="155"/>
        <v>Cummins</v>
      </c>
      <c r="G2017" t="str">
        <f t="shared" si="156"/>
        <v>Cummins3411Houston</v>
      </c>
      <c r="H2017" t="s">
        <v>32875</v>
      </c>
      <c r="I2017" t="s">
        <v>24301</v>
      </c>
      <c r="J2017" t="str">
        <f t="shared" si="157"/>
        <v>E:\PropInv\MF</v>
      </c>
      <c r="K2017" s="103" t="str">
        <f>HYPERLINK("E:\PropInv\MF\Houston\Cummins_3411_Greenway Court_Houston_02513","Cummins_3411_Greenway Court_Houston_02513" )</f>
        <v>Cummins_3411_Greenway Court_Houston_02513</v>
      </c>
      <c r="L2017" s="104" t="s">
        <v>22253</v>
      </c>
      <c r="M2017" s="103" t="str">
        <f t="shared" si="158"/>
        <v>http://oconnordata.com/mlink/modules/profile/index.cfm?action=profile&amp;prop_id=2513</v>
      </c>
      <c r="N2017" s="1" t="str">
        <f t="shared" si="159"/>
        <v>02513</v>
      </c>
    </row>
    <row r="2018" spans="1:14" x14ac:dyDescent="0.3">
      <c r="A2018" s="1">
        <v>2516</v>
      </c>
      <c r="B2018" s="19" t="s">
        <v>1080</v>
      </c>
      <c r="C2018" s="18">
        <v>2611</v>
      </c>
      <c r="D2018" s="19" t="s">
        <v>3046</v>
      </c>
      <c r="E2018" s="20" t="s">
        <v>1657</v>
      </c>
      <c r="F2018" t="str">
        <f t="shared" si="155"/>
        <v>Greenbriar</v>
      </c>
      <c r="G2018" t="str">
        <f t="shared" si="156"/>
        <v>Greenbriar2611Houston</v>
      </c>
      <c r="H2018" t="s">
        <v>32876</v>
      </c>
      <c r="I2018" t="s">
        <v>24302</v>
      </c>
      <c r="J2018" t="str">
        <f t="shared" si="157"/>
        <v>E:\PropInv\MF</v>
      </c>
      <c r="K2018" s="103" t="str">
        <f>HYPERLINK("E:\PropInv\MF\Houston\Greenbriar_2611_Court of St Anne_Houston_02516","Greenbriar_2611_Court of St Anne_Houston_02516" )</f>
        <v>Greenbriar_2611_Court of St Anne_Houston_02516</v>
      </c>
      <c r="L2018" s="104" t="s">
        <v>22253</v>
      </c>
      <c r="M2018" s="103" t="str">
        <f t="shared" si="158"/>
        <v>http://oconnordata.com/mlink/modules/profile/index.cfm?action=profile&amp;prop_id=2516</v>
      </c>
      <c r="N2018" s="1" t="str">
        <f t="shared" si="159"/>
        <v>02516</v>
      </c>
    </row>
    <row r="2019" spans="1:14" x14ac:dyDescent="0.3">
      <c r="A2019" s="1">
        <v>2518</v>
      </c>
      <c r="B2019" s="7" t="s">
        <v>2932</v>
      </c>
      <c r="C2019" s="12">
        <v>2300</v>
      </c>
      <c r="D2019" s="7" t="s">
        <v>3047</v>
      </c>
      <c r="E2019" s="13" t="s">
        <v>1657</v>
      </c>
      <c r="F2019" t="str">
        <f t="shared" si="155"/>
        <v>Alabama</v>
      </c>
      <c r="G2019" t="str">
        <f t="shared" si="156"/>
        <v>Alabama2300Houston</v>
      </c>
      <c r="H2019" t="s">
        <v>32877</v>
      </c>
      <c r="I2019" t="s">
        <v>24303</v>
      </c>
      <c r="J2019" t="str">
        <f t="shared" si="157"/>
        <v>E:\PropInv\MF</v>
      </c>
      <c r="K2019" s="103" t="str">
        <f>HYPERLINK("E:\PropInv\MF\Houston\Alabama W_2300_Gables Waterford Square_Houston_02518","Alabama W_2300_Gables Waterford Square_Houston_02518" )</f>
        <v>Alabama W_2300_Gables Waterford Square_Houston_02518</v>
      </c>
      <c r="L2019" s="104" t="s">
        <v>22253</v>
      </c>
      <c r="M2019" s="103" t="str">
        <f t="shared" si="158"/>
        <v>http://oconnordata.com/mlink/modules/profile/index.cfm?action=profile&amp;prop_id=2518</v>
      </c>
      <c r="N2019" s="1" t="str">
        <f t="shared" si="159"/>
        <v>02518</v>
      </c>
    </row>
    <row r="2020" spans="1:14" x14ac:dyDescent="0.3">
      <c r="A2020" s="1">
        <v>2519</v>
      </c>
      <c r="B2020" s="7" t="s">
        <v>3048</v>
      </c>
      <c r="C2020" s="12">
        <v>2322</v>
      </c>
      <c r="D2020" s="7" t="s">
        <v>3049</v>
      </c>
      <c r="E2020" s="13" t="s">
        <v>1657</v>
      </c>
      <c r="F2020" t="str">
        <f t="shared" si="155"/>
        <v>Branard</v>
      </c>
      <c r="G2020" t="str">
        <f t="shared" si="156"/>
        <v>Branard2322Houston</v>
      </c>
      <c r="H2020" t="s">
        <v>32878</v>
      </c>
      <c r="I2020" t="s">
        <v>24304</v>
      </c>
      <c r="J2020" t="str">
        <f t="shared" si="157"/>
        <v>E:\PropInv\MF</v>
      </c>
      <c r="K2020" s="103" t="str">
        <f>HYPERLINK("E:\PropInv\MF\Houston\Branard_2322_Branard Plaza_Houston_02519","Branard_2322_Branard Plaza_Houston_02519" )</f>
        <v>Branard_2322_Branard Plaza_Houston_02519</v>
      </c>
      <c r="L2020" s="104" t="s">
        <v>22253</v>
      </c>
      <c r="M2020" s="103" t="str">
        <f t="shared" si="158"/>
        <v>http://oconnordata.com/mlink/modules/profile/index.cfm?action=profile&amp;prop_id=2519</v>
      </c>
      <c r="N2020" s="1" t="str">
        <f t="shared" si="159"/>
        <v>02519</v>
      </c>
    </row>
    <row r="2021" spans="1:14" x14ac:dyDescent="0.3">
      <c r="A2021" s="1">
        <v>2529</v>
      </c>
      <c r="B2021" s="7" t="s">
        <v>1080</v>
      </c>
      <c r="C2021" s="12">
        <v>2828</v>
      </c>
      <c r="D2021" s="7" t="s">
        <v>3050</v>
      </c>
      <c r="E2021" s="13" t="s">
        <v>1657</v>
      </c>
      <c r="F2021" t="str">
        <f t="shared" si="155"/>
        <v>Greenbriar</v>
      </c>
      <c r="G2021" t="str">
        <f t="shared" si="156"/>
        <v>Greenbriar2828Houston</v>
      </c>
      <c r="H2021" t="s">
        <v>32879</v>
      </c>
      <c r="I2021" t="s">
        <v>24305</v>
      </c>
      <c r="J2021" t="str">
        <f t="shared" si="157"/>
        <v>E:\PropInv\MF</v>
      </c>
      <c r="K2021" s="103" t="str">
        <f>HYPERLINK("E:\PropInv\MF\Houston\Greenbriar_2828_Gables CityWalk_Houston_02529","Greenbriar_2828_Gables CityWalk_Houston_02529" )</f>
        <v>Greenbriar_2828_Gables CityWalk_Houston_02529</v>
      </c>
      <c r="L2021" s="104" t="s">
        <v>22253</v>
      </c>
      <c r="M2021" s="103" t="str">
        <f t="shared" si="158"/>
        <v>http://oconnordata.com/mlink/modules/profile/index.cfm?action=profile&amp;prop_id=2529</v>
      </c>
      <c r="N2021" s="1" t="str">
        <f t="shared" si="159"/>
        <v>02529</v>
      </c>
    </row>
    <row r="2022" spans="1:14" x14ac:dyDescent="0.3">
      <c r="A2022" s="1">
        <v>2536</v>
      </c>
      <c r="B2022" s="7" t="s">
        <v>3051</v>
      </c>
      <c r="C2022" s="12">
        <v>1919</v>
      </c>
      <c r="D2022" s="7" t="s">
        <v>3052</v>
      </c>
      <c r="E2022" s="13" t="s">
        <v>1657</v>
      </c>
      <c r="F2022" t="str">
        <f t="shared" si="155"/>
        <v>Main</v>
      </c>
      <c r="G2022" t="str">
        <f t="shared" si="156"/>
        <v>Main1919Houston</v>
      </c>
      <c r="H2022" t="s">
        <v>32880</v>
      </c>
      <c r="I2022" t="s">
        <v>24306</v>
      </c>
      <c r="J2022" t="str">
        <f t="shared" si="157"/>
        <v>E:\PropInv\MF</v>
      </c>
      <c r="K2022" s="103" t="str">
        <f>HYPERLINK("E:\PropInv\MF\Houston\Main W_1919_Takara So_Houston_02536","Main W_1919_Takara So_Houston_02536" )</f>
        <v>Main W_1919_Takara So_Houston_02536</v>
      </c>
      <c r="L2022" s="104" t="s">
        <v>22253</v>
      </c>
      <c r="M2022" s="103" t="str">
        <f t="shared" si="158"/>
        <v>http://oconnordata.com/mlink/modules/profile/index.cfm?action=profile&amp;prop_id=2536</v>
      </c>
      <c r="N2022" s="1" t="str">
        <f t="shared" si="159"/>
        <v>02536</v>
      </c>
    </row>
    <row r="2023" spans="1:14" x14ac:dyDescent="0.3">
      <c r="A2023" s="1">
        <v>2541</v>
      </c>
      <c r="B2023" s="7" t="s">
        <v>3053</v>
      </c>
      <c r="C2023" s="12">
        <v>1648</v>
      </c>
      <c r="D2023" s="7" t="s">
        <v>3054</v>
      </c>
      <c r="E2023" s="13" t="s">
        <v>1657</v>
      </c>
      <c r="F2023" t="str">
        <f t="shared" si="155"/>
        <v>Alabama</v>
      </c>
      <c r="G2023" t="str">
        <f t="shared" si="156"/>
        <v>Alabama1648Houston</v>
      </c>
      <c r="H2023" t="s">
        <v>32881</v>
      </c>
      <c r="I2023" t="s">
        <v>24307</v>
      </c>
      <c r="J2023" t="str">
        <f t="shared" si="157"/>
        <v>E:\PropInv\MF</v>
      </c>
      <c r="K2023" s="103" t="str">
        <f>HYPERLINK("E:\PropInv\MF\Houston\Alabama St W_1648_West Alabama Place_Houston_02541","Alabama St W_1648_West Alabama Place_Houston_02541" )</f>
        <v>Alabama St W_1648_West Alabama Place_Houston_02541</v>
      </c>
      <c r="L2023" s="104" t="s">
        <v>22253</v>
      </c>
      <c r="M2023" s="103" t="str">
        <f t="shared" si="158"/>
        <v>http://oconnordata.com/mlink/modules/profile/index.cfm?action=profile&amp;prop_id=2541</v>
      </c>
      <c r="N2023" s="1" t="str">
        <f t="shared" si="159"/>
        <v>02541</v>
      </c>
    </row>
    <row r="2024" spans="1:14" x14ac:dyDescent="0.3">
      <c r="A2024" s="1">
        <v>2542</v>
      </c>
      <c r="B2024" s="7" t="s">
        <v>2932</v>
      </c>
      <c r="C2024" s="12">
        <v>1715</v>
      </c>
      <c r="D2024" s="7" t="s">
        <v>3055</v>
      </c>
      <c r="E2024" s="13" t="s">
        <v>1657</v>
      </c>
      <c r="F2024" t="str">
        <f t="shared" si="155"/>
        <v>Alabama</v>
      </c>
      <c r="G2024" t="str">
        <f t="shared" si="156"/>
        <v>Alabama1715Houston</v>
      </c>
      <c r="H2024" t="s">
        <v>32882</v>
      </c>
      <c r="I2024" t="s">
        <v>24308</v>
      </c>
      <c r="J2024" t="str">
        <f t="shared" si="157"/>
        <v>E:\PropInv\MF</v>
      </c>
      <c r="K2024" s="103" t="str">
        <f>HYPERLINK("E:\PropInv\MF\Houston\Alabama W_1715_Wilshire Village_Houston_02542","Alabama W_1715_Wilshire Village_Houston_02542" )</f>
        <v>Alabama W_1715_Wilshire Village_Houston_02542</v>
      </c>
      <c r="L2024" s="104" t="s">
        <v>22253</v>
      </c>
      <c r="M2024" s="103" t="str">
        <f t="shared" si="158"/>
        <v>http://oconnordata.com/mlink/modules/profile/index.cfm?action=profile&amp;prop_id=2542</v>
      </c>
      <c r="N2024" s="1" t="str">
        <f t="shared" si="159"/>
        <v>02542</v>
      </c>
    </row>
    <row r="2025" spans="1:14" x14ac:dyDescent="0.3">
      <c r="A2025" s="1">
        <v>2543</v>
      </c>
      <c r="B2025" s="7" t="s">
        <v>2932</v>
      </c>
      <c r="C2025" s="12">
        <v>1920</v>
      </c>
      <c r="D2025" s="7" t="s">
        <v>3056</v>
      </c>
      <c r="E2025" s="13" t="s">
        <v>1657</v>
      </c>
      <c r="F2025" t="str">
        <f t="shared" si="155"/>
        <v>Alabama</v>
      </c>
      <c r="G2025" t="str">
        <f t="shared" si="156"/>
        <v>Alabama1920Houston</v>
      </c>
      <c r="H2025" t="s">
        <v>32883</v>
      </c>
      <c r="I2025" t="s">
        <v>24309</v>
      </c>
      <c r="J2025" t="str">
        <f t="shared" si="157"/>
        <v>E:\PropInv\MF</v>
      </c>
      <c r="K2025" s="103" t="str">
        <f>HYPERLINK("E:\PropInv\MF\Houston\Alabama W_1920_1920 West Alabama_Houston_02543","Alabama W_1920_1920 West Alabama_Houston_02543" )</f>
        <v>Alabama W_1920_1920 West Alabama_Houston_02543</v>
      </c>
      <c r="L2025" s="104" t="s">
        <v>22253</v>
      </c>
      <c r="M2025" s="103" t="str">
        <f t="shared" si="158"/>
        <v>http://oconnordata.com/mlink/modules/profile/index.cfm?action=profile&amp;prop_id=2543</v>
      </c>
      <c r="N2025" s="1" t="str">
        <f t="shared" si="159"/>
        <v>02543</v>
      </c>
    </row>
    <row r="2026" spans="1:14" x14ac:dyDescent="0.3">
      <c r="A2026" s="1">
        <v>2545</v>
      </c>
      <c r="B2026" s="21" t="s">
        <v>3057</v>
      </c>
      <c r="C2026" s="12">
        <v>2440</v>
      </c>
      <c r="D2026" s="7" t="s">
        <v>3058</v>
      </c>
      <c r="E2026" s="13" t="s">
        <v>1657</v>
      </c>
      <c r="F2026" t="str">
        <f t="shared" si="155"/>
        <v>N</v>
      </c>
      <c r="G2026" t="str">
        <f t="shared" si="156"/>
        <v>N2440Houston</v>
      </c>
      <c r="H2026" t="s">
        <v>32884</v>
      </c>
      <c r="I2026" t="s">
        <v>24310</v>
      </c>
      <c r="J2026" t="str">
        <f t="shared" si="157"/>
        <v>E:\PropInv\MF</v>
      </c>
      <c r="K2026" s="103" t="str">
        <f>HYPERLINK("E:\PropInv\MF\Houston\N Blvd_2440_The Boulevard_Houston_02545","N Blvd_2440_The Boulevard_Houston_02545" )</f>
        <v>N Blvd_2440_The Boulevard_Houston_02545</v>
      </c>
      <c r="L2026" s="104" t="s">
        <v>22253</v>
      </c>
      <c r="M2026" s="103" t="str">
        <f t="shared" si="158"/>
        <v>http://oconnordata.com/mlink/modules/profile/index.cfm?action=profile&amp;prop_id=2545</v>
      </c>
      <c r="N2026" s="1" t="str">
        <f t="shared" si="159"/>
        <v>02545</v>
      </c>
    </row>
    <row r="2027" spans="1:14" x14ac:dyDescent="0.3">
      <c r="A2027" s="1">
        <v>2546</v>
      </c>
      <c r="B2027" s="7" t="s">
        <v>3059</v>
      </c>
      <c r="C2027" s="12">
        <v>3700</v>
      </c>
      <c r="D2027" s="7" t="s">
        <v>3059</v>
      </c>
      <c r="E2027" s="13" t="s">
        <v>1657</v>
      </c>
      <c r="F2027" t="str">
        <f t="shared" si="155"/>
        <v>Wakeforest</v>
      </c>
      <c r="G2027" t="str">
        <f t="shared" si="156"/>
        <v>Wakeforest3700Houston</v>
      </c>
      <c r="H2027" t="s">
        <v>32885</v>
      </c>
      <c r="I2027" t="s">
        <v>24311</v>
      </c>
      <c r="J2027" t="str">
        <f t="shared" si="157"/>
        <v>E:\PropInv\MF</v>
      </c>
      <c r="K2027" s="103" t="str">
        <f>HYPERLINK("E:\PropInv\MF\Houston\Wakeforest_3700_Wakeforest_Houston_02546","Wakeforest_3700_Wakeforest_Houston_02546" )</f>
        <v>Wakeforest_3700_Wakeforest_Houston_02546</v>
      </c>
      <c r="L2027" s="104" t="s">
        <v>22253</v>
      </c>
      <c r="M2027" s="103" t="str">
        <f t="shared" si="158"/>
        <v>http://oconnordata.com/mlink/modules/profile/index.cfm?action=profile&amp;prop_id=2546</v>
      </c>
      <c r="N2027" s="1" t="str">
        <f t="shared" si="159"/>
        <v>02546</v>
      </c>
    </row>
    <row r="2028" spans="1:14" x14ac:dyDescent="0.3">
      <c r="A2028" s="1">
        <v>2551</v>
      </c>
      <c r="B2028" s="7" t="s">
        <v>3060</v>
      </c>
      <c r="C2028" s="12">
        <v>3000</v>
      </c>
      <c r="D2028" s="7" t="s">
        <v>3061</v>
      </c>
      <c r="E2028" s="13" t="s">
        <v>1657</v>
      </c>
      <c r="F2028" t="str">
        <f t="shared" si="155"/>
        <v>Bissonnet</v>
      </c>
      <c r="G2028" t="str">
        <f t="shared" si="156"/>
        <v>Bissonnet3000Houston</v>
      </c>
      <c r="H2028" t="s">
        <v>32886</v>
      </c>
      <c r="I2028" t="s">
        <v>24312</v>
      </c>
      <c r="J2028" t="str">
        <f t="shared" si="157"/>
        <v>E:\PropInv\MF</v>
      </c>
      <c r="K2028" s="103" t="str">
        <f>HYPERLINK("E:\PropInv\MF\Houston\Bissonnet_3000_The Belmont_Houston_02551","Bissonnet_3000_The Belmont_Houston_02551" )</f>
        <v>Bissonnet_3000_The Belmont_Houston_02551</v>
      </c>
      <c r="L2028" s="104" t="s">
        <v>22253</v>
      </c>
      <c r="M2028" s="103" t="str">
        <f t="shared" si="158"/>
        <v>http://oconnordata.com/mlink/modules/profile/index.cfm?action=profile&amp;prop_id=2551</v>
      </c>
      <c r="N2028" s="1" t="str">
        <f t="shared" si="159"/>
        <v>02551</v>
      </c>
    </row>
    <row r="2029" spans="1:14" x14ac:dyDescent="0.3">
      <c r="A2029" s="1">
        <v>2552</v>
      </c>
      <c r="B2029" s="7" t="s">
        <v>3062</v>
      </c>
      <c r="C2029" s="12">
        <v>5151</v>
      </c>
      <c r="D2029" s="7" t="s">
        <v>3063</v>
      </c>
      <c r="E2029" s="13" t="s">
        <v>1657</v>
      </c>
      <c r="F2029" t="str">
        <f t="shared" si="155"/>
        <v>Edloe</v>
      </c>
      <c r="G2029" t="str">
        <f t="shared" si="156"/>
        <v>Edloe5151Houston</v>
      </c>
      <c r="H2029" t="s">
        <v>32887</v>
      </c>
      <c r="I2029" t="s">
        <v>24313</v>
      </c>
      <c r="J2029" t="str">
        <f t="shared" si="157"/>
        <v>E:\PropInv\MF</v>
      </c>
      <c r="K2029" s="103" t="str">
        <f>HYPERLINK("E:\PropInv\MF\Houston\Edloe_5151_Village at West University_Houston_02552","Edloe_5151_Village at West University_Houston_02552" )</f>
        <v>Edloe_5151_Village at West University_Houston_02552</v>
      </c>
      <c r="L2029" s="104" t="s">
        <v>22253</v>
      </c>
      <c r="M2029" s="103" t="str">
        <f t="shared" si="158"/>
        <v>http://oconnordata.com/mlink/modules/profile/index.cfm?action=profile&amp;prop_id=2552</v>
      </c>
      <c r="N2029" s="1" t="str">
        <f t="shared" si="159"/>
        <v>02552</v>
      </c>
    </row>
    <row r="2030" spans="1:14" x14ac:dyDescent="0.3">
      <c r="A2030" s="1">
        <v>2572</v>
      </c>
      <c r="B2030" s="21" t="s">
        <v>3057</v>
      </c>
      <c r="C2030" s="12">
        <v>2701</v>
      </c>
      <c r="D2030" s="7" t="s">
        <v>3064</v>
      </c>
      <c r="E2030" s="13" t="s">
        <v>1657</v>
      </c>
      <c r="F2030" t="str">
        <f t="shared" si="155"/>
        <v>N</v>
      </c>
      <c r="G2030" t="str">
        <f t="shared" si="156"/>
        <v>N2701Houston</v>
      </c>
      <c r="H2030" t="s">
        <v>32888</v>
      </c>
      <c r="I2030" t="s">
        <v>24314</v>
      </c>
      <c r="J2030" t="str">
        <f t="shared" si="157"/>
        <v>E:\PropInv\MF</v>
      </c>
      <c r="K2030" s="103" t="str">
        <f>HYPERLINK("E:\PropInv\MF\Houston\N Blvd_2701_North Boulevard_Houston_02572","N Blvd_2701_North Boulevard_Houston_02572" )</f>
        <v>N Blvd_2701_North Boulevard_Houston_02572</v>
      </c>
      <c r="L2030" s="104" t="s">
        <v>22253</v>
      </c>
      <c r="M2030" s="103" t="str">
        <f t="shared" si="158"/>
        <v>http://oconnordata.com/mlink/modules/profile/index.cfm?action=profile&amp;prop_id=2572</v>
      </c>
      <c r="N2030" s="1" t="str">
        <f t="shared" si="159"/>
        <v>02572</v>
      </c>
    </row>
    <row r="2031" spans="1:14" x14ac:dyDescent="0.3">
      <c r="A2031" s="1">
        <v>2576</v>
      </c>
      <c r="B2031" s="7" t="s">
        <v>3062</v>
      </c>
      <c r="C2031" s="12">
        <v>3400</v>
      </c>
      <c r="D2031" s="7" t="s">
        <v>3065</v>
      </c>
      <c r="E2031" s="13" t="s">
        <v>1657</v>
      </c>
      <c r="F2031" t="str">
        <f t="shared" si="155"/>
        <v>Edloe</v>
      </c>
      <c r="G2031" t="str">
        <f t="shared" si="156"/>
        <v>Edloe3400Houston</v>
      </c>
      <c r="H2031" t="s">
        <v>32889</v>
      </c>
      <c r="I2031" t="s">
        <v>24315</v>
      </c>
      <c r="J2031" t="str">
        <f t="shared" si="157"/>
        <v>E:\PropInv\MF</v>
      </c>
      <c r="K2031" s="103" t="str">
        <f>HYPERLINK("E:\PropInv\MF\Houston\Edloe_3400_Sendera at Greenway_Houston_02576","Edloe_3400_Sendera at Greenway_Houston_02576" )</f>
        <v>Edloe_3400_Sendera at Greenway_Houston_02576</v>
      </c>
      <c r="L2031" s="104" t="s">
        <v>22253</v>
      </c>
      <c r="M2031" s="103" t="str">
        <f t="shared" si="158"/>
        <v>http://oconnordata.com/mlink/modules/profile/index.cfm?action=profile&amp;prop_id=2576</v>
      </c>
      <c r="N2031" s="1" t="str">
        <f t="shared" si="159"/>
        <v>02576</v>
      </c>
    </row>
    <row r="2032" spans="1:14" x14ac:dyDescent="0.3">
      <c r="A2032" s="1">
        <v>2577</v>
      </c>
      <c r="B2032" s="7" t="s">
        <v>3066</v>
      </c>
      <c r="C2032" s="12">
        <v>3800</v>
      </c>
      <c r="D2032" s="7" t="s">
        <v>3067</v>
      </c>
      <c r="E2032" s="13" t="s">
        <v>1657</v>
      </c>
      <c r="F2032" t="str">
        <f t="shared" si="155"/>
        <v>Audley</v>
      </c>
      <c r="G2032" t="str">
        <f t="shared" si="156"/>
        <v>Audley3800Houston</v>
      </c>
      <c r="H2032" t="s">
        <v>32890</v>
      </c>
      <c r="I2032" t="s">
        <v>24316</v>
      </c>
      <c r="J2032" t="str">
        <f t="shared" si="157"/>
        <v>E:\PropInv\MF</v>
      </c>
      <c r="K2032" s="103" t="str">
        <f>HYPERLINK("E:\PropInv\MF\Houston\Audley_3800_Camden Greenway_Houston_02577","Audley_3800_Camden Greenway_Houston_02577" )</f>
        <v>Audley_3800_Camden Greenway_Houston_02577</v>
      </c>
      <c r="L2032" s="104" t="s">
        <v>22253</v>
      </c>
      <c r="M2032" s="103" t="str">
        <f t="shared" si="158"/>
        <v>http://oconnordata.com/mlink/modules/profile/index.cfm?action=profile&amp;prop_id=2577</v>
      </c>
      <c r="N2032" s="1" t="str">
        <f t="shared" si="159"/>
        <v>02577</v>
      </c>
    </row>
    <row r="2033" spans="1:14" x14ac:dyDescent="0.3">
      <c r="A2033" s="1">
        <v>2579</v>
      </c>
      <c r="B2033" s="7" t="s">
        <v>3060</v>
      </c>
      <c r="C2033" s="12">
        <v>2630</v>
      </c>
      <c r="D2033" s="7" t="s">
        <v>3068</v>
      </c>
      <c r="E2033" s="13" t="s">
        <v>1657</v>
      </c>
      <c r="F2033" t="str">
        <f t="shared" si="155"/>
        <v>Bissonnet</v>
      </c>
      <c r="G2033" t="str">
        <f t="shared" si="156"/>
        <v>Bissonnet2630Houston</v>
      </c>
      <c r="H2033" t="s">
        <v>32891</v>
      </c>
      <c r="I2033" t="s">
        <v>24317</v>
      </c>
      <c r="J2033" t="str">
        <f t="shared" si="157"/>
        <v>E:\PropInv\MF</v>
      </c>
      <c r="K2033" s="103" t="str">
        <f>HYPERLINK("E:\PropInv\MF\Houston\Bissonnet_2630_Bissonnet Village (TBD)_Houston_02579","Bissonnet_2630_Bissonnet Village (TBD)_Houston_02579" )</f>
        <v>Bissonnet_2630_Bissonnet Village (TBD)_Houston_02579</v>
      </c>
      <c r="L2033" s="104" t="s">
        <v>22253</v>
      </c>
      <c r="M2033" s="103" t="str">
        <f t="shared" si="158"/>
        <v>http://oconnordata.com/mlink/modules/profile/index.cfm?action=profile&amp;prop_id=2579</v>
      </c>
      <c r="N2033" s="1" t="str">
        <f t="shared" si="159"/>
        <v>02579</v>
      </c>
    </row>
    <row r="2034" spans="1:14" x14ac:dyDescent="0.3">
      <c r="A2034" s="1">
        <v>2580</v>
      </c>
      <c r="B2034" s="21" t="s">
        <v>3057</v>
      </c>
      <c r="C2034" s="12">
        <v>2701</v>
      </c>
      <c r="D2034" s="7" t="s">
        <v>3069</v>
      </c>
      <c r="E2034" s="13" t="s">
        <v>1657</v>
      </c>
      <c r="F2034" t="str">
        <f t="shared" si="155"/>
        <v>N</v>
      </c>
      <c r="G2034" t="str">
        <f t="shared" si="156"/>
        <v>N2701Houston</v>
      </c>
      <c r="H2034" t="s">
        <v>32892</v>
      </c>
      <c r="I2034" t="s">
        <v>24318</v>
      </c>
      <c r="J2034" t="str">
        <f t="shared" si="157"/>
        <v>E:\PropInv\MF</v>
      </c>
      <c r="K2034" s="103" t="str">
        <f>HYPERLINK("E:\PropInv\MF\Houston\N Blvd_2701_North Boulevard Apts_Houston_02580","N Blvd_2701_North Boulevard Apts_Houston_02580" )</f>
        <v>N Blvd_2701_North Boulevard Apts_Houston_02580</v>
      </c>
      <c r="L2034" s="104" t="s">
        <v>22253</v>
      </c>
      <c r="M2034" s="103" t="str">
        <f t="shared" si="158"/>
        <v>http://oconnordata.com/mlink/modules/profile/index.cfm?action=profile&amp;prop_id=2580</v>
      </c>
      <c r="N2034" s="1" t="str">
        <f t="shared" si="159"/>
        <v>02580</v>
      </c>
    </row>
    <row r="2035" spans="1:14" x14ac:dyDescent="0.3">
      <c r="A2035" s="1">
        <v>2582</v>
      </c>
      <c r="B2035" s="7" t="s">
        <v>3070</v>
      </c>
      <c r="C2035" s="12">
        <v>1903</v>
      </c>
      <c r="D2035" s="7" t="s">
        <v>3071</v>
      </c>
      <c r="E2035" s="13" t="s">
        <v>1657</v>
      </c>
      <c r="F2035" t="str">
        <f t="shared" si="155"/>
        <v>Portsmouth</v>
      </c>
      <c r="G2035" t="str">
        <f t="shared" si="156"/>
        <v>Portsmouth1903Houston</v>
      </c>
      <c r="H2035" t="s">
        <v>32893</v>
      </c>
      <c r="I2035" t="s">
        <v>24319</v>
      </c>
      <c r="J2035" t="str">
        <f t="shared" si="157"/>
        <v>E:\PropInv\MF</v>
      </c>
      <c r="K2035" s="103" t="str">
        <f>HYPERLINK("E:\PropInv\MF\Houston\Portsmouth_1903_Whitehall_Houston_02582","Portsmouth_1903_Whitehall_Houston_02582" )</f>
        <v>Portsmouth_1903_Whitehall_Houston_02582</v>
      </c>
      <c r="L2035" s="104" t="s">
        <v>22253</v>
      </c>
      <c r="M2035" s="103" t="str">
        <f t="shared" si="158"/>
        <v>http://oconnordata.com/mlink/modules/profile/index.cfm?action=profile&amp;prop_id=2582</v>
      </c>
      <c r="N2035" s="1" t="str">
        <f t="shared" si="159"/>
        <v>02582</v>
      </c>
    </row>
    <row r="2036" spans="1:14" x14ac:dyDescent="0.3">
      <c r="A2036" s="1">
        <v>2583</v>
      </c>
      <c r="B2036" s="7" t="s">
        <v>3070</v>
      </c>
      <c r="C2036" s="12">
        <v>1919</v>
      </c>
      <c r="D2036" s="7" t="s">
        <v>3072</v>
      </c>
      <c r="E2036" s="13" t="s">
        <v>1657</v>
      </c>
      <c r="F2036" t="str">
        <f t="shared" si="155"/>
        <v>Portsmouth</v>
      </c>
      <c r="G2036" t="str">
        <f t="shared" si="156"/>
        <v>Portsmouth1919Houston</v>
      </c>
      <c r="H2036" t="s">
        <v>32894</v>
      </c>
      <c r="I2036" t="s">
        <v>24320</v>
      </c>
      <c r="J2036" t="str">
        <f t="shared" si="157"/>
        <v>E:\PropInv\MF</v>
      </c>
      <c r="K2036" s="103" t="str">
        <f>HYPERLINK("E:\PropInv\MF\Houston\Portsmouth_1919_La Villa Carrie_Houston_02583","Portsmouth_1919_La Villa Carrie_Houston_02583" )</f>
        <v>Portsmouth_1919_La Villa Carrie_Houston_02583</v>
      </c>
      <c r="L2036" s="104" t="s">
        <v>22253</v>
      </c>
      <c r="M2036" s="103" t="str">
        <f t="shared" si="158"/>
        <v>http://oconnordata.com/mlink/modules/profile/index.cfm?action=profile&amp;prop_id=2583</v>
      </c>
      <c r="N2036" s="1" t="str">
        <f t="shared" si="159"/>
        <v>02583</v>
      </c>
    </row>
    <row r="2037" spans="1:14" x14ac:dyDescent="0.3">
      <c r="A2037" s="1">
        <v>2587</v>
      </c>
      <c r="B2037" s="7" t="s">
        <v>3060</v>
      </c>
      <c r="C2037" s="12">
        <v>1717</v>
      </c>
      <c r="D2037" s="7" t="s">
        <v>3073</v>
      </c>
      <c r="E2037" s="13" t="s">
        <v>1657</v>
      </c>
      <c r="F2037" t="str">
        <f t="shared" si="155"/>
        <v>Bissonnet</v>
      </c>
      <c r="G2037" t="str">
        <f t="shared" si="156"/>
        <v>Bissonnet1717Houston</v>
      </c>
      <c r="H2037" t="s">
        <v>32895</v>
      </c>
      <c r="I2037" t="s">
        <v>24321</v>
      </c>
      <c r="J2037" t="str">
        <f t="shared" si="157"/>
        <v>E:\PropInv\MF</v>
      </c>
      <c r="K2037" s="103" t="str">
        <f>HYPERLINK("E:\PropInv\MF\Houston\Bissonnet_1717_Maryland Manor_Houston_02587","Bissonnet_1717_Maryland Manor_Houston_02587" )</f>
        <v>Bissonnet_1717_Maryland Manor_Houston_02587</v>
      </c>
      <c r="L2037" s="104" t="s">
        <v>22253</v>
      </c>
      <c r="M2037" s="103" t="str">
        <f t="shared" si="158"/>
        <v>http://oconnordata.com/mlink/modules/profile/index.cfm?action=profile&amp;prop_id=2587</v>
      </c>
      <c r="N2037" s="1" t="str">
        <f t="shared" si="159"/>
        <v>02587</v>
      </c>
    </row>
    <row r="2038" spans="1:14" x14ac:dyDescent="0.3">
      <c r="A2038" s="1">
        <v>2589</v>
      </c>
      <c r="B2038" s="7" t="s">
        <v>3074</v>
      </c>
      <c r="C2038" s="12">
        <v>2300</v>
      </c>
      <c r="D2038" s="7" t="s">
        <v>3075</v>
      </c>
      <c r="E2038" s="13" t="s">
        <v>1657</v>
      </c>
      <c r="F2038" t="str">
        <f t="shared" si="155"/>
        <v>Colquitt</v>
      </c>
      <c r="G2038" t="str">
        <f t="shared" si="156"/>
        <v>Colquitt2300Houston</v>
      </c>
      <c r="H2038" t="s">
        <v>32896</v>
      </c>
      <c r="I2038" t="s">
        <v>24322</v>
      </c>
      <c r="J2038" t="str">
        <f t="shared" si="157"/>
        <v>E:\PropInv\MF</v>
      </c>
      <c r="K2038" s="103" t="str">
        <f>HYPERLINK("E:\PropInv\MF\Houston\Colquitt_2300_Sleepy Hollow_Houston_02589","Colquitt_2300_Sleepy Hollow_Houston_02589" )</f>
        <v>Colquitt_2300_Sleepy Hollow_Houston_02589</v>
      </c>
      <c r="L2038" s="104" t="s">
        <v>22253</v>
      </c>
      <c r="M2038" s="103" t="str">
        <f t="shared" si="158"/>
        <v>http://oconnordata.com/mlink/modules/profile/index.cfm?action=profile&amp;prop_id=2589</v>
      </c>
      <c r="N2038" s="1" t="str">
        <f t="shared" si="159"/>
        <v>02589</v>
      </c>
    </row>
    <row r="2039" spans="1:14" x14ac:dyDescent="0.3">
      <c r="A2039" s="1">
        <v>2591</v>
      </c>
      <c r="B2039" s="7" t="s">
        <v>3076</v>
      </c>
      <c r="C2039" s="12">
        <v>4100</v>
      </c>
      <c r="D2039" s="7" t="s">
        <v>3077</v>
      </c>
      <c r="E2039" s="13" t="s">
        <v>1657</v>
      </c>
      <c r="F2039" t="str">
        <f t="shared" si="155"/>
        <v>Greenbriar</v>
      </c>
      <c r="G2039" t="str">
        <f t="shared" si="156"/>
        <v>Greenbriar4100Houston</v>
      </c>
      <c r="H2039" t="s">
        <v>32897</v>
      </c>
      <c r="I2039" t="s">
        <v>24323</v>
      </c>
      <c r="J2039" t="str">
        <f t="shared" si="157"/>
        <v>E:\PropInv\MF</v>
      </c>
      <c r="K2039" s="103" t="str">
        <f>HYPERLINK("E:\PropInv\MF\Houston\Greenbriar St_4100_Greenbriar Chateau_Houston_02591","Greenbriar St_4100_Greenbriar Chateau_Houston_02591" )</f>
        <v>Greenbriar St_4100_Greenbriar Chateau_Houston_02591</v>
      </c>
      <c r="L2039" s="104" t="s">
        <v>22253</v>
      </c>
      <c r="M2039" s="103" t="str">
        <f t="shared" si="158"/>
        <v>http://oconnordata.com/mlink/modules/profile/index.cfm?action=profile&amp;prop_id=2591</v>
      </c>
      <c r="N2039" s="1" t="str">
        <f t="shared" si="159"/>
        <v>02591</v>
      </c>
    </row>
    <row r="2040" spans="1:14" x14ac:dyDescent="0.3">
      <c r="A2040" s="1">
        <v>2595</v>
      </c>
      <c r="B2040" s="7" t="s">
        <v>3078</v>
      </c>
      <c r="C2040" s="12">
        <v>800</v>
      </c>
      <c r="D2040" s="7" t="s">
        <v>3079</v>
      </c>
      <c r="E2040" s="13" t="s">
        <v>1657</v>
      </c>
      <c r="F2040" t="str">
        <f t="shared" si="155"/>
        <v>Heights</v>
      </c>
      <c r="G2040" t="str">
        <f t="shared" si="156"/>
        <v>Heights800Houston</v>
      </c>
      <c r="H2040" t="s">
        <v>32898</v>
      </c>
      <c r="I2040" t="s">
        <v>24324</v>
      </c>
      <c r="J2040" t="str">
        <f t="shared" si="157"/>
        <v>E:\PropInv\MF</v>
      </c>
      <c r="K2040" s="103" t="str">
        <f>HYPERLINK("E:\PropInv\MF\Houston\Heights_800_800 Heights_Houston_02595","Heights_800_800 Heights_Houston_02595" )</f>
        <v>Heights_800_800 Heights_Houston_02595</v>
      </c>
      <c r="L2040" s="104" t="s">
        <v>22253</v>
      </c>
      <c r="M2040" s="103" t="str">
        <f t="shared" si="158"/>
        <v>http://oconnordata.com/mlink/modules/profile/index.cfm?action=profile&amp;prop_id=2595</v>
      </c>
      <c r="N2040" s="1" t="str">
        <f t="shared" si="159"/>
        <v>02595</v>
      </c>
    </row>
    <row r="2041" spans="1:14" x14ac:dyDescent="0.3">
      <c r="A2041" s="1">
        <v>2599</v>
      </c>
      <c r="B2041" s="19" t="s">
        <v>2535</v>
      </c>
      <c r="C2041" s="18">
        <v>600</v>
      </c>
      <c r="D2041" s="19" t="s">
        <v>3080</v>
      </c>
      <c r="E2041" s="20" t="s">
        <v>1657</v>
      </c>
      <c r="F2041" t="str">
        <f t="shared" si="155"/>
        <v>Heights</v>
      </c>
      <c r="G2041" t="str">
        <f t="shared" si="156"/>
        <v>Heights600Houston</v>
      </c>
      <c r="H2041" t="s">
        <v>32899</v>
      </c>
      <c r="I2041" t="s">
        <v>24325</v>
      </c>
      <c r="J2041" t="str">
        <f t="shared" si="157"/>
        <v>E:\PropInv\MF</v>
      </c>
      <c r="K2041" s="103" t="str">
        <f>HYPERLINK("E:\PropInv\MF\Houston\Heights Blvd_600_600 Heights Blvd. Apts_Houston_02599","Heights Blvd_600_600 Heights Blvd. Apts_Houston_02599" )</f>
        <v>Heights Blvd_600_600 Heights Blvd. Apts_Houston_02599</v>
      </c>
      <c r="L2041" s="104" t="s">
        <v>22253</v>
      </c>
      <c r="M2041" s="103" t="str">
        <f t="shared" si="158"/>
        <v>http://oconnordata.com/mlink/modules/profile/index.cfm?action=profile&amp;prop_id=2599</v>
      </c>
      <c r="N2041" s="1" t="str">
        <f t="shared" si="159"/>
        <v>02599</v>
      </c>
    </row>
    <row r="2042" spans="1:14" x14ac:dyDescent="0.3">
      <c r="A2042" s="1">
        <v>2602</v>
      </c>
      <c r="B2042" s="7" t="s">
        <v>3019</v>
      </c>
      <c r="C2042" s="12">
        <v>2210</v>
      </c>
      <c r="D2042" s="7" t="s">
        <v>3081</v>
      </c>
      <c r="E2042" s="13" t="s">
        <v>1657</v>
      </c>
      <c r="F2042" t="str">
        <f t="shared" si="155"/>
        <v>Dallas</v>
      </c>
      <c r="G2042" t="str">
        <f t="shared" si="156"/>
        <v>Dallas2210Houston</v>
      </c>
      <c r="H2042" t="s">
        <v>32900</v>
      </c>
      <c r="I2042" t="s">
        <v>24326</v>
      </c>
      <c r="J2042" t="str">
        <f t="shared" si="157"/>
        <v>E:\PropInv\MF</v>
      </c>
      <c r="K2042" s="103" t="str">
        <f>HYPERLINK("E:\PropInv\MF\Houston\Dallas W_2210_AMLI Towne Square_Houston_02602","Dallas W_2210_AMLI Towne Square_Houston_02602" )</f>
        <v>Dallas W_2210_AMLI Towne Square_Houston_02602</v>
      </c>
      <c r="L2042" s="104" t="s">
        <v>22253</v>
      </c>
      <c r="M2042" s="103" t="str">
        <f t="shared" si="158"/>
        <v>http://oconnordata.com/mlink/modules/profile/index.cfm?action=profile&amp;prop_id=2602</v>
      </c>
      <c r="N2042" s="1" t="str">
        <f t="shared" si="159"/>
        <v>02602</v>
      </c>
    </row>
    <row r="2043" spans="1:14" x14ac:dyDescent="0.3">
      <c r="A2043" s="1">
        <v>2603</v>
      </c>
      <c r="B2043" s="7" t="s">
        <v>3082</v>
      </c>
      <c r="C2043" s="12">
        <v>1101</v>
      </c>
      <c r="D2043" s="7" t="s">
        <v>3083</v>
      </c>
      <c r="E2043" s="13" t="s">
        <v>1657</v>
      </c>
      <c r="F2043" t="str">
        <f t="shared" si="155"/>
        <v>Elder</v>
      </c>
      <c r="G2043" t="str">
        <f t="shared" si="156"/>
        <v>Elder1101Houston</v>
      </c>
      <c r="H2043" t="s">
        <v>32901</v>
      </c>
      <c r="I2043" t="s">
        <v>24327</v>
      </c>
      <c r="J2043" t="str">
        <f t="shared" si="157"/>
        <v>E:\PropInv\MF</v>
      </c>
      <c r="K2043" s="103" t="str">
        <f>HYPERLINK("E:\PropInv\MF\Houston\Elder St_1101_Elder Street Artist Lofts_Houston_02603","Elder St_1101_Elder Street Artist Lofts_Houston_02603" )</f>
        <v>Elder St_1101_Elder Street Artist Lofts_Houston_02603</v>
      </c>
      <c r="L2043" s="104" t="s">
        <v>22253</v>
      </c>
      <c r="M2043" s="103" t="str">
        <f t="shared" si="158"/>
        <v>http://oconnordata.com/mlink/modules/profile/index.cfm?action=profile&amp;prop_id=2603</v>
      </c>
      <c r="N2043" s="1" t="str">
        <f t="shared" si="159"/>
        <v>02603</v>
      </c>
    </row>
    <row r="2044" spans="1:14" x14ac:dyDescent="0.3">
      <c r="A2044" s="1">
        <v>2604</v>
      </c>
      <c r="B2044" s="7" t="s">
        <v>2675</v>
      </c>
      <c r="C2044" s="12">
        <v>1840</v>
      </c>
      <c r="D2044" s="7" t="s">
        <v>3084</v>
      </c>
      <c r="E2044" s="13" t="s">
        <v>1657</v>
      </c>
      <c r="F2044" t="str">
        <f t="shared" si="155"/>
        <v>Richmond</v>
      </c>
      <c r="G2044" t="str">
        <f t="shared" si="156"/>
        <v>Richmond1840Houston</v>
      </c>
      <c r="H2044" t="s">
        <v>32902</v>
      </c>
      <c r="I2044" t="s">
        <v>24328</v>
      </c>
      <c r="J2044" t="str">
        <f t="shared" si="157"/>
        <v>E:\PropInv\MF</v>
      </c>
      <c r="K2044" s="103" t="str">
        <f>HYPERLINK("E:\PropInv\MF\Houston\Richmond_1840_Richmond Terrace_Houston_02604","Richmond_1840_Richmond Terrace_Houston_02604" )</f>
        <v>Richmond_1840_Richmond Terrace_Houston_02604</v>
      </c>
      <c r="L2044" s="104" t="s">
        <v>22253</v>
      </c>
      <c r="M2044" s="103" t="str">
        <f t="shared" si="158"/>
        <v>http://oconnordata.com/mlink/modules/profile/index.cfm?action=profile&amp;prop_id=2604</v>
      </c>
      <c r="N2044" s="1" t="str">
        <f t="shared" si="159"/>
        <v>02604</v>
      </c>
    </row>
    <row r="2045" spans="1:14" x14ac:dyDescent="0.3">
      <c r="A2045" s="1">
        <v>2605</v>
      </c>
      <c r="B2045" s="7" t="s">
        <v>2675</v>
      </c>
      <c r="C2045" s="12">
        <v>1901</v>
      </c>
      <c r="D2045" s="7" t="s">
        <v>3085</v>
      </c>
      <c r="E2045" s="13" t="s">
        <v>1657</v>
      </c>
      <c r="F2045" t="str">
        <f t="shared" si="155"/>
        <v>Richmond</v>
      </c>
      <c r="G2045" t="str">
        <f t="shared" si="156"/>
        <v>Richmond1901Houston</v>
      </c>
      <c r="H2045" t="s">
        <v>32903</v>
      </c>
      <c r="I2045" t="s">
        <v>24329</v>
      </c>
      <c r="J2045" t="str">
        <f t="shared" si="157"/>
        <v>E:\PropInv\MF</v>
      </c>
      <c r="K2045" s="103" t="str">
        <f>HYPERLINK("E:\PropInv\MF\Houston\Richmond_1901_Houston Medical Apts_Houston_02605","Richmond_1901_Houston Medical Apts_Houston_02605" )</f>
        <v>Richmond_1901_Houston Medical Apts_Houston_02605</v>
      </c>
      <c r="L2045" s="104" t="s">
        <v>22253</v>
      </c>
      <c r="M2045" s="103" t="str">
        <f t="shared" si="158"/>
        <v>http://oconnordata.com/mlink/modules/profile/index.cfm?action=profile&amp;prop_id=2605</v>
      </c>
      <c r="N2045" s="1" t="str">
        <f t="shared" si="159"/>
        <v>02605</v>
      </c>
    </row>
    <row r="2046" spans="1:14" x14ac:dyDescent="0.3">
      <c r="A2046" s="1">
        <v>2613</v>
      </c>
      <c r="B2046" s="19" t="s">
        <v>3086</v>
      </c>
      <c r="C2046" s="18">
        <v>636</v>
      </c>
      <c r="D2046" s="19" t="s">
        <v>3087</v>
      </c>
      <c r="E2046" s="20" t="s">
        <v>1657</v>
      </c>
      <c r="F2046" t="str">
        <f t="shared" si="155"/>
        <v>.5</v>
      </c>
      <c r="G2046" t="str">
        <f t="shared" si="156"/>
        <v>.5636Houston</v>
      </c>
      <c r="H2046" t="s">
        <v>32904</v>
      </c>
      <c r="I2046" t="s">
        <v>24330</v>
      </c>
      <c r="J2046" t="str">
        <f t="shared" si="157"/>
        <v>E:\PropInv\MF</v>
      </c>
      <c r="K2046" s="103" t="str">
        <f>HYPERLINK("E:\PropInv\MF\Houston\.5 St#5 E_636_Studemont Arms_Houston_02613",".5 St#5 E_636_Studemont Arms_Houston_02613" )</f>
        <v>.5 St#5 E_636_Studemont Arms_Houston_02613</v>
      </c>
      <c r="L2046" s="104" t="s">
        <v>22253</v>
      </c>
      <c r="M2046" s="103" t="str">
        <f t="shared" si="158"/>
        <v>http://oconnordata.com/mlink/modules/profile/index.cfm?action=profile&amp;prop_id=2613</v>
      </c>
      <c r="N2046" s="1" t="str">
        <f t="shared" si="159"/>
        <v>02613</v>
      </c>
    </row>
    <row r="2047" spans="1:14" x14ac:dyDescent="0.3">
      <c r="A2047" s="1">
        <v>2615</v>
      </c>
      <c r="B2047" s="7" t="s">
        <v>3088</v>
      </c>
      <c r="C2047" s="12">
        <v>815</v>
      </c>
      <c r="D2047" s="7" t="s">
        <v>3089</v>
      </c>
      <c r="E2047" s="13" t="s">
        <v>1657</v>
      </c>
      <c r="F2047" t="str">
        <f t="shared" si="155"/>
        <v>Harvard</v>
      </c>
      <c r="G2047" t="str">
        <f t="shared" si="156"/>
        <v>Harvard815Houston</v>
      </c>
      <c r="H2047" t="s">
        <v>32905</v>
      </c>
      <c r="I2047" t="s">
        <v>24331</v>
      </c>
      <c r="J2047" t="str">
        <f t="shared" si="157"/>
        <v>E:\PropInv\MF</v>
      </c>
      <c r="K2047" s="103" t="str">
        <f>HYPERLINK("E:\PropInv\MF\Houston\Harvard_815_Harvard Square Apts_Houston_02615","Harvard_815_Harvard Square Apts_Houston_02615" )</f>
        <v>Harvard_815_Harvard Square Apts_Houston_02615</v>
      </c>
      <c r="L2047" s="104" t="s">
        <v>22253</v>
      </c>
      <c r="M2047" s="103" t="str">
        <f t="shared" si="158"/>
        <v>http://oconnordata.com/mlink/modules/profile/index.cfm?action=profile&amp;prop_id=2615</v>
      </c>
      <c r="N2047" s="1" t="str">
        <f t="shared" si="159"/>
        <v>02615</v>
      </c>
    </row>
    <row r="2048" spans="1:14" x14ac:dyDescent="0.3">
      <c r="A2048" s="1">
        <v>2621</v>
      </c>
      <c r="B2048" s="21" t="s">
        <v>3090</v>
      </c>
      <c r="C2048" s="12">
        <v>306</v>
      </c>
      <c r="D2048" s="7" t="s">
        <v>3091</v>
      </c>
      <c r="E2048" s="13" t="s">
        <v>1657</v>
      </c>
      <c r="F2048" t="str">
        <f t="shared" si="155"/>
        <v>N</v>
      </c>
      <c r="G2048" t="str">
        <f t="shared" si="156"/>
        <v>N306Houston</v>
      </c>
      <c r="H2048" t="s">
        <v>32906</v>
      </c>
      <c r="I2048" t="s">
        <v>24332</v>
      </c>
      <c r="J2048" t="str">
        <f t="shared" si="157"/>
        <v>E:\PropInv\MF</v>
      </c>
      <c r="K2048" s="103" t="str">
        <f>HYPERLINK("E:\PropInv\MF\Houston\N St_306_Skylane Downtown_Houston_02621","N St_306_Skylane Downtown_Houston_02621" )</f>
        <v>N St_306_Skylane Downtown_Houston_02621</v>
      </c>
      <c r="L2048" s="104" t="s">
        <v>22253</v>
      </c>
      <c r="M2048" s="103" t="str">
        <f t="shared" si="158"/>
        <v>http://oconnordata.com/mlink/modules/profile/index.cfm?action=profile&amp;prop_id=2621</v>
      </c>
      <c r="N2048" s="1" t="str">
        <f t="shared" si="159"/>
        <v>02621</v>
      </c>
    </row>
    <row r="2049" spans="1:14" x14ac:dyDescent="0.3">
      <c r="A2049" s="1">
        <v>2625</v>
      </c>
      <c r="B2049" s="10" t="s">
        <v>3092</v>
      </c>
      <c r="C2049" s="9">
        <v>201</v>
      </c>
      <c r="D2049" s="10" t="s">
        <v>3093</v>
      </c>
      <c r="E2049" s="11" t="s">
        <v>1657</v>
      </c>
      <c r="F2049" t="str">
        <f t="shared" si="155"/>
        <v>Heights</v>
      </c>
      <c r="G2049" t="str">
        <f t="shared" si="156"/>
        <v>Heights201Houston</v>
      </c>
      <c r="H2049" t="s">
        <v>32907</v>
      </c>
      <c r="I2049" t="s">
        <v>24333</v>
      </c>
      <c r="J2049" t="str">
        <f t="shared" si="157"/>
        <v>E:\PropInv\MF</v>
      </c>
      <c r="K2049" s="103" t="str">
        <f>HYPERLINK("E:\PropInv\MF\Houston\Heights Blvd S_201_Archstone Memorial Heights II_Houston_02625","Heights Blvd S_201_Archstone Memorial Heights II_Houston_02625" )</f>
        <v>Heights Blvd S_201_Archstone Memorial Heights II_Houston_02625</v>
      </c>
      <c r="L2049" s="104" t="s">
        <v>22253</v>
      </c>
      <c r="M2049" s="103" t="str">
        <f t="shared" si="158"/>
        <v>http://oconnordata.com/mlink/modules/profile/index.cfm?action=profile&amp;prop_id=2625</v>
      </c>
      <c r="N2049" s="1" t="str">
        <f t="shared" si="159"/>
        <v>02625</v>
      </c>
    </row>
    <row r="2050" spans="1:14" x14ac:dyDescent="0.3">
      <c r="A2050" s="1">
        <v>2627</v>
      </c>
      <c r="B2050" s="7" t="s">
        <v>2568</v>
      </c>
      <c r="C2050" s="12">
        <v>2100</v>
      </c>
      <c r="D2050" s="7" t="s">
        <v>3094</v>
      </c>
      <c r="E2050" s="13" t="s">
        <v>1657</v>
      </c>
      <c r="F2050" t="str">
        <f t="shared" ref="F2050:F2113" si="160">IFERROR(LEFT(B2050,FIND(" ",B2050)-1),B2050)</f>
        <v>Memorial</v>
      </c>
      <c r="G2050" t="str">
        <f t="shared" ref="G2050:G2113" si="161">F2050&amp;C2050&amp;E2050</f>
        <v>Memorial2100Houston</v>
      </c>
      <c r="H2050" t="s">
        <v>32908</v>
      </c>
      <c r="I2050" t="s">
        <v>24334</v>
      </c>
      <c r="J2050" t="str">
        <f t="shared" ref="J2050:J2113" si="162">IF(L2050="TX",Folder_Path,Folder_Path&amp;"\State_"&amp;L2050)</f>
        <v>E:\PropInv\MF</v>
      </c>
      <c r="K2050" s="103" t="str">
        <f>HYPERLINK("E:\PropInv\MF\Houston\Memorial Dr_2100_2100 Memorial_Houston_02627","Memorial Dr_2100_2100 Memorial_Houston_02627" )</f>
        <v>Memorial Dr_2100_2100 Memorial_Houston_02627</v>
      </c>
      <c r="L2050" s="104" t="s">
        <v>22253</v>
      </c>
      <c r="M2050" s="103" t="str">
        <f t="shared" ref="M2050:M2113" si="163">HYPERLINK("http://oconnordata.com/mlink/modules/profile/index.cfm?action=profile&amp;prop_id="&amp;A2050)</f>
        <v>http://oconnordata.com/mlink/modules/profile/index.cfm?action=profile&amp;prop_id=2627</v>
      </c>
      <c r="N2050" s="1" t="str">
        <f t="shared" ref="N2050:N2113" si="164">IF(LEN(A2050)=1,"0000"&amp;A2050,IF(LEN(A2050)=2,"000"&amp;A2050,IF(LEN(A2050)=3,"00"&amp;A2050,IF(LEN(A2050)=4,"0"&amp;A2050,IF(LEN(A2050)=5,IF(LEFT(A2050,1)="3",A2050+30000,A2050))))))</f>
        <v>02627</v>
      </c>
    </row>
    <row r="2051" spans="1:14" x14ac:dyDescent="0.3">
      <c r="A2051" s="1">
        <v>2629</v>
      </c>
      <c r="B2051" s="7" t="s">
        <v>3095</v>
      </c>
      <c r="C2051" s="12">
        <v>935</v>
      </c>
      <c r="D2051" s="7" t="s">
        <v>3096</v>
      </c>
      <c r="E2051" s="13" t="s">
        <v>1657</v>
      </c>
      <c r="F2051" t="str">
        <f t="shared" si="160"/>
        <v>Byrne</v>
      </c>
      <c r="G2051" t="str">
        <f t="shared" si="161"/>
        <v>Byrne935Houston</v>
      </c>
      <c r="H2051" t="s">
        <v>32909</v>
      </c>
      <c r="I2051" t="s">
        <v>24335</v>
      </c>
      <c r="J2051" t="str">
        <f t="shared" si="162"/>
        <v>E:\PropInv\MF</v>
      </c>
      <c r="K2051" s="103" t="str">
        <f>HYPERLINK("E:\PropInv\MF\Houston\Byrne_935_Byrne Heights_Houston_02629","Byrne_935_Byrne Heights_Houston_02629" )</f>
        <v>Byrne_935_Byrne Heights_Houston_02629</v>
      </c>
      <c r="L2051" s="104" t="s">
        <v>22253</v>
      </c>
      <c r="M2051" s="103" t="str">
        <f t="shared" si="163"/>
        <v>http://oconnordata.com/mlink/modules/profile/index.cfm?action=profile&amp;prop_id=2629</v>
      </c>
      <c r="N2051" s="1" t="str">
        <f t="shared" si="164"/>
        <v>02629</v>
      </c>
    </row>
    <row r="2052" spans="1:14" x14ac:dyDescent="0.3">
      <c r="A2052" s="1">
        <v>2637</v>
      </c>
      <c r="B2052" s="7" t="s">
        <v>3078</v>
      </c>
      <c r="C2052" s="12">
        <v>205</v>
      </c>
      <c r="D2052" s="7" t="s">
        <v>3097</v>
      </c>
      <c r="E2052" s="13" t="s">
        <v>1657</v>
      </c>
      <c r="F2052" t="str">
        <f t="shared" si="160"/>
        <v>Heights</v>
      </c>
      <c r="G2052" t="str">
        <f t="shared" si="161"/>
        <v>Heights205Houston</v>
      </c>
      <c r="H2052" t="s">
        <v>32910</v>
      </c>
      <c r="I2052" t="s">
        <v>24336</v>
      </c>
      <c r="J2052" t="str">
        <f t="shared" si="162"/>
        <v>E:\PropInv\MF</v>
      </c>
      <c r="K2052" s="103" t="str">
        <f>HYPERLINK("E:\PropInv\MF\Houston\Heights_205_Heights Plaza (TBD)_Houston_02637","Heights_205_Heights Plaza (TBD)_Houston_02637" )</f>
        <v>Heights_205_Heights Plaza (TBD)_Houston_02637</v>
      </c>
      <c r="L2052" s="104" t="s">
        <v>22253</v>
      </c>
      <c r="M2052" s="103" t="str">
        <f t="shared" si="163"/>
        <v>http://oconnordata.com/mlink/modules/profile/index.cfm?action=profile&amp;prop_id=2637</v>
      </c>
      <c r="N2052" s="1" t="str">
        <f t="shared" si="164"/>
        <v>02637</v>
      </c>
    </row>
    <row r="2053" spans="1:14" x14ac:dyDescent="0.3">
      <c r="A2053" s="1">
        <v>2638</v>
      </c>
      <c r="B2053" s="7" t="s">
        <v>3092</v>
      </c>
      <c r="C2053" s="12">
        <v>201</v>
      </c>
      <c r="D2053" s="7" t="s">
        <v>3098</v>
      </c>
      <c r="E2053" s="13" t="s">
        <v>1657</v>
      </c>
      <c r="F2053" t="str">
        <f t="shared" si="160"/>
        <v>Heights</v>
      </c>
      <c r="G2053" t="str">
        <f t="shared" si="161"/>
        <v>Heights201Houston</v>
      </c>
      <c r="H2053" t="s">
        <v>32911</v>
      </c>
      <c r="I2053" t="s">
        <v>24337</v>
      </c>
      <c r="J2053" t="str">
        <f t="shared" si="162"/>
        <v>E:\PropInv\MF</v>
      </c>
      <c r="K2053" s="103" t="str">
        <f>HYPERLINK("E:\PropInv\MF\Houston\Heights Blvd S_201_Archstone Memorial Heights I_Houston_02638","Heights Blvd S_201_Archstone Memorial Heights I_Houston_02638" )</f>
        <v>Heights Blvd S_201_Archstone Memorial Heights I_Houston_02638</v>
      </c>
      <c r="L2053" s="104" t="s">
        <v>22253</v>
      </c>
      <c r="M2053" s="103" t="str">
        <f t="shared" si="163"/>
        <v>http://oconnordata.com/mlink/modules/profile/index.cfm?action=profile&amp;prop_id=2638</v>
      </c>
      <c r="N2053" s="1" t="str">
        <f t="shared" si="164"/>
        <v>02638</v>
      </c>
    </row>
    <row r="2054" spans="1:14" x14ac:dyDescent="0.3">
      <c r="A2054" s="1">
        <v>2642</v>
      </c>
      <c r="B2054" s="7" t="s">
        <v>3099</v>
      </c>
      <c r="C2054" s="12">
        <v>1600</v>
      </c>
      <c r="D2054" s="7" t="s">
        <v>3100</v>
      </c>
      <c r="E2054" s="13" t="s">
        <v>1657</v>
      </c>
      <c r="F2054" t="str">
        <f t="shared" si="160"/>
        <v>Allen</v>
      </c>
      <c r="G2054" t="str">
        <f t="shared" si="161"/>
        <v>Allen1600Houston</v>
      </c>
      <c r="H2054" t="s">
        <v>32912</v>
      </c>
      <c r="I2054" t="s">
        <v>24338</v>
      </c>
      <c r="J2054" t="str">
        <f t="shared" si="162"/>
        <v>E:\PropInv\MF</v>
      </c>
      <c r="K2054" s="103" t="str">
        <f>HYPERLINK("E:\PropInv\MF\Houston\Allen Pkwy_1600_Historic Oaks of Allen Parkway_Houston_02642","Allen Pkwy_1600_Historic Oaks of Allen Parkway_Houston_02642" )</f>
        <v>Allen Pkwy_1600_Historic Oaks of Allen Parkway_Houston_02642</v>
      </c>
      <c r="L2054" s="104" t="s">
        <v>22253</v>
      </c>
      <c r="M2054" s="103" t="str">
        <f t="shared" si="163"/>
        <v>http://oconnordata.com/mlink/modules/profile/index.cfm?action=profile&amp;prop_id=2642</v>
      </c>
      <c r="N2054" s="1" t="str">
        <f t="shared" si="164"/>
        <v>02642</v>
      </c>
    </row>
    <row r="2055" spans="1:14" x14ac:dyDescent="0.3">
      <c r="A2055" s="1">
        <v>2643</v>
      </c>
      <c r="B2055" s="10" t="s">
        <v>3101</v>
      </c>
      <c r="C2055" s="9">
        <v>401</v>
      </c>
      <c r="D2055" s="10" t="s">
        <v>3102</v>
      </c>
      <c r="E2055" s="11" t="s">
        <v>1657</v>
      </c>
      <c r="F2055" t="str">
        <f t="shared" si="160"/>
        <v>Louisiana</v>
      </c>
      <c r="G2055" t="str">
        <f t="shared" si="161"/>
        <v>Louisiana401Houston</v>
      </c>
      <c r="H2055" t="s">
        <v>32913</v>
      </c>
      <c r="I2055" t="s">
        <v>24339</v>
      </c>
      <c r="J2055" t="str">
        <f t="shared" si="162"/>
        <v>E:\PropInv\MF</v>
      </c>
      <c r="K2055" s="103" t="str">
        <f>HYPERLINK("E:\PropInv\MF\Houston\Louisiana_401_Hogg Palace Lofts_Houston_02643","Louisiana_401_Hogg Palace Lofts_Houston_02643" )</f>
        <v>Louisiana_401_Hogg Palace Lofts_Houston_02643</v>
      </c>
      <c r="L2055" s="104" t="s">
        <v>22253</v>
      </c>
      <c r="M2055" s="103" t="str">
        <f t="shared" si="163"/>
        <v>http://oconnordata.com/mlink/modules/profile/index.cfm?action=profile&amp;prop_id=2643</v>
      </c>
      <c r="N2055" s="1" t="str">
        <f t="shared" si="164"/>
        <v>02643</v>
      </c>
    </row>
    <row r="2056" spans="1:14" x14ac:dyDescent="0.3">
      <c r="A2056" s="1">
        <v>2644</v>
      </c>
      <c r="B2056" s="7" t="s">
        <v>3103</v>
      </c>
      <c r="C2056" s="12">
        <v>909</v>
      </c>
      <c r="D2056" s="7" t="s">
        <v>3104</v>
      </c>
      <c r="E2056" s="13" t="s">
        <v>1657</v>
      </c>
      <c r="F2056" t="str">
        <f t="shared" si="160"/>
        <v>Texas</v>
      </c>
      <c r="G2056" t="str">
        <f t="shared" si="161"/>
        <v>Texas909Houston</v>
      </c>
      <c r="H2056" t="s">
        <v>32914</v>
      </c>
      <c r="I2056" t="s">
        <v>24340</v>
      </c>
      <c r="J2056" t="str">
        <f t="shared" si="162"/>
        <v>E:\PropInv\MF</v>
      </c>
      <c r="K2056" s="103" t="str">
        <f>HYPERLINK("E:\PropInv\MF\Houston\Texas Ave_909_Post Rice Lofts_Houston_02644","Texas Ave_909_Post Rice Lofts_Houston_02644" )</f>
        <v>Texas Ave_909_Post Rice Lofts_Houston_02644</v>
      </c>
      <c r="L2056" s="104" t="s">
        <v>22253</v>
      </c>
      <c r="M2056" s="103" t="str">
        <f t="shared" si="163"/>
        <v>http://oconnordata.com/mlink/modules/profile/index.cfm?action=profile&amp;prop_id=2644</v>
      </c>
      <c r="N2056" s="1" t="str">
        <f t="shared" si="164"/>
        <v>02644</v>
      </c>
    </row>
    <row r="2057" spans="1:14" x14ac:dyDescent="0.3">
      <c r="A2057" s="1">
        <v>2645</v>
      </c>
      <c r="B2057" s="7" t="s">
        <v>3105</v>
      </c>
      <c r="C2057" s="12">
        <v>417</v>
      </c>
      <c r="D2057" s="7" t="s">
        <v>3106</v>
      </c>
      <c r="E2057" s="13" t="s">
        <v>1657</v>
      </c>
      <c r="F2057" t="str">
        <f t="shared" si="160"/>
        <v>Clay</v>
      </c>
      <c r="G2057" t="str">
        <f t="shared" si="161"/>
        <v>Clay417Houston</v>
      </c>
      <c r="H2057" t="s">
        <v>32915</v>
      </c>
      <c r="I2057" t="s">
        <v>24341</v>
      </c>
      <c r="J2057" t="str">
        <f t="shared" si="162"/>
        <v>E:\PropInv\MF</v>
      </c>
      <c r="K2057" s="103" t="str">
        <f>HYPERLINK("E:\PropInv\MF\Houston\Clay W_417_West Clay_Houston_02645","Clay W_417_West Clay_Houston_02645" )</f>
        <v>Clay W_417_West Clay_Houston_02645</v>
      </c>
      <c r="L2057" s="104" t="s">
        <v>22253</v>
      </c>
      <c r="M2057" s="103" t="str">
        <f t="shared" si="163"/>
        <v>http://oconnordata.com/mlink/modules/profile/index.cfm?action=profile&amp;prop_id=2645</v>
      </c>
      <c r="N2057" s="1" t="str">
        <f t="shared" si="164"/>
        <v>02645</v>
      </c>
    </row>
    <row r="2058" spans="1:14" x14ac:dyDescent="0.3">
      <c r="A2058" s="1">
        <v>2650</v>
      </c>
      <c r="B2058" s="7" t="s">
        <v>3107</v>
      </c>
      <c r="C2058" s="12">
        <v>2350</v>
      </c>
      <c r="D2058" s="7" t="s">
        <v>3108</v>
      </c>
      <c r="E2058" s="13" t="s">
        <v>1657</v>
      </c>
      <c r="F2058" t="str">
        <f t="shared" si="160"/>
        <v>Bagby</v>
      </c>
      <c r="G2058" t="str">
        <f t="shared" si="161"/>
        <v>Bagby2350Houston</v>
      </c>
      <c r="H2058" t="s">
        <v>32916</v>
      </c>
      <c r="I2058" t="s">
        <v>24342</v>
      </c>
      <c r="J2058" t="str">
        <f t="shared" si="162"/>
        <v>E:\PropInv\MF</v>
      </c>
      <c r="K2058" s="103" t="str">
        <f>HYPERLINK("E:\PropInv\MF\Houston\Bagby_2350_Metro Midtown_Houston_02650","Bagby_2350_Metro Midtown_Houston_02650" )</f>
        <v>Bagby_2350_Metro Midtown_Houston_02650</v>
      </c>
      <c r="L2058" s="104" t="s">
        <v>22253</v>
      </c>
      <c r="M2058" s="103" t="str">
        <f t="shared" si="163"/>
        <v>http://oconnordata.com/mlink/modules/profile/index.cfm?action=profile&amp;prop_id=2650</v>
      </c>
      <c r="N2058" s="1" t="str">
        <f t="shared" si="164"/>
        <v>02650</v>
      </c>
    </row>
    <row r="2059" spans="1:14" x14ac:dyDescent="0.3">
      <c r="A2059" s="1">
        <v>2652</v>
      </c>
      <c r="B2059" s="7" t="s">
        <v>3109</v>
      </c>
      <c r="C2059" s="12">
        <v>320</v>
      </c>
      <c r="D2059" s="7" t="s">
        <v>3110</v>
      </c>
      <c r="E2059" s="13" t="s">
        <v>1657</v>
      </c>
      <c r="F2059" t="str">
        <f t="shared" si="160"/>
        <v>Hamilton</v>
      </c>
      <c r="G2059" t="str">
        <f t="shared" si="161"/>
        <v>Hamilton320Houston</v>
      </c>
      <c r="H2059" t="s">
        <v>32917</v>
      </c>
      <c r="I2059" t="s">
        <v>24343</v>
      </c>
      <c r="J2059" t="str">
        <f t="shared" si="162"/>
        <v>E:\PropInv\MF</v>
      </c>
      <c r="K2059" s="103" t="str">
        <f>HYPERLINK("E:\PropInv\MF\Houston\Hamilton St_320_Hamilton Street Residence_Houston_02652","Hamilton St_320_Hamilton Street Residence_Houston_02652" )</f>
        <v>Hamilton St_320_Hamilton Street Residence_Houston_02652</v>
      </c>
      <c r="L2059" s="104" t="s">
        <v>22253</v>
      </c>
      <c r="M2059" s="103" t="str">
        <f t="shared" si="163"/>
        <v>http://oconnordata.com/mlink/modules/profile/index.cfm?action=profile&amp;prop_id=2652</v>
      </c>
      <c r="N2059" s="1" t="str">
        <f t="shared" si="164"/>
        <v>02652</v>
      </c>
    </row>
    <row r="2060" spans="1:14" x14ac:dyDescent="0.3">
      <c r="A2060" s="1">
        <v>2656</v>
      </c>
      <c r="B2060" s="7" t="s">
        <v>2932</v>
      </c>
      <c r="C2060" s="12">
        <v>502</v>
      </c>
      <c r="D2060" s="7" t="s">
        <v>3111</v>
      </c>
      <c r="E2060" s="13" t="s">
        <v>1657</v>
      </c>
      <c r="F2060" t="str">
        <f t="shared" si="160"/>
        <v>Alabama</v>
      </c>
      <c r="G2060" t="str">
        <f t="shared" si="161"/>
        <v>Alabama502Houston</v>
      </c>
      <c r="H2060" t="s">
        <v>32918</v>
      </c>
      <c r="I2060" t="s">
        <v>24344</v>
      </c>
      <c r="J2060" t="str">
        <f t="shared" si="162"/>
        <v>E:\PropInv\MF</v>
      </c>
      <c r="K2060" s="103" t="str">
        <f>HYPERLINK("E:\PropInv\MF\Houston\Alabama W_502_Skylane Montrose_Houston_02656","Alabama W_502_Skylane Montrose_Houston_02656" )</f>
        <v>Alabama W_502_Skylane Montrose_Houston_02656</v>
      </c>
      <c r="L2060" s="104" t="s">
        <v>22253</v>
      </c>
      <c r="M2060" s="103" t="str">
        <f t="shared" si="163"/>
        <v>http://oconnordata.com/mlink/modules/profile/index.cfm?action=profile&amp;prop_id=2656</v>
      </c>
      <c r="N2060" s="1" t="str">
        <f t="shared" si="164"/>
        <v>02656</v>
      </c>
    </row>
    <row r="2061" spans="1:14" x14ac:dyDescent="0.3">
      <c r="A2061" s="1">
        <v>2657</v>
      </c>
      <c r="B2061" s="7" t="s">
        <v>3112</v>
      </c>
      <c r="C2061" s="12">
        <v>1903</v>
      </c>
      <c r="D2061" s="7" t="s">
        <v>3112</v>
      </c>
      <c r="E2061" s="13" t="s">
        <v>1657</v>
      </c>
      <c r="F2061" t="str">
        <f t="shared" si="160"/>
        <v>Commonwealth</v>
      </c>
      <c r="G2061" t="str">
        <f t="shared" si="161"/>
        <v>Commonwealth1903Houston</v>
      </c>
      <c r="H2061" t="s">
        <v>32919</v>
      </c>
      <c r="I2061" t="s">
        <v>24345</v>
      </c>
      <c r="J2061" t="str">
        <f t="shared" si="162"/>
        <v>E:\PropInv\MF</v>
      </c>
      <c r="K2061" s="103" t="str">
        <f>HYPERLINK("E:\PropInv\MF\Houston\Commonwealth_1903_Commonwealth_Houston_02657","Commonwealth_1903_Commonwealth_Houston_02657" )</f>
        <v>Commonwealth_1903_Commonwealth_Houston_02657</v>
      </c>
      <c r="L2061" s="104" t="s">
        <v>22253</v>
      </c>
      <c r="M2061" s="103" t="str">
        <f t="shared" si="163"/>
        <v>http://oconnordata.com/mlink/modules/profile/index.cfm?action=profile&amp;prop_id=2657</v>
      </c>
      <c r="N2061" s="1" t="str">
        <f t="shared" si="164"/>
        <v>02657</v>
      </c>
    </row>
    <row r="2062" spans="1:14" x14ac:dyDescent="0.3">
      <c r="A2062" s="1">
        <v>2659</v>
      </c>
      <c r="B2062" s="7" t="s">
        <v>3113</v>
      </c>
      <c r="C2062" s="12">
        <v>1410</v>
      </c>
      <c r="D2062" s="7" t="s">
        <v>3113</v>
      </c>
      <c r="E2062" s="13" t="s">
        <v>1657</v>
      </c>
      <c r="F2062" t="str">
        <f t="shared" si="160"/>
        <v>Hyde</v>
      </c>
      <c r="G2062" t="str">
        <f t="shared" si="161"/>
        <v>Hyde1410Houston</v>
      </c>
      <c r="H2062" t="s">
        <v>32920</v>
      </c>
      <c r="I2062" t="s">
        <v>24346</v>
      </c>
      <c r="J2062" t="str">
        <f t="shared" si="162"/>
        <v>E:\PropInv\MF</v>
      </c>
      <c r="K2062" s="103" t="str">
        <f>HYPERLINK("E:\PropInv\MF\Houston\Hyde Park_1410_Hyde Park_Houston_02659","Hyde Park_1410_Hyde Park_Houston_02659" )</f>
        <v>Hyde Park_1410_Hyde Park_Houston_02659</v>
      </c>
      <c r="L2062" s="104" t="s">
        <v>22253</v>
      </c>
      <c r="M2062" s="103" t="str">
        <f t="shared" si="163"/>
        <v>http://oconnordata.com/mlink/modules/profile/index.cfm?action=profile&amp;prop_id=2659</v>
      </c>
      <c r="N2062" s="1" t="str">
        <f t="shared" si="164"/>
        <v>02659</v>
      </c>
    </row>
    <row r="2063" spans="1:14" x14ac:dyDescent="0.3">
      <c r="A2063" s="1">
        <v>2662</v>
      </c>
      <c r="B2063" s="7" t="s">
        <v>3114</v>
      </c>
      <c r="C2063" s="12">
        <v>1919</v>
      </c>
      <c r="D2063" s="7" t="s">
        <v>3115</v>
      </c>
      <c r="E2063" s="13" t="s">
        <v>1657</v>
      </c>
      <c r="F2063" t="str">
        <f t="shared" si="160"/>
        <v>Runnels</v>
      </c>
      <c r="G2063" t="str">
        <f t="shared" si="161"/>
        <v>Runnels1919Houston</v>
      </c>
      <c r="H2063" t="s">
        <v>32921</v>
      </c>
      <c r="I2063" t="s">
        <v>24347</v>
      </c>
      <c r="J2063" t="str">
        <f t="shared" si="162"/>
        <v>E:\PropInv\MF</v>
      </c>
      <c r="K2063" s="103" t="str">
        <f>HYPERLINK("E:\PropInv\MF\Houston\Runnels St_1919_Clayton Homes_Houston_02662","Runnels St_1919_Clayton Homes_Houston_02662" )</f>
        <v>Runnels St_1919_Clayton Homes_Houston_02662</v>
      </c>
      <c r="L2063" s="104" t="s">
        <v>22253</v>
      </c>
      <c r="M2063" s="103" t="str">
        <f t="shared" si="163"/>
        <v>http://oconnordata.com/mlink/modules/profile/index.cfm?action=profile&amp;prop_id=2662</v>
      </c>
      <c r="N2063" s="1" t="str">
        <f t="shared" si="164"/>
        <v>02662</v>
      </c>
    </row>
    <row r="2064" spans="1:14" x14ac:dyDescent="0.3">
      <c r="A2064" s="1">
        <v>2663</v>
      </c>
      <c r="B2064" s="7" t="s">
        <v>3116</v>
      </c>
      <c r="C2064" s="12">
        <v>1111</v>
      </c>
      <c r="D2064" s="7" t="s">
        <v>3117</v>
      </c>
      <c r="E2064" s="13" t="s">
        <v>1657</v>
      </c>
      <c r="F2064" t="str">
        <f t="shared" si="160"/>
        <v>Caroline</v>
      </c>
      <c r="G2064" t="str">
        <f t="shared" si="161"/>
        <v>Caroline1111Houston</v>
      </c>
      <c r="H2064" t="s">
        <v>32922</v>
      </c>
      <c r="I2064" t="s">
        <v>24348</v>
      </c>
      <c r="J2064" t="str">
        <f t="shared" si="162"/>
        <v>E:\PropInv\MF</v>
      </c>
      <c r="K2064" s="103" t="str">
        <f>HYPERLINK("E:\PropInv\MF\Houston\Caroline_1111_Four Seasons Place_Houston_02663","Caroline_1111_Four Seasons Place_Houston_02663" )</f>
        <v>Caroline_1111_Four Seasons Place_Houston_02663</v>
      </c>
      <c r="L2064" s="104" t="s">
        <v>22253</v>
      </c>
      <c r="M2064" s="103" t="str">
        <f t="shared" si="163"/>
        <v>http://oconnordata.com/mlink/modules/profile/index.cfm?action=profile&amp;prop_id=2663</v>
      </c>
      <c r="N2064" s="1" t="str">
        <f t="shared" si="164"/>
        <v>02663</v>
      </c>
    </row>
    <row r="2065" spans="1:14" x14ac:dyDescent="0.3">
      <c r="A2065" s="1">
        <v>2664</v>
      </c>
      <c r="B2065" s="7" t="s">
        <v>3118</v>
      </c>
      <c r="C2065" s="12">
        <v>2016</v>
      </c>
      <c r="D2065" s="7" t="s">
        <v>3119</v>
      </c>
      <c r="E2065" s="13" t="s">
        <v>1657</v>
      </c>
      <c r="F2065" t="str">
        <f t="shared" si="160"/>
        <v>Main</v>
      </c>
      <c r="G2065" t="str">
        <f t="shared" si="161"/>
        <v>Main2016Houston</v>
      </c>
      <c r="H2065" t="s">
        <v>32923</v>
      </c>
      <c r="I2065" t="s">
        <v>24349</v>
      </c>
      <c r="J2065" t="str">
        <f t="shared" si="162"/>
        <v>E:\PropInv\MF</v>
      </c>
      <c r="K2065" s="103" t="str">
        <f>HYPERLINK("E:\PropInv\MF\Houston\Main St_2016_2016 Main_Houston_02664","Main St_2016_2016 Main_Houston_02664" )</f>
        <v>Main St_2016_2016 Main_Houston_02664</v>
      </c>
      <c r="L2065" s="104" t="s">
        <v>22253</v>
      </c>
      <c r="M2065" s="103" t="str">
        <f t="shared" si="163"/>
        <v>http://oconnordata.com/mlink/modules/profile/index.cfm?action=profile&amp;prop_id=2664</v>
      </c>
      <c r="N2065" s="1" t="str">
        <f t="shared" si="164"/>
        <v>02664</v>
      </c>
    </row>
    <row r="2066" spans="1:14" x14ac:dyDescent="0.3">
      <c r="A2066" s="1">
        <v>2670</v>
      </c>
      <c r="B2066" s="7" t="s">
        <v>3120</v>
      </c>
      <c r="C2066" s="12">
        <v>302</v>
      </c>
      <c r="D2066" s="7" t="s">
        <v>3121</v>
      </c>
      <c r="E2066" s="13" t="s">
        <v>1657</v>
      </c>
      <c r="F2066" t="str">
        <f t="shared" si="160"/>
        <v>Gray</v>
      </c>
      <c r="G2066" t="str">
        <f t="shared" si="161"/>
        <v>Gray302Houston</v>
      </c>
      <c r="H2066" t="s">
        <v>32924</v>
      </c>
      <c r="I2066" t="s">
        <v>24350</v>
      </c>
      <c r="J2066" t="str">
        <f t="shared" si="162"/>
        <v>E:\PropInv\MF</v>
      </c>
      <c r="K2066" s="103" t="str">
        <f>HYPERLINK("E:\PropInv\MF\Houston\Gray St_302_Post Midtown Square (I &amp; II)_Houston_02670","Gray St_302_Post Midtown Square (I &amp; II)_Houston_02670" )</f>
        <v>Gray St_302_Post Midtown Square (I &amp; II)_Houston_02670</v>
      </c>
      <c r="L2066" s="104" t="s">
        <v>22253</v>
      </c>
      <c r="M2066" s="103" t="str">
        <f t="shared" si="163"/>
        <v>http://oconnordata.com/mlink/modules/profile/index.cfm?action=profile&amp;prop_id=2670</v>
      </c>
      <c r="N2066" s="1" t="str">
        <f t="shared" si="164"/>
        <v>02670</v>
      </c>
    </row>
    <row r="2067" spans="1:14" x14ac:dyDescent="0.3">
      <c r="A2067" s="1">
        <v>2671</v>
      </c>
      <c r="B2067" s="7" t="s">
        <v>3101</v>
      </c>
      <c r="C2067" s="12">
        <v>2303</v>
      </c>
      <c r="D2067" s="7" t="s">
        <v>3122</v>
      </c>
      <c r="E2067" s="13" t="s">
        <v>1657</v>
      </c>
      <c r="F2067" t="str">
        <f t="shared" si="160"/>
        <v>Louisiana</v>
      </c>
      <c r="G2067" t="str">
        <f t="shared" si="161"/>
        <v>Louisiana2303Houston</v>
      </c>
      <c r="H2067" t="s">
        <v>32925</v>
      </c>
      <c r="I2067" t="s">
        <v>24351</v>
      </c>
      <c r="J2067" t="str">
        <f t="shared" si="162"/>
        <v>E:\PropInv\MF</v>
      </c>
      <c r="K2067" s="103" t="str">
        <f>HYPERLINK("E:\PropInv\MF\Houston\Louisiana_2303_Camden Midtown_Houston_02671","Louisiana_2303_Camden Midtown_Houston_02671" )</f>
        <v>Louisiana_2303_Camden Midtown_Houston_02671</v>
      </c>
      <c r="L2067" s="104" t="s">
        <v>22253</v>
      </c>
      <c r="M2067" s="103" t="str">
        <f t="shared" si="163"/>
        <v>http://oconnordata.com/mlink/modules/profile/index.cfm?action=profile&amp;prop_id=2671</v>
      </c>
      <c r="N2067" s="1" t="str">
        <f t="shared" si="164"/>
        <v>02671</v>
      </c>
    </row>
    <row r="2068" spans="1:14" x14ac:dyDescent="0.3">
      <c r="A2068" s="1">
        <v>2674</v>
      </c>
      <c r="B2068" s="7" t="s">
        <v>3113</v>
      </c>
      <c r="C2068" s="12">
        <v>1419</v>
      </c>
      <c r="D2068" s="7" t="s">
        <v>3123</v>
      </c>
      <c r="E2068" s="13" t="s">
        <v>1657</v>
      </c>
      <c r="F2068" t="str">
        <f t="shared" si="160"/>
        <v>Hyde</v>
      </c>
      <c r="G2068" t="str">
        <f t="shared" si="161"/>
        <v>Hyde1419Houston</v>
      </c>
      <c r="H2068" t="s">
        <v>32926</v>
      </c>
      <c r="I2068" t="s">
        <v>24352</v>
      </c>
      <c r="J2068" t="str">
        <f t="shared" si="162"/>
        <v>E:\PropInv\MF</v>
      </c>
      <c r="K2068" s="103" t="str">
        <f>HYPERLINK("E:\PropInv\MF\Houston\Hyde Park_1419_Michael Hyde Park Apts_Houston_02674","Hyde Park_1419_Michael Hyde Park Apts_Houston_02674" )</f>
        <v>Hyde Park_1419_Michael Hyde Park Apts_Houston_02674</v>
      </c>
      <c r="L2068" s="104" t="s">
        <v>22253</v>
      </c>
      <c r="M2068" s="103" t="str">
        <f t="shared" si="163"/>
        <v>http://oconnordata.com/mlink/modules/profile/index.cfm?action=profile&amp;prop_id=2674</v>
      </c>
      <c r="N2068" s="1" t="str">
        <f t="shared" si="164"/>
        <v>02674</v>
      </c>
    </row>
    <row r="2069" spans="1:14" x14ac:dyDescent="0.3">
      <c r="A2069" s="1">
        <v>2678</v>
      </c>
      <c r="B2069" s="7" t="s">
        <v>3113</v>
      </c>
      <c r="C2069" s="12">
        <v>1501</v>
      </c>
      <c r="D2069" s="7" t="s">
        <v>3124</v>
      </c>
      <c r="E2069" s="13" t="s">
        <v>1657</v>
      </c>
      <c r="F2069" t="str">
        <f t="shared" si="160"/>
        <v>Hyde</v>
      </c>
      <c r="G2069" t="str">
        <f t="shared" si="161"/>
        <v>Hyde1501Houston</v>
      </c>
      <c r="H2069" t="s">
        <v>32927</v>
      </c>
      <c r="I2069" t="s">
        <v>24353</v>
      </c>
      <c r="J2069" t="str">
        <f t="shared" si="162"/>
        <v>E:\PropInv\MF</v>
      </c>
      <c r="K2069" s="103" t="str">
        <f>HYPERLINK("E:\PropInv\MF\Houston\Hyde Park_1501_Killarney Oaks_Houston_02678","Hyde Park_1501_Killarney Oaks_Houston_02678" )</f>
        <v>Hyde Park_1501_Killarney Oaks_Houston_02678</v>
      </c>
      <c r="L2069" s="104" t="s">
        <v>22253</v>
      </c>
      <c r="M2069" s="103" t="str">
        <f t="shared" si="163"/>
        <v>http://oconnordata.com/mlink/modules/profile/index.cfm?action=profile&amp;prop_id=2678</v>
      </c>
      <c r="N2069" s="1" t="str">
        <f t="shared" si="164"/>
        <v>02678</v>
      </c>
    </row>
    <row r="2070" spans="1:14" x14ac:dyDescent="0.3">
      <c r="A2070" s="1">
        <v>2682</v>
      </c>
      <c r="B2070" s="7" t="s">
        <v>3125</v>
      </c>
      <c r="C2070" s="12">
        <v>10</v>
      </c>
      <c r="D2070" s="7" t="s">
        <v>3126</v>
      </c>
      <c r="E2070" s="13" t="s">
        <v>1657</v>
      </c>
      <c r="F2070" t="str">
        <f t="shared" si="160"/>
        <v>Oak</v>
      </c>
      <c r="G2070" t="str">
        <f t="shared" si="161"/>
        <v>Oak10Houston</v>
      </c>
      <c r="H2070" t="s">
        <v>32928</v>
      </c>
      <c r="I2070" t="s">
        <v>24354</v>
      </c>
      <c r="J2070" t="str">
        <f t="shared" si="162"/>
        <v>E:\PropInv\MF</v>
      </c>
      <c r="K2070" s="103" t="str">
        <f>HYPERLINK("E:\PropInv\MF\Houston\Oak Ct_10_Midtown Arbor Place_Houston_02682","Oak Ct_10_Midtown Arbor Place_Houston_02682" )</f>
        <v>Oak Ct_10_Midtown Arbor Place_Houston_02682</v>
      </c>
      <c r="L2070" s="104" t="s">
        <v>22253</v>
      </c>
      <c r="M2070" s="103" t="str">
        <f t="shared" si="163"/>
        <v>http://oconnordata.com/mlink/modules/profile/index.cfm?action=profile&amp;prop_id=2682</v>
      </c>
      <c r="N2070" s="1" t="str">
        <f t="shared" si="164"/>
        <v>02682</v>
      </c>
    </row>
    <row r="2071" spans="1:14" x14ac:dyDescent="0.3">
      <c r="A2071" s="1">
        <v>2683</v>
      </c>
      <c r="B2071" s="7" t="s">
        <v>3127</v>
      </c>
      <c r="C2071" s="12">
        <v>1617</v>
      </c>
      <c r="D2071" s="7" t="s">
        <v>3128</v>
      </c>
      <c r="E2071" s="13" t="s">
        <v>1657</v>
      </c>
      <c r="F2071" t="str">
        <f t="shared" si="160"/>
        <v>Fannin</v>
      </c>
      <c r="G2071" t="str">
        <f t="shared" si="161"/>
        <v>Fannin1617Houston</v>
      </c>
      <c r="H2071" t="s">
        <v>32929</v>
      </c>
      <c r="I2071" t="s">
        <v>24355</v>
      </c>
      <c r="J2071" t="str">
        <f t="shared" si="162"/>
        <v>E:\PropInv\MF</v>
      </c>
      <c r="K2071" s="103" t="str">
        <f>HYPERLINK("E:\PropInv\MF\Houston\Fannin St_1617_Houston House_Houston_02683","Fannin St_1617_Houston House_Houston_02683" )</f>
        <v>Fannin St_1617_Houston House_Houston_02683</v>
      </c>
      <c r="L2071" s="104" t="s">
        <v>22253</v>
      </c>
      <c r="M2071" s="103" t="str">
        <f t="shared" si="163"/>
        <v>http://oconnordata.com/mlink/modules/profile/index.cfm?action=profile&amp;prop_id=2683</v>
      </c>
      <c r="N2071" s="1" t="str">
        <f t="shared" si="164"/>
        <v>02683</v>
      </c>
    </row>
    <row r="2072" spans="1:14" x14ac:dyDescent="0.3">
      <c r="A2072" s="1">
        <v>2688</v>
      </c>
      <c r="B2072" s="19" t="s">
        <v>3129</v>
      </c>
      <c r="C2072" s="18">
        <v>301</v>
      </c>
      <c r="D2072" s="19" t="s">
        <v>3130</v>
      </c>
      <c r="E2072" s="20" t="s">
        <v>1657</v>
      </c>
      <c r="F2072" t="str">
        <f t="shared" si="160"/>
        <v>Avondale</v>
      </c>
      <c r="G2072" t="str">
        <f t="shared" si="161"/>
        <v>Avondale301Houston</v>
      </c>
      <c r="H2072" t="s">
        <v>32930</v>
      </c>
      <c r="I2072" t="s">
        <v>24356</v>
      </c>
      <c r="J2072" t="str">
        <f t="shared" si="162"/>
        <v>E:\PropInv\MF</v>
      </c>
      <c r="K2072" s="103" t="str">
        <f>HYPERLINK("E:\PropInv\MF\Houston\Avondale_301_Calvert Apts_Houston_02688","Avondale_301_Calvert Apts_Houston_02688" )</f>
        <v>Avondale_301_Calvert Apts_Houston_02688</v>
      </c>
      <c r="L2072" s="104" t="s">
        <v>22253</v>
      </c>
      <c r="M2072" s="103" t="str">
        <f t="shared" si="163"/>
        <v>http://oconnordata.com/mlink/modules/profile/index.cfm?action=profile&amp;prop_id=2688</v>
      </c>
      <c r="N2072" s="1" t="str">
        <f t="shared" si="164"/>
        <v>02688</v>
      </c>
    </row>
    <row r="2073" spans="1:14" x14ac:dyDescent="0.3">
      <c r="A2073" s="1">
        <v>2710</v>
      </c>
      <c r="B2073" s="7" t="s">
        <v>3131</v>
      </c>
      <c r="C2073" s="12">
        <v>1419</v>
      </c>
      <c r="D2073" s="7" t="s">
        <v>3131</v>
      </c>
      <c r="E2073" s="13" t="s">
        <v>1657</v>
      </c>
      <c r="F2073" t="str">
        <f t="shared" si="160"/>
        <v>Hawthorne</v>
      </c>
      <c r="G2073" t="str">
        <f t="shared" si="161"/>
        <v>Hawthorne1419Houston</v>
      </c>
      <c r="H2073" t="s">
        <v>32931</v>
      </c>
      <c r="I2073" t="s">
        <v>24357</v>
      </c>
      <c r="J2073" t="str">
        <f t="shared" si="162"/>
        <v>E:\PropInv\MF</v>
      </c>
      <c r="K2073" s="103" t="str">
        <f>HYPERLINK("E:\PropInv\MF\Houston\Hawthorne_1419_Hawthorne_Houston_02710","Hawthorne_1419_Hawthorne_Houston_02710" )</f>
        <v>Hawthorne_1419_Hawthorne_Houston_02710</v>
      </c>
      <c r="L2073" s="104" t="s">
        <v>22253</v>
      </c>
      <c r="M2073" s="103" t="str">
        <f t="shared" si="163"/>
        <v>http://oconnordata.com/mlink/modules/profile/index.cfm?action=profile&amp;prop_id=2710</v>
      </c>
      <c r="N2073" s="1" t="str">
        <f t="shared" si="164"/>
        <v>02710</v>
      </c>
    </row>
    <row r="2074" spans="1:14" x14ac:dyDescent="0.3">
      <c r="A2074" s="1">
        <v>2717</v>
      </c>
      <c r="B2074" s="19" t="s">
        <v>3132</v>
      </c>
      <c r="C2074" s="18">
        <v>605</v>
      </c>
      <c r="D2074" s="19" t="s">
        <v>3133</v>
      </c>
      <c r="E2074" s="20" t="s">
        <v>1657</v>
      </c>
      <c r="F2074" t="str">
        <f t="shared" si="160"/>
        <v>Berry</v>
      </c>
      <c r="G2074" t="str">
        <f t="shared" si="161"/>
        <v>Berry605Houston</v>
      </c>
      <c r="H2074" t="s">
        <v>32932</v>
      </c>
      <c r="I2074" t="s">
        <v>24358</v>
      </c>
      <c r="J2074" t="str">
        <f t="shared" si="162"/>
        <v>E:\PropInv\MF</v>
      </c>
      <c r="K2074" s="103" t="str">
        <f>HYPERLINK("E:\PropInv\MF\Houston\Berry_605_Oxford Place Apts_Houston_02717","Berry_605_Oxford Place Apts_Houston_02717" )</f>
        <v>Berry_605_Oxford Place Apts_Houston_02717</v>
      </c>
      <c r="L2074" s="104" t="s">
        <v>22253</v>
      </c>
      <c r="M2074" s="103" t="str">
        <f t="shared" si="163"/>
        <v>http://oconnordata.com/mlink/modules/profile/index.cfm?action=profile&amp;prop_id=2717</v>
      </c>
      <c r="N2074" s="1" t="str">
        <f t="shared" si="164"/>
        <v>02717</v>
      </c>
    </row>
    <row r="2075" spans="1:14" x14ac:dyDescent="0.3">
      <c r="A2075" s="1">
        <v>2721</v>
      </c>
      <c r="B2075" s="7" t="s">
        <v>3051</v>
      </c>
      <c r="C2075" s="12">
        <v>604</v>
      </c>
      <c r="D2075" s="7" t="s">
        <v>3134</v>
      </c>
      <c r="E2075" s="13" t="s">
        <v>1657</v>
      </c>
      <c r="F2075" t="str">
        <f t="shared" si="160"/>
        <v>Main</v>
      </c>
      <c r="G2075" t="str">
        <f t="shared" si="161"/>
        <v>Main604Houston</v>
      </c>
      <c r="H2075" t="s">
        <v>32933</v>
      </c>
      <c r="I2075" t="s">
        <v>24359</v>
      </c>
      <c r="J2075" t="str">
        <f t="shared" si="162"/>
        <v>E:\PropInv\MF</v>
      </c>
      <c r="K2075" s="103" t="str">
        <f>HYPERLINK("E:\PropInv\MF\Houston\Main W_604_Gaslight Square_Houston_02721","Main W_604_Gaslight Square_Houston_02721" )</f>
        <v>Main W_604_Gaslight Square_Houston_02721</v>
      </c>
      <c r="L2075" s="104" t="s">
        <v>22253</v>
      </c>
      <c r="M2075" s="103" t="str">
        <f t="shared" si="163"/>
        <v>http://oconnordata.com/mlink/modules/profile/index.cfm?action=profile&amp;prop_id=2721</v>
      </c>
      <c r="N2075" s="1" t="str">
        <f t="shared" si="164"/>
        <v>02721</v>
      </c>
    </row>
    <row r="2076" spans="1:14" x14ac:dyDescent="0.3">
      <c r="A2076" s="1">
        <v>2725</v>
      </c>
      <c r="B2076" s="7" t="s">
        <v>2932</v>
      </c>
      <c r="C2076" s="12">
        <v>230</v>
      </c>
      <c r="D2076" s="7" t="s">
        <v>3135</v>
      </c>
      <c r="E2076" s="13" t="s">
        <v>1657</v>
      </c>
      <c r="F2076" t="str">
        <f t="shared" si="160"/>
        <v>Alabama</v>
      </c>
      <c r="G2076" t="str">
        <f t="shared" si="161"/>
        <v>Alabama230Houston</v>
      </c>
      <c r="H2076" t="s">
        <v>32934</v>
      </c>
      <c r="I2076" t="s">
        <v>24360</v>
      </c>
      <c r="J2076" t="str">
        <f t="shared" si="162"/>
        <v>E:\PropInv\MF</v>
      </c>
      <c r="K2076" s="103" t="str">
        <f>HYPERLINK("E:\PropInv\MF\Houston\Alabama W_230_230 West Alabama_Houston_02725","Alabama W_230_230 West Alabama_Houston_02725" )</f>
        <v>Alabama W_230_230 West Alabama_Houston_02725</v>
      </c>
      <c r="L2076" s="104" t="s">
        <v>22253</v>
      </c>
      <c r="M2076" s="103" t="str">
        <f t="shared" si="163"/>
        <v>http://oconnordata.com/mlink/modules/profile/index.cfm?action=profile&amp;prop_id=2725</v>
      </c>
      <c r="N2076" s="1" t="str">
        <f t="shared" si="164"/>
        <v>02725</v>
      </c>
    </row>
    <row r="2077" spans="1:14" x14ac:dyDescent="0.3">
      <c r="A2077" s="1">
        <v>2732</v>
      </c>
      <c r="B2077" s="7" t="s">
        <v>3136</v>
      </c>
      <c r="C2077" s="12">
        <v>414</v>
      </c>
      <c r="D2077" s="7" t="s">
        <v>3137</v>
      </c>
      <c r="E2077" s="13" t="s">
        <v>1657</v>
      </c>
      <c r="F2077" t="str">
        <f t="shared" si="160"/>
        <v>Marshall</v>
      </c>
      <c r="G2077" t="str">
        <f t="shared" si="161"/>
        <v>Marshall414Houston</v>
      </c>
      <c r="H2077" t="s">
        <v>32935</v>
      </c>
      <c r="I2077" t="s">
        <v>24361</v>
      </c>
      <c r="J2077" t="str">
        <f t="shared" si="162"/>
        <v>E:\PropInv\MF</v>
      </c>
      <c r="K2077" s="103" t="str">
        <f>HYPERLINK("E:\PropInv\MF\Houston\Marshall_414_Marshall Gardens_Houston_02732","Marshall_414_Marshall Gardens_Houston_02732" )</f>
        <v>Marshall_414_Marshall Gardens_Houston_02732</v>
      </c>
      <c r="L2077" s="104" t="s">
        <v>22253</v>
      </c>
      <c r="M2077" s="103" t="str">
        <f t="shared" si="163"/>
        <v>http://oconnordata.com/mlink/modules/profile/index.cfm?action=profile&amp;prop_id=2732</v>
      </c>
      <c r="N2077" s="1" t="str">
        <f t="shared" si="164"/>
        <v>02732</v>
      </c>
    </row>
    <row r="2078" spans="1:14" x14ac:dyDescent="0.3">
      <c r="A2078" s="1">
        <v>2733</v>
      </c>
      <c r="B2078" s="7" t="s">
        <v>3138</v>
      </c>
      <c r="C2078" s="12">
        <v>3810</v>
      </c>
      <c r="D2078" s="7" t="s">
        <v>3139</v>
      </c>
      <c r="E2078" s="13" t="s">
        <v>1657</v>
      </c>
      <c r="F2078" t="str">
        <f t="shared" si="160"/>
        <v>San</v>
      </c>
      <c r="G2078" t="str">
        <f t="shared" si="161"/>
        <v>San3810Houston</v>
      </c>
      <c r="H2078" t="s">
        <v>32936</v>
      </c>
      <c r="I2078" t="s">
        <v>24362</v>
      </c>
      <c r="J2078" t="str">
        <f t="shared" si="162"/>
        <v>E:\PropInv\MF</v>
      </c>
      <c r="K2078" s="103" t="str">
        <f>HYPERLINK("E:\PropInv\MF\Houston\San Jacinto_3810_San Jacinto Apts_Houston_02733","San Jacinto_3810_San Jacinto Apts_Houston_02733" )</f>
        <v>San Jacinto_3810_San Jacinto Apts_Houston_02733</v>
      </c>
      <c r="L2078" s="104" t="s">
        <v>22253</v>
      </c>
      <c r="M2078" s="103" t="str">
        <f t="shared" si="163"/>
        <v>http://oconnordata.com/mlink/modules/profile/index.cfm?action=profile&amp;prop_id=2733</v>
      </c>
      <c r="N2078" s="1" t="str">
        <f t="shared" si="164"/>
        <v>02733</v>
      </c>
    </row>
    <row r="2079" spans="1:14" x14ac:dyDescent="0.3">
      <c r="A2079" s="1">
        <v>2735</v>
      </c>
      <c r="B2079" s="19" t="s">
        <v>3116</v>
      </c>
      <c r="C2079" s="18">
        <v>5212</v>
      </c>
      <c r="D2079" s="19" t="s">
        <v>3140</v>
      </c>
      <c r="E2079" s="20" t="s">
        <v>1657</v>
      </c>
      <c r="F2079" t="str">
        <f t="shared" si="160"/>
        <v>Caroline</v>
      </c>
      <c r="G2079" t="str">
        <f t="shared" si="161"/>
        <v>Caroline5212Houston</v>
      </c>
      <c r="H2079" t="s">
        <v>32937</v>
      </c>
      <c r="I2079" t="s">
        <v>24363</v>
      </c>
      <c r="J2079" t="str">
        <f t="shared" si="162"/>
        <v>E:\PropInv\MF</v>
      </c>
      <c r="K2079" s="103" t="str">
        <f>HYPERLINK("E:\PropInv\MF\Houston\Caroline_5212_Caroline Apts, 5212_Houston_02735","Caroline_5212_Caroline Apts, 5212_Houston_02735" )</f>
        <v>Caroline_5212_Caroline Apts, 5212_Houston_02735</v>
      </c>
      <c r="L2079" s="104" t="s">
        <v>22253</v>
      </c>
      <c r="M2079" s="103" t="str">
        <f t="shared" si="163"/>
        <v>http://oconnordata.com/mlink/modules/profile/index.cfm?action=profile&amp;prop_id=2735</v>
      </c>
      <c r="N2079" s="1" t="str">
        <f t="shared" si="164"/>
        <v>02735</v>
      </c>
    </row>
    <row r="2080" spans="1:14" x14ac:dyDescent="0.3">
      <c r="A2080" s="1">
        <v>2736</v>
      </c>
      <c r="B2080" s="7" t="s">
        <v>3141</v>
      </c>
      <c r="C2080" s="12">
        <v>1341</v>
      </c>
      <c r="D2080" s="7" t="s">
        <v>3142</v>
      </c>
      <c r="E2080" s="13" t="s">
        <v>1657</v>
      </c>
      <c r="F2080" t="str">
        <f t="shared" si="160"/>
        <v>Castlecourt</v>
      </c>
      <c r="G2080" t="str">
        <f t="shared" si="161"/>
        <v>Castlecourt1341Houston</v>
      </c>
      <c r="H2080" t="s">
        <v>32938</v>
      </c>
      <c r="I2080" t="s">
        <v>24364</v>
      </c>
      <c r="J2080" t="str">
        <f t="shared" si="162"/>
        <v>E:\PropInv\MF</v>
      </c>
      <c r="K2080" s="103" t="str">
        <f>HYPERLINK("E:\PropInv\MF\Houston\Castlecourt_1341_The Place_Houston_02736","Castlecourt_1341_The Place_Houston_02736" )</f>
        <v>Castlecourt_1341_The Place_Houston_02736</v>
      </c>
      <c r="L2080" s="104" t="s">
        <v>22253</v>
      </c>
      <c r="M2080" s="103" t="str">
        <f t="shared" si="163"/>
        <v>http://oconnordata.com/mlink/modules/profile/index.cfm?action=profile&amp;prop_id=2736</v>
      </c>
      <c r="N2080" s="1" t="str">
        <f t="shared" si="164"/>
        <v>02736</v>
      </c>
    </row>
    <row r="2081" spans="1:14" x14ac:dyDescent="0.3">
      <c r="A2081" s="1">
        <v>2741</v>
      </c>
      <c r="B2081" s="7" t="s">
        <v>3143</v>
      </c>
      <c r="C2081" s="12">
        <v>3817</v>
      </c>
      <c r="D2081" s="7" t="s">
        <v>3139</v>
      </c>
      <c r="E2081" s="13" t="s">
        <v>1657</v>
      </c>
      <c r="F2081" t="str">
        <f t="shared" si="160"/>
        <v>Fannin</v>
      </c>
      <c r="G2081" t="str">
        <f t="shared" si="161"/>
        <v>Fannin3817Houston</v>
      </c>
      <c r="H2081" t="s">
        <v>32939</v>
      </c>
      <c r="I2081" t="s">
        <v>24365</v>
      </c>
      <c r="J2081" t="str">
        <f t="shared" si="162"/>
        <v>E:\PropInv\MF</v>
      </c>
      <c r="K2081" s="103" t="str">
        <f>HYPERLINK("E:\PropInv\MF\Houston\Fannin_3817_San Jacinto Apts_Houston_02741","Fannin_3817_San Jacinto Apts_Houston_02741" )</f>
        <v>Fannin_3817_San Jacinto Apts_Houston_02741</v>
      </c>
      <c r="L2081" s="104" t="s">
        <v>22253</v>
      </c>
      <c r="M2081" s="103" t="str">
        <f t="shared" si="163"/>
        <v>http://oconnordata.com/mlink/modules/profile/index.cfm?action=profile&amp;prop_id=2741</v>
      </c>
      <c r="N2081" s="1" t="str">
        <f t="shared" si="164"/>
        <v>02741</v>
      </c>
    </row>
    <row r="2082" spans="1:14" x14ac:dyDescent="0.3">
      <c r="A2082" s="1">
        <v>2743</v>
      </c>
      <c r="B2082" s="7" t="s">
        <v>3144</v>
      </c>
      <c r="C2082" s="12">
        <v>228</v>
      </c>
      <c r="D2082" s="7" t="s">
        <v>3145</v>
      </c>
      <c r="E2082" s="13" t="s">
        <v>1657</v>
      </c>
      <c r="F2082" t="str">
        <f t="shared" si="160"/>
        <v>Westmoreland</v>
      </c>
      <c r="G2082" t="str">
        <f t="shared" si="161"/>
        <v>Westmoreland228Houston</v>
      </c>
      <c r="H2082" t="s">
        <v>32940</v>
      </c>
      <c r="I2082" t="s">
        <v>24366</v>
      </c>
      <c r="J2082" t="str">
        <f t="shared" si="162"/>
        <v>E:\PropInv\MF</v>
      </c>
      <c r="K2082" s="103" t="str">
        <f>HYPERLINK("E:\PropInv\MF\Houston\Westmoreland St_228_The Court of Charleston_Houston_02743","Westmoreland St_228_The Court of Charleston_Houston_02743" )</f>
        <v>Westmoreland St_228_The Court of Charleston_Houston_02743</v>
      </c>
      <c r="L2082" s="104" t="s">
        <v>22253</v>
      </c>
      <c r="M2082" s="103" t="str">
        <f t="shared" si="163"/>
        <v>http://oconnordata.com/mlink/modules/profile/index.cfm?action=profile&amp;prop_id=2743</v>
      </c>
      <c r="N2082" s="1" t="str">
        <f t="shared" si="164"/>
        <v>02743</v>
      </c>
    </row>
    <row r="2083" spans="1:14" x14ac:dyDescent="0.3">
      <c r="A2083" s="1">
        <v>2781</v>
      </c>
      <c r="B2083" s="10" t="s">
        <v>3146</v>
      </c>
      <c r="C2083" s="9">
        <v>1136</v>
      </c>
      <c r="D2083" s="10" t="s">
        <v>3147</v>
      </c>
      <c r="E2083" s="11" t="s">
        <v>1657</v>
      </c>
      <c r="F2083" t="str">
        <f t="shared" si="160"/>
        <v>Berthea</v>
      </c>
      <c r="G2083" t="str">
        <f t="shared" si="161"/>
        <v>Berthea1136Houston</v>
      </c>
      <c r="H2083" t="s">
        <v>32941</v>
      </c>
      <c r="I2083" t="s">
        <v>24367</v>
      </c>
      <c r="J2083" t="str">
        <f t="shared" si="162"/>
        <v>E:\PropInv\MF</v>
      </c>
      <c r="K2083" s="103" t="str">
        <f>HYPERLINK("E:\PropInv\MF\Houston\Berthea_1136_Berthea Apts_Houston_02781","Berthea_1136_Berthea Apts_Houston_02781" )</f>
        <v>Berthea_1136_Berthea Apts_Houston_02781</v>
      </c>
      <c r="L2083" s="104" t="s">
        <v>22253</v>
      </c>
      <c r="M2083" s="103" t="str">
        <f t="shared" si="163"/>
        <v>http://oconnordata.com/mlink/modules/profile/index.cfm?action=profile&amp;prop_id=2781</v>
      </c>
      <c r="N2083" s="1" t="str">
        <f t="shared" si="164"/>
        <v>02781</v>
      </c>
    </row>
    <row r="2084" spans="1:14" x14ac:dyDescent="0.3">
      <c r="A2084" s="1">
        <v>2783</v>
      </c>
      <c r="B2084" s="7" t="s">
        <v>3148</v>
      </c>
      <c r="C2084" s="12" t="s">
        <v>3149</v>
      </c>
      <c r="D2084" s="7" t="s">
        <v>3150</v>
      </c>
      <c r="E2084" s="13" t="s">
        <v>1657</v>
      </c>
      <c r="F2084" t="str">
        <f t="shared" si="160"/>
        <v>Portland</v>
      </c>
      <c r="G2084" t="str">
        <f t="shared" si="161"/>
        <v>Portland216-242Houston</v>
      </c>
      <c r="H2084" t="s">
        <v>32942</v>
      </c>
      <c r="I2084" t="s">
        <v>24368</v>
      </c>
      <c r="J2084" t="str">
        <f t="shared" si="162"/>
        <v>E:\PropInv\MF</v>
      </c>
      <c r="K2084" s="103" t="str">
        <f>HYPERLINK("E:\PropInv\MF\Houston\Portland_216-242_Gramercy Place_Houston_02783","Portland_216-242_Gramercy Place_Houston_02783" )</f>
        <v>Portland_216-242_Gramercy Place_Houston_02783</v>
      </c>
      <c r="L2084" s="104" t="s">
        <v>22253</v>
      </c>
      <c r="M2084" s="103" t="str">
        <f t="shared" si="163"/>
        <v>http://oconnordata.com/mlink/modules/profile/index.cfm?action=profile&amp;prop_id=2783</v>
      </c>
      <c r="N2084" s="1" t="str">
        <f t="shared" si="164"/>
        <v>02783</v>
      </c>
    </row>
    <row r="2085" spans="1:14" x14ac:dyDescent="0.3">
      <c r="A2085" s="1">
        <v>2788</v>
      </c>
      <c r="B2085" s="7" t="s">
        <v>2677</v>
      </c>
      <c r="C2085" s="12">
        <v>1301</v>
      </c>
      <c r="D2085" s="7" t="s">
        <v>3151</v>
      </c>
      <c r="E2085" s="13" t="s">
        <v>1657</v>
      </c>
      <c r="F2085" t="str">
        <f t="shared" si="160"/>
        <v>Richmond</v>
      </c>
      <c r="G2085" t="str">
        <f t="shared" si="161"/>
        <v>Richmond1301Houston</v>
      </c>
      <c r="H2085" t="s">
        <v>32943</v>
      </c>
      <c r="I2085" t="s">
        <v>24369</v>
      </c>
      <c r="J2085" t="str">
        <f t="shared" si="162"/>
        <v>E:\PropInv\MF</v>
      </c>
      <c r="K2085" s="103" t="str">
        <f>HYPERLINK("E:\PropInv\MF\Houston\Richmond Ave_1301_1301 Richmond (TBD)_Houston_02788","Richmond Ave_1301_1301 Richmond (TBD)_Houston_02788" )</f>
        <v>Richmond Ave_1301_1301 Richmond (TBD)_Houston_02788</v>
      </c>
      <c r="L2085" s="104" t="s">
        <v>22253</v>
      </c>
      <c r="M2085" s="103" t="str">
        <f t="shared" si="163"/>
        <v>http://oconnordata.com/mlink/modules/profile/index.cfm?action=profile&amp;prop_id=2788</v>
      </c>
      <c r="N2085" s="1" t="str">
        <f t="shared" si="164"/>
        <v>02788</v>
      </c>
    </row>
    <row r="2086" spans="1:14" x14ac:dyDescent="0.3">
      <c r="A2086" s="1">
        <v>2793</v>
      </c>
      <c r="B2086" s="10" t="s">
        <v>3152</v>
      </c>
      <c r="C2086" s="9">
        <v>3260</v>
      </c>
      <c r="D2086" s="10" t="s">
        <v>3153</v>
      </c>
      <c r="E2086" s="11" t="s">
        <v>1657</v>
      </c>
      <c r="F2086" t="str">
        <f t="shared" si="160"/>
        <v>Truxillo</v>
      </c>
      <c r="G2086" t="str">
        <f t="shared" si="161"/>
        <v>Truxillo3260Houston</v>
      </c>
      <c r="H2086" t="s">
        <v>32944</v>
      </c>
      <c r="I2086" t="s">
        <v>24370</v>
      </c>
      <c r="J2086" t="str">
        <f t="shared" si="162"/>
        <v>E:\PropInv\MF</v>
      </c>
      <c r="K2086" s="103" t="str">
        <f>HYPERLINK("E:\PropInv\MF\Houston\Truxillo_3260_Cuney Homes_Houston_02793","Truxillo_3260_Cuney Homes_Houston_02793" )</f>
        <v>Truxillo_3260_Cuney Homes_Houston_02793</v>
      </c>
      <c r="L2086" s="104" t="s">
        <v>22253</v>
      </c>
      <c r="M2086" s="103" t="str">
        <f t="shared" si="163"/>
        <v>http://oconnordata.com/mlink/modules/profile/index.cfm?action=profile&amp;prop_id=2793</v>
      </c>
      <c r="N2086" s="1" t="str">
        <f t="shared" si="164"/>
        <v>02793</v>
      </c>
    </row>
    <row r="2087" spans="1:14" x14ac:dyDescent="0.3">
      <c r="A2087" s="1">
        <v>2798</v>
      </c>
      <c r="B2087" s="10" t="s">
        <v>2675</v>
      </c>
      <c r="C2087" s="9">
        <v>1400</v>
      </c>
      <c r="D2087" s="10" t="s">
        <v>3154</v>
      </c>
      <c r="E2087" s="11" t="s">
        <v>1657</v>
      </c>
      <c r="F2087" t="str">
        <f t="shared" si="160"/>
        <v>Richmond</v>
      </c>
      <c r="G2087" t="str">
        <f t="shared" si="161"/>
        <v>Richmond1400Houston</v>
      </c>
      <c r="H2087" t="s">
        <v>32945</v>
      </c>
      <c r="I2087" t="s">
        <v>24371</v>
      </c>
      <c r="J2087" t="str">
        <f t="shared" si="162"/>
        <v>E:\PropInv\MF</v>
      </c>
      <c r="K2087" s="103" t="str">
        <f>HYPERLINK("E:\PropInv\MF\Houston\Richmond_1400_Richmont Square_Houston_02798","Richmond_1400_Richmont Square_Houston_02798" )</f>
        <v>Richmond_1400_Richmont Square_Houston_02798</v>
      </c>
      <c r="L2087" s="104" t="s">
        <v>22253</v>
      </c>
      <c r="M2087" s="103" t="str">
        <f t="shared" si="163"/>
        <v>http://oconnordata.com/mlink/modules/profile/index.cfm?action=profile&amp;prop_id=2798</v>
      </c>
      <c r="N2087" s="1" t="str">
        <f t="shared" si="164"/>
        <v>02798</v>
      </c>
    </row>
    <row r="2088" spans="1:14" x14ac:dyDescent="0.3">
      <c r="A2088" s="1">
        <v>2799</v>
      </c>
      <c r="B2088" s="7" t="s">
        <v>3155</v>
      </c>
      <c r="C2088" s="12">
        <v>714</v>
      </c>
      <c r="D2088" s="7" t="s">
        <v>3156</v>
      </c>
      <c r="E2088" s="13" t="s">
        <v>1657</v>
      </c>
      <c r="F2088" t="str">
        <f t="shared" si="160"/>
        <v>Woodrow</v>
      </c>
      <c r="G2088" t="str">
        <f t="shared" si="161"/>
        <v>Woodrow714Houston</v>
      </c>
      <c r="H2088" t="s">
        <v>32946</v>
      </c>
      <c r="I2088" t="s">
        <v>24372</v>
      </c>
      <c r="J2088" t="str">
        <f t="shared" si="162"/>
        <v>E:\PropInv\MF</v>
      </c>
      <c r="K2088" s="103" t="str">
        <f>HYPERLINK("E:\PropInv\MF\Houston\Woodrow_714_Shibui_Houston_02799","Woodrow_714_Shibui_Houston_02799" )</f>
        <v>Woodrow_714_Shibui_Houston_02799</v>
      </c>
      <c r="L2088" s="104" t="s">
        <v>22253</v>
      </c>
      <c r="M2088" s="103" t="str">
        <f t="shared" si="163"/>
        <v>http://oconnordata.com/mlink/modules/profile/index.cfm?action=profile&amp;prop_id=2799</v>
      </c>
      <c r="N2088" s="1" t="str">
        <f t="shared" si="164"/>
        <v>02799</v>
      </c>
    </row>
    <row r="2089" spans="1:14" x14ac:dyDescent="0.3">
      <c r="A2089" s="1">
        <v>2808</v>
      </c>
      <c r="B2089" s="7" t="s">
        <v>3157</v>
      </c>
      <c r="C2089" s="12">
        <v>3031</v>
      </c>
      <c r="D2089" s="7" t="s">
        <v>3158</v>
      </c>
      <c r="E2089" s="13" t="s">
        <v>1657</v>
      </c>
      <c r="F2089" t="str">
        <f t="shared" si="160"/>
        <v>Sumpter</v>
      </c>
      <c r="G2089" t="str">
        <f t="shared" si="161"/>
        <v>Sumpter3031Houston</v>
      </c>
      <c r="H2089" t="s">
        <v>32947</v>
      </c>
      <c r="I2089" t="s">
        <v>24373</v>
      </c>
      <c r="J2089" t="str">
        <f t="shared" si="162"/>
        <v>E:\PropInv\MF</v>
      </c>
      <c r="K2089" s="103" t="str">
        <f>HYPERLINK("E:\PropInv\MF\Houston\Sumpter_3031_Rose Plaza Apts_Houston_02808","Sumpter_3031_Rose Plaza Apts_Houston_02808" )</f>
        <v>Sumpter_3031_Rose Plaza Apts_Houston_02808</v>
      </c>
      <c r="L2089" s="104" t="s">
        <v>22253</v>
      </c>
      <c r="M2089" s="103" t="str">
        <f t="shared" si="163"/>
        <v>http://oconnordata.com/mlink/modules/profile/index.cfm?action=profile&amp;prop_id=2808</v>
      </c>
      <c r="N2089" s="1" t="str">
        <f t="shared" si="164"/>
        <v>02808</v>
      </c>
    </row>
    <row r="2090" spans="1:14" x14ac:dyDescent="0.3">
      <c r="A2090" s="1">
        <v>2811</v>
      </c>
      <c r="B2090" s="10" t="s">
        <v>3159</v>
      </c>
      <c r="C2090" s="9">
        <v>1230</v>
      </c>
      <c r="D2090" s="10" t="s">
        <v>3160</v>
      </c>
      <c r="E2090" s="11" t="s">
        <v>1657</v>
      </c>
      <c r="F2090" t="str">
        <f t="shared" si="160"/>
        <v>Hahlo</v>
      </c>
      <c r="G2090" t="str">
        <f t="shared" si="161"/>
        <v>Hahlo1230Houston</v>
      </c>
      <c r="H2090" t="s">
        <v>32948</v>
      </c>
      <c r="I2090" t="s">
        <v>24374</v>
      </c>
      <c r="J2090" t="str">
        <f t="shared" si="162"/>
        <v>E:\PropInv\MF</v>
      </c>
      <c r="K2090" s="103" t="str">
        <f>HYPERLINK("E:\PropInv\MF\Houston\Hahlo_1230_Wheatley Manor_Houston_02811","Hahlo_1230_Wheatley Manor_Houston_02811" )</f>
        <v>Hahlo_1230_Wheatley Manor_Houston_02811</v>
      </c>
      <c r="L2090" s="104" t="s">
        <v>22253</v>
      </c>
      <c r="M2090" s="103" t="str">
        <f t="shared" si="163"/>
        <v>http://oconnordata.com/mlink/modules/profile/index.cfm?action=profile&amp;prop_id=2811</v>
      </c>
      <c r="N2090" s="1" t="str">
        <f t="shared" si="164"/>
        <v>02811</v>
      </c>
    </row>
    <row r="2091" spans="1:14" x14ac:dyDescent="0.3">
      <c r="A2091" s="1">
        <v>2813</v>
      </c>
      <c r="B2091" s="7" t="s">
        <v>3161</v>
      </c>
      <c r="C2091" s="12">
        <v>5600</v>
      </c>
      <c r="D2091" s="7" t="s">
        <v>3162</v>
      </c>
      <c r="E2091" s="13" t="s">
        <v>1657</v>
      </c>
      <c r="F2091" t="str">
        <f t="shared" si="160"/>
        <v>Market</v>
      </c>
      <c r="G2091" t="str">
        <f t="shared" si="161"/>
        <v>Market5600Houston</v>
      </c>
      <c r="H2091" t="s">
        <v>32949</v>
      </c>
      <c r="I2091" t="s">
        <v>24375</v>
      </c>
      <c r="J2091" t="str">
        <f t="shared" si="162"/>
        <v>E:\PropInv\MF</v>
      </c>
      <c r="K2091" s="103" t="str">
        <f>HYPERLINK("E:\PropInv\MF\Houston\Market_5600_Wheatley Plaza_Houston_02813","Market_5600_Wheatley Plaza_Houston_02813" )</f>
        <v>Market_5600_Wheatley Plaza_Houston_02813</v>
      </c>
      <c r="L2091" s="104" t="s">
        <v>22253</v>
      </c>
      <c r="M2091" s="103" t="str">
        <f t="shared" si="163"/>
        <v>http://oconnordata.com/mlink/modules/profile/index.cfm?action=profile&amp;prop_id=2813</v>
      </c>
      <c r="N2091" s="1" t="str">
        <f t="shared" si="164"/>
        <v>02813</v>
      </c>
    </row>
    <row r="2092" spans="1:14" x14ac:dyDescent="0.3">
      <c r="A2092" s="1">
        <v>2814</v>
      </c>
      <c r="B2092" s="7" t="s">
        <v>3163</v>
      </c>
      <c r="C2092" s="12">
        <v>505</v>
      </c>
      <c r="D2092" s="7" t="s">
        <v>3164</v>
      </c>
      <c r="E2092" s="13" t="s">
        <v>1657</v>
      </c>
      <c r="F2092" t="str">
        <f t="shared" si="160"/>
        <v>Bayou</v>
      </c>
      <c r="G2092" t="str">
        <f t="shared" si="161"/>
        <v>Bayou505Houston</v>
      </c>
      <c r="H2092" t="s">
        <v>32950</v>
      </c>
      <c r="I2092" t="s">
        <v>24376</v>
      </c>
      <c r="J2092" t="str">
        <f t="shared" si="162"/>
        <v>E:\PropInv\MF</v>
      </c>
      <c r="K2092" s="103" t="str">
        <f>HYPERLINK("E:\PropInv\MF\Houston\Bayou_505_Kennedy Place_Houston_02814","Bayou_505_Kennedy Place_Houston_02814" )</f>
        <v>Bayou_505_Kennedy Place_Houston_02814</v>
      </c>
      <c r="L2092" s="104" t="s">
        <v>22253</v>
      </c>
      <c r="M2092" s="103" t="str">
        <f t="shared" si="163"/>
        <v>http://oconnordata.com/mlink/modules/profile/index.cfm?action=profile&amp;prop_id=2814</v>
      </c>
      <c r="N2092" s="1" t="str">
        <f t="shared" si="164"/>
        <v>02814</v>
      </c>
    </row>
    <row r="2093" spans="1:14" x14ac:dyDescent="0.3">
      <c r="A2093" s="1">
        <v>2818</v>
      </c>
      <c r="B2093" s="19" t="s">
        <v>3165</v>
      </c>
      <c r="C2093" s="18">
        <v>815</v>
      </c>
      <c r="D2093" s="19" t="s">
        <v>3166</v>
      </c>
      <c r="E2093" s="20" t="s">
        <v>1657</v>
      </c>
      <c r="F2093" t="str">
        <f t="shared" si="160"/>
        <v>Autumnwood</v>
      </c>
      <c r="G2093" t="str">
        <f t="shared" si="161"/>
        <v>Autumnwood815Houston</v>
      </c>
      <c r="H2093" t="s">
        <v>32951</v>
      </c>
      <c r="I2093" t="s">
        <v>24377</v>
      </c>
      <c r="J2093" t="str">
        <f t="shared" si="162"/>
        <v>E:\PropInv\MF</v>
      </c>
      <c r="K2093" s="103" t="str">
        <f>HYPERLINK("E:\PropInv\MF\Houston\Autumnwood_815_Holiday Forest_Houston_02818","Autumnwood_815_Holiday Forest_Houston_02818" )</f>
        <v>Autumnwood_815_Holiday Forest_Houston_02818</v>
      </c>
      <c r="L2093" s="104" t="s">
        <v>22253</v>
      </c>
      <c r="M2093" s="103" t="str">
        <f t="shared" si="163"/>
        <v>http://oconnordata.com/mlink/modules/profile/index.cfm?action=profile&amp;prop_id=2818</v>
      </c>
      <c r="N2093" s="1" t="str">
        <f t="shared" si="164"/>
        <v>02818</v>
      </c>
    </row>
    <row r="2094" spans="1:14" x14ac:dyDescent="0.3">
      <c r="A2094" s="1">
        <v>2819</v>
      </c>
      <c r="B2094" s="7" t="s">
        <v>3167</v>
      </c>
      <c r="C2094" s="12">
        <v>777</v>
      </c>
      <c r="D2094" s="7" t="s">
        <v>3168</v>
      </c>
      <c r="E2094" s="13" t="s">
        <v>1657</v>
      </c>
      <c r="F2094" t="str">
        <f t="shared" si="160"/>
        <v>Coolwood</v>
      </c>
      <c r="G2094" t="str">
        <f t="shared" si="161"/>
        <v>Coolwood777Houston</v>
      </c>
      <c r="H2094" t="s">
        <v>32952</v>
      </c>
      <c r="I2094" t="s">
        <v>24378</v>
      </c>
      <c r="J2094" t="str">
        <f t="shared" si="162"/>
        <v>E:\PropInv\MF</v>
      </c>
      <c r="K2094" s="103" t="str">
        <f>HYPERLINK("E:\PropInv\MF\Houston\Coolwood_777_Coolwood Oaks_Houston_02819","Coolwood_777_Coolwood Oaks_Houston_02819" )</f>
        <v>Coolwood_777_Coolwood Oaks_Houston_02819</v>
      </c>
      <c r="L2094" s="104" t="s">
        <v>22253</v>
      </c>
      <c r="M2094" s="103" t="str">
        <f t="shared" si="163"/>
        <v>http://oconnordata.com/mlink/modules/profile/index.cfm?action=profile&amp;prop_id=2819</v>
      </c>
      <c r="N2094" s="1" t="str">
        <f t="shared" si="164"/>
        <v>02819</v>
      </c>
    </row>
    <row r="2095" spans="1:14" x14ac:dyDescent="0.3">
      <c r="A2095" s="1">
        <v>2820</v>
      </c>
      <c r="B2095" s="7" t="s">
        <v>3169</v>
      </c>
      <c r="C2095" s="12">
        <v>810</v>
      </c>
      <c r="D2095" s="7" t="s">
        <v>3170</v>
      </c>
      <c r="E2095" s="13" t="s">
        <v>1657</v>
      </c>
      <c r="F2095" t="str">
        <f t="shared" si="160"/>
        <v>Fair</v>
      </c>
      <c r="G2095" t="str">
        <f t="shared" si="161"/>
        <v>Fair810Houston</v>
      </c>
      <c r="H2095" t="s">
        <v>32953</v>
      </c>
      <c r="I2095" t="s">
        <v>24379</v>
      </c>
      <c r="J2095" t="str">
        <f t="shared" si="162"/>
        <v>E:\PropInv\MF</v>
      </c>
      <c r="K2095" s="103" t="str">
        <f>HYPERLINK("E:\PropInv\MF\Houston\Fair Oaks Rd_810_Amber Creek_Houston_02820","Fair Oaks Rd_810_Amber Creek_Houston_02820" )</f>
        <v>Fair Oaks Rd_810_Amber Creek_Houston_02820</v>
      </c>
      <c r="L2095" s="104" t="s">
        <v>22253</v>
      </c>
      <c r="M2095" s="103" t="str">
        <f t="shared" si="163"/>
        <v>http://oconnordata.com/mlink/modules/profile/index.cfm?action=profile&amp;prop_id=2820</v>
      </c>
      <c r="N2095" s="1" t="str">
        <f t="shared" si="164"/>
        <v>02820</v>
      </c>
    </row>
    <row r="2096" spans="1:14" x14ac:dyDescent="0.3">
      <c r="A2096" s="1">
        <v>2821</v>
      </c>
      <c r="B2096" s="7" t="s">
        <v>3171</v>
      </c>
      <c r="C2096" s="12">
        <v>910</v>
      </c>
      <c r="D2096" s="7" t="s">
        <v>3171</v>
      </c>
      <c r="E2096" s="13" t="s">
        <v>1657</v>
      </c>
      <c r="F2096" t="str">
        <f t="shared" si="160"/>
        <v>Fair</v>
      </c>
      <c r="G2096" t="str">
        <f t="shared" si="161"/>
        <v>Fair910Houston</v>
      </c>
      <c r="H2096" t="s">
        <v>32954</v>
      </c>
      <c r="I2096" t="s">
        <v>24380</v>
      </c>
      <c r="J2096" t="str">
        <f t="shared" si="162"/>
        <v>E:\PropInv\MF</v>
      </c>
      <c r="K2096" s="103" t="str">
        <f>HYPERLINK("E:\PropInv\MF\Houston\Fair Oaks_910_Fair Oaks_Houston_02821","Fair Oaks_910_Fair Oaks_Houston_02821" )</f>
        <v>Fair Oaks_910_Fair Oaks_Houston_02821</v>
      </c>
      <c r="L2096" s="104" t="s">
        <v>22253</v>
      </c>
      <c r="M2096" s="103" t="str">
        <f t="shared" si="163"/>
        <v>http://oconnordata.com/mlink/modules/profile/index.cfm?action=profile&amp;prop_id=2821</v>
      </c>
      <c r="N2096" s="1" t="str">
        <f t="shared" si="164"/>
        <v>02821</v>
      </c>
    </row>
    <row r="2097" spans="1:14" x14ac:dyDescent="0.3">
      <c r="A2097" s="1">
        <v>2822</v>
      </c>
      <c r="B2097" s="7" t="s">
        <v>3172</v>
      </c>
      <c r="C2097" s="12">
        <v>1922</v>
      </c>
      <c r="D2097" s="7" t="s">
        <v>3173</v>
      </c>
      <c r="E2097" s="13" t="s">
        <v>1657</v>
      </c>
      <c r="F2097" t="str">
        <f t="shared" si="160"/>
        <v>Pleasantville</v>
      </c>
      <c r="G2097" t="str">
        <f t="shared" si="161"/>
        <v>Pleasantville1922Houston</v>
      </c>
      <c r="H2097" t="s">
        <v>32955</v>
      </c>
      <c r="I2097" t="s">
        <v>24381</v>
      </c>
      <c r="J2097" t="str">
        <f t="shared" si="162"/>
        <v>E:\PropInv\MF</v>
      </c>
      <c r="K2097" s="103" t="str">
        <f>HYPERLINK("E:\PropInv\MF\Houston\Pleasantville Dr_1922_Pleasant Village_Houston_02822","Pleasantville Dr_1922_Pleasant Village_Houston_02822" )</f>
        <v>Pleasantville Dr_1922_Pleasant Village_Houston_02822</v>
      </c>
      <c r="L2097" s="104" t="s">
        <v>22253</v>
      </c>
      <c r="M2097" s="103" t="str">
        <f t="shared" si="163"/>
        <v>http://oconnordata.com/mlink/modules/profile/index.cfm?action=profile&amp;prop_id=2822</v>
      </c>
      <c r="N2097" s="1" t="str">
        <f t="shared" si="164"/>
        <v>02822</v>
      </c>
    </row>
    <row r="2098" spans="1:14" x14ac:dyDescent="0.3">
      <c r="A2098" s="1">
        <v>2823</v>
      </c>
      <c r="B2098" s="7" t="s">
        <v>3174</v>
      </c>
      <c r="C2098" s="12">
        <v>7310</v>
      </c>
      <c r="D2098" s="7" t="s">
        <v>3175</v>
      </c>
      <c r="E2098" s="13" t="s">
        <v>1657</v>
      </c>
      <c r="F2098" t="str">
        <f t="shared" si="160"/>
        <v>Sherman</v>
      </c>
      <c r="G2098" t="str">
        <f t="shared" si="161"/>
        <v>Sherman7310Houston</v>
      </c>
      <c r="H2098" t="s">
        <v>32956</v>
      </c>
      <c r="I2098" t="s">
        <v>24382</v>
      </c>
      <c r="J2098" t="str">
        <f t="shared" si="162"/>
        <v>E:\PropInv\MF</v>
      </c>
      <c r="K2098" s="103" t="str">
        <f>HYPERLINK("E:\PropInv\MF\Houston\Sherman_7310_Plaza De Magnolia_Houston_02823","Sherman_7310_Plaza De Magnolia_Houston_02823" )</f>
        <v>Sherman_7310_Plaza De Magnolia_Houston_02823</v>
      </c>
      <c r="L2098" s="104" t="s">
        <v>22253</v>
      </c>
      <c r="M2098" s="103" t="str">
        <f t="shared" si="163"/>
        <v>http://oconnordata.com/mlink/modules/profile/index.cfm?action=profile&amp;prop_id=2823</v>
      </c>
      <c r="N2098" s="1" t="str">
        <f t="shared" si="164"/>
        <v>02823</v>
      </c>
    </row>
    <row r="2099" spans="1:14" x14ac:dyDescent="0.3">
      <c r="A2099" s="1">
        <v>2825</v>
      </c>
      <c r="B2099" s="10" t="s">
        <v>3176</v>
      </c>
      <c r="C2099" s="9">
        <v>5300</v>
      </c>
      <c r="D2099" s="10" t="s">
        <v>3177</v>
      </c>
      <c r="E2099" s="11" t="s">
        <v>1657</v>
      </c>
      <c r="F2099" t="str">
        <f t="shared" si="160"/>
        <v>Coke</v>
      </c>
      <c r="G2099" t="str">
        <f t="shared" si="161"/>
        <v>Coke5300Houston</v>
      </c>
      <c r="H2099" t="s">
        <v>32957</v>
      </c>
      <c r="I2099" t="s">
        <v>24383</v>
      </c>
      <c r="J2099" t="str">
        <f t="shared" si="162"/>
        <v>E:\PropInv\MF</v>
      </c>
      <c r="K2099" s="103" t="str">
        <f>HYPERLINK("E:\PropInv\MF\Houston\Coke_5300_Cleme Manor_Houston_02825","Coke_5300_Cleme Manor_Houston_02825" )</f>
        <v>Coke_5300_Cleme Manor_Houston_02825</v>
      </c>
      <c r="L2099" s="104" t="s">
        <v>22253</v>
      </c>
      <c r="M2099" s="103" t="str">
        <f t="shared" si="163"/>
        <v>http://oconnordata.com/mlink/modules/profile/index.cfm?action=profile&amp;prop_id=2825</v>
      </c>
      <c r="N2099" s="1" t="str">
        <f t="shared" si="164"/>
        <v>02825</v>
      </c>
    </row>
    <row r="2100" spans="1:14" x14ac:dyDescent="0.3">
      <c r="A2100" s="1">
        <v>2828</v>
      </c>
      <c r="B2100" s="7" t="s">
        <v>3178</v>
      </c>
      <c r="C2100" s="12">
        <v>222</v>
      </c>
      <c r="D2100" s="7" t="s">
        <v>3179</v>
      </c>
      <c r="E2100" s="13" t="s">
        <v>1657</v>
      </c>
      <c r="F2100" t="str">
        <f t="shared" si="160"/>
        <v>66th</v>
      </c>
      <c r="G2100" t="str">
        <f t="shared" si="161"/>
        <v>66th222Houston</v>
      </c>
      <c r="H2100" t="s">
        <v>32958</v>
      </c>
      <c r="I2100" t="s">
        <v>24384</v>
      </c>
      <c r="J2100" t="str">
        <f t="shared" si="162"/>
        <v>E:\PropInv\MF</v>
      </c>
      <c r="K2100" s="103" t="str">
        <f>HYPERLINK("E:\PropInv\MF\Houston\66th St S_222_East End_Houston_02828","66th St S_222_East End_Houston_02828" )</f>
        <v>66th St S_222_East End_Houston_02828</v>
      </c>
      <c r="L2100" s="104" t="s">
        <v>22253</v>
      </c>
      <c r="M2100" s="103" t="str">
        <f t="shared" si="163"/>
        <v>http://oconnordata.com/mlink/modules/profile/index.cfm?action=profile&amp;prop_id=2828</v>
      </c>
      <c r="N2100" s="1" t="str">
        <f t="shared" si="164"/>
        <v>02828</v>
      </c>
    </row>
    <row r="2101" spans="1:14" x14ac:dyDescent="0.3">
      <c r="A2101" s="1">
        <v>2831</v>
      </c>
      <c r="B2101" s="7" t="s">
        <v>3180</v>
      </c>
      <c r="C2101" s="12">
        <v>2022</v>
      </c>
      <c r="D2101" s="7" t="s">
        <v>3181</v>
      </c>
      <c r="E2101" s="13" t="s">
        <v>1657</v>
      </c>
      <c r="F2101" t="str">
        <f t="shared" si="160"/>
        <v>Wayside</v>
      </c>
      <c r="G2101" t="str">
        <f t="shared" si="161"/>
        <v>Wayside2022Houston</v>
      </c>
      <c r="H2101" t="s">
        <v>32959</v>
      </c>
      <c r="I2101" t="s">
        <v>24385</v>
      </c>
      <c r="J2101" t="str">
        <f t="shared" si="162"/>
        <v>E:\PropInv\MF</v>
      </c>
      <c r="K2101" s="103" t="str">
        <f>HYPERLINK("E:\PropInv\MF\Houston\Wayside Dr N_2022_Casa Suya_Houston_02831","Wayside Dr N_2022_Casa Suya_Houston_02831" )</f>
        <v>Wayside Dr N_2022_Casa Suya_Houston_02831</v>
      </c>
      <c r="L2101" s="104" t="s">
        <v>22253</v>
      </c>
      <c r="M2101" s="103" t="str">
        <f t="shared" si="163"/>
        <v>http://oconnordata.com/mlink/modules/profile/index.cfm?action=profile&amp;prop_id=2831</v>
      </c>
      <c r="N2101" s="1" t="str">
        <f t="shared" si="164"/>
        <v>02831</v>
      </c>
    </row>
    <row r="2102" spans="1:14" x14ac:dyDescent="0.3">
      <c r="A2102" s="1">
        <v>2835</v>
      </c>
      <c r="B2102" s="10" t="s">
        <v>3182</v>
      </c>
      <c r="C2102" s="9">
        <v>950</v>
      </c>
      <c r="D2102" s="10" t="s">
        <v>3183</v>
      </c>
      <c r="E2102" s="11" t="s">
        <v>1657</v>
      </c>
      <c r="F2102" t="str">
        <f t="shared" si="160"/>
        <v>Villa</v>
      </c>
      <c r="G2102" t="str">
        <f t="shared" si="161"/>
        <v>Villa950Houston</v>
      </c>
      <c r="H2102" t="s">
        <v>32960</v>
      </c>
      <c r="I2102" t="s">
        <v>24386</v>
      </c>
      <c r="J2102" t="str">
        <f t="shared" si="162"/>
        <v>E:\PropInv\MF</v>
      </c>
      <c r="K2102" s="103" t="str">
        <f>HYPERLINK("E:\PropInv\MF\Houston\Villa De Matel_950_Courtyard_Houston_02835","Villa De Matel_950_Courtyard_Houston_02835" )</f>
        <v>Villa De Matel_950_Courtyard_Houston_02835</v>
      </c>
      <c r="L2102" s="104" t="s">
        <v>22253</v>
      </c>
      <c r="M2102" s="103" t="str">
        <f t="shared" si="163"/>
        <v>http://oconnordata.com/mlink/modules/profile/index.cfm?action=profile&amp;prop_id=2835</v>
      </c>
      <c r="N2102" s="1" t="str">
        <f t="shared" si="164"/>
        <v>02835</v>
      </c>
    </row>
    <row r="2103" spans="1:14" x14ac:dyDescent="0.3">
      <c r="A2103" s="1">
        <v>2836</v>
      </c>
      <c r="B2103" s="10" t="s">
        <v>3184</v>
      </c>
      <c r="C2103" s="9">
        <v>1010</v>
      </c>
      <c r="D2103" s="10" t="s">
        <v>3185</v>
      </c>
      <c r="E2103" s="11" t="s">
        <v>1657</v>
      </c>
      <c r="F2103" t="str">
        <f t="shared" si="160"/>
        <v>Wayside</v>
      </c>
      <c r="G2103" t="str">
        <f t="shared" si="161"/>
        <v>Wayside1010Houston</v>
      </c>
      <c r="H2103" t="s">
        <v>32961</v>
      </c>
      <c r="I2103" t="s">
        <v>24387</v>
      </c>
      <c r="J2103" t="str">
        <f t="shared" si="162"/>
        <v>E:\PropInv\MF</v>
      </c>
      <c r="K2103" s="103" t="str">
        <f>HYPERLINK("E:\PropInv\MF\Houston\Wayside Dr S_1010_Royal Wayside_Houston_02836","Wayside Dr S_1010_Royal Wayside_Houston_02836" )</f>
        <v>Wayside Dr S_1010_Royal Wayside_Houston_02836</v>
      </c>
      <c r="L2103" s="104" t="s">
        <v>22253</v>
      </c>
      <c r="M2103" s="103" t="str">
        <f t="shared" si="163"/>
        <v>http://oconnordata.com/mlink/modules/profile/index.cfm?action=profile&amp;prop_id=2836</v>
      </c>
      <c r="N2103" s="1" t="str">
        <f t="shared" si="164"/>
        <v>02836</v>
      </c>
    </row>
    <row r="2104" spans="1:14" x14ac:dyDescent="0.3">
      <c r="A2104" s="1">
        <v>2840</v>
      </c>
      <c r="B2104" s="7" t="s">
        <v>3186</v>
      </c>
      <c r="C2104" s="12">
        <v>10202</v>
      </c>
      <c r="D2104" s="7" t="s">
        <v>3187</v>
      </c>
      <c r="E2104" s="13" t="s">
        <v>3188</v>
      </c>
      <c r="F2104" t="str">
        <f t="shared" si="160"/>
        <v>Challenger</v>
      </c>
      <c r="G2104" t="str">
        <f t="shared" si="161"/>
        <v>Challenger10202Jacinto City</v>
      </c>
      <c r="H2104" t="s">
        <v>32962</v>
      </c>
      <c r="I2104" t="s">
        <v>24388</v>
      </c>
      <c r="J2104" t="str">
        <f t="shared" si="162"/>
        <v>E:\PropInv\MF</v>
      </c>
      <c r="K2104" s="103" t="str">
        <f>HYPERLINK("E:\PropInv\MF\Jacinto City\Challenger 7 Dr_10202_Jacinto Palms_Jacinto City_02840","Challenger 7 Dr_10202_Jacinto Palms_Jacinto City_02840" )</f>
        <v>Challenger 7 Dr_10202_Jacinto Palms_Jacinto City_02840</v>
      </c>
      <c r="L2104" s="104" t="s">
        <v>22253</v>
      </c>
      <c r="M2104" s="103" t="str">
        <f t="shared" si="163"/>
        <v>http://oconnordata.com/mlink/modules/profile/index.cfm?action=profile&amp;prop_id=2840</v>
      </c>
      <c r="N2104" s="1" t="str">
        <f t="shared" si="164"/>
        <v>02840</v>
      </c>
    </row>
    <row r="2105" spans="1:14" x14ac:dyDescent="0.3">
      <c r="A2105" s="1">
        <v>2843</v>
      </c>
      <c r="B2105" s="7" t="s">
        <v>3189</v>
      </c>
      <c r="C2105" s="12">
        <v>221</v>
      </c>
      <c r="D2105" s="7" t="s">
        <v>3190</v>
      </c>
      <c r="E2105" s="13" t="s">
        <v>1657</v>
      </c>
      <c r="F2105" t="str">
        <f t="shared" si="160"/>
        <v>Caylor</v>
      </c>
      <c r="G2105" t="str">
        <f t="shared" si="161"/>
        <v>Caylor221Houston</v>
      </c>
      <c r="H2105" t="s">
        <v>32963</v>
      </c>
      <c r="I2105" t="s">
        <v>24389</v>
      </c>
      <c r="J2105" t="str">
        <f t="shared" si="162"/>
        <v>E:\PropInv\MF</v>
      </c>
      <c r="K2105" s="103" t="str">
        <f>HYPERLINK("E:\PropInv\MF\Houston\Caylor_221_Oakland Plaza Apts_Houston_02843","Caylor_221_Oakland Plaza Apts_Houston_02843" )</f>
        <v>Caylor_221_Oakland Plaza Apts_Houston_02843</v>
      </c>
      <c r="L2105" s="104" t="s">
        <v>22253</v>
      </c>
      <c r="M2105" s="103" t="str">
        <f t="shared" si="163"/>
        <v>http://oconnordata.com/mlink/modules/profile/index.cfm?action=profile&amp;prop_id=2843</v>
      </c>
      <c r="N2105" s="1" t="str">
        <f t="shared" si="164"/>
        <v>02843</v>
      </c>
    </row>
    <row r="2106" spans="1:14" x14ac:dyDescent="0.3">
      <c r="A2106" s="1">
        <v>2851</v>
      </c>
      <c r="B2106" s="7" t="s">
        <v>3191</v>
      </c>
      <c r="C2106" s="12">
        <v>1222</v>
      </c>
      <c r="D2106" s="7" t="s">
        <v>3192</v>
      </c>
      <c r="E2106" s="13" t="s">
        <v>1657</v>
      </c>
      <c r="F2106" t="str">
        <f t="shared" si="160"/>
        <v>Falcon</v>
      </c>
      <c r="G2106" t="str">
        <f t="shared" si="161"/>
        <v>Falcon1222Houston</v>
      </c>
      <c r="H2106" t="s">
        <v>32964</v>
      </c>
      <c r="I2106" t="s">
        <v>24390</v>
      </c>
      <c r="J2106" t="str">
        <f t="shared" si="162"/>
        <v>E:\PropInv\MF</v>
      </c>
      <c r="K2106" s="103" t="str">
        <f>HYPERLINK("E:\PropInv\MF\Houston\Falcon_1222_Mimosa_Houston_02851","Falcon_1222_Mimosa_Houston_02851" )</f>
        <v>Falcon_1222_Mimosa_Houston_02851</v>
      </c>
      <c r="L2106" s="104" t="s">
        <v>22253</v>
      </c>
      <c r="M2106" s="103" t="str">
        <f t="shared" si="163"/>
        <v>http://oconnordata.com/mlink/modules/profile/index.cfm?action=profile&amp;prop_id=2851</v>
      </c>
      <c r="N2106" s="1" t="str">
        <f t="shared" si="164"/>
        <v>02851</v>
      </c>
    </row>
    <row r="2107" spans="1:14" x14ac:dyDescent="0.3">
      <c r="A2107" s="1">
        <v>2854</v>
      </c>
      <c r="B2107" s="7" t="s">
        <v>2592</v>
      </c>
      <c r="C2107" s="12">
        <v>695</v>
      </c>
      <c r="D2107" s="7" t="s">
        <v>3193</v>
      </c>
      <c r="E2107" s="13" t="s">
        <v>1657</v>
      </c>
      <c r="F2107" t="str">
        <f t="shared" si="160"/>
        <v>Normandy</v>
      </c>
      <c r="G2107" t="str">
        <f t="shared" si="161"/>
        <v>Normandy695Houston</v>
      </c>
      <c r="H2107" t="s">
        <v>32965</v>
      </c>
      <c r="I2107" t="s">
        <v>24391</v>
      </c>
      <c r="J2107" t="str">
        <f t="shared" si="162"/>
        <v>E:\PropInv\MF</v>
      </c>
      <c r="K2107" s="103" t="str">
        <f>HYPERLINK("E:\PropInv\MF\Houston\Normandy_695_Normandy Woods_Houston_02854","Normandy_695_Normandy Woods_Houston_02854" )</f>
        <v>Normandy_695_Normandy Woods_Houston_02854</v>
      </c>
      <c r="L2107" s="104" t="s">
        <v>22253</v>
      </c>
      <c r="M2107" s="103" t="str">
        <f t="shared" si="163"/>
        <v>http://oconnordata.com/mlink/modules/profile/index.cfm?action=profile&amp;prop_id=2854</v>
      </c>
      <c r="N2107" s="1" t="str">
        <f t="shared" si="164"/>
        <v>02854</v>
      </c>
    </row>
    <row r="2108" spans="1:14" x14ac:dyDescent="0.3">
      <c r="A2108" s="1">
        <v>2855</v>
      </c>
      <c r="B2108" s="7" t="s">
        <v>3194</v>
      </c>
      <c r="C2108" s="12">
        <v>13000</v>
      </c>
      <c r="D2108" s="7" t="s">
        <v>3195</v>
      </c>
      <c r="E2108" s="13" t="s">
        <v>1657</v>
      </c>
      <c r="F2108" t="str">
        <f t="shared" si="160"/>
        <v>Woodforest</v>
      </c>
      <c r="G2108" t="str">
        <f t="shared" si="161"/>
        <v>Woodforest13000Houston</v>
      </c>
      <c r="H2108" t="s">
        <v>32966</v>
      </c>
      <c r="I2108" t="s">
        <v>24392</v>
      </c>
      <c r="J2108" t="str">
        <f t="shared" si="162"/>
        <v>E:\PropInv\MF</v>
      </c>
      <c r="K2108" s="103" t="str">
        <f>HYPERLINK("E:\PropInv\MF\Houston\Woodforest_13000_Timber Run_Houston_02855","Woodforest_13000_Timber Run_Houston_02855" )</f>
        <v>Woodforest_13000_Timber Run_Houston_02855</v>
      </c>
      <c r="L2108" s="104" t="s">
        <v>22253</v>
      </c>
      <c r="M2108" s="103" t="str">
        <f t="shared" si="163"/>
        <v>http://oconnordata.com/mlink/modules/profile/index.cfm?action=profile&amp;prop_id=2855</v>
      </c>
      <c r="N2108" s="1" t="str">
        <f t="shared" si="164"/>
        <v>02855</v>
      </c>
    </row>
    <row r="2109" spans="1:14" x14ac:dyDescent="0.3">
      <c r="A2109" s="97">
        <v>2857</v>
      </c>
      <c r="B2109" s="7" t="s">
        <v>3196</v>
      </c>
      <c r="C2109" s="12">
        <v>12221</v>
      </c>
      <c r="D2109" s="7" t="s">
        <v>3197</v>
      </c>
      <c r="E2109" s="13" t="s">
        <v>1657</v>
      </c>
      <c r="F2109" t="str">
        <f t="shared" si="160"/>
        <v>Fleming</v>
      </c>
      <c r="G2109" t="str">
        <f t="shared" si="161"/>
        <v>Fleming12221Houston</v>
      </c>
      <c r="H2109" t="s">
        <v>32967</v>
      </c>
      <c r="I2109" t="s">
        <v>24393</v>
      </c>
      <c r="J2109" t="str">
        <f t="shared" si="162"/>
        <v>E:\PropInv\MF</v>
      </c>
      <c r="K2109" s="103" t="str">
        <f>HYPERLINK("E:\PropInv\MF\Houston\Fleming_12221_Yorkshire Village_Houston_02857","Fleming_12221_Yorkshire Village_Houston_02857" )</f>
        <v>Fleming_12221_Yorkshire Village_Houston_02857</v>
      </c>
      <c r="L2109" s="104" t="s">
        <v>22253</v>
      </c>
      <c r="M2109" s="103" t="str">
        <f t="shared" si="163"/>
        <v>http://oconnordata.com/mlink/modules/profile/index.cfm?action=profile&amp;prop_id=2857</v>
      </c>
      <c r="N2109" s="1" t="str">
        <f t="shared" si="164"/>
        <v>02857</v>
      </c>
    </row>
    <row r="2110" spans="1:14" x14ac:dyDescent="0.3">
      <c r="A2110" s="1">
        <v>2858</v>
      </c>
      <c r="B2110" s="7" t="s">
        <v>3196</v>
      </c>
      <c r="C2110" s="12">
        <v>12300</v>
      </c>
      <c r="D2110" s="7" t="s">
        <v>3198</v>
      </c>
      <c r="E2110" s="13" t="s">
        <v>1657</v>
      </c>
      <c r="F2110" t="str">
        <f t="shared" si="160"/>
        <v>Fleming</v>
      </c>
      <c r="G2110" t="str">
        <f t="shared" si="161"/>
        <v>Fleming12300Houston</v>
      </c>
      <c r="H2110" t="s">
        <v>32968</v>
      </c>
      <c r="I2110" t="s">
        <v>24394</v>
      </c>
      <c r="J2110" t="str">
        <f t="shared" si="162"/>
        <v>E:\PropInv\MF</v>
      </c>
      <c r="K2110" s="103" t="str">
        <f>HYPERLINK("E:\PropInv\MF\Houston\Fleming_12300_Falls of Birchbrook_Houston_02858","Fleming_12300_Falls of Birchbrook_Houston_02858" )</f>
        <v>Fleming_12300_Falls of Birchbrook_Houston_02858</v>
      </c>
      <c r="L2110" s="104" t="s">
        <v>22253</v>
      </c>
      <c r="M2110" s="103" t="str">
        <f t="shared" si="163"/>
        <v>http://oconnordata.com/mlink/modules/profile/index.cfm?action=profile&amp;prop_id=2858</v>
      </c>
      <c r="N2110" s="1" t="str">
        <f t="shared" si="164"/>
        <v>02858</v>
      </c>
    </row>
    <row r="2111" spans="1:14" x14ac:dyDescent="0.3">
      <c r="A2111" s="1">
        <v>2860</v>
      </c>
      <c r="B2111" s="7" t="s">
        <v>3199</v>
      </c>
      <c r="C2111" s="12">
        <v>550</v>
      </c>
      <c r="D2111" s="7" t="s">
        <v>3200</v>
      </c>
      <c r="E2111" s="13" t="s">
        <v>1657</v>
      </c>
      <c r="F2111" t="str">
        <f t="shared" si="160"/>
        <v>Normandy</v>
      </c>
      <c r="G2111" t="str">
        <f t="shared" si="161"/>
        <v>Normandy550Houston</v>
      </c>
      <c r="H2111" t="s">
        <v>32969</v>
      </c>
      <c r="I2111" t="s">
        <v>24395</v>
      </c>
      <c r="J2111" t="str">
        <f t="shared" si="162"/>
        <v>E:\PropInv\MF</v>
      </c>
      <c r="K2111" s="103" t="str">
        <f>HYPERLINK("E:\PropInv\MF\Houston\Normandy St_550_Villa Sierra_Houston_02860","Normandy St_550_Villa Sierra_Houston_02860" )</f>
        <v>Normandy St_550_Villa Sierra_Houston_02860</v>
      </c>
      <c r="L2111" s="104" t="s">
        <v>22253</v>
      </c>
      <c r="M2111" s="103" t="str">
        <f t="shared" si="163"/>
        <v>http://oconnordata.com/mlink/modules/profile/index.cfm?action=profile&amp;prop_id=2860</v>
      </c>
      <c r="N2111" s="1" t="str">
        <f t="shared" si="164"/>
        <v>02860</v>
      </c>
    </row>
    <row r="2112" spans="1:14" x14ac:dyDescent="0.3">
      <c r="A2112" s="1">
        <v>2861</v>
      </c>
      <c r="B2112" s="7" t="s">
        <v>2592</v>
      </c>
      <c r="C2112" s="12">
        <v>555</v>
      </c>
      <c r="D2112" s="7" t="s">
        <v>3201</v>
      </c>
      <c r="E2112" s="13" t="s">
        <v>1657</v>
      </c>
      <c r="F2112" t="str">
        <f t="shared" si="160"/>
        <v>Normandy</v>
      </c>
      <c r="G2112" t="str">
        <f t="shared" si="161"/>
        <v>Normandy555Houston</v>
      </c>
      <c r="H2112" t="s">
        <v>32970</v>
      </c>
      <c r="I2112" t="s">
        <v>24396</v>
      </c>
      <c r="J2112" t="str">
        <f t="shared" si="162"/>
        <v>E:\PropInv\MF</v>
      </c>
      <c r="K2112" s="103" t="str">
        <f>HYPERLINK("E:\PropInv\MF\Houston\Normandy_555_Riviera Pines_Houston_02861","Normandy_555_Riviera Pines_Houston_02861" )</f>
        <v>Normandy_555_Riviera Pines_Houston_02861</v>
      </c>
      <c r="L2112" s="104" t="s">
        <v>22253</v>
      </c>
      <c r="M2112" s="103" t="str">
        <f t="shared" si="163"/>
        <v>http://oconnordata.com/mlink/modules/profile/index.cfm?action=profile&amp;prop_id=2861</v>
      </c>
      <c r="N2112" s="1" t="str">
        <f t="shared" si="164"/>
        <v>02861</v>
      </c>
    </row>
    <row r="2113" spans="1:14" x14ac:dyDescent="0.3">
      <c r="A2113" s="1">
        <v>2862</v>
      </c>
      <c r="B2113" s="7" t="s">
        <v>3202</v>
      </c>
      <c r="C2113" s="12">
        <v>666</v>
      </c>
      <c r="D2113" s="7" t="s">
        <v>3203</v>
      </c>
      <c r="E2113" s="13" t="s">
        <v>1657</v>
      </c>
      <c r="F2113" t="str">
        <f t="shared" si="160"/>
        <v>Maxey</v>
      </c>
      <c r="G2113" t="str">
        <f t="shared" si="161"/>
        <v>Maxey666Houston</v>
      </c>
      <c r="H2113" t="s">
        <v>32971</v>
      </c>
      <c r="I2113" t="s">
        <v>24397</v>
      </c>
      <c r="J2113" t="str">
        <f t="shared" si="162"/>
        <v>E:\PropInv\MF</v>
      </c>
      <c r="K2113" s="103" t="str">
        <f>HYPERLINK("E:\PropInv\MF\Houston\Maxey_666_Maxey Village_Houston_02862","Maxey_666_Maxey Village_Houston_02862" )</f>
        <v>Maxey_666_Maxey Village_Houston_02862</v>
      </c>
      <c r="L2113" s="104" t="s">
        <v>22253</v>
      </c>
      <c r="M2113" s="103" t="str">
        <f t="shared" si="163"/>
        <v>http://oconnordata.com/mlink/modules/profile/index.cfm?action=profile&amp;prop_id=2862</v>
      </c>
      <c r="N2113" s="1" t="str">
        <f t="shared" si="164"/>
        <v>02862</v>
      </c>
    </row>
    <row r="2114" spans="1:14" x14ac:dyDescent="0.3">
      <c r="A2114" s="1">
        <v>2863</v>
      </c>
      <c r="B2114" s="7" t="s">
        <v>3204</v>
      </c>
      <c r="C2114" s="12">
        <v>670</v>
      </c>
      <c r="D2114" s="7" t="s">
        <v>3205</v>
      </c>
      <c r="E2114" s="13" t="s">
        <v>1657</v>
      </c>
      <c r="F2114" t="str">
        <f t="shared" ref="F2114:F2177" si="165">IFERROR(LEFT(B2114,FIND(" ",B2114)-1),B2114)</f>
        <v>Maxey</v>
      </c>
      <c r="G2114" t="str">
        <f t="shared" ref="G2114:G2177" si="166">F2114&amp;C2114&amp;E2114</f>
        <v>Maxey670Houston</v>
      </c>
      <c r="H2114" t="s">
        <v>32972</v>
      </c>
      <c r="I2114" t="s">
        <v>24398</v>
      </c>
      <c r="J2114" t="str">
        <f t="shared" ref="J2114:J2177" si="167">IF(L2114="TX",Folder_Path,Folder_Path&amp;"\State_"&amp;L2114)</f>
        <v>E:\PropInv\MF</v>
      </c>
      <c r="K2114" s="103" t="str">
        <f>HYPERLINK("E:\PropInv\MF\Houston\Maxey Rd_670_Rollingwood_Houston_02863","Maxey Rd_670_Rollingwood_Houston_02863" )</f>
        <v>Maxey Rd_670_Rollingwood_Houston_02863</v>
      </c>
      <c r="L2114" s="104" t="s">
        <v>22253</v>
      </c>
      <c r="M2114" s="103" t="str">
        <f t="shared" ref="M2114:M2177" si="168">HYPERLINK("http://oconnordata.com/mlink/modules/profile/index.cfm?action=profile&amp;prop_id="&amp;A2114)</f>
        <v>http://oconnordata.com/mlink/modules/profile/index.cfm?action=profile&amp;prop_id=2863</v>
      </c>
      <c r="N2114" s="1" t="str">
        <f t="shared" ref="N2114:N2177" si="169">IF(LEN(A2114)=1,"0000"&amp;A2114,IF(LEN(A2114)=2,"000"&amp;A2114,IF(LEN(A2114)=3,"00"&amp;A2114,IF(LEN(A2114)=4,"0"&amp;A2114,IF(LEN(A2114)=5,IF(LEFT(A2114,1)="3",A2114+30000,A2114))))))</f>
        <v>02863</v>
      </c>
    </row>
    <row r="2115" spans="1:14" x14ac:dyDescent="0.3">
      <c r="A2115" s="1">
        <v>2865</v>
      </c>
      <c r="B2115" s="7" t="s">
        <v>3206</v>
      </c>
      <c r="C2115" s="12">
        <v>1000</v>
      </c>
      <c r="D2115" s="7" t="s">
        <v>3207</v>
      </c>
      <c r="E2115" s="13" t="s">
        <v>2609</v>
      </c>
      <c r="F2115" t="str">
        <f t="shared" si="165"/>
        <v>Northwood</v>
      </c>
      <c r="G2115" t="str">
        <f t="shared" si="166"/>
        <v>Northwood1000Baytown</v>
      </c>
      <c r="H2115" t="s">
        <v>32973</v>
      </c>
      <c r="I2115" t="s">
        <v>24399</v>
      </c>
      <c r="J2115" t="str">
        <f t="shared" si="167"/>
        <v>E:\PropInv\MF</v>
      </c>
      <c r="K2115" s="103" t="str">
        <f>HYPERLINK("E:\PropInv\MF\Baytown\Northwood N_1000_Leewood_Baytown_02865","Northwood N_1000_Leewood_Baytown_02865" )</f>
        <v>Northwood N_1000_Leewood_Baytown_02865</v>
      </c>
      <c r="L2115" s="104" t="s">
        <v>22253</v>
      </c>
      <c r="M2115" s="103" t="str">
        <f t="shared" si="168"/>
        <v>http://oconnordata.com/mlink/modules/profile/index.cfm?action=profile&amp;prop_id=2865</v>
      </c>
      <c r="N2115" s="1" t="str">
        <f t="shared" si="169"/>
        <v>02865</v>
      </c>
    </row>
    <row r="2116" spans="1:14" x14ac:dyDescent="0.3">
      <c r="A2116" s="1">
        <v>2866</v>
      </c>
      <c r="B2116" s="7" t="s">
        <v>1223</v>
      </c>
      <c r="C2116" s="12">
        <v>1200</v>
      </c>
      <c r="D2116" s="7" t="s">
        <v>3208</v>
      </c>
      <c r="E2116" s="13" t="s">
        <v>2609</v>
      </c>
      <c r="F2116" t="str">
        <f t="shared" si="165"/>
        <v>Northwood</v>
      </c>
      <c r="G2116" t="str">
        <f t="shared" si="166"/>
        <v>Northwood1200Baytown</v>
      </c>
      <c r="H2116" t="s">
        <v>32974</v>
      </c>
      <c r="I2116" t="s">
        <v>24400</v>
      </c>
      <c r="J2116" t="str">
        <f t="shared" si="167"/>
        <v>E:\PropInv\MF</v>
      </c>
      <c r="K2116" s="103" t="str">
        <f>HYPERLINK("E:\PropInv\MF\Baytown\Northwood_1200_Laguna Azul_Baytown_02866","Northwood_1200_Laguna Azul_Baytown_02866" )</f>
        <v>Northwood_1200_Laguna Azul_Baytown_02866</v>
      </c>
      <c r="L2116" s="104" t="s">
        <v>22253</v>
      </c>
      <c r="M2116" s="103" t="str">
        <f t="shared" si="168"/>
        <v>http://oconnordata.com/mlink/modules/profile/index.cfm?action=profile&amp;prop_id=2866</v>
      </c>
      <c r="N2116" s="1" t="str">
        <f t="shared" si="169"/>
        <v>02866</v>
      </c>
    </row>
    <row r="2117" spans="1:14" x14ac:dyDescent="0.3">
      <c r="A2117" s="1">
        <v>2867</v>
      </c>
      <c r="B2117" s="7" t="s">
        <v>3209</v>
      </c>
      <c r="C2117" s="12">
        <v>6600</v>
      </c>
      <c r="D2117" s="7" t="s">
        <v>3210</v>
      </c>
      <c r="E2117" s="13" t="s">
        <v>1657</v>
      </c>
      <c r="F2117" t="str">
        <f t="shared" si="165"/>
        <v>Madrid</v>
      </c>
      <c r="G2117" t="str">
        <f t="shared" si="166"/>
        <v>Madrid6600Houston</v>
      </c>
      <c r="H2117" t="s">
        <v>32975</v>
      </c>
      <c r="I2117" t="s">
        <v>24401</v>
      </c>
      <c r="J2117" t="str">
        <f t="shared" si="167"/>
        <v>E:\PropInv\MF</v>
      </c>
      <c r="K2117" s="103" t="str">
        <f>HYPERLINK("E:\PropInv\MF\Houston\Madrid_6600_Sir John Apts_Houston_02867","Madrid_6600_Sir John Apts_Houston_02867" )</f>
        <v>Madrid_6600_Sir John Apts_Houston_02867</v>
      </c>
      <c r="L2117" s="104" t="s">
        <v>22253</v>
      </c>
      <c r="M2117" s="103" t="str">
        <f t="shared" si="168"/>
        <v>http://oconnordata.com/mlink/modules/profile/index.cfm?action=profile&amp;prop_id=2867</v>
      </c>
      <c r="N2117" s="1" t="str">
        <f t="shared" si="169"/>
        <v>02867</v>
      </c>
    </row>
    <row r="2118" spans="1:14" x14ac:dyDescent="0.3">
      <c r="A2118" s="1">
        <v>2868</v>
      </c>
      <c r="B2118" s="19" t="s">
        <v>3211</v>
      </c>
      <c r="C2118" s="18">
        <v>7530</v>
      </c>
      <c r="D2118" s="19" t="s">
        <v>3212</v>
      </c>
      <c r="E2118" s="20" t="s">
        <v>1657</v>
      </c>
      <c r="F2118" t="str">
        <f t="shared" si="165"/>
        <v>Canal</v>
      </c>
      <c r="G2118" t="str">
        <f t="shared" si="166"/>
        <v>Canal7530Houston</v>
      </c>
      <c r="H2118" t="s">
        <v>32976</v>
      </c>
      <c r="I2118" t="s">
        <v>24402</v>
      </c>
      <c r="J2118" t="str">
        <f t="shared" si="167"/>
        <v>E:\PropInv\MF</v>
      </c>
      <c r="K2118" s="103" t="str">
        <f>HYPERLINK("E:\PropInv\MF\Houston\Canal_7530_Casa Blanca_Houston_02868","Canal_7530_Casa Blanca_Houston_02868" )</f>
        <v>Canal_7530_Casa Blanca_Houston_02868</v>
      </c>
      <c r="L2118" s="104" t="s">
        <v>22253</v>
      </c>
      <c r="M2118" s="103" t="str">
        <f t="shared" si="168"/>
        <v>http://oconnordata.com/mlink/modules/profile/index.cfm?action=profile&amp;prop_id=2868</v>
      </c>
      <c r="N2118" s="1" t="str">
        <f t="shared" si="169"/>
        <v>02868</v>
      </c>
    </row>
    <row r="2119" spans="1:14" x14ac:dyDescent="0.3">
      <c r="A2119" s="1">
        <v>2869</v>
      </c>
      <c r="B2119" s="7" t="s">
        <v>3204</v>
      </c>
      <c r="C2119" s="12">
        <v>470</v>
      </c>
      <c r="D2119" s="7" t="s">
        <v>3213</v>
      </c>
      <c r="E2119" s="13" t="s">
        <v>1657</v>
      </c>
      <c r="F2119" t="str">
        <f t="shared" si="165"/>
        <v>Maxey</v>
      </c>
      <c r="G2119" t="str">
        <f t="shared" si="166"/>
        <v>Maxey470Houston</v>
      </c>
      <c r="H2119" t="s">
        <v>32977</v>
      </c>
      <c r="I2119" t="s">
        <v>24403</v>
      </c>
      <c r="J2119" t="str">
        <f t="shared" si="167"/>
        <v>E:\PropInv\MF</v>
      </c>
      <c r="K2119" s="103" t="str">
        <f>HYPERLINK("E:\PropInv\MF\Houston\Maxey Rd_470_Pine Creek_Houston_02869","Maxey Rd_470_Pine Creek_Houston_02869" )</f>
        <v>Maxey Rd_470_Pine Creek_Houston_02869</v>
      </c>
      <c r="L2119" s="104" t="s">
        <v>22253</v>
      </c>
      <c r="M2119" s="103" t="str">
        <f t="shared" si="168"/>
        <v>http://oconnordata.com/mlink/modules/profile/index.cfm?action=profile&amp;prop_id=2869</v>
      </c>
      <c r="N2119" s="1" t="str">
        <f t="shared" si="169"/>
        <v>02869</v>
      </c>
    </row>
    <row r="2120" spans="1:14" x14ac:dyDescent="0.3">
      <c r="A2120" s="97">
        <v>2870</v>
      </c>
      <c r="B2120" s="7" t="s">
        <v>3214</v>
      </c>
      <c r="C2120" s="12">
        <v>12380</v>
      </c>
      <c r="D2120" s="7" t="s">
        <v>3215</v>
      </c>
      <c r="E2120" s="13" t="s">
        <v>1657</v>
      </c>
      <c r="F2120" t="str">
        <f t="shared" si="165"/>
        <v>Wood</v>
      </c>
      <c r="G2120" t="str">
        <f t="shared" si="166"/>
        <v>Wood12380Houston</v>
      </c>
      <c r="H2120" t="s">
        <v>32978</v>
      </c>
      <c r="I2120" t="s">
        <v>24404</v>
      </c>
      <c r="J2120" t="str">
        <f t="shared" si="167"/>
        <v>E:\PropInv\MF</v>
      </c>
      <c r="K2120" s="103" t="str">
        <f>HYPERLINK("E:\PropInv\MF\Houston\Wood Bayou Dr_12380_Wood Bayou_Houston_02870","Wood Bayou Dr_12380_Wood Bayou_Houston_02870" )</f>
        <v>Wood Bayou Dr_12380_Wood Bayou_Houston_02870</v>
      </c>
      <c r="L2120" s="104" t="s">
        <v>22253</v>
      </c>
      <c r="M2120" s="103" t="str">
        <f t="shared" si="168"/>
        <v>http://oconnordata.com/mlink/modules/profile/index.cfm?action=profile&amp;prop_id=2870</v>
      </c>
      <c r="N2120" s="1" t="str">
        <f t="shared" si="169"/>
        <v>02870</v>
      </c>
    </row>
    <row r="2121" spans="1:14" x14ac:dyDescent="0.3">
      <c r="A2121" s="1">
        <v>2871</v>
      </c>
      <c r="B2121" s="19" t="s">
        <v>3204</v>
      </c>
      <c r="C2121" s="18">
        <v>650</v>
      </c>
      <c r="D2121" s="19" t="s">
        <v>3216</v>
      </c>
      <c r="E2121" s="20" t="s">
        <v>1657</v>
      </c>
      <c r="F2121" t="str">
        <f t="shared" si="165"/>
        <v>Maxey</v>
      </c>
      <c r="G2121" t="str">
        <f t="shared" si="166"/>
        <v>Maxey650Houston</v>
      </c>
      <c r="H2121" t="s">
        <v>32979</v>
      </c>
      <c r="I2121" t="s">
        <v>24405</v>
      </c>
      <c r="J2121" t="str">
        <f t="shared" si="167"/>
        <v>E:\PropInv\MF</v>
      </c>
      <c r="K2121" s="103" t="str">
        <f>HYPERLINK("E:\PropInv\MF\Houston\Maxey Rd_650_650 Maxey Village_Houston_02871","Maxey Rd_650_650 Maxey Village_Houston_02871" )</f>
        <v>Maxey Rd_650_650 Maxey Village_Houston_02871</v>
      </c>
      <c r="L2121" s="104" t="s">
        <v>22253</v>
      </c>
      <c r="M2121" s="103" t="str">
        <f t="shared" si="168"/>
        <v>http://oconnordata.com/mlink/modules/profile/index.cfm?action=profile&amp;prop_id=2871</v>
      </c>
      <c r="N2121" s="1" t="str">
        <f t="shared" si="169"/>
        <v>02871</v>
      </c>
    </row>
    <row r="2122" spans="1:14" x14ac:dyDescent="0.3">
      <c r="A2122" s="1">
        <v>2873</v>
      </c>
      <c r="B2122" s="7" t="s">
        <v>3217</v>
      </c>
      <c r="C2122" s="12">
        <v>12200</v>
      </c>
      <c r="D2122" s="7" t="s">
        <v>3218</v>
      </c>
      <c r="E2122" s="13" t="s">
        <v>1657</v>
      </c>
      <c r="F2122" t="str">
        <f t="shared" si="165"/>
        <v>Fleming</v>
      </c>
      <c r="G2122" t="str">
        <f t="shared" si="166"/>
        <v>Fleming12200Houston</v>
      </c>
      <c r="H2122" t="s">
        <v>32980</v>
      </c>
      <c r="I2122" t="s">
        <v>24406</v>
      </c>
      <c r="J2122" t="str">
        <f t="shared" si="167"/>
        <v>E:\PropInv\MF</v>
      </c>
      <c r="K2122" s="103" t="str">
        <f>HYPERLINK("E:\PropInv\MF\Houston\Fleming Dr_12200_Timber Ridge I_Houston_02873","Fleming Dr_12200_Timber Ridge I_Houston_02873" )</f>
        <v>Fleming Dr_12200_Timber Ridge I_Houston_02873</v>
      </c>
      <c r="L2122" s="104" t="s">
        <v>22253</v>
      </c>
      <c r="M2122" s="103" t="str">
        <f t="shared" si="168"/>
        <v>http://oconnordata.com/mlink/modules/profile/index.cfm?action=profile&amp;prop_id=2873</v>
      </c>
      <c r="N2122" s="1" t="str">
        <f t="shared" si="169"/>
        <v>02873</v>
      </c>
    </row>
    <row r="2123" spans="1:14" x14ac:dyDescent="0.3">
      <c r="A2123" s="1">
        <v>2874</v>
      </c>
      <c r="B2123" s="7" t="s">
        <v>2592</v>
      </c>
      <c r="C2123" s="12">
        <v>794</v>
      </c>
      <c r="D2123" s="7" t="s">
        <v>3219</v>
      </c>
      <c r="E2123" s="13" t="s">
        <v>1657</v>
      </c>
      <c r="F2123" t="str">
        <f t="shared" si="165"/>
        <v>Normandy</v>
      </c>
      <c r="G2123" t="str">
        <f t="shared" si="166"/>
        <v>Normandy794Houston</v>
      </c>
      <c r="H2123" t="s">
        <v>32981</v>
      </c>
      <c r="I2123" t="s">
        <v>24407</v>
      </c>
      <c r="J2123" t="str">
        <f t="shared" si="167"/>
        <v>E:\PropInv\MF</v>
      </c>
      <c r="K2123" s="103" t="str">
        <f>HYPERLINK("E:\PropInv\MF\Houston\Normandy_794_Colorado Club_Houston_02874","Normandy_794_Colorado Club_Houston_02874" )</f>
        <v>Normandy_794_Colorado Club_Houston_02874</v>
      </c>
      <c r="L2123" s="104" t="s">
        <v>22253</v>
      </c>
      <c r="M2123" s="103" t="str">
        <f t="shared" si="168"/>
        <v>http://oconnordata.com/mlink/modules/profile/index.cfm?action=profile&amp;prop_id=2874</v>
      </c>
      <c r="N2123" s="1" t="str">
        <f t="shared" si="169"/>
        <v>02874</v>
      </c>
    </row>
    <row r="2124" spans="1:14" x14ac:dyDescent="0.3">
      <c r="A2124" s="1">
        <v>2875</v>
      </c>
      <c r="B2124" s="10" t="s">
        <v>3220</v>
      </c>
      <c r="C2124" s="9">
        <v>10823</v>
      </c>
      <c r="D2124" s="10" t="s">
        <v>3221</v>
      </c>
      <c r="E2124" s="11" t="s">
        <v>1657</v>
      </c>
      <c r="F2124" t="str">
        <f t="shared" si="165"/>
        <v>Ln</v>
      </c>
      <c r="G2124" t="str">
        <f t="shared" si="166"/>
        <v>Ln10823Houston</v>
      </c>
      <c r="H2124" t="s">
        <v>32982</v>
      </c>
      <c r="I2124" t="s">
        <v>24408</v>
      </c>
      <c r="J2124" t="str">
        <f t="shared" si="167"/>
        <v>E:\PropInv\MF</v>
      </c>
      <c r="K2124" s="103" t="str">
        <f>HYPERLINK("E:\PropInv\MF\Houston\Ln_10823_Shadow Lake Apts_Houston_02875","Ln_10823_Shadow Lake Apts_Houston_02875" )</f>
        <v>Ln_10823_Shadow Lake Apts_Houston_02875</v>
      </c>
      <c r="L2124" s="104" t="s">
        <v>22253</v>
      </c>
      <c r="M2124" s="103" t="str">
        <f t="shared" si="168"/>
        <v>http://oconnordata.com/mlink/modules/profile/index.cfm?action=profile&amp;prop_id=2875</v>
      </c>
      <c r="N2124" s="1" t="str">
        <f t="shared" si="169"/>
        <v>02875</v>
      </c>
    </row>
    <row r="2125" spans="1:14" x14ac:dyDescent="0.3">
      <c r="A2125" s="1">
        <v>2878</v>
      </c>
      <c r="B2125" s="10" t="s">
        <v>3222</v>
      </c>
      <c r="C2125" s="9">
        <v>333</v>
      </c>
      <c r="D2125" s="10" t="s">
        <v>3223</v>
      </c>
      <c r="E2125" s="11" t="s">
        <v>1657</v>
      </c>
      <c r="F2125" t="str">
        <f t="shared" si="165"/>
        <v>Uvalde</v>
      </c>
      <c r="G2125" t="str">
        <f t="shared" si="166"/>
        <v>Uvalde333Houston</v>
      </c>
      <c r="H2125" t="s">
        <v>32983</v>
      </c>
      <c r="I2125" t="s">
        <v>24409</v>
      </c>
      <c r="J2125" t="str">
        <f t="shared" si="167"/>
        <v>E:\PropInv\MF</v>
      </c>
      <c r="K2125" s="103" t="str">
        <f>HYPERLINK("E:\PropInv\MF\Houston\Uvalde Dr_333_Northshore Meadows_Houston_02878","Uvalde Dr_333_Northshore Meadows_Houston_02878" )</f>
        <v>Uvalde Dr_333_Northshore Meadows_Houston_02878</v>
      </c>
      <c r="L2125" s="104" t="s">
        <v>22253</v>
      </c>
      <c r="M2125" s="103" t="str">
        <f t="shared" si="168"/>
        <v>http://oconnordata.com/mlink/modules/profile/index.cfm?action=profile&amp;prop_id=2878</v>
      </c>
      <c r="N2125" s="1" t="str">
        <f t="shared" si="169"/>
        <v>02878</v>
      </c>
    </row>
    <row r="2126" spans="1:14" x14ac:dyDescent="0.3">
      <c r="A2126" s="1">
        <v>2879</v>
      </c>
      <c r="B2126" s="10" t="s">
        <v>3220</v>
      </c>
      <c r="C2126" s="9">
        <v>10921</v>
      </c>
      <c r="D2126" s="10" t="s">
        <v>3224</v>
      </c>
      <c r="E2126" s="11" t="s">
        <v>1657</v>
      </c>
      <c r="F2126" t="str">
        <f t="shared" si="165"/>
        <v>Ln</v>
      </c>
      <c r="G2126" t="str">
        <f t="shared" si="166"/>
        <v>Ln10921Houston</v>
      </c>
      <c r="H2126" t="s">
        <v>32984</v>
      </c>
      <c r="I2126" t="s">
        <v>24410</v>
      </c>
      <c r="J2126" t="str">
        <f t="shared" si="167"/>
        <v>E:\PropInv\MF</v>
      </c>
      <c r="K2126" s="103" t="str">
        <f>HYPERLINK("E:\PropInv\MF\Houston\Ln_10921_Pin Oak Apts_Houston_02879","Ln_10921_Pin Oak Apts_Houston_02879" )</f>
        <v>Ln_10921_Pin Oak Apts_Houston_02879</v>
      </c>
      <c r="L2126" s="104" t="s">
        <v>22253</v>
      </c>
      <c r="M2126" s="103" t="str">
        <f t="shared" si="168"/>
        <v>http://oconnordata.com/mlink/modules/profile/index.cfm?action=profile&amp;prop_id=2879</v>
      </c>
      <c r="N2126" s="1" t="str">
        <f t="shared" si="169"/>
        <v>02879</v>
      </c>
    </row>
    <row r="2127" spans="1:14" x14ac:dyDescent="0.3">
      <c r="A2127" s="1">
        <v>2880</v>
      </c>
      <c r="B2127" s="10" t="s">
        <v>3225</v>
      </c>
      <c r="C2127" s="9">
        <v>10903</v>
      </c>
      <c r="D2127" s="10" t="s">
        <v>3226</v>
      </c>
      <c r="E2127" s="11" t="s">
        <v>1657</v>
      </c>
      <c r="F2127" t="str">
        <f t="shared" si="165"/>
        <v>Wiggins</v>
      </c>
      <c r="G2127" t="str">
        <f t="shared" si="166"/>
        <v>Wiggins10903Houston</v>
      </c>
      <c r="H2127" t="s">
        <v>32985</v>
      </c>
      <c r="I2127" t="s">
        <v>24411</v>
      </c>
      <c r="J2127" t="str">
        <f t="shared" si="167"/>
        <v>E:\PropInv\MF</v>
      </c>
      <c r="K2127" s="103" t="str">
        <f>HYPERLINK("E:\PropInv\MF\Houston\Wiggins_10903_Jacinto Arms Apts_Houston_02880","Wiggins_10903_Jacinto Arms Apts_Houston_02880" )</f>
        <v>Wiggins_10903_Jacinto Arms Apts_Houston_02880</v>
      </c>
      <c r="L2127" s="104" t="s">
        <v>22253</v>
      </c>
      <c r="M2127" s="103" t="str">
        <f t="shared" si="168"/>
        <v>http://oconnordata.com/mlink/modules/profile/index.cfm?action=profile&amp;prop_id=2880</v>
      </c>
      <c r="N2127" s="1" t="str">
        <f t="shared" si="169"/>
        <v>02880</v>
      </c>
    </row>
    <row r="2128" spans="1:14" x14ac:dyDescent="0.3">
      <c r="A2128" s="1">
        <v>2890</v>
      </c>
      <c r="B2128" s="10" t="s">
        <v>3161</v>
      </c>
      <c r="C2128" s="9">
        <v>12845</v>
      </c>
      <c r="D2128" s="10" t="s">
        <v>3227</v>
      </c>
      <c r="E2128" s="11" t="s">
        <v>1657</v>
      </c>
      <c r="F2128" t="str">
        <f t="shared" si="165"/>
        <v>Market</v>
      </c>
      <c r="G2128" t="str">
        <f t="shared" si="166"/>
        <v>Market12845Houston</v>
      </c>
      <c r="H2128" t="s">
        <v>32986</v>
      </c>
      <c r="I2128" t="s">
        <v>24412</v>
      </c>
      <c r="J2128" t="str">
        <f t="shared" si="167"/>
        <v>E:\PropInv\MF</v>
      </c>
      <c r="K2128" s="103" t="str">
        <f>HYPERLINK("E:\PropInv\MF\Houston\Market_12845_La Fiesta Apts_Houston_02890","Market_12845_La Fiesta Apts_Houston_02890" )</f>
        <v>Market_12845_La Fiesta Apts_Houston_02890</v>
      </c>
      <c r="L2128" s="104" t="s">
        <v>22253</v>
      </c>
      <c r="M2128" s="103" t="str">
        <f t="shared" si="168"/>
        <v>http://oconnordata.com/mlink/modules/profile/index.cfm?action=profile&amp;prop_id=2890</v>
      </c>
      <c r="N2128" s="1" t="str">
        <f t="shared" si="169"/>
        <v>02890</v>
      </c>
    </row>
    <row r="2129" spans="1:14" x14ac:dyDescent="0.3">
      <c r="A2129" s="1">
        <v>2894</v>
      </c>
      <c r="B2129" s="10" t="s">
        <v>3228</v>
      </c>
      <c r="C2129" s="9">
        <v>615</v>
      </c>
      <c r="D2129" s="10" t="s">
        <v>3229</v>
      </c>
      <c r="E2129" s="11" t="s">
        <v>1657</v>
      </c>
      <c r="F2129" t="str">
        <f t="shared" si="165"/>
        <v>Freeport</v>
      </c>
      <c r="G2129" t="str">
        <f t="shared" si="166"/>
        <v>Freeport615Houston</v>
      </c>
      <c r="H2129" t="s">
        <v>32987</v>
      </c>
      <c r="I2129" t="s">
        <v>24413</v>
      </c>
      <c r="J2129" t="str">
        <f t="shared" si="167"/>
        <v>E:\PropInv\MF</v>
      </c>
      <c r="K2129" s="103" t="str">
        <f>HYPERLINK("E:\PropInv\MF\Houston\Freeport_615_Oakglen_Houston_02894","Freeport_615_Oakglen_Houston_02894" )</f>
        <v>Freeport_615_Oakglen_Houston_02894</v>
      </c>
      <c r="L2129" s="104" t="s">
        <v>22253</v>
      </c>
      <c r="M2129" s="103" t="str">
        <f t="shared" si="168"/>
        <v>http://oconnordata.com/mlink/modules/profile/index.cfm?action=profile&amp;prop_id=2894</v>
      </c>
      <c r="N2129" s="1" t="str">
        <f t="shared" si="169"/>
        <v>02894</v>
      </c>
    </row>
    <row r="2130" spans="1:14" x14ac:dyDescent="0.3">
      <c r="A2130" s="1">
        <v>2895</v>
      </c>
      <c r="B2130" s="10" t="s">
        <v>3230</v>
      </c>
      <c r="C2130" s="9">
        <v>13919</v>
      </c>
      <c r="D2130" s="10" t="s">
        <v>3231</v>
      </c>
      <c r="E2130" s="11" t="s">
        <v>1657</v>
      </c>
      <c r="F2130" t="str">
        <f t="shared" si="165"/>
        <v>Texarkana</v>
      </c>
      <c r="G2130" t="str">
        <f t="shared" si="166"/>
        <v>Texarkana13919Houston</v>
      </c>
      <c r="H2130" t="s">
        <v>32988</v>
      </c>
      <c r="I2130" t="s">
        <v>24414</v>
      </c>
      <c r="J2130" t="str">
        <f t="shared" si="167"/>
        <v>E:\PropInv\MF</v>
      </c>
      <c r="K2130" s="103" t="str">
        <f>HYPERLINK("E:\PropInv\MF\Houston\Texarkana_13919_Bayou Terrace_Houston_02895","Texarkana_13919_Bayou Terrace_Houston_02895" )</f>
        <v>Texarkana_13919_Bayou Terrace_Houston_02895</v>
      </c>
      <c r="L2130" s="104" t="s">
        <v>22253</v>
      </c>
      <c r="M2130" s="103" t="str">
        <f t="shared" si="168"/>
        <v>http://oconnordata.com/mlink/modules/profile/index.cfm?action=profile&amp;prop_id=2895</v>
      </c>
      <c r="N2130" s="1" t="str">
        <f t="shared" si="169"/>
        <v>02895</v>
      </c>
    </row>
    <row r="2131" spans="1:14" x14ac:dyDescent="0.3">
      <c r="A2131" s="1">
        <v>2896</v>
      </c>
      <c r="B2131" s="10" t="s">
        <v>2525</v>
      </c>
      <c r="C2131" s="9">
        <v>13933</v>
      </c>
      <c r="D2131" s="10" t="s">
        <v>1393</v>
      </c>
      <c r="E2131" s="11" t="s">
        <v>1657</v>
      </c>
      <c r="F2131" t="str">
        <f t="shared" si="165"/>
        <v>Victoria</v>
      </c>
      <c r="G2131" t="str">
        <f t="shared" si="166"/>
        <v>Victoria13933Houston</v>
      </c>
      <c r="H2131" t="s">
        <v>32989</v>
      </c>
      <c r="I2131" t="s">
        <v>24415</v>
      </c>
      <c r="J2131" t="str">
        <f t="shared" si="167"/>
        <v>E:\PropInv\MF</v>
      </c>
      <c r="K2131" s="103" t="str">
        <f>HYPERLINK("E:\PropInv\MF\Houston\Victoria_13933_Cloverleaf_Houston_02896","Victoria_13933_Cloverleaf_Houston_02896" )</f>
        <v>Victoria_13933_Cloverleaf_Houston_02896</v>
      </c>
      <c r="L2131" s="104" t="s">
        <v>22253</v>
      </c>
      <c r="M2131" s="103" t="str">
        <f t="shared" si="168"/>
        <v>http://oconnordata.com/mlink/modules/profile/index.cfm?action=profile&amp;prop_id=2896</v>
      </c>
      <c r="N2131" s="1" t="str">
        <f t="shared" si="169"/>
        <v>02896</v>
      </c>
    </row>
    <row r="2132" spans="1:14" x14ac:dyDescent="0.3">
      <c r="A2132" s="1">
        <v>2897</v>
      </c>
      <c r="B2132" s="10" t="s">
        <v>3194</v>
      </c>
      <c r="C2132" s="9">
        <v>13155</v>
      </c>
      <c r="D2132" s="10" t="s">
        <v>3232</v>
      </c>
      <c r="E2132" s="11" t="s">
        <v>1657</v>
      </c>
      <c r="F2132" t="str">
        <f t="shared" si="165"/>
        <v>Woodforest</v>
      </c>
      <c r="G2132" t="str">
        <f t="shared" si="166"/>
        <v>Woodforest13155Houston</v>
      </c>
      <c r="H2132" t="s">
        <v>32990</v>
      </c>
      <c r="I2132" t="s">
        <v>24416</v>
      </c>
      <c r="J2132" t="str">
        <f t="shared" si="167"/>
        <v>E:\PropInv\MF</v>
      </c>
      <c r="K2132" s="103" t="str">
        <f>HYPERLINK("E:\PropInv\MF\Houston\Woodforest_13155_Tall Timbers_Houston_02897","Woodforest_13155_Tall Timbers_Houston_02897" )</f>
        <v>Woodforest_13155_Tall Timbers_Houston_02897</v>
      </c>
      <c r="L2132" s="104" t="s">
        <v>22253</v>
      </c>
      <c r="M2132" s="103" t="str">
        <f t="shared" si="168"/>
        <v>http://oconnordata.com/mlink/modules/profile/index.cfm?action=profile&amp;prop_id=2897</v>
      </c>
      <c r="N2132" s="1" t="str">
        <f t="shared" si="169"/>
        <v>02897</v>
      </c>
    </row>
    <row r="2133" spans="1:14" x14ac:dyDescent="0.3">
      <c r="A2133" s="1">
        <v>2898</v>
      </c>
      <c r="B2133" s="10" t="s">
        <v>3194</v>
      </c>
      <c r="C2133" s="9">
        <v>13455</v>
      </c>
      <c r="D2133" s="10" t="s">
        <v>3233</v>
      </c>
      <c r="E2133" s="11" t="s">
        <v>1657</v>
      </c>
      <c r="F2133" t="str">
        <f t="shared" si="165"/>
        <v>Woodforest</v>
      </c>
      <c r="G2133" t="str">
        <f t="shared" si="166"/>
        <v>Woodforest13455Houston</v>
      </c>
      <c r="H2133" t="s">
        <v>32991</v>
      </c>
      <c r="I2133" t="s">
        <v>24417</v>
      </c>
      <c r="J2133" t="str">
        <f t="shared" si="167"/>
        <v>E:\PropInv\MF</v>
      </c>
      <c r="K2133" s="103" t="str">
        <f>HYPERLINK("E:\PropInv\MF\Houston\Woodforest_13455_Parc Towne Plaza_Houston_02898","Woodforest_13455_Parc Towne Plaza_Houston_02898" )</f>
        <v>Woodforest_13455_Parc Towne Plaza_Houston_02898</v>
      </c>
      <c r="L2133" s="104" t="s">
        <v>22253</v>
      </c>
      <c r="M2133" s="103" t="str">
        <f t="shared" si="168"/>
        <v>http://oconnordata.com/mlink/modules/profile/index.cfm?action=profile&amp;prop_id=2898</v>
      </c>
      <c r="N2133" s="1" t="str">
        <f t="shared" si="169"/>
        <v>02898</v>
      </c>
    </row>
    <row r="2134" spans="1:14" x14ac:dyDescent="0.3">
      <c r="A2134" s="1">
        <v>2902</v>
      </c>
      <c r="B2134" s="10" t="s">
        <v>3234</v>
      </c>
      <c r="C2134" s="9">
        <v>14415</v>
      </c>
      <c r="D2134" s="10" t="s">
        <v>3235</v>
      </c>
      <c r="E2134" s="11" t="s">
        <v>1657</v>
      </c>
      <c r="F2134" t="str">
        <f t="shared" si="165"/>
        <v>Alderson</v>
      </c>
      <c r="G2134" t="str">
        <f t="shared" si="166"/>
        <v>Alderson14415Houston</v>
      </c>
      <c r="H2134" t="s">
        <v>32992</v>
      </c>
      <c r="I2134" t="s">
        <v>24418</v>
      </c>
      <c r="J2134" t="str">
        <f t="shared" si="167"/>
        <v>E:\PropInv\MF</v>
      </c>
      <c r="K2134" s="103" t="str">
        <f>HYPERLINK("E:\PropInv\MF\Houston\Alderson_14415_Spanish Villa_Houston_02902","Alderson_14415_Spanish Villa_Houston_02902" )</f>
        <v>Alderson_14415_Spanish Villa_Houston_02902</v>
      </c>
      <c r="L2134" s="104" t="s">
        <v>22253</v>
      </c>
      <c r="M2134" s="103" t="str">
        <f t="shared" si="168"/>
        <v>http://oconnordata.com/mlink/modules/profile/index.cfm?action=profile&amp;prop_id=2902</v>
      </c>
      <c r="N2134" s="1" t="str">
        <f t="shared" si="169"/>
        <v>02902</v>
      </c>
    </row>
    <row r="2135" spans="1:14" x14ac:dyDescent="0.3">
      <c r="A2135" s="1">
        <v>2904</v>
      </c>
      <c r="B2135" s="10" t="s">
        <v>3228</v>
      </c>
      <c r="C2135" s="9">
        <v>912</v>
      </c>
      <c r="D2135" s="10" t="s">
        <v>3236</v>
      </c>
      <c r="E2135" s="11" t="s">
        <v>1657</v>
      </c>
      <c r="F2135" t="str">
        <f t="shared" si="165"/>
        <v>Freeport</v>
      </c>
      <c r="G2135" t="str">
        <f t="shared" si="166"/>
        <v>Freeport912Houston</v>
      </c>
      <c r="H2135" t="s">
        <v>32993</v>
      </c>
      <c r="I2135" t="s">
        <v>24419</v>
      </c>
      <c r="J2135" t="str">
        <f t="shared" si="167"/>
        <v>E:\PropInv\MF</v>
      </c>
      <c r="K2135" s="103" t="str">
        <f>HYPERLINK("E:\PropInv\MF\Houston\Freeport_912_Pioneer Apts_Houston_02904","Freeport_912_Pioneer Apts_Houston_02904" )</f>
        <v>Freeport_912_Pioneer Apts_Houston_02904</v>
      </c>
      <c r="L2135" s="104" t="s">
        <v>22253</v>
      </c>
      <c r="M2135" s="103" t="str">
        <f t="shared" si="168"/>
        <v>http://oconnordata.com/mlink/modules/profile/index.cfm?action=profile&amp;prop_id=2904</v>
      </c>
      <c r="N2135" s="1" t="str">
        <f t="shared" si="169"/>
        <v>02904</v>
      </c>
    </row>
    <row r="2136" spans="1:14" x14ac:dyDescent="0.3">
      <c r="A2136" s="1">
        <v>2905</v>
      </c>
      <c r="B2136" s="10" t="s">
        <v>3228</v>
      </c>
      <c r="C2136" s="9">
        <v>1114</v>
      </c>
      <c r="D2136" s="10" t="s">
        <v>3237</v>
      </c>
      <c r="E2136" s="11" t="s">
        <v>1657</v>
      </c>
      <c r="F2136" t="str">
        <f t="shared" si="165"/>
        <v>Freeport</v>
      </c>
      <c r="G2136" t="str">
        <f t="shared" si="166"/>
        <v>Freeport1114Houston</v>
      </c>
      <c r="H2136" t="s">
        <v>32994</v>
      </c>
      <c r="I2136" t="s">
        <v>24420</v>
      </c>
      <c r="J2136" t="str">
        <f t="shared" si="167"/>
        <v>E:\PropInv\MF</v>
      </c>
      <c r="K2136" s="103" t="str">
        <f>HYPERLINK("E:\PropInv\MF\Houston\Freeport_1114_Estada Villa_Houston_02905","Freeport_1114_Estada Villa_Houston_02905" )</f>
        <v>Freeport_1114_Estada Villa_Houston_02905</v>
      </c>
      <c r="L2136" s="104" t="s">
        <v>22253</v>
      </c>
      <c r="M2136" s="103" t="str">
        <f t="shared" si="168"/>
        <v>http://oconnordata.com/mlink/modules/profile/index.cfm?action=profile&amp;prop_id=2905</v>
      </c>
      <c r="N2136" s="1" t="str">
        <f t="shared" si="169"/>
        <v>02905</v>
      </c>
    </row>
    <row r="2137" spans="1:14" x14ac:dyDescent="0.3">
      <c r="A2137" s="1">
        <v>2908</v>
      </c>
      <c r="B2137" s="10" t="s">
        <v>3234</v>
      </c>
      <c r="C2137" s="9">
        <v>13925</v>
      </c>
      <c r="D2137" s="10" t="s">
        <v>3238</v>
      </c>
      <c r="E2137" s="11" t="s">
        <v>1657</v>
      </c>
      <c r="F2137" t="str">
        <f t="shared" si="165"/>
        <v>Alderson</v>
      </c>
      <c r="G2137" t="str">
        <f t="shared" si="166"/>
        <v>Alderson13925Houston</v>
      </c>
      <c r="H2137" t="s">
        <v>32995</v>
      </c>
      <c r="I2137" t="s">
        <v>24421</v>
      </c>
      <c r="J2137" t="str">
        <f t="shared" si="167"/>
        <v>E:\PropInv\MF</v>
      </c>
      <c r="K2137" s="103" t="str">
        <f>HYPERLINK("E:\PropInv\MF\Houston\Alderson_13925_The Gentry_Houston_02908","Alderson_13925_The Gentry_Houston_02908" )</f>
        <v>Alderson_13925_The Gentry_Houston_02908</v>
      </c>
      <c r="L2137" s="104" t="s">
        <v>22253</v>
      </c>
      <c r="M2137" s="103" t="str">
        <f t="shared" si="168"/>
        <v>http://oconnordata.com/mlink/modules/profile/index.cfm?action=profile&amp;prop_id=2908</v>
      </c>
      <c r="N2137" s="1" t="str">
        <f t="shared" si="169"/>
        <v>02908</v>
      </c>
    </row>
    <row r="2138" spans="1:14" x14ac:dyDescent="0.3">
      <c r="A2138" s="1">
        <v>2910</v>
      </c>
      <c r="B2138" s="10" t="s">
        <v>3239</v>
      </c>
      <c r="C2138" s="9">
        <v>907</v>
      </c>
      <c r="D2138" s="10" t="s">
        <v>3240</v>
      </c>
      <c r="E2138" s="11" t="s">
        <v>3241</v>
      </c>
      <c r="F2138" t="str">
        <f t="shared" si="165"/>
        <v>Ashland</v>
      </c>
      <c r="G2138" t="str">
        <f t="shared" si="166"/>
        <v>Ashland907Channelview</v>
      </c>
      <c r="H2138" t="s">
        <v>32996</v>
      </c>
      <c r="I2138" t="s">
        <v>24422</v>
      </c>
      <c r="J2138" t="str">
        <f t="shared" si="167"/>
        <v>E:\PropInv\MF</v>
      </c>
      <c r="K2138" s="103" t="str">
        <f>HYPERLINK("E:\PropInv\MF\Channelview\Ashland_907_Casa De Grande_Channelview_02910","Ashland_907_Casa De Grande_Channelview_02910" )</f>
        <v>Ashland_907_Casa De Grande_Channelview_02910</v>
      </c>
      <c r="L2138" s="104" t="s">
        <v>22253</v>
      </c>
      <c r="M2138" s="103" t="str">
        <f t="shared" si="168"/>
        <v>http://oconnordata.com/mlink/modules/profile/index.cfm?action=profile&amp;prop_id=2910</v>
      </c>
      <c r="N2138" s="1" t="str">
        <f t="shared" si="169"/>
        <v>02910</v>
      </c>
    </row>
    <row r="2139" spans="1:14" x14ac:dyDescent="0.3">
      <c r="A2139" s="1">
        <v>2911</v>
      </c>
      <c r="B2139" s="10" t="s">
        <v>3242</v>
      </c>
      <c r="C2139" s="9">
        <v>719</v>
      </c>
      <c r="D2139" s="10" t="s">
        <v>3243</v>
      </c>
      <c r="E2139" s="11" t="s">
        <v>3241</v>
      </c>
      <c r="F2139" t="str">
        <f t="shared" si="165"/>
        <v>Sheldon</v>
      </c>
      <c r="G2139" t="str">
        <f t="shared" si="166"/>
        <v>Sheldon719Channelview</v>
      </c>
      <c r="H2139" t="s">
        <v>32997</v>
      </c>
      <c r="I2139" t="s">
        <v>24423</v>
      </c>
      <c r="J2139" t="str">
        <f t="shared" si="167"/>
        <v>E:\PropInv\MF</v>
      </c>
      <c r="K2139" s="103" t="str">
        <f>HYPERLINK("E:\PropInv\MF\Channelview\Sheldon_719_Reserve at Channelview Gardens_Channelview_02911","Sheldon_719_Reserve at Channelview Gardens_Channelview_02911" )</f>
        <v>Sheldon_719_Reserve at Channelview Gardens_Channelview_02911</v>
      </c>
      <c r="L2139" s="104" t="s">
        <v>22253</v>
      </c>
      <c r="M2139" s="103" t="str">
        <f t="shared" si="168"/>
        <v>http://oconnordata.com/mlink/modules/profile/index.cfm?action=profile&amp;prop_id=2911</v>
      </c>
      <c r="N2139" s="1" t="str">
        <f t="shared" si="169"/>
        <v>02911</v>
      </c>
    </row>
    <row r="2140" spans="1:14" x14ac:dyDescent="0.3">
      <c r="A2140" s="97">
        <v>2913</v>
      </c>
      <c r="B2140" s="10" t="s">
        <v>3244</v>
      </c>
      <c r="C2140" s="9">
        <v>903</v>
      </c>
      <c r="D2140" s="10" t="s">
        <v>3245</v>
      </c>
      <c r="E2140" s="11" t="s">
        <v>3241</v>
      </c>
      <c r="F2140" t="str">
        <f t="shared" si="165"/>
        <v>Woodland</v>
      </c>
      <c r="G2140" t="str">
        <f t="shared" si="166"/>
        <v>Woodland903Channelview</v>
      </c>
      <c r="H2140" t="s">
        <v>32998</v>
      </c>
      <c r="I2140" t="s">
        <v>24424</v>
      </c>
      <c r="J2140" t="str">
        <f t="shared" si="167"/>
        <v>E:\PropInv\MF</v>
      </c>
      <c r="K2140" s="103" t="str">
        <f>HYPERLINK("E:\PropInv\MF\Channelview\Woodland Dr_903_Woodland Villa_Channelview_02913","Woodland Dr_903_Woodland Villa_Channelview_02913" )</f>
        <v>Woodland Dr_903_Woodland Villa_Channelview_02913</v>
      </c>
      <c r="L2140" s="104" t="s">
        <v>22253</v>
      </c>
      <c r="M2140" s="103" t="str">
        <f t="shared" si="168"/>
        <v>http://oconnordata.com/mlink/modules/profile/index.cfm?action=profile&amp;prop_id=2913</v>
      </c>
      <c r="N2140" s="1" t="str">
        <f t="shared" si="169"/>
        <v>02913</v>
      </c>
    </row>
    <row r="2141" spans="1:14" x14ac:dyDescent="0.3">
      <c r="A2141" s="1">
        <v>2914</v>
      </c>
      <c r="B2141" s="30" t="s">
        <v>3246</v>
      </c>
      <c r="C2141" s="15">
        <v>15430</v>
      </c>
      <c r="D2141" s="16" t="s">
        <v>3247</v>
      </c>
      <c r="E2141" s="17" t="s">
        <v>3241</v>
      </c>
      <c r="F2141" t="str">
        <f t="shared" si="165"/>
        <v>E</v>
      </c>
      <c r="G2141" t="str">
        <f t="shared" si="166"/>
        <v>E15430Channelview</v>
      </c>
      <c r="H2141" t="s">
        <v>32999</v>
      </c>
      <c r="I2141" t="s">
        <v>24425</v>
      </c>
      <c r="J2141" t="str">
        <f t="shared" si="167"/>
        <v>E:\PropInv\MF</v>
      </c>
      <c r="K2141" s="103" t="str">
        <f>HYPERLINK("E:\PropInv\MF\Channelview\E Fwy_15430_South Grand_Channelview_02914","E Fwy_15430_South Grand_Channelview_02914" )</f>
        <v>E Fwy_15430_South Grand_Channelview_02914</v>
      </c>
      <c r="L2141" s="104" t="s">
        <v>22253</v>
      </c>
      <c r="M2141" s="103" t="str">
        <f t="shared" si="168"/>
        <v>http://oconnordata.com/mlink/modules/profile/index.cfm?action=profile&amp;prop_id=2914</v>
      </c>
      <c r="N2141" s="1" t="str">
        <f t="shared" si="169"/>
        <v>02914</v>
      </c>
    </row>
    <row r="2142" spans="1:14" x14ac:dyDescent="0.3">
      <c r="A2142" s="1">
        <v>2916</v>
      </c>
      <c r="B2142" s="10" t="s">
        <v>3248</v>
      </c>
      <c r="C2142" s="9">
        <v>305</v>
      </c>
      <c r="D2142" s="10" t="s">
        <v>3249</v>
      </c>
      <c r="E2142" s="11" t="s">
        <v>2609</v>
      </c>
      <c r="F2142" t="str">
        <f t="shared" si="165"/>
        <v>Baker</v>
      </c>
      <c r="G2142" t="str">
        <f t="shared" si="166"/>
        <v>Baker305Baytown</v>
      </c>
      <c r="H2142" t="s">
        <v>33000</v>
      </c>
      <c r="I2142" t="s">
        <v>24426</v>
      </c>
      <c r="J2142" t="str">
        <f t="shared" si="167"/>
        <v>E:\PropInv\MF</v>
      </c>
      <c r="K2142" s="103" t="str">
        <f>HYPERLINK("E:\PropInv\MF\Baytown\Baker Rd W_305_The Lakes at Madera_Baytown_02916","Baker Rd W_305_The Lakes at Madera_Baytown_02916" )</f>
        <v>Baker Rd W_305_The Lakes at Madera_Baytown_02916</v>
      </c>
      <c r="L2142" s="104" t="s">
        <v>22253</v>
      </c>
      <c r="M2142" s="103" t="str">
        <f t="shared" si="168"/>
        <v>http://oconnordata.com/mlink/modules/profile/index.cfm?action=profile&amp;prop_id=2916</v>
      </c>
      <c r="N2142" s="1" t="str">
        <f t="shared" si="169"/>
        <v>02916</v>
      </c>
    </row>
    <row r="2143" spans="1:14" x14ac:dyDescent="0.3">
      <c r="A2143" s="1">
        <v>2917</v>
      </c>
      <c r="B2143" s="10" t="s">
        <v>2643</v>
      </c>
      <c r="C2143" s="9">
        <v>3800</v>
      </c>
      <c r="D2143" s="10" t="s">
        <v>3250</v>
      </c>
      <c r="E2143" s="11" t="s">
        <v>2609</v>
      </c>
      <c r="F2143" t="str">
        <f t="shared" si="165"/>
        <v>Baker</v>
      </c>
      <c r="G2143" t="str">
        <f t="shared" si="166"/>
        <v>Baker3800Baytown</v>
      </c>
      <c r="H2143" t="s">
        <v>33001</v>
      </c>
      <c r="I2143" t="s">
        <v>24427</v>
      </c>
      <c r="J2143" t="str">
        <f t="shared" si="167"/>
        <v>E:\PropInv\MF</v>
      </c>
      <c r="K2143" s="103" t="str">
        <f>HYPERLINK("E:\PropInv\MF\Baytown\Baker Rd_3800_Villas at the Palms_Baytown_02917","Baker Rd_3800_Villas at the Palms_Baytown_02917" )</f>
        <v>Baker Rd_3800_Villas at the Palms_Baytown_02917</v>
      </c>
      <c r="L2143" s="104" t="s">
        <v>22253</v>
      </c>
      <c r="M2143" s="103" t="str">
        <f t="shared" si="168"/>
        <v>http://oconnordata.com/mlink/modules/profile/index.cfm?action=profile&amp;prop_id=2917</v>
      </c>
      <c r="N2143" s="1" t="str">
        <f t="shared" si="169"/>
        <v>02917</v>
      </c>
    </row>
    <row r="2144" spans="1:14" x14ac:dyDescent="0.3">
      <c r="A2144" s="1">
        <v>2919</v>
      </c>
      <c r="B2144" s="10" t="s">
        <v>3251</v>
      </c>
      <c r="C2144" s="9">
        <v>3400</v>
      </c>
      <c r="D2144" s="10" t="s">
        <v>3252</v>
      </c>
      <c r="E2144" s="11" t="s">
        <v>2609</v>
      </c>
      <c r="F2144" t="str">
        <f t="shared" si="165"/>
        <v>Shady</v>
      </c>
      <c r="G2144" t="str">
        <f t="shared" si="166"/>
        <v>Shady3400Baytown</v>
      </c>
      <c r="H2144" t="s">
        <v>33002</v>
      </c>
      <c r="I2144" t="s">
        <v>24428</v>
      </c>
      <c r="J2144" t="str">
        <f t="shared" si="167"/>
        <v>E:\PropInv\MF</v>
      </c>
      <c r="K2144" s="103" t="str">
        <f>HYPERLINK("E:\PropInv\MF\Baytown\Shady Hill Dr_3400_Cypress Bend_Baytown_02919","Shady Hill Dr_3400_Cypress Bend_Baytown_02919" )</f>
        <v>Shady Hill Dr_3400_Cypress Bend_Baytown_02919</v>
      </c>
      <c r="L2144" s="104" t="s">
        <v>22253</v>
      </c>
      <c r="M2144" s="103" t="str">
        <f t="shared" si="168"/>
        <v>http://oconnordata.com/mlink/modules/profile/index.cfm?action=profile&amp;prop_id=2919</v>
      </c>
      <c r="N2144" s="1" t="str">
        <f t="shared" si="169"/>
        <v>02919</v>
      </c>
    </row>
    <row r="2145" spans="1:14" x14ac:dyDescent="0.3">
      <c r="A2145" s="1">
        <v>2921</v>
      </c>
      <c r="B2145" s="10" t="s">
        <v>3253</v>
      </c>
      <c r="C2145" s="9">
        <v>4601</v>
      </c>
      <c r="D2145" s="10" t="s">
        <v>3254</v>
      </c>
      <c r="E2145" s="11" t="s">
        <v>2609</v>
      </c>
      <c r="F2145" t="str">
        <f t="shared" si="165"/>
        <v>Quail</v>
      </c>
      <c r="G2145" t="str">
        <f t="shared" si="166"/>
        <v>Quail4601Baytown</v>
      </c>
      <c r="H2145" t="s">
        <v>33003</v>
      </c>
      <c r="I2145" t="s">
        <v>24429</v>
      </c>
      <c r="J2145" t="str">
        <f t="shared" si="167"/>
        <v>E:\PropInv\MF</v>
      </c>
      <c r="K2145" s="103" t="str">
        <f>HYPERLINK("E:\PropInv\MF\Baytown\Quail Hollow Dr_4601_Sterling Bay_Baytown_02921","Quail Hollow Dr_4601_Sterling Bay_Baytown_02921" )</f>
        <v>Quail Hollow Dr_4601_Sterling Bay_Baytown_02921</v>
      </c>
      <c r="L2145" s="104" t="s">
        <v>22253</v>
      </c>
      <c r="M2145" s="103" t="str">
        <f t="shared" si="168"/>
        <v>http://oconnordata.com/mlink/modules/profile/index.cfm?action=profile&amp;prop_id=2921</v>
      </c>
      <c r="N2145" s="1" t="str">
        <f t="shared" si="169"/>
        <v>02921</v>
      </c>
    </row>
    <row r="2146" spans="1:14" x14ac:dyDescent="0.3">
      <c r="A2146" s="1">
        <v>2922</v>
      </c>
      <c r="B2146" s="10" t="s">
        <v>2592</v>
      </c>
      <c r="C2146" s="9">
        <v>799</v>
      </c>
      <c r="D2146" s="10" t="s">
        <v>3255</v>
      </c>
      <c r="E2146" s="11" t="s">
        <v>1657</v>
      </c>
      <c r="F2146" t="str">
        <f t="shared" si="165"/>
        <v>Normandy</v>
      </c>
      <c r="G2146" t="str">
        <f t="shared" si="166"/>
        <v>Normandy799Houston</v>
      </c>
      <c r="H2146" t="s">
        <v>33004</v>
      </c>
      <c r="I2146" t="s">
        <v>24430</v>
      </c>
      <c r="J2146" t="str">
        <f t="shared" si="167"/>
        <v>E:\PropInv\MF</v>
      </c>
      <c r="K2146" s="103" t="str">
        <f>HYPERLINK("E:\PropInv\MF\Houston\Normandy_799_Magnolia Creek_Houston_02922","Normandy_799_Magnolia Creek_Houston_02922" )</f>
        <v>Normandy_799_Magnolia Creek_Houston_02922</v>
      </c>
      <c r="L2146" s="104" t="s">
        <v>22253</v>
      </c>
      <c r="M2146" s="103" t="str">
        <f t="shared" si="168"/>
        <v>http://oconnordata.com/mlink/modules/profile/index.cfm?action=profile&amp;prop_id=2922</v>
      </c>
      <c r="N2146" s="1" t="str">
        <f t="shared" si="169"/>
        <v>02922</v>
      </c>
    </row>
    <row r="2147" spans="1:14" x14ac:dyDescent="0.3">
      <c r="A2147" s="1">
        <v>2928</v>
      </c>
      <c r="B2147" s="10" t="s">
        <v>3256</v>
      </c>
      <c r="C2147" s="9">
        <v>4520</v>
      </c>
      <c r="D2147" s="10" t="s">
        <v>3257</v>
      </c>
      <c r="E2147" s="11" t="s">
        <v>2609</v>
      </c>
      <c r="F2147" t="str">
        <f t="shared" si="165"/>
        <v>Hemlock</v>
      </c>
      <c r="G2147" t="str">
        <f t="shared" si="166"/>
        <v>Hemlock4520Baytown</v>
      </c>
      <c r="H2147" t="s">
        <v>33005</v>
      </c>
      <c r="I2147" t="s">
        <v>24431</v>
      </c>
      <c r="J2147" t="str">
        <f t="shared" si="167"/>
        <v>E:\PropInv\MF</v>
      </c>
      <c r="K2147" s="103" t="str">
        <f>HYPERLINK("E:\PropInv\MF\Baytown\Hemlock_4520_Sunshine_Baytown_02928","Hemlock_4520_Sunshine_Baytown_02928" )</f>
        <v>Hemlock_4520_Sunshine_Baytown_02928</v>
      </c>
      <c r="L2147" s="104" t="s">
        <v>22253</v>
      </c>
      <c r="M2147" s="103" t="str">
        <f t="shared" si="168"/>
        <v>http://oconnordata.com/mlink/modules/profile/index.cfm?action=profile&amp;prop_id=2928</v>
      </c>
      <c r="N2147" s="1" t="str">
        <f t="shared" si="169"/>
        <v>02928</v>
      </c>
    </row>
    <row r="2148" spans="1:14" x14ac:dyDescent="0.3">
      <c r="A2148" s="1">
        <v>2930</v>
      </c>
      <c r="B2148" s="10" t="s">
        <v>3258</v>
      </c>
      <c r="C2148" s="9">
        <v>3120</v>
      </c>
      <c r="D2148" s="10" t="s">
        <v>3259</v>
      </c>
      <c r="E2148" s="11" t="s">
        <v>2609</v>
      </c>
      <c r="F2148" t="str">
        <f t="shared" si="165"/>
        <v>Decker</v>
      </c>
      <c r="G2148" t="str">
        <f t="shared" si="166"/>
        <v>Decker3120Baytown</v>
      </c>
      <c r="H2148" t="s">
        <v>33006</v>
      </c>
      <c r="I2148" t="s">
        <v>24432</v>
      </c>
      <c r="J2148" t="str">
        <f t="shared" si="167"/>
        <v>E:\PropInv\MF</v>
      </c>
      <c r="K2148" s="103" t="str">
        <f>HYPERLINK("E:\PropInv\MF\Baytown\Decker Dr_3120_Creekside_Baytown_02930","Decker Dr_3120_Creekside_Baytown_02930" )</f>
        <v>Decker Dr_3120_Creekside_Baytown_02930</v>
      </c>
      <c r="L2148" s="104" t="s">
        <v>22253</v>
      </c>
      <c r="M2148" s="103" t="str">
        <f t="shared" si="168"/>
        <v>http://oconnordata.com/mlink/modules/profile/index.cfm?action=profile&amp;prop_id=2930</v>
      </c>
      <c r="N2148" s="1" t="str">
        <f t="shared" si="169"/>
        <v>02930</v>
      </c>
    </row>
    <row r="2149" spans="1:14" x14ac:dyDescent="0.3">
      <c r="A2149" s="1">
        <v>2931</v>
      </c>
      <c r="B2149" s="10" t="s">
        <v>3260</v>
      </c>
      <c r="C2149" s="9">
        <v>605</v>
      </c>
      <c r="D2149" s="10" t="s">
        <v>3261</v>
      </c>
      <c r="E2149" s="11" t="s">
        <v>2609</v>
      </c>
      <c r="F2149" t="str">
        <f t="shared" si="165"/>
        <v>Massey</v>
      </c>
      <c r="G2149" t="str">
        <f t="shared" si="166"/>
        <v>Massey605Baytown</v>
      </c>
      <c r="H2149" t="s">
        <v>33007</v>
      </c>
      <c r="I2149" t="s">
        <v>24433</v>
      </c>
      <c r="J2149" t="str">
        <f t="shared" si="167"/>
        <v>E:\PropInv\MF</v>
      </c>
      <c r="K2149" s="103" t="str">
        <f>HYPERLINK("E:\PropInv\MF\Baytown\Massey Tompkins_605_Tompkins Greens_Baytown_02931","Massey Tompkins_605_Tompkins Greens_Baytown_02931" )</f>
        <v>Massey Tompkins_605_Tompkins Greens_Baytown_02931</v>
      </c>
      <c r="L2149" s="104" t="s">
        <v>22253</v>
      </c>
      <c r="M2149" s="103" t="str">
        <f t="shared" si="168"/>
        <v>http://oconnordata.com/mlink/modules/profile/index.cfm?action=profile&amp;prop_id=2931</v>
      </c>
      <c r="N2149" s="1" t="str">
        <f t="shared" si="169"/>
        <v>02931</v>
      </c>
    </row>
    <row r="2150" spans="1:14" x14ac:dyDescent="0.3">
      <c r="A2150" s="1">
        <v>2932</v>
      </c>
      <c r="B2150" s="10" t="s">
        <v>3262</v>
      </c>
      <c r="C2150" s="9">
        <v>4219</v>
      </c>
      <c r="D2150" s="10" t="s">
        <v>3263</v>
      </c>
      <c r="E2150" s="11" t="s">
        <v>2609</v>
      </c>
      <c r="F2150" t="str">
        <f t="shared" si="165"/>
        <v>Baker</v>
      </c>
      <c r="G2150" t="str">
        <f t="shared" si="166"/>
        <v>Baker4219Baytown</v>
      </c>
      <c r="H2150" t="s">
        <v>33008</v>
      </c>
      <c r="I2150" t="s">
        <v>24434</v>
      </c>
      <c r="J2150" t="str">
        <f t="shared" si="167"/>
        <v>E:\PropInv\MF</v>
      </c>
      <c r="K2150" s="103" t="str">
        <f>HYPERLINK("E:\PropInv\MF\Baytown\Baker_4219_West Lodge_Baytown_02932","Baker_4219_West Lodge_Baytown_02932" )</f>
        <v>Baker_4219_West Lodge_Baytown_02932</v>
      </c>
      <c r="L2150" s="104" t="s">
        <v>22253</v>
      </c>
      <c r="M2150" s="103" t="str">
        <f t="shared" si="168"/>
        <v>http://oconnordata.com/mlink/modules/profile/index.cfm?action=profile&amp;prop_id=2932</v>
      </c>
      <c r="N2150" s="1" t="str">
        <f t="shared" si="169"/>
        <v>02932</v>
      </c>
    </row>
    <row r="2151" spans="1:14" x14ac:dyDescent="0.3">
      <c r="A2151" s="1">
        <v>2933</v>
      </c>
      <c r="B2151" s="10" t="s">
        <v>3248</v>
      </c>
      <c r="C2151" s="9">
        <v>2900</v>
      </c>
      <c r="D2151" s="10" t="s">
        <v>3264</v>
      </c>
      <c r="E2151" s="11" t="s">
        <v>2609</v>
      </c>
      <c r="F2151" t="str">
        <f t="shared" si="165"/>
        <v>Baker</v>
      </c>
      <c r="G2151" t="str">
        <f t="shared" si="166"/>
        <v>Baker2900Baytown</v>
      </c>
      <c r="H2151" t="s">
        <v>33009</v>
      </c>
      <c r="I2151" t="s">
        <v>24435</v>
      </c>
      <c r="J2151" t="str">
        <f t="shared" si="167"/>
        <v>E:\PropInv\MF</v>
      </c>
      <c r="K2151" s="103" t="str">
        <f>HYPERLINK("E:\PropInv\MF\Baytown\Baker Rd W_2900_Cedar Ridge_Baytown_02933","Baker Rd W_2900_Cedar Ridge_Baytown_02933" )</f>
        <v>Baker Rd W_2900_Cedar Ridge_Baytown_02933</v>
      </c>
      <c r="L2151" s="104" t="s">
        <v>22253</v>
      </c>
      <c r="M2151" s="103" t="str">
        <f t="shared" si="168"/>
        <v>http://oconnordata.com/mlink/modules/profile/index.cfm?action=profile&amp;prop_id=2933</v>
      </c>
      <c r="N2151" s="1" t="str">
        <f t="shared" si="169"/>
        <v>02933</v>
      </c>
    </row>
    <row r="2152" spans="1:14" x14ac:dyDescent="0.3">
      <c r="A2152" s="1">
        <v>2934</v>
      </c>
      <c r="B2152" s="10" t="s">
        <v>3265</v>
      </c>
      <c r="C2152" s="9">
        <v>3403</v>
      </c>
      <c r="D2152" s="10" t="s">
        <v>3266</v>
      </c>
      <c r="E2152" s="11" t="s">
        <v>2609</v>
      </c>
      <c r="F2152" t="str">
        <f t="shared" si="165"/>
        <v>Garth</v>
      </c>
      <c r="G2152" t="str">
        <f t="shared" si="166"/>
        <v>Garth3403Baytown</v>
      </c>
      <c r="H2152" t="s">
        <v>33010</v>
      </c>
      <c r="I2152" t="s">
        <v>24436</v>
      </c>
      <c r="J2152" t="str">
        <f t="shared" si="167"/>
        <v>E:\PropInv\MF</v>
      </c>
      <c r="K2152" s="103" t="str">
        <f>HYPERLINK("E:\PropInv\MF\Baytown\Garth_3403_Trestles of Baytown_Baytown_02934","Garth_3403_Trestles of Baytown_Baytown_02934" )</f>
        <v>Garth_3403_Trestles of Baytown_Baytown_02934</v>
      </c>
      <c r="L2152" s="104" t="s">
        <v>22253</v>
      </c>
      <c r="M2152" s="103" t="str">
        <f t="shared" si="168"/>
        <v>http://oconnordata.com/mlink/modules/profile/index.cfm?action=profile&amp;prop_id=2934</v>
      </c>
      <c r="N2152" s="1" t="str">
        <f t="shared" si="169"/>
        <v>02934</v>
      </c>
    </row>
    <row r="2153" spans="1:14" x14ac:dyDescent="0.3">
      <c r="A2153" s="1">
        <v>2935</v>
      </c>
      <c r="B2153" s="10" t="s">
        <v>3265</v>
      </c>
      <c r="C2153" s="9">
        <v>3700</v>
      </c>
      <c r="D2153" s="10" t="s">
        <v>3267</v>
      </c>
      <c r="E2153" s="11" t="s">
        <v>2609</v>
      </c>
      <c r="F2153" t="str">
        <f t="shared" si="165"/>
        <v>Garth</v>
      </c>
      <c r="G2153" t="str">
        <f t="shared" si="166"/>
        <v>Garth3700Baytown</v>
      </c>
      <c r="H2153" t="s">
        <v>33011</v>
      </c>
      <c r="I2153" t="s">
        <v>24437</v>
      </c>
      <c r="J2153" t="str">
        <f t="shared" si="167"/>
        <v>E:\PropInv\MF</v>
      </c>
      <c r="K2153" s="103" t="str">
        <f>HYPERLINK("E:\PropInv\MF\Baytown\Garth_3700_Logans Pointe_Baytown_02935","Garth_3700_Logans Pointe_Baytown_02935" )</f>
        <v>Garth_3700_Logans Pointe_Baytown_02935</v>
      </c>
      <c r="L2153" s="104" t="s">
        <v>22253</v>
      </c>
      <c r="M2153" s="103" t="str">
        <f t="shared" si="168"/>
        <v>http://oconnordata.com/mlink/modules/profile/index.cfm?action=profile&amp;prop_id=2935</v>
      </c>
      <c r="N2153" s="1" t="str">
        <f t="shared" si="169"/>
        <v>02935</v>
      </c>
    </row>
    <row r="2154" spans="1:14" x14ac:dyDescent="0.3">
      <c r="A2154" s="1">
        <v>2936</v>
      </c>
      <c r="B2154" s="10" t="s">
        <v>3265</v>
      </c>
      <c r="C2154" s="9">
        <v>3135</v>
      </c>
      <c r="D2154" s="10" t="s">
        <v>3268</v>
      </c>
      <c r="E2154" s="11" t="s">
        <v>2609</v>
      </c>
      <c r="F2154" t="str">
        <f t="shared" si="165"/>
        <v>Garth</v>
      </c>
      <c r="G2154" t="str">
        <f t="shared" si="166"/>
        <v>Garth3135Baytown</v>
      </c>
      <c r="H2154" t="s">
        <v>33012</v>
      </c>
      <c r="I2154" t="s">
        <v>24438</v>
      </c>
      <c r="J2154" t="str">
        <f t="shared" si="167"/>
        <v>E:\PropInv\MF</v>
      </c>
      <c r="K2154" s="103" t="str">
        <f>HYPERLINK("E:\PropInv\MF\Baytown\Garth_3135_Casa Linda Apts_Baytown_02936","Garth_3135_Casa Linda Apts_Baytown_02936" )</f>
        <v>Garth_3135_Casa Linda Apts_Baytown_02936</v>
      </c>
      <c r="L2154" s="104" t="s">
        <v>22253</v>
      </c>
      <c r="M2154" s="103" t="str">
        <f t="shared" si="168"/>
        <v>http://oconnordata.com/mlink/modules/profile/index.cfm?action=profile&amp;prop_id=2936</v>
      </c>
      <c r="N2154" s="1" t="str">
        <f t="shared" si="169"/>
        <v>02936</v>
      </c>
    </row>
    <row r="2155" spans="1:14" x14ac:dyDescent="0.3">
      <c r="A2155" s="1">
        <v>2938</v>
      </c>
      <c r="B2155" s="10" t="s">
        <v>3269</v>
      </c>
      <c r="C2155" s="9">
        <v>3201</v>
      </c>
      <c r="D2155" s="10" t="s">
        <v>3270</v>
      </c>
      <c r="E2155" s="11" t="s">
        <v>2609</v>
      </c>
      <c r="F2155" t="str">
        <f t="shared" si="165"/>
        <v>Garth</v>
      </c>
      <c r="G2155" t="str">
        <f t="shared" si="166"/>
        <v>Garth3201Baytown</v>
      </c>
      <c r="H2155" t="s">
        <v>33013</v>
      </c>
      <c r="I2155" t="s">
        <v>24439</v>
      </c>
      <c r="J2155" t="str">
        <f t="shared" si="167"/>
        <v>E:\PropInv\MF</v>
      </c>
      <c r="K2155" s="103" t="str">
        <f>HYPERLINK("E:\PropInv\MF\Baytown\Garth Rd_3201_Tanglewood Square_Baytown_02938","Garth Rd_3201_Tanglewood Square_Baytown_02938" )</f>
        <v>Garth Rd_3201_Tanglewood Square_Baytown_02938</v>
      </c>
      <c r="L2155" s="104" t="s">
        <v>22253</v>
      </c>
      <c r="M2155" s="103" t="str">
        <f t="shared" si="168"/>
        <v>http://oconnordata.com/mlink/modules/profile/index.cfm?action=profile&amp;prop_id=2938</v>
      </c>
      <c r="N2155" s="1" t="str">
        <f t="shared" si="169"/>
        <v>02938</v>
      </c>
    </row>
    <row r="2156" spans="1:14" x14ac:dyDescent="0.3">
      <c r="A2156" s="1">
        <v>2939</v>
      </c>
      <c r="B2156" s="10" t="s">
        <v>3260</v>
      </c>
      <c r="C2156" s="9">
        <v>501</v>
      </c>
      <c r="D2156" s="10" t="s">
        <v>3271</v>
      </c>
      <c r="E2156" s="11" t="s">
        <v>2609</v>
      </c>
      <c r="F2156" t="str">
        <f t="shared" si="165"/>
        <v>Massey</v>
      </c>
      <c r="G2156" t="str">
        <f t="shared" si="166"/>
        <v>Massey501Baytown</v>
      </c>
      <c r="H2156" t="s">
        <v>33014</v>
      </c>
      <c r="I2156" t="s">
        <v>24440</v>
      </c>
      <c r="J2156" t="str">
        <f t="shared" si="167"/>
        <v>E:\PropInv\MF</v>
      </c>
      <c r="K2156" s="103" t="str">
        <f>HYPERLINK("E:\PropInv\MF\Baytown\Massey Tompkins_501_Autumn Ridge_Baytown_02939","Massey Tompkins_501_Autumn Ridge_Baytown_02939" )</f>
        <v>Massey Tompkins_501_Autumn Ridge_Baytown_02939</v>
      </c>
      <c r="L2156" s="104" t="s">
        <v>22253</v>
      </c>
      <c r="M2156" s="103" t="str">
        <f t="shared" si="168"/>
        <v>http://oconnordata.com/mlink/modules/profile/index.cfm?action=profile&amp;prop_id=2939</v>
      </c>
      <c r="N2156" s="1" t="str">
        <f t="shared" si="169"/>
        <v>02939</v>
      </c>
    </row>
    <row r="2157" spans="1:14" x14ac:dyDescent="0.3">
      <c r="A2157" s="97">
        <v>2941</v>
      </c>
      <c r="B2157" s="10" t="s">
        <v>3265</v>
      </c>
      <c r="C2157" s="9">
        <v>1601</v>
      </c>
      <c r="D2157" s="10" t="s">
        <v>1788</v>
      </c>
      <c r="E2157" s="11" t="s">
        <v>2609</v>
      </c>
      <c r="F2157" t="str">
        <f t="shared" si="165"/>
        <v>Garth</v>
      </c>
      <c r="G2157" t="str">
        <f t="shared" si="166"/>
        <v>Garth1601Baytown</v>
      </c>
      <c r="H2157" t="s">
        <v>33015</v>
      </c>
      <c r="I2157" t="s">
        <v>24441</v>
      </c>
      <c r="J2157" t="str">
        <f t="shared" si="167"/>
        <v>E:\PropInv\MF</v>
      </c>
      <c r="K2157" s="103" t="str">
        <f>HYPERLINK("E:\PropInv\MF\Baytown\Garth_1601_Woodcreek Village_Baytown_02941","Garth_1601_Woodcreek Village_Baytown_02941" )</f>
        <v>Garth_1601_Woodcreek Village_Baytown_02941</v>
      </c>
      <c r="L2157" s="104" t="s">
        <v>22253</v>
      </c>
      <c r="M2157" s="103" t="str">
        <f t="shared" si="168"/>
        <v>http://oconnordata.com/mlink/modules/profile/index.cfm?action=profile&amp;prop_id=2941</v>
      </c>
      <c r="N2157" s="1" t="str">
        <f t="shared" si="169"/>
        <v>02941</v>
      </c>
    </row>
    <row r="2158" spans="1:14" x14ac:dyDescent="0.3">
      <c r="A2158" s="1">
        <v>2944</v>
      </c>
      <c r="B2158" s="10" t="s">
        <v>3272</v>
      </c>
      <c r="C2158" s="9">
        <v>3529</v>
      </c>
      <c r="D2158" s="10" t="s">
        <v>3273</v>
      </c>
      <c r="E2158" s="11" t="s">
        <v>2609</v>
      </c>
      <c r="F2158" t="str">
        <f t="shared" si="165"/>
        <v>Crosby</v>
      </c>
      <c r="G2158" t="str">
        <f t="shared" si="166"/>
        <v>Crosby3529Baytown</v>
      </c>
      <c r="H2158" t="s">
        <v>33016</v>
      </c>
      <c r="I2158" t="s">
        <v>24442</v>
      </c>
      <c r="J2158" t="str">
        <f t="shared" si="167"/>
        <v>E:\PropInv\MF</v>
      </c>
      <c r="K2158" s="103" t="str">
        <f>HYPERLINK("E:\PropInv\MF\Baytown\Crosby Cedar Bayou_3529_Crosby Green_Baytown_02944","Crosby Cedar Bayou_3529_Crosby Green_Baytown_02944" )</f>
        <v>Crosby Cedar Bayou_3529_Crosby Green_Baytown_02944</v>
      </c>
      <c r="L2158" s="104" t="s">
        <v>22253</v>
      </c>
      <c r="M2158" s="103" t="str">
        <f t="shared" si="168"/>
        <v>http://oconnordata.com/mlink/modules/profile/index.cfm?action=profile&amp;prop_id=2944</v>
      </c>
      <c r="N2158" s="1" t="str">
        <f t="shared" si="169"/>
        <v>02944</v>
      </c>
    </row>
    <row r="2159" spans="1:14" x14ac:dyDescent="0.3">
      <c r="A2159" s="1">
        <v>2945</v>
      </c>
      <c r="B2159" s="10" t="s">
        <v>3274</v>
      </c>
      <c r="C2159" s="9">
        <v>15250</v>
      </c>
      <c r="D2159" s="10" t="s">
        <v>3275</v>
      </c>
      <c r="E2159" s="11" t="s">
        <v>1657</v>
      </c>
      <c r="F2159" t="str">
        <f t="shared" si="165"/>
        <v>Gray</v>
      </c>
      <c r="G2159" t="str">
        <f t="shared" si="166"/>
        <v>Gray15250Houston</v>
      </c>
      <c r="H2159" t="s">
        <v>33017</v>
      </c>
      <c r="I2159" t="s">
        <v>24443</v>
      </c>
      <c r="J2159" t="str">
        <f t="shared" si="167"/>
        <v>E:\PropInv\MF</v>
      </c>
      <c r="K2159" s="103" t="str">
        <f>HYPERLINK("E:\PropInv\MF\Houston\Gray Ridge_15250_The Vinings at West Oaks I_Houston_02945","Gray Ridge_15250_The Vinings at West Oaks I_Houston_02945" )</f>
        <v>Gray Ridge_15250_The Vinings at West Oaks I_Houston_02945</v>
      </c>
      <c r="L2159" s="104" t="s">
        <v>22253</v>
      </c>
      <c r="M2159" s="103" t="str">
        <f t="shared" si="168"/>
        <v>http://oconnordata.com/mlink/modules/profile/index.cfm?action=profile&amp;prop_id=2945</v>
      </c>
      <c r="N2159" s="1" t="str">
        <f t="shared" si="169"/>
        <v>02945</v>
      </c>
    </row>
    <row r="2160" spans="1:14" x14ac:dyDescent="0.3">
      <c r="A2160" s="1">
        <v>2947</v>
      </c>
      <c r="B2160" s="10" t="s">
        <v>2767</v>
      </c>
      <c r="C2160" s="9">
        <v>15035</v>
      </c>
      <c r="D2160" s="10" t="s">
        <v>3276</v>
      </c>
      <c r="E2160" s="11" t="s">
        <v>1657</v>
      </c>
      <c r="F2160" t="str">
        <f t="shared" si="165"/>
        <v>Westpark</v>
      </c>
      <c r="G2160" t="str">
        <f t="shared" si="166"/>
        <v>Westpark15035Houston</v>
      </c>
      <c r="H2160" t="s">
        <v>33018</v>
      </c>
      <c r="I2160" t="s">
        <v>24444</v>
      </c>
      <c r="J2160" t="str">
        <f t="shared" si="167"/>
        <v>E:\PropInv\MF</v>
      </c>
      <c r="K2160" s="103" t="str">
        <f>HYPERLINK("E:\PropInv\MF\Houston\Westpark Dr_15035_Cape Colony_Houston_02947","Westpark Dr_15035_Cape Colony_Houston_02947" )</f>
        <v>Westpark Dr_15035_Cape Colony_Houston_02947</v>
      </c>
      <c r="L2160" s="104" t="s">
        <v>22253</v>
      </c>
      <c r="M2160" s="103" t="str">
        <f t="shared" si="168"/>
        <v>http://oconnordata.com/mlink/modules/profile/index.cfm?action=profile&amp;prop_id=2947</v>
      </c>
      <c r="N2160" s="1" t="str">
        <f t="shared" si="169"/>
        <v>02947</v>
      </c>
    </row>
    <row r="2161" spans="1:14" x14ac:dyDescent="0.3">
      <c r="A2161" s="97">
        <v>2948</v>
      </c>
      <c r="B2161" s="10" t="s">
        <v>3277</v>
      </c>
      <c r="C2161" s="9">
        <v>14500</v>
      </c>
      <c r="D2161" s="10" t="s">
        <v>3278</v>
      </c>
      <c r="E2161" s="11" t="s">
        <v>1657</v>
      </c>
      <c r="F2161" t="str">
        <f t="shared" si="165"/>
        <v>Empanada</v>
      </c>
      <c r="G2161" t="str">
        <f t="shared" si="166"/>
        <v>Empanada14500Houston</v>
      </c>
      <c r="H2161" t="s">
        <v>33019</v>
      </c>
      <c r="I2161" t="s">
        <v>24445</v>
      </c>
      <c r="J2161" t="str">
        <f t="shared" si="167"/>
        <v>E:\PropInv\MF</v>
      </c>
      <c r="K2161" s="103" t="str">
        <f>HYPERLINK("E:\PropInv\MF\Houston\Empanada_14500_Woodbridge Crossing_Houston_02948","Empanada_14500_Woodbridge Crossing_Houston_02948" )</f>
        <v>Empanada_14500_Woodbridge Crossing_Houston_02948</v>
      </c>
      <c r="L2161" s="104" t="s">
        <v>22253</v>
      </c>
      <c r="M2161" s="103" t="str">
        <f t="shared" si="168"/>
        <v>http://oconnordata.com/mlink/modules/profile/index.cfm?action=profile&amp;prop_id=2948</v>
      </c>
      <c r="N2161" s="1" t="str">
        <f t="shared" si="169"/>
        <v>02948</v>
      </c>
    </row>
    <row r="2162" spans="1:14" x14ac:dyDescent="0.3">
      <c r="A2162" s="1">
        <v>2949</v>
      </c>
      <c r="B2162" s="10" t="s">
        <v>3279</v>
      </c>
      <c r="C2162" s="9">
        <v>14402</v>
      </c>
      <c r="D2162" s="10" t="s">
        <v>3280</v>
      </c>
      <c r="E2162" s="11" t="s">
        <v>1657</v>
      </c>
      <c r="F2162" t="str">
        <f t="shared" si="165"/>
        <v>Pavilion</v>
      </c>
      <c r="G2162" t="str">
        <f t="shared" si="166"/>
        <v>Pavilion14402Houston</v>
      </c>
      <c r="H2162" t="s">
        <v>33020</v>
      </c>
      <c r="I2162" t="s">
        <v>24446</v>
      </c>
      <c r="J2162" t="str">
        <f t="shared" si="167"/>
        <v>E:\PropInv\MF</v>
      </c>
      <c r="K2162" s="103" t="str">
        <f>HYPERLINK("E:\PropInv\MF\Houston\Pavilion Point_14402_Fox Pointe_Houston_02949","Pavilion Point_14402_Fox Pointe_Houston_02949" )</f>
        <v>Pavilion Point_14402_Fox Pointe_Houston_02949</v>
      </c>
      <c r="L2162" s="104" t="s">
        <v>22253</v>
      </c>
      <c r="M2162" s="103" t="str">
        <f t="shared" si="168"/>
        <v>http://oconnordata.com/mlink/modules/profile/index.cfm?action=profile&amp;prop_id=2949</v>
      </c>
      <c r="N2162" s="1" t="str">
        <f t="shared" si="169"/>
        <v>02949</v>
      </c>
    </row>
    <row r="2163" spans="1:14" x14ac:dyDescent="0.3">
      <c r="A2163" s="1">
        <v>2950</v>
      </c>
      <c r="B2163" s="10" t="s">
        <v>3060</v>
      </c>
      <c r="C2163" s="9">
        <v>13150</v>
      </c>
      <c r="D2163" s="10" t="s">
        <v>3281</v>
      </c>
      <c r="E2163" s="11" t="s">
        <v>1657</v>
      </c>
      <c r="F2163" t="str">
        <f t="shared" si="165"/>
        <v>Bissonnet</v>
      </c>
      <c r="G2163" t="str">
        <f t="shared" si="166"/>
        <v>Bissonnet13150Houston</v>
      </c>
      <c r="H2163" t="s">
        <v>33021</v>
      </c>
      <c r="I2163" t="s">
        <v>24447</v>
      </c>
      <c r="J2163" t="str">
        <f t="shared" si="167"/>
        <v>E:\PropInv\MF</v>
      </c>
      <c r="K2163" s="103" t="str">
        <f>HYPERLINK("E:\PropInv\MF\Houston\Bissonnet_13150_Beckford Place_Houston_02950","Bissonnet_13150_Beckford Place_Houston_02950" )</f>
        <v>Bissonnet_13150_Beckford Place_Houston_02950</v>
      </c>
      <c r="L2163" s="104" t="s">
        <v>22253</v>
      </c>
      <c r="M2163" s="103" t="str">
        <f t="shared" si="168"/>
        <v>http://oconnordata.com/mlink/modules/profile/index.cfm?action=profile&amp;prop_id=2950</v>
      </c>
      <c r="N2163" s="1" t="str">
        <f t="shared" si="169"/>
        <v>02950</v>
      </c>
    </row>
    <row r="2164" spans="1:14" x14ac:dyDescent="0.3">
      <c r="A2164" s="1">
        <v>2954</v>
      </c>
      <c r="B2164" s="10" t="s">
        <v>3282</v>
      </c>
      <c r="C2164" s="9">
        <v>1502</v>
      </c>
      <c r="D2164" s="10" t="s">
        <v>3283</v>
      </c>
      <c r="E2164" s="11" t="s">
        <v>2609</v>
      </c>
      <c r="F2164" t="str">
        <f t="shared" si="165"/>
        <v>Nolan</v>
      </c>
      <c r="G2164" t="str">
        <f t="shared" si="166"/>
        <v>Nolan1502Baytown</v>
      </c>
      <c r="H2164" t="s">
        <v>33022</v>
      </c>
      <c r="I2164" t="s">
        <v>24448</v>
      </c>
      <c r="J2164" t="str">
        <f t="shared" si="167"/>
        <v>E:\PropInv\MF</v>
      </c>
      <c r="K2164" s="103" t="str">
        <f>HYPERLINK("E:\PropInv\MF\Baytown\Nolan_1502_Bay Terrace_Baytown_02954","Nolan_1502_Bay Terrace_Baytown_02954" )</f>
        <v>Nolan_1502_Bay Terrace_Baytown_02954</v>
      </c>
      <c r="L2164" s="104" t="s">
        <v>22253</v>
      </c>
      <c r="M2164" s="103" t="str">
        <f t="shared" si="168"/>
        <v>http://oconnordata.com/mlink/modules/profile/index.cfm?action=profile&amp;prop_id=2954</v>
      </c>
      <c r="N2164" s="1" t="str">
        <f t="shared" si="169"/>
        <v>02954</v>
      </c>
    </row>
    <row r="2165" spans="1:14" x14ac:dyDescent="0.3">
      <c r="A2165" s="1">
        <v>2955</v>
      </c>
      <c r="B2165" s="10" t="s">
        <v>3284</v>
      </c>
      <c r="C2165" s="9">
        <v>907</v>
      </c>
      <c r="D2165" s="10" t="s">
        <v>3013</v>
      </c>
      <c r="E2165" s="11" t="s">
        <v>2609</v>
      </c>
      <c r="F2165" t="str">
        <f t="shared" si="165"/>
        <v>Pruett</v>
      </c>
      <c r="G2165" t="str">
        <f t="shared" si="166"/>
        <v>Pruett907Baytown</v>
      </c>
      <c r="H2165" t="s">
        <v>33023</v>
      </c>
      <c r="I2165" t="s">
        <v>24449</v>
      </c>
      <c r="J2165" t="str">
        <f t="shared" si="167"/>
        <v>E:\PropInv\MF</v>
      </c>
      <c r="K2165" s="103" t="str">
        <f>HYPERLINK("E:\PropInv\MF\Baytown\Pruett Rd N_907_Inverness_Baytown_02955","Pruett Rd N_907_Inverness_Baytown_02955" )</f>
        <v>Pruett Rd N_907_Inverness_Baytown_02955</v>
      </c>
      <c r="L2165" s="104" t="s">
        <v>22253</v>
      </c>
      <c r="M2165" s="103" t="str">
        <f t="shared" si="168"/>
        <v>http://oconnordata.com/mlink/modules/profile/index.cfm?action=profile&amp;prop_id=2955</v>
      </c>
      <c r="N2165" s="1" t="str">
        <f t="shared" si="169"/>
        <v>02955</v>
      </c>
    </row>
    <row r="2166" spans="1:14" x14ac:dyDescent="0.3">
      <c r="A2166" s="1">
        <v>2956</v>
      </c>
      <c r="B2166" s="10" t="s">
        <v>3285</v>
      </c>
      <c r="C2166" s="9">
        <v>2011</v>
      </c>
      <c r="D2166" s="10" t="s">
        <v>3286</v>
      </c>
      <c r="E2166" s="11" t="s">
        <v>2609</v>
      </c>
      <c r="F2166" t="str">
        <f t="shared" si="165"/>
        <v>Ward</v>
      </c>
      <c r="G2166" t="str">
        <f t="shared" si="166"/>
        <v>Ward2011Baytown</v>
      </c>
      <c r="H2166" t="s">
        <v>33024</v>
      </c>
      <c r="I2166" t="s">
        <v>24450</v>
      </c>
      <c r="J2166" t="str">
        <f t="shared" si="167"/>
        <v>E:\PropInv\MF</v>
      </c>
      <c r="K2166" s="103" t="str">
        <f>HYPERLINK("E:\PropInv\MF\Baytown\Ward_2011_Oaks of Baytown_Baytown_02956","Ward_2011_Oaks of Baytown_Baytown_02956" )</f>
        <v>Ward_2011_Oaks of Baytown_Baytown_02956</v>
      </c>
      <c r="L2166" s="104" t="s">
        <v>22253</v>
      </c>
      <c r="M2166" s="103" t="str">
        <f t="shared" si="168"/>
        <v>http://oconnordata.com/mlink/modules/profile/index.cfm?action=profile&amp;prop_id=2956</v>
      </c>
      <c r="N2166" s="1" t="str">
        <f t="shared" si="169"/>
        <v>02956</v>
      </c>
    </row>
    <row r="2167" spans="1:14" x14ac:dyDescent="0.3">
      <c r="A2167" s="1">
        <v>2957</v>
      </c>
      <c r="B2167" s="10" t="s">
        <v>3285</v>
      </c>
      <c r="C2167" s="9">
        <v>2700</v>
      </c>
      <c r="D2167" s="10" t="s">
        <v>3287</v>
      </c>
      <c r="E2167" s="11" t="s">
        <v>2609</v>
      </c>
      <c r="F2167" t="str">
        <f t="shared" si="165"/>
        <v>Ward</v>
      </c>
      <c r="G2167" t="str">
        <f t="shared" si="166"/>
        <v>Ward2700Baytown</v>
      </c>
      <c r="H2167" t="s">
        <v>33025</v>
      </c>
      <c r="I2167" t="s">
        <v>24451</v>
      </c>
      <c r="J2167" t="str">
        <f t="shared" si="167"/>
        <v>E:\PropInv\MF</v>
      </c>
      <c r="K2167" s="103" t="str">
        <f>HYPERLINK("E:\PropInv\MF\Baytown\Ward_2700_The Boardwalk of Baytown_Baytown_02957","Ward_2700_The Boardwalk of Baytown_Baytown_02957" )</f>
        <v>Ward_2700_The Boardwalk of Baytown_Baytown_02957</v>
      </c>
      <c r="L2167" s="104" t="s">
        <v>22253</v>
      </c>
      <c r="M2167" s="103" t="str">
        <f t="shared" si="168"/>
        <v>http://oconnordata.com/mlink/modules/profile/index.cfm?action=profile&amp;prop_id=2957</v>
      </c>
      <c r="N2167" s="1" t="str">
        <f t="shared" si="169"/>
        <v>02957</v>
      </c>
    </row>
    <row r="2168" spans="1:14" x14ac:dyDescent="0.3">
      <c r="A2168" s="1">
        <v>2959</v>
      </c>
      <c r="B2168" s="10" t="s">
        <v>3288</v>
      </c>
      <c r="C2168" s="9">
        <v>1700</v>
      </c>
      <c r="D2168" s="10" t="s">
        <v>3289</v>
      </c>
      <c r="E2168" s="11" t="s">
        <v>2609</v>
      </c>
      <c r="F2168" t="str">
        <f t="shared" si="165"/>
        <v>Bob</v>
      </c>
      <c r="G2168" t="str">
        <f t="shared" si="166"/>
        <v>Bob1700Baytown</v>
      </c>
      <c r="H2168" t="s">
        <v>33026</v>
      </c>
      <c r="I2168" t="s">
        <v>24452</v>
      </c>
      <c r="J2168" t="str">
        <f t="shared" si="167"/>
        <v>E:\PropInv\MF</v>
      </c>
      <c r="K2168" s="103" t="str">
        <f>HYPERLINK("E:\PropInv\MF\Baytown\Bob Smith_1700_Bay Oaks_Baytown_02959","Bob Smith_1700_Bay Oaks_Baytown_02959" )</f>
        <v>Bob Smith_1700_Bay Oaks_Baytown_02959</v>
      </c>
      <c r="L2168" s="104" t="s">
        <v>22253</v>
      </c>
      <c r="M2168" s="103" t="str">
        <f t="shared" si="168"/>
        <v>http://oconnordata.com/mlink/modules/profile/index.cfm?action=profile&amp;prop_id=2959</v>
      </c>
      <c r="N2168" s="1" t="str">
        <f t="shared" si="169"/>
        <v>02959</v>
      </c>
    </row>
    <row r="2169" spans="1:14" x14ac:dyDescent="0.3">
      <c r="A2169" s="1">
        <v>2960</v>
      </c>
      <c r="B2169" s="10" t="s">
        <v>3290</v>
      </c>
      <c r="C2169" s="9">
        <v>2105</v>
      </c>
      <c r="D2169" s="10" t="s">
        <v>3291</v>
      </c>
      <c r="E2169" s="11" t="s">
        <v>2609</v>
      </c>
      <c r="F2169" t="str">
        <f t="shared" si="165"/>
        <v>Cedar</v>
      </c>
      <c r="G2169" t="str">
        <f t="shared" si="166"/>
        <v>Cedar2105Baytown</v>
      </c>
      <c r="H2169" t="s">
        <v>33027</v>
      </c>
      <c r="I2169" t="s">
        <v>24453</v>
      </c>
      <c r="J2169" t="str">
        <f t="shared" si="167"/>
        <v>E:\PropInv\MF</v>
      </c>
      <c r="K2169" s="103" t="str">
        <f>HYPERLINK("E:\PropInv\MF\Baytown\Cedar Bayou_2105_Greenfield_Baytown_02960","Cedar Bayou_2105_Greenfield_Baytown_02960" )</f>
        <v>Cedar Bayou_2105_Greenfield_Baytown_02960</v>
      </c>
      <c r="L2169" s="104" t="s">
        <v>22253</v>
      </c>
      <c r="M2169" s="103" t="str">
        <f t="shared" si="168"/>
        <v>http://oconnordata.com/mlink/modules/profile/index.cfm?action=profile&amp;prop_id=2960</v>
      </c>
      <c r="N2169" s="1" t="str">
        <f t="shared" si="169"/>
        <v>02960</v>
      </c>
    </row>
    <row r="2170" spans="1:14" x14ac:dyDescent="0.3">
      <c r="A2170" s="1">
        <v>2961</v>
      </c>
      <c r="B2170" s="10" t="s">
        <v>3292</v>
      </c>
      <c r="C2170" s="9">
        <v>4040</v>
      </c>
      <c r="D2170" s="10" t="s">
        <v>3293</v>
      </c>
      <c r="E2170" s="11" t="s">
        <v>1657</v>
      </c>
      <c r="F2170" t="str">
        <f t="shared" si="165"/>
        <v>Synott</v>
      </c>
      <c r="G2170" t="str">
        <f t="shared" si="166"/>
        <v>Synott4040Houston</v>
      </c>
      <c r="H2170" t="s">
        <v>33028</v>
      </c>
      <c r="I2170" t="s">
        <v>24454</v>
      </c>
      <c r="J2170" t="str">
        <f t="shared" si="167"/>
        <v>E:\PropInv\MF</v>
      </c>
      <c r="K2170" s="103" t="str">
        <f>HYPERLINK("E:\PropInv\MF\Houston\Synott_4040_Oaks of Ashford Point I_Houston_02961","Synott_4040_Oaks of Ashford Point I_Houston_02961" )</f>
        <v>Synott_4040_Oaks of Ashford Point I_Houston_02961</v>
      </c>
      <c r="L2170" s="104" t="s">
        <v>22253</v>
      </c>
      <c r="M2170" s="103" t="str">
        <f t="shared" si="168"/>
        <v>http://oconnordata.com/mlink/modules/profile/index.cfm?action=profile&amp;prop_id=2961</v>
      </c>
      <c r="N2170" s="1" t="str">
        <f t="shared" si="169"/>
        <v>02961</v>
      </c>
    </row>
    <row r="2171" spans="1:14" x14ac:dyDescent="0.3">
      <c r="A2171" s="1">
        <v>2962</v>
      </c>
      <c r="B2171" s="10" t="s">
        <v>3294</v>
      </c>
      <c r="C2171" s="9">
        <v>3950</v>
      </c>
      <c r="D2171" s="10" t="s">
        <v>3295</v>
      </c>
      <c r="E2171" s="11" t="s">
        <v>1657</v>
      </c>
      <c r="F2171" t="str">
        <f t="shared" si="165"/>
        <v>Ashburnham</v>
      </c>
      <c r="G2171" t="str">
        <f t="shared" si="166"/>
        <v>Ashburnham3950Houston</v>
      </c>
      <c r="H2171" t="s">
        <v>33029</v>
      </c>
      <c r="I2171" t="s">
        <v>24455</v>
      </c>
      <c r="J2171" t="str">
        <f t="shared" si="167"/>
        <v>E:\PropInv\MF</v>
      </c>
      <c r="K2171" s="103" t="str">
        <f>HYPERLINK("E:\PropInv\MF\Houston\Ashburnham Dr_3950_Ashford Pointe_Houston_02962","Ashburnham Dr_3950_Ashford Pointe_Houston_02962" )</f>
        <v>Ashburnham Dr_3950_Ashford Pointe_Houston_02962</v>
      </c>
      <c r="L2171" s="104" t="s">
        <v>22253</v>
      </c>
      <c r="M2171" s="103" t="str">
        <f t="shared" si="168"/>
        <v>http://oconnordata.com/mlink/modules/profile/index.cfm?action=profile&amp;prop_id=2962</v>
      </c>
      <c r="N2171" s="1" t="str">
        <f t="shared" si="169"/>
        <v>02962</v>
      </c>
    </row>
    <row r="2172" spans="1:14" x14ac:dyDescent="0.3">
      <c r="A2172" s="1">
        <v>2963</v>
      </c>
      <c r="B2172" s="10" t="s">
        <v>3296</v>
      </c>
      <c r="C2172" s="9">
        <v>12910</v>
      </c>
      <c r="D2172" s="10" t="s">
        <v>3297</v>
      </c>
      <c r="E2172" s="11" t="s">
        <v>1657</v>
      </c>
      <c r="F2172" t="str">
        <f t="shared" si="165"/>
        <v>Ashford</v>
      </c>
      <c r="G2172" t="str">
        <f t="shared" si="166"/>
        <v>Ashford12910Houston</v>
      </c>
      <c r="H2172" t="s">
        <v>33030</v>
      </c>
      <c r="I2172" t="s">
        <v>24456</v>
      </c>
      <c r="J2172" t="str">
        <f t="shared" si="167"/>
        <v>E:\PropInv\MF</v>
      </c>
      <c r="K2172" s="103" t="str">
        <f>HYPERLINK("E:\PropInv\MF\Houston\Ashford Point Dr_12910_Georgian Westside_Houston_02963","Ashford Point Dr_12910_Georgian Westside_Houston_02963" )</f>
        <v>Ashford Point Dr_12910_Georgian Westside_Houston_02963</v>
      </c>
      <c r="L2172" s="104" t="s">
        <v>22253</v>
      </c>
      <c r="M2172" s="103" t="str">
        <f t="shared" si="168"/>
        <v>http://oconnordata.com/mlink/modules/profile/index.cfm?action=profile&amp;prop_id=2963</v>
      </c>
      <c r="N2172" s="1" t="str">
        <f t="shared" si="169"/>
        <v>02963</v>
      </c>
    </row>
    <row r="2173" spans="1:14" x14ac:dyDescent="0.3">
      <c r="A2173" s="1">
        <v>2964</v>
      </c>
      <c r="B2173" s="10" t="s">
        <v>3298</v>
      </c>
      <c r="C2173" s="9">
        <v>13103</v>
      </c>
      <c r="D2173" s="10" t="s">
        <v>3299</v>
      </c>
      <c r="E2173" s="11" t="s">
        <v>1657</v>
      </c>
      <c r="F2173" t="str">
        <f t="shared" si="165"/>
        <v>Ashford</v>
      </c>
      <c r="G2173" t="str">
        <f t="shared" si="166"/>
        <v>Ashford13103Houston</v>
      </c>
      <c r="H2173" t="s">
        <v>33031</v>
      </c>
      <c r="I2173" t="s">
        <v>24457</v>
      </c>
      <c r="J2173" t="str">
        <f t="shared" si="167"/>
        <v>E:\PropInv\MF</v>
      </c>
      <c r="K2173" s="103" t="str">
        <f>HYPERLINK("E:\PropInv\MF\Houston\Ashford Point_13103_Oaks of Ashford Point II_Houston_02964","Ashford Point_13103_Oaks of Ashford Point II_Houston_02964" )</f>
        <v>Ashford Point_13103_Oaks of Ashford Point II_Houston_02964</v>
      </c>
      <c r="L2173" s="104" t="s">
        <v>22253</v>
      </c>
      <c r="M2173" s="103" t="str">
        <f t="shared" si="168"/>
        <v>http://oconnordata.com/mlink/modules/profile/index.cfm?action=profile&amp;prop_id=2964</v>
      </c>
      <c r="N2173" s="1" t="str">
        <f t="shared" si="169"/>
        <v>02964</v>
      </c>
    </row>
    <row r="2174" spans="1:14" x14ac:dyDescent="0.3">
      <c r="A2174" s="1">
        <v>2965</v>
      </c>
      <c r="B2174" s="10" t="s">
        <v>3300</v>
      </c>
      <c r="C2174" s="9">
        <v>15770</v>
      </c>
      <c r="D2174" s="10" t="s">
        <v>3131</v>
      </c>
      <c r="E2174" s="11" t="s">
        <v>1657</v>
      </c>
      <c r="F2174" t="str">
        <f t="shared" si="165"/>
        <v>Bellaire</v>
      </c>
      <c r="G2174" t="str">
        <f t="shared" si="166"/>
        <v>Bellaire15770Houston</v>
      </c>
      <c r="H2174" t="s">
        <v>33032</v>
      </c>
      <c r="I2174" t="s">
        <v>24458</v>
      </c>
      <c r="J2174" t="str">
        <f t="shared" si="167"/>
        <v>E:\PropInv\MF</v>
      </c>
      <c r="K2174" s="103" t="str">
        <f>HYPERLINK("E:\PropInv\MF\Houston\Bellaire Blvd_15770_Hawthorne_Houston_02965","Bellaire Blvd_15770_Hawthorne_Houston_02965" )</f>
        <v>Bellaire Blvd_15770_Hawthorne_Houston_02965</v>
      </c>
      <c r="L2174" s="104" t="s">
        <v>22253</v>
      </c>
      <c r="M2174" s="103" t="str">
        <f t="shared" si="168"/>
        <v>http://oconnordata.com/mlink/modules/profile/index.cfm?action=profile&amp;prop_id=2965</v>
      </c>
      <c r="N2174" s="1" t="str">
        <f t="shared" si="169"/>
        <v>02965</v>
      </c>
    </row>
    <row r="2175" spans="1:14" x14ac:dyDescent="0.3">
      <c r="A2175" s="1">
        <v>2966</v>
      </c>
      <c r="B2175" s="10" t="s">
        <v>2636</v>
      </c>
      <c r="C2175" s="9">
        <v>3995</v>
      </c>
      <c r="D2175" s="10" t="s">
        <v>3301</v>
      </c>
      <c r="E2175" s="11" t="s">
        <v>1657</v>
      </c>
      <c r="F2175" t="str">
        <f t="shared" si="165"/>
        <v>Eldridge</v>
      </c>
      <c r="G2175" t="str">
        <f t="shared" si="166"/>
        <v>Eldridge3995Houston</v>
      </c>
      <c r="H2175" t="s">
        <v>33033</v>
      </c>
      <c r="I2175" t="s">
        <v>24459</v>
      </c>
      <c r="J2175" t="str">
        <f t="shared" si="167"/>
        <v>E:\PropInv\MF</v>
      </c>
      <c r="K2175" s="103" t="str">
        <f>HYPERLINK("E:\PropInv\MF\Houston\Eldridge Pkwy_3995_Park on Eldridge_Houston_02966","Eldridge Pkwy_3995_Park on Eldridge_Houston_02966" )</f>
        <v>Eldridge Pkwy_3995_Park on Eldridge_Houston_02966</v>
      </c>
      <c r="L2175" s="104" t="s">
        <v>22253</v>
      </c>
      <c r="M2175" s="103" t="str">
        <f t="shared" si="168"/>
        <v>http://oconnordata.com/mlink/modules/profile/index.cfm?action=profile&amp;prop_id=2966</v>
      </c>
      <c r="N2175" s="1" t="str">
        <f t="shared" si="169"/>
        <v>02966</v>
      </c>
    </row>
    <row r="2176" spans="1:14" x14ac:dyDescent="0.3">
      <c r="A2176" s="1">
        <v>2967</v>
      </c>
      <c r="B2176" s="10" t="s">
        <v>3292</v>
      </c>
      <c r="C2176" s="9">
        <v>3803</v>
      </c>
      <c r="D2176" s="10" t="s">
        <v>3302</v>
      </c>
      <c r="E2176" s="11" t="s">
        <v>1657</v>
      </c>
      <c r="F2176" t="str">
        <f t="shared" si="165"/>
        <v>Synott</v>
      </c>
      <c r="G2176" t="str">
        <f t="shared" si="166"/>
        <v>Synott3803Houston</v>
      </c>
      <c r="H2176" t="s">
        <v>33034</v>
      </c>
      <c r="I2176" t="s">
        <v>24460</v>
      </c>
      <c r="J2176" t="str">
        <f t="shared" si="167"/>
        <v>E:\PropInv\MF</v>
      </c>
      <c r="K2176" s="103" t="str">
        <f>HYPERLINK("E:\PropInv\MF\Houston\Synott_3803_Ashford Creek_Houston_02967","Synott_3803_Ashford Creek_Houston_02967" )</f>
        <v>Synott_3803_Ashford Creek_Houston_02967</v>
      </c>
      <c r="L2176" s="104" t="s">
        <v>22253</v>
      </c>
      <c r="M2176" s="103" t="str">
        <f t="shared" si="168"/>
        <v>http://oconnordata.com/mlink/modules/profile/index.cfm?action=profile&amp;prop_id=2967</v>
      </c>
      <c r="N2176" s="1" t="str">
        <f t="shared" si="169"/>
        <v>02967</v>
      </c>
    </row>
    <row r="2177" spans="1:14" x14ac:dyDescent="0.3">
      <c r="A2177" s="1">
        <v>2968</v>
      </c>
      <c r="B2177" s="10" t="s">
        <v>3292</v>
      </c>
      <c r="C2177" s="9">
        <v>3939</v>
      </c>
      <c r="D2177" s="10" t="s">
        <v>3303</v>
      </c>
      <c r="E2177" s="11" t="s">
        <v>1657</v>
      </c>
      <c r="F2177" t="str">
        <f t="shared" si="165"/>
        <v>Synott</v>
      </c>
      <c r="G2177" t="str">
        <f t="shared" si="166"/>
        <v>Synott3939Houston</v>
      </c>
      <c r="H2177" t="s">
        <v>33035</v>
      </c>
      <c r="I2177" t="s">
        <v>24461</v>
      </c>
      <c r="J2177" t="str">
        <f t="shared" si="167"/>
        <v>E:\PropInv\MF</v>
      </c>
      <c r="K2177" s="103" t="str">
        <f>HYPERLINK("E:\PropInv\MF\Houston\Synott_3939_Hartford Park_Houston_02968","Synott_3939_Hartford Park_Houston_02968" )</f>
        <v>Synott_3939_Hartford Park_Houston_02968</v>
      </c>
      <c r="L2177" s="104" t="s">
        <v>22253</v>
      </c>
      <c r="M2177" s="103" t="str">
        <f t="shared" si="168"/>
        <v>http://oconnordata.com/mlink/modules/profile/index.cfm?action=profile&amp;prop_id=2968</v>
      </c>
      <c r="N2177" s="1" t="str">
        <f t="shared" si="169"/>
        <v>02968</v>
      </c>
    </row>
    <row r="2178" spans="1:14" x14ac:dyDescent="0.3">
      <c r="A2178" s="1">
        <v>2969</v>
      </c>
      <c r="B2178" s="10" t="s">
        <v>2615</v>
      </c>
      <c r="C2178" s="9">
        <v>1305</v>
      </c>
      <c r="D2178" s="10" t="s">
        <v>3304</v>
      </c>
      <c r="E2178" s="11" t="s">
        <v>2609</v>
      </c>
      <c r="F2178" t="str">
        <f t="shared" ref="F2178:F2241" si="170">IFERROR(LEFT(B2178,FIND(" ",B2178)-1),B2178)</f>
        <v>Memorial</v>
      </c>
      <c r="G2178" t="str">
        <f t="shared" ref="G2178:G2241" si="171">F2178&amp;C2178&amp;E2178</f>
        <v>Memorial1305Baytown</v>
      </c>
      <c r="H2178" t="s">
        <v>33036</v>
      </c>
      <c r="I2178" t="s">
        <v>24462</v>
      </c>
      <c r="J2178" t="str">
        <f t="shared" ref="J2178:J2241" si="172">IF(L2178="TX",Folder_Path,Folder_Path&amp;"\State_"&amp;L2178)</f>
        <v>E:\PropInv\MF</v>
      </c>
      <c r="K2178" s="103" t="str">
        <f>HYPERLINK("E:\PropInv\MF\Baytown\Memorial_1305_Graywood Arms_Baytown_02969","Memorial_1305_Graywood Arms_Baytown_02969" )</f>
        <v>Memorial_1305_Graywood Arms_Baytown_02969</v>
      </c>
      <c r="L2178" s="104" t="s">
        <v>22253</v>
      </c>
      <c r="M2178" s="103" t="str">
        <f t="shared" ref="M2178:M2241" si="173">HYPERLINK("http://oconnordata.com/mlink/modules/profile/index.cfm?action=profile&amp;prop_id="&amp;A2178)</f>
        <v>http://oconnordata.com/mlink/modules/profile/index.cfm?action=profile&amp;prop_id=2969</v>
      </c>
      <c r="N2178" s="1" t="str">
        <f t="shared" ref="N2178:N2241" si="174">IF(LEN(A2178)=1,"0000"&amp;A2178,IF(LEN(A2178)=2,"000"&amp;A2178,IF(LEN(A2178)=3,"00"&amp;A2178,IF(LEN(A2178)=4,"0"&amp;A2178,IF(LEN(A2178)=5,IF(LEFT(A2178,1)="3",A2178+30000,A2178))))))</f>
        <v>02969</v>
      </c>
    </row>
    <row r="2179" spans="1:14" x14ac:dyDescent="0.3">
      <c r="A2179" s="1">
        <v>2972</v>
      </c>
      <c r="B2179" s="10" t="s">
        <v>3305</v>
      </c>
      <c r="C2179" s="9">
        <v>12903</v>
      </c>
      <c r="D2179" s="10" t="s">
        <v>3306</v>
      </c>
      <c r="E2179" s="11" t="s">
        <v>1657</v>
      </c>
      <c r="F2179" t="str">
        <f t="shared" si="170"/>
        <v>Brant</v>
      </c>
      <c r="G2179" t="str">
        <f t="shared" si="171"/>
        <v>Brant12903Houston</v>
      </c>
      <c r="H2179" t="s">
        <v>33037</v>
      </c>
      <c r="I2179" t="s">
        <v>24463</v>
      </c>
      <c r="J2179" t="str">
        <f t="shared" si="172"/>
        <v>E:\PropInv\MF</v>
      </c>
      <c r="K2179" s="103" t="str">
        <f>HYPERLINK("E:\PropInv\MF\Houston\Brant Rock_12903_Copper Cove_Houston_02972","Brant Rock_12903_Copper Cove_Houston_02972" )</f>
        <v>Brant Rock_12903_Copper Cove_Houston_02972</v>
      </c>
      <c r="L2179" s="104" t="s">
        <v>22253</v>
      </c>
      <c r="M2179" s="103" t="str">
        <f t="shared" si="173"/>
        <v>http://oconnordata.com/mlink/modules/profile/index.cfm?action=profile&amp;prop_id=2972</v>
      </c>
      <c r="N2179" s="1" t="str">
        <f t="shared" si="174"/>
        <v>02972</v>
      </c>
    </row>
    <row r="2180" spans="1:14" x14ac:dyDescent="0.3">
      <c r="A2180" s="1">
        <v>2973</v>
      </c>
      <c r="B2180" s="10" t="s">
        <v>3305</v>
      </c>
      <c r="C2180" s="9">
        <v>12906</v>
      </c>
      <c r="D2180" s="10" t="s">
        <v>3307</v>
      </c>
      <c r="E2180" s="11" t="s">
        <v>1657</v>
      </c>
      <c r="F2180" t="str">
        <f t="shared" si="170"/>
        <v>Brant</v>
      </c>
      <c r="G2180" t="str">
        <f t="shared" si="171"/>
        <v>Brant12906Houston</v>
      </c>
      <c r="H2180" t="s">
        <v>33038</v>
      </c>
      <c r="I2180" t="s">
        <v>24464</v>
      </c>
      <c r="J2180" t="str">
        <f t="shared" si="172"/>
        <v>E:\PropInv\MF</v>
      </c>
      <c r="K2180" s="103" t="str">
        <f>HYPERLINK("E:\PropInv\MF\Houston\Brant Rock_12906_Brant Rock Condominium Apts_Houston_02973","Brant Rock_12906_Brant Rock Condominium Apts_Houston_02973" )</f>
        <v>Brant Rock_12906_Brant Rock Condominium Apts_Houston_02973</v>
      </c>
      <c r="L2180" s="104" t="s">
        <v>22253</v>
      </c>
      <c r="M2180" s="103" t="str">
        <f t="shared" si="173"/>
        <v>http://oconnordata.com/mlink/modules/profile/index.cfm?action=profile&amp;prop_id=2973</v>
      </c>
      <c r="N2180" s="1" t="str">
        <f t="shared" si="174"/>
        <v>02973</v>
      </c>
    </row>
    <row r="2181" spans="1:14" x14ac:dyDescent="0.3">
      <c r="A2181" s="1">
        <v>2974</v>
      </c>
      <c r="B2181" s="10" t="s">
        <v>3308</v>
      </c>
      <c r="C2181" s="9">
        <v>1711</v>
      </c>
      <c r="D2181" s="10" t="s">
        <v>2928</v>
      </c>
      <c r="E2181" s="11" t="s">
        <v>2609</v>
      </c>
      <c r="F2181" t="str">
        <f t="shared" si="170"/>
        <v>James</v>
      </c>
      <c r="G2181" t="str">
        <f t="shared" si="171"/>
        <v>James1711Baytown</v>
      </c>
      <c r="H2181" t="s">
        <v>33039</v>
      </c>
      <c r="I2181" t="s">
        <v>24465</v>
      </c>
      <c r="J2181" t="str">
        <f t="shared" si="172"/>
        <v>E:\PropInv\MF</v>
      </c>
      <c r="K2181" s="103" t="str">
        <f>HYPERLINK("E:\PropInv\MF\Baytown\James Bowie Dr_1711_Briarwood_Baytown_02974","James Bowie Dr_1711_Briarwood_Baytown_02974" )</f>
        <v>James Bowie Dr_1711_Briarwood_Baytown_02974</v>
      </c>
      <c r="L2181" s="104" t="s">
        <v>22253</v>
      </c>
      <c r="M2181" s="103" t="str">
        <f t="shared" si="173"/>
        <v>http://oconnordata.com/mlink/modules/profile/index.cfm?action=profile&amp;prop_id=2974</v>
      </c>
      <c r="N2181" s="1" t="str">
        <f t="shared" si="174"/>
        <v>02974</v>
      </c>
    </row>
    <row r="2182" spans="1:14" x14ac:dyDescent="0.3">
      <c r="A2182" s="1">
        <v>2975</v>
      </c>
      <c r="B2182" s="10" t="s">
        <v>3308</v>
      </c>
      <c r="C2182" s="9">
        <v>1800</v>
      </c>
      <c r="D2182" s="10" t="s">
        <v>3309</v>
      </c>
      <c r="E2182" s="11" t="s">
        <v>2609</v>
      </c>
      <c r="F2182" t="str">
        <f t="shared" si="170"/>
        <v>James</v>
      </c>
      <c r="G2182" t="str">
        <f t="shared" si="171"/>
        <v>James1800Baytown</v>
      </c>
      <c r="H2182" t="s">
        <v>33040</v>
      </c>
      <c r="I2182" t="s">
        <v>24466</v>
      </c>
      <c r="J2182" t="str">
        <f t="shared" si="172"/>
        <v>E:\PropInv\MF</v>
      </c>
      <c r="K2182" s="103" t="str">
        <f>HYPERLINK("E:\PropInv\MF\Baytown\James Bowie Dr_1800_Willow Tree_Baytown_02975","James Bowie Dr_1800_Willow Tree_Baytown_02975" )</f>
        <v>James Bowie Dr_1800_Willow Tree_Baytown_02975</v>
      </c>
      <c r="L2182" s="104" t="s">
        <v>22253</v>
      </c>
      <c r="M2182" s="103" t="str">
        <f t="shared" si="173"/>
        <v>http://oconnordata.com/mlink/modules/profile/index.cfm?action=profile&amp;prop_id=2975</v>
      </c>
      <c r="N2182" s="1" t="str">
        <f t="shared" si="174"/>
        <v>02975</v>
      </c>
    </row>
    <row r="2183" spans="1:14" x14ac:dyDescent="0.3">
      <c r="A2183" s="1">
        <v>2977</v>
      </c>
      <c r="B2183" s="10" t="s">
        <v>3310</v>
      </c>
      <c r="C2183" s="9">
        <v>3300</v>
      </c>
      <c r="D2183" s="10" t="s">
        <v>3311</v>
      </c>
      <c r="E2183" s="11" t="s">
        <v>2609</v>
      </c>
      <c r="F2183" t="str">
        <f t="shared" si="170"/>
        <v>Rollingbrook</v>
      </c>
      <c r="G2183" t="str">
        <f t="shared" si="171"/>
        <v>Rollingbrook3300Baytown</v>
      </c>
      <c r="H2183" t="s">
        <v>33041</v>
      </c>
      <c r="I2183" t="s">
        <v>24467</v>
      </c>
      <c r="J2183" t="str">
        <f t="shared" si="172"/>
        <v>E:\PropInv\MF</v>
      </c>
      <c r="K2183" s="103" t="str">
        <f>HYPERLINK("E:\PropInv\MF\Baytown\Rollingbrook_3300_Raintree_Baytown_02977","Rollingbrook_3300_Raintree_Baytown_02977" )</f>
        <v>Rollingbrook_3300_Raintree_Baytown_02977</v>
      </c>
      <c r="L2183" s="104" t="s">
        <v>22253</v>
      </c>
      <c r="M2183" s="103" t="str">
        <f t="shared" si="173"/>
        <v>http://oconnordata.com/mlink/modules/profile/index.cfm?action=profile&amp;prop_id=2977</v>
      </c>
      <c r="N2183" s="1" t="str">
        <f t="shared" si="174"/>
        <v>02977</v>
      </c>
    </row>
    <row r="2184" spans="1:14" x14ac:dyDescent="0.3">
      <c r="A2184" s="1">
        <v>2978</v>
      </c>
      <c r="B2184" s="10" t="s">
        <v>2768</v>
      </c>
      <c r="C2184" s="9">
        <v>10070</v>
      </c>
      <c r="D2184" s="10" t="s">
        <v>3312</v>
      </c>
      <c r="E2184" s="11" t="s">
        <v>1657</v>
      </c>
      <c r="F2184" t="str">
        <f t="shared" si="170"/>
        <v>Westpark</v>
      </c>
      <c r="G2184" t="str">
        <f t="shared" si="171"/>
        <v>Westpark10070Houston</v>
      </c>
      <c r="H2184" t="s">
        <v>33042</v>
      </c>
      <c r="I2184" t="s">
        <v>24468</v>
      </c>
      <c r="J2184" t="str">
        <f t="shared" si="172"/>
        <v>E:\PropInv\MF</v>
      </c>
      <c r="K2184" s="103" t="str">
        <f>HYPERLINK("E:\PropInv\MF\Houston\Westpark_10070_Legacy at Westchase_Houston_02978","Westpark_10070_Legacy at Westchase_Houston_02978" )</f>
        <v>Westpark_10070_Legacy at Westchase_Houston_02978</v>
      </c>
      <c r="L2184" s="104" t="s">
        <v>22253</v>
      </c>
      <c r="M2184" s="103" t="str">
        <f t="shared" si="173"/>
        <v>http://oconnordata.com/mlink/modules/profile/index.cfm?action=profile&amp;prop_id=2978</v>
      </c>
      <c r="N2184" s="1" t="str">
        <f t="shared" si="174"/>
        <v>02978</v>
      </c>
    </row>
    <row r="2185" spans="1:14" x14ac:dyDescent="0.3">
      <c r="A2185" s="1">
        <v>2979</v>
      </c>
      <c r="B2185" s="10" t="s">
        <v>3313</v>
      </c>
      <c r="C2185" s="9">
        <v>4545</v>
      </c>
      <c r="D2185" s="10" t="s">
        <v>3314</v>
      </c>
      <c r="E2185" s="11" t="s">
        <v>1657</v>
      </c>
      <c r="F2185" t="str">
        <f t="shared" si="170"/>
        <v>Cook</v>
      </c>
      <c r="G2185" t="str">
        <f t="shared" si="171"/>
        <v>Cook4545Houston</v>
      </c>
      <c r="H2185" t="s">
        <v>33043</v>
      </c>
      <c r="I2185" t="s">
        <v>24469</v>
      </c>
      <c r="J2185" t="str">
        <f t="shared" si="172"/>
        <v>E:\PropInv\MF</v>
      </c>
      <c r="K2185" s="103" t="str">
        <f>HYPERLINK("E:\PropInv\MF\Houston\Cook_4545_Sunblossom Woods_Houston_02979","Cook_4545_Sunblossom Woods_Houston_02979" )</f>
        <v>Cook_4545_Sunblossom Woods_Houston_02979</v>
      </c>
      <c r="L2185" s="104" t="s">
        <v>22253</v>
      </c>
      <c r="M2185" s="103" t="str">
        <f t="shared" si="173"/>
        <v>http://oconnordata.com/mlink/modules/profile/index.cfm?action=profile&amp;prop_id=2979</v>
      </c>
      <c r="N2185" s="1" t="str">
        <f t="shared" si="174"/>
        <v>02979</v>
      </c>
    </row>
    <row r="2186" spans="1:14" x14ac:dyDescent="0.3">
      <c r="A2186" s="1">
        <v>2980</v>
      </c>
      <c r="B2186" s="10" t="s">
        <v>3315</v>
      </c>
      <c r="C2186" s="9">
        <v>6819</v>
      </c>
      <c r="D2186" s="10" t="s">
        <v>3316</v>
      </c>
      <c r="E2186" s="11" t="s">
        <v>1657</v>
      </c>
      <c r="F2186" t="str">
        <f t="shared" si="170"/>
        <v>Cook</v>
      </c>
      <c r="G2186" t="str">
        <f t="shared" si="171"/>
        <v>Cook6819Houston</v>
      </c>
      <c r="H2186" t="s">
        <v>33044</v>
      </c>
      <c r="I2186" t="s">
        <v>24470</v>
      </c>
      <c r="J2186" t="str">
        <f t="shared" si="172"/>
        <v>E:\PropInv\MF</v>
      </c>
      <c r="K2186" s="103" t="str">
        <f>HYPERLINK("E:\PropInv\MF\Houston\Cook Rd_6819_Pelican Landing_Houston_02980","Cook Rd_6819_Pelican Landing_Houston_02980" )</f>
        <v>Cook Rd_6819_Pelican Landing_Houston_02980</v>
      </c>
      <c r="L2186" s="104" t="s">
        <v>22253</v>
      </c>
      <c r="M2186" s="103" t="str">
        <f t="shared" si="173"/>
        <v>http://oconnordata.com/mlink/modules/profile/index.cfm?action=profile&amp;prop_id=2980</v>
      </c>
      <c r="N2186" s="1" t="str">
        <f t="shared" si="174"/>
        <v>02980</v>
      </c>
    </row>
    <row r="2187" spans="1:14" x14ac:dyDescent="0.3">
      <c r="A2187" s="1">
        <v>2981</v>
      </c>
      <c r="B2187" s="10" t="s">
        <v>3317</v>
      </c>
      <c r="C2187" s="9">
        <v>4034</v>
      </c>
      <c r="D2187" s="10" t="s">
        <v>3318</v>
      </c>
      <c r="E2187" s="11" t="s">
        <v>1657</v>
      </c>
      <c r="F2187" t="str">
        <f t="shared" si="170"/>
        <v>6</v>
      </c>
      <c r="G2187" t="str">
        <f t="shared" si="171"/>
        <v>64034Houston</v>
      </c>
      <c r="H2187" t="s">
        <v>33045</v>
      </c>
      <c r="I2187" t="s">
        <v>24471</v>
      </c>
      <c r="J2187" t="str">
        <f t="shared" si="172"/>
        <v>E:\PropInv\MF</v>
      </c>
      <c r="K2187" s="103" t="str">
        <f>HYPERLINK("E:\PropInv\MF\Houston\6 Hwy S_4034_Falls of West Oaks_Houston_02981","6 Hwy S_4034_Falls of West Oaks_Houston_02981" )</f>
        <v>6 Hwy S_4034_Falls of West Oaks_Houston_02981</v>
      </c>
      <c r="L2187" s="104" t="s">
        <v>22253</v>
      </c>
      <c r="M2187" s="103" t="str">
        <f t="shared" si="173"/>
        <v>http://oconnordata.com/mlink/modules/profile/index.cfm?action=profile&amp;prop_id=2981</v>
      </c>
      <c r="N2187" s="1" t="str">
        <f t="shared" si="174"/>
        <v>02981</v>
      </c>
    </row>
    <row r="2188" spans="1:14" x14ac:dyDescent="0.3">
      <c r="A2188" s="1">
        <v>2982</v>
      </c>
      <c r="B2188" s="10" t="s">
        <v>3319</v>
      </c>
      <c r="C2188" s="9">
        <v>14405</v>
      </c>
      <c r="D2188" s="10" t="s">
        <v>3320</v>
      </c>
      <c r="E2188" s="11" t="s">
        <v>1657</v>
      </c>
      <c r="F2188" t="str">
        <f t="shared" si="170"/>
        <v>Rio</v>
      </c>
      <c r="G2188" t="str">
        <f t="shared" si="171"/>
        <v>Rio14405Houston</v>
      </c>
      <c r="H2188" t="s">
        <v>33046</v>
      </c>
      <c r="I2188" t="s">
        <v>24472</v>
      </c>
      <c r="J2188" t="str">
        <f t="shared" si="172"/>
        <v>E:\PropInv\MF</v>
      </c>
      <c r="K2188" s="103" t="str">
        <f>HYPERLINK("E:\PropInv\MF\Houston\Rio Bonito_14405_El Sol Del Rio_Houston_02982","Rio Bonito_14405_El Sol Del Rio_Houston_02982" )</f>
        <v>Rio Bonito_14405_El Sol Del Rio_Houston_02982</v>
      </c>
      <c r="L2188" s="104" t="s">
        <v>22253</v>
      </c>
      <c r="M2188" s="103" t="str">
        <f t="shared" si="173"/>
        <v>http://oconnordata.com/mlink/modules/profile/index.cfm?action=profile&amp;prop_id=2982</v>
      </c>
      <c r="N2188" s="1" t="str">
        <f t="shared" si="174"/>
        <v>02982</v>
      </c>
    </row>
    <row r="2189" spans="1:14" x14ac:dyDescent="0.3">
      <c r="A2189" s="1">
        <v>2983</v>
      </c>
      <c r="B2189" s="10" t="s">
        <v>3321</v>
      </c>
      <c r="C2189" s="9">
        <v>9301</v>
      </c>
      <c r="D2189" s="10" t="s">
        <v>3322</v>
      </c>
      <c r="E2189" s="11" t="s">
        <v>1657</v>
      </c>
      <c r="F2189" t="str">
        <f t="shared" si="170"/>
        <v>Dairy</v>
      </c>
      <c r="G2189" t="str">
        <f t="shared" si="171"/>
        <v>Dairy9301Houston</v>
      </c>
      <c r="H2189" t="s">
        <v>33047</v>
      </c>
      <c r="I2189" t="s">
        <v>24473</v>
      </c>
      <c r="J2189" t="str">
        <f t="shared" si="172"/>
        <v>E:\PropInv\MF</v>
      </c>
      <c r="K2189" s="103" t="str">
        <f>HYPERLINK("E:\PropInv\MF\Houston\Dairy View_9301_Summerstone_Houston_02983","Dairy View_9301_Summerstone_Houston_02983" )</f>
        <v>Dairy View_9301_Summerstone_Houston_02983</v>
      </c>
      <c r="L2189" s="104" t="s">
        <v>22253</v>
      </c>
      <c r="M2189" s="103" t="str">
        <f t="shared" si="173"/>
        <v>http://oconnordata.com/mlink/modules/profile/index.cfm?action=profile&amp;prop_id=2983</v>
      </c>
      <c r="N2189" s="1" t="str">
        <f t="shared" si="174"/>
        <v>02983</v>
      </c>
    </row>
    <row r="2190" spans="1:14" x14ac:dyDescent="0.3">
      <c r="A2190" s="1">
        <v>2986</v>
      </c>
      <c r="B2190" s="10" t="s">
        <v>3323</v>
      </c>
      <c r="C2190" s="9">
        <v>6403</v>
      </c>
      <c r="D2190" s="10" t="s">
        <v>3324</v>
      </c>
      <c r="E2190" s="11" t="s">
        <v>1657</v>
      </c>
      <c r="F2190" t="str">
        <f t="shared" si="170"/>
        <v>Sierra</v>
      </c>
      <c r="G2190" t="str">
        <f t="shared" si="171"/>
        <v>Sierra6403Houston</v>
      </c>
      <c r="H2190" t="s">
        <v>33048</v>
      </c>
      <c r="I2190" t="s">
        <v>24474</v>
      </c>
      <c r="J2190" t="str">
        <f t="shared" si="172"/>
        <v>E:\PropInv\MF</v>
      </c>
      <c r="K2190" s="103" t="str">
        <f>HYPERLINK("E:\PropInv\MF\Houston\Sierra Blanca Dr_6403_El Sol Brillante_Houston_02986","Sierra Blanca Dr_6403_El Sol Brillante_Houston_02986" )</f>
        <v>Sierra Blanca Dr_6403_El Sol Brillante_Houston_02986</v>
      </c>
      <c r="L2190" s="104" t="s">
        <v>22253</v>
      </c>
      <c r="M2190" s="103" t="str">
        <f t="shared" si="173"/>
        <v>http://oconnordata.com/mlink/modules/profile/index.cfm?action=profile&amp;prop_id=2986</v>
      </c>
      <c r="N2190" s="1" t="str">
        <f t="shared" si="174"/>
        <v>02986</v>
      </c>
    </row>
    <row r="2191" spans="1:14" x14ac:dyDescent="0.3">
      <c r="A2191" s="1">
        <v>2987</v>
      </c>
      <c r="B2191" s="10" t="s">
        <v>2634</v>
      </c>
      <c r="C2191" s="9">
        <v>6700</v>
      </c>
      <c r="D2191" s="10" t="s">
        <v>3325</v>
      </c>
      <c r="E2191" s="11" t="s">
        <v>1657</v>
      </c>
      <c r="F2191" t="str">
        <f t="shared" si="170"/>
        <v>Dairy</v>
      </c>
      <c r="G2191" t="str">
        <f t="shared" si="171"/>
        <v>Dairy6700Houston</v>
      </c>
      <c r="H2191" t="s">
        <v>33049</v>
      </c>
      <c r="I2191" t="s">
        <v>24475</v>
      </c>
      <c r="J2191" t="str">
        <f t="shared" si="172"/>
        <v>E:\PropInv\MF</v>
      </c>
      <c r="K2191" s="103" t="str">
        <f>HYPERLINK("E:\PropInv\MF\Houston\Dairy Ashford S_6700_The Mint at Dairy Ashford_Houston_02987","Dairy Ashford S_6700_The Mint at Dairy Ashford_Houston_02987" )</f>
        <v>Dairy Ashford S_6700_The Mint at Dairy Ashford_Houston_02987</v>
      </c>
      <c r="L2191" s="104" t="s">
        <v>22253</v>
      </c>
      <c r="M2191" s="103" t="str">
        <f t="shared" si="173"/>
        <v>http://oconnordata.com/mlink/modules/profile/index.cfm?action=profile&amp;prop_id=2987</v>
      </c>
      <c r="N2191" s="1" t="str">
        <f t="shared" si="174"/>
        <v>02987</v>
      </c>
    </row>
    <row r="2192" spans="1:14" x14ac:dyDescent="0.3">
      <c r="A2192" s="1">
        <v>2988</v>
      </c>
      <c r="B2192" s="31" t="s">
        <v>3326</v>
      </c>
      <c r="C2192" s="32">
        <v>101</v>
      </c>
      <c r="D2192" s="31" t="s">
        <v>3327</v>
      </c>
      <c r="E2192" s="33" t="s">
        <v>3328</v>
      </c>
      <c r="F2192" t="str">
        <f t="shared" si="170"/>
        <v>Bowser</v>
      </c>
      <c r="G2192" t="str">
        <f t="shared" si="171"/>
        <v>Bowser101Richardson</v>
      </c>
      <c r="H2192" t="s">
        <v>33050</v>
      </c>
      <c r="I2192" t="s">
        <v>24476</v>
      </c>
      <c r="J2192" t="str">
        <f t="shared" si="172"/>
        <v>E:\PropInv\MF</v>
      </c>
      <c r="K2192" s="103" t="str">
        <f>HYPERLINK("E:\PropInv\MF\Richardson\Bowser Rd N_101_Eastgate Apts Of Richardson_Richardson_02988","Bowser Rd N_101_Eastgate Apts Of Richardson_Richardson_02988" )</f>
        <v>Bowser Rd N_101_Eastgate Apts Of Richardson_Richardson_02988</v>
      </c>
      <c r="L2192" s="104" t="s">
        <v>22253</v>
      </c>
      <c r="M2192" s="103" t="str">
        <f t="shared" si="173"/>
        <v>http://oconnordata.com/mlink/modules/profile/index.cfm?action=profile&amp;prop_id=2988</v>
      </c>
      <c r="N2192" s="1" t="str">
        <f t="shared" si="174"/>
        <v>02988</v>
      </c>
    </row>
    <row r="2193" spans="1:14" x14ac:dyDescent="0.3">
      <c r="A2193" s="1">
        <v>2990</v>
      </c>
      <c r="B2193" s="10" t="s">
        <v>3319</v>
      </c>
      <c r="C2193" s="9">
        <v>14100</v>
      </c>
      <c r="D2193" s="10" t="s">
        <v>3329</v>
      </c>
      <c r="E2193" s="11" t="s">
        <v>1657</v>
      </c>
      <c r="F2193" t="str">
        <f t="shared" si="170"/>
        <v>Rio</v>
      </c>
      <c r="G2193" t="str">
        <f t="shared" si="171"/>
        <v>Rio14100Houston</v>
      </c>
      <c r="H2193" t="s">
        <v>33051</v>
      </c>
      <c r="I2193" t="s">
        <v>24477</v>
      </c>
      <c r="J2193" t="str">
        <f t="shared" si="172"/>
        <v>E:\PropInv\MF</v>
      </c>
      <c r="K2193" s="103" t="str">
        <f>HYPERLINK("E:\PropInv\MF\Houston\Rio Bonito_14100_Park Village_Houston_02990","Rio Bonito_14100_Park Village_Houston_02990" )</f>
        <v>Rio Bonito_14100_Park Village_Houston_02990</v>
      </c>
      <c r="L2193" s="104" t="s">
        <v>22253</v>
      </c>
      <c r="M2193" s="103" t="str">
        <f t="shared" si="173"/>
        <v>http://oconnordata.com/mlink/modules/profile/index.cfm?action=profile&amp;prop_id=2990</v>
      </c>
      <c r="N2193" s="1" t="str">
        <f t="shared" si="174"/>
        <v>02990</v>
      </c>
    </row>
    <row r="2194" spans="1:14" x14ac:dyDescent="0.3">
      <c r="A2194" s="1">
        <v>2991</v>
      </c>
      <c r="B2194" s="10" t="s">
        <v>892</v>
      </c>
      <c r="C2194" s="9">
        <v>12707</v>
      </c>
      <c r="D2194" s="10" t="s">
        <v>3330</v>
      </c>
      <c r="E2194" s="11" t="s">
        <v>1657</v>
      </c>
      <c r="F2194" t="str">
        <f t="shared" si="170"/>
        <v>Bellaire</v>
      </c>
      <c r="G2194" t="str">
        <f t="shared" si="171"/>
        <v>Bellaire12707Houston</v>
      </c>
      <c r="H2194" t="s">
        <v>33052</v>
      </c>
      <c r="I2194" t="s">
        <v>24478</v>
      </c>
      <c r="J2194" t="str">
        <f t="shared" si="172"/>
        <v>E:\PropInv\MF</v>
      </c>
      <c r="K2194" s="103" t="str">
        <f>HYPERLINK("E:\PropInv\MF\Houston\Bellaire_12707_The Arbor at Dairy Ashford_Houston_02991","Bellaire_12707_The Arbor at Dairy Ashford_Houston_02991" )</f>
        <v>Bellaire_12707_The Arbor at Dairy Ashford_Houston_02991</v>
      </c>
      <c r="L2194" s="104" t="s">
        <v>22253</v>
      </c>
      <c r="M2194" s="103" t="str">
        <f t="shared" si="173"/>
        <v>http://oconnordata.com/mlink/modules/profile/index.cfm?action=profile&amp;prop_id=2991</v>
      </c>
      <c r="N2194" s="1" t="str">
        <f t="shared" si="174"/>
        <v>02991</v>
      </c>
    </row>
    <row r="2195" spans="1:14" x14ac:dyDescent="0.3">
      <c r="A2195" s="1">
        <v>2992</v>
      </c>
      <c r="B2195" s="10" t="s">
        <v>3298</v>
      </c>
      <c r="C2195" s="9">
        <v>12630</v>
      </c>
      <c r="D2195" s="10" t="s">
        <v>3331</v>
      </c>
      <c r="E2195" s="11" t="s">
        <v>1657</v>
      </c>
      <c r="F2195" t="str">
        <f t="shared" si="170"/>
        <v>Ashford</v>
      </c>
      <c r="G2195" t="str">
        <f t="shared" si="171"/>
        <v>Ashford12630Houston</v>
      </c>
      <c r="H2195" t="s">
        <v>33053</v>
      </c>
      <c r="I2195" t="s">
        <v>24479</v>
      </c>
      <c r="J2195" t="str">
        <f t="shared" si="172"/>
        <v>E:\PropInv\MF</v>
      </c>
      <c r="K2195" s="103" t="str">
        <f>HYPERLINK("E:\PropInv\MF\Houston\Ashford Point_12630_Vanderbilt Court_Houston_02992","Ashford Point_12630_Vanderbilt Court_Houston_02992" )</f>
        <v>Ashford Point_12630_Vanderbilt Court_Houston_02992</v>
      </c>
      <c r="L2195" s="104" t="s">
        <v>22253</v>
      </c>
      <c r="M2195" s="103" t="str">
        <f t="shared" si="173"/>
        <v>http://oconnordata.com/mlink/modules/profile/index.cfm?action=profile&amp;prop_id=2992</v>
      </c>
      <c r="N2195" s="1" t="str">
        <f t="shared" si="174"/>
        <v>02992</v>
      </c>
    </row>
    <row r="2196" spans="1:14" x14ac:dyDescent="0.3">
      <c r="A2196" s="1">
        <v>2993</v>
      </c>
      <c r="B2196" s="10" t="s">
        <v>3298</v>
      </c>
      <c r="C2196" s="9">
        <v>12777</v>
      </c>
      <c r="D2196" s="10" t="s">
        <v>3332</v>
      </c>
      <c r="E2196" s="11" t="s">
        <v>1657</v>
      </c>
      <c r="F2196" t="str">
        <f t="shared" si="170"/>
        <v>Ashford</v>
      </c>
      <c r="G2196" t="str">
        <f t="shared" si="171"/>
        <v>Ashford12777Houston</v>
      </c>
      <c r="H2196" t="s">
        <v>33054</v>
      </c>
      <c r="I2196" t="s">
        <v>24480</v>
      </c>
      <c r="J2196" t="str">
        <f t="shared" si="172"/>
        <v>E:\PropInv\MF</v>
      </c>
      <c r="K2196" s="103" t="str">
        <f>HYPERLINK("E:\PropInv\MF\Houston\Ashford Point_12777_Ashford Court_Houston_02993","Ashford Point_12777_Ashford Court_Houston_02993" )</f>
        <v>Ashford Point_12777_Ashford Court_Houston_02993</v>
      </c>
      <c r="L2196" s="104" t="s">
        <v>22253</v>
      </c>
      <c r="M2196" s="103" t="str">
        <f t="shared" si="173"/>
        <v>http://oconnordata.com/mlink/modules/profile/index.cfm?action=profile&amp;prop_id=2993</v>
      </c>
      <c r="N2196" s="1" t="str">
        <f t="shared" si="174"/>
        <v>02993</v>
      </c>
    </row>
    <row r="2197" spans="1:14" x14ac:dyDescent="0.3">
      <c r="A2197" s="1">
        <v>2994</v>
      </c>
      <c r="B2197" s="10" t="s">
        <v>3305</v>
      </c>
      <c r="C2197" s="9">
        <v>12710</v>
      </c>
      <c r="D2197" s="10" t="s">
        <v>3333</v>
      </c>
      <c r="E2197" s="11" t="s">
        <v>1657</v>
      </c>
      <c r="F2197" t="str">
        <f t="shared" si="170"/>
        <v>Brant</v>
      </c>
      <c r="G2197" t="str">
        <f t="shared" si="171"/>
        <v>Brant12710Houston</v>
      </c>
      <c r="H2197" t="s">
        <v>33055</v>
      </c>
      <c r="I2197" t="s">
        <v>24481</v>
      </c>
      <c r="J2197" t="str">
        <f t="shared" si="172"/>
        <v>E:\PropInv\MF</v>
      </c>
      <c r="K2197" s="103" t="str">
        <f>HYPERLINK("E:\PropInv\MF\Houston\Brant Rock_12710_Trails of Ashford_Houston_02994","Brant Rock_12710_Trails of Ashford_Houston_02994" )</f>
        <v>Brant Rock_12710_Trails of Ashford_Houston_02994</v>
      </c>
      <c r="L2197" s="104" t="s">
        <v>22253</v>
      </c>
      <c r="M2197" s="103" t="str">
        <f t="shared" si="173"/>
        <v>http://oconnordata.com/mlink/modules/profile/index.cfm?action=profile&amp;prop_id=2994</v>
      </c>
      <c r="N2197" s="1" t="str">
        <f t="shared" si="174"/>
        <v>02994</v>
      </c>
    </row>
    <row r="2198" spans="1:14" x14ac:dyDescent="0.3">
      <c r="A2198" s="1">
        <v>2995</v>
      </c>
      <c r="B2198" s="10" t="s">
        <v>3334</v>
      </c>
      <c r="C2198" s="9">
        <v>12660</v>
      </c>
      <c r="D2198" s="10" t="s">
        <v>1944</v>
      </c>
      <c r="E2198" s="11" t="s">
        <v>1657</v>
      </c>
      <c r="F2198" t="str">
        <f t="shared" si="170"/>
        <v>Medfield</v>
      </c>
      <c r="G2198" t="str">
        <f t="shared" si="171"/>
        <v>Medfield12660Houston</v>
      </c>
      <c r="H2198" t="s">
        <v>33056</v>
      </c>
      <c r="I2198" t="s">
        <v>24482</v>
      </c>
      <c r="J2198" t="str">
        <f t="shared" si="172"/>
        <v>E:\PropInv\MF</v>
      </c>
      <c r="K2198" s="103" t="str">
        <f>HYPERLINK("E:\PropInv\MF\Houston\Medfield_12660_Vanderbilt_Houston_02995","Medfield_12660_Vanderbilt_Houston_02995" )</f>
        <v>Medfield_12660_Vanderbilt_Houston_02995</v>
      </c>
      <c r="L2198" s="104" t="s">
        <v>22253</v>
      </c>
      <c r="M2198" s="103" t="str">
        <f t="shared" si="173"/>
        <v>http://oconnordata.com/mlink/modules/profile/index.cfm?action=profile&amp;prop_id=2995</v>
      </c>
      <c r="N2198" s="1" t="str">
        <f t="shared" si="174"/>
        <v>02995</v>
      </c>
    </row>
    <row r="2199" spans="1:14" x14ac:dyDescent="0.3">
      <c r="A2199" s="1">
        <v>2997</v>
      </c>
      <c r="B2199" s="10" t="s">
        <v>2634</v>
      </c>
      <c r="C2199" s="9">
        <v>9903</v>
      </c>
      <c r="D2199" s="10" t="s">
        <v>3335</v>
      </c>
      <c r="E2199" s="11" t="s">
        <v>1657</v>
      </c>
      <c r="F2199" t="str">
        <f t="shared" si="170"/>
        <v>Dairy</v>
      </c>
      <c r="G2199" t="str">
        <f t="shared" si="171"/>
        <v>Dairy9903Houston</v>
      </c>
      <c r="H2199" t="s">
        <v>33057</v>
      </c>
      <c r="I2199" t="s">
        <v>24483</v>
      </c>
      <c r="J2199" t="str">
        <f t="shared" si="172"/>
        <v>E:\PropInv\MF</v>
      </c>
      <c r="K2199" s="103" t="str">
        <f>HYPERLINK("E:\PropInv\MF\Houston\Dairy Ashford S_9903_Cambridge Crossing_Houston_02997","Dairy Ashford S_9903_Cambridge Crossing_Houston_02997" )</f>
        <v>Dairy Ashford S_9903_Cambridge Crossing_Houston_02997</v>
      </c>
      <c r="L2199" s="104" t="s">
        <v>22253</v>
      </c>
      <c r="M2199" s="103" t="str">
        <f t="shared" si="173"/>
        <v>http://oconnordata.com/mlink/modules/profile/index.cfm?action=profile&amp;prop_id=2997</v>
      </c>
      <c r="N2199" s="1" t="str">
        <f t="shared" si="174"/>
        <v>02997</v>
      </c>
    </row>
    <row r="2200" spans="1:14" x14ac:dyDescent="0.3">
      <c r="A2200" s="1">
        <v>3000</v>
      </c>
      <c r="B2200" s="10" t="s">
        <v>3336</v>
      </c>
      <c r="C2200" s="9">
        <v>12600</v>
      </c>
      <c r="D2200" s="10" t="s">
        <v>3337</v>
      </c>
      <c r="E2200" s="11" t="s">
        <v>1657</v>
      </c>
      <c r="F2200" t="str">
        <f t="shared" si="170"/>
        <v>Brookglade</v>
      </c>
      <c r="G2200" t="str">
        <f t="shared" si="171"/>
        <v>Brookglade12600Houston</v>
      </c>
      <c r="H2200" t="s">
        <v>33058</v>
      </c>
      <c r="I2200" t="s">
        <v>24484</v>
      </c>
      <c r="J2200" t="str">
        <f t="shared" si="172"/>
        <v>E:\PropInv\MF</v>
      </c>
      <c r="K2200" s="103" t="str">
        <f>HYPERLINK("E:\PropInv\MF\Houston\Brookglade Cir_12600_Bluestone_Houston_03000","Brookglade Cir_12600_Bluestone_Houston_03000" )</f>
        <v>Brookglade Cir_12600_Bluestone_Houston_03000</v>
      </c>
      <c r="L2200" s="104" t="s">
        <v>22253</v>
      </c>
      <c r="M2200" s="103" t="str">
        <f t="shared" si="173"/>
        <v>http://oconnordata.com/mlink/modules/profile/index.cfm?action=profile&amp;prop_id=3000</v>
      </c>
      <c r="N2200" s="1" t="str">
        <f t="shared" si="174"/>
        <v>03000</v>
      </c>
    </row>
    <row r="2201" spans="1:14" x14ac:dyDescent="0.3">
      <c r="A2201" s="1">
        <v>3002</v>
      </c>
      <c r="B2201" s="10" t="s">
        <v>3338</v>
      </c>
      <c r="C2201" s="9">
        <v>13210</v>
      </c>
      <c r="D2201" s="10" t="s">
        <v>3339</v>
      </c>
      <c r="E2201" s="11" t="s">
        <v>1657</v>
      </c>
      <c r="F2201" t="str">
        <f t="shared" si="170"/>
        <v>Old</v>
      </c>
      <c r="G2201" t="str">
        <f t="shared" si="171"/>
        <v>Old13210Houston</v>
      </c>
      <c r="H2201" t="s">
        <v>33059</v>
      </c>
      <c r="I2201" t="s">
        <v>24485</v>
      </c>
      <c r="J2201" t="str">
        <f t="shared" si="172"/>
        <v>E:\PropInv\MF</v>
      </c>
      <c r="K2201" s="103" t="str">
        <f>HYPERLINK("E:\PropInv\MF\Houston\Old Richmond_13210_Ambiance TH_Houston_03002","Old Richmond_13210_Ambiance TH_Houston_03002" )</f>
        <v>Old Richmond_13210_Ambiance TH_Houston_03002</v>
      </c>
      <c r="L2201" s="104" t="s">
        <v>22253</v>
      </c>
      <c r="M2201" s="103" t="str">
        <f t="shared" si="173"/>
        <v>http://oconnordata.com/mlink/modules/profile/index.cfm?action=profile&amp;prop_id=3002</v>
      </c>
      <c r="N2201" s="1" t="str">
        <f t="shared" si="174"/>
        <v>03002</v>
      </c>
    </row>
    <row r="2202" spans="1:14" x14ac:dyDescent="0.3">
      <c r="A2202" s="1">
        <v>3003</v>
      </c>
      <c r="B2202" s="10" t="s">
        <v>3292</v>
      </c>
      <c r="C2202" s="9">
        <v>9330</v>
      </c>
      <c r="D2202" s="10" t="s">
        <v>3340</v>
      </c>
      <c r="E2202" s="11" t="s">
        <v>1657</v>
      </c>
      <c r="F2202" t="str">
        <f t="shared" si="170"/>
        <v>Synott</v>
      </c>
      <c r="G2202" t="str">
        <f t="shared" si="171"/>
        <v>Synott9330Houston</v>
      </c>
      <c r="H2202" t="s">
        <v>33060</v>
      </c>
      <c r="I2202" t="s">
        <v>24486</v>
      </c>
      <c r="J2202" t="str">
        <f t="shared" si="172"/>
        <v>E:\PropInv\MF</v>
      </c>
      <c r="K2202" s="103" t="str">
        <f>HYPERLINK("E:\PropInv\MF\Houston\Synott_9330_South Chase_Houston_03003","Synott_9330_South Chase_Houston_03003" )</f>
        <v>Synott_9330_South Chase_Houston_03003</v>
      </c>
      <c r="L2202" s="104" t="s">
        <v>22253</v>
      </c>
      <c r="M2202" s="103" t="str">
        <f t="shared" si="173"/>
        <v>http://oconnordata.com/mlink/modules/profile/index.cfm?action=profile&amp;prop_id=3003</v>
      </c>
      <c r="N2202" s="1" t="str">
        <f t="shared" si="174"/>
        <v>03003</v>
      </c>
    </row>
    <row r="2203" spans="1:14" x14ac:dyDescent="0.3">
      <c r="A2203" s="1">
        <v>3004</v>
      </c>
      <c r="B2203" s="10" t="s">
        <v>3292</v>
      </c>
      <c r="C2203" s="9">
        <v>9402</v>
      </c>
      <c r="D2203" s="10" t="s">
        <v>3341</v>
      </c>
      <c r="E2203" s="11" t="s">
        <v>1657</v>
      </c>
      <c r="F2203" t="str">
        <f t="shared" si="170"/>
        <v>Synott</v>
      </c>
      <c r="G2203" t="str">
        <f t="shared" si="171"/>
        <v>Synott9402Houston</v>
      </c>
      <c r="H2203" t="s">
        <v>33061</v>
      </c>
      <c r="I2203" t="s">
        <v>24487</v>
      </c>
      <c r="J2203" t="str">
        <f t="shared" si="172"/>
        <v>E:\PropInv\MF</v>
      </c>
      <c r="K2203" s="103" t="str">
        <f>HYPERLINK("E:\PropInv\MF\Houston\Synott_9402_Synott Square_Houston_03004","Synott_9402_Synott Square_Houston_03004" )</f>
        <v>Synott_9402_Synott Square_Houston_03004</v>
      </c>
      <c r="L2203" s="104" t="s">
        <v>22253</v>
      </c>
      <c r="M2203" s="103" t="str">
        <f t="shared" si="173"/>
        <v>http://oconnordata.com/mlink/modules/profile/index.cfm?action=profile&amp;prop_id=3004</v>
      </c>
      <c r="N2203" s="1" t="str">
        <f t="shared" si="174"/>
        <v>03004</v>
      </c>
    </row>
    <row r="2204" spans="1:14" x14ac:dyDescent="0.3">
      <c r="A2204" s="1">
        <v>3005</v>
      </c>
      <c r="B2204" s="10" t="s">
        <v>2634</v>
      </c>
      <c r="C2204" s="9">
        <v>9506</v>
      </c>
      <c r="D2204" s="10" t="s">
        <v>3342</v>
      </c>
      <c r="E2204" s="11" t="s">
        <v>1657</v>
      </c>
      <c r="F2204" t="str">
        <f t="shared" si="170"/>
        <v>Dairy</v>
      </c>
      <c r="G2204" t="str">
        <f t="shared" si="171"/>
        <v>Dairy9506Houston</v>
      </c>
      <c r="H2204" t="s">
        <v>33062</v>
      </c>
      <c r="I2204" t="s">
        <v>24488</v>
      </c>
      <c r="J2204" t="str">
        <f t="shared" si="172"/>
        <v>E:\PropInv\MF</v>
      </c>
      <c r="K2204" s="103" t="str">
        <f>HYPERLINK("E:\PropInv\MF\Houston\Dairy Ashford S_9506_Huntington Village_Houston_03005","Dairy Ashford S_9506_Huntington Village_Houston_03005" )</f>
        <v>Dairy Ashford S_9506_Huntington Village_Houston_03005</v>
      </c>
      <c r="L2204" s="104" t="s">
        <v>22253</v>
      </c>
      <c r="M2204" s="103" t="str">
        <f t="shared" si="173"/>
        <v>http://oconnordata.com/mlink/modules/profile/index.cfm?action=profile&amp;prop_id=3005</v>
      </c>
      <c r="N2204" s="1" t="str">
        <f t="shared" si="174"/>
        <v>03005</v>
      </c>
    </row>
    <row r="2205" spans="1:14" x14ac:dyDescent="0.3">
      <c r="A2205" s="1">
        <v>3006</v>
      </c>
      <c r="B2205" s="10" t="s">
        <v>3343</v>
      </c>
      <c r="C2205" s="9">
        <v>7302</v>
      </c>
      <c r="D2205" s="10" t="s">
        <v>3344</v>
      </c>
      <c r="E2205" s="11" t="s">
        <v>1657</v>
      </c>
      <c r="F2205" t="str">
        <f t="shared" si="170"/>
        <v>Corporate</v>
      </c>
      <c r="G2205" t="str">
        <f t="shared" si="171"/>
        <v>Corporate7302Houston</v>
      </c>
      <c r="H2205" t="s">
        <v>33063</v>
      </c>
      <c r="I2205" t="s">
        <v>24489</v>
      </c>
      <c r="J2205" t="str">
        <f t="shared" si="172"/>
        <v>E:\PropInv\MF</v>
      </c>
      <c r="K2205" s="103" t="str">
        <f>HYPERLINK("E:\PropInv\MF\Houston\Corporate_7302_Rubicon_Houston_03006","Corporate_7302_Rubicon_Houston_03006" )</f>
        <v>Corporate_7302_Rubicon_Houston_03006</v>
      </c>
      <c r="L2205" s="104" t="s">
        <v>22253</v>
      </c>
      <c r="M2205" s="103" t="str">
        <f t="shared" si="173"/>
        <v>http://oconnordata.com/mlink/modules/profile/index.cfm?action=profile&amp;prop_id=3006</v>
      </c>
      <c r="N2205" s="1" t="str">
        <f t="shared" si="174"/>
        <v>03006</v>
      </c>
    </row>
    <row r="2206" spans="1:14" x14ac:dyDescent="0.3">
      <c r="A2206" s="1">
        <v>3007</v>
      </c>
      <c r="B2206" s="10" t="s">
        <v>3343</v>
      </c>
      <c r="C2206" s="9">
        <v>7502</v>
      </c>
      <c r="D2206" s="10" t="s">
        <v>3345</v>
      </c>
      <c r="E2206" s="11" t="s">
        <v>1657</v>
      </c>
      <c r="F2206" t="str">
        <f t="shared" si="170"/>
        <v>Corporate</v>
      </c>
      <c r="G2206" t="str">
        <f t="shared" si="171"/>
        <v>Corporate7502Houston</v>
      </c>
      <c r="H2206" t="s">
        <v>33064</v>
      </c>
      <c r="I2206" t="s">
        <v>24490</v>
      </c>
      <c r="J2206" t="str">
        <f t="shared" si="172"/>
        <v>E:\PropInv\MF</v>
      </c>
      <c r="K2206" s="103" t="str">
        <f>HYPERLINK("E:\PropInv\MF\Houston\Corporate_7502_Waterfall Park_Houston_03007","Corporate_7502_Waterfall Park_Houston_03007" )</f>
        <v>Corporate_7502_Waterfall Park_Houston_03007</v>
      </c>
      <c r="L2206" s="104" t="s">
        <v>22253</v>
      </c>
      <c r="M2206" s="103" t="str">
        <f t="shared" si="173"/>
        <v>http://oconnordata.com/mlink/modules/profile/index.cfm?action=profile&amp;prop_id=3007</v>
      </c>
      <c r="N2206" s="1" t="str">
        <f t="shared" si="174"/>
        <v>03007</v>
      </c>
    </row>
    <row r="2207" spans="1:14" x14ac:dyDescent="0.3">
      <c r="A2207" s="1">
        <v>3008</v>
      </c>
      <c r="B2207" s="10" t="s">
        <v>3346</v>
      </c>
      <c r="C2207" s="9">
        <v>4400</v>
      </c>
      <c r="D2207" s="10" t="s">
        <v>3347</v>
      </c>
      <c r="E2207" s="11" t="s">
        <v>1657</v>
      </c>
      <c r="F2207" t="str">
        <f t="shared" si="170"/>
        <v>Boone</v>
      </c>
      <c r="G2207" t="str">
        <f t="shared" si="171"/>
        <v>Boone4400Houston</v>
      </c>
      <c r="H2207" t="s">
        <v>33065</v>
      </c>
      <c r="I2207" t="s">
        <v>24491</v>
      </c>
      <c r="J2207" t="str">
        <f t="shared" si="172"/>
        <v>E:\PropInv\MF</v>
      </c>
      <c r="K2207" s="103" t="str">
        <f>HYPERLINK("E:\PropInv\MF\Houston\Boone Rd_4400_Brays Village_Houston_03008","Boone Rd_4400_Brays Village_Houston_03008" )</f>
        <v>Boone Rd_4400_Brays Village_Houston_03008</v>
      </c>
      <c r="L2207" s="104" t="s">
        <v>22253</v>
      </c>
      <c r="M2207" s="103" t="str">
        <f t="shared" si="173"/>
        <v>http://oconnordata.com/mlink/modules/profile/index.cfm?action=profile&amp;prop_id=3008</v>
      </c>
      <c r="N2207" s="1" t="str">
        <f t="shared" si="174"/>
        <v>03008</v>
      </c>
    </row>
    <row r="2208" spans="1:14" x14ac:dyDescent="0.3">
      <c r="A2208" s="1">
        <v>3009</v>
      </c>
      <c r="B2208" s="10" t="s">
        <v>3348</v>
      </c>
      <c r="C2208" s="9">
        <v>9888</v>
      </c>
      <c r="D2208" s="10" t="s">
        <v>3349</v>
      </c>
      <c r="E2208" s="11" t="s">
        <v>1657</v>
      </c>
      <c r="F2208" t="str">
        <f t="shared" si="170"/>
        <v>United</v>
      </c>
      <c r="G2208" t="str">
        <f t="shared" si="171"/>
        <v>United9888Houston</v>
      </c>
      <c r="H2208" t="s">
        <v>33066</v>
      </c>
      <c r="I2208" t="s">
        <v>24492</v>
      </c>
      <c r="J2208" t="str">
        <f t="shared" si="172"/>
        <v>E:\PropInv\MF</v>
      </c>
      <c r="K2208" s="103" t="str">
        <f>HYPERLINK("E:\PropInv\MF\Houston\United Dr_9888_The Sovereign TH_Houston_03009","United Dr_9888_The Sovereign TH_Houston_03009" )</f>
        <v>United Dr_9888_The Sovereign TH_Houston_03009</v>
      </c>
      <c r="L2208" s="104" t="s">
        <v>22253</v>
      </c>
      <c r="M2208" s="103" t="str">
        <f t="shared" si="173"/>
        <v>http://oconnordata.com/mlink/modules/profile/index.cfm?action=profile&amp;prop_id=3009</v>
      </c>
      <c r="N2208" s="1" t="str">
        <f t="shared" si="174"/>
        <v>03009</v>
      </c>
    </row>
    <row r="2209" spans="1:14" x14ac:dyDescent="0.3">
      <c r="A2209" s="1">
        <v>3010</v>
      </c>
      <c r="B2209" s="10" t="s">
        <v>3343</v>
      </c>
      <c r="C2209" s="9">
        <v>7255</v>
      </c>
      <c r="D2209" s="10" t="s">
        <v>3350</v>
      </c>
      <c r="E2209" s="11" t="s">
        <v>1657</v>
      </c>
      <c r="F2209" t="str">
        <f t="shared" si="170"/>
        <v>Corporate</v>
      </c>
      <c r="G2209" t="str">
        <f t="shared" si="171"/>
        <v>Corporate7255Houston</v>
      </c>
      <c r="H2209" t="s">
        <v>33067</v>
      </c>
      <c r="I2209" t="s">
        <v>24493</v>
      </c>
      <c r="J2209" t="str">
        <f t="shared" si="172"/>
        <v>E:\PropInv\MF</v>
      </c>
      <c r="K2209" s="103" t="str">
        <f>HYPERLINK("E:\PropInv\MF\Houston\Corporate_7255_The Fountains at Bellaire_Houston_03010","Corporate_7255_The Fountains at Bellaire_Houston_03010" )</f>
        <v>Corporate_7255_The Fountains at Bellaire_Houston_03010</v>
      </c>
      <c r="L2209" s="104" t="s">
        <v>22253</v>
      </c>
      <c r="M2209" s="103" t="str">
        <f t="shared" si="173"/>
        <v>http://oconnordata.com/mlink/modules/profile/index.cfm?action=profile&amp;prop_id=3010</v>
      </c>
      <c r="N2209" s="1" t="str">
        <f t="shared" si="174"/>
        <v>03010</v>
      </c>
    </row>
    <row r="2210" spans="1:14" x14ac:dyDescent="0.3">
      <c r="A2210" s="1">
        <v>3011</v>
      </c>
      <c r="B2210" s="10" t="s">
        <v>3351</v>
      </c>
      <c r="C2210" s="9">
        <v>11490</v>
      </c>
      <c r="D2210" s="10" t="s">
        <v>3352</v>
      </c>
      <c r="E2210" s="11" t="s">
        <v>1657</v>
      </c>
      <c r="F2210" t="str">
        <f t="shared" si="170"/>
        <v>Harwin</v>
      </c>
      <c r="G2210" t="str">
        <f t="shared" si="171"/>
        <v>Harwin11490Houston</v>
      </c>
      <c r="H2210" t="s">
        <v>33068</v>
      </c>
      <c r="I2210" t="s">
        <v>24494</v>
      </c>
      <c r="J2210" t="str">
        <f t="shared" si="172"/>
        <v>E:\PropInv\MF</v>
      </c>
      <c r="K2210" s="103" t="str">
        <f>HYPERLINK("E:\PropInv\MF\Houston\Harwin_11490_Remington Court_Houston_03011","Harwin_11490_Remington Court_Houston_03011" )</f>
        <v>Harwin_11490_Remington Court_Houston_03011</v>
      </c>
      <c r="L2210" s="104" t="s">
        <v>22253</v>
      </c>
      <c r="M2210" s="103" t="str">
        <f t="shared" si="173"/>
        <v>http://oconnordata.com/mlink/modules/profile/index.cfm?action=profile&amp;prop_id=3011</v>
      </c>
      <c r="N2210" s="1" t="str">
        <f t="shared" si="174"/>
        <v>03011</v>
      </c>
    </row>
    <row r="2211" spans="1:14" x14ac:dyDescent="0.3">
      <c r="A2211" s="1">
        <v>3012</v>
      </c>
      <c r="B2211" s="10" t="s">
        <v>3353</v>
      </c>
      <c r="C2211" s="9">
        <v>10300</v>
      </c>
      <c r="D2211" s="10" t="s">
        <v>3354</v>
      </c>
      <c r="E2211" s="11" t="s">
        <v>1657</v>
      </c>
      <c r="F2211" t="str">
        <f t="shared" si="170"/>
        <v>Harwin</v>
      </c>
      <c r="G2211" t="str">
        <f t="shared" si="171"/>
        <v>Harwin10300Houston</v>
      </c>
      <c r="H2211" t="s">
        <v>33069</v>
      </c>
      <c r="I2211" t="s">
        <v>24495</v>
      </c>
      <c r="J2211" t="str">
        <f t="shared" si="172"/>
        <v>E:\PropInv\MF</v>
      </c>
      <c r="K2211" s="103" t="str">
        <f>HYPERLINK("E:\PropInv\MF\Houston\Harwin Dr_10300_Sun Blossom Cottages_Houston_03012","Harwin Dr_10300_Sun Blossom Cottages_Houston_03012" )</f>
        <v>Harwin Dr_10300_Sun Blossom Cottages_Houston_03012</v>
      </c>
      <c r="L2211" s="104" t="s">
        <v>22253</v>
      </c>
      <c r="M2211" s="103" t="str">
        <f t="shared" si="173"/>
        <v>http://oconnordata.com/mlink/modules/profile/index.cfm?action=profile&amp;prop_id=3012</v>
      </c>
      <c r="N2211" s="1" t="str">
        <f t="shared" si="174"/>
        <v>03012</v>
      </c>
    </row>
    <row r="2212" spans="1:14" x14ac:dyDescent="0.3">
      <c r="A2212" s="1">
        <v>3013</v>
      </c>
      <c r="B2212" s="10" t="s">
        <v>3346</v>
      </c>
      <c r="C2212" s="9">
        <v>8039</v>
      </c>
      <c r="D2212" s="10" t="s">
        <v>3355</v>
      </c>
      <c r="E2212" s="11" t="s">
        <v>1657</v>
      </c>
      <c r="F2212" t="str">
        <f t="shared" si="170"/>
        <v>Boone</v>
      </c>
      <c r="G2212" t="str">
        <f t="shared" si="171"/>
        <v>Boone8039Houston</v>
      </c>
      <c r="H2212" t="s">
        <v>33070</v>
      </c>
      <c r="I2212" t="s">
        <v>24496</v>
      </c>
      <c r="J2212" t="str">
        <f t="shared" si="172"/>
        <v>E:\PropInv\MF</v>
      </c>
      <c r="K2212" s="103" t="str">
        <f>HYPERLINK("E:\PropInv\MF\Houston\Boone Rd_8039_Chelsea Lane_Houston_03013","Boone Rd_8039_Chelsea Lane_Houston_03013" )</f>
        <v>Boone Rd_8039_Chelsea Lane_Houston_03013</v>
      </c>
      <c r="L2212" s="104" t="s">
        <v>22253</v>
      </c>
      <c r="M2212" s="103" t="str">
        <f t="shared" si="173"/>
        <v>http://oconnordata.com/mlink/modules/profile/index.cfm?action=profile&amp;prop_id=3013</v>
      </c>
      <c r="N2212" s="1" t="str">
        <f t="shared" si="174"/>
        <v>03013</v>
      </c>
    </row>
    <row r="2213" spans="1:14" x14ac:dyDescent="0.3">
      <c r="A2213" s="1">
        <v>3015</v>
      </c>
      <c r="B2213" s="10" t="s">
        <v>3313</v>
      </c>
      <c r="C2213" s="9">
        <v>7500</v>
      </c>
      <c r="D2213" s="10" t="s">
        <v>3356</v>
      </c>
      <c r="E2213" s="11" t="s">
        <v>1657</v>
      </c>
      <c r="F2213" t="str">
        <f t="shared" si="170"/>
        <v>Cook</v>
      </c>
      <c r="G2213" t="str">
        <f t="shared" si="171"/>
        <v>Cook7500Houston</v>
      </c>
      <c r="H2213" t="s">
        <v>33071</v>
      </c>
      <c r="I2213" t="s">
        <v>24497</v>
      </c>
      <c r="J2213" t="str">
        <f t="shared" si="172"/>
        <v>E:\PropInv\MF</v>
      </c>
      <c r="K2213" s="103" t="str">
        <f>HYPERLINK("E:\PropInv\MF\Houston\Cook_7500_Alief Square_Houston_03015","Cook_7500_Alief Square_Houston_03015" )</f>
        <v>Cook_7500_Alief Square_Houston_03015</v>
      </c>
      <c r="L2213" s="104" t="s">
        <v>22253</v>
      </c>
      <c r="M2213" s="103" t="str">
        <f t="shared" si="173"/>
        <v>http://oconnordata.com/mlink/modules/profile/index.cfm?action=profile&amp;prop_id=3015</v>
      </c>
      <c r="N2213" s="1" t="str">
        <f t="shared" si="174"/>
        <v>03015</v>
      </c>
    </row>
    <row r="2214" spans="1:14" x14ac:dyDescent="0.3">
      <c r="A2214" s="1">
        <v>3016</v>
      </c>
      <c r="B2214" s="10" t="s">
        <v>3315</v>
      </c>
      <c r="C2214" s="9">
        <v>7520</v>
      </c>
      <c r="D2214" s="10" t="s">
        <v>3357</v>
      </c>
      <c r="E2214" s="11" t="s">
        <v>1657</v>
      </c>
      <c r="F2214" t="str">
        <f t="shared" si="170"/>
        <v>Cook</v>
      </c>
      <c r="G2214" t="str">
        <f t="shared" si="171"/>
        <v>Cook7520Houston</v>
      </c>
      <c r="H2214" t="s">
        <v>33072</v>
      </c>
      <c r="I2214" t="s">
        <v>24498</v>
      </c>
      <c r="J2214" t="str">
        <f t="shared" si="172"/>
        <v>E:\PropInv\MF</v>
      </c>
      <c r="K2214" s="103" t="str">
        <f>HYPERLINK("E:\PropInv\MF\Houston\Cook Rd_7520_JadeStone_Houston_03016","Cook Rd_7520_JadeStone_Houston_03016" )</f>
        <v>Cook Rd_7520_JadeStone_Houston_03016</v>
      </c>
      <c r="L2214" s="104" t="s">
        <v>22253</v>
      </c>
      <c r="M2214" s="103" t="str">
        <f t="shared" si="173"/>
        <v>http://oconnordata.com/mlink/modules/profile/index.cfm?action=profile&amp;prop_id=3016</v>
      </c>
      <c r="N2214" s="1" t="str">
        <f t="shared" si="174"/>
        <v>03016</v>
      </c>
    </row>
    <row r="2215" spans="1:14" x14ac:dyDescent="0.3">
      <c r="A2215" s="1">
        <v>3017</v>
      </c>
      <c r="B2215" s="10" t="s">
        <v>3315</v>
      </c>
      <c r="C2215" s="9">
        <v>8000</v>
      </c>
      <c r="D2215" s="10" t="s">
        <v>3358</v>
      </c>
      <c r="E2215" s="11" t="s">
        <v>1657</v>
      </c>
      <c r="F2215" t="str">
        <f t="shared" si="170"/>
        <v>Cook</v>
      </c>
      <c r="G2215" t="str">
        <f t="shared" si="171"/>
        <v>Cook8000Houston</v>
      </c>
      <c r="H2215" t="s">
        <v>33073</v>
      </c>
      <c r="I2215" t="s">
        <v>24499</v>
      </c>
      <c r="J2215" t="str">
        <f t="shared" si="172"/>
        <v>E:\PropInv\MF</v>
      </c>
      <c r="K2215" s="103" t="str">
        <f>HYPERLINK("E:\PropInv\MF\Houston\Cook Rd_8000_Tierra Del Sol_Houston_03017","Cook Rd_8000_Tierra Del Sol_Houston_03017" )</f>
        <v>Cook Rd_8000_Tierra Del Sol_Houston_03017</v>
      </c>
      <c r="L2215" s="104" t="s">
        <v>22253</v>
      </c>
      <c r="M2215" s="103" t="str">
        <f t="shared" si="173"/>
        <v>http://oconnordata.com/mlink/modules/profile/index.cfm?action=profile&amp;prop_id=3017</v>
      </c>
      <c r="N2215" s="1" t="str">
        <f t="shared" si="174"/>
        <v>03017</v>
      </c>
    </row>
    <row r="2216" spans="1:14" x14ac:dyDescent="0.3">
      <c r="A2216" s="1">
        <v>3018</v>
      </c>
      <c r="B2216" s="10" t="s">
        <v>3359</v>
      </c>
      <c r="C2216" s="9">
        <v>10901</v>
      </c>
      <c r="D2216" s="10" t="s">
        <v>3360</v>
      </c>
      <c r="E2216" s="11" t="s">
        <v>1657</v>
      </c>
      <c r="F2216" t="str">
        <f t="shared" si="170"/>
        <v>Village</v>
      </c>
      <c r="G2216" t="str">
        <f t="shared" si="171"/>
        <v>Village10901Houston</v>
      </c>
      <c r="H2216" t="s">
        <v>33074</v>
      </c>
      <c r="I2216" t="s">
        <v>24500</v>
      </c>
      <c r="J2216" t="str">
        <f t="shared" si="172"/>
        <v>E:\PropInv\MF</v>
      </c>
      <c r="K2216" s="103" t="str">
        <f>HYPERLINK("E:\PropInv\MF\Houston\Village Bend Ln_10901_Suncrest Village TH_Houston_03018","Village Bend Ln_10901_Suncrest Village TH_Houston_03018" )</f>
        <v>Village Bend Ln_10901_Suncrest Village TH_Houston_03018</v>
      </c>
      <c r="L2216" s="104" t="s">
        <v>22253</v>
      </c>
      <c r="M2216" s="103" t="str">
        <f t="shared" si="173"/>
        <v>http://oconnordata.com/mlink/modules/profile/index.cfm?action=profile&amp;prop_id=3018</v>
      </c>
      <c r="N2216" s="1" t="str">
        <f t="shared" si="174"/>
        <v>03018</v>
      </c>
    </row>
    <row r="2217" spans="1:14" x14ac:dyDescent="0.3">
      <c r="A2217" s="1">
        <v>3020</v>
      </c>
      <c r="B2217" s="10" t="s">
        <v>3361</v>
      </c>
      <c r="C2217" s="9">
        <v>10630</v>
      </c>
      <c r="D2217" s="10" t="s">
        <v>3362</v>
      </c>
      <c r="E2217" s="11" t="s">
        <v>1657</v>
      </c>
      <c r="F2217" t="str">
        <f t="shared" si="170"/>
        <v>Beechnut</v>
      </c>
      <c r="G2217" t="str">
        <f t="shared" si="171"/>
        <v>Beechnut10630Houston</v>
      </c>
      <c r="H2217" t="s">
        <v>33075</v>
      </c>
      <c r="I2217" t="s">
        <v>24501</v>
      </c>
      <c r="J2217" t="str">
        <f t="shared" si="172"/>
        <v>E:\PropInv\MF</v>
      </c>
      <c r="K2217" s="103" t="str">
        <f>HYPERLINK("E:\PropInv\MF\Houston\Beechnut St_10630_Sunset Crossing_Houston_03020","Beechnut St_10630_Sunset Crossing_Houston_03020" )</f>
        <v>Beechnut St_10630_Sunset Crossing_Houston_03020</v>
      </c>
      <c r="L2217" s="104" t="s">
        <v>22253</v>
      </c>
      <c r="M2217" s="103" t="str">
        <f t="shared" si="173"/>
        <v>http://oconnordata.com/mlink/modules/profile/index.cfm?action=profile&amp;prop_id=3020</v>
      </c>
      <c r="N2217" s="1" t="str">
        <f t="shared" si="174"/>
        <v>03020</v>
      </c>
    </row>
    <row r="2218" spans="1:14" x14ac:dyDescent="0.3">
      <c r="A2218" s="1">
        <v>3021</v>
      </c>
      <c r="B2218" s="10" t="s">
        <v>3346</v>
      </c>
      <c r="C2218" s="9">
        <v>8811</v>
      </c>
      <c r="D2218" s="10" t="s">
        <v>3363</v>
      </c>
      <c r="E2218" s="11" t="s">
        <v>1657</v>
      </c>
      <c r="F2218" t="str">
        <f t="shared" si="170"/>
        <v>Boone</v>
      </c>
      <c r="G2218" t="str">
        <f t="shared" si="171"/>
        <v>Boone8811Houston</v>
      </c>
      <c r="H2218" t="s">
        <v>33076</v>
      </c>
      <c r="I2218" t="s">
        <v>24502</v>
      </c>
      <c r="J2218" t="str">
        <f t="shared" si="172"/>
        <v>E:\PropInv\MF</v>
      </c>
      <c r="K2218" s="103" t="str">
        <f>HYPERLINK("E:\PropInv\MF\Houston\Boone Rd_8811_Aspen Park_Houston_03021","Boone Rd_8811_Aspen Park_Houston_03021" )</f>
        <v>Boone Rd_8811_Aspen Park_Houston_03021</v>
      </c>
      <c r="L2218" s="104" t="s">
        <v>22253</v>
      </c>
      <c r="M2218" s="103" t="str">
        <f t="shared" si="173"/>
        <v>http://oconnordata.com/mlink/modules/profile/index.cfm?action=profile&amp;prop_id=3021</v>
      </c>
      <c r="N2218" s="1" t="str">
        <f t="shared" si="174"/>
        <v>03021</v>
      </c>
    </row>
    <row r="2219" spans="1:14" x14ac:dyDescent="0.3">
      <c r="A2219" s="1">
        <v>3022</v>
      </c>
      <c r="B2219" s="10" t="s">
        <v>2740</v>
      </c>
      <c r="C2219" s="9">
        <v>9850</v>
      </c>
      <c r="D2219" s="10" t="s">
        <v>3364</v>
      </c>
      <c r="E2219" s="11" t="s">
        <v>1657</v>
      </c>
      <c r="F2219" t="str">
        <f t="shared" si="170"/>
        <v>Kirkwood</v>
      </c>
      <c r="G2219" t="str">
        <f t="shared" si="171"/>
        <v>Kirkwood9850Houston</v>
      </c>
      <c r="H2219" t="s">
        <v>33077</v>
      </c>
      <c r="I2219" t="s">
        <v>24503</v>
      </c>
      <c r="J2219" t="str">
        <f t="shared" si="172"/>
        <v>E:\PropInv\MF</v>
      </c>
      <c r="K2219" s="103" t="str">
        <f>HYPERLINK("E:\PropInv\MF\Houston\Kirkwood S_9850_Kirkwood Landing_Houston_03022","Kirkwood S_9850_Kirkwood Landing_Houston_03022" )</f>
        <v>Kirkwood S_9850_Kirkwood Landing_Houston_03022</v>
      </c>
      <c r="L2219" s="104" t="s">
        <v>22253</v>
      </c>
      <c r="M2219" s="103" t="str">
        <f t="shared" si="173"/>
        <v>http://oconnordata.com/mlink/modules/profile/index.cfm?action=profile&amp;prop_id=3022</v>
      </c>
      <c r="N2219" s="1" t="str">
        <f t="shared" si="174"/>
        <v>03022</v>
      </c>
    </row>
    <row r="2220" spans="1:14" x14ac:dyDescent="0.3">
      <c r="A2220" s="1">
        <v>3024</v>
      </c>
      <c r="B2220" s="10" t="s">
        <v>3060</v>
      </c>
      <c r="C2220" s="9">
        <v>11700</v>
      </c>
      <c r="D2220" s="10" t="s">
        <v>3365</v>
      </c>
      <c r="E2220" s="11" t="s">
        <v>1657</v>
      </c>
      <c r="F2220" t="str">
        <f t="shared" si="170"/>
        <v>Bissonnet</v>
      </c>
      <c r="G2220" t="str">
        <f t="shared" si="171"/>
        <v>Bissonnet11700Houston</v>
      </c>
      <c r="H2220" t="s">
        <v>33078</v>
      </c>
      <c r="I2220" t="s">
        <v>24504</v>
      </c>
      <c r="J2220" t="str">
        <f t="shared" si="172"/>
        <v>E:\PropInv\MF</v>
      </c>
      <c r="K2220" s="103" t="str">
        <f>HYPERLINK("E:\PropInv\MF\Houston\Bissonnet_11700_Crossing at Ashton Place_Houston_03024","Bissonnet_11700_Crossing at Ashton Place_Houston_03024" )</f>
        <v>Bissonnet_11700_Crossing at Ashton Place_Houston_03024</v>
      </c>
      <c r="L2220" s="104" t="s">
        <v>22253</v>
      </c>
      <c r="M2220" s="103" t="str">
        <f t="shared" si="173"/>
        <v>http://oconnordata.com/mlink/modules/profile/index.cfm?action=profile&amp;prop_id=3024</v>
      </c>
      <c r="N2220" s="1" t="str">
        <f t="shared" si="174"/>
        <v>03024</v>
      </c>
    </row>
    <row r="2221" spans="1:14" x14ac:dyDescent="0.3">
      <c r="A2221" s="1">
        <v>3025</v>
      </c>
      <c r="B2221" s="10" t="s">
        <v>3315</v>
      </c>
      <c r="C2221" s="9">
        <v>7000</v>
      </c>
      <c r="D2221" s="10" t="s">
        <v>3366</v>
      </c>
      <c r="E2221" s="11" t="s">
        <v>1657</v>
      </c>
      <c r="F2221" t="str">
        <f t="shared" si="170"/>
        <v>Cook</v>
      </c>
      <c r="G2221" t="str">
        <f t="shared" si="171"/>
        <v>Cook7000Houston</v>
      </c>
      <c r="H2221" t="s">
        <v>33079</v>
      </c>
      <c r="I2221" t="s">
        <v>24505</v>
      </c>
      <c r="J2221" t="str">
        <f t="shared" si="172"/>
        <v>E:\PropInv\MF</v>
      </c>
      <c r="K2221" s="103" t="str">
        <f>HYPERLINK("E:\PropInv\MF\Houston\Cook Rd_7000_Parque on Bellaire_Houston_03025","Cook Rd_7000_Parque on Bellaire_Houston_03025" )</f>
        <v>Cook Rd_7000_Parque on Bellaire_Houston_03025</v>
      </c>
      <c r="L2221" s="104" t="s">
        <v>22253</v>
      </c>
      <c r="M2221" s="103" t="str">
        <f t="shared" si="173"/>
        <v>http://oconnordata.com/mlink/modules/profile/index.cfm?action=profile&amp;prop_id=3025</v>
      </c>
      <c r="N2221" s="1" t="str">
        <f t="shared" si="174"/>
        <v>03025</v>
      </c>
    </row>
    <row r="2222" spans="1:14" x14ac:dyDescent="0.3">
      <c r="A2222" s="1">
        <v>3026</v>
      </c>
      <c r="B2222" s="10" t="s">
        <v>3367</v>
      </c>
      <c r="C2222" s="9">
        <v>11855</v>
      </c>
      <c r="D2222" s="10" t="s">
        <v>3368</v>
      </c>
      <c r="E2222" s="11" t="s">
        <v>1657</v>
      </c>
      <c r="F2222" t="str">
        <f t="shared" si="170"/>
        <v>Dashwood</v>
      </c>
      <c r="G2222" t="str">
        <f t="shared" si="171"/>
        <v>Dashwood11855Houston</v>
      </c>
      <c r="H2222" t="s">
        <v>33080</v>
      </c>
      <c r="I2222" t="s">
        <v>24506</v>
      </c>
      <c r="J2222" t="str">
        <f t="shared" si="172"/>
        <v>E:\PropInv\MF</v>
      </c>
      <c r="K2222" s="103" t="str">
        <f>HYPERLINK("E:\PropInv\MF\Houston\Dashwood_11855_Crossing at Windsor TH_Houston_03026","Dashwood_11855_Crossing at Windsor TH_Houston_03026" )</f>
        <v>Dashwood_11855_Crossing at Windsor TH_Houston_03026</v>
      </c>
      <c r="L2222" s="104" t="s">
        <v>22253</v>
      </c>
      <c r="M2222" s="103" t="str">
        <f t="shared" si="173"/>
        <v>http://oconnordata.com/mlink/modules/profile/index.cfm?action=profile&amp;prop_id=3026</v>
      </c>
      <c r="N2222" s="1" t="str">
        <f t="shared" si="174"/>
        <v>03026</v>
      </c>
    </row>
    <row r="2223" spans="1:14" x14ac:dyDescent="0.3">
      <c r="A2223" s="1">
        <v>3027</v>
      </c>
      <c r="B2223" s="10" t="s">
        <v>3369</v>
      </c>
      <c r="C2223" s="9">
        <v>4315</v>
      </c>
      <c r="D2223" s="10" t="s">
        <v>3370</v>
      </c>
      <c r="E2223" s="11" t="s">
        <v>1657</v>
      </c>
      <c r="F2223" t="str">
        <f t="shared" si="170"/>
        <v>Kirkwood</v>
      </c>
      <c r="G2223" t="str">
        <f t="shared" si="171"/>
        <v>Kirkwood4315Houston</v>
      </c>
      <c r="H2223" t="s">
        <v>33081</v>
      </c>
      <c r="I2223" t="s">
        <v>24507</v>
      </c>
      <c r="J2223" t="str">
        <f t="shared" si="172"/>
        <v>E:\PropInv\MF</v>
      </c>
      <c r="K2223" s="103" t="str">
        <f>HYPERLINK("E:\PropInv\MF\Houston\Kirkwood Dr S_4315_Kirkwood Vista_Houston_03027","Kirkwood Dr S_4315_Kirkwood Vista_Houston_03027" )</f>
        <v>Kirkwood Dr S_4315_Kirkwood Vista_Houston_03027</v>
      </c>
      <c r="L2223" s="104" t="s">
        <v>22253</v>
      </c>
      <c r="M2223" s="103" t="str">
        <f t="shared" si="173"/>
        <v>http://oconnordata.com/mlink/modules/profile/index.cfm?action=profile&amp;prop_id=3027</v>
      </c>
      <c r="N2223" s="1" t="str">
        <f t="shared" si="174"/>
        <v>03027</v>
      </c>
    </row>
    <row r="2224" spans="1:14" x14ac:dyDescent="0.3">
      <c r="A2224" s="1">
        <v>3028</v>
      </c>
      <c r="B2224" s="10" t="s">
        <v>3371</v>
      </c>
      <c r="C2224" s="9">
        <v>9301</v>
      </c>
      <c r="D2224" s="10" t="s">
        <v>3372</v>
      </c>
      <c r="E2224" s="11" t="s">
        <v>1657</v>
      </c>
      <c r="F2224" t="str">
        <f t="shared" si="170"/>
        <v>Beechnut</v>
      </c>
      <c r="G2224" t="str">
        <f t="shared" si="171"/>
        <v>Beechnut9301Houston</v>
      </c>
      <c r="H2224" t="s">
        <v>33082</v>
      </c>
      <c r="I2224" t="s">
        <v>24508</v>
      </c>
      <c r="J2224" t="str">
        <f t="shared" si="172"/>
        <v>E:\PropInv\MF</v>
      </c>
      <c r="K2224" s="103" t="str">
        <f>HYPERLINK("E:\PropInv\MF\Houston\Beechnut_9301_Riveraine_Houston_03028","Beechnut_9301_Riveraine_Houston_03028" )</f>
        <v>Beechnut_9301_Riveraine_Houston_03028</v>
      </c>
      <c r="L2224" s="104" t="s">
        <v>22253</v>
      </c>
      <c r="M2224" s="103" t="str">
        <f t="shared" si="173"/>
        <v>http://oconnordata.com/mlink/modules/profile/index.cfm?action=profile&amp;prop_id=3028</v>
      </c>
      <c r="N2224" s="1" t="str">
        <f t="shared" si="174"/>
        <v>03028</v>
      </c>
    </row>
    <row r="2225" spans="1:14" x14ac:dyDescent="0.3">
      <c r="A2225" s="1">
        <v>3029</v>
      </c>
      <c r="B2225" s="10" t="s">
        <v>3371</v>
      </c>
      <c r="C2225" s="9">
        <v>9501</v>
      </c>
      <c r="D2225" s="10" t="s">
        <v>3373</v>
      </c>
      <c r="E2225" s="11" t="s">
        <v>1657</v>
      </c>
      <c r="F2225" t="str">
        <f t="shared" si="170"/>
        <v>Beechnut</v>
      </c>
      <c r="G2225" t="str">
        <f t="shared" si="171"/>
        <v>Beechnut9501Houston</v>
      </c>
      <c r="H2225" t="s">
        <v>33083</v>
      </c>
      <c r="I2225" t="s">
        <v>24509</v>
      </c>
      <c r="J2225" t="str">
        <f t="shared" si="172"/>
        <v>E:\PropInv\MF</v>
      </c>
      <c r="K2225" s="103" t="str">
        <f>HYPERLINK("E:\PropInv\MF\Houston\Beechnut_9501_The Sebring_Houston_03029","Beechnut_9501_The Sebring_Houston_03029" )</f>
        <v>Beechnut_9501_The Sebring_Houston_03029</v>
      </c>
      <c r="L2225" s="104" t="s">
        <v>22253</v>
      </c>
      <c r="M2225" s="103" t="str">
        <f t="shared" si="173"/>
        <v>http://oconnordata.com/mlink/modules/profile/index.cfm?action=profile&amp;prop_id=3029</v>
      </c>
      <c r="N2225" s="1" t="str">
        <f t="shared" si="174"/>
        <v>03029</v>
      </c>
    </row>
    <row r="2226" spans="1:14" x14ac:dyDescent="0.3">
      <c r="A2226" s="1">
        <v>3030</v>
      </c>
      <c r="B2226" s="10" t="s">
        <v>3371</v>
      </c>
      <c r="C2226" s="9">
        <v>11402</v>
      </c>
      <c r="D2226" s="10" t="s">
        <v>3374</v>
      </c>
      <c r="E2226" s="11" t="s">
        <v>1657</v>
      </c>
      <c r="F2226" t="str">
        <f t="shared" si="170"/>
        <v>Beechnut</v>
      </c>
      <c r="G2226" t="str">
        <f t="shared" si="171"/>
        <v>Beechnut11402Houston</v>
      </c>
      <c r="H2226" t="s">
        <v>33084</v>
      </c>
      <c r="I2226" t="s">
        <v>24510</v>
      </c>
      <c r="J2226" t="str">
        <f t="shared" si="172"/>
        <v>E:\PropInv\MF</v>
      </c>
      <c r="K2226" s="103" t="str">
        <f>HYPERLINK("E:\PropInv\MF\Houston\Beechnut_11402_Leawood Plaza_Houston_03030","Beechnut_11402_Leawood Plaza_Houston_03030" )</f>
        <v>Beechnut_11402_Leawood Plaza_Houston_03030</v>
      </c>
      <c r="L2226" s="104" t="s">
        <v>22253</v>
      </c>
      <c r="M2226" s="103" t="str">
        <f t="shared" si="173"/>
        <v>http://oconnordata.com/mlink/modules/profile/index.cfm?action=profile&amp;prop_id=3030</v>
      </c>
      <c r="N2226" s="1" t="str">
        <f t="shared" si="174"/>
        <v>03030</v>
      </c>
    </row>
    <row r="2227" spans="1:14" x14ac:dyDescent="0.3">
      <c r="A2227" s="1">
        <v>3031</v>
      </c>
      <c r="B2227" s="10" t="s">
        <v>3371</v>
      </c>
      <c r="C2227" s="9">
        <v>10615</v>
      </c>
      <c r="D2227" s="10" t="s">
        <v>3375</v>
      </c>
      <c r="E2227" s="11" t="s">
        <v>1657</v>
      </c>
      <c r="F2227" t="str">
        <f t="shared" si="170"/>
        <v>Beechnut</v>
      </c>
      <c r="G2227" t="str">
        <f t="shared" si="171"/>
        <v>Beechnut10615Houston</v>
      </c>
      <c r="H2227" t="s">
        <v>33085</v>
      </c>
      <c r="I2227" t="s">
        <v>24511</v>
      </c>
      <c r="J2227" t="str">
        <f t="shared" si="172"/>
        <v>E:\PropInv\MF</v>
      </c>
      <c r="K2227" s="103" t="str">
        <f>HYPERLINK("E:\PropInv\MF\Houston\Beechnut_10615_Stoneridge_Houston_03031","Beechnut_10615_Stoneridge_Houston_03031" )</f>
        <v>Beechnut_10615_Stoneridge_Houston_03031</v>
      </c>
      <c r="L2227" s="104" t="s">
        <v>22253</v>
      </c>
      <c r="M2227" s="103" t="str">
        <f t="shared" si="173"/>
        <v>http://oconnordata.com/mlink/modules/profile/index.cfm?action=profile&amp;prop_id=3031</v>
      </c>
      <c r="N2227" s="1" t="str">
        <f t="shared" si="174"/>
        <v>03031</v>
      </c>
    </row>
    <row r="2228" spans="1:14" x14ac:dyDescent="0.3">
      <c r="A2228" s="1">
        <v>3032</v>
      </c>
      <c r="B2228" s="10" t="s">
        <v>3376</v>
      </c>
      <c r="C2228" s="9">
        <v>4503</v>
      </c>
      <c r="D2228" s="10" t="s">
        <v>3377</v>
      </c>
      <c r="E2228" s="11" t="s">
        <v>1657</v>
      </c>
      <c r="F2228" t="str">
        <f t="shared" si="170"/>
        <v>Kirkwood</v>
      </c>
      <c r="G2228" t="str">
        <f t="shared" si="171"/>
        <v>Kirkwood4503Houston</v>
      </c>
      <c r="H2228" t="s">
        <v>33086</v>
      </c>
      <c r="I2228" t="s">
        <v>24512</v>
      </c>
      <c r="J2228" t="str">
        <f t="shared" si="172"/>
        <v>E:\PropInv\MF</v>
      </c>
      <c r="K2228" s="103" t="str">
        <f>HYPERLINK("E:\PropInv\MF\Houston\Kirkwood Rd S_4503_Sterling Crossing_Houston_03032","Kirkwood Rd S_4503_Sterling Crossing_Houston_03032" )</f>
        <v>Kirkwood Rd S_4503_Sterling Crossing_Houston_03032</v>
      </c>
      <c r="L2228" s="104" t="s">
        <v>22253</v>
      </c>
      <c r="M2228" s="103" t="str">
        <f t="shared" si="173"/>
        <v>http://oconnordata.com/mlink/modules/profile/index.cfm?action=profile&amp;prop_id=3032</v>
      </c>
      <c r="N2228" s="1" t="str">
        <f t="shared" si="174"/>
        <v>03032</v>
      </c>
    </row>
    <row r="2229" spans="1:14" x14ac:dyDescent="0.3">
      <c r="A2229" s="1">
        <v>3033</v>
      </c>
      <c r="B2229" s="10" t="s">
        <v>3369</v>
      </c>
      <c r="C2229" s="9">
        <v>4700</v>
      </c>
      <c r="D2229" s="10" t="s">
        <v>3378</v>
      </c>
      <c r="E2229" s="11" t="s">
        <v>1657</v>
      </c>
      <c r="F2229" t="str">
        <f t="shared" si="170"/>
        <v>Kirkwood</v>
      </c>
      <c r="G2229" t="str">
        <f t="shared" si="171"/>
        <v>Kirkwood4700Houston</v>
      </c>
      <c r="H2229" t="s">
        <v>33087</v>
      </c>
      <c r="I2229" t="s">
        <v>24513</v>
      </c>
      <c r="J2229" t="str">
        <f t="shared" si="172"/>
        <v>E:\PropInv\MF</v>
      </c>
      <c r="K2229" s="103" t="str">
        <f>HYPERLINK("E:\PropInv\MF\Houston\Kirkwood Dr S_4700_Coral Islands_Houston_03033","Kirkwood Dr S_4700_Coral Islands_Houston_03033" )</f>
        <v>Kirkwood Dr S_4700_Coral Islands_Houston_03033</v>
      </c>
      <c r="L2229" s="104" t="s">
        <v>22253</v>
      </c>
      <c r="M2229" s="103" t="str">
        <f t="shared" si="173"/>
        <v>http://oconnordata.com/mlink/modules/profile/index.cfm?action=profile&amp;prop_id=3033</v>
      </c>
      <c r="N2229" s="1" t="str">
        <f t="shared" si="174"/>
        <v>03033</v>
      </c>
    </row>
    <row r="2230" spans="1:14" x14ac:dyDescent="0.3">
      <c r="A2230" s="1">
        <v>3034</v>
      </c>
      <c r="B2230" s="10" t="s">
        <v>3379</v>
      </c>
      <c r="C2230" s="9">
        <v>12102</v>
      </c>
      <c r="D2230" s="10" t="s">
        <v>3380</v>
      </c>
      <c r="E2230" s="11" t="s">
        <v>1657</v>
      </c>
      <c r="F2230" t="str">
        <f t="shared" si="170"/>
        <v>Neff</v>
      </c>
      <c r="G2230" t="str">
        <f t="shared" si="171"/>
        <v>Neff12102Houston</v>
      </c>
      <c r="H2230" t="s">
        <v>33088</v>
      </c>
      <c r="I2230" t="s">
        <v>24514</v>
      </c>
      <c r="J2230" t="str">
        <f t="shared" si="172"/>
        <v>E:\PropInv\MF</v>
      </c>
      <c r="K2230" s="103" t="str">
        <f>HYPERLINK("E:\PropInv\MF\Houston\Neff_12102_ABC TH_Houston_03034","Neff_12102_ABC TH_Houston_03034" )</f>
        <v>Neff_12102_ABC TH_Houston_03034</v>
      </c>
      <c r="L2230" s="104" t="s">
        <v>22253</v>
      </c>
      <c r="M2230" s="103" t="str">
        <f t="shared" si="173"/>
        <v>http://oconnordata.com/mlink/modules/profile/index.cfm?action=profile&amp;prop_id=3034</v>
      </c>
      <c r="N2230" s="1" t="str">
        <f t="shared" si="174"/>
        <v>03034</v>
      </c>
    </row>
    <row r="2231" spans="1:14" x14ac:dyDescent="0.3">
      <c r="A2231" s="1">
        <v>3035</v>
      </c>
      <c r="B2231" s="10" t="s">
        <v>121</v>
      </c>
      <c r="C2231" s="9">
        <v>10000</v>
      </c>
      <c r="D2231" s="10" t="s">
        <v>3381</v>
      </c>
      <c r="E2231" s="11" t="s">
        <v>1657</v>
      </c>
      <c r="F2231" t="str">
        <f t="shared" si="170"/>
        <v>Club</v>
      </c>
      <c r="G2231" t="str">
        <f t="shared" si="171"/>
        <v>Club10000Houston</v>
      </c>
      <c r="H2231" t="s">
        <v>33089</v>
      </c>
      <c r="I2231" t="s">
        <v>17137</v>
      </c>
      <c r="J2231" t="str">
        <f t="shared" si="172"/>
        <v>E:\PropInv\MF</v>
      </c>
      <c r="K2231" s="103" t="str">
        <f>HYPERLINK("E:\PropInv\MF\Houston\Club Creek_10000_Spring Rose_Houston_03035","Club Creek_10000_Spring Rose_Houston_03035" )</f>
        <v>Club Creek_10000_Spring Rose_Houston_03035</v>
      </c>
      <c r="L2231" s="104" t="s">
        <v>22253</v>
      </c>
      <c r="M2231" s="103" t="str">
        <f t="shared" si="173"/>
        <v>http://oconnordata.com/mlink/modules/profile/index.cfm?action=profile&amp;prop_id=3035</v>
      </c>
      <c r="N2231" s="1" t="str">
        <f t="shared" si="174"/>
        <v>03035</v>
      </c>
    </row>
    <row r="2232" spans="1:14" x14ac:dyDescent="0.3">
      <c r="A2232" s="1">
        <v>3036</v>
      </c>
      <c r="B2232" s="10" t="s">
        <v>121</v>
      </c>
      <c r="C2232" s="9">
        <v>10001</v>
      </c>
      <c r="D2232" s="10" t="s">
        <v>724</v>
      </c>
      <c r="E2232" s="11" t="s">
        <v>1657</v>
      </c>
      <c r="F2232" t="str">
        <f t="shared" si="170"/>
        <v>Club</v>
      </c>
      <c r="G2232" t="str">
        <f t="shared" si="171"/>
        <v>Club10001Houston</v>
      </c>
      <c r="H2232" t="s">
        <v>33090</v>
      </c>
      <c r="I2232" t="s">
        <v>24515</v>
      </c>
      <c r="J2232" t="str">
        <f t="shared" si="172"/>
        <v>E:\PropInv\MF</v>
      </c>
      <c r="K2232" s="103" t="str">
        <f>HYPERLINK("E:\PropInv\MF\Houston\Club Creek_10001_Deerfield_Houston_03036","Club Creek_10001_Deerfield_Houston_03036" )</f>
        <v>Club Creek_10001_Deerfield_Houston_03036</v>
      </c>
      <c r="L2232" s="104" t="s">
        <v>22253</v>
      </c>
      <c r="M2232" s="103" t="str">
        <f t="shared" si="173"/>
        <v>http://oconnordata.com/mlink/modules/profile/index.cfm?action=profile&amp;prop_id=3036</v>
      </c>
      <c r="N2232" s="1" t="str">
        <f t="shared" si="174"/>
        <v>03036</v>
      </c>
    </row>
    <row r="2233" spans="1:14" x14ac:dyDescent="0.3">
      <c r="A2233" s="1">
        <v>3037</v>
      </c>
      <c r="B2233" s="10" t="s">
        <v>121</v>
      </c>
      <c r="C2233" s="9">
        <v>10110</v>
      </c>
      <c r="D2233" s="10" t="s">
        <v>3382</v>
      </c>
      <c r="E2233" s="11" t="s">
        <v>1657</v>
      </c>
      <c r="F2233" t="str">
        <f t="shared" si="170"/>
        <v>Club</v>
      </c>
      <c r="G2233" t="str">
        <f t="shared" si="171"/>
        <v>Club10110Houston</v>
      </c>
      <c r="H2233" t="s">
        <v>33091</v>
      </c>
      <c r="I2233" t="s">
        <v>24516</v>
      </c>
      <c r="J2233" t="str">
        <f t="shared" si="172"/>
        <v>E:\PropInv\MF</v>
      </c>
      <c r="K2233" s="103" t="str">
        <f>HYPERLINK("E:\PropInv\MF\Houston\Club Creek_10110_Happy Homes_Houston_03037","Club Creek_10110_Happy Homes_Houston_03037" )</f>
        <v>Club Creek_10110_Happy Homes_Houston_03037</v>
      </c>
      <c r="L2233" s="104" t="s">
        <v>22253</v>
      </c>
      <c r="M2233" s="103" t="str">
        <f t="shared" si="173"/>
        <v>http://oconnordata.com/mlink/modules/profile/index.cfm?action=profile&amp;prop_id=3037</v>
      </c>
      <c r="N2233" s="1" t="str">
        <f t="shared" si="174"/>
        <v>03037</v>
      </c>
    </row>
    <row r="2234" spans="1:14" x14ac:dyDescent="0.3">
      <c r="A2234" s="1">
        <v>3038</v>
      </c>
      <c r="B2234" s="10" t="s">
        <v>3383</v>
      </c>
      <c r="C2234" s="9">
        <v>7700</v>
      </c>
      <c r="D2234" s="10" t="s">
        <v>3384</v>
      </c>
      <c r="E2234" s="11" t="s">
        <v>1657</v>
      </c>
      <c r="F2234" t="str">
        <f t="shared" si="170"/>
        <v>Corporate</v>
      </c>
      <c r="G2234" t="str">
        <f t="shared" si="171"/>
        <v>Corporate7700Houston</v>
      </c>
      <c r="H2234" t="s">
        <v>33092</v>
      </c>
      <c r="I2234" t="s">
        <v>24517</v>
      </c>
      <c r="J2234" t="str">
        <f t="shared" si="172"/>
        <v>E:\PropInv\MF</v>
      </c>
      <c r="K2234" s="103" t="str">
        <f>HYPERLINK("E:\PropInv\MF\Houston\Corporate Dr_7700_El Paraiso_Houston_03038","Corporate Dr_7700_El Paraiso_Houston_03038" )</f>
        <v>Corporate Dr_7700_El Paraiso_Houston_03038</v>
      </c>
      <c r="L2234" s="104" t="s">
        <v>22253</v>
      </c>
      <c r="M2234" s="103" t="str">
        <f t="shared" si="173"/>
        <v>http://oconnordata.com/mlink/modules/profile/index.cfm?action=profile&amp;prop_id=3038</v>
      </c>
      <c r="N2234" s="1" t="str">
        <f t="shared" si="174"/>
        <v>03038</v>
      </c>
    </row>
    <row r="2235" spans="1:14" x14ac:dyDescent="0.3">
      <c r="A2235" s="1">
        <v>3040</v>
      </c>
      <c r="B2235" s="10" t="s">
        <v>3383</v>
      </c>
      <c r="C2235" s="9">
        <v>7825</v>
      </c>
      <c r="D2235" s="10" t="s">
        <v>3385</v>
      </c>
      <c r="E2235" s="11" t="s">
        <v>1657</v>
      </c>
      <c r="F2235" t="str">
        <f t="shared" si="170"/>
        <v>Corporate</v>
      </c>
      <c r="G2235" t="str">
        <f t="shared" si="171"/>
        <v>Corporate7825Houston</v>
      </c>
      <c r="H2235" t="s">
        <v>33093</v>
      </c>
      <c r="I2235" t="s">
        <v>24518</v>
      </c>
      <c r="J2235" t="str">
        <f t="shared" si="172"/>
        <v>E:\PropInv\MF</v>
      </c>
      <c r="K2235" s="103" t="str">
        <f>HYPERLINK("E:\PropInv\MF\Houston\Corporate Dr_7825_The Lodge I_Houston_03040","Corporate Dr_7825_The Lodge I_Houston_03040" )</f>
        <v>Corporate Dr_7825_The Lodge I_Houston_03040</v>
      </c>
      <c r="L2235" s="104" t="s">
        <v>22253</v>
      </c>
      <c r="M2235" s="103" t="str">
        <f t="shared" si="173"/>
        <v>http://oconnordata.com/mlink/modules/profile/index.cfm?action=profile&amp;prop_id=3040</v>
      </c>
      <c r="N2235" s="1" t="str">
        <f t="shared" si="174"/>
        <v>03040</v>
      </c>
    </row>
    <row r="2236" spans="1:14" x14ac:dyDescent="0.3">
      <c r="A2236" s="97">
        <v>3041</v>
      </c>
      <c r="B2236" s="10" t="s">
        <v>3343</v>
      </c>
      <c r="C2236" s="9">
        <v>7930</v>
      </c>
      <c r="D2236" s="10" t="s">
        <v>3386</v>
      </c>
      <c r="E2236" s="11" t="s">
        <v>1657</v>
      </c>
      <c r="F2236" t="str">
        <f t="shared" si="170"/>
        <v>Corporate</v>
      </c>
      <c r="G2236" t="str">
        <f t="shared" si="171"/>
        <v>Corporate7930Houston</v>
      </c>
      <c r="H2236" t="s">
        <v>33094</v>
      </c>
      <c r="I2236" t="s">
        <v>24519</v>
      </c>
      <c r="J2236" t="str">
        <f t="shared" si="172"/>
        <v>E:\PropInv\MF</v>
      </c>
      <c r="K2236" s="103" t="str">
        <f>HYPERLINK("E:\PropInv\MF\Houston\Corporate_7930_Woodcreek On The Bayou_Houston_03041","Corporate_7930_Woodcreek On The Bayou_Houston_03041" )</f>
        <v>Corporate_7930_Woodcreek On The Bayou_Houston_03041</v>
      </c>
      <c r="L2236" s="104" t="s">
        <v>22253</v>
      </c>
      <c r="M2236" s="103" t="str">
        <f t="shared" si="173"/>
        <v>http://oconnordata.com/mlink/modules/profile/index.cfm?action=profile&amp;prop_id=3041</v>
      </c>
      <c r="N2236" s="1" t="str">
        <f t="shared" si="174"/>
        <v>03041</v>
      </c>
    </row>
    <row r="2237" spans="1:14" x14ac:dyDescent="0.3">
      <c r="A2237" s="1">
        <v>3042</v>
      </c>
      <c r="B2237" s="10" t="s">
        <v>3387</v>
      </c>
      <c r="C2237" s="9">
        <v>8600</v>
      </c>
      <c r="D2237" s="10" t="s">
        <v>3388</v>
      </c>
      <c r="E2237" s="11" t="s">
        <v>1657</v>
      </c>
      <c r="F2237" t="str">
        <f t="shared" si="170"/>
        <v>Course</v>
      </c>
      <c r="G2237" t="str">
        <f t="shared" si="171"/>
        <v>Course8600Houston</v>
      </c>
      <c r="H2237" t="s">
        <v>33095</v>
      </c>
      <c r="I2237" t="s">
        <v>24520</v>
      </c>
      <c r="J2237" t="str">
        <f t="shared" si="172"/>
        <v>E:\PropInv\MF</v>
      </c>
      <c r="K2237" s="103" t="str">
        <f>HYPERLINK("E:\PropInv\MF\Houston\Course Dr S_8600_Victoria Park_Houston_03042","Course Dr S_8600_Victoria Park_Houston_03042" )</f>
        <v>Course Dr S_8600_Victoria Park_Houston_03042</v>
      </c>
      <c r="L2237" s="104" t="s">
        <v>22253</v>
      </c>
      <c r="M2237" s="103" t="str">
        <f t="shared" si="173"/>
        <v>http://oconnordata.com/mlink/modules/profile/index.cfm?action=profile&amp;prop_id=3042</v>
      </c>
      <c r="N2237" s="1" t="str">
        <f t="shared" si="174"/>
        <v>03042</v>
      </c>
    </row>
    <row r="2238" spans="1:14" x14ac:dyDescent="0.3">
      <c r="A2238" s="1">
        <v>3043</v>
      </c>
      <c r="B2238" s="10" t="s">
        <v>3389</v>
      </c>
      <c r="C2238" s="9">
        <v>10555</v>
      </c>
      <c r="D2238" s="10" t="s">
        <v>3390</v>
      </c>
      <c r="E2238" s="11" t="s">
        <v>1657</v>
      </c>
      <c r="F2238" t="str">
        <f t="shared" si="170"/>
        <v>Spice</v>
      </c>
      <c r="G2238" t="str">
        <f t="shared" si="171"/>
        <v>Spice10555Houston</v>
      </c>
      <c r="H2238" t="s">
        <v>33096</v>
      </c>
      <c r="I2238" t="s">
        <v>24521</v>
      </c>
      <c r="J2238" t="str">
        <f t="shared" si="172"/>
        <v>E:\PropInv\MF</v>
      </c>
      <c r="K2238" s="103" t="str">
        <f>HYPERLINK("E:\PropInv\MF\Houston\Spice Ln_10555_Aspen Ridge_Houston_03043","Spice Ln_10555_Aspen Ridge_Houston_03043" )</f>
        <v>Spice Ln_10555_Aspen Ridge_Houston_03043</v>
      </c>
      <c r="L2238" s="104" t="s">
        <v>22253</v>
      </c>
      <c r="M2238" s="103" t="str">
        <f t="shared" si="173"/>
        <v>http://oconnordata.com/mlink/modules/profile/index.cfm?action=profile&amp;prop_id=3043</v>
      </c>
      <c r="N2238" s="1" t="str">
        <f t="shared" si="174"/>
        <v>03043</v>
      </c>
    </row>
    <row r="2239" spans="1:14" x14ac:dyDescent="0.3">
      <c r="A2239" s="1">
        <v>3045</v>
      </c>
      <c r="B2239" s="10" t="s">
        <v>3387</v>
      </c>
      <c r="C2239" s="9">
        <v>8304</v>
      </c>
      <c r="D2239" s="10" t="s">
        <v>3391</v>
      </c>
      <c r="E2239" s="11" t="s">
        <v>1657</v>
      </c>
      <c r="F2239" t="str">
        <f t="shared" si="170"/>
        <v>Course</v>
      </c>
      <c r="G2239" t="str">
        <f t="shared" si="171"/>
        <v>Course8304Houston</v>
      </c>
      <c r="H2239" t="s">
        <v>33097</v>
      </c>
      <c r="I2239" t="s">
        <v>24522</v>
      </c>
      <c r="J2239" t="str">
        <f t="shared" si="172"/>
        <v>E:\PropInv\MF</v>
      </c>
      <c r="K2239" s="103" t="str">
        <f>HYPERLINK("E:\PropInv\MF\Houston\Course Dr S_8304_Arrowood_Houston_03045","Course Dr S_8304_Arrowood_Houston_03045" )</f>
        <v>Course Dr S_8304_Arrowood_Houston_03045</v>
      </c>
      <c r="L2239" s="104" t="s">
        <v>22253</v>
      </c>
      <c r="M2239" s="103" t="str">
        <f t="shared" si="173"/>
        <v>http://oconnordata.com/mlink/modules/profile/index.cfm?action=profile&amp;prop_id=3045</v>
      </c>
      <c r="N2239" s="1" t="str">
        <f t="shared" si="174"/>
        <v>03045</v>
      </c>
    </row>
    <row r="2240" spans="1:14" x14ac:dyDescent="0.3">
      <c r="A2240" s="1">
        <v>3046</v>
      </c>
      <c r="B2240" s="10" t="s">
        <v>3387</v>
      </c>
      <c r="C2240" s="9">
        <v>8404</v>
      </c>
      <c r="D2240" s="10" t="s">
        <v>3392</v>
      </c>
      <c r="E2240" s="11" t="s">
        <v>1657</v>
      </c>
      <c r="F2240" t="str">
        <f t="shared" si="170"/>
        <v>Course</v>
      </c>
      <c r="G2240" t="str">
        <f t="shared" si="171"/>
        <v>Course8404Houston</v>
      </c>
      <c r="H2240" t="s">
        <v>33098</v>
      </c>
      <c r="I2240" t="s">
        <v>24523</v>
      </c>
      <c r="J2240" t="str">
        <f t="shared" si="172"/>
        <v>E:\PropInv\MF</v>
      </c>
      <c r="K2240" s="103" t="str">
        <f>HYPERLINK("E:\PropInv\MF\Houston\Course Dr S_8404_Bristol Court_Houston_03046","Course Dr S_8404_Bristol Court_Houston_03046" )</f>
        <v>Course Dr S_8404_Bristol Court_Houston_03046</v>
      </c>
      <c r="L2240" s="104" t="s">
        <v>22253</v>
      </c>
      <c r="M2240" s="103" t="str">
        <f t="shared" si="173"/>
        <v>http://oconnordata.com/mlink/modules/profile/index.cfm?action=profile&amp;prop_id=3046</v>
      </c>
      <c r="N2240" s="1" t="str">
        <f t="shared" si="174"/>
        <v>03046</v>
      </c>
    </row>
    <row r="2241" spans="1:14" x14ac:dyDescent="0.3">
      <c r="A2241" s="1">
        <v>3047</v>
      </c>
      <c r="B2241" s="10" t="s">
        <v>3371</v>
      </c>
      <c r="C2241" s="9">
        <v>10534</v>
      </c>
      <c r="D2241" s="10" t="s">
        <v>3393</v>
      </c>
      <c r="E2241" s="11" t="s">
        <v>1657</v>
      </c>
      <c r="F2241" t="str">
        <f t="shared" si="170"/>
        <v>Beechnut</v>
      </c>
      <c r="G2241" t="str">
        <f t="shared" si="171"/>
        <v>Beechnut10534Houston</v>
      </c>
      <c r="H2241" t="s">
        <v>33099</v>
      </c>
      <c r="I2241" t="s">
        <v>24524</v>
      </c>
      <c r="J2241" t="str">
        <f t="shared" si="172"/>
        <v>E:\PropInv\MF</v>
      </c>
      <c r="K2241" s="103" t="str">
        <f>HYPERLINK("E:\PropInv\MF\Houston\Beechnut_10534_Villa Adora_Houston_03047","Beechnut_10534_Villa Adora_Houston_03047" )</f>
        <v>Beechnut_10534_Villa Adora_Houston_03047</v>
      </c>
      <c r="L2241" s="104" t="s">
        <v>22253</v>
      </c>
      <c r="M2241" s="103" t="str">
        <f t="shared" si="173"/>
        <v>http://oconnordata.com/mlink/modules/profile/index.cfm?action=profile&amp;prop_id=3047</v>
      </c>
      <c r="N2241" s="1" t="str">
        <f t="shared" si="174"/>
        <v>03047</v>
      </c>
    </row>
    <row r="2242" spans="1:14" x14ac:dyDescent="0.3">
      <c r="A2242" s="1">
        <v>3048</v>
      </c>
      <c r="B2242" s="10" t="s">
        <v>3394</v>
      </c>
      <c r="C2242" s="9">
        <v>8323</v>
      </c>
      <c r="D2242" s="10" t="s">
        <v>3395</v>
      </c>
      <c r="E2242" s="11" t="s">
        <v>1657</v>
      </c>
      <c r="F2242" t="str">
        <f t="shared" ref="F2242:F2305" si="175">IFERROR(LEFT(B2242,FIND(" ",B2242)-1),B2242)</f>
        <v>Cinnamon</v>
      </c>
      <c r="G2242" t="str">
        <f t="shared" ref="G2242:G2305" si="176">F2242&amp;C2242&amp;E2242</f>
        <v>Cinnamon8323Houston</v>
      </c>
      <c r="H2242" t="s">
        <v>33100</v>
      </c>
      <c r="I2242" t="s">
        <v>24525</v>
      </c>
      <c r="J2242" t="str">
        <f t="shared" ref="J2242:J2305" si="177">IF(L2242="TX",Folder_Path,Folder_Path&amp;"\State_"&amp;L2242)</f>
        <v>E:\PropInv\MF</v>
      </c>
      <c r="K2242" s="103" t="str">
        <f>HYPERLINK("E:\PropInv\MF\Houston\Cinnamon Ln_8323_Westwood Ridge_Houston_03048","Cinnamon Ln_8323_Westwood Ridge_Houston_03048" )</f>
        <v>Cinnamon Ln_8323_Westwood Ridge_Houston_03048</v>
      </c>
      <c r="L2242" s="104" t="s">
        <v>22253</v>
      </c>
      <c r="M2242" s="103" t="str">
        <f t="shared" ref="M2242:M2305" si="178">HYPERLINK("http://oconnordata.com/mlink/modules/profile/index.cfm?action=profile&amp;prop_id="&amp;A2242)</f>
        <v>http://oconnordata.com/mlink/modules/profile/index.cfm?action=profile&amp;prop_id=3048</v>
      </c>
      <c r="N2242" s="1" t="str">
        <f t="shared" ref="N2242:N2305" si="179">IF(LEN(A2242)=1,"0000"&amp;A2242,IF(LEN(A2242)=2,"000"&amp;A2242,IF(LEN(A2242)=3,"00"&amp;A2242,IF(LEN(A2242)=4,"0"&amp;A2242,IF(LEN(A2242)=5,IF(LEFT(A2242,1)="3",A2242+30000,A2242))))))</f>
        <v>03048</v>
      </c>
    </row>
    <row r="2243" spans="1:14" x14ac:dyDescent="0.3">
      <c r="A2243" s="1">
        <v>3049</v>
      </c>
      <c r="B2243" s="10" t="s">
        <v>121</v>
      </c>
      <c r="C2243" s="9">
        <v>9901</v>
      </c>
      <c r="D2243" s="10" t="s">
        <v>3396</v>
      </c>
      <c r="E2243" s="11" t="s">
        <v>1657</v>
      </c>
      <c r="F2243" t="str">
        <f t="shared" si="175"/>
        <v>Club</v>
      </c>
      <c r="G2243" t="str">
        <f t="shared" si="176"/>
        <v>Club9901Houston</v>
      </c>
      <c r="H2243" t="s">
        <v>33101</v>
      </c>
      <c r="I2243" t="s">
        <v>24526</v>
      </c>
      <c r="J2243" t="str">
        <f t="shared" si="177"/>
        <v>E:\PropInv\MF</v>
      </c>
      <c r="K2243" s="103" t="str">
        <f>HYPERLINK("E:\PropInv\MF\Houston\Club Creek_9901_Emerald Isle_Houston_03049","Club Creek_9901_Emerald Isle_Houston_03049" )</f>
        <v>Club Creek_9901_Emerald Isle_Houston_03049</v>
      </c>
      <c r="L2243" s="104" t="s">
        <v>22253</v>
      </c>
      <c r="M2243" s="103" t="str">
        <f t="shared" si="178"/>
        <v>http://oconnordata.com/mlink/modules/profile/index.cfm?action=profile&amp;prop_id=3049</v>
      </c>
      <c r="N2243" s="1" t="str">
        <f t="shared" si="179"/>
        <v>03049</v>
      </c>
    </row>
    <row r="2244" spans="1:14" x14ac:dyDescent="0.3">
      <c r="A2244" s="1">
        <v>3050</v>
      </c>
      <c r="B2244" s="10" t="s">
        <v>121</v>
      </c>
      <c r="C2244" s="9">
        <v>9955</v>
      </c>
      <c r="D2244" s="10" t="s">
        <v>3397</v>
      </c>
      <c r="E2244" s="11" t="s">
        <v>1657</v>
      </c>
      <c r="F2244" t="str">
        <f t="shared" si="175"/>
        <v>Club</v>
      </c>
      <c r="G2244" t="str">
        <f t="shared" si="176"/>
        <v>Club9955Houston</v>
      </c>
      <c r="H2244" t="s">
        <v>33102</v>
      </c>
      <c r="I2244" t="s">
        <v>24527</v>
      </c>
      <c r="J2244" t="str">
        <f t="shared" si="177"/>
        <v>E:\PropInv\MF</v>
      </c>
      <c r="K2244" s="103" t="str">
        <f>HYPERLINK("E:\PropInv\MF\Houston\Club Creek_9955_Santa Barbara_Houston_03050","Club Creek_9955_Santa Barbara_Houston_03050" )</f>
        <v>Club Creek_9955_Santa Barbara_Houston_03050</v>
      </c>
      <c r="L2244" s="104" t="s">
        <v>22253</v>
      </c>
      <c r="M2244" s="103" t="str">
        <f t="shared" si="178"/>
        <v>http://oconnordata.com/mlink/modules/profile/index.cfm?action=profile&amp;prop_id=3050</v>
      </c>
      <c r="N2244" s="1" t="str">
        <f t="shared" si="179"/>
        <v>03050</v>
      </c>
    </row>
    <row r="2245" spans="1:14" x14ac:dyDescent="0.3">
      <c r="A2245" s="1">
        <v>3051</v>
      </c>
      <c r="B2245" s="10" t="s">
        <v>3361</v>
      </c>
      <c r="C2245" s="9">
        <v>10215</v>
      </c>
      <c r="D2245" s="10" t="s">
        <v>3398</v>
      </c>
      <c r="E2245" s="11" t="s">
        <v>1657</v>
      </c>
      <c r="F2245" t="str">
        <f t="shared" si="175"/>
        <v>Beechnut</v>
      </c>
      <c r="G2245" t="str">
        <f t="shared" si="176"/>
        <v>Beechnut10215Houston</v>
      </c>
      <c r="H2245" t="s">
        <v>33103</v>
      </c>
      <c r="I2245" t="s">
        <v>24528</v>
      </c>
      <c r="J2245" t="str">
        <f t="shared" si="177"/>
        <v>E:\PropInv\MF</v>
      </c>
      <c r="K2245" s="103" t="str">
        <f>HYPERLINK("E:\PropInv\MF\Houston\Beechnut St_10215_The Broadmoor_Houston_03051","Beechnut St_10215_The Broadmoor_Houston_03051" )</f>
        <v>Beechnut St_10215_The Broadmoor_Houston_03051</v>
      </c>
      <c r="L2245" s="104" t="s">
        <v>22253</v>
      </c>
      <c r="M2245" s="103" t="str">
        <f t="shared" si="178"/>
        <v>http://oconnordata.com/mlink/modules/profile/index.cfm?action=profile&amp;prop_id=3051</v>
      </c>
      <c r="N2245" s="1" t="str">
        <f t="shared" si="179"/>
        <v>03051</v>
      </c>
    </row>
    <row r="2246" spans="1:14" x14ac:dyDescent="0.3">
      <c r="A2246" s="1">
        <v>3052</v>
      </c>
      <c r="B2246" s="10" t="s">
        <v>3361</v>
      </c>
      <c r="C2246" s="9">
        <v>10522</v>
      </c>
      <c r="D2246" s="10" t="s">
        <v>3399</v>
      </c>
      <c r="E2246" s="11" t="s">
        <v>1657</v>
      </c>
      <c r="F2246" t="str">
        <f t="shared" si="175"/>
        <v>Beechnut</v>
      </c>
      <c r="G2246" t="str">
        <f t="shared" si="176"/>
        <v>Beechnut10522Houston</v>
      </c>
      <c r="H2246" t="s">
        <v>33104</v>
      </c>
      <c r="I2246" t="s">
        <v>24529</v>
      </c>
      <c r="J2246" t="str">
        <f t="shared" si="177"/>
        <v>E:\PropInv\MF</v>
      </c>
      <c r="K2246" s="103" t="str">
        <f>HYPERLINK("E:\PropInv\MF\Houston\Beechnut St_10522_Coral Gables_Houston_03052","Beechnut St_10522_Coral Gables_Houston_03052" )</f>
        <v>Beechnut St_10522_Coral Gables_Houston_03052</v>
      </c>
      <c r="L2246" s="104" t="s">
        <v>22253</v>
      </c>
      <c r="M2246" s="103" t="str">
        <f t="shared" si="178"/>
        <v>http://oconnordata.com/mlink/modules/profile/index.cfm?action=profile&amp;prop_id=3052</v>
      </c>
      <c r="N2246" s="1" t="str">
        <f t="shared" si="179"/>
        <v>03052</v>
      </c>
    </row>
    <row r="2247" spans="1:14" x14ac:dyDescent="0.3">
      <c r="A2247" s="97">
        <v>3053</v>
      </c>
      <c r="B2247" s="10" t="s">
        <v>2671</v>
      </c>
      <c r="C2247" s="9">
        <v>10300</v>
      </c>
      <c r="D2247" s="10" t="s">
        <v>3400</v>
      </c>
      <c r="E2247" s="11" t="s">
        <v>1657</v>
      </c>
      <c r="F2247" t="str">
        <f t="shared" si="175"/>
        <v>Wilcrest</v>
      </c>
      <c r="G2247" t="str">
        <f t="shared" si="176"/>
        <v>Wilcrest10300Houston</v>
      </c>
      <c r="H2247" t="s">
        <v>33105</v>
      </c>
      <c r="I2247" t="s">
        <v>24530</v>
      </c>
      <c r="J2247" t="str">
        <f t="shared" si="177"/>
        <v>E:\PropInv\MF</v>
      </c>
      <c r="K2247" s="103" t="str">
        <f>HYPERLINK("E:\PropInv\MF\Houston\Wilcrest_10300_Winding Trails_Houston_03053","Wilcrest_10300_Winding Trails_Houston_03053" )</f>
        <v>Wilcrest_10300_Winding Trails_Houston_03053</v>
      </c>
      <c r="L2247" s="104" t="s">
        <v>22253</v>
      </c>
      <c r="M2247" s="103" t="str">
        <f t="shared" si="178"/>
        <v>http://oconnordata.com/mlink/modules/profile/index.cfm?action=profile&amp;prop_id=3053</v>
      </c>
      <c r="N2247" s="1" t="str">
        <f t="shared" si="179"/>
        <v>03053</v>
      </c>
    </row>
    <row r="2248" spans="1:14" x14ac:dyDescent="0.3">
      <c r="A2248" s="1">
        <v>3054</v>
      </c>
      <c r="B2248" s="10" t="s">
        <v>3401</v>
      </c>
      <c r="C2248" s="9">
        <v>10111</v>
      </c>
      <c r="D2248" s="10" t="s">
        <v>3402</v>
      </c>
      <c r="E2248" s="11" t="s">
        <v>1657</v>
      </c>
      <c r="F2248" t="str">
        <f t="shared" si="175"/>
        <v>Bissonnet</v>
      </c>
      <c r="G2248" t="str">
        <f t="shared" si="176"/>
        <v>Bissonnet10111Houston</v>
      </c>
      <c r="H2248" t="s">
        <v>33106</v>
      </c>
      <c r="I2248" t="s">
        <v>24531</v>
      </c>
      <c r="J2248" t="str">
        <f t="shared" si="177"/>
        <v>E:\PropInv\MF</v>
      </c>
      <c r="K2248" s="103" t="str">
        <f>HYPERLINK("E:\PropInv\MF\Houston\Bissonnet St_10111_Greyfield_Houston_03054","Bissonnet St_10111_Greyfield_Houston_03054" )</f>
        <v>Bissonnet St_10111_Greyfield_Houston_03054</v>
      </c>
      <c r="L2248" s="104" t="s">
        <v>22253</v>
      </c>
      <c r="M2248" s="103" t="str">
        <f t="shared" si="178"/>
        <v>http://oconnordata.com/mlink/modules/profile/index.cfm?action=profile&amp;prop_id=3054</v>
      </c>
      <c r="N2248" s="1" t="str">
        <f t="shared" si="179"/>
        <v>03054</v>
      </c>
    </row>
    <row r="2249" spans="1:14" x14ac:dyDescent="0.3">
      <c r="A2249" s="1">
        <v>3055</v>
      </c>
      <c r="B2249" s="16" t="s">
        <v>3403</v>
      </c>
      <c r="C2249" s="15">
        <v>9501</v>
      </c>
      <c r="D2249" s="16" t="s">
        <v>3404</v>
      </c>
      <c r="E2249" s="17" t="s">
        <v>1657</v>
      </c>
      <c r="F2249" t="str">
        <f t="shared" si="175"/>
        <v>Sam</v>
      </c>
      <c r="G2249" t="str">
        <f t="shared" si="176"/>
        <v>Sam9501Houston</v>
      </c>
      <c r="H2249" t="s">
        <v>33107</v>
      </c>
      <c r="I2249" t="s">
        <v>24532</v>
      </c>
      <c r="J2249" t="str">
        <f t="shared" si="177"/>
        <v>E:\PropInv\MF</v>
      </c>
      <c r="K2249" s="103" t="str">
        <f>HYPERLINK("E:\PropInv\MF\Houston\Sam Houston Pkwy S_9501_Park Westwood_Houston_03055","Sam Houston Pkwy S_9501_Park Westwood_Houston_03055" )</f>
        <v>Sam Houston Pkwy S_9501_Park Westwood_Houston_03055</v>
      </c>
      <c r="L2249" s="104" t="s">
        <v>22253</v>
      </c>
      <c r="M2249" s="103" t="str">
        <f t="shared" si="178"/>
        <v>http://oconnordata.com/mlink/modules/profile/index.cfm?action=profile&amp;prop_id=3055</v>
      </c>
      <c r="N2249" s="1" t="str">
        <f t="shared" si="179"/>
        <v>03055</v>
      </c>
    </row>
    <row r="2250" spans="1:14" x14ac:dyDescent="0.3">
      <c r="A2250" s="1">
        <v>3056</v>
      </c>
      <c r="B2250" s="10" t="s">
        <v>3401</v>
      </c>
      <c r="C2250" s="9">
        <v>10225</v>
      </c>
      <c r="D2250" s="10" t="s">
        <v>3405</v>
      </c>
      <c r="E2250" s="11" t="s">
        <v>1657</v>
      </c>
      <c r="F2250" t="str">
        <f t="shared" si="175"/>
        <v>Bissonnet</v>
      </c>
      <c r="G2250" t="str">
        <f t="shared" si="176"/>
        <v>Bissonnet10225Houston</v>
      </c>
      <c r="H2250" t="s">
        <v>33108</v>
      </c>
      <c r="I2250" t="s">
        <v>24533</v>
      </c>
      <c r="J2250" t="str">
        <f t="shared" si="177"/>
        <v>E:\PropInv\MF</v>
      </c>
      <c r="K2250" s="103" t="str">
        <f>HYPERLINK("E:\PropInv\MF\Houston\Bissonnet St_10225_The Mills_Houston_03056","Bissonnet St_10225_The Mills_Houston_03056" )</f>
        <v>Bissonnet St_10225_The Mills_Houston_03056</v>
      </c>
      <c r="L2250" s="104" t="s">
        <v>22253</v>
      </c>
      <c r="M2250" s="103" t="str">
        <f t="shared" si="178"/>
        <v>http://oconnordata.com/mlink/modules/profile/index.cfm?action=profile&amp;prop_id=3056</v>
      </c>
      <c r="N2250" s="1" t="str">
        <f t="shared" si="179"/>
        <v>03056</v>
      </c>
    </row>
    <row r="2251" spans="1:14" x14ac:dyDescent="0.3">
      <c r="A2251" s="1">
        <v>3057</v>
      </c>
      <c r="B2251" s="10" t="s">
        <v>3406</v>
      </c>
      <c r="C2251" s="9">
        <v>9560</v>
      </c>
      <c r="D2251" s="10" t="s">
        <v>3407</v>
      </c>
      <c r="E2251" s="11" t="s">
        <v>1657</v>
      </c>
      <c r="F2251" t="str">
        <f t="shared" si="175"/>
        <v>Deering</v>
      </c>
      <c r="G2251" t="str">
        <f t="shared" si="176"/>
        <v>Deering9560Houston</v>
      </c>
      <c r="H2251" t="s">
        <v>33109</v>
      </c>
      <c r="I2251" t="s">
        <v>24534</v>
      </c>
      <c r="J2251" t="str">
        <f t="shared" si="177"/>
        <v>E:\PropInv\MF</v>
      </c>
      <c r="K2251" s="103" t="str">
        <f>HYPERLINK("E:\PropInv\MF\Houston\Deering Dr_9560_Westwood II_Houston_03057","Deering Dr_9560_Westwood II_Houston_03057" )</f>
        <v>Deering Dr_9560_Westwood II_Houston_03057</v>
      </c>
      <c r="L2251" s="104" t="s">
        <v>22253</v>
      </c>
      <c r="M2251" s="103" t="str">
        <f t="shared" si="178"/>
        <v>http://oconnordata.com/mlink/modules/profile/index.cfm?action=profile&amp;prop_id=3057</v>
      </c>
      <c r="N2251" s="1" t="str">
        <f t="shared" si="179"/>
        <v>03057</v>
      </c>
    </row>
    <row r="2252" spans="1:14" x14ac:dyDescent="0.3">
      <c r="A2252" s="1">
        <v>3058</v>
      </c>
      <c r="B2252" s="10" t="s">
        <v>3408</v>
      </c>
      <c r="C2252" s="9">
        <v>10010</v>
      </c>
      <c r="D2252" s="10" t="s">
        <v>1486</v>
      </c>
      <c r="E2252" s="11" t="s">
        <v>1657</v>
      </c>
      <c r="F2252" t="str">
        <f t="shared" si="175"/>
        <v>Greenfork</v>
      </c>
      <c r="G2252" t="str">
        <f t="shared" si="176"/>
        <v>Greenfork10010Houston</v>
      </c>
      <c r="H2252" t="s">
        <v>33110</v>
      </c>
      <c r="I2252" t="s">
        <v>24535</v>
      </c>
      <c r="J2252" t="str">
        <f t="shared" si="177"/>
        <v>E:\PropInv\MF</v>
      </c>
      <c r="K2252" s="103" t="str">
        <f>HYPERLINK("E:\PropInv\MF\Houston\Greenfork Dr_10010_Whispering Oaks_Houston_03058","Greenfork Dr_10010_Whispering Oaks_Houston_03058" )</f>
        <v>Greenfork Dr_10010_Whispering Oaks_Houston_03058</v>
      </c>
      <c r="L2252" s="104" t="s">
        <v>22253</v>
      </c>
      <c r="M2252" s="103" t="str">
        <f t="shared" si="178"/>
        <v>http://oconnordata.com/mlink/modules/profile/index.cfm?action=profile&amp;prop_id=3058</v>
      </c>
      <c r="N2252" s="1" t="str">
        <f t="shared" si="179"/>
        <v>03058</v>
      </c>
    </row>
    <row r="2253" spans="1:14" x14ac:dyDescent="0.3">
      <c r="A2253" s="1">
        <v>3059</v>
      </c>
      <c r="B2253" s="10" t="s">
        <v>2722</v>
      </c>
      <c r="C2253" s="9">
        <v>9255</v>
      </c>
      <c r="D2253" s="10" t="s">
        <v>3409</v>
      </c>
      <c r="E2253" s="11" t="s">
        <v>1657</v>
      </c>
      <c r="F2253" t="str">
        <f t="shared" si="175"/>
        <v>Sam</v>
      </c>
      <c r="G2253" t="str">
        <f t="shared" si="176"/>
        <v>Sam9255Houston</v>
      </c>
      <c r="H2253" t="s">
        <v>33111</v>
      </c>
      <c r="I2253" t="s">
        <v>24536</v>
      </c>
      <c r="J2253" t="str">
        <f t="shared" si="177"/>
        <v>E:\PropInv\MF</v>
      </c>
      <c r="K2253" s="103" t="str">
        <f>HYPERLINK("E:\PropInv\MF\Houston\Sam Houston Pkwy S W_9255_Glenwood AH_Houston_03059","Sam Houston Pkwy S W_9255_Glenwood AH_Houston_03059" )</f>
        <v>Sam Houston Pkwy S W_9255_Glenwood AH_Houston_03059</v>
      </c>
      <c r="L2253" s="104" t="s">
        <v>22253</v>
      </c>
      <c r="M2253" s="103" t="str">
        <f t="shared" si="178"/>
        <v>http://oconnordata.com/mlink/modules/profile/index.cfm?action=profile&amp;prop_id=3059</v>
      </c>
      <c r="N2253" s="1" t="str">
        <f t="shared" si="179"/>
        <v>03059</v>
      </c>
    </row>
    <row r="2254" spans="1:14" x14ac:dyDescent="0.3">
      <c r="A2254" s="1">
        <v>3060</v>
      </c>
      <c r="B2254" s="10" t="s">
        <v>121</v>
      </c>
      <c r="C2254" s="9">
        <v>10202</v>
      </c>
      <c r="D2254" s="10" t="s">
        <v>1452</v>
      </c>
      <c r="E2254" s="11" t="s">
        <v>1657</v>
      </c>
      <c r="F2254" t="str">
        <f t="shared" si="175"/>
        <v>Club</v>
      </c>
      <c r="G2254" t="str">
        <f t="shared" si="176"/>
        <v>Club10202Houston</v>
      </c>
      <c r="H2254" t="s">
        <v>33112</v>
      </c>
      <c r="I2254" t="s">
        <v>24537</v>
      </c>
      <c r="J2254" t="str">
        <f t="shared" si="177"/>
        <v>E:\PropInv\MF</v>
      </c>
      <c r="K2254" s="103" t="str">
        <f>HYPERLINK("E:\PropInv\MF\Houston\Club Creek_10202_Villa Madrid_Houston_03060","Club Creek_10202_Villa Madrid_Houston_03060" )</f>
        <v>Club Creek_10202_Villa Madrid_Houston_03060</v>
      </c>
      <c r="L2254" s="104" t="s">
        <v>22253</v>
      </c>
      <c r="M2254" s="103" t="str">
        <f t="shared" si="178"/>
        <v>http://oconnordata.com/mlink/modules/profile/index.cfm?action=profile&amp;prop_id=3060</v>
      </c>
      <c r="N2254" s="1" t="str">
        <f t="shared" si="179"/>
        <v>03060</v>
      </c>
    </row>
    <row r="2255" spans="1:14" x14ac:dyDescent="0.3">
      <c r="A2255" s="1">
        <v>3061</v>
      </c>
      <c r="B2255" s="10" t="s">
        <v>3410</v>
      </c>
      <c r="C2255" s="9">
        <v>9430</v>
      </c>
      <c r="D2255" s="10" t="s">
        <v>3411</v>
      </c>
      <c r="E2255" s="11" t="s">
        <v>1657</v>
      </c>
      <c r="F2255" t="str">
        <f t="shared" si="175"/>
        <v>Concourse</v>
      </c>
      <c r="G2255" t="str">
        <f t="shared" si="176"/>
        <v>Concourse9430Houston</v>
      </c>
      <c r="H2255" t="s">
        <v>33113</v>
      </c>
      <c r="I2255" t="s">
        <v>24538</v>
      </c>
      <c r="J2255" t="str">
        <f t="shared" si="177"/>
        <v>E:\PropInv\MF</v>
      </c>
      <c r="K2255" s="103" t="str">
        <f>HYPERLINK("E:\PropInv\MF\Houston\Concourse_9430_Westwood Fountains_Houston_03061","Concourse_9430_Westwood Fountains_Houston_03061" )</f>
        <v>Concourse_9430_Westwood Fountains_Houston_03061</v>
      </c>
      <c r="L2255" s="104" t="s">
        <v>22253</v>
      </c>
      <c r="M2255" s="103" t="str">
        <f t="shared" si="178"/>
        <v>http://oconnordata.com/mlink/modules/profile/index.cfm?action=profile&amp;prop_id=3061</v>
      </c>
      <c r="N2255" s="1" t="str">
        <f t="shared" si="179"/>
        <v>03061</v>
      </c>
    </row>
    <row r="2256" spans="1:14" x14ac:dyDescent="0.3">
      <c r="A2256" s="1">
        <v>3062</v>
      </c>
      <c r="B2256" s="10" t="s">
        <v>3389</v>
      </c>
      <c r="C2256" s="9">
        <v>10027</v>
      </c>
      <c r="D2256" s="10" t="s">
        <v>3412</v>
      </c>
      <c r="E2256" s="11" t="s">
        <v>1657</v>
      </c>
      <c r="F2256" t="str">
        <f t="shared" si="175"/>
        <v>Spice</v>
      </c>
      <c r="G2256" t="str">
        <f t="shared" si="176"/>
        <v>Spice10027Houston</v>
      </c>
      <c r="H2256" t="s">
        <v>33114</v>
      </c>
      <c r="I2256" t="s">
        <v>24539</v>
      </c>
      <c r="J2256" t="str">
        <f t="shared" si="177"/>
        <v>E:\PropInv\MF</v>
      </c>
      <c r="K2256" s="103" t="str">
        <f>HYPERLINK("E:\PropInv\MF\Houston\Spice Ln_10027_The Claridge_Houston_03062","Spice Ln_10027_The Claridge_Houston_03062" )</f>
        <v>Spice Ln_10027_The Claridge_Houston_03062</v>
      </c>
      <c r="L2256" s="104" t="s">
        <v>22253</v>
      </c>
      <c r="M2256" s="103" t="str">
        <f t="shared" si="178"/>
        <v>http://oconnordata.com/mlink/modules/profile/index.cfm?action=profile&amp;prop_id=3062</v>
      </c>
      <c r="N2256" s="1" t="str">
        <f t="shared" si="179"/>
        <v>03062</v>
      </c>
    </row>
    <row r="2257" spans="1:14" x14ac:dyDescent="0.3">
      <c r="A2257" s="1">
        <v>3063</v>
      </c>
      <c r="B2257" s="10" t="s">
        <v>3413</v>
      </c>
      <c r="C2257" s="9">
        <v>9290</v>
      </c>
      <c r="D2257" s="10" t="s">
        <v>3414</v>
      </c>
      <c r="E2257" s="11" t="s">
        <v>1657</v>
      </c>
      <c r="F2257" t="str">
        <f t="shared" si="175"/>
        <v>Woodfair</v>
      </c>
      <c r="G2257" t="str">
        <f t="shared" si="176"/>
        <v>Woodfair9290Houston</v>
      </c>
      <c r="H2257" t="s">
        <v>33115</v>
      </c>
      <c r="I2257" t="s">
        <v>24540</v>
      </c>
      <c r="J2257" t="str">
        <f t="shared" si="177"/>
        <v>E:\PropInv\MF</v>
      </c>
      <c r="K2257" s="103" t="str">
        <f>HYPERLINK("E:\PropInv\MF\Houston\Woodfair_9290_Rama Apts_Houston_03063","Woodfair_9290_Rama Apts_Houston_03063" )</f>
        <v>Woodfair_9290_Rama Apts_Houston_03063</v>
      </c>
      <c r="L2257" s="104" t="s">
        <v>22253</v>
      </c>
      <c r="M2257" s="103" t="str">
        <f t="shared" si="178"/>
        <v>http://oconnordata.com/mlink/modules/profile/index.cfm?action=profile&amp;prop_id=3063</v>
      </c>
      <c r="N2257" s="1" t="str">
        <f t="shared" si="179"/>
        <v>03063</v>
      </c>
    </row>
    <row r="2258" spans="1:14" x14ac:dyDescent="0.3">
      <c r="A2258" s="1">
        <v>3064</v>
      </c>
      <c r="B2258" s="10" t="s">
        <v>3415</v>
      </c>
      <c r="C2258" s="9">
        <v>9450</v>
      </c>
      <c r="D2258" s="10" t="s">
        <v>3416</v>
      </c>
      <c r="E2258" s="11" t="s">
        <v>1657</v>
      </c>
      <c r="F2258" t="str">
        <f t="shared" si="175"/>
        <v>Woodfair</v>
      </c>
      <c r="G2258" t="str">
        <f t="shared" si="176"/>
        <v>Woodfair9450Houston</v>
      </c>
      <c r="H2258" t="s">
        <v>33116</v>
      </c>
      <c r="I2258" t="s">
        <v>24541</v>
      </c>
      <c r="J2258" t="str">
        <f t="shared" si="177"/>
        <v>E:\PropInv\MF</v>
      </c>
      <c r="K2258" s="103" t="str">
        <f>HYPERLINK("E:\PropInv\MF\Houston\Woodfair Dr_9450_Villa De Cancun_Houston_03064","Woodfair Dr_9450_Villa De Cancun_Houston_03064" )</f>
        <v>Woodfair Dr_9450_Villa De Cancun_Houston_03064</v>
      </c>
      <c r="L2258" s="104" t="s">
        <v>22253</v>
      </c>
      <c r="M2258" s="103" t="str">
        <f t="shared" si="178"/>
        <v>http://oconnordata.com/mlink/modules/profile/index.cfm?action=profile&amp;prop_id=3064</v>
      </c>
      <c r="N2258" s="1" t="str">
        <f t="shared" si="179"/>
        <v>03064</v>
      </c>
    </row>
    <row r="2259" spans="1:14" x14ac:dyDescent="0.3">
      <c r="A2259" s="1">
        <v>3065</v>
      </c>
      <c r="B2259" s="10" t="s">
        <v>3060</v>
      </c>
      <c r="C2259" s="9">
        <v>12023</v>
      </c>
      <c r="D2259" s="10" t="s">
        <v>3417</v>
      </c>
      <c r="E2259" s="11" t="s">
        <v>1657</v>
      </c>
      <c r="F2259" t="str">
        <f t="shared" si="175"/>
        <v>Bissonnet</v>
      </c>
      <c r="G2259" t="str">
        <f t="shared" si="176"/>
        <v>Bissonnet12023Houston</v>
      </c>
      <c r="H2259" t="s">
        <v>33117</v>
      </c>
      <c r="I2259" t="s">
        <v>24542</v>
      </c>
      <c r="J2259" t="str">
        <f t="shared" si="177"/>
        <v>E:\PropInv\MF</v>
      </c>
      <c r="K2259" s="103" t="str">
        <f>HYPERLINK("E:\PropInv\MF\Houston\Bissonnet_12023_Huntington Glen_Houston_03065","Bissonnet_12023_Huntington Glen_Houston_03065" )</f>
        <v>Bissonnet_12023_Huntington Glen_Houston_03065</v>
      </c>
      <c r="L2259" s="104" t="s">
        <v>22253</v>
      </c>
      <c r="M2259" s="103" t="str">
        <f t="shared" si="178"/>
        <v>http://oconnordata.com/mlink/modules/profile/index.cfm?action=profile&amp;prop_id=3065</v>
      </c>
      <c r="N2259" s="1" t="str">
        <f t="shared" si="179"/>
        <v>03065</v>
      </c>
    </row>
    <row r="2260" spans="1:14" x14ac:dyDescent="0.3">
      <c r="A2260" s="1">
        <v>3066</v>
      </c>
      <c r="B2260" s="10" t="s">
        <v>3415</v>
      </c>
      <c r="C2260" s="9">
        <v>9502</v>
      </c>
      <c r="D2260" s="10" t="s">
        <v>3418</v>
      </c>
      <c r="E2260" s="11" t="s">
        <v>1657</v>
      </c>
      <c r="F2260" t="str">
        <f t="shared" si="175"/>
        <v>Woodfair</v>
      </c>
      <c r="G2260" t="str">
        <f t="shared" si="176"/>
        <v>Woodfair9502Houston</v>
      </c>
      <c r="H2260" t="s">
        <v>33118</v>
      </c>
      <c r="I2260" t="s">
        <v>24543</v>
      </c>
      <c r="J2260" t="str">
        <f t="shared" si="177"/>
        <v>E:\PropInv\MF</v>
      </c>
      <c r="K2260" s="103" t="str">
        <f>HYPERLINK("E:\PropInv\MF\Houston\Woodfair Dr_9502_Premier on Woodfair I_Houston_03066","Woodfair Dr_9502_Premier on Woodfair I_Houston_03066" )</f>
        <v>Woodfair Dr_9502_Premier on Woodfair I_Houston_03066</v>
      </c>
      <c r="L2260" s="104" t="s">
        <v>22253</v>
      </c>
      <c r="M2260" s="103" t="str">
        <f t="shared" si="178"/>
        <v>http://oconnordata.com/mlink/modules/profile/index.cfm?action=profile&amp;prop_id=3066</v>
      </c>
      <c r="N2260" s="1" t="str">
        <f t="shared" si="179"/>
        <v>03066</v>
      </c>
    </row>
    <row r="2261" spans="1:14" x14ac:dyDescent="0.3">
      <c r="A2261" s="1">
        <v>3067</v>
      </c>
      <c r="B2261" s="10" t="s">
        <v>2722</v>
      </c>
      <c r="C2261" s="9">
        <v>9475</v>
      </c>
      <c r="D2261" s="10" t="s">
        <v>3419</v>
      </c>
      <c r="E2261" s="11" t="s">
        <v>1657</v>
      </c>
      <c r="F2261" t="str">
        <f t="shared" si="175"/>
        <v>Sam</v>
      </c>
      <c r="G2261" t="str">
        <f t="shared" si="176"/>
        <v>Sam9475Houston</v>
      </c>
      <c r="H2261" t="s">
        <v>33119</v>
      </c>
      <c r="I2261" t="s">
        <v>24544</v>
      </c>
      <c r="J2261" t="str">
        <f t="shared" si="177"/>
        <v>E:\PropInv\MF</v>
      </c>
      <c r="K2261" s="103" t="str">
        <f>HYPERLINK("E:\PropInv\MF\Houston\Sam Houston Pkwy S W_9475_Shadowtree_Houston_03067","Sam Houston Pkwy S W_9475_Shadowtree_Houston_03067" )</f>
        <v>Sam Houston Pkwy S W_9475_Shadowtree_Houston_03067</v>
      </c>
      <c r="L2261" s="104" t="s">
        <v>22253</v>
      </c>
      <c r="M2261" s="103" t="str">
        <f t="shared" si="178"/>
        <v>http://oconnordata.com/mlink/modules/profile/index.cfm?action=profile&amp;prop_id=3067</v>
      </c>
      <c r="N2261" s="1" t="str">
        <f t="shared" si="179"/>
        <v>03067</v>
      </c>
    </row>
    <row r="2262" spans="1:14" x14ac:dyDescent="0.3">
      <c r="A2262" s="1">
        <v>3068</v>
      </c>
      <c r="B2262" s="10" t="s">
        <v>3420</v>
      </c>
      <c r="C2262" s="9">
        <v>9401</v>
      </c>
      <c r="D2262" s="10" t="s">
        <v>3421</v>
      </c>
      <c r="E2262" s="11" t="s">
        <v>1657</v>
      </c>
      <c r="F2262" t="str">
        <f t="shared" si="175"/>
        <v>Coventry</v>
      </c>
      <c r="G2262" t="str">
        <f t="shared" si="176"/>
        <v>Coventry9401Houston</v>
      </c>
      <c r="H2262" t="s">
        <v>33120</v>
      </c>
      <c r="I2262" t="s">
        <v>24545</v>
      </c>
      <c r="J2262" t="str">
        <f t="shared" si="177"/>
        <v>E:\PropInv\MF</v>
      </c>
      <c r="K2262" s="103" t="str">
        <f>HYPERLINK("E:\PropInv\MF\Houston\Coventry Sq Dr_9401_Coventry Park_Houston_03068","Coventry Sq Dr_9401_Coventry Park_Houston_03068" )</f>
        <v>Coventry Sq Dr_9401_Coventry Park_Houston_03068</v>
      </c>
      <c r="L2262" s="104" t="s">
        <v>22253</v>
      </c>
      <c r="M2262" s="103" t="str">
        <f t="shared" si="178"/>
        <v>http://oconnordata.com/mlink/modules/profile/index.cfm?action=profile&amp;prop_id=3068</v>
      </c>
      <c r="N2262" s="1" t="str">
        <f t="shared" si="179"/>
        <v>03068</v>
      </c>
    </row>
    <row r="2263" spans="1:14" x14ac:dyDescent="0.3">
      <c r="A2263" s="1">
        <v>3069</v>
      </c>
      <c r="B2263" s="10" t="s">
        <v>3420</v>
      </c>
      <c r="C2263" s="9">
        <v>9400</v>
      </c>
      <c r="D2263" s="10" t="s">
        <v>3422</v>
      </c>
      <c r="E2263" s="11" t="s">
        <v>1657</v>
      </c>
      <c r="F2263" t="str">
        <f t="shared" si="175"/>
        <v>Coventry</v>
      </c>
      <c r="G2263" t="str">
        <f t="shared" si="176"/>
        <v>Coventry9400Houston</v>
      </c>
      <c r="H2263" t="s">
        <v>33121</v>
      </c>
      <c r="I2263" t="s">
        <v>24546</v>
      </c>
      <c r="J2263" t="str">
        <f t="shared" si="177"/>
        <v>E:\PropInv\MF</v>
      </c>
      <c r="K2263" s="103" t="str">
        <f>HYPERLINK("E:\PropInv\MF\Houston\Coventry Sq Dr_9400_Victorian_Houston_03069","Coventry Sq Dr_9400_Victorian_Houston_03069" )</f>
        <v>Coventry Sq Dr_9400_Victorian_Houston_03069</v>
      </c>
      <c r="L2263" s="104" t="s">
        <v>22253</v>
      </c>
      <c r="M2263" s="103" t="str">
        <f t="shared" si="178"/>
        <v>http://oconnordata.com/mlink/modules/profile/index.cfm?action=profile&amp;prop_id=3069</v>
      </c>
      <c r="N2263" s="1" t="str">
        <f t="shared" si="179"/>
        <v>03069</v>
      </c>
    </row>
    <row r="2264" spans="1:14" x14ac:dyDescent="0.3">
      <c r="A2264" s="1">
        <v>3070</v>
      </c>
      <c r="B2264" s="10" t="s">
        <v>2250</v>
      </c>
      <c r="C2264" s="9">
        <v>10101</v>
      </c>
      <c r="D2264" s="10" t="s">
        <v>3423</v>
      </c>
      <c r="E2264" s="11" t="s">
        <v>1657</v>
      </c>
      <c r="F2264" t="str">
        <f t="shared" si="175"/>
        <v>Sam</v>
      </c>
      <c r="G2264" t="str">
        <f t="shared" si="176"/>
        <v>Sam10101Houston</v>
      </c>
      <c r="H2264" t="s">
        <v>33122</v>
      </c>
      <c r="I2264" t="s">
        <v>24547</v>
      </c>
      <c r="J2264" t="str">
        <f t="shared" si="177"/>
        <v>E:\PropInv\MF</v>
      </c>
      <c r="K2264" s="103" t="str">
        <f>HYPERLINK("E:\PropInv\MF\Houston\Sam Houston Pkwy W_10101_Villa Ana_Houston_03070","Sam Houston Pkwy W_10101_Villa Ana_Houston_03070" )</f>
        <v>Sam Houston Pkwy W_10101_Villa Ana_Houston_03070</v>
      </c>
      <c r="L2264" s="104" t="s">
        <v>22253</v>
      </c>
      <c r="M2264" s="103" t="str">
        <f t="shared" si="178"/>
        <v>http://oconnordata.com/mlink/modules/profile/index.cfm?action=profile&amp;prop_id=3070</v>
      </c>
      <c r="N2264" s="1" t="str">
        <f t="shared" si="179"/>
        <v>03070</v>
      </c>
    </row>
    <row r="2265" spans="1:14" x14ac:dyDescent="0.3">
      <c r="A2265" s="1">
        <v>3071</v>
      </c>
      <c r="B2265" s="10" t="s">
        <v>3413</v>
      </c>
      <c r="C2265" s="9">
        <v>9303</v>
      </c>
      <c r="D2265" s="10" t="s">
        <v>3424</v>
      </c>
      <c r="E2265" s="11" t="s">
        <v>1657</v>
      </c>
      <c r="F2265" t="str">
        <f t="shared" si="175"/>
        <v>Woodfair</v>
      </c>
      <c r="G2265" t="str">
        <f t="shared" si="176"/>
        <v>Woodfair9303Houston</v>
      </c>
      <c r="H2265" t="s">
        <v>33123</v>
      </c>
      <c r="I2265" t="s">
        <v>24548</v>
      </c>
      <c r="J2265" t="str">
        <f t="shared" si="177"/>
        <v>E:\PropInv\MF</v>
      </c>
      <c r="K2265" s="103" t="str">
        <f>HYPERLINK("E:\PropInv\MF\Houston\Woodfair_9303_Riverstone AH_Houston_03071","Woodfair_9303_Riverstone AH_Houston_03071" )</f>
        <v>Woodfair_9303_Riverstone AH_Houston_03071</v>
      </c>
      <c r="L2265" s="104" t="s">
        <v>22253</v>
      </c>
      <c r="M2265" s="103" t="str">
        <f t="shared" si="178"/>
        <v>http://oconnordata.com/mlink/modules/profile/index.cfm?action=profile&amp;prop_id=3071</v>
      </c>
      <c r="N2265" s="1" t="str">
        <f t="shared" si="179"/>
        <v>03071</v>
      </c>
    </row>
    <row r="2266" spans="1:14" x14ac:dyDescent="0.3">
      <c r="A2266" s="1">
        <v>3072</v>
      </c>
      <c r="B2266" s="10" t="s">
        <v>3425</v>
      </c>
      <c r="C2266" s="9">
        <v>11675</v>
      </c>
      <c r="D2266" s="10" t="s">
        <v>3426</v>
      </c>
      <c r="E2266" s="11" t="s">
        <v>1657</v>
      </c>
      <c r="F2266" t="str">
        <f t="shared" si="175"/>
        <v>Bellfort</v>
      </c>
      <c r="G2266" t="str">
        <f t="shared" si="176"/>
        <v>Bellfort11675Houston</v>
      </c>
      <c r="H2266" t="s">
        <v>33124</v>
      </c>
      <c r="I2266" t="s">
        <v>24549</v>
      </c>
      <c r="J2266" t="str">
        <f t="shared" si="177"/>
        <v>E:\PropInv\MF</v>
      </c>
      <c r="K2266" s="103" t="str">
        <f>HYPERLINK("E:\PropInv\MF\Houston\Bellfort W_11675_Idlewood Park_Houston_03072","Bellfort W_11675_Idlewood Park_Houston_03072" )</f>
        <v>Bellfort W_11675_Idlewood Park_Houston_03072</v>
      </c>
      <c r="L2266" s="104" t="s">
        <v>22253</v>
      </c>
      <c r="M2266" s="103" t="str">
        <f t="shared" si="178"/>
        <v>http://oconnordata.com/mlink/modules/profile/index.cfm?action=profile&amp;prop_id=3072</v>
      </c>
      <c r="N2266" s="1" t="str">
        <f t="shared" si="179"/>
        <v>03072</v>
      </c>
    </row>
    <row r="2267" spans="1:14" x14ac:dyDescent="0.3">
      <c r="A2267" s="1">
        <v>3073</v>
      </c>
      <c r="B2267" s="10" t="s">
        <v>3425</v>
      </c>
      <c r="C2267" s="9">
        <v>11726</v>
      </c>
      <c r="D2267" s="10" t="s">
        <v>3427</v>
      </c>
      <c r="E2267" s="11" t="s">
        <v>3428</v>
      </c>
      <c r="F2267" t="str">
        <f t="shared" si="175"/>
        <v>Bellfort</v>
      </c>
      <c r="G2267" t="str">
        <f t="shared" si="176"/>
        <v>Bellfort11726Stafford</v>
      </c>
      <c r="H2267" t="s">
        <v>33125</v>
      </c>
      <c r="I2267" t="s">
        <v>24550</v>
      </c>
      <c r="J2267" t="str">
        <f t="shared" si="177"/>
        <v>E:\PropInv\MF</v>
      </c>
      <c r="K2267" s="103" t="str">
        <f>HYPERLINK("E:\PropInv\MF\Stafford\Bellfort W_11726_Southwest Village_Stafford_03073","Bellfort W_11726_Southwest Village_Stafford_03073" )</f>
        <v>Bellfort W_11726_Southwest Village_Stafford_03073</v>
      </c>
      <c r="L2267" s="104" t="s">
        <v>22253</v>
      </c>
      <c r="M2267" s="103" t="str">
        <f t="shared" si="178"/>
        <v>http://oconnordata.com/mlink/modules/profile/index.cfm?action=profile&amp;prop_id=3073</v>
      </c>
      <c r="N2267" s="1" t="str">
        <f t="shared" si="179"/>
        <v>03073</v>
      </c>
    </row>
    <row r="2268" spans="1:14" x14ac:dyDescent="0.3">
      <c r="A2268" s="97">
        <v>3074</v>
      </c>
      <c r="B2268" s="10" t="s">
        <v>3429</v>
      </c>
      <c r="C2268" s="9">
        <v>10250</v>
      </c>
      <c r="D2268" s="10" t="s">
        <v>3430</v>
      </c>
      <c r="E2268" s="11" t="s">
        <v>1657</v>
      </c>
      <c r="F2268" t="str">
        <f t="shared" si="175"/>
        <v>Lands</v>
      </c>
      <c r="G2268" t="str">
        <f t="shared" si="176"/>
        <v>Lands10250Houston</v>
      </c>
      <c r="H2268" t="s">
        <v>33126</v>
      </c>
      <c r="I2268" t="s">
        <v>24551</v>
      </c>
      <c r="J2268" t="str">
        <f t="shared" si="177"/>
        <v>E:\PropInv\MF</v>
      </c>
      <c r="K2268" s="103" t="str">
        <f>HYPERLINK("E:\PropInv\MF\Houston\Lands End Dr_10250_Woodstone Manor_Houston_03074","Lands End Dr_10250_Woodstone Manor_Houston_03074" )</f>
        <v>Lands End Dr_10250_Woodstone Manor_Houston_03074</v>
      </c>
      <c r="L2268" s="104" t="s">
        <v>22253</v>
      </c>
      <c r="M2268" s="103" t="str">
        <f t="shared" si="178"/>
        <v>http://oconnordata.com/mlink/modules/profile/index.cfm?action=profile&amp;prop_id=3074</v>
      </c>
      <c r="N2268" s="1" t="str">
        <f t="shared" si="179"/>
        <v>03074</v>
      </c>
    </row>
    <row r="2269" spans="1:14" x14ac:dyDescent="0.3">
      <c r="A2269" s="1">
        <v>3076</v>
      </c>
      <c r="B2269" s="10" t="s">
        <v>3431</v>
      </c>
      <c r="C2269" s="9">
        <v>9898</v>
      </c>
      <c r="D2269" s="10" t="s">
        <v>3432</v>
      </c>
      <c r="E2269" s="11" t="s">
        <v>1657</v>
      </c>
      <c r="F2269" t="str">
        <f t="shared" si="175"/>
        <v>Forum</v>
      </c>
      <c r="G2269" t="str">
        <f t="shared" si="176"/>
        <v>Forum9898Houston</v>
      </c>
      <c r="H2269" t="s">
        <v>33127</v>
      </c>
      <c r="I2269" t="s">
        <v>24552</v>
      </c>
      <c r="J2269" t="str">
        <f t="shared" si="177"/>
        <v>E:\PropInv\MF</v>
      </c>
      <c r="K2269" s="103" t="str">
        <f>HYPERLINK("E:\PropInv\MF\Houston\Forum Park_9898_The Carlisle_Houston_03076","Forum Park_9898_The Carlisle_Houston_03076" )</f>
        <v>Forum Park_9898_The Carlisle_Houston_03076</v>
      </c>
      <c r="L2269" s="104" t="s">
        <v>22253</v>
      </c>
      <c r="M2269" s="103" t="str">
        <f t="shared" si="178"/>
        <v>http://oconnordata.com/mlink/modules/profile/index.cfm?action=profile&amp;prop_id=3076</v>
      </c>
      <c r="N2269" s="1" t="str">
        <f t="shared" si="179"/>
        <v>03076</v>
      </c>
    </row>
    <row r="2270" spans="1:14" x14ac:dyDescent="0.3">
      <c r="A2270" s="1">
        <v>3078</v>
      </c>
      <c r="B2270" s="10" t="s">
        <v>3433</v>
      </c>
      <c r="C2270" s="9">
        <v>9445</v>
      </c>
      <c r="D2270" s="10" t="s">
        <v>3434</v>
      </c>
      <c r="E2270" s="11" t="s">
        <v>1657</v>
      </c>
      <c r="F2270" t="str">
        <f t="shared" si="175"/>
        <v>Concourse</v>
      </c>
      <c r="G2270" t="str">
        <f t="shared" si="176"/>
        <v>Concourse9445Houston</v>
      </c>
      <c r="H2270" t="s">
        <v>33128</v>
      </c>
      <c r="I2270" t="s">
        <v>24553</v>
      </c>
      <c r="J2270" t="str">
        <f t="shared" si="177"/>
        <v>E:\PropInv\MF</v>
      </c>
      <c r="K2270" s="103" t="str">
        <f>HYPERLINK("E:\PropInv\MF\Houston\Concourse Dr_9445_Villa Monterrey_Houston_03078","Concourse Dr_9445_Villa Monterrey_Houston_03078" )</f>
        <v>Concourse Dr_9445_Villa Monterrey_Houston_03078</v>
      </c>
      <c r="L2270" s="104" t="s">
        <v>22253</v>
      </c>
      <c r="M2270" s="103" t="str">
        <f t="shared" si="178"/>
        <v>http://oconnordata.com/mlink/modules/profile/index.cfm?action=profile&amp;prop_id=3078</v>
      </c>
      <c r="N2270" s="1" t="str">
        <f t="shared" si="179"/>
        <v>03078</v>
      </c>
    </row>
    <row r="2271" spans="1:14" x14ac:dyDescent="0.3">
      <c r="A2271" s="1">
        <v>3079</v>
      </c>
      <c r="B2271" s="10" t="s">
        <v>3431</v>
      </c>
      <c r="C2271" s="9">
        <v>9701</v>
      </c>
      <c r="D2271" s="10" t="s">
        <v>3435</v>
      </c>
      <c r="E2271" s="11" t="s">
        <v>1657</v>
      </c>
      <c r="F2271" t="str">
        <f t="shared" si="175"/>
        <v>Forum</v>
      </c>
      <c r="G2271" t="str">
        <f t="shared" si="176"/>
        <v>Forum9701Houston</v>
      </c>
      <c r="H2271" t="s">
        <v>33129</v>
      </c>
      <c r="I2271" t="s">
        <v>24554</v>
      </c>
      <c r="J2271" t="str">
        <f t="shared" si="177"/>
        <v>E:\PropInv\MF</v>
      </c>
      <c r="K2271" s="103" t="str">
        <f>HYPERLINK("E:\PropInv\MF\Houston\Forum Park_9701_Madison_Houston_03079","Forum Park_9701_Madison_Houston_03079" )</f>
        <v>Forum Park_9701_Madison_Houston_03079</v>
      </c>
      <c r="L2271" s="104" t="s">
        <v>22253</v>
      </c>
      <c r="M2271" s="103" t="str">
        <f t="shared" si="178"/>
        <v>http://oconnordata.com/mlink/modules/profile/index.cfm?action=profile&amp;prop_id=3079</v>
      </c>
      <c r="N2271" s="1" t="str">
        <f t="shared" si="179"/>
        <v>03079</v>
      </c>
    </row>
    <row r="2272" spans="1:14" x14ac:dyDescent="0.3">
      <c r="A2272" s="1">
        <v>3080</v>
      </c>
      <c r="B2272" s="10" t="s">
        <v>3436</v>
      </c>
      <c r="C2272" s="9">
        <v>9700</v>
      </c>
      <c r="D2272" s="10" t="s">
        <v>3437</v>
      </c>
      <c r="E2272" s="11" t="s">
        <v>1657</v>
      </c>
      <c r="F2272" t="str">
        <f t="shared" si="175"/>
        <v>Ct</v>
      </c>
      <c r="G2272" t="str">
        <f t="shared" si="176"/>
        <v>Ct9700Houston</v>
      </c>
      <c r="H2272" t="s">
        <v>33130</v>
      </c>
      <c r="I2272" t="s">
        <v>24555</v>
      </c>
      <c r="J2272" t="str">
        <f t="shared" si="177"/>
        <v>E:\PropInv\MF</v>
      </c>
      <c r="K2272" s="103" t="str">
        <f>HYPERLINK("E:\PropInv\MF\Houston\Ct Glen_9700_Casa Nube en Bissonnet_Houston_03080","Ct Glen_9700_Casa Nube en Bissonnet_Houston_03080" )</f>
        <v>Ct Glen_9700_Casa Nube en Bissonnet_Houston_03080</v>
      </c>
      <c r="L2272" s="104" t="s">
        <v>22253</v>
      </c>
      <c r="M2272" s="103" t="str">
        <f t="shared" si="178"/>
        <v>http://oconnordata.com/mlink/modules/profile/index.cfm?action=profile&amp;prop_id=3080</v>
      </c>
      <c r="N2272" s="1" t="str">
        <f t="shared" si="179"/>
        <v>03080</v>
      </c>
    </row>
    <row r="2273" spans="1:14" x14ac:dyDescent="0.3">
      <c r="A2273" s="1">
        <v>3081</v>
      </c>
      <c r="B2273" s="10" t="s">
        <v>3436</v>
      </c>
      <c r="C2273" s="9">
        <v>9755</v>
      </c>
      <c r="D2273" s="10" t="s">
        <v>3438</v>
      </c>
      <c r="E2273" s="11" t="s">
        <v>1657</v>
      </c>
      <c r="F2273" t="str">
        <f t="shared" si="175"/>
        <v>Ct</v>
      </c>
      <c r="G2273" t="str">
        <f t="shared" si="176"/>
        <v>Ct9755Houston</v>
      </c>
      <c r="H2273" t="s">
        <v>33131</v>
      </c>
      <c r="I2273" t="s">
        <v>24556</v>
      </c>
      <c r="J2273" t="str">
        <f t="shared" si="177"/>
        <v>E:\PropInv\MF</v>
      </c>
      <c r="K2273" s="103" t="str">
        <f>HYPERLINK("E:\PropInv\MF\Houston\Ct Glen_9755_The Crossing at Sedona Square II_Houston_03081","Ct Glen_9755_The Crossing at Sedona Square II_Houston_03081" )</f>
        <v>Ct Glen_9755_The Crossing at Sedona Square II_Houston_03081</v>
      </c>
      <c r="L2273" s="104" t="s">
        <v>22253</v>
      </c>
      <c r="M2273" s="103" t="str">
        <f t="shared" si="178"/>
        <v>http://oconnordata.com/mlink/modules/profile/index.cfm?action=profile&amp;prop_id=3081</v>
      </c>
      <c r="N2273" s="1" t="str">
        <f t="shared" si="179"/>
        <v>03081</v>
      </c>
    </row>
    <row r="2274" spans="1:14" x14ac:dyDescent="0.3">
      <c r="A2274" s="1">
        <v>3082</v>
      </c>
      <c r="B2274" s="10" t="s">
        <v>3439</v>
      </c>
      <c r="C2274" s="9">
        <v>11715</v>
      </c>
      <c r="D2274" s="10" t="s">
        <v>3440</v>
      </c>
      <c r="E2274" s="11" t="s">
        <v>1657</v>
      </c>
      <c r="F2274" t="str">
        <f t="shared" si="175"/>
        <v>Glen</v>
      </c>
      <c r="G2274" t="str">
        <f t="shared" si="176"/>
        <v>Glen11715Houston</v>
      </c>
      <c r="H2274" t="s">
        <v>33132</v>
      </c>
      <c r="I2274" t="s">
        <v>24557</v>
      </c>
      <c r="J2274" t="str">
        <f t="shared" si="177"/>
        <v>E:\PropInv\MF</v>
      </c>
      <c r="K2274" s="103" t="str">
        <f>HYPERLINK("E:\PropInv\MF\Houston\Glen S_11715_The Crossing at Sedona Square I_Houston_03082","Glen S_11715_The Crossing at Sedona Square I_Houston_03082" )</f>
        <v>Glen S_11715_The Crossing at Sedona Square I_Houston_03082</v>
      </c>
      <c r="L2274" s="104" t="s">
        <v>22253</v>
      </c>
      <c r="M2274" s="103" t="str">
        <f t="shared" si="178"/>
        <v>http://oconnordata.com/mlink/modules/profile/index.cfm?action=profile&amp;prop_id=3082</v>
      </c>
      <c r="N2274" s="1" t="str">
        <f t="shared" si="179"/>
        <v>03082</v>
      </c>
    </row>
    <row r="2275" spans="1:14" x14ac:dyDescent="0.3">
      <c r="A2275" s="1">
        <v>3083</v>
      </c>
      <c r="B2275" s="10" t="s">
        <v>3441</v>
      </c>
      <c r="C2275" s="9">
        <v>10222</v>
      </c>
      <c r="D2275" s="10" t="s">
        <v>3442</v>
      </c>
      <c r="E2275" s="11" t="s">
        <v>1657</v>
      </c>
      <c r="F2275" t="str">
        <f t="shared" si="175"/>
        <v>Forum</v>
      </c>
      <c r="G2275" t="str">
        <f t="shared" si="176"/>
        <v>Forum10222Houston</v>
      </c>
      <c r="H2275" t="s">
        <v>33133</v>
      </c>
      <c r="I2275" t="s">
        <v>24558</v>
      </c>
      <c r="J2275" t="str">
        <f t="shared" si="177"/>
        <v>E:\PropInv\MF</v>
      </c>
      <c r="K2275" s="103" t="str">
        <f>HYPERLINK("E:\PropInv\MF\Houston\Forum W Dr_10222_The Forum Apts_Houston_03083","Forum W Dr_10222_The Forum Apts_Houston_03083" )</f>
        <v>Forum W Dr_10222_The Forum Apts_Houston_03083</v>
      </c>
      <c r="L2275" s="104" t="s">
        <v>22253</v>
      </c>
      <c r="M2275" s="103" t="str">
        <f t="shared" si="178"/>
        <v>http://oconnordata.com/mlink/modules/profile/index.cfm?action=profile&amp;prop_id=3083</v>
      </c>
      <c r="N2275" s="1" t="str">
        <f t="shared" si="179"/>
        <v>03083</v>
      </c>
    </row>
    <row r="2276" spans="1:14" x14ac:dyDescent="0.3">
      <c r="A2276" s="1">
        <v>3084</v>
      </c>
      <c r="B2276" s="10" t="s">
        <v>3415</v>
      </c>
      <c r="C2276" s="9">
        <v>9502</v>
      </c>
      <c r="D2276" s="10" t="s">
        <v>3443</v>
      </c>
      <c r="E2276" s="11" t="s">
        <v>1657</v>
      </c>
      <c r="F2276" t="str">
        <f t="shared" si="175"/>
        <v>Woodfair</v>
      </c>
      <c r="G2276" t="str">
        <f t="shared" si="176"/>
        <v>Woodfair9502Houston</v>
      </c>
      <c r="H2276" t="s">
        <v>33134</v>
      </c>
      <c r="I2276" t="s">
        <v>24559</v>
      </c>
      <c r="J2276" t="str">
        <f t="shared" si="177"/>
        <v>E:\PropInv\MF</v>
      </c>
      <c r="K2276" s="103" t="str">
        <f>HYPERLINK("E:\PropInv\MF\Houston\Woodfair Dr_9502_Premier on Woodfair II_Houston_03084","Woodfair Dr_9502_Premier on Woodfair II_Houston_03084" )</f>
        <v>Woodfair Dr_9502_Premier on Woodfair II_Houston_03084</v>
      </c>
      <c r="L2276" s="104" t="s">
        <v>22253</v>
      </c>
      <c r="M2276" s="103" t="str">
        <f t="shared" si="178"/>
        <v>http://oconnordata.com/mlink/modules/profile/index.cfm?action=profile&amp;prop_id=3084</v>
      </c>
      <c r="N2276" s="1" t="str">
        <f t="shared" si="179"/>
        <v>03084</v>
      </c>
    </row>
    <row r="2277" spans="1:14" x14ac:dyDescent="0.3">
      <c r="A2277" s="1">
        <v>3085</v>
      </c>
      <c r="B2277" s="10" t="s">
        <v>3439</v>
      </c>
      <c r="C2277" s="9">
        <v>11735</v>
      </c>
      <c r="D2277" s="10" t="s">
        <v>3444</v>
      </c>
      <c r="E2277" s="11" t="s">
        <v>1657</v>
      </c>
      <c r="F2277" t="str">
        <f t="shared" si="175"/>
        <v>Glen</v>
      </c>
      <c r="G2277" t="str">
        <f t="shared" si="176"/>
        <v>Glen11735Houston</v>
      </c>
      <c r="H2277" t="s">
        <v>33135</v>
      </c>
      <c r="I2277" t="s">
        <v>24560</v>
      </c>
      <c r="J2277" t="str">
        <f t="shared" si="177"/>
        <v>E:\PropInv\MF</v>
      </c>
      <c r="K2277" s="103" t="str">
        <f>HYPERLINK("E:\PropInv\MF\Houston\Glen S_11735_Chesterfield_Houston_03085","Glen S_11735_Chesterfield_Houston_03085" )</f>
        <v>Glen S_11735_Chesterfield_Houston_03085</v>
      </c>
      <c r="L2277" s="104" t="s">
        <v>22253</v>
      </c>
      <c r="M2277" s="103" t="str">
        <f t="shared" si="178"/>
        <v>http://oconnordata.com/mlink/modules/profile/index.cfm?action=profile&amp;prop_id=3085</v>
      </c>
      <c r="N2277" s="1" t="str">
        <f t="shared" si="179"/>
        <v>03085</v>
      </c>
    </row>
    <row r="2278" spans="1:14" x14ac:dyDescent="0.3">
      <c r="A2278" s="1">
        <v>3086</v>
      </c>
      <c r="B2278" s="34" t="s">
        <v>3445</v>
      </c>
      <c r="C2278" s="9">
        <v>10440</v>
      </c>
      <c r="D2278" s="10" t="s">
        <v>3446</v>
      </c>
      <c r="E2278" s="11" t="s">
        <v>1657</v>
      </c>
      <c r="F2278" t="str">
        <f t="shared" si="175"/>
        <v>S</v>
      </c>
      <c r="G2278" t="str">
        <f t="shared" si="176"/>
        <v>S10440Houston</v>
      </c>
      <c r="H2278" t="s">
        <v>33136</v>
      </c>
      <c r="I2278" t="s">
        <v>24561</v>
      </c>
      <c r="J2278" t="str">
        <f t="shared" si="177"/>
        <v>E:\PropInv\MF</v>
      </c>
      <c r="K2278" s="103" t="str">
        <f>HYPERLINK("E:\PropInv\MF\Houston\S Dr_10440_Meadows Southwest_Houston_03086","S Dr_10440_Meadows Southwest_Houston_03086" )</f>
        <v>S Dr_10440_Meadows Southwest_Houston_03086</v>
      </c>
      <c r="L2278" s="104" t="s">
        <v>22253</v>
      </c>
      <c r="M2278" s="103" t="str">
        <f t="shared" si="178"/>
        <v>http://oconnordata.com/mlink/modules/profile/index.cfm?action=profile&amp;prop_id=3086</v>
      </c>
      <c r="N2278" s="1" t="str">
        <f t="shared" si="179"/>
        <v>03086</v>
      </c>
    </row>
    <row r="2279" spans="1:14" x14ac:dyDescent="0.3">
      <c r="A2279" s="1">
        <v>3087</v>
      </c>
      <c r="B2279" s="10" t="s">
        <v>3431</v>
      </c>
      <c r="C2279" s="9">
        <v>10101</v>
      </c>
      <c r="D2279" s="10" t="s">
        <v>3447</v>
      </c>
      <c r="E2279" s="11" t="s">
        <v>1657</v>
      </c>
      <c r="F2279" t="str">
        <f t="shared" si="175"/>
        <v>Forum</v>
      </c>
      <c r="G2279" t="str">
        <f t="shared" si="176"/>
        <v>Forum10101Houston</v>
      </c>
      <c r="H2279" t="s">
        <v>33137</v>
      </c>
      <c r="I2279" t="s">
        <v>24562</v>
      </c>
      <c r="J2279" t="str">
        <f t="shared" si="177"/>
        <v>E:\PropInv\MF</v>
      </c>
      <c r="K2279" s="103" t="str">
        <f>HYPERLINK("E:\PropInv\MF\Houston\Forum Park_10101_Forum Plaza_Houston_03087","Forum Park_10101_Forum Plaza_Houston_03087" )</f>
        <v>Forum Park_10101_Forum Plaza_Houston_03087</v>
      </c>
      <c r="L2279" s="104" t="s">
        <v>22253</v>
      </c>
      <c r="M2279" s="103" t="str">
        <f t="shared" si="178"/>
        <v>http://oconnordata.com/mlink/modules/profile/index.cfm?action=profile&amp;prop_id=3087</v>
      </c>
      <c r="N2279" s="1" t="str">
        <f t="shared" si="179"/>
        <v>03087</v>
      </c>
    </row>
    <row r="2280" spans="1:14" x14ac:dyDescent="0.3">
      <c r="A2280" s="1">
        <v>3088</v>
      </c>
      <c r="B2280" s="10" t="s">
        <v>3441</v>
      </c>
      <c r="C2280" s="9">
        <v>10003</v>
      </c>
      <c r="D2280" s="10" t="s">
        <v>3448</v>
      </c>
      <c r="E2280" s="11" t="s">
        <v>1657</v>
      </c>
      <c r="F2280" t="str">
        <f t="shared" si="175"/>
        <v>Forum</v>
      </c>
      <c r="G2280" t="str">
        <f t="shared" si="176"/>
        <v>Forum10003Houston</v>
      </c>
      <c r="H2280" t="s">
        <v>33138</v>
      </c>
      <c r="I2280" t="s">
        <v>24563</v>
      </c>
      <c r="J2280" t="str">
        <f t="shared" si="177"/>
        <v>E:\PropInv\MF</v>
      </c>
      <c r="K2280" s="103" t="str">
        <f>HYPERLINK("E:\PropInv\MF\Houston\Forum W Dr_10003_Las Varandas del Sur_Houston_03088","Forum W Dr_10003_Las Varandas del Sur_Houston_03088" )</f>
        <v>Forum W Dr_10003_Las Varandas del Sur_Houston_03088</v>
      </c>
      <c r="L2280" s="104" t="s">
        <v>22253</v>
      </c>
      <c r="M2280" s="103" t="str">
        <f t="shared" si="178"/>
        <v>http://oconnordata.com/mlink/modules/profile/index.cfm?action=profile&amp;prop_id=3088</v>
      </c>
      <c r="N2280" s="1" t="str">
        <f t="shared" si="179"/>
        <v>03088</v>
      </c>
    </row>
    <row r="2281" spans="1:14" x14ac:dyDescent="0.3">
      <c r="A2281" s="1">
        <v>3091</v>
      </c>
      <c r="B2281" s="10" t="s">
        <v>3449</v>
      </c>
      <c r="C2281" s="9">
        <v>7500</v>
      </c>
      <c r="D2281" s="10" t="s">
        <v>3450</v>
      </c>
      <c r="E2281" s="11" t="s">
        <v>1657</v>
      </c>
      <c r="F2281" t="str">
        <f t="shared" si="175"/>
        <v>Bellerive</v>
      </c>
      <c r="G2281" t="str">
        <f t="shared" si="176"/>
        <v>Bellerive7500Houston</v>
      </c>
      <c r="H2281" t="s">
        <v>33139</v>
      </c>
      <c r="I2281" t="s">
        <v>24564</v>
      </c>
      <c r="J2281" t="str">
        <f t="shared" si="177"/>
        <v>E:\PropInv\MF</v>
      </c>
      <c r="K2281" s="103" t="str">
        <f>HYPERLINK("E:\PropInv\MF\Houston\Bellerive_7500_Chestnut Hill_Houston_03091","Bellerive_7500_Chestnut Hill_Houston_03091" )</f>
        <v>Bellerive_7500_Chestnut Hill_Houston_03091</v>
      </c>
      <c r="L2281" s="104" t="s">
        <v>22253</v>
      </c>
      <c r="M2281" s="103" t="str">
        <f t="shared" si="178"/>
        <v>http://oconnordata.com/mlink/modules/profile/index.cfm?action=profile&amp;prop_id=3091</v>
      </c>
      <c r="N2281" s="1" t="str">
        <f t="shared" si="179"/>
        <v>03091</v>
      </c>
    </row>
    <row r="2282" spans="1:14" x14ac:dyDescent="0.3">
      <c r="A2282" s="1">
        <v>3092</v>
      </c>
      <c r="B2282" s="10" t="s">
        <v>3451</v>
      </c>
      <c r="C2282" s="9">
        <v>5810</v>
      </c>
      <c r="D2282" s="10" t="s">
        <v>3452</v>
      </c>
      <c r="E2282" s="11" t="s">
        <v>1657</v>
      </c>
      <c r="F2282" t="str">
        <f t="shared" si="175"/>
        <v>Fondren</v>
      </c>
      <c r="G2282" t="str">
        <f t="shared" si="176"/>
        <v>Fondren5810Houston</v>
      </c>
      <c r="H2282" t="s">
        <v>33140</v>
      </c>
      <c r="I2282" t="s">
        <v>24565</v>
      </c>
      <c r="J2282" t="str">
        <f t="shared" si="177"/>
        <v>E:\PropInv\MF</v>
      </c>
      <c r="K2282" s="103" t="str">
        <f>HYPERLINK("E:\PropInv\MF\Houston\Fondren_5810_Shadow Ridge_Houston_03092","Fondren_5810_Shadow Ridge_Houston_03092" )</f>
        <v>Fondren_5810_Shadow Ridge_Houston_03092</v>
      </c>
      <c r="L2282" s="104" t="s">
        <v>22253</v>
      </c>
      <c r="M2282" s="103" t="str">
        <f t="shared" si="178"/>
        <v>http://oconnordata.com/mlink/modules/profile/index.cfm?action=profile&amp;prop_id=3092</v>
      </c>
      <c r="N2282" s="1" t="str">
        <f t="shared" si="179"/>
        <v>03092</v>
      </c>
    </row>
    <row r="2283" spans="1:14" x14ac:dyDescent="0.3">
      <c r="A2283" s="1">
        <v>3093</v>
      </c>
      <c r="B2283" s="10" t="s">
        <v>3451</v>
      </c>
      <c r="C2283" s="9">
        <v>5909</v>
      </c>
      <c r="D2283" s="10" t="s">
        <v>3453</v>
      </c>
      <c r="E2283" s="11" t="s">
        <v>1657</v>
      </c>
      <c r="F2283" t="str">
        <f t="shared" si="175"/>
        <v>Fondren</v>
      </c>
      <c r="G2283" t="str">
        <f t="shared" si="176"/>
        <v>Fondren5909Houston</v>
      </c>
      <c r="H2283" t="s">
        <v>33141</v>
      </c>
      <c r="I2283" t="s">
        <v>24566</v>
      </c>
      <c r="J2283" t="str">
        <f t="shared" si="177"/>
        <v>E:\PropInv\MF</v>
      </c>
      <c r="K2283" s="103" t="str">
        <f>HYPERLINK("E:\PropInv\MF\Houston\Fondren_5909_Coral Club_Houston_03093","Fondren_5909_Coral Club_Houston_03093" )</f>
        <v>Fondren_5909_Coral Club_Houston_03093</v>
      </c>
      <c r="L2283" s="104" t="s">
        <v>22253</v>
      </c>
      <c r="M2283" s="103" t="str">
        <f t="shared" si="178"/>
        <v>http://oconnordata.com/mlink/modules/profile/index.cfm?action=profile&amp;prop_id=3093</v>
      </c>
      <c r="N2283" s="1" t="str">
        <f t="shared" si="179"/>
        <v>03093</v>
      </c>
    </row>
    <row r="2284" spans="1:14" x14ac:dyDescent="0.3">
      <c r="A2284" s="1">
        <v>3094</v>
      </c>
      <c r="B2284" s="10" t="s">
        <v>3351</v>
      </c>
      <c r="C2284" s="9">
        <v>7637</v>
      </c>
      <c r="D2284" s="10" t="s">
        <v>3454</v>
      </c>
      <c r="E2284" s="11" t="s">
        <v>1657</v>
      </c>
      <c r="F2284" t="str">
        <f t="shared" si="175"/>
        <v>Harwin</v>
      </c>
      <c r="G2284" t="str">
        <f t="shared" si="176"/>
        <v>Harwin7637Houston</v>
      </c>
      <c r="H2284" t="s">
        <v>33142</v>
      </c>
      <c r="I2284" t="s">
        <v>24567</v>
      </c>
      <c r="J2284" t="str">
        <f t="shared" si="177"/>
        <v>E:\PropInv\MF</v>
      </c>
      <c r="K2284" s="103" t="str">
        <f>HYPERLINK("E:\PropInv\MF\Houston\Harwin_7637_Willows On Harwin_Houston_03094","Harwin_7637_Willows On Harwin_Houston_03094" )</f>
        <v>Harwin_7637_Willows On Harwin_Houston_03094</v>
      </c>
      <c r="L2284" s="104" t="s">
        <v>22253</v>
      </c>
      <c r="M2284" s="103" t="str">
        <f t="shared" si="178"/>
        <v>http://oconnordata.com/mlink/modules/profile/index.cfm?action=profile&amp;prop_id=3094</v>
      </c>
      <c r="N2284" s="1" t="str">
        <f t="shared" si="179"/>
        <v>03094</v>
      </c>
    </row>
    <row r="2285" spans="1:14" x14ac:dyDescent="0.3">
      <c r="A2285" s="1">
        <v>3097</v>
      </c>
      <c r="B2285" s="10" t="s">
        <v>3300</v>
      </c>
      <c r="C2285" s="9">
        <v>9303</v>
      </c>
      <c r="D2285" s="10" t="s">
        <v>3455</v>
      </c>
      <c r="E2285" s="11" t="s">
        <v>1657</v>
      </c>
      <c r="F2285" t="str">
        <f t="shared" si="175"/>
        <v>Bellaire</v>
      </c>
      <c r="G2285" t="str">
        <f t="shared" si="176"/>
        <v>Bellaire9303Houston</v>
      </c>
      <c r="H2285" t="s">
        <v>33143</v>
      </c>
      <c r="I2285" t="s">
        <v>24568</v>
      </c>
      <c r="J2285" t="str">
        <f t="shared" si="177"/>
        <v>E:\PropInv\MF</v>
      </c>
      <c r="K2285" s="103" t="str">
        <f>HYPERLINK("E:\PropInv\MF\Houston\Bellaire Blvd_9303_Royal Shield Apts_Houston_03097","Bellaire Blvd_9303_Royal Shield Apts_Houston_03097" )</f>
        <v>Bellaire Blvd_9303_Royal Shield Apts_Houston_03097</v>
      </c>
      <c r="L2285" s="104" t="s">
        <v>22253</v>
      </c>
      <c r="M2285" s="103" t="str">
        <f t="shared" si="178"/>
        <v>http://oconnordata.com/mlink/modules/profile/index.cfm?action=profile&amp;prop_id=3097</v>
      </c>
      <c r="N2285" s="1" t="str">
        <f t="shared" si="179"/>
        <v>03097</v>
      </c>
    </row>
    <row r="2286" spans="1:14" x14ac:dyDescent="0.3">
      <c r="A2286" s="1">
        <v>3098</v>
      </c>
      <c r="B2286" s="7" t="s">
        <v>3456</v>
      </c>
      <c r="C2286" s="12">
        <v>6200</v>
      </c>
      <c r="D2286" s="7" t="s">
        <v>3457</v>
      </c>
      <c r="E2286" s="13" t="s">
        <v>1657</v>
      </c>
      <c r="F2286" t="str">
        <f t="shared" si="175"/>
        <v>Ranchester</v>
      </c>
      <c r="G2286" t="str">
        <f t="shared" si="176"/>
        <v>Ranchester6200Houston</v>
      </c>
      <c r="H2286" t="s">
        <v>33144</v>
      </c>
      <c r="I2286" t="s">
        <v>24569</v>
      </c>
      <c r="J2286" t="str">
        <f t="shared" si="177"/>
        <v>E:\PropInv\MF</v>
      </c>
      <c r="K2286" s="103" t="str">
        <f>HYPERLINK("E:\PropInv\MF\Houston\Ranchester_6200_Hamilton Court Condo Apts_Houston_03098","Ranchester_6200_Hamilton Court Condo Apts_Houston_03098" )</f>
        <v>Ranchester_6200_Hamilton Court Condo Apts_Houston_03098</v>
      </c>
      <c r="L2286" s="104" t="s">
        <v>22253</v>
      </c>
      <c r="M2286" s="103" t="str">
        <f t="shared" si="178"/>
        <v>http://oconnordata.com/mlink/modules/profile/index.cfm?action=profile&amp;prop_id=3098</v>
      </c>
      <c r="N2286" s="1" t="str">
        <f t="shared" si="179"/>
        <v>03098</v>
      </c>
    </row>
    <row r="2287" spans="1:14" x14ac:dyDescent="0.3">
      <c r="A2287" s="1">
        <v>3099</v>
      </c>
      <c r="B2287" s="7" t="s">
        <v>566</v>
      </c>
      <c r="C2287" s="12">
        <v>9201</v>
      </c>
      <c r="D2287" s="7" t="s">
        <v>3458</v>
      </c>
      <c r="E2287" s="13" t="s">
        <v>1657</v>
      </c>
      <c r="F2287" t="str">
        <f t="shared" si="175"/>
        <v>Clarewood</v>
      </c>
      <c r="G2287" t="str">
        <f t="shared" si="176"/>
        <v>Clarewood9201Houston</v>
      </c>
      <c r="H2287" t="s">
        <v>33145</v>
      </c>
      <c r="I2287" t="s">
        <v>24570</v>
      </c>
      <c r="J2287" t="str">
        <f t="shared" si="177"/>
        <v>E:\PropInv\MF</v>
      </c>
      <c r="K2287" s="103" t="str">
        <f>HYPERLINK("E:\PropInv\MF\Houston\Clarewood_9201_Louisville Court_Houston_03099","Clarewood_9201_Louisville Court_Houston_03099" )</f>
        <v>Clarewood_9201_Louisville Court_Houston_03099</v>
      </c>
      <c r="L2287" s="104" t="s">
        <v>22253</v>
      </c>
      <c r="M2287" s="103" t="str">
        <f t="shared" si="178"/>
        <v>http://oconnordata.com/mlink/modules/profile/index.cfm?action=profile&amp;prop_id=3099</v>
      </c>
      <c r="N2287" s="1" t="str">
        <f t="shared" si="179"/>
        <v>03099</v>
      </c>
    </row>
    <row r="2288" spans="1:14" x14ac:dyDescent="0.3">
      <c r="A2288" s="1">
        <v>3100</v>
      </c>
      <c r="B2288" s="7" t="s">
        <v>3459</v>
      </c>
      <c r="C2288" s="12">
        <v>11303</v>
      </c>
      <c r="D2288" s="7" t="s">
        <v>1431</v>
      </c>
      <c r="E2288" s="13" t="s">
        <v>1657</v>
      </c>
      <c r="F2288" t="str">
        <f t="shared" si="175"/>
        <v>Wilcrest</v>
      </c>
      <c r="G2288" t="str">
        <f t="shared" si="176"/>
        <v>Wilcrest11303Houston</v>
      </c>
      <c r="H2288" t="s">
        <v>33146</v>
      </c>
      <c r="I2288" t="s">
        <v>24571</v>
      </c>
      <c r="J2288" t="str">
        <f t="shared" si="177"/>
        <v>E:\PropInv\MF</v>
      </c>
      <c r="K2288" s="103" t="str">
        <f>HYPERLINK("E:\PropInv\MF\Houston\Wilcrest S_11303_Tradewinds_Houston_03100","Wilcrest S_11303_Tradewinds_Houston_03100" )</f>
        <v>Wilcrest S_11303_Tradewinds_Houston_03100</v>
      </c>
      <c r="L2288" s="104" t="s">
        <v>22253</v>
      </c>
      <c r="M2288" s="103" t="str">
        <f t="shared" si="178"/>
        <v>http://oconnordata.com/mlink/modules/profile/index.cfm?action=profile&amp;prop_id=3100</v>
      </c>
      <c r="N2288" s="1" t="str">
        <f t="shared" si="179"/>
        <v>03100</v>
      </c>
    </row>
    <row r="2289" spans="1:14" x14ac:dyDescent="0.3">
      <c r="A2289" s="1">
        <v>3101</v>
      </c>
      <c r="B2289" s="7" t="s">
        <v>3460</v>
      </c>
      <c r="C2289" s="12">
        <v>11505</v>
      </c>
      <c r="D2289" s="7" t="s">
        <v>3461</v>
      </c>
      <c r="E2289" s="13" t="s">
        <v>1657</v>
      </c>
      <c r="F2289" t="str">
        <f t="shared" si="175"/>
        <v>Keegans</v>
      </c>
      <c r="G2289" t="str">
        <f t="shared" si="176"/>
        <v>Keegans11505Houston</v>
      </c>
      <c r="H2289" t="s">
        <v>33147</v>
      </c>
      <c r="I2289" t="s">
        <v>24572</v>
      </c>
      <c r="J2289" t="str">
        <f t="shared" si="177"/>
        <v>E:\PropInv\MF</v>
      </c>
      <c r="K2289" s="103" t="str">
        <f>HYPERLINK("E:\PropInv\MF\Houston\Keegans Ridge_11505_Point of the Southwest_Houston_03101","Keegans Ridge_11505_Point of the Southwest_Houston_03101" )</f>
        <v>Keegans Ridge_11505_Point of the Southwest_Houston_03101</v>
      </c>
      <c r="L2289" s="104" t="s">
        <v>22253</v>
      </c>
      <c r="M2289" s="103" t="str">
        <f t="shared" si="178"/>
        <v>http://oconnordata.com/mlink/modules/profile/index.cfm?action=profile&amp;prop_id=3101</v>
      </c>
      <c r="N2289" s="1" t="str">
        <f t="shared" si="179"/>
        <v>03101</v>
      </c>
    </row>
    <row r="2290" spans="1:14" x14ac:dyDescent="0.3">
      <c r="A2290" s="1">
        <v>3102</v>
      </c>
      <c r="B2290" s="7" t="s">
        <v>2800</v>
      </c>
      <c r="C2290" s="12">
        <v>6425</v>
      </c>
      <c r="D2290" s="7" t="s">
        <v>3462</v>
      </c>
      <c r="E2290" s="13" t="s">
        <v>1657</v>
      </c>
      <c r="F2290" t="str">
        <f t="shared" si="175"/>
        <v>Gessner</v>
      </c>
      <c r="G2290" t="str">
        <f t="shared" si="176"/>
        <v>Gessner6425Houston</v>
      </c>
      <c r="H2290" t="s">
        <v>33148</v>
      </c>
      <c r="I2290" t="s">
        <v>24573</v>
      </c>
      <c r="J2290" t="str">
        <f t="shared" si="177"/>
        <v>E:\PropInv\MF</v>
      </c>
      <c r="K2290" s="103" t="str">
        <f>HYPERLINK("E:\PropInv\MF\Houston\Gessner S_6425_Carlingford II_Houston_03102","Gessner S_6425_Carlingford II_Houston_03102" )</f>
        <v>Gessner S_6425_Carlingford II_Houston_03102</v>
      </c>
      <c r="L2290" s="104" t="s">
        <v>22253</v>
      </c>
      <c r="M2290" s="103" t="str">
        <f t="shared" si="178"/>
        <v>http://oconnordata.com/mlink/modules/profile/index.cfm?action=profile&amp;prop_id=3102</v>
      </c>
      <c r="N2290" s="1" t="str">
        <f t="shared" si="179"/>
        <v>03102</v>
      </c>
    </row>
    <row r="2291" spans="1:14" x14ac:dyDescent="0.3">
      <c r="A2291" s="1">
        <v>3103</v>
      </c>
      <c r="B2291" s="7" t="s">
        <v>3351</v>
      </c>
      <c r="C2291" s="12">
        <v>10201</v>
      </c>
      <c r="D2291" s="7" t="s">
        <v>3463</v>
      </c>
      <c r="E2291" s="13" t="s">
        <v>1657</v>
      </c>
      <c r="F2291" t="str">
        <f t="shared" si="175"/>
        <v>Harwin</v>
      </c>
      <c r="G2291" t="str">
        <f t="shared" si="176"/>
        <v>Harwin10201Houston</v>
      </c>
      <c r="H2291" t="s">
        <v>33149</v>
      </c>
      <c r="I2291" t="s">
        <v>24574</v>
      </c>
      <c r="J2291" t="str">
        <f t="shared" si="177"/>
        <v>E:\PropInv\MF</v>
      </c>
      <c r="K2291" s="103" t="str">
        <f>HYPERLINK("E:\PropInv\MF\Houston\Harwin_10201_Town Park_Houston_03103","Harwin_10201_Town Park_Houston_03103" )</f>
        <v>Harwin_10201_Town Park_Houston_03103</v>
      </c>
      <c r="L2291" s="104" t="s">
        <v>22253</v>
      </c>
      <c r="M2291" s="103" t="str">
        <f t="shared" si="178"/>
        <v>http://oconnordata.com/mlink/modules/profile/index.cfm?action=profile&amp;prop_id=3103</v>
      </c>
      <c r="N2291" s="1" t="str">
        <f t="shared" si="179"/>
        <v>03103</v>
      </c>
    </row>
    <row r="2292" spans="1:14" x14ac:dyDescent="0.3">
      <c r="A2292" s="1">
        <v>3104</v>
      </c>
      <c r="B2292" s="7" t="s">
        <v>3464</v>
      </c>
      <c r="C2292" s="12">
        <v>11522</v>
      </c>
      <c r="D2292" s="7" t="s">
        <v>3465</v>
      </c>
      <c r="E2292" s="13" t="s">
        <v>3428</v>
      </c>
      <c r="F2292" t="str">
        <f t="shared" si="175"/>
        <v>Meadow</v>
      </c>
      <c r="G2292" t="str">
        <f t="shared" si="176"/>
        <v>Meadow11522Stafford</v>
      </c>
      <c r="H2292" t="s">
        <v>33150</v>
      </c>
      <c r="I2292" t="s">
        <v>24575</v>
      </c>
      <c r="J2292" t="str">
        <f t="shared" si="177"/>
        <v>E:\PropInv\MF</v>
      </c>
      <c r="K2292" s="103" t="str">
        <f>HYPERLINK("E:\PropInv\MF\Stafford\Meadow Ln_11522_Meadow Lane Fourplex Homes_Stafford_03104","Meadow Ln_11522_Meadow Lane Fourplex Homes_Stafford_03104" )</f>
        <v>Meadow Ln_11522_Meadow Lane Fourplex Homes_Stafford_03104</v>
      </c>
      <c r="L2292" s="104" t="s">
        <v>22253</v>
      </c>
      <c r="M2292" s="103" t="str">
        <f t="shared" si="178"/>
        <v>http://oconnordata.com/mlink/modules/profile/index.cfm?action=profile&amp;prop_id=3104</v>
      </c>
      <c r="N2292" s="1" t="str">
        <f t="shared" si="179"/>
        <v>03104</v>
      </c>
    </row>
    <row r="2293" spans="1:14" x14ac:dyDescent="0.3">
      <c r="A2293" s="1">
        <v>3106</v>
      </c>
      <c r="B2293" s="7" t="s">
        <v>3425</v>
      </c>
      <c r="C2293" s="12">
        <v>11650</v>
      </c>
      <c r="D2293" s="7" t="s">
        <v>3466</v>
      </c>
      <c r="E2293" s="13" t="s">
        <v>1657</v>
      </c>
      <c r="F2293" t="str">
        <f t="shared" si="175"/>
        <v>Bellfort</v>
      </c>
      <c r="G2293" t="str">
        <f t="shared" si="176"/>
        <v>Bellfort11650Houston</v>
      </c>
      <c r="H2293" t="s">
        <v>33151</v>
      </c>
      <c r="I2293" t="s">
        <v>24576</v>
      </c>
      <c r="J2293" t="str">
        <f t="shared" si="177"/>
        <v>E:\PropInv\MF</v>
      </c>
      <c r="K2293" s="103" t="str">
        <f>HYPERLINK("E:\PropInv\MF\Houston\Bellfort W_11650_Timbers of Keegans Bayou_Houston_03106","Bellfort W_11650_Timbers of Keegans Bayou_Houston_03106" )</f>
        <v>Bellfort W_11650_Timbers of Keegans Bayou_Houston_03106</v>
      </c>
      <c r="L2293" s="104" t="s">
        <v>22253</v>
      </c>
      <c r="M2293" s="103" t="str">
        <f t="shared" si="178"/>
        <v>http://oconnordata.com/mlink/modules/profile/index.cfm?action=profile&amp;prop_id=3106</v>
      </c>
      <c r="N2293" s="1" t="str">
        <f t="shared" si="179"/>
        <v>03106</v>
      </c>
    </row>
    <row r="2294" spans="1:14" x14ac:dyDescent="0.3">
      <c r="A2294" s="1">
        <v>3107</v>
      </c>
      <c r="B2294" s="7" t="s">
        <v>3449</v>
      </c>
      <c r="C2294" s="12">
        <v>7630</v>
      </c>
      <c r="D2294" s="7" t="s">
        <v>3467</v>
      </c>
      <c r="E2294" s="13" t="s">
        <v>1657</v>
      </c>
      <c r="F2294" t="str">
        <f t="shared" si="175"/>
        <v>Bellerive</v>
      </c>
      <c r="G2294" t="str">
        <f t="shared" si="176"/>
        <v>Bellerive7630Houston</v>
      </c>
      <c r="H2294" t="s">
        <v>33152</v>
      </c>
      <c r="I2294" t="s">
        <v>24577</v>
      </c>
      <c r="J2294" t="str">
        <f t="shared" si="177"/>
        <v>E:\PropInv\MF</v>
      </c>
      <c r="K2294" s="103" t="str">
        <f>HYPERLINK("E:\PropInv\MF\Houston\Bellerive_7630_Charleston Court_Houston_03107","Bellerive_7630_Charleston Court_Houston_03107" )</f>
        <v>Bellerive_7630_Charleston Court_Houston_03107</v>
      </c>
      <c r="L2294" s="104" t="s">
        <v>22253</v>
      </c>
      <c r="M2294" s="103" t="str">
        <f t="shared" si="178"/>
        <v>http://oconnordata.com/mlink/modules/profile/index.cfm?action=profile&amp;prop_id=3107</v>
      </c>
      <c r="N2294" s="1" t="str">
        <f t="shared" si="179"/>
        <v>03107</v>
      </c>
    </row>
    <row r="2295" spans="1:14" x14ac:dyDescent="0.3">
      <c r="A2295" s="1">
        <v>3108</v>
      </c>
      <c r="B2295" s="7" t="s">
        <v>3468</v>
      </c>
      <c r="C2295" s="12">
        <v>5959</v>
      </c>
      <c r="D2295" s="7" t="s">
        <v>3469</v>
      </c>
      <c r="E2295" s="13" t="s">
        <v>1657</v>
      </c>
      <c r="F2295" t="str">
        <f t="shared" si="175"/>
        <v>Bonhomme</v>
      </c>
      <c r="G2295" t="str">
        <f t="shared" si="176"/>
        <v>Bonhomme5959Houston</v>
      </c>
      <c r="H2295" t="s">
        <v>33153</v>
      </c>
      <c r="I2295" t="s">
        <v>24578</v>
      </c>
      <c r="J2295" t="str">
        <f t="shared" si="177"/>
        <v>E:\PropInv\MF</v>
      </c>
      <c r="K2295" s="103" t="str">
        <f>HYPERLINK("E:\PropInv\MF\Houston\Bonhomme_5959_The Barrington_Houston_03108","Bonhomme_5959_The Barrington_Houston_03108" )</f>
        <v>Bonhomme_5959_The Barrington_Houston_03108</v>
      </c>
      <c r="L2295" s="104" t="s">
        <v>22253</v>
      </c>
      <c r="M2295" s="103" t="str">
        <f t="shared" si="178"/>
        <v>http://oconnordata.com/mlink/modules/profile/index.cfm?action=profile&amp;prop_id=3108</v>
      </c>
      <c r="N2295" s="1" t="str">
        <f t="shared" si="179"/>
        <v>03108</v>
      </c>
    </row>
    <row r="2296" spans="1:14" x14ac:dyDescent="0.3">
      <c r="A2296" s="1">
        <v>3111</v>
      </c>
      <c r="B2296" s="7" t="s">
        <v>3470</v>
      </c>
      <c r="C2296" s="12">
        <v>8300</v>
      </c>
      <c r="D2296" s="7" t="s">
        <v>3471</v>
      </c>
      <c r="E2296" s="13" t="s">
        <v>1657</v>
      </c>
      <c r="F2296" t="str">
        <f t="shared" si="175"/>
        <v>Sands</v>
      </c>
      <c r="G2296" t="str">
        <f t="shared" si="176"/>
        <v>Sands8300Houston</v>
      </c>
      <c r="H2296" t="s">
        <v>33154</v>
      </c>
      <c r="I2296" t="s">
        <v>24579</v>
      </c>
      <c r="J2296" t="str">
        <f t="shared" si="177"/>
        <v>E:\PropInv\MF</v>
      </c>
      <c r="K2296" s="103" t="str">
        <f>HYPERLINK("E:\PropInv\MF\Houston\Sands Point Dr_8300_Sands Point_Houston_03111","Sands Point Dr_8300_Sands Point_Houston_03111" )</f>
        <v>Sands Point Dr_8300_Sands Point_Houston_03111</v>
      </c>
      <c r="L2296" s="104" t="s">
        <v>22253</v>
      </c>
      <c r="M2296" s="103" t="str">
        <f t="shared" si="178"/>
        <v>http://oconnordata.com/mlink/modules/profile/index.cfm?action=profile&amp;prop_id=3111</v>
      </c>
      <c r="N2296" s="1" t="str">
        <f t="shared" si="179"/>
        <v>03111</v>
      </c>
    </row>
    <row r="2297" spans="1:14" x14ac:dyDescent="0.3">
      <c r="A2297" s="1">
        <v>3112</v>
      </c>
      <c r="B2297" s="7" t="s">
        <v>3449</v>
      </c>
      <c r="C2297" s="12">
        <v>7203</v>
      </c>
      <c r="D2297" s="7" t="s">
        <v>3472</v>
      </c>
      <c r="E2297" s="13" t="s">
        <v>1657</v>
      </c>
      <c r="F2297" t="str">
        <f t="shared" si="175"/>
        <v>Bellerive</v>
      </c>
      <c r="G2297" t="str">
        <f t="shared" si="176"/>
        <v>Bellerive7203Houston</v>
      </c>
      <c r="H2297" t="s">
        <v>33155</v>
      </c>
      <c r="I2297" t="s">
        <v>24580</v>
      </c>
      <c r="J2297" t="str">
        <f t="shared" si="177"/>
        <v>E:\PropInv\MF</v>
      </c>
      <c r="K2297" s="103" t="str">
        <f>HYPERLINK("E:\PropInv\MF\Houston\Bellerive_7203_Stonegate_Houston_03112","Bellerive_7203_Stonegate_Houston_03112" )</f>
        <v>Bellerive_7203_Stonegate_Houston_03112</v>
      </c>
      <c r="L2297" s="104" t="s">
        <v>22253</v>
      </c>
      <c r="M2297" s="103" t="str">
        <f t="shared" si="178"/>
        <v>http://oconnordata.com/mlink/modules/profile/index.cfm?action=profile&amp;prop_id=3112</v>
      </c>
      <c r="N2297" s="1" t="str">
        <f t="shared" si="179"/>
        <v>03112</v>
      </c>
    </row>
    <row r="2298" spans="1:14" x14ac:dyDescent="0.3">
      <c r="A2298" s="1">
        <v>3113</v>
      </c>
      <c r="B2298" s="7" t="s">
        <v>3449</v>
      </c>
      <c r="C2298" s="12">
        <v>7222</v>
      </c>
      <c r="D2298" s="7" t="s">
        <v>3473</v>
      </c>
      <c r="E2298" s="13" t="s">
        <v>1657</v>
      </c>
      <c r="F2298" t="str">
        <f t="shared" si="175"/>
        <v>Bellerive</v>
      </c>
      <c r="G2298" t="str">
        <f t="shared" si="176"/>
        <v>Bellerive7222Houston</v>
      </c>
      <c r="H2298" t="s">
        <v>33156</v>
      </c>
      <c r="I2298" t="s">
        <v>24581</v>
      </c>
      <c r="J2298" t="str">
        <f t="shared" si="177"/>
        <v>E:\PropInv\MF</v>
      </c>
      <c r="K2298" s="103" t="str">
        <f>HYPERLINK("E:\PropInv\MF\Houston\Bellerive_7222_Regency Square_Houston_03113","Bellerive_7222_Regency Square_Houston_03113" )</f>
        <v>Bellerive_7222_Regency Square_Houston_03113</v>
      </c>
      <c r="L2298" s="104" t="s">
        <v>22253</v>
      </c>
      <c r="M2298" s="103" t="str">
        <f t="shared" si="178"/>
        <v>http://oconnordata.com/mlink/modules/profile/index.cfm?action=profile&amp;prop_id=3113</v>
      </c>
      <c r="N2298" s="1" t="str">
        <f t="shared" si="179"/>
        <v>03113</v>
      </c>
    </row>
    <row r="2299" spans="1:14" x14ac:dyDescent="0.3">
      <c r="A2299" s="1">
        <v>3114</v>
      </c>
      <c r="B2299" s="7" t="s">
        <v>3429</v>
      </c>
      <c r="C2299" s="12">
        <v>10350</v>
      </c>
      <c r="D2299" s="7" t="s">
        <v>3474</v>
      </c>
      <c r="E2299" s="13" t="s">
        <v>1657</v>
      </c>
      <c r="F2299" t="str">
        <f t="shared" si="175"/>
        <v>Lands</v>
      </c>
      <c r="G2299" t="str">
        <f t="shared" si="176"/>
        <v>Lands10350Houston</v>
      </c>
      <c r="H2299" t="s">
        <v>33157</v>
      </c>
      <c r="I2299" t="s">
        <v>24582</v>
      </c>
      <c r="J2299" t="str">
        <f t="shared" si="177"/>
        <v>E:\PropInv\MF</v>
      </c>
      <c r="K2299" s="103" t="str">
        <f>HYPERLINK("E:\PropInv\MF\Houston\Lands End Dr_10350_Stancliff Park_Houston_03114","Lands End Dr_10350_Stancliff Park_Houston_03114" )</f>
        <v>Lands End Dr_10350_Stancliff Park_Houston_03114</v>
      </c>
      <c r="L2299" s="104" t="s">
        <v>22253</v>
      </c>
      <c r="M2299" s="103" t="str">
        <f t="shared" si="178"/>
        <v>http://oconnordata.com/mlink/modules/profile/index.cfm?action=profile&amp;prop_id=3114</v>
      </c>
      <c r="N2299" s="1" t="str">
        <f t="shared" si="179"/>
        <v>03114</v>
      </c>
    </row>
    <row r="2300" spans="1:14" x14ac:dyDescent="0.3">
      <c r="A2300" s="1">
        <v>3116</v>
      </c>
      <c r="B2300" s="21" t="s">
        <v>3445</v>
      </c>
      <c r="C2300" s="12">
        <v>10411</v>
      </c>
      <c r="D2300" s="7" t="s">
        <v>3475</v>
      </c>
      <c r="E2300" s="13" t="s">
        <v>1657</v>
      </c>
      <c r="F2300" t="str">
        <f t="shared" si="175"/>
        <v>S</v>
      </c>
      <c r="G2300" t="str">
        <f t="shared" si="176"/>
        <v>S10411Houston</v>
      </c>
      <c r="H2300" t="s">
        <v>33158</v>
      </c>
      <c r="I2300" t="s">
        <v>24583</v>
      </c>
      <c r="J2300" t="str">
        <f t="shared" si="177"/>
        <v>E:\PropInv\MF</v>
      </c>
      <c r="K2300" s="103" t="str">
        <f>HYPERLINK("E:\PropInv\MF\Houston\S Dr_10411_Foxboro_Houston_03116","S Dr_10411_Foxboro_Houston_03116" )</f>
        <v>S Dr_10411_Foxboro_Houston_03116</v>
      </c>
      <c r="L2300" s="104" t="s">
        <v>22253</v>
      </c>
      <c r="M2300" s="103" t="str">
        <f t="shared" si="178"/>
        <v>http://oconnordata.com/mlink/modules/profile/index.cfm?action=profile&amp;prop_id=3116</v>
      </c>
      <c r="N2300" s="1" t="str">
        <f t="shared" si="179"/>
        <v>03116</v>
      </c>
    </row>
    <row r="2301" spans="1:14" x14ac:dyDescent="0.3">
      <c r="A2301" s="1">
        <v>3117</v>
      </c>
      <c r="B2301" s="7" t="s">
        <v>3456</v>
      </c>
      <c r="C2301" s="12">
        <v>5909</v>
      </c>
      <c r="D2301" s="7" t="s">
        <v>3476</v>
      </c>
      <c r="E2301" s="13" t="s">
        <v>1657</v>
      </c>
      <c r="F2301" t="str">
        <f t="shared" si="175"/>
        <v>Ranchester</v>
      </c>
      <c r="G2301" t="str">
        <f t="shared" si="176"/>
        <v>Ranchester5909Houston</v>
      </c>
      <c r="H2301" t="s">
        <v>33159</v>
      </c>
      <c r="I2301" t="s">
        <v>24584</v>
      </c>
      <c r="J2301" t="str">
        <f t="shared" si="177"/>
        <v>E:\PropInv\MF</v>
      </c>
      <c r="K2301" s="103" t="str">
        <f>HYPERLINK("E:\PropInv\MF\Houston\Ranchester_5909_Sun Blossom Mountain_Houston_03117","Ranchester_5909_Sun Blossom Mountain_Houston_03117" )</f>
        <v>Ranchester_5909_Sun Blossom Mountain_Houston_03117</v>
      </c>
      <c r="L2301" s="104" t="s">
        <v>22253</v>
      </c>
      <c r="M2301" s="103" t="str">
        <f t="shared" si="178"/>
        <v>http://oconnordata.com/mlink/modules/profile/index.cfm?action=profile&amp;prop_id=3117</v>
      </c>
      <c r="N2301" s="1" t="str">
        <f t="shared" si="179"/>
        <v>03117</v>
      </c>
    </row>
    <row r="2302" spans="1:14" x14ac:dyDescent="0.3">
      <c r="A2302" s="1">
        <v>3118</v>
      </c>
      <c r="B2302" s="7" t="s">
        <v>3470</v>
      </c>
      <c r="C2302" s="12">
        <v>8600</v>
      </c>
      <c r="D2302" s="7" t="s">
        <v>3477</v>
      </c>
      <c r="E2302" s="13" t="s">
        <v>1657</v>
      </c>
      <c r="F2302" t="str">
        <f t="shared" si="175"/>
        <v>Sands</v>
      </c>
      <c r="G2302" t="str">
        <f t="shared" si="176"/>
        <v>Sands8600Houston</v>
      </c>
      <c r="H2302" t="s">
        <v>33160</v>
      </c>
      <c r="I2302" t="s">
        <v>24585</v>
      </c>
      <c r="J2302" t="str">
        <f t="shared" si="177"/>
        <v>E:\PropInv\MF</v>
      </c>
      <c r="K2302" s="103" t="str">
        <f>HYPERLINK("E:\PropInv\MF\Houston\Sands Point Dr_8600_Sands Point Cove_Houston_03118","Sands Point Dr_8600_Sands Point Cove_Houston_03118" )</f>
        <v>Sands Point Dr_8600_Sands Point Cove_Houston_03118</v>
      </c>
      <c r="L2302" s="104" t="s">
        <v>22253</v>
      </c>
      <c r="M2302" s="103" t="str">
        <f t="shared" si="178"/>
        <v>http://oconnordata.com/mlink/modules/profile/index.cfm?action=profile&amp;prop_id=3118</v>
      </c>
      <c r="N2302" s="1" t="str">
        <f t="shared" si="179"/>
        <v>03118</v>
      </c>
    </row>
    <row r="2303" spans="1:14" x14ac:dyDescent="0.3">
      <c r="A2303" s="1">
        <v>3119</v>
      </c>
      <c r="B2303" s="7" t="s">
        <v>3478</v>
      </c>
      <c r="C2303" s="12">
        <v>6200</v>
      </c>
      <c r="D2303" s="7" t="s">
        <v>3479</v>
      </c>
      <c r="E2303" s="13" t="s">
        <v>1657</v>
      </c>
      <c r="F2303" t="str">
        <f t="shared" si="175"/>
        <v>Gessner</v>
      </c>
      <c r="G2303" t="str">
        <f t="shared" si="176"/>
        <v>Gessner6200Houston</v>
      </c>
      <c r="H2303" t="s">
        <v>33161</v>
      </c>
      <c r="I2303" t="s">
        <v>24586</v>
      </c>
      <c r="J2303" t="str">
        <f t="shared" si="177"/>
        <v>E:\PropInv\MF</v>
      </c>
      <c r="K2303" s="103" t="str">
        <f>HYPERLINK("E:\PropInv\MF\Houston\Gessner_6200_6200 Gessner_Houston_03119","Gessner_6200_6200 Gessner_Houston_03119" )</f>
        <v>Gessner_6200_6200 Gessner_Houston_03119</v>
      </c>
      <c r="L2303" s="104" t="s">
        <v>22253</v>
      </c>
      <c r="M2303" s="103" t="str">
        <f t="shared" si="178"/>
        <v>http://oconnordata.com/mlink/modules/profile/index.cfm?action=profile&amp;prop_id=3119</v>
      </c>
      <c r="N2303" s="1" t="str">
        <f t="shared" si="179"/>
        <v>03119</v>
      </c>
    </row>
    <row r="2304" spans="1:14" x14ac:dyDescent="0.3">
      <c r="A2304" s="1">
        <v>3120</v>
      </c>
      <c r="B2304" s="7" t="s">
        <v>566</v>
      </c>
      <c r="C2304" s="12">
        <v>9220</v>
      </c>
      <c r="D2304" s="7" t="s">
        <v>3480</v>
      </c>
      <c r="E2304" s="13" t="s">
        <v>1657</v>
      </c>
      <c r="F2304" t="str">
        <f t="shared" si="175"/>
        <v>Clarewood</v>
      </c>
      <c r="G2304" t="str">
        <f t="shared" si="176"/>
        <v>Clarewood9220Houston</v>
      </c>
      <c r="H2304" t="s">
        <v>33162</v>
      </c>
      <c r="I2304" t="s">
        <v>24587</v>
      </c>
      <c r="J2304" t="str">
        <f t="shared" si="177"/>
        <v>E:\PropInv\MF</v>
      </c>
      <c r="K2304" s="103" t="str">
        <f>HYPERLINK("E:\PropInv\MF\Houston\Clarewood_9220_Summer Creek_Houston_03120","Clarewood_9220_Summer Creek_Houston_03120" )</f>
        <v>Clarewood_9220_Summer Creek_Houston_03120</v>
      </c>
      <c r="L2304" s="104" t="s">
        <v>22253</v>
      </c>
      <c r="M2304" s="103" t="str">
        <f t="shared" si="178"/>
        <v>http://oconnordata.com/mlink/modules/profile/index.cfm?action=profile&amp;prop_id=3120</v>
      </c>
      <c r="N2304" s="1" t="str">
        <f t="shared" si="179"/>
        <v>03120</v>
      </c>
    </row>
    <row r="2305" spans="1:14" x14ac:dyDescent="0.3">
      <c r="A2305" s="1">
        <v>3121</v>
      </c>
      <c r="B2305" s="7" t="s">
        <v>2800</v>
      </c>
      <c r="C2305" s="12">
        <v>6400</v>
      </c>
      <c r="D2305" s="7" t="s">
        <v>3481</v>
      </c>
      <c r="E2305" s="13" t="s">
        <v>1657</v>
      </c>
      <c r="F2305" t="str">
        <f t="shared" si="175"/>
        <v>Gessner</v>
      </c>
      <c r="G2305" t="str">
        <f t="shared" si="176"/>
        <v>Gessner6400Houston</v>
      </c>
      <c r="H2305" t="s">
        <v>33163</v>
      </c>
      <c r="I2305" t="s">
        <v>24588</v>
      </c>
      <c r="J2305" t="str">
        <f t="shared" si="177"/>
        <v>E:\PropInv\MF</v>
      </c>
      <c r="K2305" s="103" t="str">
        <f>HYPERLINK("E:\PropInv\MF\Houston\Gessner S_6400_Silver Leaf_Houston_03121","Gessner S_6400_Silver Leaf_Houston_03121" )</f>
        <v>Gessner S_6400_Silver Leaf_Houston_03121</v>
      </c>
      <c r="L2305" s="104" t="s">
        <v>22253</v>
      </c>
      <c r="M2305" s="103" t="str">
        <f t="shared" si="178"/>
        <v>http://oconnordata.com/mlink/modules/profile/index.cfm?action=profile&amp;prop_id=3121</v>
      </c>
      <c r="N2305" s="1" t="str">
        <f t="shared" si="179"/>
        <v>03121</v>
      </c>
    </row>
    <row r="2306" spans="1:14" x14ac:dyDescent="0.3">
      <c r="A2306" s="1">
        <v>3122</v>
      </c>
      <c r="B2306" s="7" t="s">
        <v>3482</v>
      </c>
      <c r="C2306" s="12">
        <v>5850</v>
      </c>
      <c r="D2306" s="7" t="s">
        <v>3483</v>
      </c>
      <c r="E2306" s="13" t="s">
        <v>1657</v>
      </c>
      <c r="F2306" t="str">
        <f t="shared" ref="F2306:F2369" si="180">IFERROR(LEFT(B2306,FIND(" ",B2306)-1),B2306)</f>
        <v>Parkfront</v>
      </c>
      <c r="G2306" t="str">
        <f t="shared" ref="G2306:G2369" si="181">F2306&amp;C2306&amp;E2306</f>
        <v>Parkfront5850Houston</v>
      </c>
      <c r="H2306" t="s">
        <v>33164</v>
      </c>
      <c r="I2306" t="s">
        <v>24589</v>
      </c>
      <c r="J2306" t="str">
        <f t="shared" ref="J2306:J2369" si="182">IF(L2306="TX",Folder_Path,Folder_Path&amp;"\State_"&amp;L2306)</f>
        <v>E:\PropInv\MF</v>
      </c>
      <c r="K2306" s="103" t="str">
        <f>HYPERLINK("E:\PropInv\MF\Houston\Parkfront_5850_Falls of Point West_Houston_03122","Parkfront_5850_Falls of Point West_Houston_03122" )</f>
        <v>Parkfront_5850_Falls of Point West_Houston_03122</v>
      </c>
      <c r="L2306" s="104" t="s">
        <v>22253</v>
      </c>
      <c r="M2306" s="103" t="str">
        <f t="shared" ref="M2306:M2369" si="183">HYPERLINK("http://oconnordata.com/mlink/modules/profile/index.cfm?action=profile&amp;prop_id="&amp;A2306)</f>
        <v>http://oconnordata.com/mlink/modules/profile/index.cfm?action=profile&amp;prop_id=3122</v>
      </c>
      <c r="N2306" s="1" t="str">
        <f t="shared" ref="N2306:N2369" si="184">IF(LEN(A2306)=1,"0000"&amp;A2306,IF(LEN(A2306)=2,"000"&amp;A2306,IF(LEN(A2306)=3,"00"&amp;A2306,IF(LEN(A2306)=4,"0"&amp;A2306,IF(LEN(A2306)=5,IF(LEFT(A2306,1)="3",A2306+30000,A2306))))))</f>
        <v>03122</v>
      </c>
    </row>
    <row r="2307" spans="1:14" x14ac:dyDescent="0.3">
      <c r="A2307" s="1">
        <v>3123</v>
      </c>
      <c r="B2307" s="7" t="s">
        <v>3484</v>
      </c>
      <c r="C2307" s="12">
        <v>5900</v>
      </c>
      <c r="D2307" s="7" t="s">
        <v>3485</v>
      </c>
      <c r="E2307" s="13" t="s">
        <v>1657</v>
      </c>
      <c r="F2307" t="str">
        <f t="shared" si="180"/>
        <v>Ranchester</v>
      </c>
      <c r="G2307" t="str">
        <f t="shared" si="181"/>
        <v>Ranchester5900Houston</v>
      </c>
      <c r="H2307" t="s">
        <v>33165</v>
      </c>
      <c r="I2307" t="s">
        <v>24590</v>
      </c>
      <c r="J2307" t="str">
        <f t="shared" si="182"/>
        <v>E:\PropInv\MF</v>
      </c>
      <c r="K2307" s="103" t="str">
        <f>HYPERLINK("E:\PropInv\MF\Houston\Ranchester Dr_5900_Sun Blossom Gardens_Houston_03123","Ranchester Dr_5900_Sun Blossom Gardens_Houston_03123" )</f>
        <v>Ranchester Dr_5900_Sun Blossom Gardens_Houston_03123</v>
      </c>
      <c r="L2307" s="104" t="s">
        <v>22253</v>
      </c>
      <c r="M2307" s="103" t="str">
        <f t="shared" si="183"/>
        <v>http://oconnordata.com/mlink/modules/profile/index.cfm?action=profile&amp;prop_id=3123</v>
      </c>
      <c r="N2307" s="1" t="str">
        <f t="shared" si="184"/>
        <v>03123</v>
      </c>
    </row>
    <row r="2308" spans="1:14" x14ac:dyDescent="0.3">
      <c r="A2308" s="1">
        <v>3124</v>
      </c>
      <c r="B2308" s="7" t="s">
        <v>3463</v>
      </c>
      <c r="C2308" s="12">
        <v>9000</v>
      </c>
      <c r="D2308" s="7" t="s">
        <v>3486</v>
      </c>
      <c r="E2308" s="13" t="s">
        <v>1657</v>
      </c>
      <c r="F2308" t="str">
        <f t="shared" si="180"/>
        <v>Town</v>
      </c>
      <c r="G2308" t="str">
        <f t="shared" si="181"/>
        <v>Town9000Houston</v>
      </c>
      <c r="H2308" t="s">
        <v>33166</v>
      </c>
      <c r="I2308" t="s">
        <v>24591</v>
      </c>
      <c r="J2308" t="str">
        <f t="shared" si="182"/>
        <v>E:\PropInv\MF</v>
      </c>
      <c r="K2308" s="103" t="str">
        <f>HYPERLINK("E:\PropInv\MF\Houston\Town Park_9000_Rock Springs_Houston_03124","Town Park_9000_Rock Springs_Houston_03124" )</f>
        <v>Town Park_9000_Rock Springs_Houston_03124</v>
      </c>
      <c r="L2308" s="104" t="s">
        <v>22253</v>
      </c>
      <c r="M2308" s="103" t="str">
        <f t="shared" si="183"/>
        <v>http://oconnordata.com/mlink/modules/profile/index.cfm?action=profile&amp;prop_id=3124</v>
      </c>
      <c r="N2308" s="1" t="str">
        <f t="shared" si="184"/>
        <v>03124</v>
      </c>
    </row>
    <row r="2309" spans="1:14" x14ac:dyDescent="0.3">
      <c r="A2309" s="1">
        <v>3125</v>
      </c>
      <c r="B2309" s="7" t="s">
        <v>3463</v>
      </c>
      <c r="C2309" s="12">
        <v>9001</v>
      </c>
      <c r="D2309" s="7" t="s">
        <v>3487</v>
      </c>
      <c r="E2309" s="13" t="s">
        <v>1657</v>
      </c>
      <c r="F2309" t="str">
        <f t="shared" si="180"/>
        <v>Town</v>
      </c>
      <c r="G2309" t="str">
        <f t="shared" si="181"/>
        <v>Town9001Houston</v>
      </c>
      <c r="H2309" t="s">
        <v>33167</v>
      </c>
      <c r="I2309" t="s">
        <v>24592</v>
      </c>
      <c r="J2309" t="str">
        <f t="shared" si="182"/>
        <v>E:\PropInv\MF</v>
      </c>
      <c r="K2309" s="103" t="str">
        <f>HYPERLINK("E:\PropInv\MF\Houston\Town Park_9001_Village Key_Houston_03125","Town Park_9001_Village Key_Houston_03125" )</f>
        <v>Town Park_9001_Village Key_Houston_03125</v>
      </c>
      <c r="L2309" s="104" t="s">
        <v>22253</v>
      </c>
      <c r="M2309" s="103" t="str">
        <f t="shared" si="183"/>
        <v>http://oconnordata.com/mlink/modules/profile/index.cfm?action=profile&amp;prop_id=3125</v>
      </c>
      <c r="N2309" s="1" t="str">
        <f t="shared" si="184"/>
        <v>03125</v>
      </c>
    </row>
    <row r="2310" spans="1:14" x14ac:dyDescent="0.3">
      <c r="A2310" s="1">
        <v>3126</v>
      </c>
      <c r="B2310" s="7" t="s">
        <v>3463</v>
      </c>
      <c r="C2310" s="12">
        <v>9303</v>
      </c>
      <c r="D2310" s="7" t="s">
        <v>3488</v>
      </c>
      <c r="E2310" s="13" t="s">
        <v>1657</v>
      </c>
      <c r="F2310" t="str">
        <f t="shared" si="180"/>
        <v>Town</v>
      </c>
      <c r="G2310" t="str">
        <f t="shared" si="181"/>
        <v>Town9303Houston</v>
      </c>
      <c r="H2310" t="s">
        <v>33168</v>
      </c>
      <c r="I2310" t="s">
        <v>24593</v>
      </c>
      <c r="J2310" t="str">
        <f t="shared" si="182"/>
        <v>E:\PropInv\MF</v>
      </c>
      <c r="K2310" s="103" t="str">
        <f>HYPERLINK("E:\PropInv\MF\Houston\Town Park_9303_Rustic Village_Houston_03126","Town Park_9303_Rustic Village_Houston_03126" )</f>
        <v>Town Park_9303_Rustic Village_Houston_03126</v>
      </c>
      <c r="L2310" s="104" t="s">
        <v>22253</v>
      </c>
      <c r="M2310" s="103" t="str">
        <f t="shared" si="183"/>
        <v>http://oconnordata.com/mlink/modules/profile/index.cfm?action=profile&amp;prop_id=3126</v>
      </c>
      <c r="N2310" s="1" t="str">
        <f t="shared" si="184"/>
        <v>03126</v>
      </c>
    </row>
    <row r="2311" spans="1:14" x14ac:dyDescent="0.3">
      <c r="A2311" s="1">
        <v>3128</v>
      </c>
      <c r="B2311" s="7" t="s">
        <v>3489</v>
      </c>
      <c r="C2311" s="12">
        <v>5995</v>
      </c>
      <c r="D2311" s="7" t="s">
        <v>3490</v>
      </c>
      <c r="E2311" s="13" t="s">
        <v>1657</v>
      </c>
      <c r="F2311" t="str">
        <f t="shared" si="180"/>
        <v>All</v>
      </c>
      <c r="G2311" t="str">
        <f t="shared" si="181"/>
        <v>All5995Houston</v>
      </c>
      <c r="H2311" t="s">
        <v>33169</v>
      </c>
      <c r="I2311" t="s">
        <v>24594</v>
      </c>
      <c r="J2311" t="str">
        <f t="shared" si="182"/>
        <v>E:\PropInv\MF</v>
      </c>
      <c r="K2311" s="103" t="str">
        <f>HYPERLINK("E:\PropInv\MF\Houston\All Day_5995_Highland Green_Houston_03128","All Day_5995_Highland Green_Houston_03128" )</f>
        <v>All Day_5995_Highland Green_Houston_03128</v>
      </c>
      <c r="L2311" s="104" t="s">
        <v>22253</v>
      </c>
      <c r="M2311" s="103" t="str">
        <f t="shared" si="183"/>
        <v>http://oconnordata.com/mlink/modules/profile/index.cfm?action=profile&amp;prop_id=3128</v>
      </c>
      <c r="N2311" s="1" t="str">
        <f t="shared" si="184"/>
        <v>03128</v>
      </c>
    </row>
    <row r="2312" spans="1:14" x14ac:dyDescent="0.3">
      <c r="A2312" s="1">
        <v>3129</v>
      </c>
      <c r="B2312" s="7" t="s">
        <v>892</v>
      </c>
      <c r="C2312" s="12">
        <v>7575</v>
      </c>
      <c r="D2312" s="7" t="s">
        <v>3491</v>
      </c>
      <c r="E2312" s="13" t="s">
        <v>1657</v>
      </c>
      <c r="F2312" t="str">
        <f t="shared" si="180"/>
        <v>Bellaire</v>
      </c>
      <c r="G2312" t="str">
        <f t="shared" si="181"/>
        <v>Bellaire7575Houston</v>
      </c>
      <c r="H2312" t="s">
        <v>33170</v>
      </c>
      <c r="I2312" t="s">
        <v>24595</v>
      </c>
      <c r="J2312" t="str">
        <f t="shared" si="182"/>
        <v>E:\PropInv\MF</v>
      </c>
      <c r="K2312" s="103" t="str">
        <f>HYPERLINK("E:\PropInv\MF\Houston\Bellaire_7575_The Conquistador_Houston_03129","Bellaire_7575_The Conquistador_Houston_03129" )</f>
        <v>Bellaire_7575_The Conquistador_Houston_03129</v>
      </c>
      <c r="L2312" s="104" t="s">
        <v>22253</v>
      </c>
      <c r="M2312" s="103" t="str">
        <f t="shared" si="183"/>
        <v>http://oconnordata.com/mlink/modules/profile/index.cfm?action=profile&amp;prop_id=3129</v>
      </c>
      <c r="N2312" s="1" t="str">
        <f t="shared" si="184"/>
        <v>03129</v>
      </c>
    </row>
    <row r="2313" spans="1:14" x14ac:dyDescent="0.3">
      <c r="A2313" s="1">
        <v>3130</v>
      </c>
      <c r="B2313" s="7" t="s">
        <v>3492</v>
      </c>
      <c r="C2313" s="12">
        <v>7650</v>
      </c>
      <c r="D2313" s="7" t="s">
        <v>3493</v>
      </c>
      <c r="E2313" s="13" t="s">
        <v>1657</v>
      </c>
      <c r="F2313" t="str">
        <f t="shared" si="180"/>
        <v>Moonmist</v>
      </c>
      <c r="G2313" t="str">
        <f t="shared" si="181"/>
        <v>Moonmist7650Houston</v>
      </c>
      <c r="H2313" t="s">
        <v>33171</v>
      </c>
      <c r="I2313" t="s">
        <v>24596</v>
      </c>
      <c r="J2313" t="str">
        <f t="shared" si="182"/>
        <v>E:\PropInv\MF</v>
      </c>
      <c r="K2313" s="103" t="str">
        <f>HYPERLINK("E:\PropInv\MF\Houston\Moonmist_7650_Paradise Apts_Houston_03130","Moonmist_7650_Paradise Apts_Houston_03130" )</f>
        <v>Moonmist_7650_Paradise Apts_Houston_03130</v>
      </c>
      <c r="L2313" s="104" t="s">
        <v>22253</v>
      </c>
      <c r="M2313" s="103" t="str">
        <f t="shared" si="183"/>
        <v>http://oconnordata.com/mlink/modules/profile/index.cfm?action=profile&amp;prop_id=3130</v>
      </c>
      <c r="N2313" s="1" t="str">
        <f t="shared" si="184"/>
        <v>03130</v>
      </c>
    </row>
    <row r="2314" spans="1:14" x14ac:dyDescent="0.3">
      <c r="A2314" s="1">
        <v>3131</v>
      </c>
      <c r="B2314" s="7" t="s">
        <v>3456</v>
      </c>
      <c r="C2314" s="12">
        <v>6301</v>
      </c>
      <c r="D2314" s="7" t="s">
        <v>3494</v>
      </c>
      <c r="E2314" s="13" t="s">
        <v>1657</v>
      </c>
      <c r="F2314" t="str">
        <f t="shared" si="180"/>
        <v>Ranchester</v>
      </c>
      <c r="G2314" t="str">
        <f t="shared" si="181"/>
        <v>Ranchester6301Houston</v>
      </c>
      <c r="H2314" t="s">
        <v>33172</v>
      </c>
      <c r="I2314" t="s">
        <v>24597</v>
      </c>
      <c r="J2314" t="str">
        <f t="shared" si="182"/>
        <v>E:\PropInv\MF</v>
      </c>
      <c r="K2314" s="103" t="str">
        <f>HYPERLINK("E:\PropInv\MF\Houston\Ranchester_6301_Happy Village_Houston_03131","Ranchester_6301_Happy Village_Houston_03131" )</f>
        <v>Ranchester_6301_Happy Village_Houston_03131</v>
      </c>
      <c r="L2314" s="104" t="s">
        <v>22253</v>
      </c>
      <c r="M2314" s="103" t="str">
        <f t="shared" si="183"/>
        <v>http://oconnordata.com/mlink/modules/profile/index.cfm?action=profile&amp;prop_id=3131</v>
      </c>
      <c r="N2314" s="1" t="str">
        <f t="shared" si="184"/>
        <v>03131</v>
      </c>
    </row>
    <row r="2315" spans="1:14" x14ac:dyDescent="0.3">
      <c r="A2315" s="1">
        <v>3132</v>
      </c>
      <c r="B2315" s="7" t="s">
        <v>892</v>
      </c>
      <c r="C2315" s="12">
        <v>7900</v>
      </c>
      <c r="D2315" s="7" t="s">
        <v>3495</v>
      </c>
      <c r="E2315" s="13" t="s">
        <v>1657</v>
      </c>
      <c r="F2315" t="str">
        <f t="shared" si="180"/>
        <v>Bellaire</v>
      </c>
      <c r="G2315" t="str">
        <f t="shared" si="181"/>
        <v>Bellaire7900Houston</v>
      </c>
      <c r="H2315" t="s">
        <v>33173</v>
      </c>
      <c r="I2315" t="s">
        <v>24598</v>
      </c>
      <c r="J2315" t="str">
        <f t="shared" si="182"/>
        <v>E:\PropInv\MF</v>
      </c>
      <c r="K2315" s="103" t="str">
        <f>HYPERLINK("E:\PropInv\MF\Houston\Bellaire_7900_Plantation Place_Houston_03132","Bellaire_7900_Plantation Place_Houston_03132" )</f>
        <v>Bellaire_7900_Plantation Place_Houston_03132</v>
      </c>
      <c r="L2315" s="104" t="s">
        <v>22253</v>
      </c>
      <c r="M2315" s="103" t="str">
        <f t="shared" si="183"/>
        <v>http://oconnordata.com/mlink/modules/profile/index.cfm?action=profile&amp;prop_id=3132</v>
      </c>
      <c r="N2315" s="1" t="str">
        <f t="shared" si="184"/>
        <v>03132</v>
      </c>
    </row>
    <row r="2316" spans="1:14" x14ac:dyDescent="0.3">
      <c r="A2316" s="1">
        <v>3134</v>
      </c>
      <c r="B2316" s="7" t="s">
        <v>3496</v>
      </c>
      <c r="C2316" s="12">
        <v>8917</v>
      </c>
      <c r="D2316" s="7" t="s">
        <v>3497</v>
      </c>
      <c r="E2316" s="13" t="s">
        <v>1657</v>
      </c>
      <c r="F2316" t="str">
        <f t="shared" si="180"/>
        <v>Gessner</v>
      </c>
      <c r="G2316" t="str">
        <f t="shared" si="181"/>
        <v>Gessner8917Houston</v>
      </c>
      <c r="H2316" t="s">
        <v>33174</v>
      </c>
      <c r="I2316" t="s">
        <v>24599</v>
      </c>
      <c r="J2316" t="str">
        <f t="shared" si="182"/>
        <v>E:\PropInv\MF</v>
      </c>
      <c r="K2316" s="103" t="str">
        <f>HYPERLINK("E:\PropInv\MF\Houston\Gessner Dr S_8917_Braeburn Colony_Houston_03134","Gessner Dr S_8917_Braeburn Colony_Houston_03134" )</f>
        <v>Gessner Dr S_8917_Braeburn Colony_Houston_03134</v>
      </c>
      <c r="L2316" s="104" t="s">
        <v>22253</v>
      </c>
      <c r="M2316" s="103" t="str">
        <f t="shared" si="183"/>
        <v>http://oconnordata.com/mlink/modules/profile/index.cfm?action=profile&amp;prop_id=3134</v>
      </c>
      <c r="N2316" s="1" t="str">
        <f t="shared" si="184"/>
        <v>03134</v>
      </c>
    </row>
    <row r="2317" spans="1:14" x14ac:dyDescent="0.3">
      <c r="A2317" s="1">
        <v>3139</v>
      </c>
      <c r="B2317" s="7" t="s">
        <v>2800</v>
      </c>
      <c r="C2317" s="12">
        <v>7100</v>
      </c>
      <c r="D2317" s="7" t="s">
        <v>3498</v>
      </c>
      <c r="E2317" s="13" t="s">
        <v>1657</v>
      </c>
      <c r="F2317" t="str">
        <f t="shared" si="180"/>
        <v>Gessner</v>
      </c>
      <c r="G2317" t="str">
        <f t="shared" si="181"/>
        <v>Gessner7100Houston</v>
      </c>
      <c r="H2317" t="s">
        <v>33175</v>
      </c>
      <c r="I2317" t="s">
        <v>24600</v>
      </c>
      <c r="J2317" t="str">
        <f t="shared" si="182"/>
        <v>E:\PropInv\MF</v>
      </c>
      <c r="K2317" s="103" t="str">
        <f>HYPERLINK("E:\PropInv\MF\Houston\Gessner S_7100_Country Club Village_Houston_03139","Gessner S_7100_Country Club Village_Houston_03139" )</f>
        <v>Gessner S_7100_Country Club Village_Houston_03139</v>
      </c>
      <c r="L2317" s="104" t="s">
        <v>22253</v>
      </c>
      <c r="M2317" s="103" t="str">
        <f t="shared" si="183"/>
        <v>http://oconnordata.com/mlink/modules/profile/index.cfm?action=profile&amp;prop_id=3139</v>
      </c>
      <c r="N2317" s="1" t="str">
        <f t="shared" si="184"/>
        <v>03139</v>
      </c>
    </row>
    <row r="2318" spans="1:14" x14ac:dyDescent="0.3">
      <c r="A2318" s="1">
        <v>3140</v>
      </c>
      <c r="B2318" s="7" t="s">
        <v>3371</v>
      </c>
      <c r="C2318" s="12">
        <v>8929</v>
      </c>
      <c r="D2318" s="7" t="s">
        <v>3499</v>
      </c>
      <c r="E2318" s="13" t="s">
        <v>1657</v>
      </c>
      <c r="F2318" t="str">
        <f t="shared" si="180"/>
        <v>Beechnut</v>
      </c>
      <c r="G2318" t="str">
        <f t="shared" si="181"/>
        <v>Beechnut8929Houston</v>
      </c>
      <c r="H2318" t="s">
        <v>33176</v>
      </c>
      <c r="I2318" t="s">
        <v>24601</v>
      </c>
      <c r="J2318" t="str">
        <f t="shared" si="182"/>
        <v>E:\PropInv\MF</v>
      </c>
      <c r="K2318" s="103" t="str">
        <f>HYPERLINK("E:\PropInv\MF\Houston\Beechnut_8929_Southwest Gardens II_Houston_03140","Beechnut_8929_Southwest Gardens II_Houston_03140" )</f>
        <v>Beechnut_8929_Southwest Gardens II_Houston_03140</v>
      </c>
      <c r="L2318" s="104" t="s">
        <v>22253</v>
      </c>
      <c r="M2318" s="103" t="str">
        <f t="shared" si="183"/>
        <v>http://oconnordata.com/mlink/modules/profile/index.cfm?action=profile&amp;prop_id=3140</v>
      </c>
      <c r="N2318" s="1" t="str">
        <f t="shared" si="184"/>
        <v>03140</v>
      </c>
    </row>
    <row r="2319" spans="1:14" x14ac:dyDescent="0.3">
      <c r="A2319" s="1">
        <v>3141</v>
      </c>
      <c r="B2319" s="7" t="s">
        <v>3371</v>
      </c>
      <c r="C2319" s="12">
        <v>8910</v>
      </c>
      <c r="D2319" s="7" t="s">
        <v>3500</v>
      </c>
      <c r="E2319" s="13" t="s">
        <v>1657</v>
      </c>
      <c r="F2319" t="str">
        <f t="shared" si="180"/>
        <v>Beechnut</v>
      </c>
      <c r="G2319" t="str">
        <f t="shared" si="181"/>
        <v>Beechnut8910Houston</v>
      </c>
      <c r="H2319" t="s">
        <v>33177</v>
      </c>
      <c r="I2319" t="s">
        <v>24602</v>
      </c>
      <c r="J2319" t="str">
        <f t="shared" si="182"/>
        <v>E:\PropInv\MF</v>
      </c>
      <c r="K2319" s="103" t="str">
        <f>HYPERLINK("E:\PropInv\MF\Houston\Beechnut_8910_Beechnut Palms_Houston_03141","Beechnut_8910_Beechnut Palms_Houston_03141" )</f>
        <v>Beechnut_8910_Beechnut Palms_Houston_03141</v>
      </c>
      <c r="L2319" s="104" t="s">
        <v>22253</v>
      </c>
      <c r="M2319" s="103" t="str">
        <f t="shared" si="183"/>
        <v>http://oconnordata.com/mlink/modules/profile/index.cfm?action=profile&amp;prop_id=3141</v>
      </c>
      <c r="N2319" s="1" t="str">
        <f t="shared" si="184"/>
        <v>03141</v>
      </c>
    </row>
    <row r="2320" spans="1:14" x14ac:dyDescent="0.3">
      <c r="A2320" s="1">
        <v>3144</v>
      </c>
      <c r="B2320" s="7" t="s">
        <v>3496</v>
      </c>
      <c r="C2320" s="12">
        <v>6500</v>
      </c>
      <c r="D2320" s="7" t="s">
        <v>3501</v>
      </c>
      <c r="E2320" s="13" t="s">
        <v>1657</v>
      </c>
      <c r="F2320" t="str">
        <f t="shared" si="180"/>
        <v>Gessner</v>
      </c>
      <c r="G2320" t="str">
        <f t="shared" si="181"/>
        <v>Gessner6500Houston</v>
      </c>
      <c r="H2320" t="s">
        <v>33178</v>
      </c>
      <c r="I2320" t="s">
        <v>24603</v>
      </c>
      <c r="J2320" t="str">
        <f t="shared" si="182"/>
        <v>E:\PropInv\MF</v>
      </c>
      <c r="K2320" s="103" t="str">
        <f>HYPERLINK("E:\PropInv\MF\Houston\Gessner Dr S_6500_Cambridge Court (TBD)_Houston_03144","Gessner Dr S_6500_Cambridge Court (TBD)_Houston_03144" )</f>
        <v>Gessner Dr S_6500_Cambridge Court (TBD)_Houston_03144</v>
      </c>
      <c r="L2320" s="104" t="s">
        <v>22253</v>
      </c>
      <c r="M2320" s="103" t="str">
        <f t="shared" si="183"/>
        <v>http://oconnordata.com/mlink/modules/profile/index.cfm?action=profile&amp;prop_id=3144</v>
      </c>
      <c r="N2320" s="1" t="str">
        <f t="shared" si="184"/>
        <v>03144</v>
      </c>
    </row>
    <row r="2321" spans="1:14" x14ac:dyDescent="0.3">
      <c r="A2321" s="1">
        <v>3145</v>
      </c>
      <c r="B2321" s="7" t="s">
        <v>3371</v>
      </c>
      <c r="C2321" s="12">
        <v>7511</v>
      </c>
      <c r="D2321" s="7" t="s">
        <v>3502</v>
      </c>
      <c r="E2321" s="13" t="s">
        <v>1657</v>
      </c>
      <c r="F2321" t="str">
        <f t="shared" si="180"/>
        <v>Beechnut</v>
      </c>
      <c r="G2321" t="str">
        <f t="shared" si="181"/>
        <v>Beechnut7511Houston</v>
      </c>
      <c r="H2321" t="s">
        <v>33179</v>
      </c>
      <c r="I2321" t="s">
        <v>24604</v>
      </c>
      <c r="J2321" t="str">
        <f t="shared" si="182"/>
        <v>E:\PropInv\MF</v>
      </c>
      <c r="K2321" s="103" t="str">
        <f>HYPERLINK("E:\PropInv\MF\Houston\Beechnut_7511_Beechnut Grove_Houston_03145","Beechnut_7511_Beechnut Grove_Houston_03145" )</f>
        <v>Beechnut_7511_Beechnut Grove_Houston_03145</v>
      </c>
      <c r="L2321" s="104" t="s">
        <v>22253</v>
      </c>
      <c r="M2321" s="103" t="str">
        <f t="shared" si="183"/>
        <v>http://oconnordata.com/mlink/modules/profile/index.cfm?action=profile&amp;prop_id=3145</v>
      </c>
      <c r="N2321" s="1" t="str">
        <f t="shared" si="184"/>
        <v>03145</v>
      </c>
    </row>
    <row r="2322" spans="1:14" x14ac:dyDescent="0.3">
      <c r="A2322" s="1">
        <v>3146</v>
      </c>
      <c r="B2322" s="7" t="s">
        <v>3361</v>
      </c>
      <c r="C2322" s="12">
        <v>6833</v>
      </c>
      <c r="D2322" s="7" t="s">
        <v>3503</v>
      </c>
      <c r="E2322" s="13" t="s">
        <v>1657</v>
      </c>
      <c r="F2322" t="str">
        <f t="shared" si="180"/>
        <v>Beechnut</v>
      </c>
      <c r="G2322" t="str">
        <f t="shared" si="181"/>
        <v>Beechnut6833Houston</v>
      </c>
      <c r="H2322" t="s">
        <v>33180</v>
      </c>
      <c r="I2322" t="s">
        <v>24605</v>
      </c>
      <c r="J2322" t="str">
        <f t="shared" si="182"/>
        <v>E:\PropInv\MF</v>
      </c>
      <c r="K2322" s="103" t="str">
        <f>HYPERLINK("E:\PropInv\MF\Houston\Beechnut St_6833_Plaza del Sol_Houston_03146","Beechnut St_6833_Plaza del Sol_Houston_03146" )</f>
        <v>Beechnut St_6833_Plaza del Sol_Houston_03146</v>
      </c>
      <c r="L2322" s="104" t="s">
        <v>22253</v>
      </c>
      <c r="M2322" s="103" t="str">
        <f t="shared" si="183"/>
        <v>http://oconnordata.com/mlink/modules/profile/index.cfm?action=profile&amp;prop_id=3146</v>
      </c>
      <c r="N2322" s="1" t="str">
        <f t="shared" si="184"/>
        <v>03146</v>
      </c>
    </row>
    <row r="2323" spans="1:14" x14ac:dyDescent="0.3">
      <c r="A2323" s="1">
        <v>3148</v>
      </c>
      <c r="B2323" s="7" t="s">
        <v>892</v>
      </c>
      <c r="C2323" s="12">
        <v>6600</v>
      </c>
      <c r="D2323" s="7" t="s">
        <v>3504</v>
      </c>
      <c r="E2323" s="13" t="s">
        <v>1657</v>
      </c>
      <c r="F2323" t="str">
        <f t="shared" si="180"/>
        <v>Bellaire</v>
      </c>
      <c r="G2323" t="str">
        <f t="shared" si="181"/>
        <v>Bellaire6600Houston</v>
      </c>
      <c r="H2323" t="s">
        <v>33181</v>
      </c>
      <c r="I2323" t="s">
        <v>24606</v>
      </c>
      <c r="J2323" t="str">
        <f t="shared" si="182"/>
        <v>E:\PropInv\MF</v>
      </c>
      <c r="K2323" s="103" t="str">
        <f>HYPERLINK("E:\PropInv\MF\Houston\Bellaire_6600_Turf Club_Houston_03148","Bellaire_6600_Turf Club_Houston_03148" )</f>
        <v>Bellaire_6600_Turf Club_Houston_03148</v>
      </c>
      <c r="L2323" s="104" t="s">
        <v>22253</v>
      </c>
      <c r="M2323" s="103" t="str">
        <f t="shared" si="183"/>
        <v>http://oconnordata.com/mlink/modules/profile/index.cfm?action=profile&amp;prop_id=3148</v>
      </c>
      <c r="N2323" s="1" t="str">
        <f t="shared" si="184"/>
        <v>03148</v>
      </c>
    </row>
    <row r="2324" spans="1:14" x14ac:dyDescent="0.3">
      <c r="A2324" s="1">
        <v>3149</v>
      </c>
      <c r="B2324" s="7" t="s">
        <v>566</v>
      </c>
      <c r="C2324" s="12">
        <v>7500</v>
      </c>
      <c r="D2324" s="7" t="s">
        <v>3505</v>
      </c>
      <c r="E2324" s="13" t="s">
        <v>1657</v>
      </c>
      <c r="F2324" t="str">
        <f t="shared" si="180"/>
        <v>Clarewood</v>
      </c>
      <c r="G2324" t="str">
        <f t="shared" si="181"/>
        <v>Clarewood7500Houston</v>
      </c>
      <c r="H2324" t="s">
        <v>33182</v>
      </c>
      <c r="I2324" t="s">
        <v>24607</v>
      </c>
      <c r="J2324" t="str">
        <f t="shared" si="182"/>
        <v>E:\PropInv\MF</v>
      </c>
      <c r="K2324" s="103" t="str">
        <f>HYPERLINK("E:\PropInv\MF\Houston\Clarewood_7500_Sharpstown Manor_Houston_03149","Clarewood_7500_Sharpstown Manor_Houston_03149" )</f>
        <v>Clarewood_7500_Sharpstown Manor_Houston_03149</v>
      </c>
      <c r="L2324" s="104" t="s">
        <v>22253</v>
      </c>
      <c r="M2324" s="103" t="str">
        <f t="shared" si="183"/>
        <v>http://oconnordata.com/mlink/modules/profile/index.cfm?action=profile&amp;prop_id=3149</v>
      </c>
      <c r="N2324" s="1" t="str">
        <f t="shared" si="184"/>
        <v>03149</v>
      </c>
    </row>
    <row r="2325" spans="1:14" x14ac:dyDescent="0.3">
      <c r="A2325" s="1">
        <v>3150</v>
      </c>
      <c r="B2325" s="7" t="s">
        <v>566</v>
      </c>
      <c r="C2325" s="12">
        <v>7650</v>
      </c>
      <c r="D2325" s="7" t="s">
        <v>3506</v>
      </c>
      <c r="E2325" s="13" t="s">
        <v>1657</v>
      </c>
      <c r="F2325" t="str">
        <f t="shared" si="180"/>
        <v>Clarewood</v>
      </c>
      <c r="G2325" t="str">
        <f t="shared" si="181"/>
        <v>Clarewood7650Houston</v>
      </c>
      <c r="H2325" t="s">
        <v>33183</v>
      </c>
      <c r="I2325" t="s">
        <v>24608</v>
      </c>
      <c r="J2325" t="str">
        <f t="shared" si="182"/>
        <v>E:\PropInv\MF</v>
      </c>
      <c r="K2325" s="103" t="str">
        <f>HYPERLINK("E:\PropInv\MF\Houston\Clarewood_7650_St. Clarewood_Houston_03150","Clarewood_7650_St. Clarewood_Houston_03150" )</f>
        <v>Clarewood_7650_St. Clarewood_Houston_03150</v>
      </c>
      <c r="L2325" s="104" t="s">
        <v>22253</v>
      </c>
      <c r="M2325" s="103" t="str">
        <f t="shared" si="183"/>
        <v>http://oconnordata.com/mlink/modules/profile/index.cfm?action=profile&amp;prop_id=3150</v>
      </c>
      <c r="N2325" s="1" t="str">
        <f t="shared" si="184"/>
        <v>03150</v>
      </c>
    </row>
    <row r="2326" spans="1:14" x14ac:dyDescent="0.3">
      <c r="A2326" s="1">
        <v>3151</v>
      </c>
      <c r="B2326" s="7" t="s">
        <v>3300</v>
      </c>
      <c r="C2326" s="12">
        <v>8100</v>
      </c>
      <c r="D2326" s="7" t="s">
        <v>3507</v>
      </c>
      <c r="E2326" s="13" t="s">
        <v>1657</v>
      </c>
      <c r="F2326" t="str">
        <f t="shared" si="180"/>
        <v>Bellaire</v>
      </c>
      <c r="G2326" t="str">
        <f t="shared" si="181"/>
        <v>Bellaire8100Houston</v>
      </c>
      <c r="H2326" t="s">
        <v>33184</v>
      </c>
      <c r="I2326" t="s">
        <v>24609</v>
      </c>
      <c r="J2326" t="str">
        <f t="shared" si="182"/>
        <v>E:\PropInv\MF</v>
      </c>
      <c r="K2326" s="103" t="str">
        <f>HYPERLINK("E:\PropInv\MF\Houston\Bellaire Blvd_8100_Parkgreen_Houston_03151","Bellaire Blvd_8100_Parkgreen_Houston_03151" )</f>
        <v>Bellaire Blvd_8100_Parkgreen_Houston_03151</v>
      </c>
      <c r="L2326" s="104" t="s">
        <v>22253</v>
      </c>
      <c r="M2326" s="103" t="str">
        <f t="shared" si="183"/>
        <v>http://oconnordata.com/mlink/modules/profile/index.cfm?action=profile&amp;prop_id=3151</v>
      </c>
      <c r="N2326" s="1" t="str">
        <f t="shared" si="184"/>
        <v>03151</v>
      </c>
    </row>
    <row r="2327" spans="1:14" x14ac:dyDescent="0.3">
      <c r="A2327" s="1">
        <v>3152</v>
      </c>
      <c r="B2327" s="7" t="s">
        <v>3508</v>
      </c>
      <c r="C2327" s="12">
        <v>6601</v>
      </c>
      <c r="D2327" s="7" t="s">
        <v>3509</v>
      </c>
      <c r="E2327" s="13" t="s">
        <v>1657</v>
      </c>
      <c r="F2327" t="str">
        <f t="shared" si="180"/>
        <v>Harbor</v>
      </c>
      <c r="G2327" t="str">
        <f t="shared" si="181"/>
        <v>Harbor6601Houston</v>
      </c>
      <c r="H2327" t="s">
        <v>33185</v>
      </c>
      <c r="I2327" t="s">
        <v>24610</v>
      </c>
      <c r="J2327" t="str">
        <f t="shared" si="182"/>
        <v>E:\PropInv\MF</v>
      </c>
      <c r="K2327" s="103" t="str">
        <f>HYPERLINK("E:\PropInv\MF\Houston\Harbor Town Dr_6601_Parkway_Houston_03152","Harbor Town Dr_6601_Parkway_Houston_03152" )</f>
        <v>Harbor Town Dr_6601_Parkway_Houston_03152</v>
      </c>
      <c r="L2327" s="104" t="s">
        <v>22253</v>
      </c>
      <c r="M2327" s="103" t="str">
        <f t="shared" si="183"/>
        <v>http://oconnordata.com/mlink/modules/profile/index.cfm?action=profile&amp;prop_id=3152</v>
      </c>
      <c r="N2327" s="1" t="str">
        <f t="shared" si="184"/>
        <v>03152</v>
      </c>
    </row>
    <row r="2328" spans="1:14" x14ac:dyDescent="0.3">
      <c r="A2328" s="1">
        <v>3153</v>
      </c>
      <c r="B2328" s="7" t="s">
        <v>3510</v>
      </c>
      <c r="C2328" s="12">
        <v>6200</v>
      </c>
      <c r="D2328" s="7" t="s">
        <v>3511</v>
      </c>
      <c r="E2328" s="13" t="s">
        <v>1657</v>
      </c>
      <c r="F2328" t="str">
        <f t="shared" si="180"/>
        <v>Marinette</v>
      </c>
      <c r="G2328" t="str">
        <f t="shared" si="181"/>
        <v>Marinette6200Houston</v>
      </c>
      <c r="H2328" t="s">
        <v>33186</v>
      </c>
      <c r="I2328" t="s">
        <v>24611</v>
      </c>
      <c r="J2328" t="str">
        <f t="shared" si="182"/>
        <v>E:\PropInv\MF</v>
      </c>
      <c r="K2328" s="103" t="str">
        <f>HYPERLINK("E:\PropInv\MF\Houston\Marinette_6200_Royal Oaks Apts_Houston_03153","Marinette_6200_Royal Oaks Apts_Houston_03153" )</f>
        <v>Marinette_6200_Royal Oaks Apts_Houston_03153</v>
      </c>
      <c r="L2328" s="104" t="s">
        <v>22253</v>
      </c>
      <c r="M2328" s="103" t="str">
        <f t="shared" si="183"/>
        <v>http://oconnordata.com/mlink/modules/profile/index.cfm?action=profile&amp;prop_id=3153</v>
      </c>
      <c r="N2328" s="1" t="str">
        <f t="shared" si="184"/>
        <v>03153</v>
      </c>
    </row>
    <row r="2329" spans="1:14" x14ac:dyDescent="0.3">
      <c r="A2329" s="1">
        <v>3154</v>
      </c>
      <c r="B2329" s="7" t="s">
        <v>3510</v>
      </c>
      <c r="C2329" s="12">
        <v>6203</v>
      </c>
      <c r="D2329" s="7" t="s">
        <v>3512</v>
      </c>
      <c r="E2329" s="13" t="s">
        <v>1657</v>
      </c>
      <c r="F2329" t="str">
        <f t="shared" si="180"/>
        <v>Marinette</v>
      </c>
      <c r="G2329" t="str">
        <f t="shared" si="181"/>
        <v>Marinette6203Houston</v>
      </c>
      <c r="H2329" t="s">
        <v>33187</v>
      </c>
      <c r="I2329" t="s">
        <v>24612</v>
      </c>
      <c r="J2329" t="str">
        <f t="shared" si="182"/>
        <v>E:\PropInv\MF</v>
      </c>
      <c r="K2329" s="103" t="str">
        <f>HYPERLINK("E:\PropInv\MF\Houston\Marinette_6203_Marinette Gardens_Houston_03154","Marinette_6203_Marinette Gardens_Houston_03154" )</f>
        <v>Marinette_6203_Marinette Gardens_Houston_03154</v>
      </c>
      <c r="L2329" s="104" t="s">
        <v>22253</v>
      </c>
      <c r="M2329" s="103" t="str">
        <f t="shared" si="183"/>
        <v>http://oconnordata.com/mlink/modules/profile/index.cfm?action=profile&amp;prop_id=3154</v>
      </c>
      <c r="N2329" s="1" t="str">
        <f t="shared" si="184"/>
        <v>03154</v>
      </c>
    </row>
    <row r="2330" spans="1:14" x14ac:dyDescent="0.3">
      <c r="A2330" s="1">
        <v>3155</v>
      </c>
      <c r="B2330" s="7" t="s">
        <v>892</v>
      </c>
      <c r="C2330" s="12">
        <v>6960</v>
      </c>
      <c r="D2330" s="7" t="s">
        <v>3513</v>
      </c>
      <c r="E2330" s="13" t="s">
        <v>1657</v>
      </c>
      <c r="F2330" t="str">
        <f t="shared" si="180"/>
        <v>Bellaire</v>
      </c>
      <c r="G2330" t="str">
        <f t="shared" si="181"/>
        <v>Bellaire6960Houston</v>
      </c>
      <c r="H2330" t="s">
        <v>33188</v>
      </c>
      <c r="I2330" t="s">
        <v>24613</v>
      </c>
      <c r="J2330" t="str">
        <f t="shared" si="182"/>
        <v>E:\PropInv\MF</v>
      </c>
      <c r="K2330" s="103" t="str">
        <f>HYPERLINK("E:\PropInv\MF\Houston\Bellaire_6960_Sharpstown Park_Houston_03155","Bellaire_6960_Sharpstown Park_Houston_03155" )</f>
        <v>Bellaire_6960_Sharpstown Park_Houston_03155</v>
      </c>
      <c r="L2330" s="104" t="s">
        <v>22253</v>
      </c>
      <c r="M2330" s="103" t="str">
        <f t="shared" si="183"/>
        <v>http://oconnordata.com/mlink/modules/profile/index.cfm?action=profile&amp;prop_id=3155</v>
      </c>
      <c r="N2330" s="1" t="str">
        <f t="shared" si="184"/>
        <v>03155</v>
      </c>
    </row>
    <row r="2331" spans="1:14" x14ac:dyDescent="0.3">
      <c r="A2331" s="1">
        <v>3156</v>
      </c>
      <c r="B2331" s="7" t="s">
        <v>3514</v>
      </c>
      <c r="C2331" s="12">
        <v>6718</v>
      </c>
      <c r="D2331" s="7" t="s">
        <v>3515</v>
      </c>
      <c r="E2331" s="13" t="s">
        <v>1657</v>
      </c>
      <c r="F2331" t="str">
        <f t="shared" si="180"/>
        <v>De</v>
      </c>
      <c r="G2331" t="str">
        <f t="shared" si="181"/>
        <v>De6718Houston</v>
      </c>
      <c r="H2331" t="s">
        <v>33189</v>
      </c>
      <c r="I2331" t="s">
        <v>24614</v>
      </c>
      <c r="J2331" t="str">
        <f t="shared" si="182"/>
        <v>E:\PropInv\MF</v>
      </c>
      <c r="K2331" s="103" t="str">
        <f>HYPERLINK("E:\PropInv\MF\Houston\De Moss_6718_Crescent Oaks_Houston_03156","De Moss_6718_Crescent Oaks_Houston_03156" )</f>
        <v>De Moss_6718_Crescent Oaks_Houston_03156</v>
      </c>
      <c r="L2331" s="104" t="s">
        <v>22253</v>
      </c>
      <c r="M2331" s="103" t="str">
        <f t="shared" si="183"/>
        <v>http://oconnordata.com/mlink/modules/profile/index.cfm?action=profile&amp;prop_id=3156</v>
      </c>
      <c r="N2331" s="1" t="str">
        <f t="shared" si="184"/>
        <v>03156</v>
      </c>
    </row>
    <row r="2332" spans="1:14" x14ac:dyDescent="0.3">
      <c r="A2332" s="1">
        <v>3158</v>
      </c>
      <c r="B2332" s="7" t="s">
        <v>3371</v>
      </c>
      <c r="C2332" s="12" t="s">
        <v>3516</v>
      </c>
      <c r="D2332" s="7" t="s">
        <v>3517</v>
      </c>
      <c r="E2332" s="13" t="s">
        <v>1657</v>
      </c>
      <c r="F2332" t="str">
        <f t="shared" si="180"/>
        <v>Beechnut</v>
      </c>
      <c r="G2332" t="str">
        <f t="shared" si="181"/>
        <v>Beechnut8703-8715Houston</v>
      </c>
      <c r="H2332" t="s">
        <v>33190</v>
      </c>
      <c r="I2332" t="s">
        <v>24615</v>
      </c>
      <c r="J2332" t="str">
        <f t="shared" si="182"/>
        <v>E:\PropInv\MF</v>
      </c>
      <c r="K2332" s="103" t="str">
        <f>HYPERLINK("E:\PropInv\MF\Houston\Beechnut_8703-8715_Brentwood Village_Houston_03158","Beechnut_8703-8715_Brentwood Village_Houston_03158" )</f>
        <v>Beechnut_8703-8715_Brentwood Village_Houston_03158</v>
      </c>
      <c r="L2332" s="104" t="s">
        <v>22253</v>
      </c>
      <c r="M2332" s="103" t="str">
        <f t="shared" si="183"/>
        <v>http://oconnordata.com/mlink/modules/profile/index.cfm?action=profile&amp;prop_id=3158</v>
      </c>
      <c r="N2332" s="1" t="str">
        <f t="shared" si="184"/>
        <v>03158</v>
      </c>
    </row>
    <row r="2333" spans="1:14" x14ac:dyDescent="0.3">
      <c r="A2333" s="1">
        <v>3159</v>
      </c>
      <c r="B2333" s="7" t="s">
        <v>3371</v>
      </c>
      <c r="C2333" s="12">
        <v>8847</v>
      </c>
      <c r="D2333" s="7" t="s">
        <v>3518</v>
      </c>
      <c r="E2333" s="13" t="s">
        <v>1657</v>
      </c>
      <c r="F2333" t="str">
        <f t="shared" si="180"/>
        <v>Beechnut</v>
      </c>
      <c r="G2333" t="str">
        <f t="shared" si="181"/>
        <v>Beechnut8847Houston</v>
      </c>
      <c r="H2333" t="s">
        <v>33191</v>
      </c>
      <c r="I2333" t="s">
        <v>24616</v>
      </c>
      <c r="J2333" t="str">
        <f t="shared" si="182"/>
        <v>E:\PropInv\MF</v>
      </c>
      <c r="K2333" s="103" t="str">
        <f>HYPERLINK("E:\PropInv\MF\Houston\Beechnut_8847_Southwest Gardens I_Houston_03159","Beechnut_8847_Southwest Gardens I_Houston_03159" )</f>
        <v>Beechnut_8847_Southwest Gardens I_Houston_03159</v>
      </c>
      <c r="L2333" s="104" t="s">
        <v>22253</v>
      </c>
      <c r="M2333" s="103" t="str">
        <f t="shared" si="183"/>
        <v>http://oconnordata.com/mlink/modules/profile/index.cfm?action=profile&amp;prop_id=3159</v>
      </c>
      <c r="N2333" s="1" t="str">
        <f t="shared" si="184"/>
        <v>03159</v>
      </c>
    </row>
    <row r="2334" spans="1:14" x14ac:dyDescent="0.3">
      <c r="A2334" s="1">
        <v>3160</v>
      </c>
      <c r="B2334" s="7" t="s">
        <v>3371</v>
      </c>
      <c r="C2334" s="12">
        <v>9023</v>
      </c>
      <c r="D2334" s="7" t="s">
        <v>3519</v>
      </c>
      <c r="E2334" s="13" t="s">
        <v>1657</v>
      </c>
      <c r="F2334" t="str">
        <f t="shared" si="180"/>
        <v>Beechnut</v>
      </c>
      <c r="G2334" t="str">
        <f t="shared" si="181"/>
        <v>Beechnut9023Houston</v>
      </c>
      <c r="H2334" t="s">
        <v>33192</v>
      </c>
      <c r="I2334" t="s">
        <v>24617</v>
      </c>
      <c r="J2334" t="str">
        <f t="shared" si="182"/>
        <v>E:\PropInv\MF</v>
      </c>
      <c r="K2334" s="103" t="str">
        <f>HYPERLINK("E:\PropInv\MF\Houston\Beechnut_9023_Beechnut Chateau_Houston_03160","Beechnut_9023_Beechnut Chateau_Houston_03160" )</f>
        <v>Beechnut_9023_Beechnut Chateau_Houston_03160</v>
      </c>
      <c r="L2334" s="104" t="s">
        <v>22253</v>
      </c>
      <c r="M2334" s="103" t="str">
        <f t="shared" si="183"/>
        <v>http://oconnordata.com/mlink/modules/profile/index.cfm?action=profile&amp;prop_id=3160</v>
      </c>
      <c r="N2334" s="1" t="str">
        <f t="shared" si="184"/>
        <v>03160</v>
      </c>
    </row>
    <row r="2335" spans="1:14" x14ac:dyDescent="0.3">
      <c r="A2335" s="1">
        <v>3161</v>
      </c>
      <c r="B2335" s="7" t="s">
        <v>3371</v>
      </c>
      <c r="C2335" s="12">
        <v>9034</v>
      </c>
      <c r="D2335" s="7" t="s">
        <v>3520</v>
      </c>
      <c r="E2335" s="13" t="s">
        <v>1657</v>
      </c>
      <c r="F2335" t="str">
        <f t="shared" si="180"/>
        <v>Beechnut</v>
      </c>
      <c r="G2335" t="str">
        <f t="shared" si="181"/>
        <v>Beechnut9034Houston</v>
      </c>
      <c r="H2335" t="s">
        <v>33193</v>
      </c>
      <c r="I2335" t="s">
        <v>24618</v>
      </c>
      <c r="J2335" t="str">
        <f t="shared" si="182"/>
        <v>E:\PropInv\MF</v>
      </c>
      <c r="K2335" s="103" t="str">
        <f>HYPERLINK("E:\PropInv\MF\Houston\Beechnut_9034_Royal Beechnut_Houston_03161","Beechnut_9034_Royal Beechnut_Houston_03161" )</f>
        <v>Beechnut_9034_Royal Beechnut_Houston_03161</v>
      </c>
      <c r="L2335" s="104" t="s">
        <v>22253</v>
      </c>
      <c r="M2335" s="103" t="str">
        <f t="shared" si="183"/>
        <v>http://oconnordata.com/mlink/modules/profile/index.cfm?action=profile&amp;prop_id=3161</v>
      </c>
      <c r="N2335" s="1" t="str">
        <f t="shared" si="184"/>
        <v>03161</v>
      </c>
    </row>
    <row r="2336" spans="1:14" x14ac:dyDescent="0.3">
      <c r="A2336" s="1">
        <v>3163</v>
      </c>
      <c r="B2336" s="7" t="s">
        <v>3496</v>
      </c>
      <c r="C2336" s="12">
        <v>7222</v>
      </c>
      <c r="D2336" s="7" t="s">
        <v>3521</v>
      </c>
      <c r="E2336" s="13" t="s">
        <v>1657</v>
      </c>
      <c r="F2336" t="str">
        <f t="shared" si="180"/>
        <v>Gessner</v>
      </c>
      <c r="G2336" t="str">
        <f t="shared" si="181"/>
        <v>Gessner7222Houston</v>
      </c>
      <c r="H2336" t="s">
        <v>33194</v>
      </c>
      <c r="I2336" t="s">
        <v>24619</v>
      </c>
      <c r="J2336" t="str">
        <f t="shared" si="182"/>
        <v>E:\PropInv\MF</v>
      </c>
      <c r="K2336" s="103" t="str">
        <f>HYPERLINK("E:\PropInv\MF\Houston\Gessner Dr S_7222_Linda Square_Houston_03163","Gessner Dr S_7222_Linda Square_Houston_03163" )</f>
        <v>Gessner Dr S_7222_Linda Square_Houston_03163</v>
      </c>
      <c r="L2336" s="104" t="s">
        <v>22253</v>
      </c>
      <c r="M2336" s="103" t="str">
        <f t="shared" si="183"/>
        <v>http://oconnordata.com/mlink/modules/profile/index.cfm?action=profile&amp;prop_id=3163</v>
      </c>
      <c r="N2336" s="1" t="str">
        <f t="shared" si="184"/>
        <v>03163</v>
      </c>
    </row>
    <row r="2337" spans="1:14" x14ac:dyDescent="0.3">
      <c r="A2337" s="1">
        <v>3164</v>
      </c>
      <c r="B2337" s="7" t="s">
        <v>3484</v>
      </c>
      <c r="C2337" s="12">
        <v>6001</v>
      </c>
      <c r="D2337" s="7" t="s">
        <v>3522</v>
      </c>
      <c r="E2337" s="13" t="s">
        <v>1657</v>
      </c>
      <c r="F2337" t="str">
        <f t="shared" si="180"/>
        <v>Ranchester</v>
      </c>
      <c r="G2337" t="str">
        <f t="shared" si="181"/>
        <v>Ranchester6001Houston</v>
      </c>
      <c r="H2337" t="s">
        <v>33195</v>
      </c>
      <c r="I2337" t="s">
        <v>24620</v>
      </c>
      <c r="J2337" t="str">
        <f t="shared" si="182"/>
        <v>E:\PropInv\MF</v>
      </c>
      <c r="K2337" s="103" t="str">
        <f>HYPERLINK("E:\PropInv\MF\Houston\Ranchester Dr_6001_Villa Bella_Houston_03164","Ranchester Dr_6001_Villa Bella_Houston_03164" )</f>
        <v>Ranchester Dr_6001_Villa Bella_Houston_03164</v>
      </c>
      <c r="L2337" s="104" t="s">
        <v>22253</v>
      </c>
      <c r="M2337" s="103" t="str">
        <f t="shared" si="183"/>
        <v>http://oconnordata.com/mlink/modules/profile/index.cfm?action=profile&amp;prop_id=3164</v>
      </c>
      <c r="N2337" s="1" t="str">
        <f t="shared" si="184"/>
        <v>03164</v>
      </c>
    </row>
    <row r="2338" spans="1:14" x14ac:dyDescent="0.3">
      <c r="A2338" s="1">
        <v>3165</v>
      </c>
      <c r="B2338" s="7" t="s">
        <v>3456</v>
      </c>
      <c r="C2338" s="12">
        <v>6300</v>
      </c>
      <c r="D2338" s="7" t="s">
        <v>3523</v>
      </c>
      <c r="E2338" s="13" t="s">
        <v>1657</v>
      </c>
      <c r="F2338" t="str">
        <f t="shared" si="180"/>
        <v>Ranchester</v>
      </c>
      <c r="G2338" t="str">
        <f t="shared" si="181"/>
        <v>Ranchester6300Houston</v>
      </c>
      <c r="H2338" t="s">
        <v>33196</v>
      </c>
      <c r="I2338" t="s">
        <v>24621</v>
      </c>
      <c r="J2338" t="str">
        <f t="shared" si="182"/>
        <v>E:\PropInv\MF</v>
      </c>
      <c r="K2338" s="103" t="str">
        <f>HYPERLINK("E:\PropInv\MF\Houston\Ranchester_6300_Hamilton Park_Houston_03165","Ranchester_6300_Hamilton Park_Houston_03165" )</f>
        <v>Ranchester_6300_Hamilton Park_Houston_03165</v>
      </c>
      <c r="L2338" s="104" t="s">
        <v>22253</v>
      </c>
      <c r="M2338" s="103" t="str">
        <f t="shared" si="183"/>
        <v>http://oconnordata.com/mlink/modules/profile/index.cfm?action=profile&amp;prop_id=3165</v>
      </c>
      <c r="N2338" s="1" t="str">
        <f t="shared" si="184"/>
        <v>03165</v>
      </c>
    </row>
    <row r="2339" spans="1:14" x14ac:dyDescent="0.3">
      <c r="A2339" s="1">
        <v>3166</v>
      </c>
      <c r="B2339" s="7" t="s">
        <v>3451</v>
      </c>
      <c r="C2339" s="12">
        <v>8710</v>
      </c>
      <c r="D2339" s="7" t="s">
        <v>3524</v>
      </c>
      <c r="E2339" s="13" t="s">
        <v>1657</v>
      </c>
      <c r="F2339" t="str">
        <f t="shared" si="180"/>
        <v>Fondren</v>
      </c>
      <c r="G2339" t="str">
        <f t="shared" si="181"/>
        <v>Fondren8710Houston</v>
      </c>
      <c r="H2339" t="s">
        <v>33197</v>
      </c>
      <c r="I2339" t="s">
        <v>24622</v>
      </c>
      <c r="J2339" t="str">
        <f t="shared" si="182"/>
        <v>E:\PropInv\MF</v>
      </c>
      <c r="K2339" s="103" t="str">
        <f>HYPERLINK("E:\PropInv\MF\Houston\Fondren_8710_Ridgestone_Houston_03166","Fondren_8710_Ridgestone_Houston_03166" )</f>
        <v>Fondren_8710_Ridgestone_Houston_03166</v>
      </c>
      <c r="L2339" s="104" t="s">
        <v>22253</v>
      </c>
      <c r="M2339" s="103" t="str">
        <f t="shared" si="183"/>
        <v>http://oconnordata.com/mlink/modules/profile/index.cfm?action=profile&amp;prop_id=3166</v>
      </c>
      <c r="N2339" s="1" t="str">
        <f t="shared" si="184"/>
        <v>03166</v>
      </c>
    </row>
    <row r="2340" spans="1:14" x14ac:dyDescent="0.3">
      <c r="A2340" s="1">
        <v>3167</v>
      </c>
      <c r="B2340" s="7" t="s">
        <v>3525</v>
      </c>
      <c r="C2340" s="12">
        <v>8800</v>
      </c>
      <c r="D2340" s="7" t="s">
        <v>3526</v>
      </c>
      <c r="E2340" s="13" t="s">
        <v>1657</v>
      </c>
      <c r="F2340" t="str">
        <f t="shared" si="180"/>
        <v>Fondren</v>
      </c>
      <c r="G2340" t="str">
        <f t="shared" si="181"/>
        <v>Fondren8800Houston</v>
      </c>
      <c r="H2340" t="s">
        <v>33198</v>
      </c>
      <c r="I2340" t="s">
        <v>24623</v>
      </c>
      <c r="J2340" t="str">
        <f t="shared" si="182"/>
        <v>E:\PropInv\MF</v>
      </c>
      <c r="K2340" s="103" t="str">
        <f>HYPERLINK("E:\PropInv\MF\Houston\Fondren Rd_8800_Brickhaven I_Houston_03167","Fondren Rd_8800_Brickhaven I_Houston_03167" )</f>
        <v>Fondren Rd_8800_Brickhaven I_Houston_03167</v>
      </c>
      <c r="L2340" s="104" t="s">
        <v>22253</v>
      </c>
      <c r="M2340" s="103" t="str">
        <f t="shared" si="183"/>
        <v>http://oconnordata.com/mlink/modules/profile/index.cfm?action=profile&amp;prop_id=3167</v>
      </c>
      <c r="N2340" s="1" t="str">
        <f t="shared" si="184"/>
        <v>03167</v>
      </c>
    </row>
    <row r="2341" spans="1:14" x14ac:dyDescent="0.3">
      <c r="A2341" s="1">
        <v>3169</v>
      </c>
      <c r="B2341" s="7" t="s">
        <v>3527</v>
      </c>
      <c r="C2341" s="12">
        <v>7514</v>
      </c>
      <c r="D2341" s="7" t="s">
        <v>3528</v>
      </c>
      <c r="E2341" s="13" t="s">
        <v>1657</v>
      </c>
      <c r="F2341" t="str">
        <f t="shared" si="180"/>
        <v>Gessner</v>
      </c>
      <c r="G2341" t="str">
        <f t="shared" si="181"/>
        <v>Gessner7514Houston</v>
      </c>
      <c r="H2341" t="s">
        <v>33199</v>
      </c>
      <c r="I2341" t="s">
        <v>24624</v>
      </c>
      <c r="J2341" t="str">
        <f t="shared" si="182"/>
        <v>E:\PropInv\MF</v>
      </c>
      <c r="K2341" s="103" t="str">
        <f>HYPERLINK("E:\PropInv\MF\Houston\Gessner Rd S_7514_Summerfield_Houston_03169","Gessner Rd S_7514_Summerfield_Houston_03169" )</f>
        <v>Gessner Rd S_7514_Summerfield_Houston_03169</v>
      </c>
      <c r="L2341" s="104" t="s">
        <v>22253</v>
      </c>
      <c r="M2341" s="103" t="str">
        <f t="shared" si="183"/>
        <v>http://oconnordata.com/mlink/modules/profile/index.cfm?action=profile&amp;prop_id=3169</v>
      </c>
      <c r="N2341" s="1" t="str">
        <f t="shared" si="184"/>
        <v>03169</v>
      </c>
    </row>
    <row r="2342" spans="1:14" x14ac:dyDescent="0.3">
      <c r="A2342" s="1">
        <v>3171</v>
      </c>
      <c r="B2342" s="7" t="s">
        <v>3529</v>
      </c>
      <c r="C2342" s="12">
        <v>8330</v>
      </c>
      <c r="D2342" s="7" t="s">
        <v>3530</v>
      </c>
      <c r="E2342" s="13" t="s">
        <v>1657</v>
      </c>
      <c r="F2342" t="str">
        <f t="shared" si="180"/>
        <v>Carvel</v>
      </c>
      <c r="G2342" t="str">
        <f t="shared" si="181"/>
        <v>Carvel8330Houston</v>
      </c>
      <c r="H2342" t="s">
        <v>33200</v>
      </c>
      <c r="I2342" t="s">
        <v>24625</v>
      </c>
      <c r="J2342" t="str">
        <f t="shared" si="182"/>
        <v>E:\PropInv\MF</v>
      </c>
      <c r="K2342" s="103" t="str">
        <f>HYPERLINK("E:\PropInv\MF\Houston\Carvel Ln_8330_Ashley_Houston_03171","Carvel Ln_8330_Ashley_Houston_03171" )</f>
        <v>Carvel Ln_8330_Ashley_Houston_03171</v>
      </c>
      <c r="L2342" s="104" t="s">
        <v>22253</v>
      </c>
      <c r="M2342" s="103" t="str">
        <f t="shared" si="183"/>
        <v>http://oconnordata.com/mlink/modules/profile/index.cfm?action=profile&amp;prop_id=3171</v>
      </c>
      <c r="N2342" s="1" t="str">
        <f t="shared" si="184"/>
        <v>03171</v>
      </c>
    </row>
    <row r="2343" spans="1:14" x14ac:dyDescent="0.3">
      <c r="A2343" s="1">
        <v>3172</v>
      </c>
      <c r="B2343" s="7" t="s">
        <v>3060</v>
      </c>
      <c r="C2343" s="12">
        <v>7500</v>
      </c>
      <c r="D2343" s="7" t="s">
        <v>3531</v>
      </c>
      <c r="E2343" s="13" t="s">
        <v>1657</v>
      </c>
      <c r="F2343" t="str">
        <f t="shared" si="180"/>
        <v>Bissonnet</v>
      </c>
      <c r="G2343" t="str">
        <f t="shared" si="181"/>
        <v>Bissonnet7500Houston</v>
      </c>
      <c r="H2343" t="s">
        <v>33201</v>
      </c>
      <c r="I2343" t="s">
        <v>24626</v>
      </c>
      <c r="J2343" t="str">
        <f t="shared" si="182"/>
        <v>E:\PropInv\MF</v>
      </c>
      <c r="K2343" s="103" t="str">
        <f>HYPERLINK("E:\PropInv\MF\Houston\Bissonnet_7500_Bissonnet Gardens_Houston_03172","Bissonnet_7500_Bissonnet Gardens_Houston_03172" )</f>
        <v>Bissonnet_7500_Bissonnet Gardens_Houston_03172</v>
      </c>
      <c r="L2343" s="104" t="s">
        <v>22253</v>
      </c>
      <c r="M2343" s="103" t="str">
        <f t="shared" si="183"/>
        <v>http://oconnordata.com/mlink/modules/profile/index.cfm?action=profile&amp;prop_id=3172</v>
      </c>
      <c r="N2343" s="1" t="str">
        <f t="shared" si="184"/>
        <v>03172</v>
      </c>
    </row>
    <row r="2344" spans="1:14" x14ac:dyDescent="0.3">
      <c r="A2344" s="1">
        <v>3173</v>
      </c>
      <c r="B2344" s="7" t="s">
        <v>3060</v>
      </c>
      <c r="C2344" s="12">
        <v>7575</v>
      </c>
      <c r="D2344" s="7" t="s">
        <v>3532</v>
      </c>
      <c r="E2344" s="13" t="s">
        <v>1657</v>
      </c>
      <c r="F2344" t="str">
        <f t="shared" si="180"/>
        <v>Bissonnet</v>
      </c>
      <c r="G2344" t="str">
        <f t="shared" si="181"/>
        <v>Bissonnet7575Houston</v>
      </c>
      <c r="H2344" t="s">
        <v>33202</v>
      </c>
      <c r="I2344" t="s">
        <v>24627</v>
      </c>
      <c r="J2344" t="str">
        <f t="shared" si="182"/>
        <v>E:\PropInv\MF</v>
      </c>
      <c r="K2344" s="103" t="str">
        <f>HYPERLINK("E:\PropInv\MF\Houston\Bissonnet_7575_Sharpstown Gardens_Houston_03173","Bissonnet_7575_Sharpstown Gardens_Houston_03173" )</f>
        <v>Bissonnet_7575_Sharpstown Gardens_Houston_03173</v>
      </c>
      <c r="L2344" s="104" t="s">
        <v>22253</v>
      </c>
      <c r="M2344" s="103" t="str">
        <f t="shared" si="183"/>
        <v>http://oconnordata.com/mlink/modules/profile/index.cfm?action=profile&amp;prop_id=3173</v>
      </c>
      <c r="N2344" s="1" t="str">
        <f t="shared" si="184"/>
        <v>03173</v>
      </c>
    </row>
    <row r="2345" spans="1:14" x14ac:dyDescent="0.3">
      <c r="A2345" s="1">
        <v>3174</v>
      </c>
      <c r="B2345" s="7" t="s">
        <v>3525</v>
      </c>
      <c r="C2345" s="12">
        <v>8900</v>
      </c>
      <c r="D2345" s="7" t="s">
        <v>3533</v>
      </c>
      <c r="E2345" s="13" t="s">
        <v>1657</v>
      </c>
      <c r="F2345" t="str">
        <f t="shared" si="180"/>
        <v>Fondren</v>
      </c>
      <c r="G2345" t="str">
        <f t="shared" si="181"/>
        <v>Fondren8900Houston</v>
      </c>
      <c r="H2345" t="s">
        <v>33203</v>
      </c>
      <c r="I2345" t="s">
        <v>24628</v>
      </c>
      <c r="J2345" t="str">
        <f t="shared" si="182"/>
        <v>E:\PropInv\MF</v>
      </c>
      <c r="K2345" s="103" t="str">
        <f>HYPERLINK("E:\PropInv\MF\Houston\Fondren Rd_8900_Brickhaven II_Houston_03174","Fondren Rd_8900_Brickhaven II_Houston_03174" )</f>
        <v>Fondren Rd_8900_Brickhaven II_Houston_03174</v>
      </c>
      <c r="L2345" s="104" t="s">
        <v>22253</v>
      </c>
      <c r="M2345" s="103" t="str">
        <f t="shared" si="183"/>
        <v>http://oconnordata.com/mlink/modules/profile/index.cfm?action=profile&amp;prop_id=3174</v>
      </c>
      <c r="N2345" s="1" t="str">
        <f t="shared" si="184"/>
        <v>03174</v>
      </c>
    </row>
    <row r="2346" spans="1:14" x14ac:dyDescent="0.3">
      <c r="A2346" s="1">
        <v>3175</v>
      </c>
      <c r="B2346" s="7" t="s">
        <v>3451</v>
      </c>
      <c r="C2346" s="12">
        <v>9100</v>
      </c>
      <c r="D2346" s="7" t="s">
        <v>3534</v>
      </c>
      <c r="E2346" s="13" t="s">
        <v>1657</v>
      </c>
      <c r="F2346" t="str">
        <f t="shared" si="180"/>
        <v>Fondren</v>
      </c>
      <c r="G2346" t="str">
        <f t="shared" si="181"/>
        <v>Fondren9100Houston</v>
      </c>
      <c r="H2346" t="s">
        <v>33204</v>
      </c>
      <c r="I2346" t="s">
        <v>24629</v>
      </c>
      <c r="J2346" t="str">
        <f t="shared" si="182"/>
        <v>E:\PropInv\MF</v>
      </c>
      <c r="K2346" s="103" t="str">
        <f>HYPERLINK("E:\PropInv\MF\Houston\Fondren_9100_Boardwalk_Houston_03175","Fondren_9100_Boardwalk_Houston_03175" )</f>
        <v>Fondren_9100_Boardwalk_Houston_03175</v>
      </c>
      <c r="L2346" s="104" t="s">
        <v>22253</v>
      </c>
      <c r="M2346" s="103" t="str">
        <f t="shared" si="183"/>
        <v>http://oconnordata.com/mlink/modules/profile/index.cfm?action=profile&amp;prop_id=3175</v>
      </c>
      <c r="N2346" s="1" t="str">
        <f t="shared" si="184"/>
        <v>03175</v>
      </c>
    </row>
    <row r="2347" spans="1:14" x14ac:dyDescent="0.3">
      <c r="A2347" s="1">
        <v>3176</v>
      </c>
      <c r="B2347" s="10" t="s">
        <v>3535</v>
      </c>
      <c r="C2347" s="9">
        <v>7000</v>
      </c>
      <c r="D2347" s="10" t="s">
        <v>3536</v>
      </c>
      <c r="E2347" s="11" t="s">
        <v>1657</v>
      </c>
      <c r="F2347" t="str">
        <f t="shared" si="180"/>
        <v>Fonvilla</v>
      </c>
      <c r="G2347" t="str">
        <f t="shared" si="181"/>
        <v>Fonvilla7000Houston</v>
      </c>
      <c r="H2347" t="s">
        <v>33205</v>
      </c>
      <c r="I2347" t="s">
        <v>24630</v>
      </c>
      <c r="J2347" t="str">
        <f t="shared" si="182"/>
        <v>E:\PropInv\MF</v>
      </c>
      <c r="K2347" s="103" t="str">
        <f>HYPERLINK("E:\PropInv\MF\Houston\Fonvilla_7000_Forest Green_Houston_03176","Fonvilla_7000_Forest Green_Houston_03176" )</f>
        <v>Fonvilla_7000_Forest Green_Houston_03176</v>
      </c>
      <c r="L2347" s="104" t="s">
        <v>22253</v>
      </c>
      <c r="M2347" s="103" t="str">
        <f t="shared" si="183"/>
        <v>http://oconnordata.com/mlink/modules/profile/index.cfm?action=profile&amp;prop_id=3176</v>
      </c>
      <c r="N2347" s="1" t="str">
        <f t="shared" si="184"/>
        <v>03176</v>
      </c>
    </row>
    <row r="2348" spans="1:14" x14ac:dyDescent="0.3">
      <c r="A2348" s="1">
        <v>3178</v>
      </c>
      <c r="B2348" s="10" t="s">
        <v>3060</v>
      </c>
      <c r="C2348" s="9">
        <v>9200</v>
      </c>
      <c r="D2348" s="10" t="s">
        <v>3537</v>
      </c>
      <c r="E2348" s="11" t="s">
        <v>1657</v>
      </c>
      <c r="F2348" t="str">
        <f t="shared" si="180"/>
        <v>Bissonnet</v>
      </c>
      <c r="G2348" t="str">
        <f t="shared" si="181"/>
        <v>Bissonnet9200Houston</v>
      </c>
      <c r="H2348" t="s">
        <v>33206</v>
      </c>
      <c r="I2348" t="s">
        <v>24631</v>
      </c>
      <c r="J2348" t="str">
        <f t="shared" si="182"/>
        <v>E:\PropInv\MF</v>
      </c>
      <c r="K2348" s="103" t="str">
        <f>HYPERLINK("E:\PropInv\MF\Houston\Bissonnet_9200_Williamstown_Houston_03178","Bissonnet_9200_Williamstown_Houston_03178" )</f>
        <v>Bissonnet_9200_Williamstown_Houston_03178</v>
      </c>
      <c r="L2348" s="104" t="s">
        <v>22253</v>
      </c>
      <c r="M2348" s="103" t="str">
        <f t="shared" si="183"/>
        <v>http://oconnordata.com/mlink/modules/profile/index.cfm?action=profile&amp;prop_id=3178</v>
      </c>
      <c r="N2348" s="1" t="str">
        <f t="shared" si="184"/>
        <v>03178</v>
      </c>
    </row>
    <row r="2349" spans="1:14" x14ac:dyDescent="0.3">
      <c r="A2349" s="97">
        <v>3179</v>
      </c>
      <c r="B2349" s="10" t="s">
        <v>2800</v>
      </c>
      <c r="C2349" s="9">
        <v>9707</v>
      </c>
      <c r="D2349" s="10" t="s">
        <v>3538</v>
      </c>
      <c r="E2349" s="11" t="s">
        <v>1657</v>
      </c>
      <c r="F2349" t="str">
        <f t="shared" si="180"/>
        <v>Gessner</v>
      </c>
      <c r="G2349" t="str">
        <f t="shared" si="181"/>
        <v>Gessner9707Houston</v>
      </c>
      <c r="H2349" t="s">
        <v>33207</v>
      </c>
      <c r="I2349" t="s">
        <v>24632</v>
      </c>
      <c r="J2349" t="str">
        <f t="shared" si="182"/>
        <v>E:\PropInv\MF</v>
      </c>
      <c r="K2349" s="103" t="str">
        <f>HYPERLINK("E:\PropInv\MF\Houston\Gessner S_9707_Woodscape_Houston_03179","Gessner S_9707_Woodscape_Houston_03179" )</f>
        <v>Gessner S_9707_Woodscape_Houston_03179</v>
      </c>
      <c r="L2349" s="104" t="s">
        <v>22253</v>
      </c>
      <c r="M2349" s="103" t="str">
        <f t="shared" si="183"/>
        <v>http://oconnordata.com/mlink/modules/profile/index.cfm?action=profile&amp;prop_id=3179</v>
      </c>
      <c r="N2349" s="1" t="str">
        <f t="shared" si="184"/>
        <v>03179</v>
      </c>
    </row>
    <row r="2350" spans="1:14" x14ac:dyDescent="0.3">
      <c r="A2350" s="1">
        <v>3182</v>
      </c>
      <c r="B2350" s="10" t="s">
        <v>3539</v>
      </c>
      <c r="C2350" s="9">
        <v>8484</v>
      </c>
      <c r="D2350" s="10" t="s">
        <v>3540</v>
      </c>
      <c r="E2350" s="11" t="s">
        <v>1657</v>
      </c>
      <c r="F2350" t="str">
        <f t="shared" si="180"/>
        <v>Jason</v>
      </c>
      <c r="G2350" t="str">
        <f t="shared" si="181"/>
        <v>Jason8484Houston</v>
      </c>
      <c r="H2350" t="s">
        <v>33208</v>
      </c>
      <c r="I2350" t="s">
        <v>24633</v>
      </c>
      <c r="J2350" t="str">
        <f t="shared" si="182"/>
        <v>E:\PropInv\MF</v>
      </c>
      <c r="K2350" s="103" t="str">
        <f>HYPERLINK("E:\PropInv\MF\Houston\Jason_8484_Evergreen Commons_Houston_03182","Jason_8484_Evergreen Commons_Houston_03182" )</f>
        <v>Jason_8484_Evergreen Commons_Houston_03182</v>
      </c>
      <c r="L2350" s="104" t="s">
        <v>22253</v>
      </c>
      <c r="M2350" s="103" t="str">
        <f t="shared" si="183"/>
        <v>http://oconnordata.com/mlink/modules/profile/index.cfm?action=profile&amp;prop_id=3182</v>
      </c>
      <c r="N2350" s="1" t="str">
        <f t="shared" si="184"/>
        <v>03182</v>
      </c>
    </row>
    <row r="2351" spans="1:14" x14ac:dyDescent="0.3">
      <c r="A2351" s="1">
        <v>3183</v>
      </c>
      <c r="B2351" s="10" t="s">
        <v>3541</v>
      </c>
      <c r="C2351" s="9">
        <v>8500</v>
      </c>
      <c r="D2351" s="10" t="s">
        <v>3542</v>
      </c>
      <c r="E2351" s="11" t="s">
        <v>1657</v>
      </c>
      <c r="F2351" t="str">
        <f t="shared" si="180"/>
        <v>Nairn</v>
      </c>
      <c r="G2351" t="str">
        <f t="shared" si="181"/>
        <v>Nairn8500Houston</v>
      </c>
      <c r="H2351" t="s">
        <v>33209</v>
      </c>
      <c r="I2351" t="s">
        <v>24634</v>
      </c>
      <c r="J2351" t="str">
        <f t="shared" si="182"/>
        <v>E:\PropInv\MF</v>
      </c>
      <c r="K2351" s="103" t="str">
        <f>HYPERLINK("E:\PropInv\MF\Houston\Nairn_8500_Rockport Apt Homes_Houston_03183","Nairn_8500_Rockport Apt Homes_Houston_03183" )</f>
        <v>Nairn_8500_Rockport Apt Homes_Houston_03183</v>
      </c>
      <c r="L2351" s="104" t="s">
        <v>22253</v>
      </c>
      <c r="M2351" s="103" t="str">
        <f t="shared" si="183"/>
        <v>http://oconnordata.com/mlink/modules/profile/index.cfm?action=profile&amp;prop_id=3183</v>
      </c>
      <c r="N2351" s="1" t="str">
        <f t="shared" si="184"/>
        <v>03183</v>
      </c>
    </row>
    <row r="2352" spans="1:14" x14ac:dyDescent="0.3">
      <c r="A2352" s="1">
        <v>3184</v>
      </c>
      <c r="B2352" s="10" t="s">
        <v>121</v>
      </c>
      <c r="C2352" s="9">
        <v>9950</v>
      </c>
      <c r="D2352" s="10" t="s">
        <v>3543</v>
      </c>
      <c r="E2352" s="11" t="s">
        <v>1657</v>
      </c>
      <c r="F2352" t="str">
        <f t="shared" si="180"/>
        <v>Club</v>
      </c>
      <c r="G2352" t="str">
        <f t="shared" si="181"/>
        <v>Club9950Houston</v>
      </c>
      <c r="H2352" t="s">
        <v>33210</v>
      </c>
      <c r="I2352" t="s">
        <v>24635</v>
      </c>
      <c r="J2352" t="str">
        <f t="shared" si="182"/>
        <v>E:\PropInv\MF</v>
      </c>
      <c r="K2352" s="103" t="str">
        <f>HYPERLINK("E:\PropInv\MF\Houston\Club Creek_9950_Pier Club_Houston_03184","Club Creek_9950_Pier Club_Houston_03184" )</f>
        <v>Club Creek_9950_Pier Club_Houston_03184</v>
      </c>
      <c r="L2352" s="104" t="s">
        <v>22253</v>
      </c>
      <c r="M2352" s="103" t="str">
        <f t="shared" si="183"/>
        <v>http://oconnordata.com/mlink/modules/profile/index.cfm?action=profile&amp;prop_id=3184</v>
      </c>
      <c r="N2352" s="1" t="str">
        <f t="shared" si="184"/>
        <v>03184</v>
      </c>
    </row>
    <row r="2353" spans="1:14" x14ac:dyDescent="0.3">
      <c r="A2353" s="1">
        <v>3186</v>
      </c>
      <c r="B2353" s="10" t="s">
        <v>3544</v>
      </c>
      <c r="C2353" s="9">
        <v>9292</v>
      </c>
      <c r="D2353" s="10" t="s">
        <v>3545</v>
      </c>
      <c r="E2353" s="11" t="s">
        <v>1657</v>
      </c>
      <c r="F2353" t="str">
        <f t="shared" si="180"/>
        <v>Imogene</v>
      </c>
      <c r="G2353" t="str">
        <f t="shared" si="181"/>
        <v>Imogene9292Houston</v>
      </c>
      <c r="H2353" t="s">
        <v>33211</v>
      </c>
      <c r="I2353" t="s">
        <v>24636</v>
      </c>
      <c r="J2353" t="str">
        <f t="shared" si="182"/>
        <v>E:\PropInv\MF</v>
      </c>
      <c r="K2353" s="103" t="str">
        <f>HYPERLINK("E:\PropInv\MF\Houston\Imogene_9292_The Westwood Complex_Houston_03186","Imogene_9292_The Westwood Complex_Houston_03186" )</f>
        <v>Imogene_9292_The Westwood Complex_Houston_03186</v>
      </c>
      <c r="L2353" s="104" t="s">
        <v>22253</v>
      </c>
      <c r="M2353" s="103" t="str">
        <f t="shared" si="183"/>
        <v>http://oconnordata.com/mlink/modules/profile/index.cfm?action=profile&amp;prop_id=3186</v>
      </c>
      <c r="N2353" s="1" t="str">
        <f t="shared" si="184"/>
        <v>03186</v>
      </c>
    </row>
    <row r="2354" spans="1:14" x14ac:dyDescent="0.3">
      <c r="A2354" s="1">
        <v>3187</v>
      </c>
      <c r="B2354" s="10" t="s">
        <v>3546</v>
      </c>
      <c r="C2354" s="9">
        <v>9001</v>
      </c>
      <c r="D2354" s="10" t="s">
        <v>3547</v>
      </c>
      <c r="E2354" s="11" t="s">
        <v>1657</v>
      </c>
      <c r="F2354" t="str">
        <f t="shared" si="180"/>
        <v>Braeswood</v>
      </c>
      <c r="G2354" t="str">
        <f t="shared" si="181"/>
        <v>Braeswood9001Houston</v>
      </c>
      <c r="H2354" t="s">
        <v>33212</v>
      </c>
      <c r="I2354" t="s">
        <v>24637</v>
      </c>
      <c r="J2354" t="str">
        <f t="shared" si="182"/>
        <v>E:\PropInv\MF</v>
      </c>
      <c r="K2354" s="103" t="str">
        <f>HYPERLINK("E:\PropInv\MF\Houston\Braeswood Blvd S_9001_Heatherwood_Houston_03187","Braeswood Blvd S_9001_Heatherwood_Houston_03187" )</f>
        <v>Braeswood Blvd S_9001_Heatherwood_Houston_03187</v>
      </c>
      <c r="L2354" s="104" t="s">
        <v>22253</v>
      </c>
      <c r="M2354" s="103" t="str">
        <f t="shared" si="183"/>
        <v>http://oconnordata.com/mlink/modules/profile/index.cfm?action=profile&amp;prop_id=3187</v>
      </c>
      <c r="N2354" s="1" t="str">
        <f t="shared" si="184"/>
        <v>03187</v>
      </c>
    </row>
    <row r="2355" spans="1:14" x14ac:dyDescent="0.3">
      <c r="A2355" s="1">
        <v>3188</v>
      </c>
      <c r="B2355" s="10" t="s">
        <v>3060</v>
      </c>
      <c r="C2355" s="9">
        <v>8901</v>
      </c>
      <c r="D2355" s="10" t="s">
        <v>3548</v>
      </c>
      <c r="E2355" s="11" t="s">
        <v>1657</v>
      </c>
      <c r="F2355" t="str">
        <f t="shared" si="180"/>
        <v>Bissonnet</v>
      </c>
      <c r="G2355" t="str">
        <f t="shared" si="181"/>
        <v>Bissonnet8901Houston</v>
      </c>
      <c r="H2355" t="s">
        <v>33213</v>
      </c>
      <c r="I2355" t="s">
        <v>24638</v>
      </c>
      <c r="J2355" t="str">
        <f t="shared" si="182"/>
        <v>E:\PropInv\MF</v>
      </c>
      <c r="K2355" s="103" t="str">
        <f>HYPERLINK("E:\PropInv\MF\Houston\Bissonnet_8901_Stoneriver_Houston_03188","Bissonnet_8901_Stoneriver_Houston_03188" )</f>
        <v>Bissonnet_8901_Stoneriver_Houston_03188</v>
      </c>
      <c r="L2355" s="104" t="s">
        <v>22253</v>
      </c>
      <c r="M2355" s="103" t="str">
        <f t="shared" si="183"/>
        <v>http://oconnordata.com/mlink/modules/profile/index.cfm?action=profile&amp;prop_id=3188</v>
      </c>
      <c r="N2355" s="1" t="str">
        <f t="shared" si="184"/>
        <v>03188</v>
      </c>
    </row>
    <row r="2356" spans="1:14" x14ac:dyDescent="0.3">
      <c r="A2356" s="1">
        <v>3190</v>
      </c>
      <c r="B2356" s="10" t="s">
        <v>2800</v>
      </c>
      <c r="C2356" s="9">
        <v>10222</v>
      </c>
      <c r="D2356" s="10" t="s">
        <v>3549</v>
      </c>
      <c r="E2356" s="11" t="s">
        <v>1657</v>
      </c>
      <c r="F2356" t="str">
        <f t="shared" si="180"/>
        <v>Gessner</v>
      </c>
      <c r="G2356" t="str">
        <f t="shared" si="181"/>
        <v>Gessner10222Houston</v>
      </c>
      <c r="H2356" t="s">
        <v>33214</v>
      </c>
      <c r="I2356" t="s">
        <v>24639</v>
      </c>
      <c r="J2356" t="str">
        <f t="shared" si="182"/>
        <v>E:\PropInv\MF</v>
      </c>
      <c r="K2356" s="103" t="str">
        <f>HYPERLINK("E:\PropInv\MF\Houston\Gessner S_10222_Crescent Place_Houston_03190","Gessner S_10222_Crescent Place_Houston_03190" )</f>
        <v>Gessner S_10222_Crescent Place_Houston_03190</v>
      </c>
      <c r="L2356" s="104" t="s">
        <v>22253</v>
      </c>
      <c r="M2356" s="103" t="str">
        <f t="shared" si="183"/>
        <v>http://oconnordata.com/mlink/modules/profile/index.cfm?action=profile&amp;prop_id=3190</v>
      </c>
      <c r="N2356" s="1" t="str">
        <f t="shared" si="184"/>
        <v>03190</v>
      </c>
    </row>
    <row r="2357" spans="1:14" x14ac:dyDescent="0.3">
      <c r="A2357" s="1">
        <v>3191</v>
      </c>
      <c r="B2357" s="10" t="s">
        <v>3550</v>
      </c>
      <c r="C2357" s="9">
        <v>8700</v>
      </c>
      <c r="D2357" s="10" t="s">
        <v>3551</v>
      </c>
      <c r="E2357" s="11" t="s">
        <v>1657</v>
      </c>
      <c r="F2357" t="str">
        <f t="shared" si="180"/>
        <v>Gustine</v>
      </c>
      <c r="G2357" t="str">
        <f t="shared" si="181"/>
        <v>Gustine8700Houston</v>
      </c>
      <c r="H2357" t="s">
        <v>33215</v>
      </c>
      <c r="I2357" t="s">
        <v>24640</v>
      </c>
      <c r="J2357" t="str">
        <f t="shared" si="182"/>
        <v>E:\PropInv\MF</v>
      </c>
      <c r="K2357" s="103" t="str">
        <f>HYPERLINK("E:\PropInv\MF\Houston\Gustine Ln_8700_Wesley Gardens_Houston_03191","Gustine Ln_8700_Wesley Gardens_Houston_03191" )</f>
        <v>Gustine Ln_8700_Wesley Gardens_Houston_03191</v>
      </c>
      <c r="L2357" s="104" t="s">
        <v>22253</v>
      </c>
      <c r="M2357" s="103" t="str">
        <f t="shared" si="183"/>
        <v>http://oconnordata.com/mlink/modules/profile/index.cfm?action=profile&amp;prop_id=3191</v>
      </c>
      <c r="N2357" s="1" t="str">
        <f t="shared" si="184"/>
        <v>03191</v>
      </c>
    </row>
    <row r="2358" spans="1:14" x14ac:dyDescent="0.3">
      <c r="A2358" s="1">
        <v>3192</v>
      </c>
      <c r="B2358" s="10" t="s">
        <v>3060</v>
      </c>
      <c r="C2358" s="9">
        <v>7900</v>
      </c>
      <c r="D2358" s="10" t="s">
        <v>3552</v>
      </c>
      <c r="E2358" s="11" t="s">
        <v>1657</v>
      </c>
      <c r="F2358" t="str">
        <f t="shared" si="180"/>
        <v>Bissonnet</v>
      </c>
      <c r="G2358" t="str">
        <f t="shared" si="181"/>
        <v>Bissonnet7900Houston</v>
      </c>
      <c r="H2358" t="s">
        <v>33216</v>
      </c>
      <c r="I2358" t="s">
        <v>24641</v>
      </c>
      <c r="J2358" t="str">
        <f t="shared" si="182"/>
        <v>E:\PropInv\MF</v>
      </c>
      <c r="K2358" s="103" t="str">
        <f>HYPERLINK("E:\PropInv\MF\Houston\Bissonnet_7900_Braeburn Oaks Condos_Houston_03192","Bissonnet_7900_Braeburn Oaks Condos_Houston_03192" )</f>
        <v>Bissonnet_7900_Braeburn Oaks Condos_Houston_03192</v>
      </c>
      <c r="L2358" s="104" t="s">
        <v>22253</v>
      </c>
      <c r="M2358" s="103" t="str">
        <f t="shared" si="183"/>
        <v>http://oconnordata.com/mlink/modules/profile/index.cfm?action=profile&amp;prop_id=3192</v>
      </c>
      <c r="N2358" s="1" t="str">
        <f t="shared" si="184"/>
        <v>03192</v>
      </c>
    </row>
    <row r="2359" spans="1:14" x14ac:dyDescent="0.3">
      <c r="A2359" s="1">
        <v>3193</v>
      </c>
      <c r="B2359" s="10" t="s">
        <v>3553</v>
      </c>
      <c r="C2359" s="9">
        <v>7250</v>
      </c>
      <c r="D2359" s="10" t="s">
        <v>3554</v>
      </c>
      <c r="E2359" s="11" t="s">
        <v>1657</v>
      </c>
      <c r="F2359" t="str">
        <f t="shared" si="180"/>
        <v>Carew</v>
      </c>
      <c r="G2359" t="str">
        <f t="shared" si="181"/>
        <v>Carew7250Houston</v>
      </c>
      <c r="H2359" t="s">
        <v>33217</v>
      </c>
      <c r="I2359" t="s">
        <v>24642</v>
      </c>
      <c r="J2359" t="str">
        <f t="shared" si="182"/>
        <v>E:\PropInv\MF</v>
      </c>
      <c r="K2359" s="103" t="str">
        <f>HYPERLINK("E:\PropInv\MF\Houston\Carew_7250_Sierra_Houston_03193","Carew_7250_Sierra_Houston_03193" )</f>
        <v>Carew_7250_Sierra_Houston_03193</v>
      </c>
      <c r="L2359" s="104" t="s">
        <v>22253</v>
      </c>
      <c r="M2359" s="103" t="str">
        <f t="shared" si="183"/>
        <v>http://oconnordata.com/mlink/modules/profile/index.cfm?action=profile&amp;prop_id=3193</v>
      </c>
      <c r="N2359" s="1" t="str">
        <f t="shared" si="184"/>
        <v>03193</v>
      </c>
    </row>
    <row r="2360" spans="1:14" x14ac:dyDescent="0.3">
      <c r="A2360" s="1">
        <v>3195</v>
      </c>
      <c r="B2360" s="10" t="s">
        <v>3508</v>
      </c>
      <c r="C2360" s="9">
        <v>6666</v>
      </c>
      <c r="D2360" s="10" t="s">
        <v>3555</v>
      </c>
      <c r="E2360" s="11" t="s">
        <v>1657</v>
      </c>
      <c r="F2360" t="str">
        <f t="shared" si="180"/>
        <v>Harbor</v>
      </c>
      <c r="G2360" t="str">
        <f t="shared" si="181"/>
        <v>Harbor6666Houston</v>
      </c>
      <c r="H2360" t="s">
        <v>33218</v>
      </c>
      <c r="I2360" t="s">
        <v>24643</v>
      </c>
      <c r="J2360" t="str">
        <f t="shared" si="182"/>
        <v>E:\PropInv\MF</v>
      </c>
      <c r="K2360" s="103" t="str">
        <f>HYPERLINK("E:\PropInv\MF\Houston\Harbor Town Dr_6666_Sharpstown Green Condos_Houston_03195","Harbor Town Dr_6666_Sharpstown Green Condos_Houston_03195" )</f>
        <v>Harbor Town Dr_6666_Sharpstown Green Condos_Houston_03195</v>
      </c>
      <c r="L2360" s="104" t="s">
        <v>22253</v>
      </c>
      <c r="M2360" s="103" t="str">
        <f t="shared" si="183"/>
        <v>http://oconnordata.com/mlink/modules/profile/index.cfm?action=profile&amp;prop_id=3195</v>
      </c>
      <c r="N2360" s="1" t="str">
        <f t="shared" si="184"/>
        <v>03195</v>
      </c>
    </row>
    <row r="2361" spans="1:14" x14ac:dyDescent="0.3">
      <c r="A2361" s="1">
        <v>3196</v>
      </c>
      <c r="B2361" s="10" t="s">
        <v>3556</v>
      </c>
      <c r="C2361" s="9">
        <v>7298</v>
      </c>
      <c r="D2361" s="10" t="s">
        <v>3557</v>
      </c>
      <c r="E2361" s="11" t="s">
        <v>1657</v>
      </c>
      <c r="F2361" t="str">
        <f t="shared" si="180"/>
        <v>Kingsgate</v>
      </c>
      <c r="G2361" t="str">
        <f t="shared" si="181"/>
        <v>Kingsgate7298Houston</v>
      </c>
      <c r="H2361" t="s">
        <v>33219</v>
      </c>
      <c r="I2361" t="s">
        <v>24644</v>
      </c>
      <c r="J2361" t="str">
        <f t="shared" si="182"/>
        <v>E:\PropInv\MF</v>
      </c>
      <c r="K2361" s="103" t="str">
        <f>HYPERLINK("E:\PropInv\MF\Houston\Kingsgate Cir_7298_Westlake Village_Houston_03196","Kingsgate Cir_7298_Westlake Village_Houston_03196" )</f>
        <v>Kingsgate Cir_7298_Westlake Village_Houston_03196</v>
      </c>
      <c r="L2361" s="104" t="s">
        <v>22253</v>
      </c>
      <c r="M2361" s="103" t="str">
        <f t="shared" si="183"/>
        <v>http://oconnordata.com/mlink/modules/profile/index.cfm?action=profile&amp;prop_id=3196</v>
      </c>
      <c r="N2361" s="1" t="str">
        <f t="shared" si="184"/>
        <v>03196</v>
      </c>
    </row>
    <row r="2362" spans="1:14" x14ac:dyDescent="0.3">
      <c r="A2362" s="1">
        <v>3197</v>
      </c>
      <c r="B2362" s="10" t="s">
        <v>3401</v>
      </c>
      <c r="C2362" s="9">
        <v>7003</v>
      </c>
      <c r="D2362" s="10" t="s">
        <v>3558</v>
      </c>
      <c r="E2362" s="11" t="s">
        <v>1657</v>
      </c>
      <c r="F2362" t="str">
        <f t="shared" si="180"/>
        <v>Bissonnet</v>
      </c>
      <c r="G2362" t="str">
        <f t="shared" si="181"/>
        <v>Bissonnet7003Houston</v>
      </c>
      <c r="H2362" t="s">
        <v>33220</v>
      </c>
      <c r="I2362" t="s">
        <v>24645</v>
      </c>
      <c r="J2362" t="str">
        <f t="shared" si="182"/>
        <v>E:\PropInv\MF</v>
      </c>
      <c r="K2362" s="103" t="str">
        <f>HYPERLINK("E:\PropInv\MF\Houston\Bissonnet St_7003_The Oaks on Bissonnet_Houston_03197","Bissonnet St_7003_The Oaks on Bissonnet_Houston_03197" )</f>
        <v>Bissonnet St_7003_The Oaks on Bissonnet_Houston_03197</v>
      </c>
      <c r="L2362" s="104" t="s">
        <v>22253</v>
      </c>
      <c r="M2362" s="103" t="str">
        <f t="shared" si="183"/>
        <v>http://oconnordata.com/mlink/modules/profile/index.cfm?action=profile&amp;prop_id=3197</v>
      </c>
      <c r="N2362" s="1" t="str">
        <f t="shared" si="184"/>
        <v>03197</v>
      </c>
    </row>
    <row r="2363" spans="1:14" x14ac:dyDescent="0.3">
      <c r="A2363" s="1">
        <v>3198</v>
      </c>
      <c r="B2363" s="10" t="s">
        <v>3559</v>
      </c>
      <c r="C2363" s="9">
        <v>9707</v>
      </c>
      <c r="D2363" s="10" t="s">
        <v>3560</v>
      </c>
      <c r="E2363" s="11" t="s">
        <v>1657</v>
      </c>
      <c r="F2363" t="str">
        <f t="shared" si="180"/>
        <v>Braeburn</v>
      </c>
      <c r="G2363" t="str">
        <f t="shared" si="181"/>
        <v>Braeburn9707Houston</v>
      </c>
      <c r="H2363" t="s">
        <v>33221</v>
      </c>
      <c r="I2363" t="s">
        <v>24646</v>
      </c>
      <c r="J2363" t="str">
        <f t="shared" si="182"/>
        <v>E:\PropInv\MF</v>
      </c>
      <c r="K2363" s="103" t="str">
        <f>HYPERLINK("E:\PropInv\MF\Houston\Braeburn Glen_9707_Villa Acapulco_Houston_03198","Braeburn Glen_9707_Villa Acapulco_Houston_03198" )</f>
        <v>Braeburn Glen_9707_Villa Acapulco_Houston_03198</v>
      </c>
      <c r="L2363" s="104" t="s">
        <v>22253</v>
      </c>
      <c r="M2363" s="103" t="str">
        <f t="shared" si="183"/>
        <v>http://oconnordata.com/mlink/modules/profile/index.cfm?action=profile&amp;prop_id=3198</v>
      </c>
      <c r="N2363" s="1" t="str">
        <f t="shared" si="184"/>
        <v>03198</v>
      </c>
    </row>
    <row r="2364" spans="1:14" x14ac:dyDescent="0.3">
      <c r="A2364" s="1">
        <v>3199</v>
      </c>
      <c r="B2364" s="10" t="s">
        <v>3546</v>
      </c>
      <c r="C2364" s="9">
        <v>8701</v>
      </c>
      <c r="D2364" s="10" t="s">
        <v>3561</v>
      </c>
      <c r="E2364" s="11" t="s">
        <v>1657</v>
      </c>
      <c r="F2364" t="str">
        <f t="shared" si="180"/>
        <v>Braeswood</v>
      </c>
      <c r="G2364" t="str">
        <f t="shared" si="181"/>
        <v>Braeswood8701Houston</v>
      </c>
      <c r="H2364" t="s">
        <v>33222</v>
      </c>
      <c r="I2364" t="s">
        <v>24647</v>
      </c>
      <c r="J2364" t="str">
        <f t="shared" si="182"/>
        <v>E:\PropInv\MF</v>
      </c>
      <c r="K2364" s="103" t="str">
        <f>HYPERLINK("E:\PropInv\MF\Houston\Braeswood Blvd S_8701_Braes Hollow_Houston_03199","Braeswood Blvd S_8701_Braes Hollow_Houston_03199" )</f>
        <v>Braeswood Blvd S_8701_Braes Hollow_Houston_03199</v>
      </c>
      <c r="L2364" s="104" t="s">
        <v>22253</v>
      </c>
      <c r="M2364" s="103" t="str">
        <f t="shared" si="183"/>
        <v>http://oconnordata.com/mlink/modules/profile/index.cfm?action=profile&amp;prop_id=3199</v>
      </c>
      <c r="N2364" s="1" t="str">
        <f t="shared" si="184"/>
        <v>03199</v>
      </c>
    </row>
    <row r="2365" spans="1:14" x14ac:dyDescent="0.3">
      <c r="A2365" s="1">
        <v>3200</v>
      </c>
      <c r="B2365" s="10" t="s">
        <v>3562</v>
      </c>
      <c r="C2365" s="9">
        <v>8800</v>
      </c>
      <c r="D2365" s="10" t="s">
        <v>3563</v>
      </c>
      <c r="E2365" s="11" t="s">
        <v>1657</v>
      </c>
      <c r="F2365" t="str">
        <f t="shared" si="180"/>
        <v>Braeswood</v>
      </c>
      <c r="G2365" t="str">
        <f t="shared" si="181"/>
        <v>Braeswood8800Houston</v>
      </c>
      <c r="H2365" t="s">
        <v>33223</v>
      </c>
      <c r="I2365" t="s">
        <v>24648</v>
      </c>
      <c r="J2365" t="str">
        <f t="shared" si="182"/>
        <v>E:\PropInv\MF</v>
      </c>
      <c r="K2365" s="103" t="str">
        <f>HYPERLINK("E:\PropInv\MF\Houston\Braeswood S_8800_Braeswood Atrium_Houston_03200","Braeswood S_8800_Braeswood Atrium_Houston_03200" )</f>
        <v>Braeswood S_8800_Braeswood Atrium_Houston_03200</v>
      </c>
      <c r="L2365" s="104" t="s">
        <v>22253</v>
      </c>
      <c r="M2365" s="103" t="str">
        <f t="shared" si="183"/>
        <v>http://oconnordata.com/mlink/modules/profile/index.cfm?action=profile&amp;prop_id=3200</v>
      </c>
      <c r="N2365" s="1" t="str">
        <f t="shared" si="184"/>
        <v>03200</v>
      </c>
    </row>
    <row r="2366" spans="1:14" x14ac:dyDescent="0.3">
      <c r="A2366" s="1">
        <v>3201</v>
      </c>
      <c r="B2366" s="10" t="s">
        <v>3562</v>
      </c>
      <c r="C2366" s="9">
        <v>8801</v>
      </c>
      <c r="D2366" s="10" t="s">
        <v>3564</v>
      </c>
      <c r="E2366" s="11" t="s">
        <v>1657</v>
      </c>
      <c r="F2366" t="str">
        <f t="shared" si="180"/>
        <v>Braeswood</v>
      </c>
      <c r="G2366" t="str">
        <f t="shared" si="181"/>
        <v>Braeswood8801Houston</v>
      </c>
      <c r="H2366" t="s">
        <v>33224</v>
      </c>
      <c r="I2366" t="s">
        <v>24649</v>
      </c>
      <c r="J2366" t="str">
        <f t="shared" si="182"/>
        <v>E:\PropInv\MF</v>
      </c>
      <c r="K2366" s="103" t="str">
        <f>HYPERLINK("E:\PropInv\MF\Houston\Braeswood S_8801_Braes Court_Houston_03201","Braeswood S_8801_Braes Court_Houston_03201" )</f>
        <v>Braeswood S_8801_Braes Court_Houston_03201</v>
      </c>
      <c r="L2366" s="104" t="s">
        <v>22253</v>
      </c>
      <c r="M2366" s="103" t="str">
        <f t="shared" si="183"/>
        <v>http://oconnordata.com/mlink/modules/profile/index.cfm?action=profile&amp;prop_id=3201</v>
      </c>
      <c r="N2366" s="1" t="str">
        <f t="shared" si="184"/>
        <v>03201</v>
      </c>
    </row>
    <row r="2367" spans="1:14" x14ac:dyDescent="0.3">
      <c r="A2367" s="1">
        <v>3202</v>
      </c>
      <c r="B2367" s="10" t="s">
        <v>3565</v>
      </c>
      <c r="C2367" s="9">
        <v>6425</v>
      </c>
      <c r="D2367" s="10" t="s">
        <v>3566</v>
      </c>
      <c r="E2367" s="11" t="s">
        <v>1657</v>
      </c>
      <c r="F2367" t="str">
        <f t="shared" si="180"/>
        <v>Bankside</v>
      </c>
      <c r="G2367" t="str">
        <f t="shared" si="181"/>
        <v>Bankside6425Houston</v>
      </c>
      <c r="H2367" t="s">
        <v>33225</v>
      </c>
      <c r="I2367" t="s">
        <v>24650</v>
      </c>
      <c r="J2367" t="str">
        <f t="shared" si="182"/>
        <v>E:\PropInv\MF</v>
      </c>
      <c r="K2367" s="103" t="str">
        <f>HYPERLINK("E:\PropInv\MF\Houston\Bankside_6425_Bankside Village_Houston_03202","Bankside_6425_Bankside Village_Houston_03202" )</f>
        <v>Bankside_6425_Bankside Village_Houston_03202</v>
      </c>
      <c r="L2367" s="104" t="s">
        <v>22253</v>
      </c>
      <c r="M2367" s="103" t="str">
        <f t="shared" si="183"/>
        <v>http://oconnordata.com/mlink/modules/profile/index.cfm?action=profile&amp;prop_id=3202</v>
      </c>
      <c r="N2367" s="1" t="str">
        <f t="shared" si="184"/>
        <v>03202</v>
      </c>
    </row>
    <row r="2368" spans="1:14" x14ac:dyDescent="0.3">
      <c r="A2368" s="1">
        <v>3203</v>
      </c>
      <c r="B2368" s="10" t="s">
        <v>3451</v>
      </c>
      <c r="C2368" s="9">
        <v>10555</v>
      </c>
      <c r="D2368" s="10" t="s">
        <v>3567</v>
      </c>
      <c r="E2368" s="11" t="s">
        <v>1657</v>
      </c>
      <c r="F2368" t="str">
        <f t="shared" si="180"/>
        <v>Fondren</v>
      </c>
      <c r="G2368" t="str">
        <f t="shared" si="181"/>
        <v>Fondren10555Houston</v>
      </c>
      <c r="H2368" t="s">
        <v>33226</v>
      </c>
      <c r="I2368" t="s">
        <v>24651</v>
      </c>
      <c r="J2368" t="str">
        <f t="shared" si="182"/>
        <v>E:\PropInv\MF</v>
      </c>
      <c r="K2368" s="103" t="str">
        <f>HYPERLINK("E:\PropInv\MF\Houston\Fondren_10555_Braeswood Oaks_Houston_03203","Fondren_10555_Braeswood Oaks_Houston_03203" )</f>
        <v>Fondren_10555_Braeswood Oaks_Houston_03203</v>
      </c>
      <c r="L2368" s="104" t="s">
        <v>22253</v>
      </c>
      <c r="M2368" s="103" t="str">
        <f t="shared" si="183"/>
        <v>http://oconnordata.com/mlink/modules/profile/index.cfm?action=profile&amp;prop_id=3203</v>
      </c>
      <c r="N2368" s="1" t="str">
        <f t="shared" si="184"/>
        <v>03203</v>
      </c>
    </row>
    <row r="2369" spans="1:14" x14ac:dyDescent="0.3">
      <c r="A2369" s="1">
        <v>3204</v>
      </c>
      <c r="B2369" s="10" t="s">
        <v>3568</v>
      </c>
      <c r="C2369" s="9">
        <v>10950</v>
      </c>
      <c r="D2369" s="10" t="s">
        <v>3569</v>
      </c>
      <c r="E2369" s="11" t="s">
        <v>1657</v>
      </c>
      <c r="F2369" t="str">
        <f t="shared" si="180"/>
        <v>Westbrae</v>
      </c>
      <c r="G2369" t="str">
        <f t="shared" si="181"/>
        <v>Westbrae10950Houston</v>
      </c>
      <c r="H2369" t="s">
        <v>33227</v>
      </c>
      <c r="I2369" t="s">
        <v>24652</v>
      </c>
      <c r="J2369" t="str">
        <f t="shared" si="182"/>
        <v>E:\PropInv\MF</v>
      </c>
      <c r="K2369" s="103" t="str">
        <f>HYPERLINK("E:\PropInv\MF\Houston\Westbrae Pkwy_10950_Crystal Falls_Houston_03204","Westbrae Pkwy_10950_Crystal Falls_Houston_03204" )</f>
        <v>Westbrae Pkwy_10950_Crystal Falls_Houston_03204</v>
      </c>
      <c r="L2369" s="104" t="s">
        <v>22253</v>
      </c>
      <c r="M2369" s="103" t="str">
        <f t="shared" si="183"/>
        <v>http://oconnordata.com/mlink/modules/profile/index.cfm?action=profile&amp;prop_id=3204</v>
      </c>
      <c r="N2369" s="1" t="str">
        <f t="shared" si="184"/>
        <v>03204</v>
      </c>
    </row>
    <row r="2370" spans="1:14" x14ac:dyDescent="0.3">
      <c r="A2370" s="1">
        <v>3205</v>
      </c>
      <c r="B2370" s="10" t="s">
        <v>3570</v>
      </c>
      <c r="C2370" s="9">
        <v>11100</v>
      </c>
      <c r="D2370" s="10" t="s">
        <v>3571</v>
      </c>
      <c r="E2370" s="11" t="s">
        <v>1657</v>
      </c>
      <c r="F2370" t="str">
        <f t="shared" ref="F2370:F2433" si="185">IFERROR(LEFT(B2370,FIND(" ",B2370)-1),B2370)</f>
        <v>Braesridge</v>
      </c>
      <c r="G2370" t="str">
        <f t="shared" ref="G2370:G2433" si="186">F2370&amp;C2370&amp;E2370</f>
        <v>Braesridge11100Houston</v>
      </c>
      <c r="H2370" t="s">
        <v>33228</v>
      </c>
      <c r="I2370" t="s">
        <v>24653</v>
      </c>
      <c r="J2370" t="str">
        <f t="shared" ref="J2370:J2433" si="187">IF(L2370="TX",Folder_Path,Folder_Path&amp;"\State_"&amp;L2370)</f>
        <v>E:\PropInv\MF</v>
      </c>
      <c r="K2370" s="103" t="str">
        <f>HYPERLINK("E:\PropInv\MF\Houston\Braesridge_11100_Braesridge I_Houston_03205","Braesridge_11100_Braesridge I_Houston_03205" )</f>
        <v>Braesridge_11100_Braesridge I_Houston_03205</v>
      </c>
      <c r="L2370" s="104" t="s">
        <v>22253</v>
      </c>
      <c r="M2370" s="103" t="str">
        <f t="shared" ref="M2370:M2433" si="188">HYPERLINK("http://oconnordata.com/mlink/modules/profile/index.cfm?action=profile&amp;prop_id="&amp;A2370)</f>
        <v>http://oconnordata.com/mlink/modules/profile/index.cfm?action=profile&amp;prop_id=3205</v>
      </c>
      <c r="N2370" s="1" t="str">
        <f t="shared" ref="N2370:N2433" si="189">IF(LEN(A2370)=1,"0000"&amp;A2370,IF(LEN(A2370)=2,"000"&amp;A2370,IF(LEN(A2370)=3,"00"&amp;A2370,IF(LEN(A2370)=4,"0"&amp;A2370,IF(LEN(A2370)=5,IF(LEFT(A2370,1)="3",A2370+30000,A2370))))))</f>
        <v>03205</v>
      </c>
    </row>
    <row r="2371" spans="1:14" x14ac:dyDescent="0.3">
      <c r="A2371" s="1">
        <v>3206</v>
      </c>
      <c r="B2371" s="10" t="s">
        <v>1328</v>
      </c>
      <c r="C2371" s="9">
        <v>10402</v>
      </c>
      <c r="D2371" s="10" t="s">
        <v>1328</v>
      </c>
      <c r="E2371" s="11" t="s">
        <v>1657</v>
      </c>
      <c r="F2371" t="str">
        <f t="shared" si="185"/>
        <v>Sandpiper</v>
      </c>
      <c r="G2371" t="str">
        <f t="shared" si="186"/>
        <v>Sandpiper10402Houston</v>
      </c>
      <c r="H2371" t="s">
        <v>33229</v>
      </c>
      <c r="I2371" t="s">
        <v>24654</v>
      </c>
      <c r="J2371" t="str">
        <f t="shared" si="187"/>
        <v>E:\PropInv\MF</v>
      </c>
      <c r="K2371" s="103" t="str">
        <f>HYPERLINK("E:\PropInv\MF\Houston\Sandpiper_10402_Sandpiper_Houston_03206","Sandpiper_10402_Sandpiper_Houston_03206" )</f>
        <v>Sandpiper_10402_Sandpiper_Houston_03206</v>
      </c>
      <c r="L2371" s="104" t="s">
        <v>22253</v>
      </c>
      <c r="M2371" s="103" t="str">
        <f t="shared" si="188"/>
        <v>http://oconnordata.com/mlink/modules/profile/index.cfm?action=profile&amp;prop_id=3206</v>
      </c>
      <c r="N2371" s="1" t="str">
        <f t="shared" si="189"/>
        <v>03206</v>
      </c>
    </row>
    <row r="2372" spans="1:14" x14ac:dyDescent="0.3">
      <c r="A2372" s="1">
        <v>3207</v>
      </c>
      <c r="B2372" s="10" t="s">
        <v>3572</v>
      </c>
      <c r="C2372" s="9">
        <v>6503</v>
      </c>
      <c r="D2372" s="10" t="s">
        <v>3573</v>
      </c>
      <c r="E2372" s="11" t="s">
        <v>1657</v>
      </c>
      <c r="F2372" t="str">
        <f t="shared" si="185"/>
        <v>Wanda</v>
      </c>
      <c r="G2372" t="str">
        <f t="shared" si="186"/>
        <v>Wanda6503Houston</v>
      </c>
      <c r="H2372" t="s">
        <v>33230</v>
      </c>
      <c r="I2372" t="s">
        <v>24655</v>
      </c>
      <c r="J2372" t="str">
        <f t="shared" si="187"/>
        <v>E:\PropInv\MF</v>
      </c>
      <c r="K2372" s="103" t="str">
        <f>HYPERLINK("E:\PropInv\MF\Houston\Wanda_6503_St James Place II_Houston_03207","Wanda_6503_St James Place II_Houston_03207" )</f>
        <v>Wanda_6503_St James Place II_Houston_03207</v>
      </c>
      <c r="L2372" s="104" t="s">
        <v>22253</v>
      </c>
      <c r="M2372" s="103" t="str">
        <f t="shared" si="188"/>
        <v>http://oconnordata.com/mlink/modules/profile/index.cfm?action=profile&amp;prop_id=3207</v>
      </c>
      <c r="N2372" s="1" t="str">
        <f t="shared" si="189"/>
        <v>03207</v>
      </c>
    </row>
    <row r="2373" spans="1:14" x14ac:dyDescent="0.3">
      <c r="A2373" s="1">
        <v>3208</v>
      </c>
      <c r="B2373" s="10" t="s">
        <v>3451</v>
      </c>
      <c r="C2373" s="9">
        <v>9109</v>
      </c>
      <c r="D2373" s="10" t="s">
        <v>3574</v>
      </c>
      <c r="E2373" s="11" t="s">
        <v>1657</v>
      </c>
      <c r="F2373" t="str">
        <f t="shared" si="185"/>
        <v>Fondren</v>
      </c>
      <c r="G2373" t="str">
        <f t="shared" si="186"/>
        <v>Fondren9109Houston</v>
      </c>
      <c r="H2373" t="s">
        <v>33231</v>
      </c>
      <c r="I2373" t="s">
        <v>24656</v>
      </c>
      <c r="J2373" t="str">
        <f t="shared" si="187"/>
        <v>E:\PropInv\MF</v>
      </c>
      <c r="K2373" s="103" t="str">
        <f>HYPERLINK("E:\PropInv\MF\Houston\Fondren_9109_St James_Houston_03208","Fondren_9109_St James_Houston_03208" )</f>
        <v>Fondren_9109_St James_Houston_03208</v>
      </c>
      <c r="L2373" s="104" t="s">
        <v>22253</v>
      </c>
      <c r="M2373" s="103" t="str">
        <f t="shared" si="188"/>
        <v>http://oconnordata.com/mlink/modules/profile/index.cfm?action=profile&amp;prop_id=3208</v>
      </c>
      <c r="N2373" s="1" t="str">
        <f t="shared" si="189"/>
        <v>03208</v>
      </c>
    </row>
    <row r="2374" spans="1:14" x14ac:dyDescent="0.3">
      <c r="A2374" s="1">
        <v>3212</v>
      </c>
      <c r="B2374" s="10" t="s">
        <v>3568</v>
      </c>
      <c r="C2374" s="9">
        <v>10680</v>
      </c>
      <c r="D2374" s="10" t="s">
        <v>3575</v>
      </c>
      <c r="E2374" s="11" t="s">
        <v>1657</v>
      </c>
      <c r="F2374" t="str">
        <f t="shared" si="185"/>
        <v>Westbrae</v>
      </c>
      <c r="G2374" t="str">
        <f t="shared" si="186"/>
        <v>Westbrae10680Houston</v>
      </c>
      <c r="H2374" t="s">
        <v>33232</v>
      </c>
      <c r="I2374" t="s">
        <v>24657</v>
      </c>
      <c r="J2374" t="str">
        <f t="shared" si="187"/>
        <v>E:\PropInv\MF</v>
      </c>
      <c r="K2374" s="103" t="str">
        <f>HYPERLINK("E:\PropInv\MF\Houston\Westbrae Pkwy_10680_Westbrae Court_Houston_03212","Westbrae Pkwy_10680_Westbrae Court_Houston_03212" )</f>
        <v>Westbrae Pkwy_10680_Westbrae Court_Houston_03212</v>
      </c>
      <c r="L2374" s="104" t="s">
        <v>22253</v>
      </c>
      <c r="M2374" s="103" t="str">
        <f t="shared" si="188"/>
        <v>http://oconnordata.com/mlink/modules/profile/index.cfm?action=profile&amp;prop_id=3212</v>
      </c>
      <c r="N2374" s="1" t="str">
        <f t="shared" si="189"/>
        <v>03212</v>
      </c>
    </row>
    <row r="2375" spans="1:14" x14ac:dyDescent="0.3">
      <c r="A2375" s="1">
        <v>3213</v>
      </c>
      <c r="B2375" s="10" t="s">
        <v>3568</v>
      </c>
      <c r="C2375" s="9">
        <v>10750</v>
      </c>
      <c r="D2375" s="10" t="s">
        <v>3576</v>
      </c>
      <c r="E2375" s="11" t="s">
        <v>1657</v>
      </c>
      <c r="F2375" t="str">
        <f t="shared" si="185"/>
        <v>Westbrae</v>
      </c>
      <c r="G2375" t="str">
        <f t="shared" si="186"/>
        <v>Westbrae10750Houston</v>
      </c>
      <c r="H2375" t="s">
        <v>33233</v>
      </c>
      <c r="I2375" t="s">
        <v>24658</v>
      </c>
      <c r="J2375" t="str">
        <f t="shared" si="187"/>
        <v>E:\PropInv\MF</v>
      </c>
      <c r="K2375" s="103" t="str">
        <f>HYPERLINK("E:\PropInv\MF\Houston\Westbrae Pkwy_10750_Fairfield Trails_Houston_03213","Westbrae Pkwy_10750_Fairfield Trails_Houston_03213" )</f>
        <v>Westbrae Pkwy_10750_Fairfield Trails_Houston_03213</v>
      </c>
      <c r="L2375" s="104" t="s">
        <v>22253</v>
      </c>
      <c r="M2375" s="103" t="str">
        <f t="shared" si="188"/>
        <v>http://oconnordata.com/mlink/modules/profile/index.cfm?action=profile&amp;prop_id=3213</v>
      </c>
      <c r="N2375" s="1" t="str">
        <f t="shared" si="189"/>
        <v>03213</v>
      </c>
    </row>
    <row r="2376" spans="1:14" x14ac:dyDescent="0.3">
      <c r="A2376" s="1">
        <v>3214</v>
      </c>
      <c r="B2376" s="10" t="s">
        <v>3451</v>
      </c>
      <c r="C2376" s="9">
        <v>10001</v>
      </c>
      <c r="D2376" s="10" t="s">
        <v>3577</v>
      </c>
      <c r="E2376" s="11" t="s">
        <v>1657</v>
      </c>
      <c r="F2376" t="str">
        <f t="shared" si="185"/>
        <v>Fondren</v>
      </c>
      <c r="G2376" t="str">
        <f t="shared" si="186"/>
        <v>Fondren10001Houston</v>
      </c>
      <c r="H2376" t="s">
        <v>33234</v>
      </c>
      <c r="I2376" t="s">
        <v>24659</v>
      </c>
      <c r="J2376" t="str">
        <f t="shared" si="187"/>
        <v>E:\PropInv\MF</v>
      </c>
      <c r="K2376" s="103" t="str">
        <f>HYPERLINK("E:\PropInv\MF\Houston\Fondren_10001_West Hollow_Houston_03214","Fondren_10001_West Hollow_Houston_03214" )</f>
        <v>Fondren_10001_West Hollow_Houston_03214</v>
      </c>
      <c r="L2376" s="104" t="s">
        <v>22253</v>
      </c>
      <c r="M2376" s="103" t="str">
        <f t="shared" si="188"/>
        <v>http://oconnordata.com/mlink/modules/profile/index.cfm?action=profile&amp;prop_id=3214</v>
      </c>
      <c r="N2376" s="1" t="str">
        <f t="shared" si="189"/>
        <v>03214</v>
      </c>
    </row>
    <row r="2377" spans="1:14" x14ac:dyDescent="0.3">
      <c r="A2377" s="1">
        <v>3215</v>
      </c>
      <c r="B2377" s="10" t="s">
        <v>1328</v>
      </c>
      <c r="C2377" s="9">
        <v>10301</v>
      </c>
      <c r="D2377" s="10" t="s">
        <v>3578</v>
      </c>
      <c r="E2377" s="11" t="s">
        <v>1657</v>
      </c>
      <c r="F2377" t="str">
        <f t="shared" si="185"/>
        <v>Sandpiper</v>
      </c>
      <c r="G2377" t="str">
        <f t="shared" si="186"/>
        <v>Sandpiper10301Houston</v>
      </c>
      <c r="H2377" t="s">
        <v>33235</v>
      </c>
      <c r="I2377" t="s">
        <v>24660</v>
      </c>
      <c r="J2377" t="str">
        <f t="shared" si="187"/>
        <v>E:\PropInv\MF</v>
      </c>
      <c r="K2377" s="103" t="str">
        <f>HYPERLINK("E:\PropInv\MF\Houston\Sandpiper_10301_Arbor Square_Houston_03215","Sandpiper_10301_Arbor Square_Houston_03215" )</f>
        <v>Sandpiper_10301_Arbor Square_Houston_03215</v>
      </c>
      <c r="L2377" s="104" t="s">
        <v>22253</v>
      </c>
      <c r="M2377" s="103" t="str">
        <f t="shared" si="188"/>
        <v>http://oconnordata.com/mlink/modules/profile/index.cfm?action=profile&amp;prop_id=3215</v>
      </c>
      <c r="N2377" s="1" t="str">
        <f t="shared" si="189"/>
        <v>03215</v>
      </c>
    </row>
    <row r="2378" spans="1:14" x14ac:dyDescent="0.3">
      <c r="A2378" s="1">
        <v>3216</v>
      </c>
      <c r="B2378" s="10" t="s">
        <v>3579</v>
      </c>
      <c r="C2378" s="9">
        <v>6310</v>
      </c>
      <c r="D2378" s="10" t="s">
        <v>3580</v>
      </c>
      <c r="E2378" s="11" t="s">
        <v>1657</v>
      </c>
      <c r="F2378" t="str">
        <f t="shared" si="185"/>
        <v>Dumfries</v>
      </c>
      <c r="G2378" t="str">
        <f t="shared" si="186"/>
        <v>Dumfries6310Houston</v>
      </c>
      <c r="H2378" t="s">
        <v>33236</v>
      </c>
      <c r="I2378" t="s">
        <v>24661</v>
      </c>
      <c r="J2378" t="str">
        <f t="shared" si="187"/>
        <v>E:\PropInv\MF</v>
      </c>
      <c r="K2378" s="103" t="str">
        <f>HYPERLINK("E:\PropInv\MF\Houston\Dumfries_6310_Bayou Village Place_Houston_03216","Dumfries_6310_Bayou Village Place_Houston_03216" )</f>
        <v>Dumfries_6310_Bayou Village Place_Houston_03216</v>
      </c>
      <c r="L2378" s="104" t="s">
        <v>22253</v>
      </c>
      <c r="M2378" s="103" t="str">
        <f t="shared" si="188"/>
        <v>http://oconnordata.com/mlink/modules/profile/index.cfm?action=profile&amp;prop_id=3216</v>
      </c>
      <c r="N2378" s="1" t="str">
        <f t="shared" si="189"/>
        <v>03216</v>
      </c>
    </row>
    <row r="2379" spans="1:14" x14ac:dyDescent="0.3">
      <c r="A2379" s="1">
        <v>3217</v>
      </c>
      <c r="B2379" s="10" t="s">
        <v>3451</v>
      </c>
      <c r="C2379" s="9">
        <v>9801</v>
      </c>
      <c r="D2379" s="10" t="s">
        <v>3581</v>
      </c>
      <c r="E2379" s="11" t="s">
        <v>1657</v>
      </c>
      <c r="F2379" t="str">
        <f t="shared" si="185"/>
        <v>Fondren</v>
      </c>
      <c r="G2379" t="str">
        <f t="shared" si="186"/>
        <v>Fondren9801Houston</v>
      </c>
      <c r="H2379" t="s">
        <v>33237</v>
      </c>
      <c r="I2379" t="s">
        <v>24662</v>
      </c>
      <c r="J2379" t="str">
        <f t="shared" si="187"/>
        <v>E:\PropInv\MF</v>
      </c>
      <c r="K2379" s="103" t="str">
        <f>HYPERLINK("E:\PropInv\MF\Houston\Fondren_9801_Stone Forest_Houston_03217","Fondren_9801_Stone Forest_Houston_03217" )</f>
        <v>Fondren_9801_Stone Forest_Houston_03217</v>
      </c>
      <c r="L2379" s="104" t="s">
        <v>22253</v>
      </c>
      <c r="M2379" s="103" t="str">
        <f t="shared" si="188"/>
        <v>http://oconnordata.com/mlink/modules/profile/index.cfm?action=profile&amp;prop_id=3217</v>
      </c>
      <c r="N2379" s="1" t="str">
        <f t="shared" si="189"/>
        <v>03217</v>
      </c>
    </row>
    <row r="2380" spans="1:14" x14ac:dyDescent="0.3">
      <c r="A2380" s="1">
        <v>3218</v>
      </c>
      <c r="B2380" s="10" t="s">
        <v>3550</v>
      </c>
      <c r="C2380" s="9">
        <v>8801</v>
      </c>
      <c r="D2380" s="10" t="s">
        <v>3582</v>
      </c>
      <c r="E2380" s="11" t="s">
        <v>1657</v>
      </c>
      <c r="F2380" t="str">
        <f t="shared" si="185"/>
        <v>Gustine</v>
      </c>
      <c r="G2380" t="str">
        <f t="shared" si="186"/>
        <v>Gustine8801Houston</v>
      </c>
      <c r="H2380" t="s">
        <v>33238</v>
      </c>
      <c r="I2380" t="s">
        <v>24663</v>
      </c>
      <c r="J2380" t="str">
        <f t="shared" si="187"/>
        <v>E:\PropInv\MF</v>
      </c>
      <c r="K2380" s="103" t="str">
        <f>HYPERLINK("E:\PropInv\MF\Houston\Gustine Ln_8801_Royal Pines_Houston_03218","Gustine Ln_8801_Royal Pines_Houston_03218" )</f>
        <v>Gustine Ln_8801_Royal Pines_Houston_03218</v>
      </c>
      <c r="L2380" s="104" t="s">
        <v>22253</v>
      </c>
      <c r="M2380" s="103" t="str">
        <f t="shared" si="188"/>
        <v>http://oconnordata.com/mlink/modules/profile/index.cfm?action=profile&amp;prop_id=3218</v>
      </c>
      <c r="N2380" s="1" t="str">
        <f t="shared" si="189"/>
        <v>03218</v>
      </c>
    </row>
    <row r="2381" spans="1:14" x14ac:dyDescent="0.3">
      <c r="A2381" s="1">
        <v>3219</v>
      </c>
      <c r="B2381" s="7" t="s">
        <v>3583</v>
      </c>
      <c r="C2381" s="12">
        <v>9600</v>
      </c>
      <c r="D2381" s="7" t="s">
        <v>3584</v>
      </c>
      <c r="E2381" s="13" t="s">
        <v>1657</v>
      </c>
      <c r="F2381" t="str">
        <f t="shared" si="185"/>
        <v>Braes</v>
      </c>
      <c r="G2381" t="str">
        <f t="shared" si="186"/>
        <v>Braes9600Houston</v>
      </c>
      <c r="H2381" t="s">
        <v>33239</v>
      </c>
      <c r="I2381" t="s">
        <v>24664</v>
      </c>
      <c r="J2381" t="str">
        <f t="shared" si="187"/>
        <v>E:\PropInv\MF</v>
      </c>
      <c r="K2381" s="103" t="str">
        <f>HYPERLINK("E:\PropInv\MF\Houston\Braes Bayou Dr_9600_Braeburn Villa_Houston_03219","Braes Bayou Dr_9600_Braeburn Villa_Houston_03219" )</f>
        <v>Braes Bayou Dr_9600_Braeburn Villa_Houston_03219</v>
      </c>
      <c r="L2381" s="104" t="s">
        <v>22253</v>
      </c>
      <c r="M2381" s="103" t="str">
        <f t="shared" si="188"/>
        <v>http://oconnordata.com/mlink/modules/profile/index.cfm?action=profile&amp;prop_id=3219</v>
      </c>
      <c r="N2381" s="1" t="str">
        <f t="shared" si="189"/>
        <v>03219</v>
      </c>
    </row>
    <row r="2382" spans="1:14" x14ac:dyDescent="0.3">
      <c r="A2382" s="1">
        <v>3221</v>
      </c>
      <c r="B2382" s="7" t="s">
        <v>3585</v>
      </c>
      <c r="C2382" s="12">
        <v>8110</v>
      </c>
      <c r="D2382" s="7" t="s">
        <v>3586</v>
      </c>
      <c r="E2382" s="13" t="s">
        <v>1657</v>
      </c>
      <c r="F2382" t="str">
        <f t="shared" si="185"/>
        <v>Creekbend</v>
      </c>
      <c r="G2382" t="str">
        <f t="shared" si="186"/>
        <v>Creekbend8110Houston</v>
      </c>
      <c r="H2382" t="s">
        <v>33240</v>
      </c>
      <c r="I2382" t="s">
        <v>24665</v>
      </c>
      <c r="J2382" t="str">
        <f t="shared" si="187"/>
        <v>E:\PropInv\MF</v>
      </c>
      <c r="K2382" s="103" t="str">
        <f>HYPERLINK("E:\PropInv\MF\Houston\Creekbend Dr_8110_Beacon Hill_Houston_03221","Creekbend Dr_8110_Beacon Hill_Houston_03221" )</f>
        <v>Creekbend Dr_8110_Beacon Hill_Houston_03221</v>
      </c>
      <c r="L2382" s="104" t="s">
        <v>22253</v>
      </c>
      <c r="M2382" s="103" t="str">
        <f t="shared" si="188"/>
        <v>http://oconnordata.com/mlink/modules/profile/index.cfm?action=profile&amp;prop_id=3221</v>
      </c>
      <c r="N2382" s="1" t="str">
        <f t="shared" si="189"/>
        <v>03221</v>
      </c>
    </row>
    <row r="2383" spans="1:14" x14ac:dyDescent="0.3">
      <c r="A2383" s="1">
        <v>3222</v>
      </c>
      <c r="B2383" s="7" t="s">
        <v>3570</v>
      </c>
      <c r="C2383" s="12">
        <v>11100</v>
      </c>
      <c r="D2383" s="7" t="s">
        <v>3587</v>
      </c>
      <c r="E2383" s="13" t="s">
        <v>1657</v>
      </c>
      <c r="F2383" t="str">
        <f t="shared" si="185"/>
        <v>Braesridge</v>
      </c>
      <c r="G2383" t="str">
        <f t="shared" si="186"/>
        <v>Braesridge11100Houston</v>
      </c>
      <c r="H2383" t="s">
        <v>33241</v>
      </c>
      <c r="I2383" t="s">
        <v>24666</v>
      </c>
      <c r="J2383" t="str">
        <f t="shared" si="187"/>
        <v>E:\PropInv\MF</v>
      </c>
      <c r="K2383" s="103" t="str">
        <f>HYPERLINK("E:\PropInv\MF\Houston\Braesridge_11100_Braesridge II_Houston_03222","Braesridge_11100_Braesridge II_Houston_03222" )</f>
        <v>Braesridge_11100_Braesridge II_Houston_03222</v>
      </c>
      <c r="L2383" s="104" t="s">
        <v>22253</v>
      </c>
      <c r="M2383" s="103" t="str">
        <f t="shared" si="188"/>
        <v>http://oconnordata.com/mlink/modules/profile/index.cfm?action=profile&amp;prop_id=3222</v>
      </c>
      <c r="N2383" s="1" t="str">
        <f t="shared" si="189"/>
        <v>03222</v>
      </c>
    </row>
    <row r="2384" spans="1:14" x14ac:dyDescent="0.3">
      <c r="A2384" s="1">
        <v>3223</v>
      </c>
      <c r="B2384" s="7" t="s">
        <v>3585</v>
      </c>
      <c r="C2384" s="12">
        <v>7600</v>
      </c>
      <c r="D2384" s="7" t="s">
        <v>3588</v>
      </c>
      <c r="E2384" s="13" t="s">
        <v>1657</v>
      </c>
      <c r="F2384" t="str">
        <f t="shared" si="185"/>
        <v>Creekbend</v>
      </c>
      <c r="G2384" t="str">
        <f t="shared" si="186"/>
        <v>Creekbend7600Houston</v>
      </c>
      <c r="H2384" t="s">
        <v>33242</v>
      </c>
      <c r="I2384" t="s">
        <v>24667</v>
      </c>
      <c r="J2384" t="str">
        <f t="shared" si="187"/>
        <v>E:\PropInv\MF</v>
      </c>
      <c r="K2384" s="103" t="str">
        <f>HYPERLINK("E:\PropInv\MF\Houston\Creekbend Dr_7600_The Reserve at Creekbend_Houston_03223","Creekbend Dr_7600_The Reserve at Creekbend_Houston_03223" )</f>
        <v>Creekbend Dr_7600_The Reserve at Creekbend_Houston_03223</v>
      </c>
      <c r="L2384" s="104" t="s">
        <v>22253</v>
      </c>
      <c r="M2384" s="103" t="str">
        <f t="shared" si="188"/>
        <v>http://oconnordata.com/mlink/modules/profile/index.cfm?action=profile&amp;prop_id=3223</v>
      </c>
      <c r="N2384" s="1" t="str">
        <f t="shared" si="189"/>
        <v>03223</v>
      </c>
    </row>
    <row r="2385" spans="1:14" x14ac:dyDescent="0.3">
      <c r="A2385" s="1">
        <v>3224</v>
      </c>
      <c r="B2385" s="7" t="s">
        <v>3585</v>
      </c>
      <c r="C2385" s="12">
        <v>8000</v>
      </c>
      <c r="D2385" s="7" t="s">
        <v>3589</v>
      </c>
      <c r="E2385" s="13" t="s">
        <v>1657</v>
      </c>
      <c r="F2385" t="str">
        <f t="shared" si="185"/>
        <v>Creekbend</v>
      </c>
      <c r="G2385" t="str">
        <f t="shared" si="186"/>
        <v>Creekbend8000Houston</v>
      </c>
      <c r="H2385" t="s">
        <v>33243</v>
      </c>
      <c r="I2385" t="s">
        <v>24668</v>
      </c>
      <c r="J2385" t="str">
        <f t="shared" si="187"/>
        <v>E:\PropInv\MF</v>
      </c>
      <c r="K2385" s="103" t="str">
        <f>HYPERLINK("E:\PropInv\MF\Houston\Creekbend Dr_8000_The Reserve at Braes Forest_Houston_03224","Creekbend Dr_8000_The Reserve at Braes Forest_Houston_03224" )</f>
        <v>Creekbend Dr_8000_The Reserve at Braes Forest_Houston_03224</v>
      </c>
      <c r="L2385" s="104" t="s">
        <v>22253</v>
      </c>
      <c r="M2385" s="103" t="str">
        <f t="shared" si="188"/>
        <v>http://oconnordata.com/mlink/modules/profile/index.cfm?action=profile&amp;prop_id=3224</v>
      </c>
      <c r="N2385" s="1" t="str">
        <f t="shared" si="189"/>
        <v>03224</v>
      </c>
    </row>
    <row r="2386" spans="1:14" x14ac:dyDescent="0.3">
      <c r="A2386" s="1">
        <v>3225</v>
      </c>
      <c r="B2386" s="7" t="s">
        <v>3590</v>
      </c>
      <c r="C2386" s="12">
        <v>5815</v>
      </c>
      <c r="D2386" s="7" t="s">
        <v>3591</v>
      </c>
      <c r="E2386" s="13" t="s">
        <v>1657</v>
      </c>
      <c r="F2386" t="str">
        <f t="shared" si="185"/>
        <v>Gulfton</v>
      </c>
      <c r="G2386" t="str">
        <f t="shared" si="186"/>
        <v>Gulfton5815Houston</v>
      </c>
      <c r="H2386" t="s">
        <v>33244</v>
      </c>
      <c r="I2386" t="s">
        <v>24669</v>
      </c>
      <c r="J2386" t="str">
        <f t="shared" si="187"/>
        <v>E:\PropInv\MF</v>
      </c>
      <c r="K2386" s="103" t="str">
        <f>HYPERLINK("E:\PropInv\MF\Houston\Gulfton_5815_Lantern Village_Houston_03225","Gulfton_5815_Lantern Village_Houston_03225" )</f>
        <v>Gulfton_5815_Lantern Village_Houston_03225</v>
      </c>
      <c r="L2386" s="104" t="s">
        <v>22253</v>
      </c>
      <c r="M2386" s="103" t="str">
        <f t="shared" si="188"/>
        <v>http://oconnordata.com/mlink/modules/profile/index.cfm?action=profile&amp;prop_id=3225</v>
      </c>
      <c r="N2386" s="1" t="str">
        <f t="shared" si="189"/>
        <v>03225</v>
      </c>
    </row>
    <row r="2387" spans="1:14" x14ac:dyDescent="0.3">
      <c r="A2387" s="1">
        <v>3226</v>
      </c>
      <c r="B2387" s="7" t="s">
        <v>3592</v>
      </c>
      <c r="C2387" s="12">
        <v>6050</v>
      </c>
      <c r="D2387" s="7" t="s">
        <v>3593</v>
      </c>
      <c r="E2387" s="13" t="s">
        <v>1657</v>
      </c>
      <c r="F2387" t="str">
        <f t="shared" si="185"/>
        <v>Glenmont</v>
      </c>
      <c r="G2387" t="str">
        <f t="shared" si="186"/>
        <v>Glenmont6050Houston</v>
      </c>
      <c r="H2387" t="s">
        <v>33245</v>
      </c>
      <c r="I2387" t="s">
        <v>24670</v>
      </c>
      <c r="J2387" t="str">
        <f t="shared" si="187"/>
        <v>E:\PropInv\MF</v>
      </c>
      <c r="K2387" s="103" t="str">
        <f>HYPERLINK("E:\PropInv\MF\Houston\Glenmont_6050_Mapletree Gardens_Houston_03226","Glenmont_6050_Mapletree Gardens_Houston_03226" )</f>
        <v>Glenmont_6050_Mapletree Gardens_Houston_03226</v>
      </c>
      <c r="L2387" s="104" t="s">
        <v>22253</v>
      </c>
      <c r="M2387" s="103" t="str">
        <f t="shared" si="188"/>
        <v>http://oconnordata.com/mlink/modules/profile/index.cfm?action=profile&amp;prop_id=3226</v>
      </c>
      <c r="N2387" s="1" t="str">
        <f t="shared" si="189"/>
        <v>03226</v>
      </c>
    </row>
    <row r="2388" spans="1:14" x14ac:dyDescent="0.3">
      <c r="A2388" s="1">
        <v>3227</v>
      </c>
      <c r="B2388" s="7" t="s">
        <v>3060</v>
      </c>
      <c r="C2388" s="12">
        <v>4301</v>
      </c>
      <c r="D2388" s="7" t="s">
        <v>3594</v>
      </c>
      <c r="E2388" s="13" t="s">
        <v>892</v>
      </c>
      <c r="F2388" t="str">
        <f t="shared" si="185"/>
        <v>Bissonnet</v>
      </c>
      <c r="G2388" t="str">
        <f t="shared" si="186"/>
        <v>Bissonnet4301Bellaire</v>
      </c>
      <c r="H2388" t="s">
        <v>33246</v>
      </c>
      <c r="I2388" t="s">
        <v>24671</v>
      </c>
      <c r="J2388" t="str">
        <f t="shared" si="187"/>
        <v>E:\PropInv\MF</v>
      </c>
      <c r="K2388" s="103" t="str">
        <f>HYPERLINK("E:\PropInv\MF\Bellaire\Bissonnet_4301_Pont Alba_Bellaire_03227","Bissonnet_4301_Pont Alba_Bellaire_03227" )</f>
        <v>Bissonnet_4301_Pont Alba_Bellaire_03227</v>
      </c>
      <c r="L2388" s="104" t="s">
        <v>22253</v>
      </c>
      <c r="M2388" s="103" t="str">
        <f t="shared" si="188"/>
        <v>http://oconnordata.com/mlink/modules/profile/index.cfm?action=profile&amp;prop_id=3227</v>
      </c>
      <c r="N2388" s="1" t="str">
        <f t="shared" si="189"/>
        <v>03227</v>
      </c>
    </row>
    <row r="2389" spans="1:14" x14ac:dyDescent="0.3">
      <c r="A2389" s="1">
        <v>3229</v>
      </c>
      <c r="B2389" s="7" t="s">
        <v>3525</v>
      </c>
      <c r="C2389" s="12">
        <v>10800</v>
      </c>
      <c r="D2389" s="7" t="s">
        <v>3595</v>
      </c>
      <c r="E2389" s="13" t="s">
        <v>1657</v>
      </c>
      <c r="F2389" t="str">
        <f t="shared" si="185"/>
        <v>Fondren</v>
      </c>
      <c r="G2389" t="str">
        <f t="shared" si="186"/>
        <v>Fondren10800Houston</v>
      </c>
      <c r="H2389" t="s">
        <v>33247</v>
      </c>
      <c r="I2389" t="s">
        <v>24672</v>
      </c>
      <c r="J2389" t="str">
        <f t="shared" si="187"/>
        <v>E:\PropInv\MF</v>
      </c>
      <c r="K2389" s="103" t="str">
        <f>HYPERLINK("E:\PropInv\MF\Houston\Fondren Rd_10800_The Reserve at Bankside_Houston_03229","Fondren Rd_10800_The Reserve at Bankside_Houston_03229" )</f>
        <v>Fondren Rd_10800_The Reserve at Bankside_Houston_03229</v>
      </c>
      <c r="L2389" s="104" t="s">
        <v>22253</v>
      </c>
      <c r="M2389" s="103" t="str">
        <f t="shared" si="188"/>
        <v>http://oconnordata.com/mlink/modules/profile/index.cfm?action=profile&amp;prop_id=3229</v>
      </c>
      <c r="N2389" s="1" t="str">
        <f t="shared" si="189"/>
        <v>03229</v>
      </c>
    </row>
    <row r="2390" spans="1:14" x14ac:dyDescent="0.3">
      <c r="A2390" s="1">
        <v>3230</v>
      </c>
      <c r="B2390" s="7" t="s">
        <v>3525</v>
      </c>
      <c r="C2390" s="12">
        <v>10919</v>
      </c>
      <c r="D2390" s="7" t="s">
        <v>479</v>
      </c>
      <c r="E2390" s="13" t="s">
        <v>1657</v>
      </c>
      <c r="F2390" t="str">
        <f t="shared" si="185"/>
        <v>Fondren</v>
      </c>
      <c r="G2390" t="str">
        <f t="shared" si="186"/>
        <v>Fondren10919Houston</v>
      </c>
      <c r="H2390" t="s">
        <v>33248</v>
      </c>
      <c r="I2390" t="s">
        <v>24673</v>
      </c>
      <c r="J2390" t="str">
        <f t="shared" si="187"/>
        <v>E:\PropInv\MF</v>
      </c>
      <c r="K2390" s="103" t="str">
        <f>HYPERLINK("E:\PropInv\MF\Houston\Fondren Rd_10919_The Willows_Houston_03230","Fondren Rd_10919_The Willows_Houston_03230" )</f>
        <v>Fondren Rd_10919_The Willows_Houston_03230</v>
      </c>
      <c r="L2390" s="104" t="s">
        <v>22253</v>
      </c>
      <c r="M2390" s="103" t="str">
        <f t="shared" si="188"/>
        <v>http://oconnordata.com/mlink/modules/profile/index.cfm?action=profile&amp;prop_id=3230</v>
      </c>
      <c r="N2390" s="1" t="str">
        <f t="shared" si="189"/>
        <v>03230</v>
      </c>
    </row>
    <row r="2391" spans="1:14" x14ac:dyDescent="0.3">
      <c r="A2391" s="1">
        <v>3231</v>
      </c>
      <c r="B2391" s="7" t="s">
        <v>3596</v>
      </c>
      <c r="C2391" s="12">
        <v>11025</v>
      </c>
      <c r="D2391" s="7" t="s">
        <v>943</v>
      </c>
      <c r="E2391" s="13" t="s">
        <v>1657</v>
      </c>
      <c r="F2391" t="str">
        <f t="shared" si="185"/>
        <v>Larkwood</v>
      </c>
      <c r="G2391" t="str">
        <f t="shared" si="186"/>
        <v>Larkwood11025Houston</v>
      </c>
      <c r="H2391" t="s">
        <v>33249</v>
      </c>
      <c r="I2391" t="s">
        <v>24674</v>
      </c>
      <c r="J2391" t="str">
        <f t="shared" si="187"/>
        <v>E:\PropInv\MF</v>
      </c>
      <c r="K2391" s="103" t="str">
        <f>HYPERLINK("E:\PropInv\MF\Houston\Larkwood Dr_11025_Carlyle Place_Houston_03231","Larkwood Dr_11025_Carlyle Place_Houston_03231" )</f>
        <v>Larkwood Dr_11025_Carlyle Place_Houston_03231</v>
      </c>
      <c r="L2391" s="104" t="s">
        <v>22253</v>
      </c>
      <c r="M2391" s="103" t="str">
        <f t="shared" si="188"/>
        <v>http://oconnordata.com/mlink/modules/profile/index.cfm?action=profile&amp;prop_id=3231</v>
      </c>
      <c r="N2391" s="1" t="str">
        <f t="shared" si="189"/>
        <v>03231</v>
      </c>
    </row>
    <row r="2392" spans="1:14" x14ac:dyDescent="0.3">
      <c r="A2392" s="1">
        <v>3233</v>
      </c>
      <c r="B2392" s="7" t="s">
        <v>3597</v>
      </c>
      <c r="C2392" s="12">
        <v>6601</v>
      </c>
      <c r="D2392" s="7" t="s">
        <v>3598</v>
      </c>
      <c r="E2392" s="13" t="s">
        <v>1657</v>
      </c>
      <c r="F2392" t="str">
        <f t="shared" si="185"/>
        <v>Dunlap</v>
      </c>
      <c r="G2392" t="str">
        <f t="shared" si="186"/>
        <v>Dunlap6601Houston</v>
      </c>
      <c r="H2392" t="s">
        <v>33250</v>
      </c>
      <c r="I2392" t="s">
        <v>24675</v>
      </c>
      <c r="J2392" t="str">
        <f t="shared" si="187"/>
        <v>E:\PropInv\MF</v>
      </c>
      <c r="K2392" s="103" t="str">
        <f>HYPERLINK("E:\PropInv\MF\Houston\Dunlap St_6601_Sterling Point_Houston_03233","Dunlap St_6601_Sterling Point_Houston_03233" )</f>
        <v>Dunlap St_6601_Sterling Point_Houston_03233</v>
      </c>
      <c r="L2392" s="104" t="s">
        <v>22253</v>
      </c>
      <c r="M2392" s="103" t="str">
        <f t="shared" si="188"/>
        <v>http://oconnordata.com/mlink/modules/profile/index.cfm?action=profile&amp;prop_id=3233</v>
      </c>
      <c r="N2392" s="1" t="str">
        <f t="shared" si="189"/>
        <v>03233</v>
      </c>
    </row>
    <row r="2393" spans="1:14" x14ac:dyDescent="0.3">
      <c r="A2393" s="1">
        <v>3234</v>
      </c>
      <c r="B2393" s="7" t="s">
        <v>3599</v>
      </c>
      <c r="C2393" s="12">
        <v>6111</v>
      </c>
      <c r="D2393" s="7" t="s">
        <v>3600</v>
      </c>
      <c r="E2393" s="13" t="s">
        <v>1657</v>
      </c>
      <c r="F2393" t="str">
        <f t="shared" si="185"/>
        <v>Willowbend</v>
      </c>
      <c r="G2393" t="str">
        <f t="shared" si="186"/>
        <v>Willowbend6111Houston</v>
      </c>
      <c r="H2393" t="s">
        <v>33251</v>
      </c>
      <c r="I2393" t="s">
        <v>24676</v>
      </c>
      <c r="J2393" t="str">
        <f t="shared" si="187"/>
        <v>E:\PropInv\MF</v>
      </c>
      <c r="K2393" s="103" t="str">
        <f>HYPERLINK("E:\PropInv\MF\Houston\Willowbend_6111_Regal Pointe_Houston_03234","Willowbend_6111_Regal Pointe_Houston_03234" )</f>
        <v>Willowbend_6111_Regal Pointe_Houston_03234</v>
      </c>
      <c r="L2393" s="104" t="s">
        <v>22253</v>
      </c>
      <c r="M2393" s="103" t="str">
        <f t="shared" si="188"/>
        <v>http://oconnordata.com/mlink/modules/profile/index.cfm?action=profile&amp;prop_id=3234</v>
      </c>
      <c r="N2393" s="1" t="str">
        <f t="shared" si="189"/>
        <v>03234</v>
      </c>
    </row>
    <row r="2394" spans="1:14" x14ac:dyDescent="0.3">
      <c r="A2394" s="1">
        <v>3235</v>
      </c>
      <c r="B2394" s="7" t="s">
        <v>3592</v>
      </c>
      <c r="C2394" s="12">
        <v>5655</v>
      </c>
      <c r="D2394" s="7" t="s">
        <v>3601</v>
      </c>
      <c r="E2394" s="13" t="s">
        <v>1657</v>
      </c>
      <c r="F2394" t="str">
        <f t="shared" si="185"/>
        <v>Glenmont</v>
      </c>
      <c r="G2394" t="str">
        <f t="shared" si="186"/>
        <v>Glenmont5655Houston</v>
      </c>
      <c r="H2394" t="s">
        <v>33252</v>
      </c>
      <c r="I2394" t="s">
        <v>24677</v>
      </c>
      <c r="J2394" t="str">
        <f t="shared" si="187"/>
        <v>E:\PropInv\MF</v>
      </c>
      <c r="K2394" s="103" t="str">
        <f>HYPERLINK("E:\PropInv\MF\Houston\Glenmont_5655_Atrium Regency_Houston_03235","Glenmont_5655_Atrium Regency_Houston_03235" )</f>
        <v>Glenmont_5655_Atrium Regency_Houston_03235</v>
      </c>
      <c r="L2394" s="104" t="s">
        <v>22253</v>
      </c>
      <c r="M2394" s="103" t="str">
        <f t="shared" si="188"/>
        <v>http://oconnordata.com/mlink/modules/profile/index.cfm?action=profile&amp;prop_id=3235</v>
      </c>
      <c r="N2394" s="1" t="str">
        <f t="shared" si="189"/>
        <v>03235</v>
      </c>
    </row>
    <row r="2395" spans="1:14" x14ac:dyDescent="0.3">
      <c r="A2395" s="1">
        <v>3236</v>
      </c>
      <c r="B2395" s="7" t="s">
        <v>3592</v>
      </c>
      <c r="C2395" s="12">
        <v>6100</v>
      </c>
      <c r="D2395" s="7" t="s">
        <v>3602</v>
      </c>
      <c r="E2395" s="13" t="s">
        <v>1657</v>
      </c>
      <c r="F2395" t="str">
        <f t="shared" si="185"/>
        <v>Glenmont</v>
      </c>
      <c r="G2395" t="str">
        <f t="shared" si="186"/>
        <v>Glenmont6100Houston</v>
      </c>
      <c r="H2395" t="s">
        <v>33253</v>
      </c>
      <c r="I2395" t="s">
        <v>24678</v>
      </c>
      <c r="J2395" t="str">
        <f t="shared" si="187"/>
        <v>E:\PropInv\MF</v>
      </c>
      <c r="K2395" s="103" t="str">
        <f>HYPERLINK("E:\PropInv\MF\Houston\Glenmont_6100_La Hacienda_Houston_03236","Glenmont_6100_La Hacienda_Houston_03236" )</f>
        <v>Glenmont_6100_La Hacienda_Houston_03236</v>
      </c>
      <c r="L2395" s="104" t="s">
        <v>22253</v>
      </c>
      <c r="M2395" s="103" t="str">
        <f t="shared" si="188"/>
        <v>http://oconnordata.com/mlink/modules/profile/index.cfm?action=profile&amp;prop_id=3236</v>
      </c>
      <c r="N2395" s="1" t="str">
        <f t="shared" si="189"/>
        <v>03236</v>
      </c>
    </row>
    <row r="2396" spans="1:14" x14ac:dyDescent="0.3">
      <c r="A2396" s="1">
        <v>3237</v>
      </c>
      <c r="B2396" s="7" t="s">
        <v>3590</v>
      </c>
      <c r="C2396" s="12">
        <v>6001</v>
      </c>
      <c r="D2396" s="7" t="s">
        <v>3603</v>
      </c>
      <c r="E2396" s="13" t="s">
        <v>1657</v>
      </c>
      <c r="F2396" t="str">
        <f t="shared" si="185"/>
        <v>Gulfton</v>
      </c>
      <c r="G2396" t="str">
        <f t="shared" si="186"/>
        <v>Gulfton6001Houston</v>
      </c>
      <c r="H2396" t="s">
        <v>33254</v>
      </c>
      <c r="I2396" t="s">
        <v>24679</v>
      </c>
      <c r="J2396" t="str">
        <f t="shared" si="187"/>
        <v>E:\PropInv\MF</v>
      </c>
      <c r="K2396" s="103" t="str">
        <f>HYPERLINK("E:\PropInv\MF\Houston\Gulfton_6001_Napoleon Square_Houston_03237","Gulfton_6001_Napoleon Square_Houston_03237" )</f>
        <v>Gulfton_6001_Napoleon Square_Houston_03237</v>
      </c>
      <c r="L2396" s="104" t="s">
        <v>22253</v>
      </c>
      <c r="M2396" s="103" t="str">
        <f t="shared" si="188"/>
        <v>http://oconnordata.com/mlink/modules/profile/index.cfm?action=profile&amp;prop_id=3237</v>
      </c>
      <c r="N2396" s="1" t="str">
        <f t="shared" si="189"/>
        <v>03237</v>
      </c>
    </row>
    <row r="2397" spans="1:14" x14ac:dyDescent="0.3">
      <c r="A2397" s="1">
        <v>3238</v>
      </c>
      <c r="B2397" s="7" t="s">
        <v>3590</v>
      </c>
      <c r="C2397" s="12">
        <v>6200</v>
      </c>
      <c r="D2397" s="7" t="s">
        <v>3604</v>
      </c>
      <c r="E2397" s="13" t="s">
        <v>1657</v>
      </c>
      <c r="F2397" t="str">
        <f t="shared" si="185"/>
        <v>Gulfton</v>
      </c>
      <c r="G2397" t="str">
        <f t="shared" si="186"/>
        <v>Gulfton6200Houston</v>
      </c>
      <c r="H2397" t="s">
        <v>33255</v>
      </c>
      <c r="I2397" t="s">
        <v>24680</v>
      </c>
      <c r="J2397" t="str">
        <f t="shared" si="187"/>
        <v>E:\PropInv\MF</v>
      </c>
      <c r="K2397" s="103" t="str">
        <f>HYPERLINK("E:\PropInv\MF\Houston\Gulfton_6200_Jefferson House_Houston_03238","Gulfton_6200_Jefferson House_Houston_03238" )</f>
        <v>Gulfton_6200_Jefferson House_Houston_03238</v>
      </c>
      <c r="L2397" s="104" t="s">
        <v>22253</v>
      </c>
      <c r="M2397" s="103" t="str">
        <f t="shared" si="188"/>
        <v>http://oconnordata.com/mlink/modules/profile/index.cfm?action=profile&amp;prop_id=3238</v>
      </c>
      <c r="N2397" s="1" t="str">
        <f t="shared" si="189"/>
        <v>03238</v>
      </c>
    </row>
    <row r="2398" spans="1:14" x14ac:dyDescent="0.3">
      <c r="A2398" s="1">
        <v>3239</v>
      </c>
      <c r="B2398" s="7" t="s">
        <v>3590</v>
      </c>
      <c r="C2398" s="12">
        <v>6233</v>
      </c>
      <c r="D2398" s="7" t="s">
        <v>3605</v>
      </c>
      <c r="E2398" s="13" t="s">
        <v>1657</v>
      </c>
      <c r="F2398" t="str">
        <f t="shared" si="185"/>
        <v>Gulfton</v>
      </c>
      <c r="G2398" t="str">
        <f t="shared" si="186"/>
        <v>Gulfton6233Houston</v>
      </c>
      <c r="H2398" t="s">
        <v>33256</v>
      </c>
      <c r="I2398" t="s">
        <v>24681</v>
      </c>
      <c r="J2398" t="str">
        <f t="shared" si="187"/>
        <v>E:\PropInv\MF</v>
      </c>
      <c r="K2398" s="103" t="str">
        <f>HYPERLINK("E:\PropInv\MF\Houston\Gulfton_6233_Westward Square_Houston_03239","Gulfton_6233_Westward Square_Houston_03239" )</f>
        <v>Gulfton_6233_Westward Square_Houston_03239</v>
      </c>
      <c r="L2398" s="104" t="s">
        <v>22253</v>
      </c>
      <c r="M2398" s="103" t="str">
        <f t="shared" si="188"/>
        <v>http://oconnordata.com/mlink/modules/profile/index.cfm?action=profile&amp;prop_id=3239</v>
      </c>
      <c r="N2398" s="1" t="str">
        <f t="shared" si="189"/>
        <v>03239</v>
      </c>
    </row>
    <row r="2399" spans="1:14" x14ac:dyDescent="0.3">
      <c r="A2399" s="1">
        <v>3240</v>
      </c>
      <c r="B2399" s="7" t="s">
        <v>2981</v>
      </c>
      <c r="C2399" s="12">
        <v>6111</v>
      </c>
      <c r="D2399" s="7" t="s">
        <v>3606</v>
      </c>
      <c r="E2399" s="13" t="s">
        <v>1657</v>
      </c>
      <c r="F2399" t="str">
        <f t="shared" si="185"/>
        <v>Chimney</v>
      </c>
      <c r="G2399" t="str">
        <f t="shared" si="186"/>
        <v>Chimney6111Houston</v>
      </c>
      <c r="H2399" t="s">
        <v>33257</v>
      </c>
      <c r="I2399" t="s">
        <v>24682</v>
      </c>
      <c r="J2399" t="str">
        <f t="shared" si="187"/>
        <v>E:\PropInv\MF</v>
      </c>
      <c r="K2399" s="103" t="str">
        <f>HYPERLINK("E:\PropInv\MF\Houston\Chimney Rock_6111_Le Chateau_Houston_03240","Chimney Rock_6111_Le Chateau_Houston_03240" )</f>
        <v>Chimney Rock_6111_Le Chateau_Houston_03240</v>
      </c>
      <c r="L2399" s="104" t="s">
        <v>22253</v>
      </c>
      <c r="M2399" s="103" t="str">
        <f t="shared" si="188"/>
        <v>http://oconnordata.com/mlink/modules/profile/index.cfm?action=profile&amp;prop_id=3240</v>
      </c>
      <c r="N2399" s="1" t="str">
        <f t="shared" si="189"/>
        <v>03240</v>
      </c>
    </row>
    <row r="2400" spans="1:14" x14ac:dyDescent="0.3">
      <c r="A2400" s="1">
        <v>3241</v>
      </c>
      <c r="B2400" s="7" t="s">
        <v>3607</v>
      </c>
      <c r="C2400" s="12">
        <v>5500</v>
      </c>
      <c r="D2400" s="7" t="s">
        <v>359</v>
      </c>
      <c r="E2400" s="13" t="s">
        <v>1657</v>
      </c>
      <c r="F2400" t="str">
        <f t="shared" si="185"/>
        <v>El</v>
      </c>
      <c r="G2400" t="str">
        <f t="shared" si="186"/>
        <v>El5500Houston</v>
      </c>
      <c r="H2400" t="s">
        <v>33258</v>
      </c>
      <c r="I2400" t="s">
        <v>24683</v>
      </c>
      <c r="J2400" t="str">
        <f t="shared" si="187"/>
        <v>E:\PropInv\MF</v>
      </c>
      <c r="K2400" s="103" t="str">
        <f>HYPERLINK("E:\PropInv\MF\Houston\El Camino Del Ray_5500_Sierra Vista_Houston_03241","El Camino Del Ray_5500_Sierra Vista_Houston_03241" )</f>
        <v>El Camino Del Ray_5500_Sierra Vista_Houston_03241</v>
      </c>
      <c r="L2400" s="104" t="s">
        <v>22253</v>
      </c>
      <c r="M2400" s="103" t="str">
        <f t="shared" si="188"/>
        <v>http://oconnordata.com/mlink/modules/profile/index.cfm?action=profile&amp;prop_id=3241</v>
      </c>
      <c r="N2400" s="1" t="str">
        <f t="shared" si="189"/>
        <v>03241</v>
      </c>
    </row>
    <row r="2401" spans="1:14" x14ac:dyDescent="0.3">
      <c r="A2401" s="1">
        <v>3242</v>
      </c>
      <c r="B2401" s="10" t="s">
        <v>3608</v>
      </c>
      <c r="C2401" s="9">
        <v>4807</v>
      </c>
      <c r="D2401" s="10" t="s">
        <v>3609</v>
      </c>
      <c r="E2401" s="11" t="s">
        <v>1657</v>
      </c>
      <c r="F2401" t="str">
        <f t="shared" si="185"/>
        <v>Pin</v>
      </c>
      <c r="G2401" t="str">
        <f t="shared" si="186"/>
        <v>Pin4807Houston</v>
      </c>
      <c r="H2401" t="s">
        <v>33259</v>
      </c>
      <c r="I2401" t="s">
        <v>24684</v>
      </c>
      <c r="J2401" t="str">
        <f t="shared" si="187"/>
        <v>E:\PropInv\MF</v>
      </c>
      <c r="K2401" s="103" t="str">
        <f>HYPERLINK("E:\PropInv\MF\Houston\Pin Oak Park_4807_Estates at Bellaire_Houston_03242","Pin Oak Park_4807_Estates at Bellaire_Houston_03242" )</f>
        <v>Pin Oak Park_4807_Estates at Bellaire_Houston_03242</v>
      </c>
      <c r="L2401" s="104" t="s">
        <v>22253</v>
      </c>
      <c r="M2401" s="103" t="str">
        <f t="shared" si="188"/>
        <v>http://oconnordata.com/mlink/modules/profile/index.cfm?action=profile&amp;prop_id=3242</v>
      </c>
      <c r="N2401" s="1" t="str">
        <f t="shared" si="189"/>
        <v>03242</v>
      </c>
    </row>
    <row r="2402" spans="1:14" x14ac:dyDescent="0.3">
      <c r="A2402" s="1">
        <v>3243</v>
      </c>
      <c r="B2402" s="10" t="s">
        <v>3608</v>
      </c>
      <c r="C2402" s="9">
        <v>4848</v>
      </c>
      <c r="D2402" s="10" t="s">
        <v>3610</v>
      </c>
      <c r="E2402" s="11" t="s">
        <v>1657</v>
      </c>
      <c r="F2402" t="str">
        <f t="shared" si="185"/>
        <v>Pin</v>
      </c>
      <c r="G2402" t="str">
        <f t="shared" si="186"/>
        <v>Pin4848Houston</v>
      </c>
      <c r="H2402" t="s">
        <v>33260</v>
      </c>
      <c r="I2402" t="s">
        <v>24685</v>
      </c>
      <c r="J2402" t="str">
        <f t="shared" si="187"/>
        <v>E:\PropInv\MF</v>
      </c>
      <c r="K2402" s="103" t="str">
        <f>HYPERLINK("E:\PropInv\MF\Houston\Pin Oak Park_4848_Marquis on Pin Oak_Houston_03243","Pin Oak Park_4848_Marquis on Pin Oak_Houston_03243" )</f>
        <v>Pin Oak Park_4848_Marquis on Pin Oak_Houston_03243</v>
      </c>
      <c r="L2402" s="104" t="s">
        <v>22253</v>
      </c>
      <c r="M2402" s="103" t="str">
        <f t="shared" si="188"/>
        <v>http://oconnordata.com/mlink/modules/profile/index.cfm?action=profile&amp;prop_id=3243</v>
      </c>
      <c r="N2402" s="1" t="str">
        <f t="shared" si="189"/>
        <v>03243</v>
      </c>
    </row>
    <row r="2403" spans="1:14" x14ac:dyDescent="0.3">
      <c r="A2403" s="1">
        <v>3244</v>
      </c>
      <c r="B2403" s="10" t="s">
        <v>3300</v>
      </c>
      <c r="C2403" s="9">
        <v>6009</v>
      </c>
      <c r="D2403" s="10" t="s">
        <v>3611</v>
      </c>
      <c r="E2403" s="11" t="s">
        <v>1657</v>
      </c>
      <c r="F2403" t="str">
        <f t="shared" si="185"/>
        <v>Bellaire</v>
      </c>
      <c r="G2403" t="str">
        <f t="shared" si="186"/>
        <v>Bellaire6009Houston</v>
      </c>
      <c r="H2403" t="s">
        <v>33261</v>
      </c>
      <c r="I2403" t="s">
        <v>24686</v>
      </c>
      <c r="J2403" t="str">
        <f t="shared" si="187"/>
        <v>E:\PropInv\MF</v>
      </c>
      <c r="K2403" s="103" t="str">
        <f>HYPERLINK("E:\PropInv\MF\Houston\Bellaire Blvd_6009_Pelican Pointe_Houston_03244","Bellaire Blvd_6009_Pelican Pointe_Houston_03244" )</f>
        <v>Bellaire Blvd_6009_Pelican Pointe_Houston_03244</v>
      </c>
      <c r="L2403" s="104" t="s">
        <v>22253</v>
      </c>
      <c r="M2403" s="103" t="str">
        <f t="shared" si="188"/>
        <v>http://oconnordata.com/mlink/modules/profile/index.cfm?action=profile&amp;prop_id=3244</v>
      </c>
      <c r="N2403" s="1" t="str">
        <f t="shared" si="189"/>
        <v>03244</v>
      </c>
    </row>
    <row r="2404" spans="1:14" x14ac:dyDescent="0.3">
      <c r="A2404" s="1">
        <v>3245</v>
      </c>
      <c r="B2404" s="7" t="s">
        <v>3612</v>
      </c>
      <c r="C2404" s="12">
        <v>5720</v>
      </c>
      <c r="D2404" s="7" t="s">
        <v>3613</v>
      </c>
      <c r="E2404" s="13" t="s">
        <v>1657</v>
      </c>
      <c r="F2404" t="str">
        <f t="shared" si="185"/>
        <v>Rampart</v>
      </c>
      <c r="G2404" t="str">
        <f t="shared" si="186"/>
        <v>Rampart5720Houston</v>
      </c>
      <c r="H2404" t="s">
        <v>33262</v>
      </c>
      <c r="I2404" t="s">
        <v>24687</v>
      </c>
      <c r="J2404" t="str">
        <f t="shared" si="187"/>
        <v>E:\PropInv\MF</v>
      </c>
      <c r="K2404" s="103" t="str">
        <f>HYPERLINK("E:\PropInv\MF\Houston\Rampart_5720_Peachtree_Houston_03245","Rampart_5720_Peachtree_Houston_03245" )</f>
        <v>Rampart_5720_Peachtree_Houston_03245</v>
      </c>
      <c r="L2404" s="104" t="s">
        <v>22253</v>
      </c>
      <c r="M2404" s="103" t="str">
        <f t="shared" si="188"/>
        <v>http://oconnordata.com/mlink/modules/profile/index.cfm?action=profile&amp;prop_id=3245</v>
      </c>
      <c r="N2404" s="1" t="str">
        <f t="shared" si="189"/>
        <v>03245</v>
      </c>
    </row>
    <row r="2405" spans="1:14" x14ac:dyDescent="0.3">
      <c r="A2405" s="1">
        <v>3246</v>
      </c>
      <c r="B2405" s="7" t="s">
        <v>3612</v>
      </c>
      <c r="C2405" s="12">
        <v>6002</v>
      </c>
      <c r="D2405" s="7" t="s">
        <v>3614</v>
      </c>
      <c r="E2405" s="13" t="s">
        <v>1657</v>
      </c>
      <c r="F2405" t="str">
        <f t="shared" si="185"/>
        <v>Rampart</v>
      </c>
      <c r="G2405" t="str">
        <f t="shared" si="186"/>
        <v>Rampart6002Houston</v>
      </c>
      <c r="H2405" t="s">
        <v>33263</v>
      </c>
      <c r="I2405" t="s">
        <v>24688</v>
      </c>
      <c r="J2405" t="str">
        <f t="shared" si="187"/>
        <v>E:\PropInv\MF</v>
      </c>
      <c r="K2405" s="103" t="str">
        <f>HYPERLINK("E:\PropInv\MF\Houston\Rampart_6002_South Oaks_Houston_03246","Rampart_6002_South Oaks_Houston_03246" )</f>
        <v>Rampart_6002_South Oaks_Houston_03246</v>
      </c>
      <c r="L2405" s="104" t="s">
        <v>22253</v>
      </c>
      <c r="M2405" s="103" t="str">
        <f t="shared" si="188"/>
        <v>http://oconnordata.com/mlink/modules/profile/index.cfm?action=profile&amp;prop_id=3246</v>
      </c>
      <c r="N2405" s="1" t="str">
        <f t="shared" si="189"/>
        <v>03246</v>
      </c>
    </row>
    <row r="2406" spans="1:14" x14ac:dyDescent="0.3">
      <c r="A2406" s="1">
        <v>3247</v>
      </c>
      <c r="B2406" s="7" t="s">
        <v>3612</v>
      </c>
      <c r="C2406" s="12">
        <v>6300</v>
      </c>
      <c r="D2406" s="7" t="s">
        <v>3615</v>
      </c>
      <c r="E2406" s="13" t="s">
        <v>1657</v>
      </c>
      <c r="F2406" t="str">
        <f t="shared" si="185"/>
        <v>Rampart</v>
      </c>
      <c r="G2406" t="str">
        <f t="shared" si="186"/>
        <v>Rampart6300Houston</v>
      </c>
      <c r="H2406" t="s">
        <v>33264</v>
      </c>
      <c r="I2406" t="s">
        <v>24689</v>
      </c>
      <c r="J2406" t="str">
        <f t="shared" si="187"/>
        <v>E:\PropInv\MF</v>
      </c>
      <c r="K2406" s="103" t="str">
        <f>HYPERLINK("E:\PropInv\MF\Houston\Rampart_6300_Rampart Gardens_Houston_03247","Rampart_6300_Rampart Gardens_Houston_03247" )</f>
        <v>Rampart_6300_Rampart Gardens_Houston_03247</v>
      </c>
      <c r="L2406" s="104" t="s">
        <v>22253</v>
      </c>
      <c r="M2406" s="103" t="str">
        <f t="shared" si="188"/>
        <v>http://oconnordata.com/mlink/modules/profile/index.cfm?action=profile&amp;prop_id=3247</v>
      </c>
      <c r="N2406" s="1" t="str">
        <f t="shared" si="189"/>
        <v>03247</v>
      </c>
    </row>
    <row r="2407" spans="1:14" x14ac:dyDescent="0.3">
      <c r="A2407" s="1">
        <v>3248</v>
      </c>
      <c r="B2407" s="7" t="s">
        <v>2981</v>
      </c>
      <c r="C2407" s="12">
        <v>5401</v>
      </c>
      <c r="D2407" s="7" t="s">
        <v>3616</v>
      </c>
      <c r="E2407" s="13" t="s">
        <v>1657</v>
      </c>
      <c r="F2407" t="str">
        <f t="shared" si="185"/>
        <v>Chimney</v>
      </c>
      <c r="G2407" t="str">
        <f t="shared" si="186"/>
        <v>Chimney5401Houston</v>
      </c>
      <c r="H2407" t="s">
        <v>33265</v>
      </c>
      <c r="I2407" t="s">
        <v>24690</v>
      </c>
      <c r="J2407" t="str">
        <f t="shared" si="187"/>
        <v>E:\PropInv\MF</v>
      </c>
      <c r="K2407" s="103" t="str">
        <f>HYPERLINK("E:\PropInv\MF\Houston\Chimney Rock_5401_5401 Chimney Rock_Houston_03248","Chimney Rock_5401_5401 Chimney Rock_Houston_03248" )</f>
        <v>Chimney Rock_5401_5401 Chimney Rock_Houston_03248</v>
      </c>
      <c r="L2407" s="104" t="s">
        <v>22253</v>
      </c>
      <c r="M2407" s="103" t="str">
        <f t="shared" si="188"/>
        <v>http://oconnordata.com/mlink/modules/profile/index.cfm?action=profile&amp;prop_id=3248</v>
      </c>
      <c r="N2407" s="1" t="str">
        <f t="shared" si="189"/>
        <v>03248</v>
      </c>
    </row>
    <row r="2408" spans="1:14" x14ac:dyDescent="0.3">
      <c r="A2408" s="1">
        <v>3249</v>
      </c>
      <c r="B2408" s="7" t="s">
        <v>2981</v>
      </c>
      <c r="C2408" s="12">
        <v>5601</v>
      </c>
      <c r="D2408" s="7" t="s">
        <v>3617</v>
      </c>
      <c r="E2408" s="13" t="s">
        <v>1657</v>
      </c>
      <c r="F2408" t="str">
        <f t="shared" si="185"/>
        <v>Chimney</v>
      </c>
      <c r="G2408" t="str">
        <f t="shared" si="186"/>
        <v>Chimney5601Houston</v>
      </c>
      <c r="H2408" t="s">
        <v>33266</v>
      </c>
      <c r="I2408" t="s">
        <v>24691</v>
      </c>
      <c r="J2408" t="str">
        <f t="shared" si="187"/>
        <v>E:\PropInv\MF</v>
      </c>
      <c r="K2408" s="103" t="str">
        <f>HYPERLINK("E:\PropInv\MF\Houston\Chimney Rock_5601_Fountain Oaks_Houston_03249","Chimney Rock_5601_Fountain Oaks_Houston_03249" )</f>
        <v>Chimney Rock_5601_Fountain Oaks_Houston_03249</v>
      </c>
      <c r="L2408" s="104" t="s">
        <v>22253</v>
      </c>
      <c r="M2408" s="103" t="str">
        <f t="shared" si="188"/>
        <v>http://oconnordata.com/mlink/modules/profile/index.cfm?action=profile&amp;prop_id=3249</v>
      </c>
      <c r="N2408" s="1" t="str">
        <f t="shared" si="189"/>
        <v>03249</v>
      </c>
    </row>
    <row r="2409" spans="1:14" x14ac:dyDescent="0.3">
      <c r="A2409" s="1">
        <v>3250</v>
      </c>
      <c r="B2409" s="7" t="s">
        <v>2981</v>
      </c>
      <c r="C2409" s="12">
        <v>5600</v>
      </c>
      <c r="D2409" s="7" t="s">
        <v>3618</v>
      </c>
      <c r="E2409" s="13" t="s">
        <v>1657</v>
      </c>
      <c r="F2409" t="str">
        <f t="shared" si="185"/>
        <v>Chimney</v>
      </c>
      <c r="G2409" t="str">
        <f t="shared" si="186"/>
        <v>Chimney5600Houston</v>
      </c>
      <c r="H2409" t="s">
        <v>33267</v>
      </c>
      <c r="I2409" t="s">
        <v>24692</v>
      </c>
      <c r="J2409" t="str">
        <f t="shared" si="187"/>
        <v>E:\PropInv\MF</v>
      </c>
      <c r="K2409" s="103" t="str">
        <f>HYPERLINK("E:\PropInv\MF\Houston\Chimney Rock_5600_Sharon Park Village_Houston_03250","Chimney Rock_5600_Sharon Park Village_Houston_03250" )</f>
        <v>Chimney Rock_5600_Sharon Park Village_Houston_03250</v>
      </c>
      <c r="L2409" s="104" t="s">
        <v>22253</v>
      </c>
      <c r="M2409" s="103" t="str">
        <f t="shared" si="188"/>
        <v>http://oconnordata.com/mlink/modules/profile/index.cfm?action=profile&amp;prop_id=3250</v>
      </c>
      <c r="N2409" s="1" t="str">
        <f t="shared" si="189"/>
        <v>03250</v>
      </c>
    </row>
    <row r="2410" spans="1:14" x14ac:dyDescent="0.3">
      <c r="A2410" s="1">
        <v>3251</v>
      </c>
      <c r="B2410" s="7" t="s">
        <v>3619</v>
      </c>
      <c r="C2410" s="12">
        <v>5414</v>
      </c>
      <c r="D2410" s="7" t="s">
        <v>3620</v>
      </c>
      <c r="E2410" s="13" t="s">
        <v>1657</v>
      </c>
      <c r="F2410" t="str">
        <f t="shared" si="185"/>
        <v>Elm</v>
      </c>
      <c r="G2410" t="str">
        <f t="shared" si="186"/>
        <v>Elm5414Houston</v>
      </c>
      <c r="H2410" t="s">
        <v>33268</v>
      </c>
      <c r="I2410" t="s">
        <v>24693</v>
      </c>
      <c r="J2410" t="str">
        <f t="shared" si="187"/>
        <v>E:\PropInv\MF</v>
      </c>
      <c r="K2410" s="103" t="str">
        <f>HYPERLINK("E:\PropInv\MF\Houston\Elm_5414_Bellaire Woods_Houston_03251","Elm_5414_Bellaire Woods_Houston_03251" )</f>
        <v>Elm_5414_Bellaire Woods_Houston_03251</v>
      </c>
      <c r="L2410" s="104" t="s">
        <v>22253</v>
      </c>
      <c r="M2410" s="103" t="str">
        <f t="shared" si="188"/>
        <v>http://oconnordata.com/mlink/modules/profile/index.cfm?action=profile&amp;prop_id=3251</v>
      </c>
      <c r="N2410" s="1" t="str">
        <f t="shared" si="189"/>
        <v>03251</v>
      </c>
    </row>
    <row r="2411" spans="1:14" x14ac:dyDescent="0.3">
      <c r="A2411" s="1">
        <v>3252</v>
      </c>
      <c r="B2411" s="7" t="s">
        <v>3592</v>
      </c>
      <c r="C2411" s="12">
        <v>5710</v>
      </c>
      <c r="D2411" s="7" t="s">
        <v>3621</v>
      </c>
      <c r="E2411" s="13" t="s">
        <v>1657</v>
      </c>
      <c r="F2411" t="str">
        <f t="shared" si="185"/>
        <v>Glenmont</v>
      </c>
      <c r="G2411" t="str">
        <f t="shared" si="186"/>
        <v>Glenmont5710Houston</v>
      </c>
      <c r="H2411" t="s">
        <v>33269</v>
      </c>
      <c r="I2411" t="s">
        <v>24694</v>
      </c>
      <c r="J2411" t="str">
        <f t="shared" si="187"/>
        <v>E:\PropInv\MF</v>
      </c>
      <c r="K2411" s="103" t="str">
        <f>HYPERLINK("E:\PropInv\MF\Houston\Glenmont_5710_Chapparal Villas I_Houston_03252","Glenmont_5710_Chapparal Villas I_Houston_03252" )</f>
        <v>Glenmont_5710_Chapparal Villas I_Houston_03252</v>
      </c>
      <c r="L2411" s="104" t="s">
        <v>22253</v>
      </c>
      <c r="M2411" s="103" t="str">
        <f t="shared" si="188"/>
        <v>http://oconnordata.com/mlink/modules/profile/index.cfm?action=profile&amp;prop_id=3252</v>
      </c>
      <c r="N2411" s="1" t="str">
        <f t="shared" si="189"/>
        <v>03252</v>
      </c>
    </row>
    <row r="2412" spans="1:14" x14ac:dyDescent="0.3">
      <c r="A2412" s="1">
        <v>3253</v>
      </c>
      <c r="B2412" s="7" t="s">
        <v>3622</v>
      </c>
      <c r="C2412" s="12">
        <v>5510</v>
      </c>
      <c r="D2412" s="7" t="s">
        <v>3623</v>
      </c>
      <c r="E2412" s="13" t="s">
        <v>1657</v>
      </c>
      <c r="F2412" t="str">
        <f t="shared" si="185"/>
        <v>Rice</v>
      </c>
      <c r="G2412" t="str">
        <f t="shared" si="186"/>
        <v>Rice5510Houston</v>
      </c>
      <c r="H2412" t="s">
        <v>33270</v>
      </c>
      <c r="I2412" t="s">
        <v>24695</v>
      </c>
      <c r="J2412" t="str">
        <f t="shared" si="187"/>
        <v>E:\PropInv\MF</v>
      </c>
      <c r="K2412" s="103" t="str">
        <f>HYPERLINK("E:\PropInv\MF\Houston\Rice S_5510_Remington Park_Houston_03253","Rice S_5510_Remington Park_Houston_03253" )</f>
        <v>Rice S_5510_Remington Park_Houston_03253</v>
      </c>
      <c r="L2412" s="104" t="s">
        <v>22253</v>
      </c>
      <c r="M2412" s="103" t="str">
        <f t="shared" si="188"/>
        <v>http://oconnordata.com/mlink/modules/profile/index.cfm?action=profile&amp;prop_id=3253</v>
      </c>
      <c r="N2412" s="1" t="str">
        <f t="shared" si="189"/>
        <v>03253</v>
      </c>
    </row>
    <row r="2413" spans="1:14" x14ac:dyDescent="0.3">
      <c r="A2413" s="1">
        <v>3254</v>
      </c>
      <c r="B2413" s="7" t="s">
        <v>3592</v>
      </c>
      <c r="C2413" s="12">
        <v>5720</v>
      </c>
      <c r="D2413" s="7" t="s">
        <v>3624</v>
      </c>
      <c r="E2413" s="13" t="s">
        <v>1657</v>
      </c>
      <c r="F2413" t="str">
        <f t="shared" si="185"/>
        <v>Glenmont</v>
      </c>
      <c r="G2413" t="str">
        <f t="shared" si="186"/>
        <v>Glenmont5720Houston</v>
      </c>
      <c r="H2413" t="s">
        <v>33271</v>
      </c>
      <c r="I2413" t="s">
        <v>24696</v>
      </c>
      <c r="J2413" t="str">
        <f t="shared" si="187"/>
        <v>E:\PropInv\MF</v>
      </c>
      <c r="K2413" s="103" t="str">
        <f>HYPERLINK("E:\PropInv\MF\Houston\Glenmont_5720_Chapparal Villas II_Houston_03254","Glenmont_5720_Chapparal Villas II_Houston_03254" )</f>
        <v>Glenmont_5720_Chapparal Villas II_Houston_03254</v>
      </c>
      <c r="L2413" s="104" t="s">
        <v>22253</v>
      </c>
      <c r="M2413" s="103" t="str">
        <f t="shared" si="188"/>
        <v>http://oconnordata.com/mlink/modules/profile/index.cfm?action=profile&amp;prop_id=3254</v>
      </c>
      <c r="N2413" s="1" t="str">
        <f t="shared" si="189"/>
        <v>03254</v>
      </c>
    </row>
    <row r="2414" spans="1:14" x14ac:dyDescent="0.3">
      <c r="A2414" s="1">
        <v>3255</v>
      </c>
      <c r="B2414" s="7" t="s">
        <v>3592</v>
      </c>
      <c r="C2414" s="12">
        <v>5840</v>
      </c>
      <c r="D2414" s="7" t="s">
        <v>3625</v>
      </c>
      <c r="E2414" s="13" t="s">
        <v>1657</v>
      </c>
      <c r="F2414" t="str">
        <f t="shared" si="185"/>
        <v>Glenmont</v>
      </c>
      <c r="G2414" t="str">
        <f t="shared" si="186"/>
        <v>Glenmont5840Houston</v>
      </c>
      <c r="H2414" t="s">
        <v>33272</v>
      </c>
      <c r="I2414" t="s">
        <v>24697</v>
      </c>
      <c r="J2414" t="str">
        <f t="shared" si="187"/>
        <v>E:\PropInv\MF</v>
      </c>
      <c r="K2414" s="103" t="str">
        <f>HYPERLINK("E:\PropInv\MF\Houston\Glenmont_5840_Cedar Glen_Houston_03255","Glenmont_5840_Cedar Glen_Houston_03255" )</f>
        <v>Glenmont_5840_Cedar Glen_Houston_03255</v>
      </c>
      <c r="L2414" s="104" t="s">
        <v>22253</v>
      </c>
      <c r="M2414" s="103" t="str">
        <f t="shared" si="188"/>
        <v>http://oconnordata.com/mlink/modules/profile/index.cfm?action=profile&amp;prop_id=3255</v>
      </c>
      <c r="N2414" s="1" t="str">
        <f t="shared" si="189"/>
        <v>03255</v>
      </c>
    </row>
    <row r="2415" spans="1:14" x14ac:dyDescent="0.3">
      <c r="A2415" s="1">
        <v>3256</v>
      </c>
      <c r="B2415" s="7" t="s">
        <v>3592</v>
      </c>
      <c r="C2415" s="12">
        <v>5909</v>
      </c>
      <c r="D2415" s="7" t="s">
        <v>3626</v>
      </c>
      <c r="E2415" s="13" t="s">
        <v>1657</v>
      </c>
      <c r="F2415" t="str">
        <f t="shared" si="185"/>
        <v>Glenmont</v>
      </c>
      <c r="G2415" t="str">
        <f t="shared" si="186"/>
        <v>Glenmont5909Houston</v>
      </c>
      <c r="H2415" t="s">
        <v>33273</v>
      </c>
      <c r="I2415" t="s">
        <v>24698</v>
      </c>
      <c r="J2415" t="str">
        <f t="shared" si="187"/>
        <v>E:\PropInv\MF</v>
      </c>
      <c r="K2415" s="103" t="str">
        <f>HYPERLINK("E:\PropInv\MF\Houston\Glenmont_5909_Las Americas_Houston_03256","Glenmont_5909_Las Americas_Houston_03256" )</f>
        <v>Glenmont_5909_Las Americas_Houston_03256</v>
      </c>
      <c r="L2415" s="104" t="s">
        <v>22253</v>
      </c>
      <c r="M2415" s="103" t="str">
        <f t="shared" si="188"/>
        <v>http://oconnordata.com/mlink/modules/profile/index.cfm?action=profile&amp;prop_id=3256</v>
      </c>
      <c r="N2415" s="1" t="str">
        <f t="shared" si="189"/>
        <v>03256</v>
      </c>
    </row>
    <row r="2416" spans="1:14" x14ac:dyDescent="0.3">
      <c r="A2416" s="1">
        <v>3257</v>
      </c>
      <c r="B2416" s="7" t="s">
        <v>3627</v>
      </c>
      <c r="C2416" s="12">
        <v>5621</v>
      </c>
      <c r="D2416" s="7" t="s">
        <v>3628</v>
      </c>
      <c r="E2416" s="13" t="s">
        <v>1657</v>
      </c>
      <c r="F2416" t="str">
        <f t="shared" si="185"/>
        <v>Westward</v>
      </c>
      <c r="G2416" t="str">
        <f t="shared" si="186"/>
        <v>Westward5621Houston</v>
      </c>
      <c r="H2416" t="s">
        <v>33274</v>
      </c>
      <c r="I2416" t="s">
        <v>24699</v>
      </c>
      <c r="J2416" t="str">
        <f t="shared" si="187"/>
        <v>E:\PropInv\MF</v>
      </c>
      <c r="K2416" s="103" t="str">
        <f>HYPERLINK("E:\PropInv\MF\Houston\Westward_5621_Chateaux Carmel_Houston_03257","Westward_5621_Chateaux Carmel_Houston_03257" )</f>
        <v>Westward_5621_Chateaux Carmel_Houston_03257</v>
      </c>
      <c r="L2416" s="104" t="s">
        <v>22253</v>
      </c>
      <c r="M2416" s="103" t="str">
        <f t="shared" si="188"/>
        <v>http://oconnordata.com/mlink/modules/profile/index.cfm?action=profile&amp;prop_id=3257</v>
      </c>
      <c r="N2416" s="1" t="str">
        <f t="shared" si="189"/>
        <v>03257</v>
      </c>
    </row>
    <row r="2417" spans="1:14" x14ac:dyDescent="0.3">
      <c r="A2417" s="1">
        <v>3260</v>
      </c>
      <c r="B2417" s="7" t="s">
        <v>3590</v>
      </c>
      <c r="C2417" s="12">
        <v>6060</v>
      </c>
      <c r="D2417" s="7" t="s">
        <v>3629</v>
      </c>
      <c r="E2417" s="13" t="s">
        <v>1657</v>
      </c>
      <c r="F2417" t="str">
        <f t="shared" si="185"/>
        <v>Gulfton</v>
      </c>
      <c r="G2417" t="str">
        <f t="shared" si="186"/>
        <v>Gulfton6060Houston</v>
      </c>
      <c r="H2417" t="s">
        <v>33275</v>
      </c>
      <c r="I2417" t="s">
        <v>24700</v>
      </c>
      <c r="J2417" t="str">
        <f t="shared" si="187"/>
        <v>E:\PropInv\MF</v>
      </c>
      <c r="K2417" s="103" t="str">
        <f>HYPERLINK("E:\PropInv\MF\Houston\Gulfton_6060_Alexander House_Houston_03260","Gulfton_6060_Alexander House_Houston_03260" )</f>
        <v>Gulfton_6060_Alexander House_Houston_03260</v>
      </c>
      <c r="L2417" s="104" t="s">
        <v>22253</v>
      </c>
      <c r="M2417" s="103" t="str">
        <f t="shared" si="188"/>
        <v>http://oconnordata.com/mlink/modules/profile/index.cfm?action=profile&amp;prop_id=3260</v>
      </c>
      <c r="N2417" s="1" t="str">
        <f t="shared" si="189"/>
        <v>03260</v>
      </c>
    </row>
    <row r="2418" spans="1:14" x14ac:dyDescent="0.3">
      <c r="A2418" s="1">
        <v>3262</v>
      </c>
      <c r="B2418" s="10" t="s">
        <v>3590</v>
      </c>
      <c r="C2418" s="9">
        <v>6303</v>
      </c>
      <c r="D2418" s="10" t="s">
        <v>3630</v>
      </c>
      <c r="E2418" s="11" t="s">
        <v>1657</v>
      </c>
      <c r="F2418" t="str">
        <f t="shared" si="185"/>
        <v>Gulfton</v>
      </c>
      <c r="G2418" t="str">
        <f t="shared" si="186"/>
        <v>Gulfton6303Houston</v>
      </c>
      <c r="H2418" t="s">
        <v>33276</v>
      </c>
      <c r="I2418" t="s">
        <v>24701</v>
      </c>
      <c r="J2418" t="str">
        <f t="shared" si="187"/>
        <v>E:\PropInv\MF</v>
      </c>
      <c r="K2418" s="103" t="str">
        <f>HYPERLINK("E:\PropInv\MF\Houston\Gulfton_6303_Atrium Cellini_Houston_03262","Gulfton_6303_Atrium Cellini_Houston_03262" )</f>
        <v>Gulfton_6303_Atrium Cellini_Houston_03262</v>
      </c>
      <c r="L2418" s="104" t="s">
        <v>22253</v>
      </c>
      <c r="M2418" s="103" t="str">
        <f t="shared" si="188"/>
        <v>http://oconnordata.com/mlink/modules/profile/index.cfm?action=profile&amp;prop_id=3262</v>
      </c>
      <c r="N2418" s="1" t="str">
        <f t="shared" si="189"/>
        <v>03262</v>
      </c>
    </row>
    <row r="2419" spans="1:14" x14ac:dyDescent="0.3">
      <c r="A2419" s="1">
        <v>3263</v>
      </c>
      <c r="B2419" s="10" t="s">
        <v>3631</v>
      </c>
      <c r="C2419" s="9">
        <v>5402</v>
      </c>
      <c r="D2419" s="10" t="s">
        <v>3632</v>
      </c>
      <c r="E2419" s="11" t="s">
        <v>1657</v>
      </c>
      <c r="F2419" t="str">
        <f t="shared" si="185"/>
        <v>Renwick</v>
      </c>
      <c r="G2419" t="str">
        <f t="shared" si="186"/>
        <v>Renwick5402Houston</v>
      </c>
      <c r="H2419" t="s">
        <v>33277</v>
      </c>
      <c r="I2419" t="s">
        <v>24702</v>
      </c>
      <c r="J2419" t="str">
        <f t="shared" si="187"/>
        <v>E:\PropInv\MF</v>
      </c>
      <c r="K2419" s="103" t="str">
        <f>HYPERLINK("E:\PropInv\MF\Houston\Renwick_5402_Pavilion Place_Houston_03263","Renwick_5402_Pavilion Place_Houston_03263" )</f>
        <v>Renwick_5402_Pavilion Place_Houston_03263</v>
      </c>
      <c r="L2419" s="104" t="s">
        <v>22253</v>
      </c>
      <c r="M2419" s="103" t="str">
        <f t="shared" si="188"/>
        <v>http://oconnordata.com/mlink/modules/profile/index.cfm?action=profile&amp;prop_id=3263</v>
      </c>
      <c r="N2419" s="1" t="str">
        <f t="shared" si="189"/>
        <v>03263</v>
      </c>
    </row>
    <row r="2420" spans="1:14" x14ac:dyDescent="0.3">
      <c r="A2420" s="1">
        <v>3264</v>
      </c>
      <c r="B2420" s="7" t="s">
        <v>2870</v>
      </c>
      <c r="C2420" s="12">
        <v>7111</v>
      </c>
      <c r="D2420" s="7" t="s">
        <v>3633</v>
      </c>
      <c r="E2420" s="13" t="s">
        <v>1657</v>
      </c>
      <c r="F2420" t="str">
        <f t="shared" si="185"/>
        <v>Hillcroft</v>
      </c>
      <c r="G2420" t="str">
        <f t="shared" si="186"/>
        <v>Hillcroft7111Houston</v>
      </c>
      <c r="H2420" t="s">
        <v>33278</v>
      </c>
      <c r="I2420" t="s">
        <v>24703</v>
      </c>
      <c r="J2420" t="str">
        <f t="shared" si="187"/>
        <v>E:\PropInv\MF</v>
      </c>
      <c r="K2420" s="103" t="str">
        <f>HYPERLINK("E:\PropInv\MF\Houston\Hillcroft_7111_Candlewick_Houston_03264","Hillcroft_7111_Candlewick_Houston_03264" )</f>
        <v>Hillcroft_7111_Candlewick_Houston_03264</v>
      </c>
      <c r="L2420" s="104" t="s">
        <v>22253</v>
      </c>
      <c r="M2420" s="103" t="str">
        <f t="shared" si="188"/>
        <v>http://oconnordata.com/mlink/modules/profile/index.cfm?action=profile&amp;prop_id=3264</v>
      </c>
      <c r="N2420" s="1" t="str">
        <f t="shared" si="189"/>
        <v>03264</v>
      </c>
    </row>
    <row r="2421" spans="1:14" x14ac:dyDescent="0.3">
      <c r="A2421" s="1">
        <v>3266</v>
      </c>
      <c r="B2421" s="7" t="s">
        <v>3634</v>
      </c>
      <c r="C2421" s="12">
        <v>6711</v>
      </c>
      <c r="D2421" s="7" t="s">
        <v>3635</v>
      </c>
      <c r="E2421" s="13" t="s">
        <v>1657</v>
      </c>
      <c r="F2421" t="str">
        <f t="shared" si="185"/>
        <v>Mullins</v>
      </c>
      <c r="G2421" t="str">
        <f t="shared" si="186"/>
        <v>Mullins6711Houston</v>
      </c>
      <c r="H2421" t="s">
        <v>33279</v>
      </c>
      <c r="I2421" t="s">
        <v>24704</v>
      </c>
      <c r="J2421" t="str">
        <f t="shared" si="187"/>
        <v>E:\PropInv\MF</v>
      </c>
      <c r="K2421" s="103" t="str">
        <f>HYPERLINK("E:\PropInv\MF\Houston\Mullins_6711_Fiesta Plaza II Apts_Houston_03266","Mullins_6711_Fiesta Plaza II Apts_Houston_03266" )</f>
        <v>Mullins_6711_Fiesta Plaza II Apts_Houston_03266</v>
      </c>
      <c r="L2421" s="104" t="s">
        <v>22253</v>
      </c>
      <c r="M2421" s="103" t="str">
        <f t="shared" si="188"/>
        <v>http://oconnordata.com/mlink/modules/profile/index.cfm?action=profile&amp;prop_id=3266</v>
      </c>
      <c r="N2421" s="1" t="str">
        <f t="shared" si="189"/>
        <v>03266</v>
      </c>
    </row>
    <row r="2422" spans="1:14" x14ac:dyDescent="0.3">
      <c r="A2422" s="1">
        <v>3267</v>
      </c>
      <c r="B2422" s="7" t="s">
        <v>3060</v>
      </c>
      <c r="C2422" s="12">
        <v>5606</v>
      </c>
      <c r="D2422" s="7" t="s">
        <v>3636</v>
      </c>
      <c r="E2422" s="13" t="s">
        <v>1657</v>
      </c>
      <c r="F2422" t="str">
        <f t="shared" si="185"/>
        <v>Bissonnet</v>
      </c>
      <c r="G2422" t="str">
        <f t="shared" si="186"/>
        <v>Bissonnet5606Houston</v>
      </c>
      <c r="H2422" t="s">
        <v>33280</v>
      </c>
      <c r="I2422" t="s">
        <v>24705</v>
      </c>
      <c r="J2422" t="str">
        <f t="shared" si="187"/>
        <v>E:\PropInv\MF</v>
      </c>
      <c r="K2422" s="103" t="str">
        <f>HYPERLINK("E:\PropInv\MF\Houston\Bissonnet_5606_Mark VI_Houston_03267","Bissonnet_5606_Mark VI_Houston_03267" )</f>
        <v>Bissonnet_5606_Mark VI_Houston_03267</v>
      </c>
      <c r="L2422" s="104" t="s">
        <v>22253</v>
      </c>
      <c r="M2422" s="103" t="str">
        <f t="shared" si="188"/>
        <v>http://oconnordata.com/mlink/modules/profile/index.cfm?action=profile&amp;prop_id=3267</v>
      </c>
      <c r="N2422" s="1" t="str">
        <f t="shared" si="189"/>
        <v>03267</v>
      </c>
    </row>
    <row r="2423" spans="1:14" x14ac:dyDescent="0.3">
      <c r="A2423" s="1">
        <v>3269</v>
      </c>
      <c r="B2423" s="7" t="s">
        <v>3060</v>
      </c>
      <c r="C2423" s="12">
        <v>5625</v>
      </c>
      <c r="D2423" s="7" t="s">
        <v>3637</v>
      </c>
      <c r="E2423" s="13" t="s">
        <v>1657</v>
      </c>
      <c r="F2423" t="str">
        <f t="shared" si="185"/>
        <v>Bissonnet</v>
      </c>
      <c r="G2423" t="str">
        <f t="shared" si="186"/>
        <v>Bissonnet5625Houston</v>
      </c>
      <c r="H2423" t="s">
        <v>33281</v>
      </c>
      <c r="I2423" t="s">
        <v>24706</v>
      </c>
      <c r="J2423" t="str">
        <f t="shared" si="187"/>
        <v>E:\PropInv\MF</v>
      </c>
      <c r="K2423" s="103" t="str">
        <f>HYPERLINK("E:\PropInv\MF\Houston\Bissonnet_5625_Grayridge_Houston_03269","Bissonnet_5625_Grayridge_Houston_03269" )</f>
        <v>Bissonnet_5625_Grayridge_Houston_03269</v>
      </c>
      <c r="L2423" s="104" t="s">
        <v>22253</v>
      </c>
      <c r="M2423" s="103" t="str">
        <f t="shared" si="188"/>
        <v>http://oconnordata.com/mlink/modules/profile/index.cfm?action=profile&amp;prop_id=3269</v>
      </c>
      <c r="N2423" s="1" t="str">
        <f t="shared" si="189"/>
        <v>03269</v>
      </c>
    </row>
    <row r="2424" spans="1:14" x14ac:dyDescent="0.3">
      <c r="A2424" s="1">
        <v>3271</v>
      </c>
      <c r="B2424" s="10" t="s">
        <v>3638</v>
      </c>
      <c r="C2424" s="9">
        <v>6414</v>
      </c>
      <c r="D2424" s="10" t="s">
        <v>3639</v>
      </c>
      <c r="E2424" s="11" t="s">
        <v>1657</v>
      </c>
      <c r="F2424" t="str">
        <f t="shared" si="185"/>
        <v>Alder</v>
      </c>
      <c r="G2424" t="str">
        <f t="shared" si="186"/>
        <v>Alder6414Houston</v>
      </c>
      <c r="H2424" t="s">
        <v>33282</v>
      </c>
      <c r="I2424" t="s">
        <v>24707</v>
      </c>
      <c r="J2424" t="str">
        <f t="shared" si="187"/>
        <v>E:\PropInv\MF</v>
      </c>
      <c r="K2424" s="103" t="str">
        <f>HYPERLINK("E:\PropInv\MF\Houston\Alder_6414_Greentree at the Garden_Houston_03271","Alder_6414_Greentree at the Garden_Houston_03271" )</f>
        <v>Alder_6414_Greentree at the Garden_Houston_03271</v>
      </c>
      <c r="L2424" s="104" t="s">
        <v>22253</v>
      </c>
      <c r="M2424" s="103" t="str">
        <f t="shared" si="188"/>
        <v>http://oconnordata.com/mlink/modules/profile/index.cfm?action=profile&amp;prop_id=3271</v>
      </c>
      <c r="N2424" s="1" t="str">
        <f t="shared" si="189"/>
        <v>03271</v>
      </c>
    </row>
    <row r="2425" spans="1:14" x14ac:dyDescent="0.3">
      <c r="A2425" s="1">
        <v>3277</v>
      </c>
      <c r="B2425" s="10" t="s">
        <v>2870</v>
      </c>
      <c r="C2425" s="9">
        <v>7001</v>
      </c>
      <c r="D2425" s="10" t="s">
        <v>3640</v>
      </c>
      <c r="E2425" s="11" t="s">
        <v>1657</v>
      </c>
      <c r="F2425" t="str">
        <f t="shared" si="185"/>
        <v>Hillcroft</v>
      </c>
      <c r="G2425" t="str">
        <f t="shared" si="186"/>
        <v>Hillcroft7001Houston</v>
      </c>
      <c r="H2425" t="s">
        <v>33283</v>
      </c>
      <c r="I2425" t="s">
        <v>24708</v>
      </c>
      <c r="J2425" t="str">
        <f t="shared" si="187"/>
        <v>E:\PropInv\MF</v>
      </c>
      <c r="K2425" s="103" t="str">
        <f>HYPERLINK("E:\PropInv\MF\Houston\Hillcroft_7001_Crown Garden_Houston_03277","Hillcroft_7001_Crown Garden_Houston_03277" )</f>
        <v>Hillcroft_7001_Crown Garden_Houston_03277</v>
      </c>
      <c r="L2425" s="104" t="s">
        <v>22253</v>
      </c>
      <c r="M2425" s="103" t="str">
        <f t="shared" si="188"/>
        <v>http://oconnordata.com/mlink/modules/profile/index.cfm?action=profile&amp;prop_id=3277</v>
      </c>
      <c r="N2425" s="1" t="str">
        <f t="shared" si="189"/>
        <v>03277</v>
      </c>
    </row>
    <row r="2426" spans="1:14" x14ac:dyDescent="0.3">
      <c r="A2426" s="1">
        <v>3278</v>
      </c>
      <c r="B2426" s="10" t="s">
        <v>892</v>
      </c>
      <c r="C2426" s="9">
        <v>6120</v>
      </c>
      <c r="D2426" s="10" t="s">
        <v>3641</v>
      </c>
      <c r="E2426" s="11" t="s">
        <v>1657</v>
      </c>
      <c r="F2426" t="str">
        <f t="shared" si="185"/>
        <v>Bellaire</v>
      </c>
      <c r="G2426" t="str">
        <f t="shared" si="186"/>
        <v>Bellaire6120Houston</v>
      </c>
      <c r="H2426" t="s">
        <v>33284</v>
      </c>
      <c r="I2426" t="s">
        <v>24709</v>
      </c>
      <c r="J2426" t="str">
        <f t="shared" si="187"/>
        <v>E:\PropInv\MF</v>
      </c>
      <c r="K2426" s="103" t="str">
        <f>HYPERLINK("E:\PropInv\MF\Houston\Bellaire_6120_Bellaire Gardens_Houston_03278","Bellaire_6120_Bellaire Gardens_Houston_03278" )</f>
        <v>Bellaire_6120_Bellaire Gardens_Houston_03278</v>
      </c>
      <c r="L2426" s="104" t="s">
        <v>22253</v>
      </c>
      <c r="M2426" s="103" t="str">
        <f t="shared" si="188"/>
        <v>http://oconnordata.com/mlink/modules/profile/index.cfm?action=profile&amp;prop_id=3278</v>
      </c>
      <c r="N2426" s="1" t="str">
        <f t="shared" si="189"/>
        <v>03278</v>
      </c>
    </row>
    <row r="2427" spans="1:14" x14ac:dyDescent="0.3">
      <c r="A2427" s="1">
        <v>3279</v>
      </c>
      <c r="B2427" s="10" t="s">
        <v>3634</v>
      </c>
      <c r="C2427" s="9">
        <v>6711</v>
      </c>
      <c r="D2427" s="10" t="s">
        <v>3642</v>
      </c>
      <c r="E2427" s="11" t="s">
        <v>1657</v>
      </c>
      <c r="F2427" t="str">
        <f t="shared" si="185"/>
        <v>Mullins</v>
      </c>
      <c r="G2427" t="str">
        <f t="shared" si="186"/>
        <v>Mullins6711Houston</v>
      </c>
      <c r="H2427" t="s">
        <v>33285</v>
      </c>
      <c r="I2427" t="s">
        <v>24710</v>
      </c>
      <c r="J2427" t="str">
        <f t="shared" si="187"/>
        <v>E:\PropInv\MF</v>
      </c>
      <c r="K2427" s="103" t="str">
        <f>HYPERLINK("E:\PropInv\MF\Houston\Mullins_6711_Fiesta Plaza_Houston_03279","Mullins_6711_Fiesta Plaza_Houston_03279" )</f>
        <v>Mullins_6711_Fiesta Plaza_Houston_03279</v>
      </c>
      <c r="L2427" s="104" t="s">
        <v>22253</v>
      </c>
      <c r="M2427" s="103" t="str">
        <f t="shared" si="188"/>
        <v>http://oconnordata.com/mlink/modules/profile/index.cfm?action=profile&amp;prop_id=3279</v>
      </c>
      <c r="N2427" s="1" t="str">
        <f t="shared" si="189"/>
        <v>03279</v>
      </c>
    </row>
    <row r="2428" spans="1:14" x14ac:dyDescent="0.3">
      <c r="A2428" s="1">
        <v>3280</v>
      </c>
      <c r="B2428" s="10" t="s">
        <v>3367</v>
      </c>
      <c r="C2428" s="9">
        <v>6011</v>
      </c>
      <c r="D2428" s="10" t="s">
        <v>3643</v>
      </c>
      <c r="E2428" s="11" t="s">
        <v>1657</v>
      </c>
      <c r="F2428" t="str">
        <f t="shared" si="185"/>
        <v>Dashwood</v>
      </c>
      <c r="G2428" t="str">
        <f t="shared" si="186"/>
        <v>Dashwood6011Houston</v>
      </c>
      <c r="H2428" t="s">
        <v>33286</v>
      </c>
      <c r="I2428" t="s">
        <v>24711</v>
      </c>
      <c r="J2428" t="str">
        <f t="shared" si="187"/>
        <v>E:\PropInv\MF</v>
      </c>
      <c r="K2428" s="103" t="str">
        <f>HYPERLINK("E:\PropInv\MF\Houston\Dashwood_6011_Carriage Way_Houston_03280","Dashwood_6011_Carriage Way_Houston_03280" )</f>
        <v>Dashwood_6011_Carriage Way_Houston_03280</v>
      </c>
      <c r="L2428" s="104" t="s">
        <v>22253</v>
      </c>
      <c r="M2428" s="103" t="str">
        <f t="shared" si="188"/>
        <v>http://oconnordata.com/mlink/modules/profile/index.cfm?action=profile&amp;prop_id=3280</v>
      </c>
      <c r="N2428" s="1" t="str">
        <f t="shared" si="189"/>
        <v>03280</v>
      </c>
    </row>
    <row r="2429" spans="1:14" x14ac:dyDescent="0.3">
      <c r="A2429" s="1">
        <v>3281</v>
      </c>
      <c r="B2429" s="10" t="s">
        <v>3644</v>
      </c>
      <c r="C2429" s="9">
        <v>6655</v>
      </c>
      <c r="D2429" s="10" t="s">
        <v>3645</v>
      </c>
      <c r="E2429" s="11" t="s">
        <v>1657</v>
      </c>
      <c r="F2429" t="str">
        <f t="shared" si="185"/>
        <v>Atwell</v>
      </c>
      <c r="G2429" t="str">
        <f t="shared" si="186"/>
        <v>Atwell6655Houston</v>
      </c>
      <c r="H2429" t="s">
        <v>33287</v>
      </c>
      <c r="I2429" t="s">
        <v>24712</v>
      </c>
      <c r="J2429" t="str">
        <f t="shared" si="187"/>
        <v>E:\PropInv\MF</v>
      </c>
      <c r="K2429" s="103" t="str">
        <f>HYPERLINK("E:\PropInv\MF\Houston\Atwell_6655_Mark 5 North_Houston_03281","Atwell_6655_Mark 5 North_Houston_03281" )</f>
        <v>Atwell_6655_Mark 5 North_Houston_03281</v>
      </c>
      <c r="L2429" s="104" t="s">
        <v>22253</v>
      </c>
      <c r="M2429" s="103" t="str">
        <f t="shared" si="188"/>
        <v>http://oconnordata.com/mlink/modules/profile/index.cfm?action=profile&amp;prop_id=3281</v>
      </c>
      <c r="N2429" s="1" t="str">
        <f t="shared" si="189"/>
        <v>03281</v>
      </c>
    </row>
    <row r="2430" spans="1:14" x14ac:dyDescent="0.3">
      <c r="A2430" s="1">
        <v>3282</v>
      </c>
      <c r="B2430" s="10" t="s">
        <v>3644</v>
      </c>
      <c r="C2430" s="9">
        <v>6711</v>
      </c>
      <c r="D2430" s="10" t="s">
        <v>3646</v>
      </c>
      <c r="E2430" s="11" t="s">
        <v>1657</v>
      </c>
      <c r="F2430" t="str">
        <f t="shared" si="185"/>
        <v>Atwell</v>
      </c>
      <c r="G2430" t="str">
        <f t="shared" si="186"/>
        <v>Atwell6711Houston</v>
      </c>
      <c r="H2430" t="s">
        <v>33288</v>
      </c>
      <c r="I2430" t="s">
        <v>24713</v>
      </c>
      <c r="J2430" t="str">
        <f t="shared" si="187"/>
        <v>E:\PropInv\MF</v>
      </c>
      <c r="K2430" s="103" t="str">
        <f>HYPERLINK("E:\PropInv\MF\Houston\Atwell_6711_Mark V South Apts_Houston_03282","Atwell_6711_Mark V South Apts_Houston_03282" )</f>
        <v>Atwell_6711_Mark V South Apts_Houston_03282</v>
      </c>
      <c r="L2430" s="104" t="s">
        <v>22253</v>
      </c>
      <c r="M2430" s="103" t="str">
        <f t="shared" si="188"/>
        <v>http://oconnordata.com/mlink/modules/profile/index.cfm?action=profile&amp;prop_id=3282</v>
      </c>
      <c r="N2430" s="1" t="str">
        <f t="shared" si="189"/>
        <v>03282</v>
      </c>
    </row>
    <row r="2431" spans="1:14" x14ac:dyDescent="0.3">
      <c r="A2431" s="1">
        <v>3284</v>
      </c>
      <c r="B2431" s="10" t="s">
        <v>2981</v>
      </c>
      <c r="C2431" s="9">
        <v>6700</v>
      </c>
      <c r="D2431" s="10" t="s">
        <v>3647</v>
      </c>
      <c r="E2431" s="11" t="s">
        <v>1657</v>
      </c>
      <c r="F2431" t="str">
        <f t="shared" si="185"/>
        <v>Chimney</v>
      </c>
      <c r="G2431" t="str">
        <f t="shared" si="186"/>
        <v>Chimney6700Houston</v>
      </c>
      <c r="H2431" t="s">
        <v>33289</v>
      </c>
      <c r="I2431" t="s">
        <v>24714</v>
      </c>
      <c r="J2431" t="str">
        <f t="shared" si="187"/>
        <v>E:\PropInv\MF</v>
      </c>
      <c r="K2431" s="103" t="str">
        <f>HYPERLINK("E:\PropInv\MF\Houston\Chimney Rock_6700_The Palms at Chimney Rock_Houston_03284","Chimney Rock_6700_The Palms at Chimney Rock_Houston_03284" )</f>
        <v>Chimney Rock_6700_The Palms at Chimney Rock_Houston_03284</v>
      </c>
      <c r="L2431" s="104" t="s">
        <v>22253</v>
      </c>
      <c r="M2431" s="103" t="str">
        <f t="shared" si="188"/>
        <v>http://oconnordata.com/mlink/modules/profile/index.cfm?action=profile&amp;prop_id=3284</v>
      </c>
      <c r="N2431" s="1" t="str">
        <f t="shared" si="189"/>
        <v>03284</v>
      </c>
    </row>
    <row r="2432" spans="1:14" x14ac:dyDescent="0.3">
      <c r="A2432" s="1">
        <v>3285</v>
      </c>
      <c r="B2432" s="7" t="s">
        <v>566</v>
      </c>
      <c r="C2432" s="12">
        <v>5312</v>
      </c>
      <c r="D2432" s="7" t="s">
        <v>3648</v>
      </c>
      <c r="E2432" s="13" t="s">
        <v>1657</v>
      </c>
      <c r="F2432" t="str">
        <f t="shared" si="185"/>
        <v>Clarewood</v>
      </c>
      <c r="G2432" t="str">
        <f t="shared" si="186"/>
        <v>Clarewood5312Houston</v>
      </c>
      <c r="H2432" t="s">
        <v>33290</v>
      </c>
      <c r="I2432" t="s">
        <v>24715</v>
      </c>
      <c r="J2432" t="str">
        <f t="shared" si="187"/>
        <v>E:\PropInv\MF</v>
      </c>
      <c r="K2432" s="103" t="str">
        <f>HYPERLINK("E:\PropInv\MF\Houston\Clarewood_5312_Monticello Square_Houston_03285","Clarewood_5312_Monticello Square_Houston_03285" )</f>
        <v>Clarewood_5312_Monticello Square_Houston_03285</v>
      </c>
      <c r="L2432" s="104" t="s">
        <v>22253</v>
      </c>
      <c r="M2432" s="103" t="str">
        <f t="shared" si="188"/>
        <v>http://oconnordata.com/mlink/modules/profile/index.cfm?action=profile&amp;prop_id=3285</v>
      </c>
      <c r="N2432" s="1" t="str">
        <f t="shared" si="189"/>
        <v>03285</v>
      </c>
    </row>
    <row r="2433" spans="1:14" x14ac:dyDescent="0.3">
      <c r="A2433" s="1">
        <v>3286</v>
      </c>
      <c r="B2433" s="19" t="s">
        <v>3644</v>
      </c>
      <c r="C2433" s="18">
        <v>7211</v>
      </c>
      <c r="D2433" s="19" t="s">
        <v>3649</v>
      </c>
      <c r="E2433" s="20" t="s">
        <v>1657</v>
      </c>
      <c r="F2433" t="str">
        <f t="shared" si="185"/>
        <v>Atwell</v>
      </c>
      <c r="G2433" t="str">
        <f t="shared" si="186"/>
        <v>Atwell7211Houston</v>
      </c>
      <c r="H2433" t="s">
        <v>33291</v>
      </c>
      <c r="I2433" t="s">
        <v>24716</v>
      </c>
      <c r="J2433" t="str">
        <f t="shared" si="187"/>
        <v>E:\PropInv\MF</v>
      </c>
      <c r="K2433" s="103" t="str">
        <f>HYPERLINK("E:\PropInv\MF\Houston\Atwell_7211_Atwell Village Apts_Houston_03286","Atwell_7211_Atwell Village Apts_Houston_03286" )</f>
        <v>Atwell_7211_Atwell Village Apts_Houston_03286</v>
      </c>
      <c r="L2433" s="104" t="s">
        <v>22253</v>
      </c>
      <c r="M2433" s="103" t="str">
        <f t="shared" si="188"/>
        <v>http://oconnordata.com/mlink/modules/profile/index.cfm?action=profile&amp;prop_id=3286</v>
      </c>
      <c r="N2433" s="1" t="str">
        <f t="shared" si="189"/>
        <v>03286</v>
      </c>
    </row>
    <row r="2434" spans="1:14" x14ac:dyDescent="0.3">
      <c r="A2434" s="1">
        <v>3287</v>
      </c>
      <c r="B2434" s="7" t="s">
        <v>3650</v>
      </c>
      <c r="C2434" s="12">
        <v>5704</v>
      </c>
      <c r="D2434" s="7" t="s">
        <v>3651</v>
      </c>
      <c r="E2434" s="13" t="s">
        <v>1657</v>
      </c>
      <c r="F2434" t="str">
        <f t="shared" ref="F2434:F2497" si="190">IFERROR(LEFT(B2434,FIND(" ",B2434)-1),B2434)</f>
        <v>Edgemoor</v>
      </c>
      <c r="G2434" t="str">
        <f t="shared" ref="G2434:G2497" si="191">F2434&amp;C2434&amp;E2434</f>
        <v>Edgemoor5704Houston</v>
      </c>
      <c r="H2434" t="s">
        <v>33292</v>
      </c>
      <c r="I2434" t="s">
        <v>24717</v>
      </c>
      <c r="J2434" t="str">
        <f t="shared" ref="J2434:J2497" si="192">IF(L2434="TX",Folder_Path,Folder_Path&amp;"\State_"&amp;L2434)</f>
        <v>E:\PropInv\MF</v>
      </c>
      <c r="K2434" s="103" t="str">
        <f>HYPERLINK("E:\PropInv\MF\Houston\Edgemoor_5704_Scottwood_Houston_03287","Edgemoor_5704_Scottwood_Houston_03287" )</f>
        <v>Edgemoor_5704_Scottwood_Houston_03287</v>
      </c>
      <c r="L2434" s="104" t="s">
        <v>22253</v>
      </c>
      <c r="M2434" s="103" t="str">
        <f t="shared" ref="M2434:M2497" si="193">HYPERLINK("http://oconnordata.com/mlink/modules/profile/index.cfm?action=profile&amp;prop_id="&amp;A2434)</f>
        <v>http://oconnordata.com/mlink/modules/profile/index.cfm?action=profile&amp;prop_id=3287</v>
      </c>
      <c r="N2434" s="1" t="str">
        <f t="shared" ref="N2434:N2497" si="194">IF(LEN(A2434)=1,"0000"&amp;A2434,IF(LEN(A2434)=2,"000"&amp;A2434,IF(LEN(A2434)=3,"00"&amp;A2434,IF(LEN(A2434)=4,"0"&amp;A2434,IF(LEN(A2434)=5,IF(LEFT(A2434,1)="3",A2434+30000,A2434))))))</f>
        <v>03287</v>
      </c>
    </row>
    <row r="2435" spans="1:14" x14ac:dyDescent="0.3">
      <c r="A2435" s="1">
        <v>3288</v>
      </c>
      <c r="B2435" s="7" t="s">
        <v>892</v>
      </c>
      <c r="C2435" s="12">
        <v>5800</v>
      </c>
      <c r="D2435" s="7" t="s">
        <v>3652</v>
      </c>
      <c r="E2435" s="13" t="s">
        <v>1657</v>
      </c>
      <c r="F2435" t="str">
        <f t="shared" si="190"/>
        <v>Bellaire</v>
      </c>
      <c r="G2435" t="str">
        <f t="shared" si="191"/>
        <v>Bellaire5800Houston</v>
      </c>
      <c r="H2435" t="s">
        <v>33293</v>
      </c>
      <c r="I2435" t="s">
        <v>24718</v>
      </c>
      <c r="J2435" t="str">
        <f t="shared" si="192"/>
        <v>E:\PropInv\MF</v>
      </c>
      <c r="K2435" s="103" t="str">
        <f>HYPERLINK("E:\PropInv\MF\Houston\Bellaire_5800_Bellaire Square North (Demolished)_Houston_03288","Bellaire_5800_Bellaire Square North (Demolished)_Houston_03288" )</f>
        <v>Bellaire_5800_Bellaire Square North (Demolished)_Houston_03288</v>
      </c>
      <c r="L2435" s="104" t="s">
        <v>22253</v>
      </c>
      <c r="M2435" s="103" t="str">
        <f t="shared" si="193"/>
        <v>http://oconnordata.com/mlink/modules/profile/index.cfm?action=profile&amp;prop_id=3288</v>
      </c>
      <c r="N2435" s="1" t="str">
        <f t="shared" si="194"/>
        <v>03288</v>
      </c>
    </row>
    <row r="2436" spans="1:14" x14ac:dyDescent="0.3">
      <c r="A2436" s="1">
        <v>3289</v>
      </c>
      <c r="B2436" s="7" t="s">
        <v>2868</v>
      </c>
      <c r="C2436" s="12">
        <v>6525</v>
      </c>
      <c r="D2436" s="7" t="s">
        <v>3653</v>
      </c>
      <c r="E2436" s="13" t="s">
        <v>1657</v>
      </c>
      <c r="F2436" t="str">
        <f t="shared" si="190"/>
        <v>Hillcroft</v>
      </c>
      <c r="G2436" t="str">
        <f t="shared" si="191"/>
        <v>Hillcroft6525Houston</v>
      </c>
      <c r="H2436" t="s">
        <v>33294</v>
      </c>
      <c r="I2436" t="s">
        <v>24719</v>
      </c>
      <c r="J2436" t="str">
        <f t="shared" si="192"/>
        <v>E:\PropInv\MF</v>
      </c>
      <c r="K2436" s="103" t="str">
        <f>HYPERLINK("E:\PropInv\MF\Houston\Hillcroft St_6525_St Cloud_Houston_03289","Hillcroft St_6525_St Cloud_Houston_03289" )</f>
        <v>Hillcroft St_6525_St Cloud_Houston_03289</v>
      </c>
      <c r="L2436" s="104" t="s">
        <v>22253</v>
      </c>
      <c r="M2436" s="103" t="str">
        <f t="shared" si="193"/>
        <v>http://oconnordata.com/mlink/modules/profile/index.cfm?action=profile&amp;prop_id=3289</v>
      </c>
      <c r="N2436" s="1" t="str">
        <f t="shared" si="194"/>
        <v>03289</v>
      </c>
    </row>
    <row r="2437" spans="1:14" x14ac:dyDescent="0.3">
      <c r="A2437" s="1">
        <v>3291</v>
      </c>
      <c r="B2437" s="7" t="s">
        <v>566</v>
      </c>
      <c r="C2437" s="12">
        <v>5801</v>
      </c>
      <c r="D2437" s="7" t="s">
        <v>3654</v>
      </c>
      <c r="E2437" s="13" t="s">
        <v>1657</v>
      </c>
      <c r="F2437" t="str">
        <f t="shared" si="190"/>
        <v>Clarewood</v>
      </c>
      <c r="G2437" t="str">
        <f t="shared" si="191"/>
        <v>Clarewood5801Houston</v>
      </c>
      <c r="H2437" t="s">
        <v>33295</v>
      </c>
      <c r="I2437" t="s">
        <v>24720</v>
      </c>
      <c r="J2437" t="str">
        <f t="shared" si="192"/>
        <v>E:\PropInv\MF</v>
      </c>
      <c r="K2437" s="103" t="str">
        <f>HYPERLINK("E:\PropInv\MF\Houston\Clarewood_5801_Clarewood Gardens_Houston_03291","Clarewood_5801_Clarewood Gardens_Houston_03291" )</f>
        <v>Clarewood_5801_Clarewood Gardens_Houston_03291</v>
      </c>
      <c r="L2437" s="104" t="s">
        <v>22253</v>
      </c>
      <c r="M2437" s="103" t="str">
        <f t="shared" si="193"/>
        <v>http://oconnordata.com/mlink/modules/profile/index.cfm?action=profile&amp;prop_id=3291</v>
      </c>
      <c r="N2437" s="1" t="str">
        <f t="shared" si="194"/>
        <v>03291</v>
      </c>
    </row>
    <row r="2438" spans="1:14" x14ac:dyDescent="0.3">
      <c r="A2438" s="1">
        <v>3294</v>
      </c>
      <c r="B2438" s="7" t="s">
        <v>3060</v>
      </c>
      <c r="C2438" s="12">
        <v>6000</v>
      </c>
      <c r="D2438" s="7" t="s">
        <v>3655</v>
      </c>
      <c r="E2438" s="13" t="s">
        <v>1657</v>
      </c>
      <c r="F2438" t="str">
        <f t="shared" si="190"/>
        <v>Bissonnet</v>
      </c>
      <c r="G2438" t="str">
        <f t="shared" si="191"/>
        <v>Bissonnet6000Houston</v>
      </c>
      <c r="H2438" t="s">
        <v>33296</v>
      </c>
      <c r="I2438" t="s">
        <v>24721</v>
      </c>
      <c r="J2438" t="str">
        <f t="shared" si="192"/>
        <v>E:\PropInv\MF</v>
      </c>
      <c r="K2438" s="103" t="str">
        <f>HYPERLINK("E:\PropInv\MF\Houston\Bissonnet_6000_Spring Forest_Houston_03294","Bissonnet_6000_Spring Forest_Houston_03294" )</f>
        <v>Bissonnet_6000_Spring Forest_Houston_03294</v>
      </c>
      <c r="L2438" s="104" t="s">
        <v>22253</v>
      </c>
      <c r="M2438" s="103" t="str">
        <f t="shared" si="193"/>
        <v>http://oconnordata.com/mlink/modules/profile/index.cfm?action=profile&amp;prop_id=3294</v>
      </c>
      <c r="N2438" s="1" t="str">
        <f t="shared" si="194"/>
        <v>03294</v>
      </c>
    </row>
    <row r="2439" spans="1:14" x14ac:dyDescent="0.3">
      <c r="A2439" s="1">
        <v>3295</v>
      </c>
      <c r="B2439" s="7" t="s">
        <v>2870</v>
      </c>
      <c r="C2439" s="12">
        <v>7245</v>
      </c>
      <c r="D2439" s="7" t="s">
        <v>3656</v>
      </c>
      <c r="E2439" s="13" t="s">
        <v>1657</v>
      </c>
      <c r="F2439" t="str">
        <f t="shared" si="190"/>
        <v>Hillcroft</v>
      </c>
      <c r="G2439" t="str">
        <f t="shared" si="191"/>
        <v>Hillcroft7245Houston</v>
      </c>
      <c r="H2439" t="s">
        <v>33297</v>
      </c>
      <c r="I2439" t="s">
        <v>24722</v>
      </c>
      <c r="J2439" t="str">
        <f t="shared" si="192"/>
        <v>E:\PropInv\MF</v>
      </c>
      <c r="K2439" s="103" t="str">
        <f>HYPERLINK("E:\PropInv\MF\Houston\Hillcroft_7245_Fairmount_Houston_03295","Hillcroft_7245_Fairmount_Houston_03295" )</f>
        <v>Hillcroft_7245_Fairmount_Houston_03295</v>
      </c>
      <c r="L2439" s="104" t="s">
        <v>22253</v>
      </c>
      <c r="M2439" s="103" t="str">
        <f t="shared" si="193"/>
        <v>http://oconnordata.com/mlink/modules/profile/index.cfm?action=profile&amp;prop_id=3295</v>
      </c>
      <c r="N2439" s="1" t="str">
        <f t="shared" si="194"/>
        <v>03295</v>
      </c>
    </row>
    <row r="2440" spans="1:14" x14ac:dyDescent="0.3">
      <c r="A2440" s="1">
        <v>3296</v>
      </c>
      <c r="B2440" s="7" t="s">
        <v>2870</v>
      </c>
      <c r="C2440" s="12">
        <v>7303</v>
      </c>
      <c r="D2440" s="7" t="s">
        <v>3657</v>
      </c>
      <c r="E2440" s="13" t="s">
        <v>1657</v>
      </c>
      <c r="F2440" t="str">
        <f t="shared" si="190"/>
        <v>Hillcroft</v>
      </c>
      <c r="G2440" t="str">
        <f t="shared" si="191"/>
        <v>Hillcroft7303Houston</v>
      </c>
      <c r="H2440" t="s">
        <v>33298</v>
      </c>
      <c r="I2440" t="s">
        <v>24723</v>
      </c>
      <c r="J2440" t="str">
        <f t="shared" si="192"/>
        <v>E:\PropInv\MF</v>
      </c>
      <c r="K2440" s="103" t="str">
        <f>HYPERLINK("E:\PropInv\MF\Houston\Hillcroft_7303_Fairmont Apts_Houston_03296","Hillcroft_7303_Fairmont Apts_Houston_03296" )</f>
        <v>Hillcroft_7303_Fairmont Apts_Houston_03296</v>
      </c>
      <c r="L2440" s="104" t="s">
        <v>22253</v>
      </c>
      <c r="M2440" s="103" t="str">
        <f t="shared" si="193"/>
        <v>http://oconnordata.com/mlink/modules/profile/index.cfm?action=profile&amp;prop_id=3296</v>
      </c>
      <c r="N2440" s="1" t="str">
        <f t="shared" si="194"/>
        <v>03296</v>
      </c>
    </row>
    <row r="2441" spans="1:14" x14ac:dyDescent="0.3">
      <c r="A2441" s="1">
        <v>3300</v>
      </c>
      <c r="B2441" s="7" t="s">
        <v>2981</v>
      </c>
      <c r="C2441" s="12">
        <v>6666</v>
      </c>
      <c r="D2441" s="7" t="s">
        <v>3658</v>
      </c>
      <c r="E2441" s="13" t="s">
        <v>1657</v>
      </c>
      <c r="F2441" t="str">
        <f t="shared" si="190"/>
        <v>Chimney</v>
      </c>
      <c r="G2441" t="str">
        <f t="shared" si="191"/>
        <v>Chimney6666Houston</v>
      </c>
      <c r="H2441" t="s">
        <v>33299</v>
      </c>
      <c r="I2441" t="s">
        <v>24724</v>
      </c>
      <c r="J2441" t="str">
        <f t="shared" si="192"/>
        <v>E:\PropInv\MF</v>
      </c>
      <c r="K2441" s="103" t="str">
        <f>HYPERLINK("E:\PropInv\MF\Houston\Chimney Rock_6666_Colony Oaks_Houston_03300","Chimney Rock_6666_Colony Oaks_Houston_03300" )</f>
        <v>Chimney Rock_6666_Colony Oaks_Houston_03300</v>
      </c>
      <c r="L2441" s="104" t="s">
        <v>22253</v>
      </c>
      <c r="M2441" s="103" t="str">
        <f t="shared" si="193"/>
        <v>http://oconnordata.com/mlink/modules/profile/index.cfm?action=profile&amp;prop_id=3300</v>
      </c>
      <c r="N2441" s="1" t="str">
        <f t="shared" si="194"/>
        <v>03300</v>
      </c>
    </row>
    <row r="2442" spans="1:14" x14ac:dyDescent="0.3">
      <c r="A2442" s="1">
        <v>3301</v>
      </c>
      <c r="B2442" s="7" t="s">
        <v>3367</v>
      </c>
      <c r="C2442" s="12">
        <v>5800</v>
      </c>
      <c r="D2442" s="7" t="s">
        <v>3659</v>
      </c>
      <c r="E2442" s="13" t="s">
        <v>1657</v>
      </c>
      <c r="F2442" t="str">
        <f t="shared" si="190"/>
        <v>Dashwood</v>
      </c>
      <c r="G2442" t="str">
        <f t="shared" si="191"/>
        <v>Dashwood5800Houston</v>
      </c>
      <c r="H2442" t="s">
        <v>33300</v>
      </c>
      <c r="I2442" t="s">
        <v>24725</v>
      </c>
      <c r="J2442" t="str">
        <f t="shared" si="192"/>
        <v>E:\PropInv\MF</v>
      </c>
      <c r="K2442" s="103" t="str">
        <f>HYPERLINK("E:\PropInv\MF\Houston\Dashwood_5800_Villa Royal_Houston_03301","Dashwood_5800_Villa Royal_Houston_03301" )</f>
        <v>Dashwood_5800_Villa Royal_Houston_03301</v>
      </c>
      <c r="L2442" s="104" t="s">
        <v>22253</v>
      </c>
      <c r="M2442" s="103" t="str">
        <f t="shared" si="193"/>
        <v>http://oconnordata.com/mlink/modules/profile/index.cfm?action=profile&amp;prop_id=3301</v>
      </c>
      <c r="N2442" s="1" t="str">
        <f t="shared" si="194"/>
        <v>03301</v>
      </c>
    </row>
    <row r="2443" spans="1:14" x14ac:dyDescent="0.3">
      <c r="A2443" s="1">
        <v>3303</v>
      </c>
      <c r="B2443" s="7" t="s">
        <v>3367</v>
      </c>
      <c r="C2443" s="12">
        <v>5940</v>
      </c>
      <c r="D2443" s="7" t="s">
        <v>3660</v>
      </c>
      <c r="E2443" s="13" t="s">
        <v>1657</v>
      </c>
      <c r="F2443" t="str">
        <f t="shared" si="190"/>
        <v>Dashwood</v>
      </c>
      <c r="G2443" t="str">
        <f t="shared" si="191"/>
        <v>Dashwood5940Houston</v>
      </c>
      <c r="H2443" t="s">
        <v>33301</v>
      </c>
      <c r="I2443" t="s">
        <v>24726</v>
      </c>
      <c r="J2443" t="str">
        <f t="shared" si="192"/>
        <v>E:\PropInv\MF</v>
      </c>
      <c r="K2443" s="103" t="str">
        <f>HYPERLINK("E:\PropInv\MF\Houston\Dashwood_5940_Le Sajon_Houston_03303","Dashwood_5940_Le Sajon_Houston_03303" )</f>
        <v>Dashwood_5940_Le Sajon_Houston_03303</v>
      </c>
      <c r="L2443" s="104" t="s">
        <v>22253</v>
      </c>
      <c r="M2443" s="103" t="str">
        <f t="shared" si="193"/>
        <v>http://oconnordata.com/mlink/modules/profile/index.cfm?action=profile&amp;prop_id=3303</v>
      </c>
      <c r="N2443" s="1" t="str">
        <f t="shared" si="194"/>
        <v>03303</v>
      </c>
    </row>
    <row r="2444" spans="1:14" x14ac:dyDescent="0.3">
      <c r="A2444" s="1">
        <v>3304</v>
      </c>
      <c r="B2444" s="7" t="s">
        <v>3060</v>
      </c>
      <c r="C2444" s="12">
        <v>5929</v>
      </c>
      <c r="D2444" s="7" t="s">
        <v>3661</v>
      </c>
      <c r="E2444" s="13" t="s">
        <v>1657</v>
      </c>
      <c r="F2444" t="str">
        <f t="shared" si="190"/>
        <v>Bissonnet</v>
      </c>
      <c r="G2444" t="str">
        <f t="shared" si="191"/>
        <v>Bissonnet5929Houston</v>
      </c>
      <c r="H2444" t="s">
        <v>33302</v>
      </c>
      <c r="I2444" t="s">
        <v>24727</v>
      </c>
      <c r="J2444" t="str">
        <f t="shared" si="192"/>
        <v>E:\PropInv\MF</v>
      </c>
      <c r="K2444" s="103" t="str">
        <f>HYPERLINK("E:\PropInv\MF\Houston\Bissonnet_5929_Jonathan Square II_Houston_03304","Bissonnet_5929_Jonathan Square II_Houston_03304" )</f>
        <v>Bissonnet_5929_Jonathan Square II_Houston_03304</v>
      </c>
      <c r="L2444" s="104" t="s">
        <v>22253</v>
      </c>
      <c r="M2444" s="103" t="str">
        <f t="shared" si="193"/>
        <v>http://oconnordata.com/mlink/modules/profile/index.cfm?action=profile&amp;prop_id=3304</v>
      </c>
      <c r="N2444" s="1" t="str">
        <f t="shared" si="194"/>
        <v>03304</v>
      </c>
    </row>
    <row r="2445" spans="1:14" x14ac:dyDescent="0.3">
      <c r="A2445" s="1">
        <v>3305</v>
      </c>
      <c r="B2445" s="7" t="s">
        <v>3662</v>
      </c>
      <c r="C2445" s="12">
        <v>5430</v>
      </c>
      <c r="D2445" s="7" t="s">
        <v>3663</v>
      </c>
      <c r="E2445" s="13" t="s">
        <v>1657</v>
      </c>
      <c r="F2445" t="str">
        <f t="shared" si="190"/>
        <v>Birdwood</v>
      </c>
      <c r="G2445" t="str">
        <f t="shared" si="191"/>
        <v>Birdwood5430Houston</v>
      </c>
      <c r="H2445" t="s">
        <v>33303</v>
      </c>
      <c r="I2445" t="s">
        <v>24728</v>
      </c>
      <c r="J2445" t="str">
        <f t="shared" si="192"/>
        <v>E:\PropInv\MF</v>
      </c>
      <c r="K2445" s="103" t="str">
        <f>HYPERLINK("E:\PropInv\MF\Houston\Birdwood_5430_Braeswood Plaza_Houston_03305","Birdwood_5430_Braeswood Plaza_Houston_03305" )</f>
        <v>Birdwood_5430_Braeswood Plaza_Houston_03305</v>
      </c>
      <c r="L2445" s="104" t="s">
        <v>22253</v>
      </c>
      <c r="M2445" s="103" t="str">
        <f t="shared" si="193"/>
        <v>http://oconnordata.com/mlink/modules/profile/index.cfm?action=profile&amp;prop_id=3305</v>
      </c>
      <c r="N2445" s="1" t="str">
        <f t="shared" si="194"/>
        <v>03305</v>
      </c>
    </row>
    <row r="2446" spans="1:14" x14ac:dyDescent="0.3">
      <c r="A2446" s="1">
        <v>3306</v>
      </c>
      <c r="B2446" s="7" t="s">
        <v>3631</v>
      </c>
      <c r="C2446" s="12">
        <v>6768</v>
      </c>
      <c r="D2446" s="7" t="s">
        <v>3664</v>
      </c>
      <c r="E2446" s="13" t="s">
        <v>1657</v>
      </c>
      <c r="F2446" t="str">
        <f t="shared" si="190"/>
        <v>Renwick</v>
      </c>
      <c r="G2446" t="str">
        <f t="shared" si="191"/>
        <v>Renwick6768Houston</v>
      </c>
      <c r="H2446" t="s">
        <v>33304</v>
      </c>
      <c r="I2446" t="s">
        <v>24729</v>
      </c>
      <c r="J2446" t="str">
        <f t="shared" si="192"/>
        <v>E:\PropInv\MF</v>
      </c>
      <c r="K2446" s="103" t="str">
        <f>HYPERLINK("E:\PropInv\MF\Houston\Renwick_6768_Grey Field_Houston_03306","Renwick_6768_Grey Field_Houston_03306" )</f>
        <v>Renwick_6768_Grey Field_Houston_03306</v>
      </c>
      <c r="L2446" s="104" t="s">
        <v>22253</v>
      </c>
      <c r="M2446" s="103" t="str">
        <f t="shared" si="193"/>
        <v>http://oconnordata.com/mlink/modules/profile/index.cfm?action=profile&amp;prop_id=3306</v>
      </c>
      <c r="N2446" s="1" t="str">
        <f t="shared" si="194"/>
        <v>03306</v>
      </c>
    </row>
    <row r="2447" spans="1:14" x14ac:dyDescent="0.3">
      <c r="A2447" s="1">
        <v>3308</v>
      </c>
      <c r="B2447" s="7" t="s">
        <v>3631</v>
      </c>
      <c r="C2447" s="12">
        <v>6909</v>
      </c>
      <c r="D2447" s="7" t="s">
        <v>3665</v>
      </c>
      <c r="E2447" s="13" t="s">
        <v>1657</v>
      </c>
      <c r="F2447" t="str">
        <f t="shared" si="190"/>
        <v>Renwick</v>
      </c>
      <c r="G2447" t="str">
        <f t="shared" si="191"/>
        <v>Renwick6909Houston</v>
      </c>
      <c r="H2447" t="s">
        <v>33305</v>
      </c>
      <c r="I2447" t="s">
        <v>24730</v>
      </c>
      <c r="J2447" t="str">
        <f t="shared" si="192"/>
        <v>E:\PropInv\MF</v>
      </c>
      <c r="K2447" s="103" t="str">
        <f>HYPERLINK("E:\PropInv\MF\Houston\Renwick_6909_Enchanted Fountains_Houston_03308","Renwick_6909_Enchanted Fountains_Houston_03308" )</f>
        <v>Renwick_6909_Enchanted Fountains_Houston_03308</v>
      </c>
      <c r="L2447" s="104" t="s">
        <v>22253</v>
      </c>
      <c r="M2447" s="103" t="str">
        <f t="shared" si="193"/>
        <v>http://oconnordata.com/mlink/modules/profile/index.cfm?action=profile&amp;prop_id=3308</v>
      </c>
      <c r="N2447" s="1" t="str">
        <f t="shared" si="194"/>
        <v>03308</v>
      </c>
    </row>
    <row r="2448" spans="1:14" x14ac:dyDescent="0.3">
      <c r="A2448" s="1">
        <v>3310</v>
      </c>
      <c r="B2448" s="7" t="s">
        <v>2981</v>
      </c>
      <c r="C2448" s="12">
        <v>8900</v>
      </c>
      <c r="D2448" s="7" t="s">
        <v>3666</v>
      </c>
      <c r="E2448" s="13" t="s">
        <v>1657</v>
      </c>
      <c r="F2448" t="str">
        <f t="shared" si="190"/>
        <v>Chimney</v>
      </c>
      <c r="G2448" t="str">
        <f t="shared" si="191"/>
        <v>Chimney8900Houston</v>
      </c>
      <c r="H2448" t="s">
        <v>33306</v>
      </c>
      <c r="I2448" t="s">
        <v>24731</v>
      </c>
      <c r="J2448" t="str">
        <f t="shared" si="192"/>
        <v>E:\PropInv\MF</v>
      </c>
      <c r="K2448" s="103" t="str">
        <f>HYPERLINK("E:\PropInv\MF\Houston\Chimney Rock_8900_The Villages at Meyerland II_Houston_03310","Chimney Rock_8900_The Villages at Meyerland II_Houston_03310" )</f>
        <v>Chimney Rock_8900_The Villages at Meyerland II_Houston_03310</v>
      </c>
      <c r="L2448" s="104" t="s">
        <v>22253</v>
      </c>
      <c r="M2448" s="103" t="str">
        <f t="shared" si="193"/>
        <v>http://oconnordata.com/mlink/modules/profile/index.cfm?action=profile&amp;prop_id=3310</v>
      </c>
      <c r="N2448" s="1" t="str">
        <f t="shared" si="194"/>
        <v>03310</v>
      </c>
    </row>
    <row r="2449" spans="1:14" x14ac:dyDescent="0.3">
      <c r="A2449" s="1">
        <v>3311</v>
      </c>
      <c r="B2449" s="7" t="s">
        <v>3667</v>
      </c>
      <c r="C2449" s="12" t="s">
        <v>3668</v>
      </c>
      <c r="D2449" s="7" t="s">
        <v>3669</v>
      </c>
      <c r="E2449" s="13" t="s">
        <v>1657</v>
      </c>
      <c r="F2449" t="str">
        <f t="shared" si="190"/>
        <v>Braeswood</v>
      </c>
      <c r="G2449" t="str">
        <f t="shared" si="191"/>
        <v>Braeswood5410-5415Houston</v>
      </c>
      <c r="H2449" t="s">
        <v>33307</v>
      </c>
      <c r="I2449" t="s">
        <v>24732</v>
      </c>
      <c r="J2449" t="str">
        <f t="shared" si="192"/>
        <v>E:\PropInv\MF</v>
      </c>
      <c r="K2449" s="103" t="str">
        <f>HYPERLINK("E:\PropInv\MF\Houston\Braeswood Blvd N_5410-5415_Nob Hill Southeast_Houston_03311","Braeswood Blvd N_5410-5415_Nob Hill Southeast_Houston_03311" )</f>
        <v>Braeswood Blvd N_5410-5415_Nob Hill Southeast_Houston_03311</v>
      </c>
      <c r="L2449" s="104" t="s">
        <v>22253</v>
      </c>
      <c r="M2449" s="103" t="str">
        <f t="shared" si="193"/>
        <v>http://oconnordata.com/mlink/modules/profile/index.cfm?action=profile&amp;prop_id=3311</v>
      </c>
      <c r="N2449" s="1" t="str">
        <f t="shared" si="194"/>
        <v>03311</v>
      </c>
    </row>
    <row r="2450" spans="1:14" x14ac:dyDescent="0.3">
      <c r="A2450" s="1">
        <v>3312</v>
      </c>
      <c r="B2450" s="7" t="s">
        <v>3670</v>
      </c>
      <c r="C2450" s="12">
        <v>5465</v>
      </c>
      <c r="D2450" s="7" t="s">
        <v>3671</v>
      </c>
      <c r="E2450" s="13" t="s">
        <v>1657</v>
      </c>
      <c r="F2450" t="str">
        <f t="shared" si="190"/>
        <v>Braesvalley</v>
      </c>
      <c r="G2450" t="str">
        <f t="shared" si="191"/>
        <v>Braesvalley5465Houston</v>
      </c>
      <c r="H2450" t="s">
        <v>33308</v>
      </c>
      <c r="I2450" t="s">
        <v>24733</v>
      </c>
      <c r="J2450" t="str">
        <f t="shared" si="192"/>
        <v>E:\PropInv\MF</v>
      </c>
      <c r="K2450" s="103" t="str">
        <f>HYPERLINK("E:\PropInv\MF\Houston\Braesvalley Dr_5465_Nob Hill West_Houston_03312","Braesvalley Dr_5465_Nob Hill West_Houston_03312" )</f>
        <v>Braesvalley Dr_5465_Nob Hill West_Houston_03312</v>
      </c>
      <c r="L2450" s="104" t="s">
        <v>22253</v>
      </c>
      <c r="M2450" s="103" t="str">
        <f t="shared" si="193"/>
        <v>http://oconnordata.com/mlink/modules/profile/index.cfm?action=profile&amp;prop_id=3312</v>
      </c>
      <c r="N2450" s="1" t="str">
        <f t="shared" si="194"/>
        <v>03312</v>
      </c>
    </row>
    <row r="2451" spans="1:14" x14ac:dyDescent="0.3">
      <c r="A2451" s="1">
        <v>3313</v>
      </c>
      <c r="B2451" s="7" t="s">
        <v>3631</v>
      </c>
      <c r="C2451" s="12">
        <v>7100</v>
      </c>
      <c r="D2451" s="7" t="s">
        <v>3672</v>
      </c>
      <c r="E2451" s="13" t="s">
        <v>1657</v>
      </c>
      <c r="F2451" t="str">
        <f t="shared" si="190"/>
        <v>Renwick</v>
      </c>
      <c r="G2451" t="str">
        <f t="shared" si="191"/>
        <v>Renwick7100Houston</v>
      </c>
      <c r="H2451" t="s">
        <v>33309</v>
      </c>
      <c r="I2451" t="s">
        <v>24734</v>
      </c>
      <c r="J2451" t="str">
        <f t="shared" si="192"/>
        <v>E:\PropInv\MF</v>
      </c>
      <c r="K2451" s="103" t="str">
        <f>HYPERLINK("E:\PropInv\MF\Houston\Renwick_7100_Renwick Square_Houston_03313","Renwick_7100_Renwick Square_Houston_03313" )</f>
        <v>Renwick_7100_Renwick Square_Houston_03313</v>
      </c>
      <c r="L2451" s="104" t="s">
        <v>22253</v>
      </c>
      <c r="M2451" s="103" t="str">
        <f t="shared" si="193"/>
        <v>http://oconnordata.com/mlink/modules/profile/index.cfm?action=profile&amp;prop_id=3313</v>
      </c>
      <c r="N2451" s="1" t="str">
        <f t="shared" si="194"/>
        <v>03313</v>
      </c>
    </row>
    <row r="2452" spans="1:14" x14ac:dyDescent="0.3">
      <c r="A2452" s="1">
        <v>3314</v>
      </c>
      <c r="B2452" s="7" t="s">
        <v>3060</v>
      </c>
      <c r="C2452" s="12">
        <v>5911</v>
      </c>
      <c r="D2452" s="7" t="s">
        <v>3673</v>
      </c>
      <c r="E2452" s="13" t="s">
        <v>1657</v>
      </c>
      <c r="F2452" t="str">
        <f t="shared" si="190"/>
        <v>Bissonnet</v>
      </c>
      <c r="G2452" t="str">
        <f t="shared" si="191"/>
        <v>Bissonnet5911Houston</v>
      </c>
      <c r="H2452" t="s">
        <v>33310</v>
      </c>
      <c r="I2452" t="s">
        <v>24735</v>
      </c>
      <c r="J2452" t="str">
        <f t="shared" si="192"/>
        <v>E:\PropInv\MF</v>
      </c>
      <c r="K2452" s="103" t="str">
        <f>HYPERLINK("E:\PropInv\MF\Houston\Bissonnet_5911_Cherry Gardens_Houston_03314","Bissonnet_5911_Cherry Gardens_Houston_03314" )</f>
        <v>Bissonnet_5911_Cherry Gardens_Houston_03314</v>
      </c>
      <c r="L2452" s="104" t="s">
        <v>22253</v>
      </c>
      <c r="M2452" s="103" t="str">
        <f t="shared" si="193"/>
        <v>http://oconnordata.com/mlink/modules/profile/index.cfm?action=profile&amp;prop_id=3314</v>
      </c>
      <c r="N2452" s="1" t="str">
        <f t="shared" si="194"/>
        <v>03314</v>
      </c>
    </row>
    <row r="2453" spans="1:14" x14ac:dyDescent="0.3">
      <c r="A2453" s="1">
        <v>3315</v>
      </c>
      <c r="B2453" s="7" t="s">
        <v>3674</v>
      </c>
      <c r="C2453" s="12">
        <v>5531</v>
      </c>
      <c r="D2453" s="7" t="s">
        <v>3675</v>
      </c>
      <c r="E2453" s="13" t="s">
        <v>1657</v>
      </c>
      <c r="F2453" t="str">
        <f t="shared" si="190"/>
        <v>Pine</v>
      </c>
      <c r="G2453" t="str">
        <f t="shared" si="191"/>
        <v>Pine5531Houston</v>
      </c>
      <c r="H2453" t="s">
        <v>33311</v>
      </c>
      <c r="I2453" t="s">
        <v>24736</v>
      </c>
      <c r="J2453" t="str">
        <f t="shared" si="192"/>
        <v>E:\PropInv\MF</v>
      </c>
      <c r="K2453" s="103" t="str">
        <f>HYPERLINK("E:\PropInv\MF\Houston\Pine_5531_Pines Street Apts_Houston_03315","Pine_5531_Pines Street Apts_Houston_03315" )</f>
        <v>Pine_5531_Pines Street Apts_Houston_03315</v>
      </c>
      <c r="L2453" s="104" t="s">
        <v>22253</v>
      </c>
      <c r="M2453" s="103" t="str">
        <f t="shared" si="193"/>
        <v>http://oconnordata.com/mlink/modules/profile/index.cfm?action=profile&amp;prop_id=3315</v>
      </c>
      <c r="N2453" s="1" t="str">
        <f t="shared" si="194"/>
        <v>03315</v>
      </c>
    </row>
    <row r="2454" spans="1:14" x14ac:dyDescent="0.3">
      <c r="A2454" s="1">
        <v>3317</v>
      </c>
      <c r="B2454" s="7" t="s">
        <v>3676</v>
      </c>
      <c r="C2454" s="12">
        <v>6226</v>
      </c>
      <c r="D2454" s="7" t="s">
        <v>3677</v>
      </c>
      <c r="E2454" s="13" t="s">
        <v>1657</v>
      </c>
      <c r="F2454" t="str">
        <f t="shared" si="190"/>
        <v>Valerie</v>
      </c>
      <c r="G2454" t="str">
        <f t="shared" si="191"/>
        <v>Valerie6226Houston</v>
      </c>
      <c r="H2454" t="s">
        <v>33312</v>
      </c>
      <c r="I2454" t="s">
        <v>24737</v>
      </c>
      <c r="J2454" t="str">
        <f t="shared" si="192"/>
        <v>E:\PropInv\MF</v>
      </c>
      <c r="K2454" s="103" t="str">
        <f>HYPERLINK("E:\PropInv\MF\Houston\Valerie_6226_6226 Valerie Apts_Houston_03317","Valerie_6226_6226 Valerie Apts_Houston_03317" )</f>
        <v>Valerie_6226_6226 Valerie Apts_Houston_03317</v>
      </c>
      <c r="L2454" s="104" t="s">
        <v>22253</v>
      </c>
      <c r="M2454" s="103" t="str">
        <f t="shared" si="193"/>
        <v>http://oconnordata.com/mlink/modules/profile/index.cfm?action=profile&amp;prop_id=3317</v>
      </c>
      <c r="N2454" s="1" t="str">
        <f t="shared" si="194"/>
        <v>03317</v>
      </c>
    </row>
    <row r="2455" spans="1:14" x14ac:dyDescent="0.3">
      <c r="A2455" s="1">
        <v>3319</v>
      </c>
      <c r="B2455" s="7" t="s">
        <v>3667</v>
      </c>
      <c r="C2455" s="12">
        <v>5500</v>
      </c>
      <c r="D2455" s="7" t="s">
        <v>3678</v>
      </c>
      <c r="E2455" s="13" t="s">
        <v>1657</v>
      </c>
      <c r="F2455" t="str">
        <f t="shared" si="190"/>
        <v>Braeswood</v>
      </c>
      <c r="G2455" t="str">
        <f t="shared" si="191"/>
        <v>Braeswood5500Houston</v>
      </c>
      <c r="H2455" t="s">
        <v>33313</v>
      </c>
      <c r="I2455" t="s">
        <v>24738</v>
      </c>
      <c r="J2455" t="str">
        <f t="shared" si="192"/>
        <v>E:\PropInv\MF</v>
      </c>
      <c r="K2455" s="103" t="str">
        <f>HYPERLINK("E:\PropInv\MF\Houston\Braeswood Blvd N_5500_Nob Hill Southwest_Houston_03319","Braeswood Blvd N_5500_Nob Hill Southwest_Houston_03319" )</f>
        <v>Braeswood Blvd N_5500_Nob Hill Southwest_Houston_03319</v>
      </c>
      <c r="L2455" s="104" t="s">
        <v>22253</v>
      </c>
      <c r="M2455" s="103" t="str">
        <f t="shared" si="193"/>
        <v>http://oconnordata.com/mlink/modules/profile/index.cfm?action=profile&amp;prop_id=3319</v>
      </c>
      <c r="N2455" s="1" t="str">
        <f t="shared" si="194"/>
        <v>03319</v>
      </c>
    </row>
    <row r="2456" spans="1:14" x14ac:dyDescent="0.3">
      <c r="A2456" s="1">
        <v>3321</v>
      </c>
      <c r="B2456" s="7" t="s">
        <v>2870</v>
      </c>
      <c r="C2456" s="12">
        <v>7525</v>
      </c>
      <c r="D2456" s="7" t="s">
        <v>3679</v>
      </c>
      <c r="E2456" s="13" t="s">
        <v>1657</v>
      </c>
      <c r="F2456" t="str">
        <f t="shared" si="190"/>
        <v>Hillcroft</v>
      </c>
      <c r="G2456" t="str">
        <f t="shared" si="191"/>
        <v>Hillcroft7525Houston</v>
      </c>
      <c r="H2456" t="s">
        <v>33314</v>
      </c>
      <c r="I2456" t="s">
        <v>24739</v>
      </c>
      <c r="J2456" t="str">
        <f t="shared" si="192"/>
        <v>E:\PropInv\MF</v>
      </c>
      <c r="K2456" s="103" t="str">
        <f>HYPERLINK("E:\PropInv\MF\Houston\Hillcroft_7525_The White House_Houston_03321","Hillcroft_7525_The White House_Houston_03321" )</f>
        <v>Hillcroft_7525_The White House_Houston_03321</v>
      </c>
      <c r="L2456" s="104" t="s">
        <v>22253</v>
      </c>
      <c r="M2456" s="103" t="str">
        <f t="shared" si="193"/>
        <v>http://oconnordata.com/mlink/modules/profile/index.cfm?action=profile&amp;prop_id=3321</v>
      </c>
      <c r="N2456" s="1" t="str">
        <f t="shared" si="194"/>
        <v>03321</v>
      </c>
    </row>
    <row r="2457" spans="1:14" x14ac:dyDescent="0.3">
      <c r="A2457" s="1">
        <v>3322</v>
      </c>
      <c r="B2457" s="7" t="s">
        <v>3634</v>
      </c>
      <c r="C2457" s="12">
        <v>7302</v>
      </c>
      <c r="D2457" s="7" t="s">
        <v>3680</v>
      </c>
      <c r="E2457" s="13" t="s">
        <v>1657</v>
      </c>
      <c r="F2457" t="str">
        <f t="shared" si="190"/>
        <v>Mullins</v>
      </c>
      <c r="G2457" t="str">
        <f t="shared" si="191"/>
        <v>Mullins7302Houston</v>
      </c>
      <c r="H2457" t="s">
        <v>33315</v>
      </c>
      <c r="I2457" t="s">
        <v>24740</v>
      </c>
      <c r="J2457" t="str">
        <f t="shared" si="192"/>
        <v>E:\PropInv\MF</v>
      </c>
      <c r="K2457" s="103" t="str">
        <f>HYPERLINK("E:\PropInv\MF\Houston\Mullins_7302_Pueblo Mio_Houston_03322","Mullins_7302_Pueblo Mio_Houston_03322" )</f>
        <v>Mullins_7302_Pueblo Mio_Houston_03322</v>
      </c>
      <c r="L2457" s="104" t="s">
        <v>22253</v>
      </c>
      <c r="M2457" s="103" t="str">
        <f t="shared" si="193"/>
        <v>http://oconnordata.com/mlink/modules/profile/index.cfm?action=profile&amp;prop_id=3322</v>
      </c>
      <c r="N2457" s="1" t="str">
        <f t="shared" si="194"/>
        <v>03322</v>
      </c>
    </row>
    <row r="2458" spans="1:14" x14ac:dyDescent="0.3">
      <c r="A2458" s="1">
        <v>3323</v>
      </c>
      <c r="B2458" s="7" t="s">
        <v>3674</v>
      </c>
      <c r="C2458" s="12">
        <v>5505</v>
      </c>
      <c r="D2458" s="7" t="s">
        <v>3681</v>
      </c>
      <c r="E2458" s="13" t="s">
        <v>1657</v>
      </c>
      <c r="F2458" t="str">
        <f t="shared" si="190"/>
        <v>Pine</v>
      </c>
      <c r="G2458" t="str">
        <f t="shared" si="191"/>
        <v>Pine5505Houston</v>
      </c>
      <c r="H2458" t="s">
        <v>33316</v>
      </c>
      <c r="I2458" t="s">
        <v>24741</v>
      </c>
      <c r="J2458" t="str">
        <f t="shared" si="192"/>
        <v>E:\PropInv\MF</v>
      </c>
      <c r="K2458" s="103" t="str">
        <f>HYPERLINK("E:\PropInv\MF\Houston\Pine_5505_The Crossing at Saint Charles_Houston_03323","Pine_5505_The Crossing at Saint Charles_Houston_03323" )</f>
        <v>Pine_5505_The Crossing at Saint Charles_Houston_03323</v>
      </c>
      <c r="L2458" s="104" t="s">
        <v>22253</v>
      </c>
      <c r="M2458" s="103" t="str">
        <f t="shared" si="193"/>
        <v>http://oconnordata.com/mlink/modules/profile/index.cfm?action=profile&amp;prop_id=3323</v>
      </c>
      <c r="N2458" s="1" t="str">
        <f t="shared" si="194"/>
        <v>03323</v>
      </c>
    </row>
    <row r="2459" spans="1:14" x14ac:dyDescent="0.3">
      <c r="A2459" s="1">
        <v>3324</v>
      </c>
      <c r="B2459" s="7" t="s">
        <v>3060</v>
      </c>
      <c r="C2459" s="12">
        <v>5900</v>
      </c>
      <c r="D2459" s="7" t="s">
        <v>3682</v>
      </c>
      <c r="E2459" s="13" t="s">
        <v>1657</v>
      </c>
      <c r="F2459" t="str">
        <f t="shared" si="190"/>
        <v>Bissonnet</v>
      </c>
      <c r="G2459" t="str">
        <f t="shared" si="191"/>
        <v>Bissonnet5900Houston</v>
      </c>
      <c r="H2459" t="s">
        <v>33317</v>
      </c>
      <c r="I2459" t="s">
        <v>24742</v>
      </c>
      <c r="J2459" t="str">
        <f t="shared" si="192"/>
        <v>E:\PropInv\MF</v>
      </c>
      <c r="K2459" s="103" t="str">
        <f>HYPERLINK("E:\PropInv\MF\Houston\Bissonnet_5900_Azalea Place_Houston_03324","Bissonnet_5900_Azalea Place_Houston_03324" )</f>
        <v>Bissonnet_5900_Azalea Place_Houston_03324</v>
      </c>
      <c r="L2459" s="104" t="s">
        <v>22253</v>
      </c>
      <c r="M2459" s="103" t="str">
        <f t="shared" si="193"/>
        <v>http://oconnordata.com/mlink/modules/profile/index.cfm?action=profile&amp;prop_id=3324</v>
      </c>
      <c r="N2459" s="1" t="str">
        <f t="shared" si="194"/>
        <v>03324</v>
      </c>
    </row>
    <row r="2460" spans="1:14" x14ac:dyDescent="0.3">
      <c r="A2460" s="1">
        <v>3325</v>
      </c>
      <c r="B2460" s="7" t="s">
        <v>3060</v>
      </c>
      <c r="C2460" s="12">
        <v>5959</v>
      </c>
      <c r="D2460" s="7" t="s">
        <v>3683</v>
      </c>
      <c r="E2460" s="13" t="s">
        <v>1657</v>
      </c>
      <c r="F2460" t="str">
        <f t="shared" si="190"/>
        <v>Bissonnet</v>
      </c>
      <c r="G2460" t="str">
        <f t="shared" si="191"/>
        <v>Bissonnet5959Houston</v>
      </c>
      <c r="H2460" t="s">
        <v>33318</v>
      </c>
      <c r="I2460" t="s">
        <v>24743</v>
      </c>
      <c r="J2460" t="str">
        <f t="shared" si="192"/>
        <v>E:\PropInv\MF</v>
      </c>
      <c r="K2460" s="103" t="str">
        <f>HYPERLINK("E:\PropInv\MF\Houston\Bissonnet_5959_Cherry Cove_Houston_03325","Bissonnet_5959_Cherry Cove_Houston_03325" )</f>
        <v>Bissonnet_5959_Cherry Cove_Houston_03325</v>
      </c>
      <c r="L2460" s="104" t="s">
        <v>22253</v>
      </c>
      <c r="M2460" s="103" t="str">
        <f t="shared" si="193"/>
        <v>http://oconnordata.com/mlink/modules/profile/index.cfm?action=profile&amp;prop_id=3325</v>
      </c>
      <c r="N2460" s="1" t="str">
        <f t="shared" si="194"/>
        <v>03325</v>
      </c>
    </row>
    <row r="2461" spans="1:14" x14ac:dyDescent="0.3">
      <c r="A2461" s="1">
        <v>3326</v>
      </c>
      <c r="B2461" s="7" t="s">
        <v>3684</v>
      </c>
      <c r="C2461" s="12">
        <v>6815</v>
      </c>
      <c r="D2461" s="7" t="s">
        <v>3685</v>
      </c>
      <c r="E2461" s="13" t="s">
        <v>1657</v>
      </c>
      <c r="F2461" t="str">
        <f t="shared" si="190"/>
        <v>Academy</v>
      </c>
      <c r="G2461" t="str">
        <f t="shared" si="191"/>
        <v>Academy6815Houston</v>
      </c>
      <c r="H2461" t="s">
        <v>33319</v>
      </c>
      <c r="I2461" t="s">
        <v>24744</v>
      </c>
      <c r="J2461" t="str">
        <f t="shared" si="192"/>
        <v>E:\PropInv\MF</v>
      </c>
      <c r="K2461" s="103" t="str">
        <f>HYPERLINK("E:\PropInv\MF\Houston\Academy_6815_Morgan Manor_Houston_03326","Academy_6815_Morgan Manor_Houston_03326" )</f>
        <v>Academy_6815_Morgan Manor_Houston_03326</v>
      </c>
      <c r="L2461" s="104" t="s">
        <v>22253</v>
      </c>
      <c r="M2461" s="103" t="str">
        <f t="shared" si="193"/>
        <v>http://oconnordata.com/mlink/modules/profile/index.cfm?action=profile&amp;prop_id=3326</v>
      </c>
      <c r="N2461" s="1" t="str">
        <f t="shared" si="194"/>
        <v>03326</v>
      </c>
    </row>
    <row r="2462" spans="1:14" x14ac:dyDescent="0.3">
      <c r="A2462" s="1">
        <v>3328</v>
      </c>
      <c r="B2462" s="7" t="s">
        <v>892</v>
      </c>
      <c r="C2462" s="12">
        <v>4139</v>
      </c>
      <c r="D2462" s="7" t="s">
        <v>3686</v>
      </c>
      <c r="E2462" s="13" t="s">
        <v>1657</v>
      </c>
      <c r="F2462" t="str">
        <f t="shared" si="190"/>
        <v>Bellaire</v>
      </c>
      <c r="G2462" t="str">
        <f t="shared" si="191"/>
        <v>Bellaire4139Houston</v>
      </c>
      <c r="H2462" t="s">
        <v>33320</v>
      </c>
      <c r="I2462" t="s">
        <v>24745</v>
      </c>
      <c r="J2462" t="str">
        <f t="shared" si="192"/>
        <v>E:\PropInv\MF</v>
      </c>
      <c r="K2462" s="103" t="str">
        <f>HYPERLINK("E:\PropInv\MF\Houston\Bellaire_4139_Blair House_Houston_03328","Bellaire_4139_Blair House_Houston_03328" )</f>
        <v>Bellaire_4139_Blair House_Houston_03328</v>
      </c>
      <c r="L2462" s="104" t="s">
        <v>22253</v>
      </c>
      <c r="M2462" s="103" t="str">
        <f t="shared" si="193"/>
        <v>http://oconnordata.com/mlink/modules/profile/index.cfm?action=profile&amp;prop_id=3328</v>
      </c>
      <c r="N2462" s="1" t="str">
        <f t="shared" si="194"/>
        <v>03328</v>
      </c>
    </row>
    <row r="2463" spans="1:14" x14ac:dyDescent="0.3">
      <c r="A2463" s="1">
        <v>3333</v>
      </c>
      <c r="B2463" s="7" t="s">
        <v>3371</v>
      </c>
      <c r="C2463" s="12">
        <v>4600</v>
      </c>
      <c r="D2463" s="7" t="s">
        <v>3687</v>
      </c>
      <c r="E2463" s="13" t="s">
        <v>1657</v>
      </c>
      <c r="F2463" t="str">
        <f t="shared" si="190"/>
        <v>Beechnut</v>
      </c>
      <c r="G2463" t="str">
        <f t="shared" si="191"/>
        <v>Beechnut4600Houston</v>
      </c>
      <c r="H2463" t="s">
        <v>33321</v>
      </c>
      <c r="I2463" t="s">
        <v>24746</v>
      </c>
      <c r="J2463" t="str">
        <f t="shared" si="192"/>
        <v>E:\PropInv\MF</v>
      </c>
      <c r="K2463" s="103" t="str">
        <f>HYPERLINK("E:\PropInv\MF\Houston\Beechnut_4600_Meyer Oaks_Houston_03333","Beechnut_4600_Meyer Oaks_Houston_03333" )</f>
        <v>Beechnut_4600_Meyer Oaks_Houston_03333</v>
      </c>
      <c r="L2463" s="104" t="s">
        <v>22253</v>
      </c>
      <c r="M2463" s="103" t="str">
        <f t="shared" si="193"/>
        <v>http://oconnordata.com/mlink/modules/profile/index.cfm?action=profile&amp;prop_id=3333</v>
      </c>
      <c r="N2463" s="1" t="str">
        <f t="shared" si="194"/>
        <v>03333</v>
      </c>
    </row>
    <row r="2464" spans="1:14" x14ac:dyDescent="0.3">
      <c r="A2464" s="1">
        <v>3334</v>
      </c>
      <c r="B2464" s="7" t="s">
        <v>3688</v>
      </c>
      <c r="C2464" s="12">
        <v>4605</v>
      </c>
      <c r="D2464" s="7" t="s">
        <v>3689</v>
      </c>
      <c r="E2464" s="13" t="s">
        <v>1657</v>
      </c>
      <c r="F2464" t="str">
        <f t="shared" si="190"/>
        <v>Braeswood</v>
      </c>
      <c r="G2464" t="str">
        <f t="shared" si="191"/>
        <v>Braeswood4605Houston</v>
      </c>
      <c r="H2464" t="s">
        <v>33322</v>
      </c>
      <c r="I2464" t="s">
        <v>24747</v>
      </c>
      <c r="J2464" t="str">
        <f t="shared" si="192"/>
        <v>E:\PropInv\MF</v>
      </c>
      <c r="K2464" s="103" t="str">
        <f>HYPERLINK("E:\PropInv\MF\Houston\Braeswood N_4605_Meyergrove_Houston_03334","Braeswood N_4605_Meyergrove_Houston_03334" )</f>
        <v>Braeswood N_4605_Meyergrove_Houston_03334</v>
      </c>
      <c r="L2464" s="104" t="s">
        <v>22253</v>
      </c>
      <c r="M2464" s="103" t="str">
        <f t="shared" si="193"/>
        <v>http://oconnordata.com/mlink/modules/profile/index.cfm?action=profile&amp;prop_id=3334</v>
      </c>
      <c r="N2464" s="1" t="str">
        <f t="shared" si="194"/>
        <v>03334</v>
      </c>
    </row>
    <row r="2465" spans="1:14" x14ac:dyDescent="0.3">
      <c r="A2465" s="1">
        <v>3335</v>
      </c>
      <c r="B2465" s="7" t="s">
        <v>3688</v>
      </c>
      <c r="C2465" s="12">
        <v>5900</v>
      </c>
      <c r="D2465" s="7" t="s">
        <v>3690</v>
      </c>
      <c r="E2465" s="13" t="s">
        <v>1657</v>
      </c>
      <c r="F2465" t="str">
        <f t="shared" si="190"/>
        <v>Braeswood</v>
      </c>
      <c r="G2465" t="str">
        <f t="shared" si="191"/>
        <v>Braeswood5900Houston</v>
      </c>
      <c r="H2465" t="s">
        <v>33323</v>
      </c>
      <c r="I2465" t="s">
        <v>24748</v>
      </c>
      <c r="J2465" t="str">
        <f t="shared" si="192"/>
        <v>E:\PropInv\MF</v>
      </c>
      <c r="K2465" s="103" t="str">
        <f>HYPERLINK("E:\PropInv\MF\Houston\Braeswood N_5900_Crossing at Berkley Square_Houston_03335","Braeswood N_5900_Crossing at Berkley Square_Houston_03335" )</f>
        <v>Braeswood N_5900_Crossing at Berkley Square_Houston_03335</v>
      </c>
      <c r="L2465" s="104" t="s">
        <v>22253</v>
      </c>
      <c r="M2465" s="103" t="str">
        <f t="shared" si="193"/>
        <v>http://oconnordata.com/mlink/modules/profile/index.cfm?action=profile&amp;prop_id=3335</v>
      </c>
      <c r="N2465" s="1" t="str">
        <f t="shared" si="194"/>
        <v>03335</v>
      </c>
    </row>
    <row r="2466" spans="1:14" x14ac:dyDescent="0.3">
      <c r="A2466" s="1">
        <v>3336</v>
      </c>
      <c r="B2466" s="7" t="s">
        <v>3691</v>
      </c>
      <c r="C2466" s="12">
        <v>9600</v>
      </c>
      <c r="D2466" s="7" t="s">
        <v>3692</v>
      </c>
      <c r="E2466" s="13" t="s">
        <v>1657</v>
      </c>
      <c r="F2466" t="str">
        <f t="shared" si="190"/>
        <v>Glenfield</v>
      </c>
      <c r="G2466" t="str">
        <f t="shared" si="191"/>
        <v>Glenfield9600Houston</v>
      </c>
      <c r="H2466" t="s">
        <v>33324</v>
      </c>
      <c r="I2466" t="s">
        <v>24749</v>
      </c>
      <c r="J2466" t="str">
        <f t="shared" si="192"/>
        <v>E:\PropInv\MF</v>
      </c>
      <c r="K2466" s="103" t="str">
        <f>HYPERLINK("E:\PropInv\MF\Houston\Glenfield_9600_Falls of Maplewood_Houston_03336","Glenfield_9600_Falls of Maplewood_Houston_03336" )</f>
        <v>Glenfield_9600_Falls of Maplewood_Houston_03336</v>
      </c>
      <c r="L2466" s="104" t="s">
        <v>22253</v>
      </c>
      <c r="M2466" s="103" t="str">
        <f t="shared" si="193"/>
        <v>http://oconnordata.com/mlink/modules/profile/index.cfm?action=profile&amp;prop_id=3336</v>
      </c>
      <c r="N2466" s="1" t="str">
        <f t="shared" si="194"/>
        <v>03336</v>
      </c>
    </row>
    <row r="2467" spans="1:14" x14ac:dyDescent="0.3">
      <c r="A2467" s="1">
        <v>3337</v>
      </c>
      <c r="B2467" s="7" t="s">
        <v>3693</v>
      </c>
      <c r="C2467" s="12">
        <v>9700</v>
      </c>
      <c r="D2467" s="7" t="s">
        <v>3694</v>
      </c>
      <c r="E2467" s="13" t="s">
        <v>1657</v>
      </c>
      <c r="F2467" t="str">
        <f t="shared" si="190"/>
        <v>Glenfield</v>
      </c>
      <c r="G2467" t="str">
        <f t="shared" si="191"/>
        <v>Glenfield9700Houston</v>
      </c>
      <c r="H2467" t="s">
        <v>33325</v>
      </c>
      <c r="I2467" t="s">
        <v>24750</v>
      </c>
      <c r="J2467" t="str">
        <f t="shared" si="192"/>
        <v>E:\PropInv\MF</v>
      </c>
      <c r="K2467" s="103" t="str">
        <f>HYPERLINK("E:\PropInv\MF\Houston\Glenfield Ct_9700_Meyerland Court_Houston_03337","Glenfield Ct_9700_Meyerland Court_Houston_03337" )</f>
        <v>Glenfield Ct_9700_Meyerland Court_Houston_03337</v>
      </c>
      <c r="L2467" s="104" t="s">
        <v>22253</v>
      </c>
      <c r="M2467" s="103" t="str">
        <f t="shared" si="193"/>
        <v>http://oconnordata.com/mlink/modules/profile/index.cfm?action=profile&amp;prop_id=3337</v>
      </c>
      <c r="N2467" s="1" t="str">
        <f t="shared" si="194"/>
        <v>03337</v>
      </c>
    </row>
    <row r="2468" spans="1:14" x14ac:dyDescent="0.3">
      <c r="A2468" s="1">
        <v>3341</v>
      </c>
      <c r="B2468" s="7" t="s">
        <v>3695</v>
      </c>
      <c r="C2468" s="12">
        <v>6924</v>
      </c>
      <c r="D2468" s="7" t="s">
        <v>1451</v>
      </c>
      <c r="E2468" s="13" t="s">
        <v>1657</v>
      </c>
      <c r="F2468" t="str">
        <f t="shared" si="190"/>
        <v>Stella</v>
      </c>
      <c r="G2468" t="str">
        <f t="shared" si="191"/>
        <v>Stella6924Houston</v>
      </c>
      <c r="H2468" t="s">
        <v>33326</v>
      </c>
      <c r="I2468" t="s">
        <v>24751</v>
      </c>
      <c r="J2468" t="str">
        <f t="shared" si="192"/>
        <v>E:\PropInv\MF</v>
      </c>
      <c r="K2468" s="103" t="str">
        <f>HYPERLINK("E:\PropInv\MF\Houston\Stella Link_6924_Villa Fontana_Houston_03341","Stella Link_6924_Villa Fontana_Houston_03341" )</f>
        <v>Stella Link_6924_Villa Fontana_Houston_03341</v>
      </c>
      <c r="L2468" s="104" t="s">
        <v>22253</v>
      </c>
      <c r="M2468" s="103" t="str">
        <f t="shared" si="193"/>
        <v>http://oconnordata.com/mlink/modules/profile/index.cfm?action=profile&amp;prop_id=3341</v>
      </c>
      <c r="N2468" s="1" t="str">
        <f t="shared" si="194"/>
        <v>03341</v>
      </c>
    </row>
    <row r="2469" spans="1:14" x14ac:dyDescent="0.3">
      <c r="A2469" s="1">
        <v>3346</v>
      </c>
      <c r="B2469" s="7" t="s">
        <v>1080</v>
      </c>
      <c r="C2469" s="12">
        <v>7000</v>
      </c>
      <c r="D2469" s="7" t="s">
        <v>3696</v>
      </c>
      <c r="E2469" s="13" t="s">
        <v>1657</v>
      </c>
      <c r="F2469" t="str">
        <f t="shared" si="190"/>
        <v>Greenbriar</v>
      </c>
      <c r="G2469" t="str">
        <f t="shared" si="191"/>
        <v>Greenbriar7000Houston</v>
      </c>
      <c r="H2469" t="s">
        <v>33327</v>
      </c>
      <c r="I2469" t="s">
        <v>24752</v>
      </c>
      <c r="J2469" t="str">
        <f t="shared" si="192"/>
        <v>E:\PropInv\MF</v>
      </c>
      <c r="K2469" s="103" t="str">
        <f>HYPERLINK("E:\PropInv\MF\Houston\Greenbriar_7000_Greenbriar Bend_Houston_03346","Greenbriar_7000_Greenbriar Bend_Houston_03346" )</f>
        <v>Greenbriar_7000_Greenbriar Bend_Houston_03346</v>
      </c>
      <c r="L2469" s="104" t="s">
        <v>22253</v>
      </c>
      <c r="M2469" s="103" t="str">
        <f t="shared" si="193"/>
        <v>http://oconnordata.com/mlink/modules/profile/index.cfm?action=profile&amp;prop_id=3346</v>
      </c>
      <c r="N2469" s="1" t="str">
        <f t="shared" si="194"/>
        <v>03346</v>
      </c>
    </row>
    <row r="2470" spans="1:14" x14ac:dyDescent="0.3">
      <c r="A2470" s="1">
        <v>3347</v>
      </c>
      <c r="B2470" s="7" t="s">
        <v>3697</v>
      </c>
      <c r="C2470" s="12" t="s">
        <v>3698</v>
      </c>
      <c r="D2470" s="7" t="s">
        <v>3699</v>
      </c>
      <c r="E2470" s="13" t="s">
        <v>1657</v>
      </c>
      <c r="F2470" t="str">
        <f t="shared" si="190"/>
        <v>Bellefontaine</v>
      </c>
      <c r="G2470" t="str">
        <f t="shared" si="191"/>
        <v>Bellefontaine4025-4031Houston</v>
      </c>
      <c r="H2470" t="s">
        <v>33328</v>
      </c>
      <c r="I2470" t="s">
        <v>24753</v>
      </c>
      <c r="J2470" t="str">
        <f t="shared" si="192"/>
        <v>E:\PropInv\MF</v>
      </c>
      <c r="K2470" s="103" t="str">
        <f>HYPERLINK("E:\PropInv\MF\Houston\Bellefontaine_4025-4031_Fredoric_Houston_03347","Bellefontaine_4025-4031_Fredoric_Houston_03347" )</f>
        <v>Bellefontaine_4025-4031_Fredoric_Houston_03347</v>
      </c>
      <c r="L2470" s="104" t="s">
        <v>22253</v>
      </c>
      <c r="M2470" s="103" t="str">
        <f t="shared" si="193"/>
        <v>http://oconnordata.com/mlink/modules/profile/index.cfm?action=profile&amp;prop_id=3347</v>
      </c>
      <c r="N2470" s="1" t="str">
        <f t="shared" si="194"/>
        <v>03347</v>
      </c>
    </row>
    <row r="2471" spans="1:14" x14ac:dyDescent="0.3">
      <c r="A2471" s="1">
        <v>3350</v>
      </c>
      <c r="B2471" s="7" t="s">
        <v>3700</v>
      </c>
      <c r="C2471" s="12">
        <v>7500</v>
      </c>
      <c r="D2471" s="7" t="s">
        <v>3701</v>
      </c>
      <c r="E2471" s="13" t="s">
        <v>1657</v>
      </c>
      <c r="F2471" t="str">
        <f t="shared" si="190"/>
        <v>Kirby</v>
      </c>
      <c r="G2471" t="str">
        <f t="shared" si="191"/>
        <v>Kirby7500Houston</v>
      </c>
      <c r="H2471" t="s">
        <v>33329</v>
      </c>
      <c r="I2471" t="s">
        <v>24754</v>
      </c>
      <c r="J2471" t="str">
        <f t="shared" si="192"/>
        <v>E:\PropInv\MF</v>
      </c>
      <c r="K2471" s="103" t="str">
        <f>HYPERLINK("E:\PropInv\MF\Houston\Kirby_7500_Kirby Place_Houston_03350","Kirby_7500_Kirby Place_Houston_03350" )</f>
        <v>Kirby_7500_Kirby Place_Houston_03350</v>
      </c>
      <c r="L2471" s="104" t="s">
        <v>22253</v>
      </c>
      <c r="M2471" s="103" t="str">
        <f t="shared" si="193"/>
        <v>http://oconnordata.com/mlink/modules/profile/index.cfm?action=profile&amp;prop_id=3350</v>
      </c>
      <c r="N2471" s="1" t="str">
        <f t="shared" si="194"/>
        <v>03350</v>
      </c>
    </row>
    <row r="2472" spans="1:14" x14ac:dyDescent="0.3">
      <c r="A2472" s="1">
        <v>3351</v>
      </c>
      <c r="B2472" s="7" t="s">
        <v>3700</v>
      </c>
      <c r="C2472" s="12">
        <v>7550</v>
      </c>
      <c r="D2472" s="7" t="s">
        <v>3702</v>
      </c>
      <c r="E2472" s="13" t="s">
        <v>1657</v>
      </c>
      <c r="F2472" t="str">
        <f t="shared" si="190"/>
        <v>Kirby</v>
      </c>
      <c r="G2472" t="str">
        <f t="shared" si="191"/>
        <v>Kirby7550Houston</v>
      </c>
      <c r="H2472" t="s">
        <v>33330</v>
      </c>
      <c r="I2472" t="s">
        <v>24755</v>
      </c>
      <c r="J2472" t="str">
        <f t="shared" si="192"/>
        <v>E:\PropInv\MF</v>
      </c>
      <c r="K2472" s="103" t="str">
        <f>HYPERLINK("E:\PropInv\MF\Houston\Kirby_7550_Arcadian Kirby_Houston_03351","Kirby_7550_Arcadian Kirby_Houston_03351" )</f>
        <v>Kirby_7550_Arcadian Kirby_Houston_03351</v>
      </c>
      <c r="L2472" s="104" t="s">
        <v>22253</v>
      </c>
      <c r="M2472" s="103" t="str">
        <f t="shared" si="193"/>
        <v>http://oconnordata.com/mlink/modules/profile/index.cfm?action=profile&amp;prop_id=3351</v>
      </c>
      <c r="N2472" s="1" t="str">
        <f t="shared" si="194"/>
        <v>03351</v>
      </c>
    </row>
    <row r="2473" spans="1:14" x14ac:dyDescent="0.3">
      <c r="A2473" s="1">
        <v>3354</v>
      </c>
      <c r="B2473" s="7" t="s">
        <v>3703</v>
      </c>
      <c r="C2473" s="12">
        <v>9701</v>
      </c>
      <c r="D2473" s="7" t="s">
        <v>3704</v>
      </c>
      <c r="E2473" s="13" t="s">
        <v>1657</v>
      </c>
      <c r="F2473" t="str">
        <f t="shared" si="190"/>
        <v>Meyer</v>
      </c>
      <c r="G2473" t="str">
        <f t="shared" si="191"/>
        <v>Meyer9701Houston</v>
      </c>
      <c r="H2473" t="s">
        <v>33331</v>
      </c>
      <c r="I2473" t="s">
        <v>24756</v>
      </c>
      <c r="J2473" t="str">
        <f t="shared" si="192"/>
        <v>E:\PropInv\MF</v>
      </c>
      <c r="K2473" s="103" t="str">
        <f>HYPERLINK("E:\PropInv\MF\Houston\Meyer Forest Dr_9701_Meyer Park (I)_Houston_03354","Meyer Forest Dr_9701_Meyer Park (I)_Houston_03354" )</f>
        <v>Meyer Forest Dr_9701_Meyer Park (I)_Houston_03354</v>
      </c>
      <c r="L2473" s="104" t="s">
        <v>22253</v>
      </c>
      <c r="M2473" s="103" t="str">
        <f t="shared" si="193"/>
        <v>http://oconnordata.com/mlink/modules/profile/index.cfm?action=profile&amp;prop_id=3354</v>
      </c>
      <c r="N2473" s="1" t="str">
        <f t="shared" si="194"/>
        <v>03354</v>
      </c>
    </row>
    <row r="2474" spans="1:14" x14ac:dyDescent="0.3">
      <c r="A2474" s="1">
        <v>3355</v>
      </c>
      <c r="B2474" s="7" t="s">
        <v>3705</v>
      </c>
      <c r="C2474" s="12">
        <v>3810</v>
      </c>
      <c r="D2474" s="7" t="s">
        <v>3706</v>
      </c>
      <c r="E2474" s="13" t="s">
        <v>1657</v>
      </c>
      <c r="F2474" t="str">
        <f t="shared" si="190"/>
        <v>Law</v>
      </c>
      <c r="G2474" t="str">
        <f t="shared" si="191"/>
        <v>Law3810Houston</v>
      </c>
      <c r="H2474" t="s">
        <v>33332</v>
      </c>
      <c r="I2474" t="s">
        <v>24757</v>
      </c>
      <c r="J2474" t="str">
        <f t="shared" si="192"/>
        <v>E:\PropInv\MF</v>
      </c>
      <c r="K2474" s="103" t="str">
        <f>HYPERLINK("E:\PropInv\MF\Houston\Law St_3810_Courts at West University_Houston_03355","Law St_3810_Courts at West University_Houston_03355" )</f>
        <v>Law St_3810_Courts at West University_Houston_03355</v>
      </c>
      <c r="L2474" s="104" t="s">
        <v>22253</v>
      </c>
      <c r="M2474" s="103" t="str">
        <f t="shared" si="193"/>
        <v>http://oconnordata.com/mlink/modules/profile/index.cfm?action=profile&amp;prop_id=3355</v>
      </c>
      <c r="N2474" s="1" t="str">
        <f t="shared" si="194"/>
        <v>03355</v>
      </c>
    </row>
    <row r="2475" spans="1:14" x14ac:dyDescent="0.3">
      <c r="A2475" s="1">
        <v>3359</v>
      </c>
      <c r="B2475" s="7" t="s">
        <v>3707</v>
      </c>
      <c r="C2475" s="12">
        <v>2415</v>
      </c>
      <c r="D2475" s="7" t="s">
        <v>3708</v>
      </c>
      <c r="E2475" s="13" t="s">
        <v>1657</v>
      </c>
      <c r="F2475" t="str">
        <f t="shared" si="190"/>
        <v>Tangley</v>
      </c>
      <c r="G2475" t="str">
        <f t="shared" si="191"/>
        <v>Tangley2415Houston</v>
      </c>
      <c r="H2475" t="s">
        <v>33333</v>
      </c>
      <c r="I2475" t="s">
        <v>24758</v>
      </c>
      <c r="J2475" t="str">
        <f t="shared" si="192"/>
        <v>E:\PropInv\MF</v>
      </c>
      <c r="K2475" s="103" t="str">
        <f>HYPERLINK("E:\PropInv\MF\Houston\Tangley_2415_Village_Houston_03359","Tangley_2415_Village_Houston_03359" )</f>
        <v>Tangley_2415_Village_Houston_03359</v>
      </c>
      <c r="L2475" s="104" t="s">
        <v>22253</v>
      </c>
      <c r="M2475" s="103" t="str">
        <f t="shared" si="193"/>
        <v>http://oconnordata.com/mlink/modules/profile/index.cfm?action=profile&amp;prop_id=3359</v>
      </c>
      <c r="N2475" s="1" t="str">
        <f t="shared" si="194"/>
        <v>03359</v>
      </c>
    </row>
    <row r="2476" spans="1:14" x14ac:dyDescent="0.3">
      <c r="A2476" s="1">
        <v>3361</v>
      </c>
      <c r="B2476" s="7" t="s">
        <v>3709</v>
      </c>
      <c r="C2476" s="12">
        <v>10600</v>
      </c>
      <c r="D2476" s="7" t="s">
        <v>3710</v>
      </c>
      <c r="E2476" s="13" t="s">
        <v>1657</v>
      </c>
      <c r="F2476" t="str">
        <f t="shared" si="190"/>
        <v>Post</v>
      </c>
      <c r="G2476" t="str">
        <f t="shared" si="191"/>
        <v>Post10600Houston</v>
      </c>
      <c r="H2476" t="s">
        <v>33334</v>
      </c>
      <c r="I2476" t="s">
        <v>24759</v>
      </c>
      <c r="J2476" t="str">
        <f t="shared" si="192"/>
        <v>E:\PropInv\MF</v>
      </c>
      <c r="K2476" s="103" t="str">
        <f>HYPERLINK("E:\PropInv\MF\Houston\Post Oak S_10600_Glen Willow_Houston_03361","Post Oak S_10600_Glen Willow_Houston_03361" )</f>
        <v>Post Oak S_10600_Glen Willow_Houston_03361</v>
      </c>
      <c r="L2476" s="104" t="s">
        <v>22253</v>
      </c>
      <c r="M2476" s="103" t="str">
        <f t="shared" si="193"/>
        <v>http://oconnordata.com/mlink/modules/profile/index.cfm?action=profile&amp;prop_id=3361</v>
      </c>
      <c r="N2476" s="1" t="str">
        <f t="shared" si="194"/>
        <v>03361</v>
      </c>
    </row>
    <row r="2477" spans="1:14" x14ac:dyDescent="0.3">
      <c r="A2477" s="1">
        <v>3363</v>
      </c>
      <c r="B2477" s="7" t="s">
        <v>3711</v>
      </c>
      <c r="C2477" s="12">
        <v>10841</v>
      </c>
      <c r="D2477" s="7" t="s">
        <v>3712</v>
      </c>
      <c r="E2477" s="13" t="s">
        <v>1657</v>
      </c>
      <c r="F2477" t="str">
        <f t="shared" si="190"/>
        <v>Greenwillow</v>
      </c>
      <c r="G2477" t="str">
        <f t="shared" si="191"/>
        <v>Greenwillow10841Houston</v>
      </c>
      <c r="H2477" t="s">
        <v>33335</v>
      </c>
      <c r="I2477" t="s">
        <v>24760</v>
      </c>
      <c r="J2477" t="str">
        <f t="shared" si="192"/>
        <v>E:\PropInv\MF</v>
      </c>
      <c r="K2477" s="103" t="str">
        <f>HYPERLINK("E:\PropInv\MF\Houston\Greenwillow St_10841_Willow Gardens_Houston_03363","Greenwillow St_10841_Willow Gardens_Houston_03363" )</f>
        <v>Greenwillow St_10841_Willow Gardens_Houston_03363</v>
      </c>
      <c r="L2477" s="104" t="s">
        <v>22253</v>
      </c>
      <c r="M2477" s="103" t="str">
        <f t="shared" si="193"/>
        <v>http://oconnordata.com/mlink/modules/profile/index.cfm?action=profile&amp;prop_id=3363</v>
      </c>
      <c r="N2477" s="1" t="str">
        <f t="shared" si="194"/>
        <v>03363</v>
      </c>
    </row>
    <row r="2478" spans="1:14" x14ac:dyDescent="0.3">
      <c r="A2478" s="1">
        <v>3367</v>
      </c>
      <c r="B2478" s="7" t="s">
        <v>3012</v>
      </c>
      <c r="C2478" s="12">
        <v>7171</v>
      </c>
      <c r="D2478" s="7" t="s">
        <v>3713</v>
      </c>
      <c r="E2478" s="13" t="s">
        <v>1657</v>
      </c>
      <c r="F2478" t="str">
        <f t="shared" si="190"/>
        <v>Buffalo</v>
      </c>
      <c r="G2478" t="str">
        <f t="shared" si="191"/>
        <v>Buffalo7171Houston</v>
      </c>
      <c r="H2478" t="s">
        <v>33336</v>
      </c>
      <c r="I2478" t="s">
        <v>24761</v>
      </c>
      <c r="J2478" t="str">
        <f t="shared" si="192"/>
        <v>E:\PropInv\MF</v>
      </c>
      <c r="K2478" s="103" t="str">
        <f>HYPERLINK("E:\PropInv\MF\Houston\Buffalo Spdwy_7171_Camden Vanderbilt I_Houston_03367","Buffalo Spdwy_7171_Camden Vanderbilt I_Houston_03367" )</f>
        <v>Buffalo Spdwy_7171_Camden Vanderbilt I_Houston_03367</v>
      </c>
      <c r="L2478" s="104" t="s">
        <v>22253</v>
      </c>
      <c r="M2478" s="103" t="str">
        <f t="shared" si="193"/>
        <v>http://oconnordata.com/mlink/modules/profile/index.cfm?action=profile&amp;prop_id=3367</v>
      </c>
      <c r="N2478" s="1" t="str">
        <f t="shared" si="194"/>
        <v>03367</v>
      </c>
    </row>
    <row r="2479" spans="1:14" x14ac:dyDescent="0.3">
      <c r="A2479" s="1">
        <v>3370</v>
      </c>
      <c r="B2479" s="7" t="s">
        <v>3714</v>
      </c>
      <c r="C2479" s="12">
        <v>7315</v>
      </c>
      <c r="D2479" s="7" t="s">
        <v>3715</v>
      </c>
      <c r="E2479" s="13" t="s">
        <v>1657</v>
      </c>
      <c r="F2479" t="str">
        <f t="shared" si="190"/>
        <v>Brompton</v>
      </c>
      <c r="G2479" t="str">
        <f t="shared" si="191"/>
        <v>Brompton7315Houston</v>
      </c>
      <c r="H2479" t="s">
        <v>33337</v>
      </c>
      <c r="I2479" t="s">
        <v>24762</v>
      </c>
      <c r="J2479" t="str">
        <f t="shared" si="192"/>
        <v>E:\PropInv\MF</v>
      </c>
      <c r="K2479" s="103" t="str">
        <f>HYPERLINK("E:\PropInv\MF\Houston\Brompton_7315_Berkshires on Brompton_Houston_03370","Brompton_7315_Berkshires on Brompton_Houston_03370" )</f>
        <v>Brompton_7315_Berkshires on Brompton_Houston_03370</v>
      </c>
      <c r="L2479" s="104" t="s">
        <v>22253</v>
      </c>
      <c r="M2479" s="103" t="str">
        <f t="shared" si="193"/>
        <v>http://oconnordata.com/mlink/modules/profile/index.cfm?action=profile&amp;prop_id=3370</v>
      </c>
      <c r="N2479" s="1" t="str">
        <f t="shared" si="194"/>
        <v>03370</v>
      </c>
    </row>
    <row r="2480" spans="1:14" x14ac:dyDescent="0.3">
      <c r="A2480" s="1">
        <v>3371</v>
      </c>
      <c r="B2480" s="7" t="s">
        <v>3716</v>
      </c>
      <c r="C2480" s="12">
        <v>7510</v>
      </c>
      <c r="D2480" s="7" t="s">
        <v>3717</v>
      </c>
      <c r="E2480" s="13" t="s">
        <v>1657</v>
      </c>
      <c r="F2480" t="str">
        <f t="shared" si="190"/>
        <v>Brompton</v>
      </c>
      <c r="G2480" t="str">
        <f t="shared" si="191"/>
        <v>Brompton7510Houston</v>
      </c>
      <c r="H2480" t="s">
        <v>33338</v>
      </c>
      <c r="I2480" t="s">
        <v>24763</v>
      </c>
      <c r="J2480" t="str">
        <f t="shared" si="192"/>
        <v>E:\PropInv\MF</v>
      </c>
      <c r="K2480" s="103" t="str">
        <f>HYPERLINK("E:\PropInv\MF\Houston\Brompton Rd #514_7510_Brompton Court_Houston_03371","Brompton Rd #514_7510_Brompton Court_Houston_03371" )</f>
        <v>Brompton Rd #514_7510_Brompton Court_Houston_03371</v>
      </c>
      <c r="L2480" s="104" t="s">
        <v>22253</v>
      </c>
      <c r="M2480" s="103" t="str">
        <f t="shared" si="193"/>
        <v>http://oconnordata.com/mlink/modules/profile/index.cfm?action=profile&amp;prop_id=3371</v>
      </c>
      <c r="N2480" s="1" t="str">
        <f t="shared" si="194"/>
        <v>03371</v>
      </c>
    </row>
    <row r="2481" spans="1:14" x14ac:dyDescent="0.3">
      <c r="A2481" s="1">
        <v>3372</v>
      </c>
      <c r="B2481" s="7" t="s">
        <v>3718</v>
      </c>
      <c r="C2481" s="12">
        <v>2222</v>
      </c>
      <c r="D2481" s="7" t="s">
        <v>3719</v>
      </c>
      <c r="E2481" s="13" t="s">
        <v>1657</v>
      </c>
      <c r="F2481" t="str">
        <f t="shared" si="190"/>
        <v>Maroneal</v>
      </c>
      <c r="G2481" t="str">
        <f t="shared" si="191"/>
        <v>Maroneal2222Houston</v>
      </c>
      <c r="H2481" t="s">
        <v>33339</v>
      </c>
      <c r="I2481" t="s">
        <v>24764</v>
      </c>
      <c r="J2481" t="str">
        <f t="shared" si="192"/>
        <v>E:\PropInv\MF</v>
      </c>
      <c r="K2481" s="103" t="str">
        <f>HYPERLINK("E:\PropInv\MF\Houston\Maroneal_2222_The Maroneal_Houston_03372","Maroneal_2222_The Maroneal_Houston_03372" )</f>
        <v>Maroneal_2222_The Maroneal_Houston_03372</v>
      </c>
      <c r="L2481" s="104" t="s">
        <v>22253</v>
      </c>
      <c r="M2481" s="103" t="str">
        <f t="shared" si="193"/>
        <v>http://oconnordata.com/mlink/modules/profile/index.cfm?action=profile&amp;prop_id=3372</v>
      </c>
      <c r="N2481" s="1" t="str">
        <f t="shared" si="194"/>
        <v>03372</v>
      </c>
    </row>
    <row r="2482" spans="1:14" x14ac:dyDescent="0.3">
      <c r="A2482" s="1">
        <v>3373</v>
      </c>
      <c r="B2482" s="7" t="s">
        <v>3720</v>
      </c>
      <c r="C2482" s="12">
        <v>2210</v>
      </c>
      <c r="D2482" s="7" t="s">
        <v>3721</v>
      </c>
      <c r="E2482" s="13" t="s">
        <v>1657</v>
      </c>
      <c r="F2482" t="str">
        <f t="shared" si="190"/>
        <v>Dorrington</v>
      </c>
      <c r="G2482" t="str">
        <f t="shared" si="191"/>
        <v>Dorrington2210Houston</v>
      </c>
      <c r="H2482" t="s">
        <v>33340</v>
      </c>
      <c r="I2482" t="s">
        <v>24765</v>
      </c>
      <c r="J2482" t="str">
        <f t="shared" si="192"/>
        <v>E:\PropInv\MF</v>
      </c>
      <c r="K2482" s="103" t="str">
        <f>HYPERLINK("E:\PropInv\MF\Houston\Dorrington_2210_Montclair_Houston_03373","Dorrington_2210_Montclair_Houston_03373" )</f>
        <v>Dorrington_2210_Montclair_Houston_03373</v>
      </c>
      <c r="L2482" s="104" t="s">
        <v>22253</v>
      </c>
      <c r="M2482" s="103" t="str">
        <f t="shared" si="193"/>
        <v>http://oconnordata.com/mlink/modules/profile/index.cfm?action=profile&amp;prop_id=3373</v>
      </c>
      <c r="N2482" s="1" t="str">
        <f t="shared" si="194"/>
        <v>03373</v>
      </c>
    </row>
    <row r="2483" spans="1:14" x14ac:dyDescent="0.3">
      <c r="A2483" s="1">
        <v>3375</v>
      </c>
      <c r="B2483" s="7" t="s">
        <v>3722</v>
      </c>
      <c r="C2483" s="12">
        <v>4045</v>
      </c>
      <c r="D2483" s="7" t="s">
        <v>3723</v>
      </c>
      <c r="E2483" s="13" t="s">
        <v>1657</v>
      </c>
      <c r="F2483" t="str">
        <f t="shared" si="190"/>
        <v>Linkwood</v>
      </c>
      <c r="G2483" t="str">
        <f t="shared" si="191"/>
        <v>Linkwood4045Houston</v>
      </c>
      <c r="H2483" t="s">
        <v>33341</v>
      </c>
      <c r="I2483" t="s">
        <v>24766</v>
      </c>
      <c r="J2483" t="str">
        <f t="shared" si="192"/>
        <v>E:\PropInv\MF</v>
      </c>
      <c r="K2483" s="103" t="str">
        <f>HYPERLINK("E:\PropInv\MF\Houston\Linkwood_4045_Stratford House II_Houston_03375","Linkwood_4045_Stratford House II_Houston_03375" )</f>
        <v>Linkwood_4045_Stratford House II_Houston_03375</v>
      </c>
      <c r="L2483" s="104" t="s">
        <v>22253</v>
      </c>
      <c r="M2483" s="103" t="str">
        <f t="shared" si="193"/>
        <v>http://oconnordata.com/mlink/modules/profile/index.cfm?action=profile&amp;prop_id=3375</v>
      </c>
      <c r="N2483" s="1" t="str">
        <f t="shared" si="194"/>
        <v>03375</v>
      </c>
    </row>
    <row r="2484" spans="1:14" x14ac:dyDescent="0.3">
      <c r="A2484" s="1">
        <v>3376</v>
      </c>
      <c r="B2484" s="7" t="s">
        <v>3724</v>
      </c>
      <c r="C2484" s="12">
        <v>8410</v>
      </c>
      <c r="D2484" s="7" t="s">
        <v>3725</v>
      </c>
      <c r="E2484" s="13" t="s">
        <v>1657</v>
      </c>
      <c r="F2484" t="str">
        <f t="shared" si="190"/>
        <v>Bartell</v>
      </c>
      <c r="G2484" t="str">
        <f t="shared" si="191"/>
        <v>Bartell8410Houston</v>
      </c>
      <c r="H2484" t="s">
        <v>33342</v>
      </c>
      <c r="I2484" t="s">
        <v>24767</v>
      </c>
      <c r="J2484" t="str">
        <f t="shared" si="192"/>
        <v>E:\PropInv\MF</v>
      </c>
      <c r="K2484" s="103" t="str">
        <f>HYPERLINK("E:\PropInv\MF\Houston\Bartell Dr W_8410_Ashley Park_Houston_03376","Bartell Dr W_8410_Ashley Park_Houston_03376" )</f>
        <v>Bartell Dr W_8410_Ashley Park_Houston_03376</v>
      </c>
      <c r="L2484" s="104" t="s">
        <v>22253</v>
      </c>
      <c r="M2484" s="103" t="str">
        <f t="shared" si="193"/>
        <v>http://oconnordata.com/mlink/modules/profile/index.cfm?action=profile&amp;prop_id=3376</v>
      </c>
      <c r="N2484" s="1" t="str">
        <f t="shared" si="194"/>
        <v>03376</v>
      </c>
    </row>
    <row r="2485" spans="1:14" x14ac:dyDescent="0.3">
      <c r="A2485" s="1">
        <v>3377</v>
      </c>
      <c r="B2485" s="7" t="s">
        <v>3726</v>
      </c>
      <c r="C2485" s="12">
        <v>8715</v>
      </c>
      <c r="D2485" s="7" t="s">
        <v>3727</v>
      </c>
      <c r="E2485" s="13" t="s">
        <v>1657</v>
      </c>
      <c r="F2485" t="str">
        <f t="shared" si="190"/>
        <v>Timberside</v>
      </c>
      <c r="G2485" t="str">
        <f t="shared" si="191"/>
        <v>Timberside8715Houston</v>
      </c>
      <c r="H2485" t="s">
        <v>33343</v>
      </c>
      <c r="I2485" t="s">
        <v>24768</v>
      </c>
      <c r="J2485" t="str">
        <f t="shared" si="192"/>
        <v>E:\PropInv\MF</v>
      </c>
      <c r="K2485" s="103" t="str">
        <f>HYPERLINK("E:\PropInv\MF\Houston\Timberside Dr_8715_Braes Manor_Houston_03377","Timberside Dr_8715_Braes Manor_Houston_03377" )</f>
        <v>Timberside Dr_8715_Braes Manor_Houston_03377</v>
      </c>
      <c r="L2485" s="104" t="s">
        <v>22253</v>
      </c>
      <c r="M2485" s="103" t="str">
        <f t="shared" si="193"/>
        <v>http://oconnordata.com/mlink/modules/profile/index.cfm?action=profile&amp;prop_id=3377</v>
      </c>
      <c r="N2485" s="1" t="str">
        <f t="shared" si="194"/>
        <v>03377</v>
      </c>
    </row>
    <row r="2486" spans="1:14" x14ac:dyDescent="0.3">
      <c r="A2486" s="1">
        <v>3378</v>
      </c>
      <c r="B2486" s="7" t="s">
        <v>3728</v>
      </c>
      <c r="C2486" s="12">
        <v>2700</v>
      </c>
      <c r="D2486" s="7" t="s">
        <v>3729</v>
      </c>
      <c r="E2486" s="13" t="s">
        <v>1657</v>
      </c>
      <c r="F2486" t="str">
        <f t="shared" si="190"/>
        <v>Westridge</v>
      </c>
      <c r="G2486" t="str">
        <f t="shared" si="191"/>
        <v>Westridge2700Houston</v>
      </c>
      <c r="H2486" t="s">
        <v>33344</v>
      </c>
      <c r="I2486" t="s">
        <v>24769</v>
      </c>
      <c r="J2486" t="str">
        <f t="shared" si="192"/>
        <v>E:\PropInv\MF</v>
      </c>
      <c r="K2486" s="103" t="str">
        <f>HYPERLINK("E:\PropInv\MF\Houston\Westridge_2700_Ridgepoint_Houston_03378","Westridge_2700_Ridgepoint_Houston_03378" )</f>
        <v>Westridge_2700_Ridgepoint_Houston_03378</v>
      </c>
      <c r="L2486" s="104" t="s">
        <v>22253</v>
      </c>
      <c r="M2486" s="103" t="str">
        <f t="shared" si="193"/>
        <v>http://oconnordata.com/mlink/modules/profile/index.cfm?action=profile&amp;prop_id=3378</v>
      </c>
      <c r="N2486" s="1" t="str">
        <f t="shared" si="194"/>
        <v>03378</v>
      </c>
    </row>
    <row r="2487" spans="1:14" x14ac:dyDescent="0.3">
      <c r="A2487" s="1">
        <v>3379</v>
      </c>
      <c r="B2487" s="7" t="s">
        <v>3730</v>
      </c>
      <c r="C2487" s="12">
        <v>2686</v>
      </c>
      <c r="D2487" s="7" t="s">
        <v>3731</v>
      </c>
      <c r="E2487" s="13" t="s">
        <v>1657</v>
      </c>
      <c r="F2487" t="str">
        <f t="shared" si="190"/>
        <v>Murworth</v>
      </c>
      <c r="G2487" t="str">
        <f t="shared" si="191"/>
        <v>Murworth2686Houston</v>
      </c>
      <c r="H2487" t="s">
        <v>33345</v>
      </c>
      <c r="I2487" t="s">
        <v>24770</v>
      </c>
      <c r="J2487" t="str">
        <f t="shared" si="192"/>
        <v>E:\PropInv\MF</v>
      </c>
      <c r="K2487" s="103" t="str">
        <f>HYPERLINK("E:\PropInv\MF\Houston\Murworth_2686_Wilshire Park_Houston_03379","Murworth_2686_Wilshire Park_Houston_03379" )</f>
        <v>Murworth_2686_Wilshire Park_Houston_03379</v>
      </c>
      <c r="L2487" s="104" t="s">
        <v>22253</v>
      </c>
      <c r="M2487" s="103" t="str">
        <f t="shared" si="193"/>
        <v>http://oconnordata.com/mlink/modules/profile/index.cfm?action=profile&amp;prop_id=3379</v>
      </c>
      <c r="N2487" s="1" t="str">
        <f t="shared" si="194"/>
        <v>03379</v>
      </c>
    </row>
    <row r="2488" spans="1:14" x14ac:dyDescent="0.3">
      <c r="A2488" s="1">
        <v>3382</v>
      </c>
      <c r="B2488" s="7" t="s">
        <v>3688</v>
      </c>
      <c r="C2488" s="12">
        <v>3822</v>
      </c>
      <c r="D2488" s="7" t="s">
        <v>3732</v>
      </c>
      <c r="E2488" s="13" t="s">
        <v>1657</v>
      </c>
      <c r="F2488" t="str">
        <f t="shared" si="190"/>
        <v>Braeswood</v>
      </c>
      <c r="G2488" t="str">
        <f t="shared" si="191"/>
        <v>Braeswood3822Houston</v>
      </c>
      <c r="H2488" t="s">
        <v>33346</v>
      </c>
      <c r="I2488" t="s">
        <v>24771</v>
      </c>
      <c r="J2488" t="str">
        <f t="shared" si="192"/>
        <v>E:\PropInv\MF</v>
      </c>
      <c r="K2488" s="103" t="str">
        <f>HYPERLINK("E:\PropInv\MF\Houston\Braeswood N_3822_Gardens of Braeswood_Houston_03382","Braeswood N_3822_Gardens of Braeswood_Houston_03382" )</f>
        <v>Braeswood N_3822_Gardens of Braeswood_Houston_03382</v>
      </c>
      <c r="L2488" s="104" t="s">
        <v>22253</v>
      </c>
      <c r="M2488" s="103" t="str">
        <f t="shared" si="193"/>
        <v>http://oconnordata.com/mlink/modules/profile/index.cfm?action=profile&amp;prop_id=3382</v>
      </c>
      <c r="N2488" s="1" t="str">
        <f t="shared" si="194"/>
        <v>03382</v>
      </c>
    </row>
    <row r="2489" spans="1:14" x14ac:dyDescent="0.3">
      <c r="A2489" s="1">
        <v>3383</v>
      </c>
      <c r="B2489" s="7" t="s">
        <v>3562</v>
      </c>
      <c r="C2489" s="12">
        <v>4155</v>
      </c>
      <c r="D2489" s="7" t="s">
        <v>3733</v>
      </c>
      <c r="E2489" s="13" t="s">
        <v>1657</v>
      </c>
      <c r="F2489" t="str">
        <f t="shared" si="190"/>
        <v>Braeswood</v>
      </c>
      <c r="G2489" t="str">
        <f t="shared" si="191"/>
        <v>Braeswood4155Houston</v>
      </c>
      <c r="H2489" t="s">
        <v>33347</v>
      </c>
      <c r="I2489" t="s">
        <v>24772</v>
      </c>
      <c r="J2489" t="str">
        <f t="shared" si="192"/>
        <v>E:\PropInv\MF</v>
      </c>
      <c r="K2489" s="103" t="str">
        <f>HYPERLINK("E:\PropInv\MF\Houston\Braeswood S_4155_Carlton House_Houston_03383","Braeswood S_4155_Carlton House_Houston_03383" )</f>
        <v>Braeswood S_4155_Carlton House_Houston_03383</v>
      </c>
      <c r="L2489" s="104" t="s">
        <v>22253</v>
      </c>
      <c r="M2489" s="103" t="str">
        <f t="shared" si="193"/>
        <v>http://oconnordata.com/mlink/modules/profile/index.cfm?action=profile&amp;prop_id=3383</v>
      </c>
      <c r="N2489" s="1" t="str">
        <f t="shared" si="194"/>
        <v>03383</v>
      </c>
    </row>
    <row r="2490" spans="1:14" x14ac:dyDescent="0.3">
      <c r="A2490" s="1">
        <v>3384</v>
      </c>
      <c r="B2490" s="7" t="s">
        <v>3722</v>
      </c>
      <c r="C2490" s="12">
        <v>4010</v>
      </c>
      <c r="D2490" s="7" t="s">
        <v>3734</v>
      </c>
      <c r="E2490" s="13" t="s">
        <v>1657</v>
      </c>
      <c r="F2490" t="str">
        <f t="shared" si="190"/>
        <v>Linkwood</v>
      </c>
      <c r="G2490" t="str">
        <f t="shared" si="191"/>
        <v>Linkwood4010Houston</v>
      </c>
      <c r="H2490" t="s">
        <v>33348</v>
      </c>
      <c r="I2490" t="s">
        <v>24773</v>
      </c>
      <c r="J2490" t="str">
        <f t="shared" si="192"/>
        <v>E:\PropInv\MF</v>
      </c>
      <c r="K2490" s="103" t="str">
        <f>HYPERLINK("E:\PropInv\MF\Houston\Linkwood_4010_Stratford House I_Houston_03384","Linkwood_4010_Stratford House I_Houston_03384" )</f>
        <v>Linkwood_4010_Stratford House I_Houston_03384</v>
      </c>
      <c r="L2490" s="104" t="s">
        <v>22253</v>
      </c>
      <c r="M2490" s="103" t="str">
        <f t="shared" si="193"/>
        <v>http://oconnordata.com/mlink/modules/profile/index.cfm?action=profile&amp;prop_id=3384</v>
      </c>
      <c r="N2490" s="1" t="str">
        <f t="shared" si="194"/>
        <v>03384</v>
      </c>
    </row>
    <row r="2491" spans="1:14" x14ac:dyDescent="0.3">
      <c r="A2491" s="1">
        <v>3390</v>
      </c>
      <c r="B2491" s="7" t="s">
        <v>3688</v>
      </c>
      <c r="C2491" s="12">
        <v>4141</v>
      </c>
      <c r="D2491" s="7" t="s">
        <v>3735</v>
      </c>
      <c r="E2491" s="13" t="s">
        <v>1657</v>
      </c>
      <c r="F2491" t="str">
        <f t="shared" si="190"/>
        <v>Braeswood</v>
      </c>
      <c r="G2491" t="str">
        <f t="shared" si="191"/>
        <v>Braeswood4141Houston</v>
      </c>
      <c r="H2491" t="s">
        <v>33349</v>
      </c>
      <c r="I2491" t="s">
        <v>24774</v>
      </c>
      <c r="J2491" t="str">
        <f t="shared" si="192"/>
        <v>E:\PropInv\MF</v>
      </c>
      <c r="K2491" s="103" t="str">
        <f>HYPERLINK("E:\PropInv\MF\Houston\Braeswood N_4141_Rutledge_Houston_03390","Braeswood N_4141_Rutledge_Houston_03390" )</f>
        <v>Braeswood N_4141_Rutledge_Houston_03390</v>
      </c>
      <c r="L2491" s="104" t="s">
        <v>22253</v>
      </c>
      <c r="M2491" s="103" t="str">
        <f t="shared" si="193"/>
        <v>http://oconnordata.com/mlink/modules/profile/index.cfm?action=profile&amp;prop_id=3390</v>
      </c>
      <c r="N2491" s="1" t="str">
        <f t="shared" si="194"/>
        <v>03390</v>
      </c>
    </row>
    <row r="2492" spans="1:14" x14ac:dyDescent="0.3">
      <c r="A2492" s="1">
        <v>3392</v>
      </c>
      <c r="B2492" s="7" t="s">
        <v>3700</v>
      </c>
      <c r="C2492" s="12">
        <v>7600</v>
      </c>
      <c r="D2492" s="7" t="s">
        <v>3736</v>
      </c>
      <c r="E2492" s="13" t="s">
        <v>1657</v>
      </c>
      <c r="F2492" t="str">
        <f t="shared" si="190"/>
        <v>Kirby</v>
      </c>
      <c r="G2492" t="str">
        <f t="shared" si="191"/>
        <v>Kirby7600Houston</v>
      </c>
      <c r="H2492" t="s">
        <v>33350</v>
      </c>
      <c r="I2492" t="s">
        <v>24775</v>
      </c>
      <c r="J2492" t="str">
        <f t="shared" si="192"/>
        <v>E:\PropInv\MF</v>
      </c>
      <c r="K2492" s="103" t="str">
        <f>HYPERLINK("E:\PropInv\MF\Houston\Kirby_7600_The Crossing on Kirby_Houston_03392","Kirby_7600_The Crossing on Kirby_Houston_03392" )</f>
        <v>Kirby_7600_The Crossing on Kirby_Houston_03392</v>
      </c>
      <c r="L2492" s="104" t="s">
        <v>22253</v>
      </c>
      <c r="M2492" s="103" t="str">
        <f t="shared" si="193"/>
        <v>http://oconnordata.com/mlink/modules/profile/index.cfm?action=profile&amp;prop_id=3392</v>
      </c>
      <c r="N2492" s="1" t="str">
        <f t="shared" si="194"/>
        <v>03392</v>
      </c>
    </row>
    <row r="2493" spans="1:14" x14ac:dyDescent="0.3">
      <c r="A2493" s="1">
        <v>3394</v>
      </c>
      <c r="B2493" s="7" t="s">
        <v>1080</v>
      </c>
      <c r="C2493" s="12">
        <v>7777</v>
      </c>
      <c r="D2493" s="7" t="s">
        <v>3737</v>
      </c>
      <c r="E2493" s="13" t="s">
        <v>1657</v>
      </c>
      <c r="F2493" t="str">
        <f t="shared" si="190"/>
        <v>Greenbriar</v>
      </c>
      <c r="G2493" t="str">
        <f t="shared" si="191"/>
        <v>Greenbriar7777Houston</v>
      </c>
      <c r="H2493" t="s">
        <v>33351</v>
      </c>
      <c r="I2493" t="s">
        <v>24776</v>
      </c>
      <c r="J2493" t="str">
        <f t="shared" si="192"/>
        <v>E:\PropInv\MF</v>
      </c>
      <c r="K2493" s="103" t="str">
        <f>HYPERLINK("E:\PropInv\MF\Houston\Greenbriar_7777_The Greenbriar_Houston_03394","Greenbriar_7777_The Greenbriar_Houston_03394" )</f>
        <v>Greenbriar_7777_The Greenbriar_Houston_03394</v>
      </c>
      <c r="L2493" s="104" t="s">
        <v>22253</v>
      </c>
      <c r="M2493" s="103" t="str">
        <f t="shared" si="193"/>
        <v>http://oconnordata.com/mlink/modules/profile/index.cfm?action=profile&amp;prop_id=3394</v>
      </c>
      <c r="N2493" s="1" t="str">
        <f t="shared" si="194"/>
        <v>03394</v>
      </c>
    </row>
    <row r="2494" spans="1:14" x14ac:dyDescent="0.3">
      <c r="A2494" s="1">
        <v>3400</v>
      </c>
      <c r="B2494" s="7" t="s">
        <v>3738</v>
      </c>
      <c r="C2494" s="9">
        <v>2801</v>
      </c>
      <c r="D2494" s="10" t="s">
        <v>3738</v>
      </c>
      <c r="E2494" s="11" t="s">
        <v>1657</v>
      </c>
      <c r="F2494" t="str">
        <f t="shared" si="190"/>
        <v>Broadmead</v>
      </c>
      <c r="G2494" t="str">
        <f t="shared" si="191"/>
        <v>Broadmead2801Houston</v>
      </c>
      <c r="H2494" t="s">
        <v>33352</v>
      </c>
      <c r="I2494" t="s">
        <v>24777</v>
      </c>
      <c r="J2494" t="str">
        <f t="shared" si="192"/>
        <v>E:\PropInv\MF</v>
      </c>
      <c r="K2494" s="103" t="str">
        <f>HYPERLINK("E:\PropInv\MF\Houston\Broadmead_2801_Broadmead_Houston_03400","Broadmead_2801_Broadmead_Houston_03400" )</f>
        <v>Broadmead_2801_Broadmead_Houston_03400</v>
      </c>
      <c r="L2494" s="104" t="s">
        <v>22253</v>
      </c>
      <c r="M2494" s="103" t="str">
        <f t="shared" si="193"/>
        <v>http://oconnordata.com/mlink/modules/profile/index.cfm?action=profile&amp;prop_id=3400</v>
      </c>
      <c r="N2494" s="1" t="str">
        <f t="shared" si="194"/>
        <v>03400</v>
      </c>
    </row>
    <row r="2495" spans="1:14" x14ac:dyDescent="0.3">
      <c r="A2495" s="1">
        <v>3402</v>
      </c>
      <c r="B2495" s="7" t="s">
        <v>3739</v>
      </c>
      <c r="C2495" s="9" t="s">
        <v>3740</v>
      </c>
      <c r="D2495" s="10" t="s">
        <v>3741</v>
      </c>
      <c r="E2495" s="11" t="s">
        <v>1657</v>
      </c>
      <c r="F2495" t="str">
        <f t="shared" si="190"/>
        <v>Ilona</v>
      </c>
      <c r="G2495" t="str">
        <f t="shared" si="191"/>
        <v>Ilona8814-8826Houston</v>
      </c>
      <c r="H2495" t="s">
        <v>33353</v>
      </c>
      <c r="I2495" t="s">
        <v>24778</v>
      </c>
      <c r="J2495" t="str">
        <f t="shared" si="192"/>
        <v>E:\PropInv\MF</v>
      </c>
      <c r="K2495" s="103" t="str">
        <f>HYPERLINK("E:\PropInv\MF\Houston\Ilona_8814-8826_Linkwood Park_Houston_03402","Ilona_8814-8826_Linkwood Park_Houston_03402" )</f>
        <v>Ilona_8814-8826_Linkwood Park_Houston_03402</v>
      </c>
      <c r="L2495" s="104" t="s">
        <v>22253</v>
      </c>
      <c r="M2495" s="103" t="str">
        <f t="shared" si="193"/>
        <v>http://oconnordata.com/mlink/modules/profile/index.cfm?action=profile&amp;prop_id=3402</v>
      </c>
      <c r="N2495" s="1" t="str">
        <f t="shared" si="194"/>
        <v>03402</v>
      </c>
    </row>
    <row r="2496" spans="1:14" x14ac:dyDescent="0.3">
      <c r="A2496" s="1">
        <v>3405</v>
      </c>
      <c r="B2496" s="10" t="s">
        <v>3562</v>
      </c>
      <c r="C2496" s="9">
        <v>1819</v>
      </c>
      <c r="D2496" s="10" t="s">
        <v>3742</v>
      </c>
      <c r="E2496" s="11" t="s">
        <v>1657</v>
      </c>
      <c r="F2496" t="str">
        <f t="shared" si="190"/>
        <v>Braeswood</v>
      </c>
      <c r="G2496" t="str">
        <f t="shared" si="191"/>
        <v>Braeswood1819Houston</v>
      </c>
      <c r="H2496" t="s">
        <v>33354</v>
      </c>
      <c r="I2496" t="s">
        <v>24779</v>
      </c>
      <c r="J2496" t="str">
        <f t="shared" si="192"/>
        <v>E:\PropInv\MF</v>
      </c>
      <c r="K2496" s="103" t="str">
        <f>HYPERLINK("E:\PropInv\MF\Houston\Braeswood S_1819_The Lanesborough_Houston_03405","Braeswood S_1819_The Lanesborough_Houston_03405" )</f>
        <v>Braeswood S_1819_The Lanesborough_Houston_03405</v>
      </c>
      <c r="L2496" s="104" t="s">
        <v>22253</v>
      </c>
      <c r="M2496" s="103" t="str">
        <f t="shared" si="193"/>
        <v>http://oconnordata.com/mlink/modules/profile/index.cfm?action=profile&amp;prop_id=3405</v>
      </c>
      <c r="N2496" s="1" t="str">
        <f t="shared" si="194"/>
        <v>03405</v>
      </c>
    </row>
    <row r="2497" spans="1:14" x14ac:dyDescent="0.3">
      <c r="A2497" s="1">
        <v>3406</v>
      </c>
      <c r="B2497" s="7" t="s">
        <v>3730</v>
      </c>
      <c r="C2497" s="12">
        <v>3000</v>
      </c>
      <c r="D2497" s="7" t="s">
        <v>3743</v>
      </c>
      <c r="E2497" s="13" t="s">
        <v>1657</v>
      </c>
      <c r="F2497" t="str">
        <f t="shared" si="190"/>
        <v>Murworth</v>
      </c>
      <c r="G2497" t="str">
        <f t="shared" si="191"/>
        <v>Murworth3000Houston</v>
      </c>
      <c r="H2497" t="s">
        <v>33355</v>
      </c>
      <c r="I2497" t="s">
        <v>24780</v>
      </c>
      <c r="J2497" t="str">
        <f t="shared" si="192"/>
        <v>E:\PropInv\MF</v>
      </c>
      <c r="K2497" s="103" t="str">
        <f>HYPERLINK("E:\PropInv\MF\Houston\Murworth_3000_Mainstream_Houston_03406","Murworth_3000_Mainstream_Houston_03406" )</f>
        <v>Murworth_3000_Mainstream_Houston_03406</v>
      </c>
      <c r="L2497" s="104" t="s">
        <v>22253</v>
      </c>
      <c r="M2497" s="103" t="str">
        <f t="shared" si="193"/>
        <v>http://oconnordata.com/mlink/modules/profile/index.cfm?action=profile&amp;prop_id=3406</v>
      </c>
      <c r="N2497" s="1" t="str">
        <f t="shared" si="194"/>
        <v>03406</v>
      </c>
    </row>
    <row r="2498" spans="1:14" x14ac:dyDescent="0.3">
      <c r="A2498" s="1">
        <v>3410</v>
      </c>
      <c r="B2498" s="7" t="s">
        <v>3562</v>
      </c>
      <c r="C2498" s="9">
        <v>4055</v>
      </c>
      <c r="D2498" s="10" t="s">
        <v>3744</v>
      </c>
      <c r="E2498" s="11" t="s">
        <v>1657</v>
      </c>
      <c r="F2498" t="str">
        <f t="shared" ref="F2498:F2561" si="195">IFERROR(LEFT(B2498,FIND(" ",B2498)-1),B2498)</f>
        <v>Braeswood</v>
      </c>
      <c r="G2498" t="str">
        <f t="shared" ref="G2498:G2561" si="196">F2498&amp;C2498&amp;E2498</f>
        <v>Braeswood4055Houston</v>
      </c>
      <c r="H2498" t="s">
        <v>33356</v>
      </c>
      <c r="I2498" t="s">
        <v>24781</v>
      </c>
      <c r="J2498" t="str">
        <f t="shared" ref="J2498:J2561" si="197">IF(L2498="TX",Folder_Path,Folder_Path&amp;"\State_"&amp;L2498)</f>
        <v>E:\PropInv\MF</v>
      </c>
      <c r="K2498" s="103" t="str">
        <f>HYPERLINK("E:\PropInv\MF\Houston\Braeswood S_4055_Villa D'Orleans_Houston_03410","Braeswood S_4055_Villa D'Orleans_Houston_03410" )</f>
        <v>Braeswood S_4055_Villa D'Orleans_Houston_03410</v>
      </c>
      <c r="L2498" s="104" t="s">
        <v>22253</v>
      </c>
      <c r="M2498" s="103" t="str">
        <f t="shared" ref="M2498:M2561" si="198">HYPERLINK("http://oconnordata.com/mlink/modules/profile/index.cfm?action=profile&amp;prop_id="&amp;A2498)</f>
        <v>http://oconnordata.com/mlink/modules/profile/index.cfm?action=profile&amp;prop_id=3410</v>
      </c>
      <c r="N2498" s="1" t="str">
        <f t="shared" ref="N2498:N2561" si="199">IF(LEN(A2498)=1,"0000"&amp;A2498,IF(LEN(A2498)=2,"000"&amp;A2498,IF(LEN(A2498)=3,"00"&amp;A2498,IF(LEN(A2498)=4,"0"&amp;A2498,IF(LEN(A2498)=5,IF(LEFT(A2498,1)="3",A2498+30000,A2498))))))</f>
        <v>03410</v>
      </c>
    </row>
    <row r="2499" spans="1:14" x14ac:dyDescent="0.3">
      <c r="A2499" s="1">
        <v>3414</v>
      </c>
      <c r="B2499" s="7" t="s">
        <v>3745</v>
      </c>
      <c r="C2499" s="9">
        <v>2111</v>
      </c>
      <c r="D2499" s="10" t="s">
        <v>3746</v>
      </c>
      <c r="E2499" s="11" t="s">
        <v>1657</v>
      </c>
      <c r="F2499" t="str">
        <f t="shared" si="195"/>
        <v>Holly</v>
      </c>
      <c r="G2499" t="str">
        <f t="shared" si="196"/>
        <v>Holly2111Houston</v>
      </c>
      <c r="H2499" t="s">
        <v>33357</v>
      </c>
      <c r="I2499" t="s">
        <v>24782</v>
      </c>
      <c r="J2499" t="str">
        <f t="shared" si="197"/>
        <v>E:\PropInv\MF</v>
      </c>
      <c r="K2499" s="103" t="str">
        <f>HYPERLINK("E:\PropInv\MF\Houston\Holly Hall_2111_Twenty One Eleven Holly Hall_Houston_03414","Holly Hall_2111_Twenty One Eleven Holly Hall_Houston_03414" )</f>
        <v>Holly Hall_2111_Twenty One Eleven Holly Hall_Houston_03414</v>
      </c>
      <c r="L2499" s="104" t="s">
        <v>22253</v>
      </c>
      <c r="M2499" s="103" t="str">
        <f t="shared" si="198"/>
        <v>http://oconnordata.com/mlink/modules/profile/index.cfm?action=profile&amp;prop_id=3414</v>
      </c>
      <c r="N2499" s="1" t="str">
        <f t="shared" si="199"/>
        <v>03414</v>
      </c>
    </row>
    <row r="2500" spans="1:14" x14ac:dyDescent="0.3">
      <c r="A2500" s="1">
        <v>3415</v>
      </c>
      <c r="B2500" s="7" t="s">
        <v>3745</v>
      </c>
      <c r="C2500" s="12">
        <v>2250</v>
      </c>
      <c r="D2500" s="7" t="s">
        <v>3747</v>
      </c>
      <c r="E2500" s="13" t="s">
        <v>1657</v>
      </c>
      <c r="F2500" t="str">
        <f t="shared" si="195"/>
        <v>Holly</v>
      </c>
      <c r="G2500" t="str">
        <f t="shared" si="196"/>
        <v>Holly2250Houston</v>
      </c>
      <c r="H2500" t="s">
        <v>33358</v>
      </c>
      <c r="I2500" t="s">
        <v>24783</v>
      </c>
      <c r="J2500" t="str">
        <f t="shared" si="197"/>
        <v>E:\PropInv\MF</v>
      </c>
      <c r="K2500" s="103" t="str">
        <f>HYPERLINK("E:\PropInv\MF\Houston\Holly Hall_2250_Scotland Yard I_Houston_03415","Holly Hall_2250_Scotland Yard I_Houston_03415" )</f>
        <v>Holly Hall_2250_Scotland Yard I_Houston_03415</v>
      </c>
      <c r="L2500" s="104" t="s">
        <v>22253</v>
      </c>
      <c r="M2500" s="103" t="str">
        <f t="shared" si="198"/>
        <v>http://oconnordata.com/mlink/modules/profile/index.cfm?action=profile&amp;prop_id=3415</v>
      </c>
      <c r="N2500" s="1" t="str">
        <f t="shared" si="199"/>
        <v>03415</v>
      </c>
    </row>
    <row r="2501" spans="1:14" x14ac:dyDescent="0.3">
      <c r="A2501" s="1">
        <v>3418</v>
      </c>
      <c r="B2501" s="7" t="s">
        <v>3695</v>
      </c>
      <c r="C2501" s="12">
        <v>9701</v>
      </c>
      <c r="D2501" s="7" t="s">
        <v>3748</v>
      </c>
      <c r="E2501" s="13" t="s">
        <v>1657</v>
      </c>
      <c r="F2501" t="str">
        <f t="shared" si="195"/>
        <v>Stella</v>
      </c>
      <c r="G2501" t="str">
        <f t="shared" si="196"/>
        <v>Stella9701Houston</v>
      </c>
      <c r="H2501" t="s">
        <v>33359</v>
      </c>
      <c r="I2501" t="s">
        <v>24784</v>
      </c>
      <c r="J2501" t="str">
        <f t="shared" si="197"/>
        <v>E:\PropInv\MF</v>
      </c>
      <c r="K2501" s="103" t="str">
        <f>HYPERLINK("E:\PropInv\MF\Houston\Stella Link_9701_Royale Apts_Houston_03418","Stella Link_9701_Royale Apts_Houston_03418" )</f>
        <v>Stella Link_9701_Royale Apts_Houston_03418</v>
      </c>
      <c r="L2501" s="104" t="s">
        <v>22253</v>
      </c>
      <c r="M2501" s="103" t="str">
        <f t="shared" si="198"/>
        <v>http://oconnordata.com/mlink/modules/profile/index.cfm?action=profile&amp;prop_id=3418</v>
      </c>
      <c r="N2501" s="1" t="str">
        <f t="shared" si="199"/>
        <v>03418</v>
      </c>
    </row>
    <row r="2502" spans="1:14" x14ac:dyDescent="0.3">
      <c r="A2502" s="1">
        <v>3420</v>
      </c>
      <c r="B2502" s="7" t="s">
        <v>3728</v>
      </c>
      <c r="C2502" s="12">
        <v>2401</v>
      </c>
      <c r="D2502" s="7" t="s">
        <v>3749</v>
      </c>
      <c r="E2502" s="13" t="s">
        <v>1657</v>
      </c>
      <c r="F2502" t="str">
        <f t="shared" si="195"/>
        <v>Westridge</v>
      </c>
      <c r="G2502" t="str">
        <f t="shared" si="196"/>
        <v>Westridge2401Houston</v>
      </c>
      <c r="H2502" t="s">
        <v>33360</v>
      </c>
      <c r="I2502" t="s">
        <v>24785</v>
      </c>
      <c r="J2502" t="str">
        <f t="shared" si="197"/>
        <v>E:\PropInv\MF</v>
      </c>
      <c r="K2502" s="103" t="str">
        <f>HYPERLINK("E:\PropInv\MF\Houston\Westridge_2401_Villages of Westridge_Houston_03420","Westridge_2401_Villages of Westridge_Houston_03420" )</f>
        <v>Westridge_2401_Villages of Westridge_Houston_03420</v>
      </c>
      <c r="L2502" s="104" t="s">
        <v>22253</v>
      </c>
      <c r="M2502" s="103" t="str">
        <f t="shared" si="198"/>
        <v>http://oconnordata.com/mlink/modules/profile/index.cfm?action=profile&amp;prop_id=3420</v>
      </c>
      <c r="N2502" s="1" t="str">
        <f t="shared" si="199"/>
        <v>03420</v>
      </c>
    </row>
    <row r="2503" spans="1:14" x14ac:dyDescent="0.3">
      <c r="A2503" s="1">
        <v>3421</v>
      </c>
      <c r="B2503" s="7" t="s">
        <v>3728</v>
      </c>
      <c r="C2503" s="12">
        <v>2501</v>
      </c>
      <c r="D2503" s="7" t="s">
        <v>3750</v>
      </c>
      <c r="E2503" s="13" t="s">
        <v>1657</v>
      </c>
      <c r="F2503" t="str">
        <f t="shared" si="195"/>
        <v>Westridge</v>
      </c>
      <c r="G2503" t="str">
        <f t="shared" si="196"/>
        <v>Westridge2501Houston</v>
      </c>
      <c r="H2503" t="s">
        <v>33361</v>
      </c>
      <c r="I2503" t="s">
        <v>24786</v>
      </c>
      <c r="J2503" t="str">
        <f t="shared" si="197"/>
        <v>E:\PropInv\MF</v>
      </c>
      <c r="K2503" s="103" t="str">
        <f>HYPERLINK("E:\PropInv\MF\Houston\Westridge_2501_Westridge Gardens_Houston_03421","Westridge_2501_Westridge Gardens_Houston_03421" )</f>
        <v>Westridge_2501_Westridge Gardens_Houston_03421</v>
      </c>
      <c r="L2503" s="104" t="s">
        <v>22253</v>
      </c>
      <c r="M2503" s="103" t="str">
        <f t="shared" si="198"/>
        <v>http://oconnordata.com/mlink/modules/profile/index.cfm?action=profile&amp;prop_id=3421</v>
      </c>
      <c r="N2503" s="1" t="str">
        <f t="shared" si="199"/>
        <v>03421</v>
      </c>
    </row>
    <row r="2504" spans="1:14" x14ac:dyDescent="0.3">
      <c r="A2504" s="1">
        <v>3422</v>
      </c>
      <c r="B2504" s="7" t="s">
        <v>3728</v>
      </c>
      <c r="C2504" s="12">
        <v>2600</v>
      </c>
      <c r="D2504" s="7" t="s">
        <v>3751</v>
      </c>
      <c r="E2504" s="13" t="s">
        <v>1657</v>
      </c>
      <c r="F2504" t="str">
        <f t="shared" si="195"/>
        <v>Westridge</v>
      </c>
      <c r="G2504" t="str">
        <f t="shared" si="196"/>
        <v>Westridge2600Houston</v>
      </c>
      <c r="H2504" t="s">
        <v>33362</v>
      </c>
      <c r="I2504" t="s">
        <v>24787</v>
      </c>
      <c r="J2504" t="str">
        <f t="shared" si="197"/>
        <v>E:\PropInv\MF</v>
      </c>
      <c r="K2504" s="103" t="str">
        <f>HYPERLINK("E:\PropInv\MF\Houston\Westridge_2600_Mainridge_Houston_03422","Westridge_2600_Mainridge_Houston_03422" )</f>
        <v>Westridge_2600_Mainridge_Houston_03422</v>
      </c>
      <c r="L2504" s="104" t="s">
        <v>22253</v>
      </c>
      <c r="M2504" s="103" t="str">
        <f t="shared" si="198"/>
        <v>http://oconnordata.com/mlink/modules/profile/index.cfm?action=profile&amp;prop_id=3422</v>
      </c>
      <c r="N2504" s="1" t="str">
        <f t="shared" si="199"/>
        <v>03422</v>
      </c>
    </row>
    <row r="2505" spans="1:14" x14ac:dyDescent="0.3">
      <c r="A2505" s="1">
        <v>3425</v>
      </c>
      <c r="B2505" s="7" t="s">
        <v>3752</v>
      </c>
      <c r="C2505" s="12">
        <v>3901</v>
      </c>
      <c r="D2505" s="7" t="s">
        <v>3753</v>
      </c>
      <c r="E2505" s="13" t="s">
        <v>1657</v>
      </c>
      <c r="F2505" t="str">
        <f t="shared" si="195"/>
        <v>O'Meara</v>
      </c>
      <c r="G2505" t="str">
        <f t="shared" si="196"/>
        <v>O'Meara3901Houston</v>
      </c>
      <c r="H2505" t="s">
        <v>33363</v>
      </c>
      <c r="I2505" t="s">
        <v>24788</v>
      </c>
      <c r="J2505" t="str">
        <f t="shared" si="197"/>
        <v>E:\PropInv\MF</v>
      </c>
      <c r="K2505" s="103" t="str">
        <f>HYPERLINK("E:\PropInv\MF\Houston\O'Meara_3901_Pine Terrace_Houston_03425","O'Meara_3901_Pine Terrace_Houston_03425" )</f>
        <v>O'Meara_3901_Pine Terrace_Houston_03425</v>
      </c>
      <c r="L2505" s="104" t="s">
        <v>22253</v>
      </c>
      <c r="M2505" s="103" t="str">
        <f t="shared" si="198"/>
        <v>http://oconnordata.com/mlink/modules/profile/index.cfm?action=profile&amp;prop_id=3425</v>
      </c>
      <c r="N2505" s="1" t="str">
        <f t="shared" si="199"/>
        <v>03425</v>
      </c>
    </row>
    <row r="2506" spans="1:14" x14ac:dyDescent="0.3">
      <c r="A2506" s="1">
        <v>3426</v>
      </c>
      <c r="B2506" s="7" t="s">
        <v>3754</v>
      </c>
      <c r="C2506" s="12">
        <v>3200</v>
      </c>
      <c r="D2506" s="7" t="s">
        <v>3755</v>
      </c>
      <c r="E2506" s="13" t="s">
        <v>1657</v>
      </c>
      <c r="F2506" t="str">
        <f t="shared" si="195"/>
        <v>MacGregor</v>
      </c>
      <c r="G2506" t="str">
        <f t="shared" si="196"/>
        <v>MacGregor3200Houston</v>
      </c>
      <c r="H2506" t="s">
        <v>33364</v>
      </c>
      <c r="I2506" t="s">
        <v>24789</v>
      </c>
      <c r="J2506" t="str">
        <f t="shared" si="197"/>
        <v>E:\PropInv\MF</v>
      </c>
      <c r="K2506" s="103" t="str">
        <f>HYPERLINK("E:\PropInv\MF\Houston\MacGregor N_3200_Bayou View Gardens_Houston_03426","MacGregor N_3200_Bayou View Gardens_Houston_03426" )</f>
        <v>MacGregor N_3200_Bayou View Gardens_Houston_03426</v>
      </c>
      <c r="L2506" s="104" t="s">
        <v>22253</v>
      </c>
      <c r="M2506" s="103" t="str">
        <f t="shared" si="198"/>
        <v>http://oconnordata.com/mlink/modules/profile/index.cfm?action=profile&amp;prop_id=3426</v>
      </c>
      <c r="N2506" s="1" t="str">
        <f t="shared" si="199"/>
        <v>03426</v>
      </c>
    </row>
    <row r="2507" spans="1:14" x14ac:dyDescent="0.3">
      <c r="A2507" s="1">
        <v>3428</v>
      </c>
      <c r="B2507" s="7" t="s">
        <v>3756</v>
      </c>
      <c r="C2507" s="12">
        <v>3501</v>
      </c>
      <c r="D2507" s="7" t="s">
        <v>3757</v>
      </c>
      <c r="E2507" s="13" t="s">
        <v>1657</v>
      </c>
      <c r="F2507" t="str">
        <f t="shared" si="195"/>
        <v>MacGregor</v>
      </c>
      <c r="G2507" t="str">
        <f t="shared" si="196"/>
        <v>MacGregor3501Houston</v>
      </c>
      <c r="H2507" t="s">
        <v>33365</v>
      </c>
      <c r="I2507" t="s">
        <v>24790</v>
      </c>
      <c r="J2507" t="str">
        <f t="shared" si="197"/>
        <v>E:\PropInv\MF</v>
      </c>
      <c r="K2507" s="103" t="str">
        <f>HYPERLINK("E:\PropInv\MF\Houston\MacGregor Way N_3501_Dynasty_Houston_03428","MacGregor Way N_3501_Dynasty_Houston_03428" )</f>
        <v>MacGregor Way N_3501_Dynasty_Houston_03428</v>
      </c>
      <c r="L2507" s="104" t="s">
        <v>22253</v>
      </c>
      <c r="M2507" s="103" t="str">
        <f t="shared" si="198"/>
        <v>http://oconnordata.com/mlink/modules/profile/index.cfm?action=profile&amp;prop_id=3428</v>
      </c>
      <c r="N2507" s="1" t="str">
        <f t="shared" si="199"/>
        <v>03428</v>
      </c>
    </row>
    <row r="2508" spans="1:14" x14ac:dyDescent="0.3">
      <c r="A2508" s="1">
        <v>3429</v>
      </c>
      <c r="B2508" s="7" t="s">
        <v>3425</v>
      </c>
      <c r="C2508" s="12">
        <v>4010</v>
      </c>
      <c r="D2508" s="7" t="s">
        <v>3758</v>
      </c>
      <c r="E2508" s="13" t="s">
        <v>1657</v>
      </c>
      <c r="F2508" t="str">
        <f t="shared" si="195"/>
        <v>Bellfort</v>
      </c>
      <c r="G2508" t="str">
        <f t="shared" si="196"/>
        <v>Bellfort4010Houston</v>
      </c>
      <c r="H2508" t="s">
        <v>33366</v>
      </c>
      <c r="I2508" t="s">
        <v>24791</v>
      </c>
      <c r="J2508" t="str">
        <f t="shared" si="197"/>
        <v>E:\PropInv\MF</v>
      </c>
      <c r="K2508" s="103" t="str">
        <f>HYPERLINK("E:\PropInv\MF\Houston\Bellfort W_4010_Louvre_Houston_03429","Bellfort W_4010_Louvre_Houston_03429" )</f>
        <v>Bellfort W_4010_Louvre_Houston_03429</v>
      </c>
      <c r="L2508" s="104" t="s">
        <v>22253</v>
      </c>
      <c r="M2508" s="103" t="str">
        <f t="shared" si="198"/>
        <v>http://oconnordata.com/mlink/modules/profile/index.cfm?action=profile&amp;prop_id=3429</v>
      </c>
      <c r="N2508" s="1" t="str">
        <f t="shared" si="199"/>
        <v>03429</v>
      </c>
    </row>
    <row r="2509" spans="1:14" x14ac:dyDescent="0.3">
      <c r="A2509" s="1">
        <v>3431</v>
      </c>
      <c r="B2509" s="7" t="s">
        <v>3759</v>
      </c>
      <c r="C2509" s="12">
        <v>4135</v>
      </c>
      <c r="D2509" s="7" t="s">
        <v>3760</v>
      </c>
      <c r="E2509" s="13" t="s">
        <v>1657</v>
      </c>
      <c r="F2509" t="str">
        <f t="shared" si="195"/>
        <v>Bellfort</v>
      </c>
      <c r="G2509" t="str">
        <f t="shared" si="196"/>
        <v>Bellfort4135Houston</v>
      </c>
      <c r="H2509" t="s">
        <v>33367</v>
      </c>
      <c r="I2509" t="s">
        <v>24792</v>
      </c>
      <c r="J2509" t="str">
        <f t="shared" si="197"/>
        <v>E:\PropInv\MF</v>
      </c>
      <c r="K2509" s="103" t="str">
        <f>HYPERLINK("E:\PropInv\MF\Houston\Bellfort #15 W_4135_Bellfort Park_Houston_03431","Bellfort #15 W_4135_Bellfort Park_Houston_03431" )</f>
        <v>Bellfort #15 W_4135_Bellfort Park_Houston_03431</v>
      </c>
      <c r="L2509" s="104" t="s">
        <v>22253</v>
      </c>
      <c r="M2509" s="103" t="str">
        <f t="shared" si="198"/>
        <v>http://oconnordata.com/mlink/modules/profile/index.cfm?action=profile&amp;prop_id=3431</v>
      </c>
      <c r="N2509" s="1" t="str">
        <f t="shared" si="199"/>
        <v>03431</v>
      </c>
    </row>
    <row r="2510" spans="1:14" x14ac:dyDescent="0.3">
      <c r="A2510" s="1">
        <v>3433</v>
      </c>
      <c r="B2510" s="7" t="s">
        <v>3761</v>
      </c>
      <c r="C2510" s="12" t="s">
        <v>3762</v>
      </c>
      <c r="D2510" s="7" t="s">
        <v>3763</v>
      </c>
      <c r="E2510" s="13" t="s">
        <v>1657</v>
      </c>
      <c r="F2510" t="str">
        <f t="shared" si="195"/>
        <v>Prospect</v>
      </c>
      <c r="G2510" t="str">
        <f t="shared" si="196"/>
        <v>Prospect1913-1941Houston</v>
      </c>
      <c r="H2510" t="s">
        <v>33368</v>
      </c>
      <c r="I2510" t="s">
        <v>24793</v>
      </c>
      <c r="J2510" t="str">
        <f t="shared" si="197"/>
        <v>E:\PropInv\MF</v>
      </c>
      <c r="K2510" s="103" t="str">
        <f>HYPERLINK("E:\PropInv\MF\Houston\Prospect St_1913-1941_Prospect Street_Houston_03433","Prospect St_1913-1941_Prospect Street_Houston_03433" )</f>
        <v>Prospect St_1913-1941_Prospect Street_Houston_03433</v>
      </c>
      <c r="L2510" s="104" t="s">
        <v>22253</v>
      </c>
      <c r="M2510" s="103" t="str">
        <f t="shared" si="198"/>
        <v>http://oconnordata.com/mlink/modules/profile/index.cfm?action=profile&amp;prop_id=3433</v>
      </c>
      <c r="N2510" s="1" t="str">
        <f t="shared" si="199"/>
        <v>03433</v>
      </c>
    </row>
    <row r="2511" spans="1:14" x14ac:dyDescent="0.3">
      <c r="A2511" s="1">
        <v>3434</v>
      </c>
      <c r="B2511" s="7" t="s">
        <v>3764</v>
      </c>
      <c r="C2511" s="12">
        <v>2601</v>
      </c>
      <c r="D2511" s="7" t="s">
        <v>3765</v>
      </c>
      <c r="E2511" s="13" t="s">
        <v>1657</v>
      </c>
      <c r="F2511" t="str">
        <f t="shared" si="195"/>
        <v>Riverside</v>
      </c>
      <c r="G2511" t="str">
        <f t="shared" si="196"/>
        <v>Riverside2601Houston</v>
      </c>
      <c r="H2511" t="s">
        <v>33369</v>
      </c>
      <c r="I2511" t="s">
        <v>24794</v>
      </c>
      <c r="J2511" t="str">
        <f t="shared" si="197"/>
        <v>E:\PropInv\MF</v>
      </c>
      <c r="K2511" s="103" t="str">
        <f>HYPERLINK("E:\PropInv\MF\Houston\Riverside_2601_The Park at Riverside_Houston_03434","Riverside_2601_The Park at Riverside_Houston_03434" )</f>
        <v>Riverside_2601_The Park at Riverside_Houston_03434</v>
      </c>
      <c r="L2511" s="104" t="s">
        <v>22253</v>
      </c>
      <c r="M2511" s="103" t="str">
        <f t="shared" si="198"/>
        <v>http://oconnordata.com/mlink/modules/profile/index.cfm?action=profile&amp;prop_id=3434</v>
      </c>
      <c r="N2511" s="1" t="str">
        <f t="shared" si="199"/>
        <v>03434</v>
      </c>
    </row>
    <row r="2512" spans="1:14" x14ac:dyDescent="0.3">
      <c r="A2512" s="1">
        <v>3435</v>
      </c>
      <c r="B2512" s="7" t="s">
        <v>3766</v>
      </c>
      <c r="C2512" s="12">
        <v>1800</v>
      </c>
      <c r="D2512" s="7" t="s">
        <v>3767</v>
      </c>
      <c r="E2512" s="13" t="s">
        <v>1657</v>
      </c>
      <c r="F2512" t="str">
        <f t="shared" si="195"/>
        <v>El</v>
      </c>
      <c r="G2512" t="str">
        <f t="shared" si="196"/>
        <v>El1800Houston</v>
      </c>
      <c r="H2512" t="s">
        <v>33370</v>
      </c>
      <c r="I2512" t="s">
        <v>24795</v>
      </c>
      <c r="J2512" t="str">
        <f t="shared" si="197"/>
        <v>E:\PropInv\MF</v>
      </c>
      <c r="K2512" s="103" t="str">
        <f>HYPERLINK("E:\PropInv\MF\Houston\El Paseo_1800_Parque View_Houston_03435","El Paseo_1800_Parque View_Houston_03435" )</f>
        <v>El Paseo_1800_Parque View_Houston_03435</v>
      </c>
      <c r="L2512" s="104" t="s">
        <v>22253</v>
      </c>
      <c r="M2512" s="103" t="str">
        <f t="shared" si="198"/>
        <v>http://oconnordata.com/mlink/modules/profile/index.cfm?action=profile&amp;prop_id=3435</v>
      </c>
      <c r="N2512" s="1" t="str">
        <f t="shared" si="199"/>
        <v>03435</v>
      </c>
    </row>
    <row r="2513" spans="1:14" x14ac:dyDescent="0.3">
      <c r="A2513" s="1">
        <v>3436</v>
      </c>
      <c r="B2513" s="7" t="s">
        <v>3143</v>
      </c>
      <c r="C2513" s="12">
        <v>8181</v>
      </c>
      <c r="D2513" s="7" t="s">
        <v>3768</v>
      </c>
      <c r="E2513" s="13" t="s">
        <v>1657</v>
      </c>
      <c r="F2513" t="str">
        <f t="shared" si="195"/>
        <v>Fannin</v>
      </c>
      <c r="G2513" t="str">
        <f t="shared" si="196"/>
        <v>Fannin8181Houston</v>
      </c>
      <c r="H2513" t="s">
        <v>33371</v>
      </c>
      <c r="I2513" t="s">
        <v>24796</v>
      </c>
      <c r="J2513" t="str">
        <f t="shared" si="197"/>
        <v>E:\PropInv\MF</v>
      </c>
      <c r="K2513" s="103" t="str">
        <f>HYPERLINK("E:\PropInv\MF\Houston\Fannin_8181_Fannin Street Station I_Houston_03436","Fannin_8181_Fannin Street Station I_Houston_03436" )</f>
        <v>Fannin_8181_Fannin Street Station I_Houston_03436</v>
      </c>
      <c r="L2513" s="104" t="s">
        <v>22253</v>
      </c>
      <c r="M2513" s="103" t="str">
        <f t="shared" si="198"/>
        <v>http://oconnordata.com/mlink/modules/profile/index.cfm?action=profile&amp;prop_id=3436</v>
      </c>
      <c r="N2513" s="1" t="str">
        <f t="shared" si="199"/>
        <v>03436</v>
      </c>
    </row>
    <row r="2514" spans="1:14" x14ac:dyDescent="0.3">
      <c r="A2514" s="1">
        <v>3437</v>
      </c>
      <c r="B2514" s="7" t="s">
        <v>3143</v>
      </c>
      <c r="C2514" s="12">
        <v>8181</v>
      </c>
      <c r="D2514" s="7" t="s">
        <v>3769</v>
      </c>
      <c r="E2514" s="13" t="s">
        <v>1657</v>
      </c>
      <c r="F2514" t="str">
        <f t="shared" si="195"/>
        <v>Fannin</v>
      </c>
      <c r="G2514" t="str">
        <f t="shared" si="196"/>
        <v>Fannin8181Houston</v>
      </c>
      <c r="H2514" t="s">
        <v>33372</v>
      </c>
      <c r="I2514" t="s">
        <v>24797</v>
      </c>
      <c r="J2514" t="str">
        <f t="shared" si="197"/>
        <v>E:\PropInv\MF</v>
      </c>
      <c r="K2514" s="103" t="str">
        <f>HYPERLINK("E:\PropInv\MF\Houston\Fannin_8181_Fannin Street Station II_Houston_03437","Fannin_8181_Fannin Street Station II_Houston_03437" )</f>
        <v>Fannin_8181_Fannin Street Station II_Houston_03437</v>
      </c>
      <c r="L2514" s="104" t="s">
        <v>22253</v>
      </c>
      <c r="M2514" s="103" t="str">
        <f t="shared" si="198"/>
        <v>http://oconnordata.com/mlink/modules/profile/index.cfm?action=profile&amp;prop_id=3437</v>
      </c>
      <c r="N2514" s="1" t="str">
        <f t="shared" si="199"/>
        <v>03437</v>
      </c>
    </row>
    <row r="2515" spans="1:14" x14ac:dyDescent="0.3">
      <c r="A2515" s="1">
        <v>3438</v>
      </c>
      <c r="B2515" s="7" t="s">
        <v>3770</v>
      </c>
      <c r="C2515" s="12">
        <v>6301</v>
      </c>
      <c r="D2515" s="7" t="s">
        <v>3771</v>
      </c>
      <c r="E2515" s="13" t="s">
        <v>1657</v>
      </c>
      <c r="F2515" t="str">
        <f t="shared" si="195"/>
        <v>Almeda</v>
      </c>
      <c r="G2515" t="str">
        <f t="shared" si="196"/>
        <v>Almeda6301Houston</v>
      </c>
      <c r="H2515" t="s">
        <v>33373</v>
      </c>
      <c r="I2515" t="s">
        <v>24798</v>
      </c>
      <c r="J2515" t="str">
        <f t="shared" si="197"/>
        <v>E:\PropInv\MF</v>
      </c>
      <c r="K2515" s="103" t="str">
        <f>HYPERLINK("E:\PropInv\MF\Houston\Almeda Rd_6301_Villas at Hermann Park_Houston_03438","Almeda Rd_6301_Villas at Hermann Park_Houston_03438" )</f>
        <v>Almeda Rd_6301_Villas at Hermann Park_Houston_03438</v>
      </c>
      <c r="L2515" s="104" t="s">
        <v>22253</v>
      </c>
      <c r="M2515" s="103" t="str">
        <f t="shared" si="198"/>
        <v>http://oconnordata.com/mlink/modules/profile/index.cfm?action=profile&amp;prop_id=3438</v>
      </c>
      <c r="N2515" s="1" t="str">
        <f t="shared" si="199"/>
        <v>03438</v>
      </c>
    </row>
    <row r="2516" spans="1:14" x14ac:dyDescent="0.3">
      <c r="A2516" s="1">
        <v>3441</v>
      </c>
      <c r="B2516" s="10" t="s">
        <v>3425</v>
      </c>
      <c r="C2516" s="9">
        <v>2701</v>
      </c>
      <c r="D2516" s="10" t="s">
        <v>3772</v>
      </c>
      <c r="E2516" s="11" t="s">
        <v>1657</v>
      </c>
      <c r="F2516" t="str">
        <f t="shared" si="195"/>
        <v>Bellfort</v>
      </c>
      <c r="G2516" t="str">
        <f t="shared" si="196"/>
        <v>Bellfort2701Houston</v>
      </c>
      <c r="H2516" t="s">
        <v>33374</v>
      </c>
      <c r="I2516" t="s">
        <v>24799</v>
      </c>
      <c r="J2516" t="str">
        <f t="shared" si="197"/>
        <v>E:\PropInv\MF</v>
      </c>
      <c r="K2516" s="103" t="str">
        <f>HYPERLINK("E:\PropInv\MF\Houston\Bellfort W_2701_Lakes of 610_Houston_03441","Bellfort W_2701_Lakes of 610_Houston_03441" )</f>
        <v>Bellfort W_2701_Lakes of 610_Houston_03441</v>
      </c>
      <c r="L2516" s="104" t="s">
        <v>22253</v>
      </c>
      <c r="M2516" s="103" t="str">
        <f t="shared" si="198"/>
        <v>http://oconnordata.com/mlink/modules/profile/index.cfm?action=profile&amp;prop_id=3441</v>
      </c>
      <c r="N2516" s="1" t="str">
        <f t="shared" si="199"/>
        <v>03441</v>
      </c>
    </row>
    <row r="2517" spans="1:14" x14ac:dyDescent="0.3">
      <c r="A2517" s="1">
        <v>3442</v>
      </c>
      <c r="B2517" s="7" t="s">
        <v>3773</v>
      </c>
      <c r="C2517" s="12">
        <v>2400</v>
      </c>
      <c r="D2517" s="7" t="s">
        <v>3774</v>
      </c>
      <c r="E2517" s="13" t="s">
        <v>1657</v>
      </c>
      <c r="F2517" t="str">
        <f t="shared" si="195"/>
        <v>Loop</v>
      </c>
      <c r="G2517" t="str">
        <f t="shared" si="196"/>
        <v>Loop2400Houston</v>
      </c>
      <c r="H2517" t="s">
        <v>33375</v>
      </c>
      <c r="I2517" t="s">
        <v>24800</v>
      </c>
      <c r="J2517" t="str">
        <f t="shared" si="197"/>
        <v>E:\PropInv\MF</v>
      </c>
      <c r="K2517" s="103" t="str">
        <f>HYPERLINK("E:\PropInv\MF\Houston\Loop W S_2400_Meadow Ridge_Houston_03442","Loop W S_2400_Meadow Ridge_Houston_03442" )</f>
        <v>Loop W S_2400_Meadow Ridge_Houston_03442</v>
      </c>
      <c r="L2517" s="104" t="s">
        <v>22253</v>
      </c>
      <c r="M2517" s="103" t="str">
        <f t="shared" si="198"/>
        <v>http://oconnordata.com/mlink/modules/profile/index.cfm?action=profile&amp;prop_id=3442</v>
      </c>
      <c r="N2517" s="1" t="str">
        <f t="shared" si="199"/>
        <v>03442</v>
      </c>
    </row>
    <row r="2518" spans="1:14" x14ac:dyDescent="0.3">
      <c r="A2518" s="1">
        <v>3444</v>
      </c>
      <c r="B2518" s="7" t="s">
        <v>3775</v>
      </c>
      <c r="C2518" s="12">
        <v>1815</v>
      </c>
      <c r="D2518" s="7" t="s">
        <v>3776</v>
      </c>
      <c r="E2518" s="13" t="s">
        <v>1657</v>
      </c>
      <c r="F2518" t="str">
        <f t="shared" si="195"/>
        <v>Ewing</v>
      </c>
      <c r="G2518" t="str">
        <f t="shared" si="196"/>
        <v>Ewing1815Houston</v>
      </c>
      <c r="H2518" t="s">
        <v>33376</v>
      </c>
      <c r="I2518" t="s">
        <v>24801</v>
      </c>
      <c r="J2518" t="str">
        <f t="shared" si="197"/>
        <v>E:\PropInv\MF</v>
      </c>
      <c r="K2518" s="103" t="str">
        <f>HYPERLINK("E:\PropInv\MF\Houston\Ewing_1815_Ewing Apts, 1815_Houston_03444","Ewing_1815_Ewing Apts, 1815_Houston_03444" )</f>
        <v>Ewing_1815_Ewing Apts, 1815_Houston_03444</v>
      </c>
      <c r="L2518" s="104" t="s">
        <v>22253</v>
      </c>
      <c r="M2518" s="103" t="str">
        <f t="shared" si="198"/>
        <v>http://oconnordata.com/mlink/modules/profile/index.cfm?action=profile&amp;prop_id=3444</v>
      </c>
      <c r="N2518" s="1" t="str">
        <f t="shared" si="199"/>
        <v>03444</v>
      </c>
    </row>
    <row r="2519" spans="1:14" x14ac:dyDescent="0.3">
      <c r="A2519" s="1">
        <v>3445</v>
      </c>
      <c r="B2519" s="7" t="s">
        <v>3777</v>
      </c>
      <c r="C2519" s="12">
        <v>1701</v>
      </c>
      <c r="D2519" s="7" t="s">
        <v>3778</v>
      </c>
      <c r="E2519" s="13" t="s">
        <v>1657</v>
      </c>
      <c r="F2519" t="str">
        <f t="shared" si="195"/>
        <v>Hermann</v>
      </c>
      <c r="G2519" t="str">
        <f t="shared" si="196"/>
        <v>Hermann1701Houston</v>
      </c>
      <c r="H2519" t="s">
        <v>33377</v>
      </c>
      <c r="I2519" t="s">
        <v>24802</v>
      </c>
      <c r="J2519" t="str">
        <f t="shared" si="197"/>
        <v>E:\PropInv\MF</v>
      </c>
      <c r="K2519" s="103" t="str">
        <f>HYPERLINK("E:\PropInv\MF\Houston\Hermann Dr_1701_Parklane_Houston_03445","Hermann Dr_1701_Parklane_Houston_03445" )</f>
        <v>Hermann Dr_1701_Parklane_Houston_03445</v>
      </c>
      <c r="L2519" s="104" t="s">
        <v>22253</v>
      </c>
      <c r="M2519" s="103" t="str">
        <f t="shared" si="198"/>
        <v>http://oconnordata.com/mlink/modules/profile/index.cfm?action=profile&amp;prop_id=3445</v>
      </c>
      <c r="N2519" s="1" t="str">
        <f t="shared" si="199"/>
        <v>03445</v>
      </c>
    </row>
    <row r="2520" spans="1:14" x14ac:dyDescent="0.3">
      <c r="A2520" s="1">
        <v>3446</v>
      </c>
      <c r="B2520" s="7" t="s">
        <v>3777</v>
      </c>
      <c r="C2520" s="12">
        <v>1615</v>
      </c>
      <c r="D2520" s="7" t="s">
        <v>3779</v>
      </c>
      <c r="E2520" s="13" t="s">
        <v>1657</v>
      </c>
      <c r="F2520" t="str">
        <f t="shared" si="195"/>
        <v>Hermann</v>
      </c>
      <c r="G2520" t="str">
        <f t="shared" si="196"/>
        <v>Hermann1615Houston</v>
      </c>
      <c r="H2520" t="s">
        <v>33378</v>
      </c>
      <c r="I2520" t="s">
        <v>24803</v>
      </c>
      <c r="J2520" t="str">
        <f t="shared" si="197"/>
        <v>E:\PropInv\MF</v>
      </c>
      <c r="K2520" s="103" t="str">
        <f>HYPERLINK("E:\PropInv\MF\Houston\Hermann Dr_1615_The Plaza Museum District_Houston_03446","Hermann Dr_1615_The Plaza Museum District_Houston_03446" )</f>
        <v>Hermann Dr_1615_The Plaza Museum District_Houston_03446</v>
      </c>
      <c r="L2520" s="104" t="s">
        <v>22253</v>
      </c>
      <c r="M2520" s="103" t="str">
        <f t="shared" si="198"/>
        <v>http://oconnordata.com/mlink/modules/profile/index.cfm?action=profile&amp;prop_id=3446</v>
      </c>
      <c r="N2520" s="1" t="str">
        <f t="shared" si="199"/>
        <v>03446</v>
      </c>
    </row>
    <row r="2521" spans="1:14" x14ac:dyDescent="0.3">
      <c r="A2521" s="1">
        <v>3447</v>
      </c>
      <c r="B2521" s="7" t="s">
        <v>3780</v>
      </c>
      <c r="C2521" s="12">
        <v>2608</v>
      </c>
      <c r="D2521" s="7" t="s">
        <v>3781</v>
      </c>
      <c r="E2521" s="13" t="s">
        <v>1657</v>
      </c>
      <c r="F2521" t="str">
        <f t="shared" si="195"/>
        <v>Calumet</v>
      </c>
      <c r="G2521" t="str">
        <f t="shared" si="196"/>
        <v>Calumet2608Houston</v>
      </c>
      <c r="H2521" t="s">
        <v>33379</v>
      </c>
      <c r="I2521" t="s">
        <v>24804</v>
      </c>
      <c r="J2521" t="str">
        <f t="shared" si="197"/>
        <v>E:\PropInv\MF</v>
      </c>
      <c r="K2521" s="103" t="str">
        <f>HYPERLINK("E:\PropInv\MF\Houston\Calumet_2608_Calumet Court_Houston_03447","Calumet_2608_Calumet Court_Houston_03447" )</f>
        <v>Calumet_2608_Calumet Court_Houston_03447</v>
      </c>
      <c r="L2521" s="104" t="s">
        <v>22253</v>
      </c>
      <c r="M2521" s="103" t="str">
        <f t="shared" si="198"/>
        <v>http://oconnordata.com/mlink/modules/profile/index.cfm?action=profile&amp;prop_id=3447</v>
      </c>
      <c r="N2521" s="1" t="str">
        <f t="shared" si="199"/>
        <v>03447</v>
      </c>
    </row>
    <row r="2522" spans="1:14" x14ac:dyDescent="0.3">
      <c r="A2522" s="1">
        <v>3450</v>
      </c>
      <c r="B2522" s="7" t="s">
        <v>3782</v>
      </c>
      <c r="C2522" s="12">
        <v>16</v>
      </c>
      <c r="D2522" s="7" t="s">
        <v>3783</v>
      </c>
      <c r="E2522" s="13" t="s">
        <v>1657</v>
      </c>
      <c r="F2522" t="str">
        <f t="shared" si="195"/>
        <v>Charleston</v>
      </c>
      <c r="G2522" t="str">
        <f t="shared" si="196"/>
        <v>Charleston16Houston</v>
      </c>
      <c r="H2522" t="s">
        <v>33380</v>
      </c>
      <c r="I2522" t="s">
        <v>24805</v>
      </c>
      <c r="J2522" t="str">
        <f t="shared" si="197"/>
        <v>E:\PropInv\MF</v>
      </c>
      <c r="K2522" s="103" t="str">
        <f>HYPERLINK("E:\PropInv\MF\Houston\Charleston Park_16_Oaks of Charleston_Houston_03450","Charleston Park_16_Oaks of Charleston_Houston_03450" )</f>
        <v>Charleston Park_16_Oaks of Charleston_Houston_03450</v>
      </c>
      <c r="L2522" s="104" t="s">
        <v>22253</v>
      </c>
      <c r="M2522" s="103" t="str">
        <f t="shared" si="198"/>
        <v>http://oconnordata.com/mlink/modules/profile/index.cfm?action=profile&amp;prop_id=3450</v>
      </c>
      <c r="N2522" s="1" t="str">
        <f t="shared" si="199"/>
        <v>03450</v>
      </c>
    </row>
    <row r="2523" spans="1:14" x14ac:dyDescent="0.3">
      <c r="A2523" s="1">
        <v>3452</v>
      </c>
      <c r="B2523" s="7" t="s">
        <v>3726</v>
      </c>
      <c r="C2523" s="12">
        <v>9707</v>
      </c>
      <c r="D2523" s="7" t="s">
        <v>3784</v>
      </c>
      <c r="E2523" s="13" t="s">
        <v>1657</v>
      </c>
      <c r="F2523" t="str">
        <f t="shared" si="195"/>
        <v>Timberside</v>
      </c>
      <c r="G2523" t="str">
        <f t="shared" si="196"/>
        <v>Timberside9707Houston</v>
      </c>
      <c r="H2523" t="s">
        <v>33381</v>
      </c>
      <c r="I2523" t="s">
        <v>24806</v>
      </c>
      <c r="J2523" t="str">
        <f t="shared" si="197"/>
        <v>E:\PropInv\MF</v>
      </c>
      <c r="K2523" s="103" t="str">
        <f>HYPERLINK("E:\PropInv\MF\Houston\Timberside Dr_9707_Loop Crossing_Houston_03452","Timberside Dr_9707_Loop Crossing_Houston_03452" )</f>
        <v>Timberside Dr_9707_Loop Crossing_Houston_03452</v>
      </c>
      <c r="L2523" s="104" t="s">
        <v>22253</v>
      </c>
      <c r="M2523" s="103" t="str">
        <f t="shared" si="198"/>
        <v>http://oconnordata.com/mlink/modules/profile/index.cfm?action=profile&amp;prop_id=3452</v>
      </c>
      <c r="N2523" s="1" t="str">
        <f t="shared" si="199"/>
        <v>03452</v>
      </c>
    </row>
    <row r="2524" spans="1:14" x14ac:dyDescent="0.3">
      <c r="A2524" s="1">
        <v>3458</v>
      </c>
      <c r="B2524" s="7" t="s">
        <v>3764</v>
      </c>
      <c r="C2524" s="12">
        <v>5501</v>
      </c>
      <c r="D2524" s="7" t="s">
        <v>3785</v>
      </c>
      <c r="E2524" s="13" t="s">
        <v>1657</v>
      </c>
      <c r="F2524" t="str">
        <f t="shared" si="195"/>
        <v>Riverside</v>
      </c>
      <c r="G2524" t="str">
        <f t="shared" si="196"/>
        <v>Riverside5501Houston</v>
      </c>
      <c r="H2524" t="s">
        <v>33382</v>
      </c>
      <c r="I2524" t="s">
        <v>24807</v>
      </c>
      <c r="J2524" t="str">
        <f t="shared" si="197"/>
        <v>E:\PropInv\MF</v>
      </c>
      <c r="K2524" s="103" t="str">
        <f>HYPERLINK("E:\PropInv\MF\Houston\Riverside_5501_Riverside Terrace_Houston_03458","Riverside_5501_Riverside Terrace_Houston_03458" )</f>
        <v>Riverside_5501_Riverside Terrace_Houston_03458</v>
      </c>
      <c r="L2524" s="104" t="s">
        <v>22253</v>
      </c>
      <c r="M2524" s="103" t="str">
        <f t="shared" si="198"/>
        <v>http://oconnordata.com/mlink/modules/profile/index.cfm?action=profile&amp;prop_id=3458</v>
      </c>
      <c r="N2524" s="1" t="str">
        <f t="shared" si="199"/>
        <v>03458</v>
      </c>
    </row>
    <row r="2525" spans="1:14" x14ac:dyDescent="0.3">
      <c r="A2525" s="1">
        <v>3467</v>
      </c>
      <c r="B2525" s="7" t="s">
        <v>3786</v>
      </c>
      <c r="C2525" s="12">
        <v>5986</v>
      </c>
      <c r="D2525" s="7" t="s">
        <v>3786</v>
      </c>
      <c r="E2525" s="13" t="s">
        <v>1657</v>
      </c>
      <c r="F2525" t="str">
        <f t="shared" si="195"/>
        <v>Ardmore</v>
      </c>
      <c r="G2525" t="str">
        <f t="shared" si="196"/>
        <v>Ardmore5986Houston</v>
      </c>
      <c r="H2525" t="s">
        <v>33383</v>
      </c>
      <c r="I2525" t="s">
        <v>24808</v>
      </c>
      <c r="J2525" t="str">
        <f t="shared" si="197"/>
        <v>E:\PropInv\MF</v>
      </c>
      <c r="K2525" s="103" t="str">
        <f>HYPERLINK("E:\PropInv\MF\Houston\Ardmore_5986_Ardmore_Houston_03467","Ardmore_5986_Ardmore_Houston_03467" )</f>
        <v>Ardmore_5986_Ardmore_Houston_03467</v>
      </c>
      <c r="L2525" s="104" t="s">
        <v>22253</v>
      </c>
      <c r="M2525" s="103" t="str">
        <f t="shared" si="198"/>
        <v>http://oconnordata.com/mlink/modules/profile/index.cfm?action=profile&amp;prop_id=3467</v>
      </c>
      <c r="N2525" s="1" t="str">
        <f t="shared" si="199"/>
        <v>03467</v>
      </c>
    </row>
    <row r="2526" spans="1:14" x14ac:dyDescent="0.3">
      <c r="A2526" s="1">
        <v>3468</v>
      </c>
      <c r="B2526" s="7" t="s">
        <v>3787</v>
      </c>
      <c r="C2526" s="12">
        <v>5800</v>
      </c>
      <c r="D2526" s="7" t="s">
        <v>3787</v>
      </c>
      <c r="E2526" s="13" t="s">
        <v>1657</v>
      </c>
      <c r="F2526" t="str">
        <f t="shared" si="195"/>
        <v>Bayou</v>
      </c>
      <c r="G2526" t="str">
        <f t="shared" si="196"/>
        <v>Bayou5800Houston</v>
      </c>
      <c r="H2526" t="s">
        <v>33384</v>
      </c>
      <c r="I2526" t="s">
        <v>24809</v>
      </c>
      <c r="J2526" t="str">
        <f t="shared" si="197"/>
        <v>E:\PropInv\MF</v>
      </c>
      <c r="K2526" s="103" t="str">
        <f>HYPERLINK("E:\PropInv\MF\Houston\Bayou Bend_5800_Bayou Bend_Houston_03468","Bayou Bend_5800_Bayou Bend_Houston_03468" )</f>
        <v>Bayou Bend_5800_Bayou Bend_Houston_03468</v>
      </c>
      <c r="L2526" s="104" t="s">
        <v>22253</v>
      </c>
      <c r="M2526" s="103" t="str">
        <f t="shared" si="198"/>
        <v>http://oconnordata.com/mlink/modules/profile/index.cfm?action=profile&amp;prop_id=3468</v>
      </c>
      <c r="N2526" s="1" t="str">
        <f t="shared" si="199"/>
        <v>03468</v>
      </c>
    </row>
    <row r="2527" spans="1:14" x14ac:dyDescent="0.3">
      <c r="A2527" s="1">
        <v>3477</v>
      </c>
      <c r="B2527" s="7" t="s">
        <v>3788</v>
      </c>
      <c r="C2527" s="12">
        <v>5415</v>
      </c>
      <c r="D2527" s="7" t="s">
        <v>3789</v>
      </c>
      <c r="E2527" s="13" t="s">
        <v>1657</v>
      </c>
      <c r="F2527" t="str">
        <f t="shared" si="195"/>
        <v>Scott</v>
      </c>
      <c r="G2527" t="str">
        <f t="shared" si="196"/>
        <v>Scott5415Houston</v>
      </c>
      <c r="H2527" t="s">
        <v>33385</v>
      </c>
      <c r="I2527" t="s">
        <v>24810</v>
      </c>
      <c r="J2527" t="str">
        <f t="shared" si="197"/>
        <v>E:\PropInv\MF</v>
      </c>
      <c r="K2527" s="103" t="str">
        <f>HYPERLINK("E:\PropInv\MF\Houston\Scott_5415_5415 Scott Apts_Houston_03477","Scott_5415_5415 Scott Apts_Houston_03477" )</f>
        <v>Scott_5415_5415 Scott Apts_Houston_03477</v>
      </c>
      <c r="L2527" s="104" t="s">
        <v>22253</v>
      </c>
      <c r="M2527" s="103" t="str">
        <f t="shared" si="198"/>
        <v>http://oconnordata.com/mlink/modules/profile/index.cfm?action=profile&amp;prop_id=3477</v>
      </c>
      <c r="N2527" s="1" t="str">
        <f t="shared" si="199"/>
        <v>03477</v>
      </c>
    </row>
    <row r="2528" spans="1:14" x14ac:dyDescent="0.3">
      <c r="A2528" s="1">
        <v>3478</v>
      </c>
      <c r="B2528" s="7" t="s">
        <v>3790</v>
      </c>
      <c r="C2528" s="12">
        <v>3710</v>
      </c>
      <c r="D2528" s="7" t="s">
        <v>3791</v>
      </c>
      <c r="E2528" s="13" t="s">
        <v>1657</v>
      </c>
      <c r="F2528" t="str">
        <f t="shared" si="195"/>
        <v>Southmore</v>
      </c>
      <c r="G2528" t="str">
        <f t="shared" si="196"/>
        <v>Southmore3710Houston</v>
      </c>
      <c r="H2528" t="s">
        <v>33386</v>
      </c>
      <c r="I2528" t="s">
        <v>24811</v>
      </c>
      <c r="J2528" t="str">
        <f t="shared" si="197"/>
        <v>E:\PropInv\MF</v>
      </c>
      <c r="K2528" s="103" t="str">
        <f>HYPERLINK("E:\PropInv\MF\Houston\Southmore_3710_Southmore Place_Houston_03478","Southmore_3710_Southmore Place_Houston_03478" )</f>
        <v>Southmore_3710_Southmore Place_Houston_03478</v>
      </c>
      <c r="L2528" s="104" t="s">
        <v>22253</v>
      </c>
      <c r="M2528" s="103" t="str">
        <f t="shared" si="198"/>
        <v>http://oconnordata.com/mlink/modules/profile/index.cfm?action=profile&amp;prop_id=3478</v>
      </c>
      <c r="N2528" s="1" t="str">
        <f t="shared" si="199"/>
        <v>03478</v>
      </c>
    </row>
    <row r="2529" spans="1:14" x14ac:dyDescent="0.3">
      <c r="A2529" s="1">
        <v>3479</v>
      </c>
      <c r="B2529" s="7" t="s">
        <v>3792</v>
      </c>
      <c r="C2529" s="12">
        <v>7200</v>
      </c>
      <c r="D2529" s="7" t="s">
        <v>3793</v>
      </c>
      <c r="E2529" s="13" t="s">
        <v>1657</v>
      </c>
      <c r="F2529" t="str">
        <f t="shared" si="195"/>
        <v>Almeda</v>
      </c>
      <c r="G2529" t="str">
        <f t="shared" si="196"/>
        <v>Almeda7200Houston</v>
      </c>
      <c r="H2529" t="s">
        <v>33387</v>
      </c>
      <c r="I2529" t="s">
        <v>24812</v>
      </c>
      <c r="J2529" t="str">
        <f t="shared" si="197"/>
        <v>E:\PropInv\MF</v>
      </c>
      <c r="K2529" s="103" t="str">
        <f>HYPERLINK("E:\PropInv\MF\Houston\Almeda_7200_Versailles Park_Houston_03479","Almeda_7200_Versailles Park_Houston_03479" )</f>
        <v>Almeda_7200_Versailles Park_Houston_03479</v>
      </c>
      <c r="L2529" s="104" t="s">
        <v>22253</v>
      </c>
      <c r="M2529" s="103" t="str">
        <f t="shared" si="198"/>
        <v>http://oconnordata.com/mlink/modules/profile/index.cfm?action=profile&amp;prop_id=3479</v>
      </c>
      <c r="N2529" s="1" t="str">
        <f t="shared" si="199"/>
        <v>03479</v>
      </c>
    </row>
    <row r="2530" spans="1:14" x14ac:dyDescent="0.3">
      <c r="A2530" s="1">
        <v>3480</v>
      </c>
      <c r="B2530" s="7" t="s">
        <v>3794</v>
      </c>
      <c r="C2530" s="12">
        <v>7331</v>
      </c>
      <c r="D2530" s="7" t="s">
        <v>3795</v>
      </c>
      <c r="E2530" s="13" t="s">
        <v>1657</v>
      </c>
      <c r="F2530" t="str">
        <f t="shared" si="195"/>
        <v>Staffordshire</v>
      </c>
      <c r="G2530" t="str">
        <f t="shared" si="196"/>
        <v>Staffordshire7331Houston</v>
      </c>
      <c r="H2530" t="s">
        <v>33388</v>
      </c>
      <c r="I2530" t="s">
        <v>24813</v>
      </c>
      <c r="J2530" t="str">
        <f t="shared" si="197"/>
        <v>E:\PropInv\MF</v>
      </c>
      <c r="K2530" s="103" t="str">
        <f>HYPERLINK("E:\PropInv\MF\Houston\Staffordshire_7331_Parkwood_Houston_03480","Staffordshire_7331_Parkwood_Houston_03480" )</f>
        <v>Staffordshire_7331_Parkwood_Houston_03480</v>
      </c>
      <c r="L2530" s="104" t="s">
        <v>22253</v>
      </c>
      <c r="M2530" s="103" t="str">
        <f t="shared" si="198"/>
        <v>http://oconnordata.com/mlink/modules/profile/index.cfm?action=profile&amp;prop_id=3480</v>
      </c>
      <c r="N2530" s="1" t="str">
        <f t="shared" si="199"/>
        <v>03480</v>
      </c>
    </row>
    <row r="2531" spans="1:14" x14ac:dyDescent="0.3">
      <c r="A2531" s="1">
        <v>3481</v>
      </c>
      <c r="B2531" s="7" t="s">
        <v>3770</v>
      </c>
      <c r="C2531" s="12">
        <v>7009</v>
      </c>
      <c r="D2531" s="7" t="s">
        <v>3796</v>
      </c>
      <c r="E2531" s="13" t="s">
        <v>1657</v>
      </c>
      <c r="F2531" t="str">
        <f t="shared" si="195"/>
        <v>Almeda</v>
      </c>
      <c r="G2531" t="str">
        <f t="shared" si="196"/>
        <v>Almeda7009Houston</v>
      </c>
      <c r="H2531" t="s">
        <v>33389</v>
      </c>
      <c r="I2531" t="s">
        <v>24814</v>
      </c>
      <c r="J2531" t="str">
        <f t="shared" si="197"/>
        <v>E:\PropInv\MF</v>
      </c>
      <c r="K2531" s="103" t="str">
        <f>HYPERLINK("E:\PropInv\MF\Houston\Almeda Rd_7009_AMLI at the Medical Center_Houston_03481","Almeda Rd_7009_AMLI at the Medical Center_Houston_03481" )</f>
        <v>Almeda Rd_7009_AMLI at the Medical Center_Houston_03481</v>
      </c>
      <c r="L2531" s="104" t="s">
        <v>22253</v>
      </c>
      <c r="M2531" s="103" t="str">
        <f t="shared" si="198"/>
        <v>http://oconnordata.com/mlink/modules/profile/index.cfm?action=profile&amp;prop_id=3481</v>
      </c>
      <c r="N2531" s="1" t="str">
        <f t="shared" si="199"/>
        <v>03481</v>
      </c>
    </row>
    <row r="2532" spans="1:14" x14ac:dyDescent="0.3">
      <c r="A2532" s="1">
        <v>3484</v>
      </c>
      <c r="B2532" s="7" t="s">
        <v>3756</v>
      </c>
      <c r="C2532" s="12">
        <v>3101</v>
      </c>
      <c r="D2532" s="7" t="s">
        <v>3797</v>
      </c>
      <c r="E2532" s="13" t="s">
        <v>1657</v>
      </c>
      <c r="F2532" t="str">
        <f t="shared" si="195"/>
        <v>MacGregor</v>
      </c>
      <c r="G2532" t="str">
        <f t="shared" si="196"/>
        <v>MacGregor3101Houston</v>
      </c>
      <c r="H2532" t="s">
        <v>33390</v>
      </c>
      <c r="I2532" t="s">
        <v>24815</v>
      </c>
      <c r="J2532" t="str">
        <f t="shared" si="197"/>
        <v>E:\PropInv\MF</v>
      </c>
      <c r="K2532" s="103" t="str">
        <f>HYPERLINK("E:\PropInv\MF\Houston\MacGregor Way N_3101_Bayou Landing_Houston_03484","MacGregor Way N_3101_Bayou Landing_Houston_03484" )</f>
        <v>MacGregor Way N_3101_Bayou Landing_Houston_03484</v>
      </c>
      <c r="L2532" s="104" t="s">
        <v>22253</v>
      </c>
      <c r="M2532" s="103" t="str">
        <f t="shared" si="198"/>
        <v>http://oconnordata.com/mlink/modules/profile/index.cfm?action=profile&amp;prop_id=3484</v>
      </c>
      <c r="N2532" s="1" t="str">
        <f t="shared" si="199"/>
        <v>03484</v>
      </c>
    </row>
    <row r="2533" spans="1:14" x14ac:dyDescent="0.3">
      <c r="A2533" s="1">
        <v>3485</v>
      </c>
      <c r="B2533" s="7" t="s">
        <v>3756</v>
      </c>
      <c r="C2533" s="12">
        <v>3533</v>
      </c>
      <c r="D2533" s="7" t="s">
        <v>3798</v>
      </c>
      <c r="E2533" s="13" t="s">
        <v>1657</v>
      </c>
      <c r="F2533" t="str">
        <f t="shared" si="195"/>
        <v>MacGregor</v>
      </c>
      <c r="G2533" t="str">
        <f t="shared" si="196"/>
        <v>MacGregor3533Houston</v>
      </c>
      <c r="H2533" t="s">
        <v>33391</v>
      </c>
      <c r="I2533" t="s">
        <v>24816</v>
      </c>
      <c r="J2533" t="str">
        <f t="shared" si="197"/>
        <v>E:\PropInv\MF</v>
      </c>
      <c r="K2533" s="103" t="str">
        <f>HYPERLINK("E:\PropInv\MF\Houston\MacGregor Way N_3533_North MacGregor Arms_Houston_03485","MacGregor Way N_3533_North MacGregor Arms_Houston_03485" )</f>
        <v>MacGregor Way N_3533_North MacGregor Arms_Houston_03485</v>
      </c>
      <c r="L2533" s="104" t="s">
        <v>22253</v>
      </c>
      <c r="M2533" s="103" t="str">
        <f t="shared" si="198"/>
        <v>http://oconnordata.com/mlink/modules/profile/index.cfm?action=profile&amp;prop_id=3485</v>
      </c>
      <c r="N2533" s="1" t="str">
        <f t="shared" si="199"/>
        <v>03485</v>
      </c>
    </row>
    <row r="2534" spans="1:14" x14ac:dyDescent="0.3">
      <c r="A2534" s="1">
        <v>3486</v>
      </c>
      <c r="B2534" s="7" t="s">
        <v>3799</v>
      </c>
      <c r="C2534" s="12">
        <v>6115</v>
      </c>
      <c r="D2534" s="7" t="s">
        <v>3800</v>
      </c>
      <c r="E2534" s="13" t="s">
        <v>1657</v>
      </c>
      <c r="F2534" t="str">
        <f t="shared" si="195"/>
        <v>La</v>
      </c>
      <c r="G2534" t="str">
        <f t="shared" si="196"/>
        <v>La6115Houston</v>
      </c>
      <c r="H2534" t="s">
        <v>33392</v>
      </c>
      <c r="I2534" t="s">
        <v>24817</v>
      </c>
      <c r="J2534" t="str">
        <f t="shared" si="197"/>
        <v>E:\PropInv\MF</v>
      </c>
      <c r="K2534" s="103" t="str">
        <f>HYPERLINK("E:\PropInv\MF\Houston\La Salette_6115_San Jacinto Garden_Houston_03486","La Salette_6115_San Jacinto Garden_Houston_03486" )</f>
        <v>La Salette_6115_San Jacinto Garden_Houston_03486</v>
      </c>
      <c r="L2534" s="104" t="s">
        <v>22253</v>
      </c>
      <c r="M2534" s="103" t="str">
        <f t="shared" si="198"/>
        <v>http://oconnordata.com/mlink/modules/profile/index.cfm?action=profile&amp;prop_id=3486</v>
      </c>
      <c r="N2534" s="1" t="str">
        <f t="shared" si="199"/>
        <v>03486</v>
      </c>
    </row>
    <row r="2535" spans="1:14" x14ac:dyDescent="0.3">
      <c r="A2535" s="1">
        <v>3492</v>
      </c>
      <c r="B2535" s="7" t="s">
        <v>3801</v>
      </c>
      <c r="C2535" s="12">
        <v>4000</v>
      </c>
      <c r="D2535" s="7" t="s">
        <v>3802</v>
      </c>
      <c r="E2535" s="13" t="s">
        <v>1657</v>
      </c>
      <c r="F2535" t="str">
        <f t="shared" si="195"/>
        <v>Griggs</v>
      </c>
      <c r="G2535" t="str">
        <f t="shared" si="196"/>
        <v>Griggs4000Houston</v>
      </c>
      <c r="H2535" t="s">
        <v>33393</v>
      </c>
      <c r="I2535" t="s">
        <v>24818</v>
      </c>
      <c r="J2535" t="str">
        <f t="shared" si="197"/>
        <v>E:\PropInv\MF</v>
      </c>
      <c r="K2535" s="103" t="str">
        <f>HYPERLINK("E:\PropInv\MF\Houston\Griggs Rd_4000_Spanish Village_Houston_03492","Griggs Rd_4000_Spanish Village_Houston_03492" )</f>
        <v>Griggs Rd_4000_Spanish Village_Houston_03492</v>
      </c>
      <c r="L2535" s="104" t="s">
        <v>22253</v>
      </c>
      <c r="M2535" s="103" t="str">
        <f t="shared" si="198"/>
        <v>http://oconnordata.com/mlink/modules/profile/index.cfm?action=profile&amp;prop_id=3492</v>
      </c>
      <c r="N2535" s="1" t="str">
        <f t="shared" si="199"/>
        <v>03492</v>
      </c>
    </row>
    <row r="2536" spans="1:14" x14ac:dyDescent="0.3">
      <c r="A2536" s="1">
        <v>3498</v>
      </c>
      <c r="B2536" s="7" t="s">
        <v>3803</v>
      </c>
      <c r="C2536" s="12">
        <v>7901</v>
      </c>
      <c r="D2536" s="7" t="s">
        <v>3804</v>
      </c>
      <c r="E2536" s="13" t="s">
        <v>1657</v>
      </c>
      <c r="F2536" t="str">
        <f t="shared" si="195"/>
        <v>Cambridge</v>
      </c>
      <c r="G2536" t="str">
        <f t="shared" si="196"/>
        <v>Cambridge7901Houston</v>
      </c>
      <c r="H2536" t="s">
        <v>33394</v>
      </c>
      <c r="I2536" t="s">
        <v>24819</v>
      </c>
      <c r="J2536" t="str">
        <f t="shared" si="197"/>
        <v>E:\PropInv\MF</v>
      </c>
      <c r="K2536" s="103" t="str">
        <f>HYPERLINK("E:\PropInv\MF\Houston\Cambridge_7901_Park On Cambridge_Houston_03498","Cambridge_7901_Park On Cambridge_Houston_03498" )</f>
        <v>Cambridge_7901_Park On Cambridge_Houston_03498</v>
      </c>
      <c r="L2536" s="104" t="s">
        <v>22253</v>
      </c>
      <c r="M2536" s="103" t="str">
        <f t="shared" si="198"/>
        <v>http://oconnordata.com/mlink/modules/profile/index.cfm?action=profile&amp;prop_id=3498</v>
      </c>
      <c r="N2536" s="1" t="str">
        <f t="shared" si="199"/>
        <v>03498</v>
      </c>
    </row>
    <row r="2537" spans="1:14" x14ac:dyDescent="0.3">
      <c r="A2537" s="1">
        <v>3499</v>
      </c>
      <c r="B2537" s="7" t="s">
        <v>3803</v>
      </c>
      <c r="C2537" s="12">
        <v>8282</v>
      </c>
      <c r="D2537" s="7" t="s">
        <v>3805</v>
      </c>
      <c r="E2537" s="13" t="s">
        <v>1657</v>
      </c>
      <c r="F2537" t="str">
        <f t="shared" si="195"/>
        <v>Cambridge</v>
      </c>
      <c r="G2537" t="str">
        <f t="shared" si="196"/>
        <v>Cambridge8282Houston</v>
      </c>
      <c r="H2537" t="s">
        <v>33395</v>
      </c>
      <c r="I2537" t="s">
        <v>24820</v>
      </c>
      <c r="J2537" t="str">
        <f t="shared" si="197"/>
        <v>E:\PropInv\MF</v>
      </c>
      <c r="K2537" s="103" t="str">
        <f>HYPERLINK("E:\PropInv\MF\Houston\Cambridge_8282_Harvest Hill_Houston_03499","Cambridge_8282_Harvest Hill_Houston_03499" )</f>
        <v>Cambridge_8282_Harvest Hill_Houston_03499</v>
      </c>
      <c r="L2537" s="104" t="s">
        <v>22253</v>
      </c>
      <c r="M2537" s="103" t="str">
        <f t="shared" si="198"/>
        <v>http://oconnordata.com/mlink/modules/profile/index.cfm?action=profile&amp;prop_id=3499</v>
      </c>
      <c r="N2537" s="1" t="str">
        <f t="shared" si="199"/>
        <v>03499</v>
      </c>
    </row>
    <row r="2538" spans="1:14" x14ac:dyDescent="0.3">
      <c r="A2538" s="1">
        <v>3501</v>
      </c>
      <c r="B2538" s="7" t="s">
        <v>3756</v>
      </c>
      <c r="C2538" s="12">
        <v>4463</v>
      </c>
      <c r="D2538" s="7" t="s">
        <v>3806</v>
      </c>
      <c r="E2538" s="13" t="s">
        <v>1657</v>
      </c>
      <c r="F2538" t="str">
        <f t="shared" si="195"/>
        <v>MacGregor</v>
      </c>
      <c r="G2538" t="str">
        <f t="shared" si="196"/>
        <v>MacGregor4463Houston</v>
      </c>
      <c r="H2538" t="s">
        <v>33396</v>
      </c>
      <c r="I2538" t="s">
        <v>24821</v>
      </c>
      <c r="J2538" t="str">
        <f t="shared" si="197"/>
        <v>E:\PropInv\MF</v>
      </c>
      <c r="K2538" s="103" t="str">
        <f>HYPERLINK("E:\PropInv\MF\Houston\MacGregor Way N_4463_Beall Village_Houston_03501","MacGregor Way N_4463_Beall Village_Houston_03501" )</f>
        <v>MacGregor Way N_4463_Beall Village_Houston_03501</v>
      </c>
      <c r="L2538" s="104" t="s">
        <v>22253</v>
      </c>
      <c r="M2538" s="103" t="str">
        <f t="shared" si="198"/>
        <v>http://oconnordata.com/mlink/modules/profile/index.cfm?action=profile&amp;prop_id=3501</v>
      </c>
      <c r="N2538" s="1" t="str">
        <f t="shared" si="199"/>
        <v>03501</v>
      </c>
    </row>
    <row r="2539" spans="1:14" x14ac:dyDescent="0.3">
      <c r="A2539" s="1">
        <v>3503</v>
      </c>
      <c r="B2539" s="7" t="s">
        <v>3807</v>
      </c>
      <c r="C2539" s="12">
        <v>8300</v>
      </c>
      <c r="D2539" s="7" t="s">
        <v>3808</v>
      </c>
      <c r="E2539" s="13" t="s">
        <v>1657</v>
      </c>
      <c r="F2539" t="str">
        <f t="shared" si="195"/>
        <v>El</v>
      </c>
      <c r="G2539" t="str">
        <f t="shared" si="196"/>
        <v>El8300Houston</v>
      </c>
      <c r="H2539" t="s">
        <v>33397</v>
      </c>
      <c r="I2539" t="s">
        <v>24822</v>
      </c>
      <c r="J2539" t="str">
        <f t="shared" si="197"/>
        <v>E:\PropInv\MF</v>
      </c>
      <c r="K2539" s="103" t="str">
        <f>HYPERLINK("E:\PropInv\MF\Houston\El Mundo_8300_El Mundo Park_Houston_03503","El Mundo_8300_El Mundo Park_Houston_03503" )</f>
        <v>El Mundo_8300_El Mundo Park_Houston_03503</v>
      </c>
      <c r="L2539" s="104" t="s">
        <v>22253</v>
      </c>
      <c r="M2539" s="103" t="str">
        <f t="shared" si="198"/>
        <v>http://oconnordata.com/mlink/modules/profile/index.cfm?action=profile&amp;prop_id=3503</v>
      </c>
      <c r="N2539" s="1" t="str">
        <f t="shared" si="199"/>
        <v>03503</v>
      </c>
    </row>
    <row r="2540" spans="1:14" x14ac:dyDescent="0.3">
      <c r="A2540" s="1">
        <v>3504</v>
      </c>
      <c r="B2540" s="7" t="s">
        <v>3807</v>
      </c>
      <c r="C2540" s="12">
        <v>8380</v>
      </c>
      <c r="D2540" s="7" t="s">
        <v>3809</v>
      </c>
      <c r="E2540" s="13" t="s">
        <v>1657</v>
      </c>
      <c r="F2540" t="str">
        <f t="shared" si="195"/>
        <v>El</v>
      </c>
      <c r="G2540" t="str">
        <f t="shared" si="196"/>
        <v>El8380Houston</v>
      </c>
      <c r="H2540" t="s">
        <v>33398</v>
      </c>
      <c r="I2540" t="s">
        <v>24823</v>
      </c>
      <c r="J2540" t="str">
        <f t="shared" si="197"/>
        <v>E:\PropInv\MF</v>
      </c>
      <c r="K2540" s="103" t="str">
        <f>HYPERLINK("E:\PropInv\MF\Houston\El Mundo_8380_Parque Del Oro_Houston_03504","El Mundo_8380_Parque Del Oro_Houston_03504" )</f>
        <v>El Mundo_8380_Parque Del Oro_Houston_03504</v>
      </c>
      <c r="L2540" s="104" t="s">
        <v>22253</v>
      </c>
      <c r="M2540" s="103" t="str">
        <f t="shared" si="198"/>
        <v>http://oconnordata.com/mlink/modules/profile/index.cfm?action=profile&amp;prop_id=3504</v>
      </c>
      <c r="N2540" s="1" t="str">
        <f t="shared" si="199"/>
        <v>03504</v>
      </c>
    </row>
    <row r="2541" spans="1:14" x14ac:dyDescent="0.3">
      <c r="A2541" s="1">
        <v>3506</v>
      </c>
      <c r="B2541" s="7" t="s">
        <v>3790</v>
      </c>
      <c r="C2541" s="12">
        <v>3711</v>
      </c>
      <c r="D2541" s="7" t="s">
        <v>3810</v>
      </c>
      <c r="E2541" s="13" t="s">
        <v>1657</v>
      </c>
      <c r="F2541" t="str">
        <f t="shared" si="195"/>
        <v>Southmore</v>
      </c>
      <c r="G2541" t="str">
        <f t="shared" si="196"/>
        <v>Southmore3711Houston</v>
      </c>
      <c r="H2541" t="s">
        <v>33399</v>
      </c>
      <c r="I2541" t="s">
        <v>24824</v>
      </c>
      <c r="J2541" t="str">
        <f t="shared" si="197"/>
        <v>E:\PropInv\MF</v>
      </c>
      <c r="K2541" s="103" t="str">
        <f>HYPERLINK("E:\PropInv\MF\Houston\Southmore_3711_Nubia Square_Houston_03506","Southmore_3711_Nubia Square_Houston_03506" )</f>
        <v>Southmore_3711_Nubia Square_Houston_03506</v>
      </c>
      <c r="L2541" s="104" t="s">
        <v>22253</v>
      </c>
      <c r="M2541" s="103" t="str">
        <f t="shared" si="198"/>
        <v>http://oconnordata.com/mlink/modules/profile/index.cfm?action=profile&amp;prop_id=3506</v>
      </c>
      <c r="N2541" s="1" t="str">
        <f t="shared" si="199"/>
        <v>03506</v>
      </c>
    </row>
    <row r="2542" spans="1:14" x14ac:dyDescent="0.3">
      <c r="A2542" s="1">
        <v>3507</v>
      </c>
      <c r="B2542" s="7" t="s">
        <v>3792</v>
      </c>
      <c r="C2542" s="12">
        <v>7100</v>
      </c>
      <c r="D2542" s="7" t="s">
        <v>3811</v>
      </c>
      <c r="E2542" s="13" t="s">
        <v>1657</v>
      </c>
      <c r="F2542" t="str">
        <f t="shared" si="195"/>
        <v>Almeda</v>
      </c>
      <c r="G2542" t="str">
        <f t="shared" si="196"/>
        <v>Almeda7100Houston</v>
      </c>
      <c r="H2542" t="s">
        <v>33400</v>
      </c>
      <c r="I2542" t="s">
        <v>24825</v>
      </c>
      <c r="J2542" t="str">
        <f t="shared" si="197"/>
        <v>E:\PropInv\MF</v>
      </c>
      <c r="K2542" s="103" t="str">
        <f>HYPERLINK("E:\PropInv\MF\Houston\Almeda_7100_7100 Almeda_Houston_03507","Almeda_7100_7100 Almeda_Houston_03507" )</f>
        <v>Almeda_7100_7100 Almeda_Houston_03507</v>
      </c>
      <c r="L2542" s="104" t="s">
        <v>22253</v>
      </c>
      <c r="M2542" s="103" t="str">
        <f t="shared" si="198"/>
        <v>http://oconnordata.com/mlink/modules/profile/index.cfm?action=profile&amp;prop_id=3507</v>
      </c>
      <c r="N2542" s="1" t="str">
        <f t="shared" si="199"/>
        <v>03507</v>
      </c>
    </row>
    <row r="2543" spans="1:14" x14ac:dyDescent="0.3">
      <c r="A2543" s="1">
        <v>3510</v>
      </c>
      <c r="B2543" s="7" t="s">
        <v>3745</v>
      </c>
      <c r="C2543" s="12">
        <v>2700</v>
      </c>
      <c r="D2543" s="7" t="s">
        <v>3812</v>
      </c>
      <c r="E2543" s="13" t="s">
        <v>1657</v>
      </c>
      <c r="F2543" t="str">
        <f t="shared" si="195"/>
        <v>Holly</v>
      </c>
      <c r="G2543" t="str">
        <f t="shared" si="196"/>
        <v>Holly2700Houston</v>
      </c>
      <c r="H2543" t="s">
        <v>33401</v>
      </c>
      <c r="I2543" t="s">
        <v>24826</v>
      </c>
      <c r="J2543" t="str">
        <f t="shared" si="197"/>
        <v>E:\PropInv\MF</v>
      </c>
      <c r="K2543" s="103" t="str">
        <f>HYPERLINK("E:\PropInv\MF\Houston\Holly Hall_2700_Plaza Del Oro_Houston_03510","Holly Hall_2700_Plaza Del Oro_Houston_03510" )</f>
        <v>Holly Hall_2700_Plaza Del Oro_Houston_03510</v>
      </c>
      <c r="L2543" s="104" t="s">
        <v>22253</v>
      </c>
      <c r="M2543" s="103" t="str">
        <f t="shared" si="198"/>
        <v>http://oconnordata.com/mlink/modules/profile/index.cfm?action=profile&amp;prop_id=3510</v>
      </c>
      <c r="N2543" s="1" t="str">
        <f t="shared" si="199"/>
        <v>03510</v>
      </c>
    </row>
    <row r="2544" spans="1:14" x14ac:dyDescent="0.3">
      <c r="A2544" s="1">
        <v>3511</v>
      </c>
      <c r="B2544" s="7" t="s">
        <v>3813</v>
      </c>
      <c r="C2544" s="12">
        <v>4002</v>
      </c>
      <c r="D2544" s="7" t="s">
        <v>3814</v>
      </c>
      <c r="E2544" s="13" t="s">
        <v>1657</v>
      </c>
      <c r="F2544" t="str">
        <f t="shared" si="195"/>
        <v>Corder</v>
      </c>
      <c r="G2544" t="str">
        <f t="shared" si="196"/>
        <v>Corder4002Houston</v>
      </c>
      <c r="H2544" t="s">
        <v>33402</v>
      </c>
      <c r="I2544" t="s">
        <v>24827</v>
      </c>
      <c r="J2544" t="str">
        <f t="shared" si="197"/>
        <v>E:\PropInv\MF</v>
      </c>
      <c r="K2544" s="103" t="str">
        <f>HYPERLINK("E:\PropInv\MF\Houston\Corder_4002_Missionary Village_Houston_03511","Corder_4002_Missionary Village_Houston_03511" )</f>
        <v>Corder_4002_Missionary Village_Houston_03511</v>
      </c>
      <c r="L2544" s="104" t="s">
        <v>22253</v>
      </c>
      <c r="M2544" s="103" t="str">
        <f t="shared" si="198"/>
        <v>http://oconnordata.com/mlink/modules/profile/index.cfm?action=profile&amp;prop_id=3511</v>
      </c>
      <c r="N2544" s="1" t="str">
        <f t="shared" si="199"/>
        <v>03511</v>
      </c>
    </row>
    <row r="2545" spans="1:14" x14ac:dyDescent="0.3">
      <c r="A2545" s="1">
        <v>3513</v>
      </c>
      <c r="B2545" s="7" t="s">
        <v>3815</v>
      </c>
      <c r="C2545" s="12">
        <v>3829</v>
      </c>
      <c r="D2545" s="7" t="s">
        <v>3816</v>
      </c>
      <c r="E2545" s="13" t="s">
        <v>1657</v>
      </c>
      <c r="F2545" t="str">
        <f t="shared" si="195"/>
        <v>Southlawn</v>
      </c>
      <c r="G2545" t="str">
        <f t="shared" si="196"/>
        <v>Southlawn3829Houston</v>
      </c>
      <c r="H2545" t="s">
        <v>33403</v>
      </c>
      <c r="I2545" t="s">
        <v>24828</v>
      </c>
      <c r="J2545" t="str">
        <f t="shared" si="197"/>
        <v>E:\PropInv\MF</v>
      </c>
      <c r="K2545" s="103" t="str">
        <f>HYPERLINK("E:\PropInv\MF\Houston\Southlawn St_3829_Southlawn Palms_Houston_03513","Southlawn St_3829_Southlawn Palms_Houston_03513" )</f>
        <v>Southlawn St_3829_Southlawn Palms_Houston_03513</v>
      </c>
      <c r="L2545" s="104" t="s">
        <v>22253</v>
      </c>
      <c r="M2545" s="103" t="str">
        <f t="shared" si="198"/>
        <v>http://oconnordata.com/mlink/modules/profile/index.cfm?action=profile&amp;prop_id=3513</v>
      </c>
      <c r="N2545" s="1" t="str">
        <f t="shared" si="199"/>
        <v>03513</v>
      </c>
    </row>
    <row r="2546" spans="1:14" x14ac:dyDescent="0.3">
      <c r="A2546" s="1">
        <v>3515</v>
      </c>
      <c r="B2546" s="7" t="s">
        <v>3817</v>
      </c>
      <c r="C2546" s="12">
        <v>2510</v>
      </c>
      <c r="D2546" s="7" t="s">
        <v>3818</v>
      </c>
      <c r="E2546" s="13" t="s">
        <v>1657</v>
      </c>
      <c r="F2546" t="str">
        <f t="shared" si="195"/>
        <v>Beatty</v>
      </c>
      <c r="G2546" t="str">
        <f t="shared" si="196"/>
        <v>Beatty2510Houston</v>
      </c>
      <c r="H2546" t="s">
        <v>33404</v>
      </c>
      <c r="I2546" t="s">
        <v>24829</v>
      </c>
      <c r="J2546" t="str">
        <f t="shared" si="197"/>
        <v>E:\PropInv\MF</v>
      </c>
      <c r="K2546" s="103" t="str">
        <f>HYPERLINK("E:\PropInv\MF\Houston\Beatty_2510_St Johns_Houston_03515","Beatty_2510_St Johns_Houston_03515" )</f>
        <v>Beatty_2510_St Johns_Houston_03515</v>
      </c>
      <c r="L2546" s="104" t="s">
        <v>22253</v>
      </c>
      <c r="M2546" s="103" t="str">
        <f t="shared" si="198"/>
        <v>http://oconnordata.com/mlink/modules/profile/index.cfm?action=profile&amp;prop_id=3515</v>
      </c>
      <c r="N2546" s="1" t="str">
        <f t="shared" si="199"/>
        <v>03515</v>
      </c>
    </row>
    <row r="2547" spans="1:14" x14ac:dyDescent="0.3">
      <c r="A2547" s="1">
        <v>3516</v>
      </c>
      <c r="B2547" s="7" t="s">
        <v>3819</v>
      </c>
      <c r="C2547" s="12">
        <v>7402</v>
      </c>
      <c r="D2547" s="7" t="s">
        <v>3820</v>
      </c>
      <c r="E2547" s="13" t="s">
        <v>1657</v>
      </c>
      <c r="F2547" t="str">
        <f t="shared" si="195"/>
        <v>Calhoun</v>
      </c>
      <c r="G2547" t="str">
        <f t="shared" si="196"/>
        <v>Calhoun7402Houston</v>
      </c>
      <c r="H2547" t="s">
        <v>33405</v>
      </c>
      <c r="I2547" t="s">
        <v>24830</v>
      </c>
      <c r="J2547" t="str">
        <f t="shared" si="197"/>
        <v>E:\PropInv\MF</v>
      </c>
      <c r="K2547" s="103" t="str">
        <f>HYPERLINK("E:\PropInv\MF\Houston\Calhoun_7402_Wesley Square_Houston_03516","Calhoun_7402_Wesley Square_Houston_03516" )</f>
        <v>Calhoun_7402_Wesley Square_Houston_03516</v>
      </c>
      <c r="L2547" s="104" t="s">
        <v>22253</v>
      </c>
      <c r="M2547" s="103" t="str">
        <f t="shared" si="198"/>
        <v>http://oconnordata.com/mlink/modules/profile/index.cfm?action=profile&amp;prop_id=3516</v>
      </c>
      <c r="N2547" s="1" t="str">
        <f t="shared" si="199"/>
        <v>03516</v>
      </c>
    </row>
    <row r="2548" spans="1:14" x14ac:dyDescent="0.3">
      <c r="A2548" s="1">
        <v>3517</v>
      </c>
      <c r="B2548" s="7" t="s">
        <v>3821</v>
      </c>
      <c r="C2548" s="12">
        <v>4617</v>
      </c>
      <c r="D2548" s="7" t="s">
        <v>3822</v>
      </c>
      <c r="E2548" s="13" t="s">
        <v>1657</v>
      </c>
      <c r="F2548" t="str">
        <f t="shared" si="195"/>
        <v>Edfield</v>
      </c>
      <c r="G2548" t="str">
        <f t="shared" si="196"/>
        <v>Edfield4617Houston</v>
      </c>
      <c r="H2548" t="s">
        <v>33406</v>
      </c>
      <c r="I2548" t="s">
        <v>24831</v>
      </c>
      <c r="J2548" t="str">
        <f t="shared" si="197"/>
        <v>E:\PropInv\MF</v>
      </c>
      <c r="K2548" s="103" t="str">
        <f>HYPERLINK("E:\PropInv\MF\Houston\Edfield_4617_Mount Hebron Village_Houston_03517","Edfield_4617_Mount Hebron Village_Houston_03517" )</f>
        <v>Edfield_4617_Mount Hebron Village_Houston_03517</v>
      </c>
      <c r="L2548" s="104" t="s">
        <v>22253</v>
      </c>
      <c r="M2548" s="103" t="str">
        <f t="shared" si="198"/>
        <v>http://oconnordata.com/mlink/modules/profile/index.cfm?action=profile&amp;prop_id=3517</v>
      </c>
      <c r="N2548" s="1" t="str">
        <f t="shared" si="199"/>
        <v>03517</v>
      </c>
    </row>
    <row r="2549" spans="1:14" x14ac:dyDescent="0.3">
      <c r="A2549" s="1">
        <v>3519</v>
      </c>
      <c r="B2549" s="7" t="s">
        <v>3807</v>
      </c>
      <c r="C2549" s="12">
        <v>8181</v>
      </c>
      <c r="D2549" s="7" t="s">
        <v>616</v>
      </c>
      <c r="E2549" s="13" t="s">
        <v>1657</v>
      </c>
      <c r="F2549" t="str">
        <f t="shared" si="195"/>
        <v>El</v>
      </c>
      <c r="G2549" t="str">
        <f t="shared" si="196"/>
        <v>El8181Houston</v>
      </c>
      <c r="H2549" t="s">
        <v>33407</v>
      </c>
      <c r="I2549" t="s">
        <v>24832</v>
      </c>
      <c r="J2549" t="str">
        <f t="shared" si="197"/>
        <v>E:\PropInv\MF</v>
      </c>
      <c r="K2549" s="103" t="str">
        <f>HYPERLINK("E:\PropInv\MF\Houston\El Mundo_8181_San Marin_Houston_03519","El Mundo_8181_San Marin_Houston_03519" )</f>
        <v>El Mundo_8181_San Marin_Houston_03519</v>
      </c>
      <c r="L2549" s="104" t="s">
        <v>22253</v>
      </c>
      <c r="M2549" s="103" t="str">
        <f t="shared" si="198"/>
        <v>http://oconnordata.com/mlink/modules/profile/index.cfm?action=profile&amp;prop_id=3519</v>
      </c>
      <c r="N2549" s="1" t="str">
        <f t="shared" si="199"/>
        <v>03519</v>
      </c>
    </row>
    <row r="2550" spans="1:14" x14ac:dyDescent="0.3">
      <c r="A2550" s="1">
        <v>3525</v>
      </c>
      <c r="B2550" s="7" t="s">
        <v>3823</v>
      </c>
      <c r="C2550" s="12">
        <v>3322</v>
      </c>
      <c r="D2550" s="7" t="s">
        <v>3824</v>
      </c>
      <c r="E2550" s="13" t="s">
        <v>1657</v>
      </c>
      <c r="F2550" t="str">
        <f t="shared" si="195"/>
        <v>Yellowstone</v>
      </c>
      <c r="G2550" t="str">
        <f t="shared" si="196"/>
        <v>Yellowstone3322Houston</v>
      </c>
      <c r="H2550" t="s">
        <v>33408</v>
      </c>
      <c r="I2550" t="s">
        <v>24833</v>
      </c>
      <c r="J2550" t="str">
        <f t="shared" si="197"/>
        <v>E:\PropInv\MF</v>
      </c>
      <c r="K2550" s="103" t="str">
        <f>HYPERLINK("E:\PropInv\MF\Houston\Yellowstone Blvd_3322_Park Yellowstone TH_Houston_03525","Yellowstone Blvd_3322_Park Yellowstone TH_Houston_03525" )</f>
        <v>Yellowstone Blvd_3322_Park Yellowstone TH_Houston_03525</v>
      </c>
      <c r="L2550" s="104" t="s">
        <v>22253</v>
      </c>
      <c r="M2550" s="103" t="str">
        <f t="shared" si="198"/>
        <v>http://oconnordata.com/mlink/modules/profile/index.cfm?action=profile&amp;prop_id=3525</v>
      </c>
      <c r="N2550" s="1" t="str">
        <f t="shared" si="199"/>
        <v>03525</v>
      </c>
    </row>
    <row r="2551" spans="1:14" x14ac:dyDescent="0.3">
      <c r="A2551" s="1">
        <v>3529</v>
      </c>
      <c r="B2551" s="7" t="s">
        <v>3825</v>
      </c>
      <c r="C2551" s="12">
        <v>3603</v>
      </c>
      <c r="D2551" s="7" t="s">
        <v>3826</v>
      </c>
      <c r="E2551" s="13" t="s">
        <v>1657</v>
      </c>
      <c r="F2551" t="str">
        <f t="shared" si="195"/>
        <v>Alice</v>
      </c>
      <c r="G2551" t="str">
        <f t="shared" si="196"/>
        <v>Alice3603Houston</v>
      </c>
      <c r="H2551" t="s">
        <v>33409</v>
      </c>
      <c r="I2551" t="s">
        <v>24834</v>
      </c>
      <c r="J2551" t="str">
        <f t="shared" si="197"/>
        <v>E:\PropInv\MF</v>
      </c>
      <c r="K2551" s="103" t="str">
        <f>HYPERLINK("E:\PropInv\MF\Houston\Alice_3603_Alice Apts_Houston_03529","Alice_3603_Alice Apts_Houston_03529" )</f>
        <v>Alice_3603_Alice Apts_Houston_03529</v>
      </c>
      <c r="L2551" s="104" t="s">
        <v>22253</v>
      </c>
      <c r="M2551" s="103" t="str">
        <f t="shared" si="198"/>
        <v>http://oconnordata.com/mlink/modules/profile/index.cfm?action=profile&amp;prop_id=3529</v>
      </c>
      <c r="N2551" s="1" t="str">
        <f t="shared" si="199"/>
        <v>03529</v>
      </c>
    </row>
    <row r="2552" spans="1:14" x14ac:dyDescent="0.3">
      <c r="A2552" s="97">
        <v>3530</v>
      </c>
      <c r="B2552" s="7" t="s">
        <v>3813</v>
      </c>
      <c r="C2552" s="12">
        <v>4001</v>
      </c>
      <c r="D2552" s="7" t="s">
        <v>3827</v>
      </c>
      <c r="E2552" s="13" t="s">
        <v>1657</v>
      </c>
      <c r="F2552" t="str">
        <f t="shared" si="195"/>
        <v>Corder</v>
      </c>
      <c r="G2552" t="str">
        <f t="shared" si="196"/>
        <v>Corder4001Houston</v>
      </c>
      <c r="H2552" t="s">
        <v>33410</v>
      </c>
      <c r="I2552" t="s">
        <v>24835</v>
      </c>
      <c r="J2552" t="str">
        <f t="shared" si="197"/>
        <v>E:\PropInv\MF</v>
      </c>
      <c r="K2552" s="103" t="str">
        <f>HYPERLINK("E:\PropInv\MF\Houston\Corder_4001_Zollie Scales Manor_Houston_03530","Corder_4001_Zollie Scales Manor_Houston_03530" )</f>
        <v>Corder_4001_Zollie Scales Manor_Houston_03530</v>
      </c>
      <c r="L2552" s="104" t="s">
        <v>22253</v>
      </c>
      <c r="M2552" s="103" t="str">
        <f t="shared" si="198"/>
        <v>http://oconnordata.com/mlink/modules/profile/index.cfm?action=profile&amp;prop_id=3530</v>
      </c>
      <c r="N2552" s="1" t="str">
        <f t="shared" si="199"/>
        <v>03530</v>
      </c>
    </row>
    <row r="2553" spans="1:14" x14ac:dyDescent="0.3">
      <c r="A2553" s="1">
        <v>3531</v>
      </c>
      <c r="B2553" s="7" t="s">
        <v>3828</v>
      </c>
      <c r="C2553" s="12">
        <v>1907</v>
      </c>
      <c r="D2553" s="7" t="s">
        <v>3829</v>
      </c>
      <c r="E2553" s="13" t="s">
        <v>1657</v>
      </c>
      <c r="F2553" t="str">
        <f t="shared" si="195"/>
        <v>Dismuke</v>
      </c>
      <c r="G2553" t="str">
        <f t="shared" si="196"/>
        <v>Dismuke1907Houston</v>
      </c>
      <c r="H2553" t="s">
        <v>33411</v>
      </c>
      <c r="I2553" t="s">
        <v>24836</v>
      </c>
      <c r="J2553" t="str">
        <f t="shared" si="197"/>
        <v>E:\PropInv\MF</v>
      </c>
      <c r="K2553" s="103" t="str">
        <f>HYPERLINK("E:\PropInv\MF\Houston\Dismuke_1907_Dismuke Apts_Houston_03531","Dismuke_1907_Dismuke Apts_Houston_03531" )</f>
        <v>Dismuke_1907_Dismuke Apts_Houston_03531</v>
      </c>
      <c r="L2553" s="104" t="s">
        <v>22253</v>
      </c>
      <c r="M2553" s="103" t="str">
        <f t="shared" si="198"/>
        <v>http://oconnordata.com/mlink/modules/profile/index.cfm?action=profile&amp;prop_id=3531</v>
      </c>
      <c r="N2553" s="1" t="str">
        <f t="shared" si="199"/>
        <v>03531</v>
      </c>
    </row>
    <row r="2554" spans="1:14" x14ac:dyDescent="0.3">
      <c r="A2554" s="1">
        <v>3532</v>
      </c>
      <c r="B2554" s="7" t="s">
        <v>3830</v>
      </c>
      <c r="C2554" s="12">
        <v>6113</v>
      </c>
      <c r="D2554" s="7" t="s">
        <v>3831</v>
      </c>
      <c r="E2554" s="13" t="s">
        <v>1657</v>
      </c>
      <c r="F2554" t="str">
        <f t="shared" si="195"/>
        <v>Gulf</v>
      </c>
      <c r="G2554" t="str">
        <f t="shared" si="196"/>
        <v>Gulf6113Houston</v>
      </c>
      <c r="H2554" t="s">
        <v>33412</v>
      </c>
      <c r="I2554" t="s">
        <v>24837</v>
      </c>
      <c r="J2554" t="str">
        <f t="shared" si="197"/>
        <v>E:\PropInv\MF</v>
      </c>
      <c r="K2554" s="103" t="str">
        <f>HYPERLINK("E:\PropInv\MF\Houston\Gulf Fwy_6113_Brookdale Village_Houston_03532","Gulf Fwy_6113_Brookdale Village_Houston_03532" )</f>
        <v>Gulf Fwy_6113_Brookdale Village_Houston_03532</v>
      </c>
      <c r="L2554" s="104" t="s">
        <v>22253</v>
      </c>
      <c r="M2554" s="103" t="str">
        <f t="shared" si="198"/>
        <v>http://oconnordata.com/mlink/modules/profile/index.cfm?action=profile&amp;prop_id=3532</v>
      </c>
      <c r="N2554" s="1" t="str">
        <f t="shared" si="199"/>
        <v>03532</v>
      </c>
    </row>
    <row r="2555" spans="1:14" x14ac:dyDescent="0.3">
      <c r="A2555" s="1">
        <v>3534</v>
      </c>
      <c r="B2555" s="7" t="s">
        <v>3425</v>
      </c>
      <c r="C2555" s="12">
        <v>4362</v>
      </c>
      <c r="D2555" s="7" t="s">
        <v>3832</v>
      </c>
      <c r="E2555" s="13" t="s">
        <v>1657</v>
      </c>
      <c r="F2555" t="str">
        <f t="shared" si="195"/>
        <v>Bellfort</v>
      </c>
      <c r="G2555" t="str">
        <f t="shared" si="196"/>
        <v>Bellfort4362Houston</v>
      </c>
      <c r="H2555" t="s">
        <v>33413</v>
      </c>
      <c r="I2555" t="s">
        <v>24838</v>
      </c>
      <c r="J2555" t="str">
        <f t="shared" si="197"/>
        <v>E:\PropInv\MF</v>
      </c>
      <c r="K2555" s="103" t="str">
        <f>HYPERLINK("E:\PropInv\MF\Houston\Bellfort W_4362_4362 Bellfort_Houston_03534","Bellfort W_4362_4362 Bellfort_Houston_03534" )</f>
        <v>Bellfort W_4362_4362 Bellfort_Houston_03534</v>
      </c>
      <c r="L2555" s="104" t="s">
        <v>22253</v>
      </c>
      <c r="M2555" s="103" t="str">
        <f t="shared" si="198"/>
        <v>http://oconnordata.com/mlink/modules/profile/index.cfm?action=profile&amp;prop_id=3534</v>
      </c>
      <c r="N2555" s="1" t="str">
        <f t="shared" si="199"/>
        <v>03534</v>
      </c>
    </row>
    <row r="2556" spans="1:14" x14ac:dyDescent="0.3">
      <c r="A2556" s="1">
        <v>3536</v>
      </c>
      <c r="B2556" s="7" t="s">
        <v>3833</v>
      </c>
      <c r="C2556" s="12">
        <v>5050</v>
      </c>
      <c r="D2556" s="7" t="s">
        <v>3834</v>
      </c>
      <c r="E2556" s="13" t="s">
        <v>1657</v>
      </c>
      <c r="F2556" t="str">
        <f t="shared" si="195"/>
        <v>Sunflower</v>
      </c>
      <c r="G2556" t="str">
        <f t="shared" si="196"/>
        <v>Sunflower5050Houston</v>
      </c>
      <c r="H2556" t="s">
        <v>33414</v>
      </c>
      <c r="I2556" t="s">
        <v>24839</v>
      </c>
      <c r="J2556" t="str">
        <f t="shared" si="197"/>
        <v>E:\PropInv\MF</v>
      </c>
      <c r="K2556" s="103" t="str">
        <f>HYPERLINK("E:\PropInv\MF\Houston\Sunflower_5050_Sunflower Terrace_Houston_03536","Sunflower_5050_Sunflower Terrace_Houston_03536" )</f>
        <v>Sunflower_5050_Sunflower Terrace_Houston_03536</v>
      </c>
      <c r="L2556" s="104" t="s">
        <v>22253</v>
      </c>
      <c r="M2556" s="103" t="str">
        <f t="shared" si="198"/>
        <v>http://oconnordata.com/mlink/modules/profile/index.cfm?action=profile&amp;prop_id=3536</v>
      </c>
      <c r="N2556" s="1" t="str">
        <f t="shared" si="199"/>
        <v>03536</v>
      </c>
    </row>
    <row r="2557" spans="1:14" x14ac:dyDescent="0.3">
      <c r="A2557" s="1">
        <v>3540</v>
      </c>
      <c r="B2557" s="7" t="s">
        <v>3817</v>
      </c>
      <c r="C2557" s="12">
        <v>2520</v>
      </c>
      <c r="D2557" s="7" t="s">
        <v>3835</v>
      </c>
      <c r="E2557" s="13" t="s">
        <v>1657</v>
      </c>
      <c r="F2557" t="str">
        <f t="shared" si="195"/>
        <v>Beatty</v>
      </c>
      <c r="G2557" t="str">
        <f t="shared" si="196"/>
        <v>Beatty2520Houston</v>
      </c>
      <c r="H2557" t="s">
        <v>33415</v>
      </c>
      <c r="I2557" t="s">
        <v>24840</v>
      </c>
      <c r="J2557" t="str">
        <f t="shared" si="197"/>
        <v>E:\PropInv\MF</v>
      </c>
      <c r="K2557" s="103" t="str">
        <f>HYPERLINK("E:\PropInv\MF\Houston\Beatty_2520_Colony Manor_Houston_03540","Beatty_2520_Colony Manor_Houston_03540" )</f>
        <v>Beatty_2520_Colony Manor_Houston_03540</v>
      </c>
      <c r="L2557" s="104" t="s">
        <v>22253</v>
      </c>
      <c r="M2557" s="103" t="str">
        <f t="shared" si="198"/>
        <v>http://oconnordata.com/mlink/modules/profile/index.cfm?action=profile&amp;prop_id=3540</v>
      </c>
      <c r="N2557" s="1" t="str">
        <f t="shared" si="199"/>
        <v>03540</v>
      </c>
    </row>
    <row r="2558" spans="1:14" x14ac:dyDescent="0.3">
      <c r="A2558" s="1">
        <v>3541</v>
      </c>
      <c r="B2558" s="7" t="s">
        <v>3817</v>
      </c>
      <c r="C2558" s="12">
        <v>2606</v>
      </c>
      <c r="D2558" s="7" t="s">
        <v>3836</v>
      </c>
      <c r="E2558" s="13" t="s">
        <v>1657</v>
      </c>
      <c r="F2558" t="str">
        <f t="shared" si="195"/>
        <v>Beatty</v>
      </c>
      <c r="G2558" t="str">
        <f t="shared" si="196"/>
        <v>Beatty2606Houston</v>
      </c>
      <c r="H2558" t="s">
        <v>33416</v>
      </c>
      <c r="I2558" t="s">
        <v>24841</v>
      </c>
      <c r="J2558" t="str">
        <f t="shared" si="197"/>
        <v>E:\PropInv\MF</v>
      </c>
      <c r="K2558" s="103" t="str">
        <f>HYPERLINK("E:\PropInv\MF\Houston\Beatty_2606_Victory_Houston_03541","Beatty_2606_Victory_Houston_03541" )</f>
        <v>Beatty_2606_Victory_Houston_03541</v>
      </c>
      <c r="L2558" s="104" t="s">
        <v>22253</v>
      </c>
      <c r="M2558" s="103" t="str">
        <f t="shared" si="198"/>
        <v>http://oconnordata.com/mlink/modules/profile/index.cfm?action=profile&amp;prop_id=3541</v>
      </c>
      <c r="N2558" s="1" t="str">
        <f t="shared" si="199"/>
        <v>03541</v>
      </c>
    </row>
    <row r="2559" spans="1:14" x14ac:dyDescent="0.3">
      <c r="A2559" s="1">
        <v>3542</v>
      </c>
      <c r="B2559" s="7" t="s">
        <v>3817</v>
      </c>
      <c r="C2559" s="12">
        <v>2704</v>
      </c>
      <c r="D2559" s="7" t="s">
        <v>3837</v>
      </c>
      <c r="E2559" s="13" t="s">
        <v>1657</v>
      </c>
      <c r="F2559" t="str">
        <f t="shared" si="195"/>
        <v>Beatty</v>
      </c>
      <c r="G2559" t="str">
        <f t="shared" si="196"/>
        <v>Beatty2704Houston</v>
      </c>
      <c r="H2559" t="s">
        <v>33417</v>
      </c>
      <c r="I2559" t="s">
        <v>24842</v>
      </c>
      <c r="J2559" t="str">
        <f t="shared" si="197"/>
        <v>E:\PropInv\MF</v>
      </c>
      <c r="K2559" s="103" t="str">
        <f>HYPERLINK("E:\PropInv\MF\Houston\Beatty_2704_Gatehouse_Houston_03542","Beatty_2704_Gatehouse_Houston_03542" )</f>
        <v>Beatty_2704_Gatehouse_Houston_03542</v>
      </c>
      <c r="L2559" s="104" t="s">
        <v>22253</v>
      </c>
      <c r="M2559" s="103" t="str">
        <f t="shared" si="198"/>
        <v>http://oconnordata.com/mlink/modules/profile/index.cfm?action=profile&amp;prop_id=3542</v>
      </c>
      <c r="N2559" s="1" t="str">
        <f t="shared" si="199"/>
        <v>03542</v>
      </c>
    </row>
    <row r="2560" spans="1:14" x14ac:dyDescent="0.3">
      <c r="A2560" s="1">
        <v>3545</v>
      </c>
      <c r="B2560" s="19" t="s">
        <v>3838</v>
      </c>
      <c r="C2560" s="18">
        <v>6315</v>
      </c>
      <c r="D2560" s="19" t="s">
        <v>3839</v>
      </c>
      <c r="E2560" s="20" t="s">
        <v>1657</v>
      </c>
      <c r="F2560" t="str">
        <f t="shared" si="195"/>
        <v>Loop</v>
      </c>
      <c r="G2560" t="str">
        <f t="shared" si="196"/>
        <v>Loop6315Houston</v>
      </c>
      <c r="H2560" t="s">
        <v>33418</v>
      </c>
      <c r="I2560" t="s">
        <v>24843</v>
      </c>
      <c r="J2560" t="str">
        <f t="shared" si="197"/>
        <v>E:\PropInv\MF</v>
      </c>
      <c r="K2560" s="103" t="str">
        <f>HYPERLINK("E:\PropInv\MF\Houston\Loop E S_6315_Sands_Houston_03545","Loop E S_6315_Sands_Houston_03545" )</f>
        <v>Loop E S_6315_Sands_Houston_03545</v>
      </c>
      <c r="L2560" s="104" t="s">
        <v>22253</v>
      </c>
      <c r="M2560" s="103" t="str">
        <f t="shared" si="198"/>
        <v>http://oconnordata.com/mlink/modules/profile/index.cfm?action=profile&amp;prop_id=3545</v>
      </c>
      <c r="N2560" s="1" t="str">
        <f t="shared" si="199"/>
        <v>03545</v>
      </c>
    </row>
    <row r="2561" spans="1:14" x14ac:dyDescent="0.3">
      <c r="A2561" s="1">
        <v>3546</v>
      </c>
      <c r="B2561" s="7" t="s">
        <v>3840</v>
      </c>
      <c r="C2561" s="12">
        <v>1500</v>
      </c>
      <c r="D2561" s="7" t="s">
        <v>3841</v>
      </c>
      <c r="E2561" s="13" t="s">
        <v>1657</v>
      </c>
      <c r="F2561" t="str">
        <f t="shared" si="195"/>
        <v>Lawndale</v>
      </c>
      <c r="G2561" t="str">
        <f t="shared" si="196"/>
        <v>Lawndale1500Houston</v>
      </c>
      <c r="H2561" t="s">
        <v>33419</v>
      </c>
      <c r="I2561" t="s">
        <v>24844</v>
      </c>
      <c r="J2561" t="str">
        <f t="shared" si="197"/>
        <v>E:\PropInv\MF</v>
      </c>
      <c r="K2561" s="103" t="str">
        <f>HYPERLINK("E:\PropInv\MF\Houston\Lawndale Plaza_1500_Lawndale Village_Houston_03546","Lawndale Plaza_1500_Lawndale Village_Houston_03546" )</f>
        <v>Lawndale Plaza_1500_Lawndale Village_Houston_03546</v>
      </c>
      <c r="L2561" s="104" t="s">
        <v>22253</v>
      </c>
      <c r="M2561" s="103" t="str">
        <f t="shared" si="198"/>
        <v>http://oconnordata.com/mlink/modules/profile/index.cfm?action=profile&amp;prop_id=3546</v>
      </c>
      <c r="N2561" s="1" t="str">
        <f t="shared" si="199"/>
        <v>03546</v>
      </c>
    </row>
    <row r="2562" spans="1:14" x14ac:dyDescent="0.3">
      <c r="A2562" s="1">
        <v>3554</v>
      </c>
      <c r="B2562" s="19" t="s">
        <v>22295</v>
      </c>
      <c r="C2562" s="18">
        <v>2811</v>
      </c>
      <c r="D2562" s="19" t="s">
        <v>3842</v>
      </c>
      <c r="E2562" s="20" t="s">
        <v>1657</v>
      </c>
      <c r="F2562" t="str">
        <f t="shared" ref="F2562:F2625" si="200">IFERROR(LEFT(B2562,FIND(" ",B2562)-1),B2562)</f>
        <v>Broad</v>
      </c>
      <c r="G2562" t="str">
        <f t="shared" ref="G2562:G2625" si="201">F2562&amp;C2562&amp;E2562</f>
        <v>Broad2811Houston</v>
      </c>
      <c r="H2562" t="s">
        <v>33420</v>
      </c>
      <c r="I2562" t="s">
        <v>24845</v>
      </c>
      <c r="J2562" t="str">
        <f t="shared" ref="J2562:J2625" si="202">IF(L2562="TX",Folder_Path,Folder_Path&amp;"\State_"&amp;L2562)</f>
        <v>E:\PropInv\MF</v>
      </c>
      <c r="K2562" s="103" t="str">
        <f>HYPERLINK("E:\PropInv\MF\Houston\Broad_2811_Oak Acres_Houston_03554","Broad_2811_Oak Acres_Houston_03554" )</f>
        <v>Broad_2811_Oak Acres_Houston_03554</v>
      </c>
      <c r="L2562" s="104" t="s">
        <v>22253</v>
      </c>
      <c r="M2562" s="103" t="str">
        <f t="shared" ref="M2562:M2625" si="203">HYPERLINK("http://oconnordata.com/mlink/modules/profile/index.cfm?action=profile&amp;prop_id="&amp;A2562)</f>
        <v>http://oconnordata.com/mlink/modules/profile/index.cfm?action=profile&amp;prop_id=3554</v>
      </c>
      <c r="N2562" s="1" t="str">
        <f t="shared" ref="N2562:N2625" si="204">IF(LEN(A2562)=1,"0000"&amp;A2562,IF(LEN(A2562)=2,"000"&amp;A2562,IF(LEN(A2562)=3,"00"&amp;A2562,IF(LEN(A2562)=4,"0"&amp;A2562,IF(LEN(A2562)=5,IF(LEFT(A2562,1)="3",A2562+30000,A2562))))))</f>
        <v>03554</v>
      </c>
    </row>
    <row r="2563" spans="1:14" x14ac:dyDescent="0.3">
      <c r="A2563" s="1">
        <v>3558</v>
      </c>
      <c r="B2563" s="7" t="s">
        <v>3838</v>
      </c>
      <c r="C2563" s="12">
        <v>6922</v>
      </c>
      <c r="D2563" s="7" t="s">
        <v>3843</v>
      </c>
      <c r="E2563" s="13" t="s">
        <v>1657</v>
      </c>
      <c r="F2563" t="str">
        <f t="shared" si="200"/>
        <v>Loop</v>
      </c>
      <c r="G2563" t="str">
        <f t="shared" si="201"/>
        <v>Loop6922Houston</v>
      </c>
      <c r="H2563" t="s">
        <v>33421</v>
      </c>
      <c r="I2563" t="s">
        <v>24846</v>
      </c>
      <c r="J2563" t="str">
        <f t="shared" si="202"/>
        <v>E:\PropInv\MF</v>
      </c>
      <c r="K2563" s="103" t="str">
        <f>HYPERLINK("E:\PropInv\MF\Houston\Loop E S_6922_Gala Vista_Houston_03558","Loop E S_6922_Gala Vista_Houston_03558" )</f>
        <v>Loop E S_6922_Gala Vista_Houston_03558</v>
      </c>
      <c r="L2563" s="104" t="s">
        <v>22253</v>
      </c>
      <c r="M2563" s="103" t="str">
        <f t="shared" si="203"/>
        <v>http://oconnordata.com/mlink/modules/profile/index.cfm?action=profile&amp;prop_id=3558</v>
      </c>
      <c r="N2563" s="1" t="str">
        <f t="shared" si="204"/>
        <v>03558</v>
      </c>
    </row>
    <row r="2564" spans="1:14" x14ac:dyDescent="0.3">
      <c r="A2564" s="97">
        <v>3559</v>
      </c>
      <c r="B2564" s="7" t="s">
        <v>3844</v>
      </c>
      <c r="C2564" s="12">
        <v>123</v>
      </c>
      <c r="D2564" s="7" t="s">
        <v>3845</v>
      </c>
      <c r="E2564" s="13" t="s">
        <v>1657</v>
      </c>
      <c r="F2564" t="str">
        <f t="shared" si="200"/>
        <v>Winkler</v>
      </c>
      <c r="G2564" t="str">
        <f t="shared" si="201"/>
        <v>Winkler123Houston</v>
      </c>
      <c r="H2564" t="s">
        <v>33422</v>
      </c>
      <c r="I2564" t="s">
        <v>24847</v>
      </c>
      <c r="J2564" t="str">
        <f t="shared" si="202"/>
        <v>E:\PropInv\MF</v>
      </c>
      <c r="K2564" s="103" t="str">
        <f>HYPERLINK("E:\PropInv\MF\Houston\Winkler_123_Winkler Villa_Houston_03559","Winkler_123_Winkler Villa_Houston_03559" )</f>
        <v>Winkler_123_Winkler Villa_Houston_03559</v>
      </c>
      <c r="L2564" s="104" t="s">
        <v>22253</v>
      </c>
      <c r="M2564" s="103" t="str">
        <f t="shared" si="203"/>
        <v>http://oconnordata.com/mlink/modules/profile/index.cfm?action=profile&amp;prop_id=3559</v>
      </c>
      <c r="N2564" s="1" t="str">
        <f t="shared" si="204"/>
        <v>03559</v>
      </c>
    </row>
    <row r="2565" spans="1:14" x14ac:dyDescent="0.3">
      <c r="A2565" s="1">
        <v>3563</v>
      </c>
      <c r="B2565" s="7" t="s">
        <v>3846</v>
      </c>
      <c r="C2565" s="12">
        <v>3803</v>
      </c>
      <c r="D2565" s="7" t="s">
        <v>3847</v>
      </c>
      <c r="E2565" s="13" t="s">
        <v>1657</v>
      </c>
      <c r="F2565" t="str">
        <f t="shared" si="200"/>
        <v>Weslow</v>
      </c>
      <c r="G2565" t="str">
        <f t="shared" si="201"/>
        <v>Weslow3803Houston</v>
      </c>
      <c r="H2565" t="s">
        <v>33423</v>
      </c>
      <c r="I2565" t="s">
        <v>24848</v>
      </c>
      <c r="J2565" t="str">
        <f t="shared" si="202"/>
        <v>E:\PropInv\MF</v>
      </c>
      <c r="K2565" s="103" t="str">
        <f>HYPERLINK("E:\PropInv\MF\Houston\Weslow_3803_Weslow Manor_Houston_03563","Weslow_3803_Weslow Manor_Houston_03563" )</f>
        <v>Weslow_3803_Weslow Manor_Houston_03563</v>
      </c>
      <c r="L2565" s="104" t="s">
        <v>22253</v>
      </c>
      <c r="M2565" s="103" t="str">
        <f t="shared" si="203"/>
        <v>http://oconnordata.com/mlink/modules/profile/index.cfm?action=profile&amp;prop_id=3563</v>
      </c>
      <c r="N2565" s="1" t="str">
        <f t="shared" si="204"/>
        <v>03563</v>
      </c>
    </row>
    <row r="2566" spans="1:14" x14ac:dyDescent="0.3">
      <c r="A2566" s="1">
        <v>3566</v>
      </c>
      <c r="B2566" s="19" t="s">
        <v>3848</v>
      </c>
      <c r="C2566" s="18">
        <v>6030</v>
      </c>
      <c r="D2566" s="19" t="s">
        <v>3849</v>
      </c>
      <c r="E2566" s="20" t="s">
        <v>1657</v>
      </c>
      <c r="F2566" t="str">
        <f t="shared" si="200"/>
        <v>Schroeder</v>
      </c>
      <c r="G2566" t="str">
        <f t="shared" si="201"/>
        <v>Schroeder6030Houston</v>
      </c>
      <c r="H2566" t="s">
        <v>33424</v>
      </c>
      <c r="I2566" t="s">
        <v>24849</v>
      </c>
      <c r="J2566" t="str">
        <f t="shared" si="202"/>
        <v>E:\PropInv\MF</v>
      </c>
      <c r="K2566" s="103" t="str">
        <f>HYPERLINK("E:\PropInv\MF\Houston\Schroeder_6030_Les Jardins Apts_Houston_03566","Schroeder_6030_Les Jardins Apts_Houston_03566" )</f>
        <v>Schroeder_6030_Les Jardins Apts_Houston_03566</v>
      </c>
      <c r="L2566" s="104" t="s">
        <v>22253</v>
      </c>
      <c r="M2566" s="103" t="str">
        <f t="shared" si="203"/>
        <v>http://oconnordata.com/mlink/modules/profile/index.cfm?action=profile&amp;prop_id=3566</v>
      </c>
      <c r="N2566" s="1" t="str">
        <f t="shared" si="204"/>
        <v>03566</v>
      </c>
    </row>
    <row r="2567" spans="1:14" x14ac:dyDescent="0.3">
      <c r="A2567" s="1">
        <v>3568</v>
      </c>
      <c r="B2567" s="7" t="s">
        <v>3850</v>
      </c>
      <c r="C2567" s="12">
        <v>5601</v>
      </c>
      <c r="D2567" s="7" t="s">
        <v>3851</v>
      </c>
      <c r="E2567" s="13" t="s">
        <v>1657</v>
      </c>
      <c r="F2567" t="str">
        <f t="shared" si="200"/>
        <v>Royal</v>
      </c>
      <c r="G2567" t="str">
        <f t="shared" si="201"/>
        <v>Royal5601Houston</v>
      </c>
      <c r="H2567" t="s">
        <v>33425</v>
      </c>
      <c r="I2567" t="s">
        <v>24850</v>
      </c>
      <c r="J2567" t="str">
        <f t="shared" si="202"/>
        <v>E:\PropInv\MF</v>
      </c>
      <c r="K2567" s="103" t="str">
        <f>HYPERLINK("E:\PropInv\MF\Houston\Royal Palms_5601_Royal Palms East_Houston_03568","Royal Palms_5601_Royal Palms East_Houston_03568" )</f>
        <v>Royal Palms_5601_Royal Palms East_Houston_03568</v>
      </c>
      <c r="L2567" s="104" t="s">
        <v>22253</v>
      </c>
      <c r="M2567" s="103" t="str">
        <f t="shared" si="203"/>
        <v>http://oconnordata.com/mlink/modules/profile/index.cfm?action=profile&amp;prop_id=3568</v>
      </c>
      <c r="N2567" s="1" t="str">
        <f t="shared" si="204"/>
        <v>03568</v>
      </c>
    </row>
    <row r="2568" spans="1:14" x14ac:dyDescent="0.3">
      <c r="A2568" s="1">
        <v>3573</v>
      </c>
      <c r="B2568" s="7" t="s">
        <v>3838</v>
      </c>
      <c r="C2568" s="12">
        <v>6156</v>
      </c>
      <c r="D2568" s="7" t="s">
        <v>3852</v>
      </c>
      <c r="E2568" s="13" t="s">
        <v>1657</v>
      </c>
      <c r="F2568" t="str">
        <f t="shared" si="200"/>
        <v>Loop</v>
      </c>
      <c r="G2568" t="str">
        <f t="shared" si="201"/>
        <v>Loop6156Houston</v>
      </c>
      <c r="H2568" t="s">
        <v>33426</v>
      </c>
      <c r="I2568" t="s">
        <v>24851</v>
      </c>
      <c r="J2568" t="str">
        <f t="shared" si="202"/>
        <v>E:\PropInv\MF</v>
      </c>
      <c r="K2568" s="103" t="str">
        <f>HYPERLINK("E:\PropInv\MF\Houston\Loop E S_6156_The Villas_Houston_03573","Loop E S_6156_The Villas_Houston_03573" )</f>
        <v>Loop E S_6156_The Villas_Houston_03573</v>
      </c>
      <c r="L2568" s="104" t="s">
        <v>22253</v>
      </c>
      <c r="M2568" s="103" t="str">
        <f t="shared" si="203"/>
        <v>http://oconnordata.com/mlink/modules/profile/index.cfm?action=profile&amp;prop_id=3573</v>
      </c>
      <c r="N2568" s="1" t="str">
        <f t="shared" si="204"/>
        <v>03573</v>
      </c>
    </row>
    <row r="2569" spans="1:14" x14ac:dyDescent="0.3">
      <c r="A2569" s="1">
        <v>3576</v>
      </c>
      <c r="B2569" s="7" t="s">
        <v>3853</v>
      </c>
      <c r="C2569" s="12">
        <v>910</v>
      </c>
      <c r="D2569" s="7" t="s">
        <v>3854</v>
      </c>
      <c r="E2569" s="13" t="s">
        <v>1657</v>
      </c>
      <c r="F2569" t="str">
        <f t="shared" si="200"/>
        <v>Redwood</v>
      </c>
      <c r="G2569" t="str">
        <f t="shared" si="201"/>
        <v>Redwood910Houston</v>
      </c>
      <c r="H2569" t="s">
        <v>33427</v>
      </c>
      <c r="I2569" t="s">
        <v>24852</v>
      </c>
      <c r="J2569" t="str">
        <f t="shared" si="202"/>
        <v>E:\PropInv\MF</v>
      </c>
      <c r="K2569" s="103" t="str">
        <f>HYPERLINK("E:\PropInv\MF\Houston\Redwood_910_Redwood Gardens_Houston_03576","Redwood_910_Redwood Gardens_Houston_03576" )</f>
        <v>Redwood_910_Redwood Gardens_Houston_03576</v>
      </c>
      <c r="L2569" s="104" t="s">
        <v>22253</v>
      </c>
      <c r="M2569" s="103" t="str">
        <f t="shared" si="203"/>
        <v>http://oconnordata.com/mlink/modules/profile/index.cfm?action=profile&amp;prop_id=3576</v>
      </c>
      <c r="N2569" s="1" t="str">
        <f t="shared" si="204"/>
        <v>03576</v>
      </c>
    </row>
    <row r="2570" spans="1:14" x14ac:dyDescent="0.3">
      <c r="A2570" s="1">
        <v>3579</v>
      </c>
      <c r="B2570" s="7" t="s">
        <v>919</v>
      </c>
      <c r="C2570" s="12">
        <v>2911</v>
      </c>
      <c r="D2570" s="7" t="s">
        <v>3855</v>
      </c>
      <c r="E2570" s="13" t="s">
        <v>1657</v>
      </c>
      <c r="F2570" t="str">
        <f t="shared" si="200"/>
        <v>Broadway</v>
      </c>
      <c r="G2570" t="str">
        <f t="shared" si="201"/>
        <v>Broadway2911Houston</v>
      </c>
      <c r="H2570" t="s">
        <v>33428</v>
      </c>
      <c r="I2570" t="s">
        <v>24853</v>
      </c>
      <c r="J2570" t="str">
        <f t="shared" si="202"/>
        <v>E:\PropInv\MF</v>
      </c>
      <c r="K2570" s="103" t="str">
        <f>HYPERLINK("E:\PropInv\MF\Houston\Broadway_2911_Parkford_Houston_03579","Broadway_2911_Parkford_Houston_03579" )</f>
        <v>Broadway_2911_Parkford_Houston_03579</v>
      </c>
      <c r="L2570" s="104" t="s">
        <v>22253</v>
      </c>
      <c r="M2570" s="103" t="str">
        <f t="shared" si="203"/>
        <v>http://oconnordata.com/mlink/modules/profile/index.cfm?action=profile&amp;prop_id=3579</v>
      </c>
      <c r="N2570" s="1" t="str">
        <f t="shared" si="204"/>
        <v>03579</v>
      </c>
    </row>
    <row r="2571" spans="1:14" x14ac:dyDescent="0.3">
      <c r="A2571" s="1">
        <v>3580</v>
      </c>
      <c r="B2571" s="7" t="s">
        <v>919</v>
      </c>
      <c r="C2571" s="12">
        <v>3003</v>
      </c>
      <c r="D2571" s="7" t="s">
        <v>3856</v>
      </c>
      <c r="E2571" s="13" t="s">
        <v>1657</v>
      </c>
      <c r="F2571" t="str">
        <f t="shared" si="200"/>
        <v>Broadway</v>
      </c>
      <c r="G2571" t="str">
        <f t="shared" si="201"/>
        <v>Broadway3003Houston</v>
      </c>
      <c r="H2571" t="s">
        <v>33429</v>
      </c>
      <c r="I2571" t="s">
        <v>24854</v>
      </c>
      <c r="J2571" t="str">
        <f t="shared" si="202"/>
        <v>E:\PropInv\MF</v>
      </c>
      <c r="K2571" s="103" t="str">
        <f>HYPERLINK("E:\PropInv\MF\Houston\Broadway_3003_Concord Arms_Houston_03580","Broadway_3003_Concord Arms_Houston_03580" )</f>
        <v>Broadway_3003_Concord Arms_Houston_03580</v>
      </c>
      <c r="L2571" s="104" t="s">
        <v>22253</v>
      </c>
      <c r="M2571" s="103" t="str">
        <f t="shared" si="203"/>
        <v>http://oconnordata.com/mlink/modules/profile/index.cfm?action=profile&amp;prop_id=3580</v>
      </c>
      <c r="N2571" s="1" t="str">
        <f t="shared" si="204"/>
        <v>03580</v>
      </c>
    </row>
    <row r="2572" spans="1:14" x14ac:dyDescent="0.3">
      <c r="A2572" s="1">
        <v>3583</v>
      </c>
      <c r="B2572" s="19" t="s">
        <v>3857</v>
      </c>
      <c r="C2572" s="18">
        <v>3037</v>
      </c>
      <c r="D2572" s="19" t="s">
        <v>3858</v>
      </c>
      <c r="E2572" s="20" t="s">
        <v>1657</v>
      </c>
      <c r="F2572" t="str">
        <f t="shared" si="200"/>
        <v>Golfcrest</v>
      </c>
      <c r="G2572" t="str">
        <f t="shared" si="201"/>
        <v>Golfcrest3037Houston</v>
      </c>
      <c r="H2572" t="s">
        <v>33430</v>
      </c>
      <c r="I2572" t="s">
        <v>24855</v>
      </c>
      <c r="J2572" t="str">
        <f t="shared" si="202"/>
        <v>E:\PropInv\MF</v>
      </c>
      <c r="K2572" s="103" t="str">
        <f>HYPERLINK("E:\PropInv\MF\Houston\Golfcrest Blvd_3037_Orleans East_Houston_03583","Golfcrest Blvd_3037_Orleans East_Houston_03583" )</f>
        <v>Golfcrest Blvd_3037_Orleans East_Houston_03583</v>
      </c>
      <c r="L2572" s="104" t="s">
        <v>22253</v>
      </c>
      <c r="M2572" s="103" t="str">
        <f t="shared" si="203"/>
        <v>http://oconnordata.com/mlink/modules/profile/index.cfm?action=profile&amp;prop_id=3583</v>
      </c>
      <c r="N2572" s="1" t="str">
        <f t="shared" si="204"/>
        <v>03583</v>
      </c>
    </row>
    <row r="2573" spans="1:14" x14ac:dyDescent="0.3">
      <c r="A2573" s="1">
        <v>3584</v>
      </c>
      <c r="B2573" s="7" t="s">
        <v>3859</v>
      </c>
      <c r="C2573" s="12">
        <v>7035</v>
      </c>
      <c r="D2573" s="7" t="s">
        <v>3860</v>
      </c>
      <c r="E2573" s="13" t="s">
        <v>1657</v>
      </c>
      <c r="F2573" t="str">
        <f t="shared" si="200"/>
        <v>Bellfort</v>
      </c>
      <c r="G2573" t="str">
        <f t="shared" si="201"/>
        <v>Bellfort7035Houston</v>
      </c>
      <c r="H2573" t="s">
        <v>33431</v>
      </c>
      <c r="I2573" t="s">
        <v>24856</v>
      </c>
      <c r="J2573" t="str">
        <f t="shared" si="202"/>
        <v>E:\PropInv\MF</v>
      </c>
      <c r="K2573" s="103" t="str">
        <f>HYPERLINK("E:\PropInv\MF\Houston\Bellfort St_7035_Bellfort Plaza_Houston_03584","Bellfort St_7035_Bellfort Plaza_Houston_03584" )</f>
        <v>Bellfort St_7035_Bellfort Plaza_Houston_03584</v>
      </c>
      <c r="L2573" s="104" t="s">
        <v>22253</v>
      </c>
      <c r="M2573" s="103" t="str">
        <f t="shared" si="203"/>
        <v>http://oconnordata.com/mlink/modules/profile/index.cfm?action=profile&amp;prop_id=3584</v>
      </c>
      <c r="N2573" s="1" t="str">
        <f t="shared" si="204"/>
        <v>03584</v>
      </c>
    </row>
    <row r="2574" spans="1:14" x14ac:dyDescent="0.3">
      <c r="A2574" s="1">
        <v>3587</v>
      </c>
      <c r="B2574" s="7" t="s">
        <v>3861</v>
      </c>
      <c r="C2574" s="12">
        <v>7132</v>
      </c>
      <c r="D2574" s="7" t="s">
        <v>3862</v>
      </c>
      <c r="E2574" s="13" t="s">
        <v>1657</v>
      </c>
      <c r="F2574" t="str">
        <f t="shared" si="200"/>
        <v>Lawndale</v>
      </c>
      <c r="G2574" t="str">
        <f t="shared" si="201"/>
        <v>Lawndale7132Houston</v>
      </c>
      <c r="H2574" t="s">
        <v>33432</v>
      </c>
      <c r="I2574" t="s">
        <v>24857</v>
      </c>
      <c r="J2574" t="str">
        <f t="shared" si="202"/>
        <v>E:\PropInv\MF</v>
      </c>
      <c r="K2574" s="103" t="str">
        <f>HYPERLINK("E:\PropInv\MF\Houston\Lawndale_7132_Encanto_Houston_03587","Lawndale_7132_Encanto_Houston_03587" )</f>
        <v>Lawndale_7132_Encanto_Houston_03587</v>
      </c>
      <c r="L2574" s="104" t="s">
        <v>22253</v>
      </c>
      <c r="M2574" s="103" t="str">
        <f t="shared" si="203"/>
        <v>http://oconnordata.com/mlink/modules/profile/index.cfm?action=profile&amp;prop_id=3587</v>
      </c>
      <c r="N2574" s="1" t="str">
        <f t="shared" si="204"/>
        <v>03587</v>
      </c>
    </row>
    <row r="2575" spans="1:14" x14ac:dyDescent="0.3">
      <c r="A2575" s="97">
        <v>3590</v>
      </c>
      <c r="B2575" s="7" t="s">
        <v>3863</v>
      </c>
      <c r="C2575" s="12">
        <v>166</v>
      </c>
      <c r="D2575" s="7" t="s">
        <v>3864</v>
      </c>
      <c r="E2575" s="13" t="s">
        <v>1657</v>
      </c>
      <c r="F2575" t="str">
        <f t="shared" si="200"/>
        <v>Winkler</v>
      </c>
      <c r="G2575" t="str">
        <f t="shared" si="201"/>
        <v>Winkler166Houston</v>
      </c>
      <c r="H2575" t="s">
        <v>33433</v>
      </c>
      <c r="I2575" t="s">
        <v>24858</v>
      </c>
      <c r="J2575" t="str">
        <f t="shared" si="202"/>
        <v>E:\PropInv\MF</v>
      </c>
      <c r="K2575" s="103" t="str">
        <f>HYPERLINK("E:\PropInv\MF\Houston\Winkler Dr_166_Winkler Drive_Houston_03590","Winkler Dr_166_Winkler Drive_Houston_03590" )</f>
        <v>Winkler Dr_166_Winkler Drive_Houston_03590</v>
      </c>
      <c r="L2575" s="104" t="s">
        <v>22253</v>
      </c>
      <c r="M2575" s="103" t="str">
        <f t="shared" si="203"/>
        <v>http://oconnordata.com/mlink/modules/profile/index.cfm?action=profile&amp;prop_id=3590</v>
      </c>
      <c r="N2575" s="1" t="str">
        <f t="shared" si="204"/>
        <v>03590</v>
      </c>
    </row>
    <row r="2576" spans="1:14" x14ac:dyDescent="0.3">
      <c r="A2576" s="1">
        <v>3593</v>
      </c>
      <c r="B2576" s="7" t="s">
        <v>3865</v>
      </c>
      <c r="C2576" s="12">
        <v>3003</v>
      </c>
      <c r="D2576" s="7" t="s">
        <v>3866</v>
      </c>
      <c r="E2576" s="13" t="s">
        <v>1657</v>
      </c>
      <c r="F2576" t="str">
        <f t="shared" si="200"/>
        <v>Golfcrest</v>
      </c>
      <c r="G2576" t="str">
        <f t="shared" si="201"/>
        <v>Golfcrest3003Houston</v>
      </c>
      <c r="H2576" t="s">
        <v>33434</v>
      </c>
      <c r="I2576" t="s">
        <v>24859</v>
      </c>
      <c r="J2576" t="str">
        <f t="shared" si="202"/>
        <v>E:\PropInv\MF</v>
      </c>
      <c r="K2576" s="103" t="str">
        <f>HYPERLINK("E:\PropInv\MF\Houston\Golfcrest_3003_Tel Wink_Houston_03593","Golfcrest_3003_Tel Wink_Houston_03593" )</f>
        <v>Golfcrest_3003_Tel Wink_Houston_03593</v>
      </c>
      <c r="L2576" s="104" t="s">
        <v>22253</v>
      </c>
      <c r="M2576" s="103" t="str">
        <f t="shared" si="203"/>
        <v>http://oconnordata.com/mlink/modules/profile/index.cfm?action=profile&amp;prop_id=3593</v>
      </c>
      <c r="N2576" s="1" t="str">
        <f t="shared" si="204"/>
        <v>03593</v>
      </c>
    </row>
    <row r="2577" spans="1:14" x14ac:dyDescent="0.3">
      <c r="A2577" s="1">
        <v>3594</v>
      </c>
      <c r="B2577" s="7" t="s">
        <v>3857</v>
      </c>
      <c r="C2577" s="12">
        <v>3043</v>
      </c>
      <c r="D2577" s="7" t="s">
        <v>3867</v>
      </c>
      <c r="E2577" s="13" t="s">
        <v>1657</v>
      </c>
      <c r="F2577" t="str">
        <f t="shared" si="200"/>
        <v>Golfcrest</v>
      </c>
      <c r="G2577" t="str">
        <f t="shared" si="201"/>
        <v>Golfcrest3043Houston</v>
      </c>
      <c r="H2577" t="s">
        <v>33435</v>
      </c>
      <c r="I2577" t="s">
        <v>24860</v>
      </c>
      <c r="J2577" t="str">
        <f t="shared" si="202"/>
        <v>E:\PropInv\MF</v>
      </c>
      <c r="K2577" s="103" t="str">
        <f>HYPERLINK("E:\PropInv\MF\Houston\Golfcrest Blvd_3043_Golfcrest Gardens_Houston_03594","Golfcrest Blvd_3043_Golfcrest Gardens_Houston_03594" )</f>
        <v>Golfcrest Blvd_3043_Golfcrest Gardens_Houston_03594</v>
      </c>
      <c r="L2577" s="104" t="s">
        <v>22253</v>
      </c>
      <c r="M2577" s="103" t="str">
        <f t="shared" si="203"/>
        <v>http://oconnordata.com/mlink/modules/profile/index.cfm?action=profile&amp;prop_id=3594</v>
      </c>
      <c r="N2577" s="1" t="str">
        <f t="shared" si="204"/>
        <v>03594</v>
      </c>
    </row>
    <row r="2578" spans="1:14" x14ac:dyDescent="0.3">
      <c r="A2578" s="1">
        <v>3595</v>
      </c>
      <c r="B2578" s="7" t="s">
        <v>3865</v>
      </c>
      <c r="C2578" s="12">
        <v>3045</v>
      </c>
      <c r="D2578" s="7" t="s">
        <v>3865</v>
      </c>
      <c r="E2578" s="13" t="s">
        <v>1657</v>
      </c>
      <c r="F2578" t="str">
        <f t="shared" si="200"/>
        <v>Golfcrest</v>
      </c>
      <c r="G2578" t="str">
        <f t="shared" si="201"/>
        <v>Golfcrest3045Houston</v>
      </c>
      <c r="H2578" t="s">
        <v>33436</v>
      </c>
      <c r="I2578" t="s">
        <v>24861</v>
      </c>
      <c r="J2578" t="str">
        <f t="shared" si="202"/>
        <v>E:\PropInv\MF</v>
      </c>
      <c r="K2578" s="103" t="str">
        <f>HYPERLINK("E:\PropInv\MF\Houston\Golfcrest_3045_Golfcrest_Houston_03595","Golfcrest_3045_Golfcrest_Houston_03595" )</f>
        <v>Golfcrest_3045_Golfcrest_Houston_03595</v>
      </c>
      <c r="L2578" s="104" t="s">
        <v>22253</v>
      </c>
      <c r="M2578" s="103" t="str">
        <f t="shared" si="203"/>
        <v>http://oconnordata.com/mlink/modules/profile/index.cfm?action=profile&amp;prop_id=3595</v>
      </c>
      <c r="N2578" s="1" t="str">
        <f t="shared" si="204"/>
        <v>03595</v>
      </c>
    </row>
    <row r="2579" spans="1:14" x14ac:dyDescent="0.3">
      <c r="A2579" s="1">
        <v>3597</v>
      </c>
      <c r="B2579" s="7" t="s">
        <v>3868</v>
      </c>
      <c r="C2579" s="12">
        <v>3034</v>
      </c>
      <c r="D2579" s="7" t="s">
        <v>3869</v>
      </c>
      <c r="E2579" s="13" t="s">
        <v>1657</v>
      </c>
      <c r="F2579" t="str">
        <f t="shared" si="200"/>
        <v>Hasbrook</v>
      </c>
      <c r="G2579" t="str">
        <f t="shared" si="201"/>
        <v>Hasbrook3034Houston</v>
      </c>
      <c r="H2579" t="s">
        <v>33437</v>
      </c>
      <c r="I2579" t="s">
        <v>24862</v>
      </c>
      <c r="J2579" t="str">
        <f t="shared" si="202"/>
        <v>E:\PropInv\MF</v>
      </c>
      <c r="K2579" s="103" t="str">
        <f>HYPERLINK("E:\PropInv\MF\Houston\Hasbrook_3034_Nine Oaks_Houston_03597","Hasbrook_3034_Nine Oaks_Houston_03597" )</f>
        <v>Hasbrook_3034_Nine Oaks_Houston_03597</v>
      </c>
      <c r="L2579" s="104" t="s">
        <v>22253</v>
      </c>
      <c r="M2579" s="103" t="str">
        <f t="shared" si="203"/>
        <v>http://oconnordata.com/mlink/modules/profile/index.cfm?action=profile&amp;prop_id=3597</v>
      </c>
      <c r="N2579" s="1" t="str">
        <f t="shared" si="204"/>
        <v>03597</v>
      </c>
    </row>
    <row r="2580" spans="1:14" x14ac:dyDescent="0.3">
      <c r="A2580" s="1">
        <v>3598</v>
      </c>
      <c r="B2580" s="7" t="s">
        <v>3870</v>
      </c>
      <c r="C2580" s="12">
        <v>2926</v>
      </c>
      <c r="D2580" s="7" t="s">
        <v>3871</v>
      </c>
      <c r="E2580" s="13" t="s">
        <v>1657</v>
      </c>
      <c r="F2580" t="str">
        <f t="shared" si="200"/>
        <v>Plum</v>
      </c>
      <c r="G2580" t="str">
        <f t="shared" si="201"/>
        <v>Plum2926Houston</v>
      </c>
      <c r="H2580" t="s">
        <v>33438</v>
      </c>
      <c r="I2580" t="s">
        <v>24863</v>
      </c>
      <c r="J2580" t="str">
        <f t="shared" si="202"/>
        <v>E:\PropInv\MF</v>
      </c>
      <c r="K2580" s="103" t="str">
        <f>HYPERLINK("E:\PropInv\MF\Houston\Plum Creek_2926_Patrician_Houston_03598","Plum Creek_2926_Patrician_Houston_03598" )</f>
        <v>Plum Creek_2926_Patrician_Houston_03598</v>
      </c>
      <c r="L2580" s="104" t="s">
        <v>22253</v>
      </c>
      <c r="M2580" s="103" t="str">
        <f t="shared" si="203"/>
        <v>http://oconnordata.com/mlink/modules/profile/index.cfm?action=profile&amp;prop_id=3598</v>
      </c>
      <c r="N2580" s="1" t="str">
        <f t="shared" si="204"/>
        <v>03598</v>
      </c>
    </row>
    <row r="2581" spans="1:14" x14ac:dyDescent="0.3">
      <c r="A2581" s="1">
        <v>3602</v>
      </c>
      <c r="B2581" s="7" t="s">
        <v>3844</v>
      </c>
      <c r="C2581" s="12">
        <v>8425</v>
      </c>
      <c r="D2581" s="7" t="s">
        <v>3872</v>
      </c>
      <c r="E2581" s="13" t="s">
        <v>1657</v>
      </c>
      <c r="F2581" t="str">
        <f t="shared" si="200"/>
        <v>Winkler</v>
      </c>
      <c r="G2581" t="str">
        <f t="shared" si="201"/>
        <v>Winkler8425Houston</v>
      </c>
      <c r="H2581" t="s">
        <v>33439</v>
      </c>
      <c r="I2581" t="s">
        <v>24864</v>
      </c>
      <c r="J2581" t="str">
        <f t="shared" si="202"/>
        <v>E:\PropInv\MF</v>
      </c>
      <c r="K2581" s="103" t="str">
        <f>HYPERLINK("E:\PropInv\MF\Houston\Winkler_8425_Cobblestone_Houston_03602","Winkler_8425_Cobblestone_Houston_03602" )</f>
        <v>Winkler_8425_Cobblestone_Houston_03602</v>
      </c>
      <c r="L2581" s="104" t="s">
        <v>22253</v>
      </c>
      <c r="M2581" s="103" t="str">
        <f t="shared" si="203"/>
        <v>http://oconnordata.com/mlink/modules/profile/index.cfm?action=profile&amp;prop_id=3602</v>
      </c>
      <c r="N2581" s="1" t="str">
        <f t="shared" si="204"/>
        <v>03602</v>
      </c>
    </row>
    <row r="2582" spans="1:14" x14ac:dyDescent="0.3">
      <c r="A2582" s="1">
        <v>3604</v>
      </c>
      <c r="B2582" s="7" t="s">
        <v>919</v>
      </c>
      <c r="C2582" s="12">
        <v>2724</v>
      </c>
      <c r="D2582" s="7" t="s">
        <v>3873</v>
      </c>
      <c r="E2582" s="13" t="s">
        <v>1657</v>
      </c>
      <c r="F2582" t="str">
        <f t="shared" si="200"/>
        <v>Broadway</v>
      </c>
      <c r="G2582" t="str">
        <f t="shared" si="201"/>
        <v>Broadway2724Houston</v>
      </c>
      <c r="H2582" t="s">
        <v>33440</v>
      </c>
      <c r="I2582" t="s">
        <v>24865</v>
      </c>
      <c r="J2582" t="str">
        <f t="shared" si="202"/>
        <v>E:\PropInv\MF</v>
      </c>
      <c r="K2582" s="103" t="str">
        <f>HYPERLINK("E:\PropInv\MF\Houston\Broadway_2724_Las Villas_Houston_03604","Broadway_2724_Las Villas_Houston_03604" )</f>
        <v>Broadway_2724_Las Villas_Houston_03604</v>
      </c>
      <c r="L2582" s="104" t="s">
        <v>22253</v>
      </c>
      <c r="M2582" s="103" t="str">
        <f t="shared" si="203"/>
        <v>http://oconnordata.com/mlink/modules/profile/index.cfm?action=profile&amp;prop_id=3604</v>
      </c>
      <c r="N2582" s="1" t="str">
        <f t="shared" si="204"/>
        <v>03604</v>
      </c>
    </row>
    <row r="2583" spans="1:14" x14ac:dyDescent="0.3">
      <c r="A2583" s="1">
        <v>3605</v>
      </c>
      <c r="B2583" s="7" t="s">
        <v>919</v>
      </c>
      <c r="C2583" s="12">
        <v>2505</v>
      </c>
      <c r="D2583" s="7" t="s">
        <v>3874</v>
      </c>
      <c r="E2583" s="13" t="s">
        <v>1657</v>
      </c>
      <c r="F2583" t="str">
        <f t="shared" si="200"/>
        <v>Broadway</v>
      </c>
      <c r="G2583" t="str">
        <f t="shared" si="201"/>
        <v>Broadway2505Houston</v>
      </c>
      <c r="H2583" t="s">
        <v>33441</v>
      </c>
      <c r="I2583" t="s">
        <v>24866</v>
      </c>
      <c r="J2583" t="str">
        <f t="shared" si="202"/>
        <v>E:\PropInv\MF</v>
      </c>
      <c r="K2583" s="103" t="str">
        <f>HYPERLINK("E:\PropInv\MF\Houston\Broadway_2505_Broadway Park_Houston_03605","Broadway_2505_Broadway Park_Houston_03605" )</f>
        <v>Broadway_2505_Broadway Park_Houston_03605</v>
      </c>
      <c r="L2583" s="104" t="s">
        <v>22253</v>
      </c>
      <c r="M2583" s="103" t="str">
        <f t="shared" si="203"/>
        <v>http://oconnordata.com/mlink/modules/profile/index.cfm?action=profile&amp;prop_id=3605</v>
      </c>
      <c r="N2583" s="1" t="str">
        <f t="shared" si="204"/>
        <v>03605</v>
      </c>
    </row>
    <row r="2584" spans="1:14" x14ac:dyDescent="0.3">
      <c r="A2584" s="1">
        <v>3610</v>
      </c>
      <c r="B2584" s="7" t="s">
        <v>3875</v>
      </c>
      <c r="C2584" s="12">
        <v>3499</v>
      </c>
      <c r="D2584" s="7" t="s">
        <v>3875</v>
      </c>
      <c r="E2584" s="13" t="s">
        <v>1657</v>
      </c>
      <c r="F2584" t="str">
        <f t="shared" si="200"/>
        <v>Evergreen</v>
      </c>
      <c r="G2584" t="str">
        <f t="shared" si="201"/>
        <v>Evergreen3499Houston</v>
      </c>
      <c r="H2584" t="s">
        <v>33442</v>
      </c>
      <c r="I2584" t="s">
        <v>24867</v>
      </c>
      <c r="J2584" t="str">
        <f t="shared" si="202"/>
        <v>E:\PropInv\MF</v>
      </c>
      <c r="K2584" s="103" t="str">
        <f>HYPERLINK("E:\PropInv\MF\Houston\Evergreen_3499_Evergreen_Houston_03610","Evergreen_3499_Evergreen_Houston_03610" )</f>
        <v>Evergreen_3499_Evergreen_Houston_03610</v>
      </c>
      <c r="L2584" s="104" t="s">
        <v>22253</v>
      </c>
      <c r="M2584" s="103" t="str">
        <f t="shared" si="203"/>
        <v>http://oconnordata.com/mlink/modules/profile/index.cfm?action=profile&amp;prop_id=3610</v>
      </c>
      <c r="N2584" s="1" t="str">
        <f t="shared" si="204"/>
        <v>03610</v>
      </c>
    </row>
    <row r="2585" spans="1:14" x14ac:dyDescent="0.3">
      <c r="A2585" s="1">
        <v>3618</v>
      </c>
      <c r="B2585" s="7" t="s">
        <v>3876</v>
      </c>
      <c r="C2585" s="12">
        <v>7315</v>
      </c>
      <c r="D2585" s="7" t="s">
        <v>3877</v>
      </c>
      <c r="E2585" s="13" t="s">
        <v>1657</v>
      </c>
      <c r="F2585" t="str">
        <f t="shared" si="200"/>
        <v>Southway</v>
      </c>
      <c r="G2585" t="str">
        <f t="shared" si="201"/>
        <v>Southway7315Houston</v>
      </c>
      <c r="H2585" t="s">
        <v>33443</v>
      </c>
      <c r="I2585" t="s">
        <v>24868</v>
      </c>
      <c r="J2585" t="str">
        <f t="shared" si="202"/>
        <v>E:\PropInv\MF</v>
      </c>
      <c r="K2585" s="103" t="str">
        <f>HYPERLINK("E:\PropInv\MF\Houston\Southway_7315_Southway Manor_Houston_03618","Southway_7315_Southway Manor_Houston_03618" )</f>
        <v>Southway_7315_Southway Manor_Houston_03618</v>
      </c>
      <c r="L2585" s="104" t="s">
        <v>22253</v>
      </c>
      <c r="M2585" s="103" t="str">
        <f t="shared" si="203"/>
        <v>http://oconnordata.com/mlink/modules/profile/index.cfm?action=profile&amp;prop_id=3618</v>
      </c>
      <c r="N2585" s="1" t="str">
        <f t="shared" si="204"/>
        <v>03618</v>
      </c>
    </row>
    <row r="2586" spans="1:14" x14ac:dyDescent="0.3">
      <c r="A2586" s="1">
        <v>3622</v>
      </c>
      <c r="B2586" s="7" t="s">
        <v>3878</v>
      </c>
      <c r="C2586" s="12">
        <v>6524</v>
      </c>
      <c r="D2586" s="7" t="s">
        <v>3879</v>
      </c>
      <c r="E2586" s="13" t="s">
        <v>1657</v>
      </c>
      <c r="F2586" t="str">
        <f t="shared" si="200"/>
        <v>Hogue</v>
      </c>
      <c r="G2586" t="str">
        <f t="shared" si="201"/>
        <v>Hogue6524Houston</v>
      </c>
      <c r="H2586" t="s">
        <v>33444</v>
      </c>
      <c r="I2586" t="s">
        <v>24869</v>
      </c>
      <c r="J2586" t="str">
        <f t="shared" si="202"/>
        <v>E:\PropInv\MF</v>
      </c>
      <c r="K2586" s="103" t="str">
        <f>HYPERLINK("E:\PropInv\MF\Houston\Hogue_6524_The Hogue Apts_Houston_03622","Hogue_6524_The Hogue Apts_Houston_03622" )</f>
        <v>Hogue_6524_The Hogue Apts_Houston_03622</v>
      </c>
      <c r="L2586" s="104" t="s">
        <v>22253</v>
      </c>
      <c r="M2586" s="103" t="str">
        <f t="shared" si="203"/>
        <v>http://oconnordata.com/mlink/modules/profile/index.cfm?action=profile&amp;prop_id=3622</v>
      </c>
      <c r="N2586" s="1" t="str">
        <f t="shared" si="204"/>
        <v>03622</v>
      </c>
    </row>
    <row r="2587" spans="1:14" x14ac:dyDescent="0.3">
      <c r="A2587" s="1">
        <v>3623</v>
      </c>
      <c r="B2587" s="7" t="s">
        <v>3880</v>
      </c>
      <c r="C2587" s="12">
        <v>7575</v>
      </c>
      <c r="D2587" s="7" t="s">
        <v>1488</v>
      </c>
      <c r="E2587" s="13" t="s">
        <v>1657</v>
      </c>
      <c r="F2587" t="str">
        <f t="shared" si="200"/>
        <v>Office</v>
      </c>
      <c r="G2587" t="str">
        <f t="shared" si="201"/>
        <v>Office7575Houston</v>
      </c>
      <c r="H2587" t="s">
        <v>33445</v>
      </c>
      <c r="I2587" t="s">
        <v>24870</v>
      </c>
      <c r="J2587" t="str">
        <f t="shared" si="202"/>
        <v>E:\PropInv\MF</v>
      </c>
      <c r="K2587" s="103" t="str">
        <f>HYPERLINK("E:\PropInv\MF\Houston\Office City Dr_7575_Willow Creek_Houston_03623","Office City Dr_7575_Willow Creek_Houston_03623" )</f>
        <v>Office City Dr_7575_Willow Creek_Houston_03623</v>
      </c>
      <c r="L2587" s="104" t="s">
        <v>22253</v>
      </c>
      <c r="M2587" s="103" t="str">
        <f t="shared" si="203"/>
        <v>http://oconnordata.com/mlink/modules/profile/index.cfm?action=profile&amp;prop_id=3623</v>
      </c>
      <c r="N2587" s="1" t="str">
        <f t="shared" si="204"/>
        <v>03623</v>
      </c>
    </row>
    <row r="2588" spans="1:14" x14ac:dyDescent="0.3">
      <c r="A2588" s="1">
        <v>3624</v>
      </c>
      <c r="B2588" s="7" t="s">
        <v>3881</v>
      </c>
      <c r="C2588" s="12">
        <v>2522</v>
      </c>
      <c r="D2588" s="7" t="s">
        <v>3881</v>
      </c>
      <c r="E2588" s="13" t="s">
        <v>1657</v>
      </c>
      <c r="F2588" t="str">
        <f t="shared" si="200"/>
        <v>Patricia</v>
      </c>
      <c r="G2588" t="str">
        <f t="shared" si="201"/>
        <v>Patricia2522Houston</v>
      </c>
      <c r="H2588" t="s">
        <v>33446</v>
      </c>
      <c r="I2588" t="s">
        <v>24871</v>
      </c>
      <c r="J2588" t="str">
        <f t="shared" si="202"/>
        <v>E:\PropInv\MF</v>
      </c>
      <c r="K2588" s="103" t="str">
        <f>HYPERLINK("E:\PropInv\MF\Houston\Patricia Manor_2522_Patricia Manor_Houston_03624","Patricia Manor_2522_Patricia Manor_Houston_03624" )</f>
        <v>Patricia Manor_2522_Patricia Manor_Houston_03624</v>
      </c>
      <c r="L2588" s="104" t="s">
        <v>22253</v>
      </c>
      <c r="M2588" s="103" t="str">
        <f t="shared" si="203"/>
        <v>http://oconnordata.com/mlink/modules/profile/index.cfm?action=profile&amp;prop_id=3624</v>
      </c>
      <c r="N2588" s="1" t="str">
        <f t="shared" si="204"/>
        <v>03624</v>
      </c>
    </row>
    <row r="2589" spans="1:14" x14ac:dyDescent="0.3">
      <c r="A2589" s="1">
        <v>3626</v>
      </c>
      <c r="B2589" s="7" t="s">
        <v>548</v>
      </c>
      <c r="C2589" s="12">
        <v>7525</v>
      </c>
      <c r="D2589" s="7" t="s">
        <v>3882</v>
      </c>
      <c r="E2589" s="13" t="s">
        <v>1657</v>
      </c>
      <c r="F2589" t="str">
        <f t="shared" si="200"/>
        <v>Park</v>
      </c>
      <c r="G2589" t="str">
        <f t="shared" si="201"/>
        <v>Park7525Houston</v>
      </c>
      <c r="H2589" t="s">
        <v>33447</v>
      </c>
      <c r="I2589" t="s">
        <v>24872</v>
      </c>
      <c r="J2589" t="str">
        <f t="shared" si="202"/>
        <v>E:\PropInv\MF</v>
      </c>
      <c r="K2589" s="103" t="str">
        <f>HYPERLINK("E:\PropInv\MF\Houston\Park Place_7525_Villa Paree_Houston_03626","Park Place_7525_Villa Paree_Houston_03626" )</f>
        <v>Park Place_7525_Villa Paree_Houston_03626</v>
      </c>
      <c r="L2589" s="104" t="s">
        <v>22253</v>
      </c>
      <c r="M2589" s="103" t="str">
        <f t="shared" si="203"/>
        <v>http://oconnordata.com/mlink/modules/profile/index.cfm?action=profile&amp;prop_id=3626</v>
      </c>
      <c r="N2589" s="1" t="str">
        <f t="shared" si="204"/>
        <v>03626</v>
      </c>
    </row>
    <row r="2590" spans="1:14" x14ac:dyDescent="0.3">
      <c r="A2590" s="1">
        <v>3628</v>
      </c>
      <c r="B2590" s="7" t="s">
        <v>3883</v>
      </c>
      <c r="C2590" s="12">
        <v>8101</v>
      </c>
      <c r="D2590" s="7" t="s">
        <v>3884</v>
      </c>
      <c r="E2590" s="13" t="s">
        <v>1657</v>
      </c>
      <c r="F2590" t="str">
        <f t="shared" si="200"/>
        <v>Leonora</v>
      </c>
      <c r="G2590" t="str">
        <f t="shared" si="201"/>
        <v>Leonora8101Houston</v>
      </c>
      <c r="H2590" t="s">
        <v>33448</v>
      </c>
      <c r="I2590" t="s">
        <v>24873</v>
      </c>
      <c r="J2590" t="str">
        <f t="shared" si="202"/>
        <v>E:\PropInv\MF</v>
      </c>
      <c r="K2590" s="103" t="str">
        <f>HYPERLINK("E:\PropInv\MF\Houston\Leonora_8101_Dylans Crossing Condos_Houston_03628","Leonora_8101_Dylans Crossing Condos_Houston_03628" )</f>
        <v>Leonora_8101_Dylans Crossing Condos_Houston_03628</v>
      </c>
      <c r="L2590" s="104" t="s">
        <v>22253</v>
      </c>
      <c r="M2590" s="103" t="str">
        <f t="shared" si="203"/>
        <v>http://oconnordata.com/mlink/modules/profile/index.cfm?action=profile&amp;prop_id=3628</v>
      </c>
      <c r="N2590" s="1" t="str">
        <f t="shared" si="204"/>
        <v>03628</v>
      </c>
    </row>
    <row r="2591" spans="1:14" x14ac:dyDescent="0.3">
      <c r="A2591" s="1">
        <v>3629</v>
      </c>
      <c r="B2591" s="7" t="s">
        <v>3885</v>
      </c>
      <c r="C2591" s="12">
        <v>6000</v>
      </c>
      <c r="D2591" s="7" t="s">
        <v>3886</v>
      </c>
      <c r="E2591" s="13" t="s">
        <v>1657</v>
      </c>
      <c r="F2591" t="str">
        <f t="shared" si="200"/>
        <v>Telephone</v>
      </c>
      <c r="G2591" t="str">
        <f t="shared" si="201"/>
        <v>Telephone6000Houston</v>
      </c>
      <c r="H2591" t="s">
        <v>33449</v>
      </c>
      <c r="I2591" t="s">
        <v>24874</v>
      </c>
      <c r="J2591" t="str">
        <f t="shared" si="202"/>
        <v>E:\PropInv\MF</v>
      </c>
      <c r="K2591" s="103" t="str">
        <f>HYPERLINK("E:\PropInv\MF\Houston\Telephone_6000_Telephone Road_Houston_03629","Telephone_6000_Telephone Road_Houston_03629" )</f>
        <v>Telephone_6000_Telephone Road_Houston_03629</v>
      </c>
      <c r="L2591" s="104" t="s">
        <v>22253</v>
      </c>
      <c r="M2591" s="103" t="str">
        <f t="shared" si="203"/>
        <v>http://oconnordata.com/mlink/modules/profile/index.cfm?action=profile&amp;prop_id=3629</v>
      </c>
      <c r="N2591" s="1" t="str">
        <f t="shared" si="204"/>
        <v>03629</v>
      </c>
    </row>
    <row r="2592" spans="1:14" x14ac:dyDescent="0.3">
      <c r="A2592" s="1">
        <v>3631</v>
      </c>
      <c r="B2592" s="7" t="s">
        <v>919</v>
      </c>
      <c r="C2592" s="12">
        <v>3109</v>
      </c>
      <c r="D2592" s="7" t="s">
        <v>3887</v>
      </c>
      <c r="E2592" s="13" t="s">
        <v>1657</v>
      </c>
      <c r="F2592" t="str">
        <f t="shared" si="200"/>
        <v>Broadway</v>
      </c>
      <c r="G2592" t="str">
        <f t="shared" si="201"/>
        <v>Broadway3109Houston</v>
      </c>
      <c r="H2592" t="s">
        <v>33450</v>
      </c>
      <c r="I2592" t="s">
        <v>24875</v>
      </c>
      <c r="J2592" t="str">
        <f t="shared" si="202"/>
        <v>E:\PropInv\MF</v>
      </c>
      <c r="K2592" s="103" t="str">
        <f>HYPERLINK("E:\PropInv\MF\Houston\Broadway_3109_Boulevard_Houston_03631","Broadway_3109_Boulevard_Houston_03631" )</f>
        <v>Broadway_3109_Boulevard_Houston_03631</v>
      </c>
      <c r="L2592" s="104" t="s">
        <v>22253</v>
      </c>
      <c r="M2592" s="103" t="str">
        <f t="shared" si="203"/>
        <v>http://oconnordata.com/mlink/modules/profile/index.cfm?action=profile&amp;prop_id=3631</v>
      </c>
      <c r="N2592" s="1" t="str">
        <f t="shared" si="204"/>
        <v>03631</v>
      </c>
    </row>
    <row r="2593" spans="1:14" x14ac:dyDescent="0.3">
      <c r="A2593" s="1">
        <v>3632</v>
      </c>
      <c r="B2593" s="7" t="s">
        <v>919</v>
      </c>
      <c r="C2593" s="12">
        <v>3215</v>
      </c>
      <c r="D2593" s="7" t="s">
        <v>3888</v>
      </c>
      <c r="E2593" s="13" t="s">
        <v>1657</v>
      </c>
      <c r="F2593" t="str">
        <f t="shared" si="200"/>
        <v>Broadway</v>
      </c>
      <c r="G2593" t="str">
        <f t="shared" si="201"/>
        <v>Broadway3215Houston</v>
      </c>
      <c r="H2593" t="s">
        <v>33451</v>
      </c>
      <c r="I2593" t="s">
        <v>24876</v>
      </c>
      <c r="J2593" t="str">
        <f t="shared" si="202"/>
        <v>E:\PropInv\MF</v>
      </c>
      <c r="K2593" s="103" t="str">
        <f>HYPERLINK("E:\PropInv\MF\Houston\Broadway_3215_Findlay House_Houston_03632","Broadway_3215_Findlay House_Houston_03632" )</f>
        <v>Broadway_3215_Findlay House_Houston_03632</v>
      </c>
      <c r="L2593" s="104" t="s">
        <v>22253</v>
      </c>
      <c r="M2593" s="103" t="str">
        <f t="shared" si="203"/>
        <v>http://oconnordata.com/mlink/modules/profile/index.cfm?action=profile&amp;prop_id=3632</v>
      </c>
      <c r="N2593" s="1" t="str">
        <f t="shared" si="204"/>
        <v>03632</v>
      </c>
    </row>
    <row r="2594" spans="1:14" x14ac:dyDescent="0.3">
      <c r="A2594" s="1">
        <v>3634</v>
      </c>
      <c r="B2594" s="19" t="s">
        <v>3889</v>
      </c>
      <c r="C2594" s="18">
        <v>3402</v>
      </c>
      <c r="D2594" s="19" t="s">
        <v>3890</v>
      </c>
      <c r="E2594" s="20" t="s">
        <v>1657</v>
      </c>
      <c r="F2594" t="str">
        <f t="shared" si="200"/>
        <v>Dover</v>
      </c>
      <c r="G2594" t="str">
        <f t="shared" si="201"/>
        <v>Dover3402Houston</v>
      </c>
      <c r="H2594" t="s">
        <v>33452</v>
      </c>
      <c r="I2594" t="s">
        <v>24877</v>
      </c>
      <c r="J2594" t="str">
        <f t="shared" si="202"/>
        <v>E:\PropInv\MF</v>
      </c>
      <c r="K2594" s="103" t="str">
        <f>HYPERLINK("E:\PropInv\MF\Houston\Dover_3402_White Cliff_Houston_03634","Dover_3402_White Cliff_Houston_03634" )</f>
        <v>Dover_3402_White Cliff_Houston_03634</v>
      </c>
      <c r="L2594" s="104" t="s">
        <v>22253</v>
      </c>
      <c r="M2594" s="103" t="str">
        <f t="shared" si="203"/>
        <v>http://oconnordata.com/mlink/modules/profile/index.cfm?action=profile&amp;prop_id=3634</v>
      </c>
      <c r="N2594" s="1" t="str">
        <f t="shared" si="204"/>
        <v>03634</v>
      </c>
    </row>
    <row r="2595" spans="1:14" x14ac:dyDescent="0.3">
      <c r="A2595" s="1">
        <v>3640</v>
      </c>
      <c r="B2595" s="7" t="s">
        <v>548</v>
      </c>
      <c r="C2595" s="12">
        <v>8447</v>
      </c>
      <c r="D2595" s="7" t="s">
        <v>3891</v>
      </c>
      <c r="E2595" s="13" t="s">
        <v>1657</v>
      </c>
      <c r="F2595" t="str">
        <f t="shared" si="200"/>
        <v>Park</v>
      </c>
      <c r="G2595" t="str">
        <f t="shared" si="201"/>
        <v>Park8447Houston</v>
      </c>
      <c r="H2595" t="s">
        <v>33453</v>
      </c>
      <c r="I2595" t="s">
        <v>24878</v>
      </c>
      <c r="J2595" t="str">
        <f t="shared" si="202"/>
        <v>E:\PropInv\MF</v>
      </c>
      <c r="K2595" s="103" t="str">
        <f>HYPERLINK("E:\PropInv\MF\Houston\Park Place_8447_Acre Villa_Houston_03640","Park Place_8447_Acre Villa_Houston_03640" )</f>
        <v>Park Place_8447_Acre Villa_Houston_03640</v>
      </c>
      <c r="L2595" s="104" t="s">
        <v>22253</v>
      </c>
      <c r="M2595" s="103" t="str">
        <f t="shared" si="203"/>
        <v>http://oconnordata.com/mlink/modules/profile/index.cfm?action=profile&amp;prop_id=3640</v>
      </c>
      <c r="N2595" s="1" t="str">
        <f t="shared" si="204"/>
        <v>03640</v>
      </c>
    </row>
    <row r="2596" spans="1:14" x14ac:dyDescent="0.3">
      <c r="A2596" s="1">
        <v>3645</v>
      </c>
      <c r="B2596" s="7" t="s">
        <v>3892</v>
      </c>
      <c r="C2596" s="12">
        <v>8001</v>
      </c>
      <c r="D2596" s="7" t="s">
        <v>3892</v>
      </c>
      <c r="E2596" s="13" t="s">
        <v>1657</v>
      </c>
      <c r="F2596" t="str">
        <f t="shared" si="200"/>
        <v>Easton</v>
      </c>
      <c r="G2596" t="str">
        <f t="shared" si="201"/>
        <v>Easton8001Houston</v>
      </c>
      <c r="H2596" t="s">
        <v>33454</v>
      </c>
      <c r="I2596" t="s">
        <v>24879</v>
      </c>
      <c r="J2596" t="str">
        <f t="shared" si="202"/>
        <v>E:\PropInv\MF</v>
      </c>
      <c r="K2596" s="103" t="str">
        <f>HYPERLINK("E:\PropInv\MF\Houston\Easton_8001_Easton_Houston_03645","Easton_8001_Easton_Houston_03645" )</f>
        <v>Easton_8001_Easton_Houston_03645</v>
      </c>
      <c r="L2596" s="104" t="s">
        <v>22253</v>
      </c>
      <c r="M2596" s="103" t="str">
        <f t="shared" si="203"/>
        <v>http://oconnordata.com/mlink/modules/profile/index.cfm?action=profile&amp;prop_id=3645</v>
      </c>
      <c r="N2596" s="1" t="str">
        <f t="shared" si="204"/>
        <v>03645</v>
      </c>
    </row>
    <row r="2597" spans="1:14" x14ac:dyDescent="0.3">
      <c r="A2597" s="1">
        <v>3654</v>
      </c>
      <c r="B2597" s="7" t="s">
        <v>3830</v>
      </c>
      <c r="C2597" s="12">
        <v>8308</v>
      </c>
      <c r="D2597" s="7" t="s">
        <v>333</v>
      </c>
      <c r="E2597" s="13" t="s">
        <v>1657</v>
      </c>
      <c r="F2597" t="str">
        <f t="shared" si="200"/>
        <v>Gulf</v>
      </c>
      <c r="G2597" t="str">
        <f t="shared" si="201"/>
        <v>Gulf8308Houston</v>
      </c>
      <c r="H2597" t="s">
        <v>33455</v>
      </c>
      <c r="I2597" t="s">
        <v>24880</v>
      </c>
      <c r="J2597" t="str">
        <f t="shared" si="202"/>
        <v>E:\PropInv\MF</v>
      </c>
      <c r="K2597" s="103" t="str">
        <f>HYPERLINK("E:\PropInv\MF\Houston\Gulf Fwy_8308_Las Palmas_Houston_03654","Gulf Fwy_8308_Las Palmas_Houston_03654" )</f>
        <v>Gulf Fwy_8308_Las Palmas_Houston_03654</v>
      </c>
      <c r="L2597" s="104" t="s">
        <v>22253</v>
      </c>
      <c r="M2597" s="103" t="str">
        <f t="shared" si="203"/>
        <v>http://oconnordata.com/mlink/modules/profile/index.cfm?action=profile&amp;prop_id=3654</v>
      </c>
      <c r="N2597" s="1" t="str">
        <f t="shared" si="204"/>
        <v>03654</v>
      </c>
    </row>
    <row r="2598" spans="1:14" x14ac:dyDescent="0.3">
      <c r="A2598" s="1">
        <v>3656</v>
      </c>
      <c r="B2598" s="7" t="s">
        <v>3893</v>
      </c>
      <c r="C2598" s="12">
        <v>8100</v>
      </c>
      <c r="D2598" s="7" t="s">
        <v>3894</v>
      </c>
      <c r="E2598" s="13" t="s">
        <v>1657</v>
      </c>
      <c r="F2598" t="str">
        <f t="shared" si="200"/>
        <v>Stone</v>
      </c>
      <c r="G2598" t="str">
        <f t="shared" si="201"/>
        <v>Stone8100Houston</v>
      </c>
      <c r="H2598" t="s">
        <v>33456</v>
      </c>
      <c r="I2598" t="s">
        <v>24881</v>
      </c>
      <c r="J2598" t="str">
        <f t="shared" si="202"/>
        <v>E:\PropInv\MF</v>
      </c>
      <c r="K2598" s="103" t="str">
        <f>HYPERLINK("E:\PropInv\MF\Houston\Stone_8100_Bellfort II Apts_Houston_03656","Stone_8100_Bellfort II Apts_Houston_03656" )</f>
        <v>Stone_8100_Bellfort II Apts_Houston_03656</v>
      </c>
      <c r="L2598" s="104" t="s">
        <v>22253</v>
      </c>
      <c r="M2598" s="103" t="str">
        <f t="shared" si="203"/>
        <v>http://oconnordata.com/mlink/modules/profile/index.cfm?action=profile&amp;prop_id=3656</v>
      </c>
      <c r="N2598" s="1" t="str">
        <f t="shared" si="204"/>
        <v>03656</v>
      </c>
    </row>
    <row r="2599" spans="1:14" x14ac:dyDescent="0.3">
      <c r="A2599" s="1">
        <v>3661</v>
      </c>
      <c r="B2599" s="7" t="s">
        <v>3895</v>
      </c>
      <c r="C2599" s="12">
        <v>4011</v>
      </c>
      <c r="D2599" s="7" t="s">
        <v>3896</v>
      </c>
      <c r="E2599" s="13" t="s">
        <v>1657</v>
      </c>
      <c r="F2599" t="str">
        <f t="shared" si="200"/>
        <v>Old</v>
      </c>
      <c r="G2599" t="str">
        <f t="shared" si="201"/>
        <v>Old4011Houston</v>
      </c>
      <c r="H2599" t="s">
        <v>33457</v>
      </c>
      <c r="I2599" t="s">
        <v>24882</v>
      </c>
      <c r="J2599" t="str">
        <f t="shared" si="202"/>
        <v>E:\PropInv\MF</v>
      </c>
      <c r="K2599" s="103" t="str">
        <f>HYPERLINK("E:\PropInv\MF\Houston\Old Galveston Rd_4011_Houston Park Place Gardens_Houston_03661","Old Galveston Rd_4011_Houston Park Place Gardens_Houston_03661" )</f>
        <v>Old Galveston Rd_4011_Houston Park Place Gardens_Houston_03661</v>
      </c>
      <c r="L2599" s="104" t="s">
        <v>22253</v>
      </c>
      <c r="M2599" s="103" t="str">
        <f t="shared" si="203"/>
        <v>http://oconnordata.com/mlink/modules/profile/index.cfm?action=profile&amp;prop_id=3661</v>
      </c>
      <c r="N2599" s="1" t="str">
        <f t="shared" si="204"/>
        <v>03661</v>
      </c>
    </row>
    <row r="2600" spans="1:14" x14ac:dyDescent="0.3">
      <c r="A2600" s="1">
        <v>3663</v>
      </c>
      <c r="B2600" s="7" t="s">
        <v>3897</v>
      </c>
      <c r="C2600" s="12">
        <v>7606</v>
      </c>
      <c r="D2600" s="7" t="s">
        <v>3898</v>
      </c>
      <c r="E2600" s="13" t="s">
        <v>1657</v>
      </c>
      <c r="F2600" t="str">
        <f t="shared" si="200"/>
        <v>Bellfort</v>
      </c>
      <c r="G2600" t="str">
        <f t="shared" si="201"/>
        <v>Bellfort7606Houston</v>
      </c>
      <c r="H2600" t="s">
        <v>33458</v>
      </c>
      <c r="I2600" t="s">
        <v>24883</v>
      </c>
      <c r="J2600" t="str">
        <f t="shared" si="202"/>
        <v>E:\PropInv\MF</v>
      </c>
      <c r="K2600" s="103" t="str">
        <f>HYPERLINK("E:\PropInv\MF\Houston\Bellfort_7606_Bellfort East_Houston_03663","Bellfort_7606_Bellfort East_Houston_03663" )</f>
        <v>Bellfort_7606_Bellfort East_Houston_03663</v>
      </c>
      <c r="L2600" s="104" t="s">
        <v>22253</v>
      </c>
      <c r="M2600" s="103" t="str">
        <f t="shared" si="203"/>
        <v>http://oconnordata.com/mlink/modules/profile/index.cfm?action=profile&amp;prop_id=3663</v>
      </c>
      <c r="N2600" s="1" t="str">
        <f t="shared" si="204"/>
        <v>03663</v>
      </c>
    </row>
    <row r="2601" spans="1:14" x14ac:dyDescent="0.3">
      <c r="A2601" s="1">
        <v>3664</v>
      </c>
      <c r="B2601" s="7" t="s">
        <v>3883</v>
      </c>
      <c r="C2601" s="12">
        <v>7901</v>
      </c>
      <c r="D2601" s="7" t="s">
        <v>3899</v>
      </c>
      <c r="E2601" s="13" t="s">
        <v>1657</v>
      </c>
      <c r="F2601" t="str">
        <f t="shared" si="200"/>
        <v>Leonora</v>
      </c>
      <c r="G2601" t="str">
        <f t="shared" si="201"/>
        <v>Leonora7901Houston</v>
      </c>
      <c r="H2601" t="s">
        <v>33459</v>
      </c>
      <c r="I2601" t="s">
        <v>24884</v>
      </c>
      <c r="J2601" t="str">
        <f t="shared" si="202"/>
        <v>E:\PropInv\MF</v>
      </c>
      <c r="K2601" s="103" t="str">
        <f>HYPERLINK("E:\PropInv\MF\Houston\Leonora_7901_Glenbrook East_Houston_03664","Leonora_7901_Glenbrook East_Houston_03664" )</f>
        <v>Leonora_7901_Glenbrook East_Houston_03664</v>
      </c>
      <c r="L2601" s="104" t="s">
        <v>22253</v>
      </c>
      <c r="M2601" s="103" t="str">
        <f t="shared" si="203"/>
        <v>http://oconnordata.com/mlink/modules/profile/index.cfm?action=profile&amp;prop_id=3664</v>
      </c>
      <c r="N2601" s="1" t="str">
        <f t="shared" si="204"/>
        <v>03664</v>
      </c>
    </row>
    <row r="2602" spans="1:14" x14ac:dyDescent="0.3">
      <c r="A2602" s="1">
        <v>3665</v>
      </c>
      <c r="B2602" s="7" t="s">
        <v>548</v>
      </c>
      <c r="C2602" s="12">
        <v>8407</v>
      </c>
      <c r="D2602" s="7" t="s">
        <v>3900</v>
      </c>
      <c r="E2602" s="13" t="s">
        <v>1657</v>
      </c>
      <c r="F2602" t="str">
        <f t="shared" si="200"/>
        <v>Park</v>
      </c>
      <c r="G2602" t="str">
        <f t="shared" si="201"/>
        <v>Park8407Houston</v>
      </c>
      <c r="H2602" t="s">
        <v>33460</v>
      </c>
      <c r="I2602" t="s">
        <v>24885</v>
      </c>
      <c r="J2602" t="str">
        <f t="shared" si="202"/>
        <v>E:\PropInv\MF</v>
      </c>
      <c r="K2602" s="103" t="str">
        <f>HYPERLINK("E:\PropInv\MF\Houston\Park Place_8407_Park Place Arms_Houston_03665","Park Place_8407_Park Place Arms_Houston_03665" )</f>
        <v>Park Place_8407_Park Place Arms_Houston_03665</v>
      </c>
      <c r="L2602" s="104" t="s">
        <v>22253</v>
      </c>
      <c r="M2602" s="103" t="str">
        <f t="shared" si="203"/>
        <v>http://oconnordata.com/mlink/modules/profile/index.cfm?action=profile&amp;prop_id=3665</v>
      </c>
      <c r="N2602" s="1" t="str">
        <f t="shared" si="204"/>
        <v>03665</v>
      </c>
    </row>
    <row r="2603" spans="1:14" x14ac:dyDescent="0.3">
      <c r="A2603" s="1">
        <v>3669</v>
      </c>
      <c r="B2603" s="7" t="s">
        <v>548</v>
      </c>
      <c r="C2603" s="12">
        <v>8345</v>
      </c>
      <c r="D2603" s="7" t="s">
        <v>2539</v>
      </c>
      <c r="E2603" s="13" t="s">
        <v>1657</v>
      </c>
      <c r="F2603" t="str">
        <f t="shared" si="200"/>
        <v>Park</v>
      </c>
      <c r="G2603" t="str">
        <f t="shared" si="201"/>
        <v>Park8345Houston</v>
      </c>
      <c r="H2603" t="s">
        <v>33461</v>
      </c>
      <c r="I2603" t="s">
        <v>24886</v>
      </c>
      <c r="J2603" t="str">
        <f t="shared" si="202"/>
        <v>E:\PropInv\MF</v>
      </c>
      <c r="K2603" s="103" t="str">
        <f>HYPERLINK("E:\PropInv\MF\Houston\Park Place_8345_Colonial Apts_Houston_03669","Park Place_8345_Colonial Apts_Houston_03669" )</f>
        <v>Park Place_8345_Colonial Apts_Houston_03669</v>
      </c>
      <c r="L2603" s="104" t="s">
        <v>22253</v>
      </c>
      <c r="M2603" s="103" t="str">
        <f t="shared" si="203"/>
        <v>http://oconnordata.com/mlink/modules/profile/index.cfm?action=profile&amp;prop_id=3669</v>
      </c>
      <c r="N2603" s="1" t="str">
        <f t="shared" si="204"/>
        <v>03669</v>
      </c>
    </row>
    <row r="2604" spans="1:14" x14ac:dyDescent="0.3">
      <c r="A2604" s="1">
        <v>3670</v>
      </c>
      <c r="B2604" s="7" t="s">
        <v>548</v>
      </c>
      <c r="C2604" s="12">
        <v>8360</v>
      </c>
      <c r="D2604" s="7" t="s">
        <v>1960</v>
      </c>
      <c r="E2604" s="13" t="s">
        <v>1657</v>
      </c>
      <c r="F2604" t="str">
        <f t="shared" si="200"/>
        <v>Park</v>
      </c>
      <c r="G2604" t="str">
        <f t="shared" si="201"/>
        <v>Park8360Houston</v>
      </c>
      <c r="H2604" t="s">
        <v>33462</v>
      </c>
      <c r="I2604" t="s">
        <v>24887</v>
      </c>
      <c r="J2604" t="str">
        <f t="shared" si="202"/>
        <v>E:\PropInv\MF</v>
      </c>
      <c r="K2604" s="103" t="str">
        <f>HYPERLINK("E:\PropInv\MF\Houston\Park Place_8360_Park De Ville_Houston_03670","Park Place_8360_Park De Ville_Houston_03670" )</f>
        <v>Park Place_8360_Park De Ville_Houston_03670</v>
      </c>
      <c r="L2604" s="104" t="s">
        <v>22253</v>
      </c>
      <c r="M2604" s="103" t="str">
        <f t="shared" si="203"/>
        <v>http://oconnordata.com/mlink/modules/profile/index.cfm?action=profile&amp;prop_id=3670</v>
      </c>
      <c r="N2604" s="1" t="str">
        <f t="shared" si="204"/>
        <v>03670</v>
      </c>
    </row>
    <row r="2605" spans="1:14" x14ac:dyDescent="0.3">
      <c r="A2605" s="1">
        <v>3671</v>
      </c>
      <c r="B2605" s="7" t="s">
        <v>3901</v>
      </c>
      <c r="C2605" s="12">
        <v>7611</v>
      </c>
      <c r="D2605" s="7" t="s">
        <v>3902</v>
      </c>
      <c r="E2605" s="13" t="s">
        <v>1657</v>
      </c>
      <c r="F2605" t="str">
        <f t="shared" si="200"/>
        <v>Glenview</v>
      </c>
      <c r="G2605" t="str">
        <f t="shared" si="201"/>
        <v>Glenview7611Houston</v>
      </c>
      <c r="H2605" t="s">
        <v>33463</v>
      </c>
      <c r="I2605" t="s">
        <v>24888</v>
      </c>
      <c r="J2605" t="str">
        <f t="shared" si="202"/>
        <v>E:\PropInv\MF</v>
      </c>
      <c r="K2605" s="103" t="str">
        <f>HYPERLINK("E:\PropInv\MF\Houston\Glenview_7611_Leonora Square_Houston_03671","Glenview_7611_Leonora Square_Houston_03671" )</f>
        <v>Glenview_7611_Leonora Square_Houston_03671</v>
      </c>
      <c r="L2605" s="104" t="s">
        <v>22253</v>
      </c>
      <c r="M2605" s="103" t="str">
        <f t="shared" si="203"/>
        <v>http://oconnordata.com/mlink/modules/profile/index.cfm?action=profile&amp;prop_id=3671</v>
      </c>
      <c r="N2605" s="1" t="str">
        <f t="shared" si="204"/>
        <v>03671</v>
      </c>
    </row>
    <row r="2606" spans="1:14" x14ac:dyDescent="0.3">
      <c r="A2606" s="97">
        <v>3677</v>
      </c>
      <c r="B2606" s="7" t="s">
        <v>919</v>
      </c>
      <c r="C2606" s="12">
        <v>8400</v>
      </c>
      <c r="D2606" s="7" t="s">
        <v>3903</v>
      </c>
      <c r="E2606" s="13" t="s">
        <v>1657</v>
      </c>
      <c r="F2606" t="str">
        <f t="shared" si="200"/>
        <v>Broadway</v>
      </c>
      <c r="G2606" t="str">
        <f t="shared" si="201"/>
        <v>Broadway8400Houston</v>
      </c>
      <c r="H2606" t="s">
        <v>33464</v>
      </c>
      <c r="I2606" t="s">
        <v>24889</v>
      </c>
      <c r="J2606" t="str">
        <f t="shared" si="202"/>
        <v>E:\PropInv\MF</v>
      </c>
      <c r="K2606" s="103" t="str">
        <f>HYPERLINK("E:\PropInv\MF\Houston\Broadway_8400_Woodlen Place_Houston_03677","Broadway_8400_Woodlen Place_Houston_03677" )</f>
        <v>Broadway_8400_Woodlen Place_Houston_03677</v>
      </c>
      <c r="L2606" s="104" t="s">
        <v>22253</v>
      </c>
      <c r="M2606" s="103" t="str">
        <f t="shared" si="203"/>
        <v>http://oconnordata.com/mlink/modules/profile/index.cfm?action=profile&amp;prop_id=3677</v>
      </c>
      <c r="N2606" s="1" t="str">
        <f t="shared" si="204"/>
        <v>03677</v>
      </c>
    </row>
    <row r="2607" spans="1:14" x14ac:dyDescent="0.3">
      <c r="A2607" s="97">
        <v>3678</v>
      </c>
      <c r="B2607" s="7" t="s">
        <v>919</v>
      </c>
      <c r="C2607" s="12">
        <v>8405</v>
      </c>
      <c r="D2607" s="7" t="s">
        <v>3904</v>
      </c>
      <c r="E2607" s="13" t="s">
        <v>1657</v>
      </c>
      <c r="F2607" t="str">
        <f t="shared" si="200"/>
        <v>Broadway</v>
      </c>
      <c r="G2607" t="str">
        <f t="shared" si="201"/>
        <v>Broadway8405Houston</v>
      </c>
      <c r="H2607" t="s">
        <v>33465</v>
      </c>
      <c r="I2607" t="s">
        <v>24890</v>
      </c>
      <c r="J2607" t="str">
        <f t="shared" si="202"/>
        <v>E:\PropInv\MF</v>
      </c>
      <c r="K2607" s="103" t="str">
        <f>HYPERLINK("E:\PropInv\MF\Houston\Broadway_8405_Woodlen Glen_Houston_03678","Broadway_8405_Woodlen Glen_Houston_03678" )</f>
        <v>Broadway_8405_Woodlen Glen_Houston_03678</v>
      </c>
      <c r="L2607" s="104" t="s">
        <v>22253</v>
      </c>
      <c r="M2607" s="103" t="str">
        <f t="shared" si="203"/>
        <v>http://oconnordata.com/mlink/modules/profile/index.cfm?action=profile&amp;prop_id=3678</v>
      </c>
      <c r="N2607" s="1" t="str">
        <f t="shared" si="204"/>
        <v>03678</v>
      </c>
    </row>
    <row r="2608" spans="1:14" x14ac:dyDescent="0.3">
      <c r="A2608" s="1">
        <v>3679</v>
      </c>
      <c r="B2608" s="7" t="s">
        <v>919</v>
      </c>
      <c r="C2608" s="12">
        <v>8500</v>
      </c>
      <c r="D2608" s="7" t="s">
        <v>3905</v>
      </c>
      <c r="E2608" s="13" t="s">
        <v>1657</v>
      </c>
      <c r="F2608" t="str">
        <f t="shared" si="200"/>
        <v>Broadway</v>
      </c>
      <c r="G2608" t="str">
        <f t="shared" si="201"/>
        <v>Broadway8500Houston</v>
      </c>
      <c r="H2608" t="s">
        <v>33466</v>
      </c>
      <c r="I2608" t="s">
        <v>24891</v>
      </c>
      <c r="J2608" t="str">
        <f t="shared" si="202"/>
        <v>E:\PropInv\MF</v>
      </c>
      <c r="K2608" s="103" t="str">
        <f>HYPERLINK("E:\PropInv\MF\Houston\Broadway_8500_Pebble Walk_Houston_03679","Broadway_8500_Pebble Walk_Houston_03679" )</f>
        <v>Broadway_8500_Pebble Walk_Houston_03679</v>
      </c>
      <c r="L2608" s="104" t="s">
        <v>22253</v>
      </c>
      <c r="M2608" s="103" t="str">
        <f t="shared" si="203"/>
        <v>http://oconnordata.com/mlink/modules/profile/index.cfm?action=profile&amp;prop_id=3679</v>
      </c>
      <c r="N2608" s="1" t="str">
        <f t="shared" si="204"/>
        <v>03679</v>
      </c>
    </row>
    <row r="2609" spans="1:14" x14ac:dyDescent="0.3">
      <c r="A2609" s="1">
        <v>3680</v>
      </c>
      <c r="B2609" s="7" t="s">
        <v>3906</v>
      </c>
      <c r="C2609" s="12">
        <v>4910</v>
      </c>
      <c r="D2609" s="7" t="s">
        <v>3309</v>
      </c>
      <c r="E2609" s="13" t="s">
        <v>1657</v>
      </c>
      <c r="F2609" t="str">
        <f t="shared" si="200"/>
        <v>Allendale</v>
      </c>
      <c r="G2609" t="str">
        <f t="shared" si="201"/>
        <v>Allendale4910Houston</v>
      </c>
      <c r="H2609" t="s">
        <v>33467</v>
      </c>
      <c r="I2609" t="s">
        <v>24892</v>
      </c>
      <c r="J2609" t="str">
        <f t="shared" si="202"/>
        <v>E:\PropInv\MF</v>
      </c>
      <c r="K2609" s="103" t="str">
        <f>HYPERLINK("E:\PropInv\MF\Houston\Allendale_4910_Willow Tree_Houston_03680","Allendale_4910_Willow Tree_Houston_03680" )</f>
        <v>Allendale_4910_Willow Tree_Houston_03680</v>
      </c>
      <c r="L2609" s="104" t="s">
        <v>22253</v>
      </c>
      <c r="M2609" s="103" t="str">
        <f t="shared" si="203"/>
        <v>http://oconnordata.com/mlink/modules/profile/index.cfm?action=profile&amp;prop_id=3680</v>
      </c>
      <c r="N2609" s="1" t="str">
        <f t="shared" si="204"/>
        <v>03680</v>
      </c>
    </row>
    <row r="2610" spans="1:14" x14ac:dyDescent="0.3">
      <c r="A2610" s="1">
        <v>3682</v>
      </c>
      <c r="B2610" s="7" t="s">
        <v>1036</v>
      </c>
      <c r="C2610" s="12">
        <v>5160</v>
      </c>
      <c r="D2610" s="7" t="s">
        <v>3907</v>
      </c>
      <c r="E2610" s="13" t="s">
        <v>1657</v>
      </c>
      <c r="F2610" t="str">
        <f t="shared" si="200"/>
        <v>Silver</v>
      </c>
      <c r="G2610" t="str">
        <f t="shared" si="201"/>
        <v>Silver5160Houston</v>
      </c>
      <c r="H2610" t="s">
        <v>33468</v>
      </c>
      <c r="I2610" t="s">
        <v>24893</v>
      </c>
      <c r="J2610" t="str">
        <f t="shared" si="202"/>
        <v>E:\PropInv\MF</v>
      </c>
      <c r="K2610" s="103" t="str">
        <f>HYPERLINK("E:\PropInv\MF\Houston\Silver Creek_5160_Silver Club_Houston_03682","Silver Creek_5160_Silver Club_Houston_03682" )</f>
        <v>Silver Creek_5160_Silver Club_Houston_03682</v>
      </c>
      <c r="L2610" s="104" t="s">
        <v>22253</v>
      </c>
      <c r="M2610" s="103" t="str">
        <f t="shared" si="203"/>
        <v>http://oconnordata.com/mlink/modules/profile/index.cfm?action=profile&amp;prop_id=3682</v>
      </c>
      <c r="N2610" s="1" t="str">
        <f t="shared" si="204"/>
        <v>03682</v>
      </c>
    </row>
    <row r="2611" spans="1:14" x14ac:dyDescent="0.3">
      <c r="A2611" s="1">
        <v>3684</v>
      </c>
      <c r="B2611" s="7" t="s">
        <v>3897</v>
      </c>
      <c r="C2611" s="12">
        <v>7711</v>
      </c>
      <c r="D2611" s="7" t="s">
        <v>3908</v>
      </c>
      <c r="E2611" s="13" t="s">
        <v>1657</v>
      </c>
      <c r="F2611" t="str">
        <f t="shared" si="200"/>
        <v>Bellfort</v>
      </c>
      <c r="G2611" t="str">
        <f t="shared" si="201"/>
        <v>Bellfort7711Houston</v>
      </c>
      <c r="H2611" t="s">
        <v>33469</v>
      </c>
      <c r="I2611" t="s">
        <v>24894</v>
      </c>
      <c r="J2611" t="str">
        <f t="shared" si="202"/>
        <v>E:\PropInv\MF</v>
      </c>
      <c r="K2611" s="103" t="str">
        <f>HYPERLINK("E:\PropInv\MF\Houston\Bellfort_7711_Lennox Apts_Houston_03684","Bellfort_7711_Lennox Apts_Houston_03684" )</f>
        <v>Bellfort_7711_Lennox Apts_Houston_03684</v>
      </c>
      <c r="L2611" s="104" t="s">
        <v>22253</v>
      </c>
      <c r="M2611" s="103" t="str">
        <f t="shared" si="203"/>
        <v>http://oconnordata.com/mlink/modules/profile/index.cfm?action=profile&amp;prop_id=3684</v>
      </c>
      <c r="N2611" s="1" t="str">
        <f t="shared" si="204"/>
        <v>03684</v>
      </c>
    </row>
    <row r="2612" spans="1:14" x14ac:dyDescent="0.3">
      <c r="A2612" s="1">
        <v>3685</v>
      </c>
      <c r="B2612" s="7" t="s">
        <v>3897</v>
      </c>
      <c r="C2612" s="12">
        <v>7950</v>
      </c>
      <c r="D2612" s="7" t="s">
        <v>3909</v>
      </c>
      <c r="E2612" s="13" t="s">
        <v>1657</v>
      </c>
      <c r="F2612" t="str">
        <f t="shared" si="200"/>
        <v>Bellfort</v>
      </c>
      <c r="G2612" t="str">
        <f t="shared" si="201"/>
        <v>Bellfort7950Houston</v>
      </c>
      <c r="H2612" t="s">
        <v>33470</v>
      </c>
      <c r="I2612" t="s">
        <v>24895</v>
      </c>
      <c r="J2612" t="str">
        <f t="shared" si="202"/>
        <v>E:\PropInv\MF</v>
      </c>
      <c r="K2612" s="103" t="str">
        <f>HYPERLINK("E:\PropInv\MF\Houston\Bellfort_7950_Bellfort I &amp; II_Houston_03685","Bellfort_7950_Bellfort I &amp; II_Houston_03685" )</f>
        <v>Bellfort_7950_Bellfort I &amp; II_Houston_03685</v>
      </c>
      <c r="L2612" s="104" t="s">
        <v>22253</v>
      </c>
      <c r="M2612" s="103" t="str">
        <f t="shared" si="203"/>
        <v>http://oconnordata.com/mlink/modules/profile/index.cfm?action=profile&amp;prop_id=3685</v>
      </c>
      <c r="N2612" s="1" t="str">
        <f t="shared" si="204"/>
        <v>03685</v>
      </c>
    </row>
    <row r="2613" spans="1:14" x14ac:dyDescent="0.3">
      <c r="A2613" s="1">
        <v>3686</v>
      </c>
      <c r="B2613" s="7" t="s">
        <v>3893</v>
      </c>
      <c r="C2613" s="12">
        <v>8271</v>
      </c>
      <c r="D2613" s="7" t="s">
        <v>3910</v>
      </c>
      <c r="E2613" s="13" t="s">
        <v>1657</v>
      </c>
      <c r="F2613" t="str">
        <f t="shared" si="200"/>
        <v>Stone</v>
      </c>
      <c r="G2613" t="str">
        <f t="shared" si="201"/>
        <v>Stone8271Houston</v>
      </c>
      <c r="H2613" t="s">
        <v>33471</v>
      </c>
      <c r="I2613" t="s">
        <v>24896</v>
      </c>
      <c r="J2613" t="str">
        <f t="shared" si="202"/>
        <v>E:\PropInv\MF</v>
      </c>
      <c r="K2613" s="103" t="str">
        <f>HYPERLINK("E:\PropInv\MF\Houston\Stone_8271_Bellestone Villas_Houston_03686","Stone_8271_Bellestone Villas_Houston_03686" )</f>
        <v>Stone_8271_Bellestone Villas_Houston_03686</v>
      </c>
      <c r="L2613" s="104" t="s">
        <v>22253</v>
      </c>
      <c r="M2613" s="103" t="str">
        <f t="shared" si="203"/>
        <v>http://oconnordata.com/mlink/modules/profile/index.cfm?action=profile&amp;prop_id=3686</v>
      </c>
      <c r="N2613" s="1" t="str">
        <f t="shared" si="204"/>
        <v>03686</v>
      </c>
    </row>
    <row r="2614" spans="1:14" x14ac:dyDescent="0.3">
      <c r="A2614" s="1">
        <v>3687</v>
      </c>
      <c r="B2614" s="7" t="s">
        <v>3893</v>
      </c>
      <c r="C2614" s="12">
        <v>8404</v>
      </c>
      <c r="D2614" s="7" t="s">
        <v>3911</v>
      </c>
      <c r="E2614" s="13" t="s">
        <v>1657</v>
      </c>
      <c r="F2614" t="str">
        <f t="shared" si="200"/>
        <v>Stone</v>
      </c>
      <c r="G2614" t="str">
        <f t="shared" si="201"/>
        <v>Stone8404Houston</v>
      </c>
      <c r="H2614" t="s">
        <v>33472</v>
      </c>
      <c r="I2614" t="s">
        <v>24897</v>
      </c>
      <c r="J2614" t="str">
        <f t="shared" si="202"/>
        <v>E:\PropInv\MF</v>
      </c>
      <c r="K2614" s="103" t="str">
        <f>HYPERLINK("E:\PropInv\MF\Houston\Stone_8404_Stone Manor_Houston_03687","Stone_8404_Stone Manor_Houston_03687" )</f>
        <v>Stone_8404_Stone Manor_Houston_03687</v>
      </c>
      <c r="L2614" s="104" t="s">
        <v>22253</v>
      </c>
      <c r="M2614" s="103" t="str">
        <f t="shared" si="203"/>
        <v>http://oconnordata.com/mlink/modules/profile/index.cfm?action=profile&amp;prop_id=3687</v>
      </c>
      <c r="N2614" s="1" t="str">
        <f t="shared" si="204"/>
        <v>03687</v>
      </c>
    </row>
    <row r="2615" spans="1:14" x14ac:dyDescent="0.3">
      <c r="A2615" s="1">
        <v>3688</v>
      </c>
      <c r="B2615" s="7" t="s">
        <v>3912</v>
      </c>
      <c r="C2615" s="12">
        <v>8010</v>
      </c>
      <c r="D2615" s="7" t="s">
        <v>3913</v>
      </c>
      <c r="E2615" s="13" t="s">
        <v>1657</v>
      </c>
      <c r="F2615" t="str">
        <f t="shared" si="200"/>
        <v>Weir</v>
      </c>
      <c r="G2615" t="str">
        <f t="shared" si="201"/>
        <v>Weir8010Houston</v>
      </c>
      <c r="H2615" t="s">
        <v>33473</v>
      </c>
      <c r="I2615" t="s">
        <v>24898</v>
      </c>
      <c r="J2615" t="str">
        <f t="shared" si="202"/>
        <v>E:\PropInv\MF</v>
      </c>
      <c r="K2615" s="103" t="str">
        <f>HYPERLINK("E:\PropInv\MF\Houston\Weir Dr_8010_Glenbrook Villa_Houston_03688","Weir Dr_8010_Glenbrook Villa_Houston_03688" )</f>
        <v>Weir Dr_8010_Glenbrook Villa_Houston_03688</v>
      </c>
      <c r="L2615" s="104" t="s">
        <v>22253</v>
      </c>
      <c r="M2615" s="103" t="str">
        <f t="shared" si="203"/>
        <v>http://oconnordata.com/mlink/modules/profile/index.cfm?action=profile&amp;prop_id=3688</v>
      </c>
      <c r="N2615" s="1" t="str">
        <f t="shared" si="204"/>
        <v>03688</v>
      </c>
    </row>
    <row r="2616" spans="1:14" x14ac:dyDescent="0.3">
      <c r="A2616" s="1">
        <v>3689</v>
      </c>
      <c r="B2616" s="7" t="s">
        <v>3889</v>
      </c>
      <c r="C2616" s="12">
        <v>4137</v>
      </c>
      <c r="D2616" s="7" t="s">
        <v>3914</v>
      </c>
      <c r="E2616" s="13" t="s">
        <v>1657</v>
      </c>
      <c r="F2616" t="str">
        <f t="shared" si="200"/>
        <v>Dover</v>
      </c>
      <c r="G2616" t="str">
        <f t="shared" si="201"/>
        <v>Dover4137Houston</v>
      </c>
      <c r="H2616" t="s">
        <v>33474</v>
      </c>
      <c r="I2616" t="s">
        <v>24899</v>
      </c>
      <c r="J2616" t="str">
        <f t="shared" si="202"/>
        <v>E:\PropInv\MF</v>
      </c>
      <c r="K2616" s="103" t="str">
        <f>HYPERLINK("E:\PropInv\MF\Houston\Dover_4137_Dover Place_Houston_03689","Dover_4137_Dover Place_Houston_03689" )</f>
        <v>Dover_4137_Dover Place_Houston_03689</v>
      </c>
      <c r="L2616" s="104" t="s">
        <v>22253</v>
      </c>
      <c r="M2616" s="103" t="str">
        <f t="shared" si="203"/>
        <v>http://oconnordata.com/mlink/modules/profile/index.cfm?action=profile&amp;prop_id=3689</v>
      </c>
      <c r="N2616" s="1" t="str">
        <f t="shared" si="204"/>
        <v>03689</v>
      </c>
    </row>
    <row r="2617" spans="1:14" x14ac:dyDescent="0.3">
      <c r="A2617" s="1">
        <v>3693</v>
      </c>
      <c r="B2617" s="7" t="s">
        <v>919</v>
      </c>
      <c r="C2617" s="12">
        <v>4114</v>
      </c>
      <c r="D2617" s="7" t="s">
        <v>919</v>
      </c>
      <c r="E2617" s="13" t="s">
        <v>1657</v>
      </c>
      <c r="F2617" t="str">
        <f t="shared" si="200"/>
        <v>Broadway</v>
      </c>
      <c r="G2617" t="str">
        <f t="shared" si="201"/>
        <v>Broadway4114Houston</v>
      </c>
      <c r="H2617" t="s">
        <v>33475</v>
      </c>
      <c r="I2617" t="s">
        <v>24900</v>
      </c>
      <c r="J2617" t="str">
        <f t="shared" si="202"/>
        <v>E:\PropInv\MF</v>
      </c>
      <c r="K2617" s="103" t="str">
        <f>HYPERLINK("E:\PropInv\MF\Houston\Broadway_4114_Broadway_Houston_03693","Broadway_4114_Broadway_Houston_03693" )</f>
        <v>Broadway_4114_Broadway_Houston_03693</v>
      </c>
      <c r="L2617" s="104" t="s">
        <v>22253</v>
      </c>
      <c r="M2617" s="103" t="str">
        <f t="shared" si="203"/>
        <v>http://oconnordata.com/mlink/modules/profile/index.cfm?action=profile&amp;prop_id=3693</v>
      </c>
      <c r="N2617" s="1" t="str">
        <f t="shared" si="204"/>
        <v>03693</v>
      </c>
    </row>
    <row r="2618" spans="1:14" x14ac:dyDescent="0.3">
      <c r="A2618" s="1">
        <v>3694</v>
      </c>
      <c r="B2618" s="7" t="s">
        <v>919</v>
      </c>
      <c r="C2618" s="12">
        <v>4015</v>
      </c>
      <c r="D2618" s="7" t="s">
        <v>3915</v>
      </c>
      <c r="E2618" s="13" t="s">
        <v>1657</v>
      </c>
      <c r="F2618" t="str">
        <f t="shared" si="200"/>
        <v>Broadway</v>
      </c>
      <c r="G2618" t="str">
        <f t="shared" si="201"/>
        <v>Broadway4015Houston</v>
      </c>
      <c r="H2618" t="s">
        <v>33476</v>
      </c>
      <c r="I2618" t="s">
        <v>24901</v>
      </c>
      <c r="J2618" t="str">
        <f t="shared" si="202"/>
        <v>E:\PropInv\MF</v>
      </c>
      <c r="K2618" s="103" t="str">
        <f>HYPERLINK("E:\PropInv\MF\Houston\Broadway_4015_Le Montreal_Houston_03694","Broadway_4015_Le Montreal_Houston_03694" )</f>
        <v>Broadway_4015_Le Montreal_Houston_03694</v>
      </c>
      <c r="L2618" s="104" t="s">
        <v>22253</v>
      </c>
      <c r="M2618" s="103" t="str">
        <f t="shared" si="203"/>
        <v>http://oconnordata.com/mlink/modules/profile/index.cfm?action=profile&amp;prop_id=3694</v>
      </c>
      <c r="N2618" s="1" t="str">
        <f t="shared" si="204"/>
        <v>03694</v>
      </c>
    </row>
    <row r="2619" spans="1:14" x14ac:dyDescent="0.3">
      <c r="A2619" s="1">
        <v>3695</v>
      </c>
      <c r="B2619" s="7" t="s">
        <v>3916</v>
      </c>
      <c r="C2619" s="12">
        <v>8700</v>
      </c>
      <c r="D2619" s="7" t="s">
        <v>3917</v>
      </c>
      <c r="E2619" s="13" t="s">
        <v>1657</v>
      </c>
      <c r="F2619" t="str">
        <f t="shared" si="200"/>
        <v>Broadway</v>
      </c>
      <c r="G2619" t="str">
        <f t="shared" si="201"/>
        <v>Broadway8700Houston</v>
      </c>
      <c r="H2619" t="s">
        <v>33477</v>
      </c>
      <c r="I2619" t="s">
        <v>24902</v>
      </c>
      <c r="J2619" t="str">
        <f t="shared" si="202"/>
        <v>E:\PropInv\MF</v>
      </c>
      <c r="K2619" s="103" t="str">
        <f>HYPERLINK("E:\PropInv\MF\Houston\Broadway St_8700_Broadway Square-Section 4-I_Houston_03695","Broadway St_8700_Broadway Square-Section 4-I_Houston_03695" )</f>
        <v>Broadway St_8700_Broadway Square-Section 4-I_Houston_03695</v>
      </c>
      <c r="L2619" s="104" t="s">
        <v>22253</v>
      </c>
      <c r="M2619" s="103" t="str">
        <f t="shared" si="203"/>
        <v>http://oconnordata.com/mlink/modules/profile/index.cfm?action=profile&amp;prop_id=3695</v>
      </c>
      <c r="N2619" s="1" t="str">
        <f t="shared" si="204"/>
        <v>03695</v>
      </c>
    </row>
    <row r="2620" spans="1:14" x14ac:dyDescent="0.3">
      <c r="A2620" s="1">
        <v>3696</v>
      </c>
      <c r="B2620" s="7" t="s">
        <v>3916</v>
      </c>
      <c r="C2620" s="12">
        <v>8955</v>
      </c>
      <c r="D2620" s="7" t="s">
        <v>3918</v>
      </c>
      <c r="E2620" s="13" t="s">
        <v>1657</v>
      </c>
      <c r="F2620" t="str">
        <f t="shared" si="200"/>
        <v>Broadway</v>
      </c>
      <c r="G2620" t="str">
        <f t="shared" si="201"/>
        <v>Broadway8955Houston</v>
      </c>
      <c r="H2620" t="s">
        <v>33478</v>
      </c>
      <c r="I2620" t="s">
        <v>24903</v>
      </c>
      <c r="J2620" t="str">
        <f t="shared" si="202"/>
        <v>E:\PropInv\MF</v>
      </c>
      <c r="K2620" s="103" t="str">
        <f>HYPERLINK("E:\PropInv\MF\Houston\Broadway St_8955_Broadway Square-Section 1-IV_Houston_03696","Broadway St_8955_Broadway Square-Section 1-IV_Houston_03696" )</f>
        <v>Broadway St_8955_Broadway Square-Section 1-IV_Houston_03696</v>
      </c>
      <c r="L2620" s="104" t="s">
        <v>22253</v>
      </c>
      <c r="M2620" s="103" t="str">
        <f t="shared" si="203"/>
        <v>http://oconnordata.com/mlink/modules/profile/index.cfm?action=profile&amp;prop_id=3696</v>
      </c>
      <c r="N2620" s="1" t="str">
        <f t="shared" si="204"/>
        <v>03696</v>
      </c>
    </row>
    <row r="2621" spans="1:14" x14ac:dyDescent="0.3">
      <c r="A2621" s="1">
        <v>3699</v>
      </c>
      <c r="B2621" s="7" t="s">
        <v>3919</v>
      </c>
      <c r="C2621" s="12">
        <v>7615</v>
      </c>
      <c r="D2621" s="7" t="s">
        <v>3920</v>
      </c>
      <c r="E2621" s="13" t="s">
        <v>1657</v>
      </c>
      <c r="F2621" t="str">
        <f t="shared" si="200"/>
        <v>Grahamcrest</v>
      </c>
      <c r="G2621" t="str">
        <f t="shared" si="201"/>
        <v>Grahamcrest7615Houston</v>
      </c>
      <c r="H2621" t="s">
        <v>33479</v>
      </c>
      <c r="I2621" t="s">
        <v>24904</v>
      </c>
      <c r="J2621" t="str">
        <f t="shared" si="202"/>
        <v>E:\PropInv\MF</v>
      </c>
      <c r="K2621" s="103" t="str">
        <f>HYPERLINK("E:\PropInv\MF\Houston\Grahamcrest Dr_7615_Grahamcrest Apts_Houston_03699","Grahamcrest Dr_7615_Grahamcrest Apts_Houston_03699" )</f>
        <v>Grahamcrest Dr_7615_Grahamcrest Apts_Houston_03699</v>
      </c>
      <c r="L2621" s="104" t="s">
        <v>22253</v>
      </c>
      <c r="M2621" s="103" t="str">
        <f t="shared" si="203"/>
        <v>http://oconnordata.com/mlink/modules/profile/index.cfm?action=profile&amp;prop_id=3699</v>
      </c>
      <c r="N2621" s="1" t="str">
        <f t="shared" si="204"/>
        <v>03699</v>
      </c>
    </row>
    <row r="2622" spans="1:14" x14ac:dyDescent="0.3">
      <c r="A2622" s="1">
        <v>3700</v>
      </c>
      <c r="B2622" s="7" t="s">
        <v>3906</v>
      </c>
      <c r="C2622" s="12">
        <v>6005</v>
      </c>
      <c r="D2622" s="7" t="s">
        <v>3921</v>
      </c>
      <c r="E2622" s="13" t="s">
        <v>1657</v>
      </c>
      <c r="F2622" t="str">
        <f t="shared" si="200"/>
        <v>Allendale</v>
      </c>
      <c r="G2622" t="str">
        <f t="shared" si="201"/>
        <v>Allendale6005Houston</v>
      </c>
      <c r="H2622" t="s">
        <v>33480</v>
      </c>
      <c r="I2622" t="s">
        <v>24905</v>
      </c>
      <c r="J2622" t="str">
        <f t="shared" si="202"/>
        <v>E:\PropInv\MF</v>
      </c>
      <c r="K2622" s="103" t="str">
        <f>HYPERLINK("E:\PropInv\MF\Houston\Allendale_6005_Allendale Village_Houston_03700","Allendale_6005_Allendale Village_Houston_03700" )</f>
        <v>Allendale_6005_Allendale Village_Houston_03700</v>
      </c>
      <c r="L2622" s="104" t="s">
        <v>22253</v>
      </c>
      <c r="M2622" s="103" t="str">
        <f t="shared" si="203"/>
        <v>http://oconnordata.com/mlink/modules/profile/index.cfm?action=profile&amp;prop_id=3700</v>
      </c>
      <c r="N2622" s="1" t="str">
        <f t="shared" si="204"/>
        <v>03700</v>
      </c>
    </row>
    <row r="2623" spans="1:14" x14ac:dyDescent="0.3">
      <c r="A2623" s="1">
        <v>3702</v>
      </c>
      <c r="B2623" s="7" t="s">
        <v>3922</v>
      </c>
      <c r="C2623" s="12">
        <v>1710</v>
      </c>
      <c r="D2623" s="7" t="s">
        <v>3923</v>
      </c>
      <c r="E2623" s="13" t="s">
        <v>3924</v>
      </c>
      <c r="F2623" t="str">
        <f t="shared" si="200"/>
        <v>Scarborough</v>
      </c>
      <c r="G2623" t="str">
        <f t="shared" si="201"/>
        <v>Scarborough1710Pasadena</v>
      </c>
      <c r="H2623" t="s">
        <v>33481</v>
      </c>
      <c r="I2623" t="s">
        <v>24906</v>
      </c>
      <c r="J2623" t="str">
        <f t="shared" si="202"/>
        <v>E:\PropInv\MF</v>
      </c>
      <c r="K2623" s="103" t="str">
        <f>HYPERLINK("E:\PropInv\MF\Pasadena\Scarborough Ln_1710_Scarborough Lane_Pasadena_03702","Scarborough Ln_1710_Scarborough Lane_Pasadena_03702" )</f>
        <v>Scarborough Ln_1710_Scarborough Lane_Pasadena_03702</v>
      </c>
      <c r="L2623" s="104" t="s">
        <v>22253</v>
      </c>
      <c r="M2623" s="103" t="str">
        <f t="shared" si="203"/>
        <v>http://oconnordata.com/mlink/modules/profile/index.cfm?action=profile&amp;prop_id=3702</v>
      </c>
      <c r="N2623" s="1" t="str">
        <f t="shared" si="204"/>
        <v>03702</v>
      </c>
    </row>
    <row r="2624" spans="1:14" x14ac:dyDescent="0.3">
      <c r="A2624" s="1">
        <v>3703</v>
      </c>
      <c r="B2624" s="7" t="s">
        <v>3844</v>
      </c>
      <c r="C2624" s="12">
        <v>8311</v>
      </c>
      <c r="D2624" s="7" t="s">
        <v>3901</v>
      </c>
      <c r="E2624" s="13" t="s">
        <v>1657</v>
      </c>
      <c r="F2624" t="str">
        <f t="shared" si="200"/>
        <v>Winkler</v>
      </c>
      <c r="G2624" t="str">
        <f t="shared" si="201"/>
        <v>Winkler8311Houston</v>
      </c>
      <c r="H2624" t="s">
        <v>33482</v>
      </c>
      <c r="I2624" t="s">
        <v>24907</v>
      </c>
      <c r="J2624" t="str">
        <f t="shared" si="202"/>
        <v>E:\PropInv\MF</v>
      </c>
      <c r="K2624" s="103" t="str">
        <f>HYPERLINK("E:\PropInv\MF\Houston\Winkler_8311_Glenview_Houston_03703","Winkler_8311_Glenview_Houston_03703" )</f>
        <v>Winkler_8311_Glenview_Houston_03703</v>
      </c>
      <c r="L2624" s="104" t="s">
        <v>22253</v>
      </c>
      <c r="M2624" s="103" t="str">
        <f t="shared" si="203"/>
        <v>http://oconnordata.com/mlink/modules/profile/index.cfm?action=profile&amp;prop_id=3703</v>
      </c>
      <c r="N2624" s="1" t="str">
        <f t="shared" si="204"/>
        <v>03703</v>
      </c>
    </row>
    <row r="2625" spans="1:14" x14ac:dyDescent="0.3">
      <c r="A2625" s="97">
        <v>3704</v>
      </c>
      <c r="B2625" s="7" t="s">
        <v>3863</v>
      </c>
      <c r="C2625" s="12">
        <v>8535</v>
      </c>
      <c r="D2625" s="7" t="s">
        <v>3925</v>
      </c>
      <c r="E2625" s="13" t="s">
        <v>1657</v>
      </c>
      <c r="F2625" t="str">
        <f t="shared" si="200"/>
        <v>Winkler</v>
      </c>
      <c r="G2625" t="str">
        <f t="shared" si="201"/>
        <v>Winkler8535Houston</v>
      </c>
      <c r="H2625" t="s">
        <v>33483</v>
      </c>
      <c r="I2625" t="s">
        <v>24908</v>
      </c>
      <c r="J2625" t="str">
        <f t="shared" si="202"/>
        <v>E:\PropInv\MF</v>
      </c>
      <c r="K2625" s="103" t="str">
        <f>HYPERLINK("E:\PropInv\MF\Houston\Winkler Dr_8535_Winkler-Belvedere_Houston_03704","Winkler Dr_8535_Winkler-Belvedere_Houston_03704" )</f>
        <v>Winkler Dr_8535_Winkler-Belvedere_Houston_03704</v>
      </c>
      <c r="L2625" s="104" t="s">
        <v>22253</v>
      </c>
      <c r="M2625" s="103" t="str">
        <f t="shared" si="203"/>
        <v>http://oconnordata.com/mlink/modules/profile/index.cfm?action=profile&amp;prop_id=3704</v>
      </c>
      <c r="N2625" s="1" t="str">
        <f t="shared" si="204"/>
        <v>03704</v>
      </c>
    </row>
    <row r="2626" spans="1:14" x14ac:dyDescent="0.3">
      <c r="A2626" s="1">
        <v>3705</v>
      </c>
      <c r="B2626" s="7" t="s">
        <v>3863</v>
      </c>
      <c r="C2626" s="12">
        <v>8541</v>
      </c>
      <c r="D2626" s="7" t="s">
        <v>3926</v>
      </c>
      <c r="E2626" s="13" t="s">
        <v>1657</v>
      </c>
      <c r="F2626" t="str">
        <f t="shared" ref="F2626:F2689" si="205">IFERROR(LEFT(B2626,FIND(" ",B2626)-1),B2626)</f>
        <v>Winkler</v>
      </c>
      <c r="G2626" t="str">
        <f t="shared" ref="G2626:G2689" si="206">F2626&amp;C2626&amp;E2626</f>
        <v>Winkler8541Houston</v>
      </c>
      <c r="H2626" t="s">
        <v>33484</v>
      </c>
      <c r="I2626" t="s">
        <v>24909</v>
      </c>
      <c r="J2626" t="str">
        <f t="shared" ref="J2626:J2689" si="207">IF(L2626="TX",Folder_Path,Folder_Path&amp;"\State_"&amp;L2626)</f>
        <v>E:\PropInv\MF</v>
      </c>
      <c r="K2626" s="103" t="str">
        <f>HYPERLINK("E:\PropInv\MF\Houston\Winkler Dr_8541_The East Hampton_Houston_03705","Winkler Dr_8541_The East Hampton_Houston_03705" )</f>
        <v>Winkler Dr_8541_The East Hampton_Houston_03705</v>
      </c>
      <c r="L2626" s="104" t="s">
        <v>22253</v>
      </c>
      <c r="M2626" s="103" t="str">
        <f t="shared" ref="M2626:M2689" si="208">HYPERLINK("http://oconnordata.com/mlink/modules/profile/index.cfm?action=profile&amp;prop_id="&amp;A2626)</f>
        <v>http://oconnordata.com/mlink/modules/profile/index.cfm?action=profile&amp;prop_id=3705</v>
      </c>
      <c r="N2626" s="1" t="str">
        <f t="shared" ref="N2626:N2689" si="209">IF(LEN(A2626)=1,"0000"&amp;A2626,IF(LEN(A2626)=2,"000"&amp;A2626,IF(LEN(A2626)=3,"00"&amp;A2626,IF(LEN(A2626)=4,"0"&amp;A2626,IF(LEN(A2626)=5,IF(LEFT(A2626,1)="3",A2626+30000,A2626))))))</f>
        <v>03705</v>
      </c>
    </row>
    <row r="2627" spans="1:14" x14ac:dyDescent="0.3">
      <c r="A2627" s="1">
        <v>3710</v>
      </c>
      <c r="B2627" s="7" t="s">
        <v>3927</v>
      </c>
      <c r="C2627" s="12">
        <v>301</v>
      </c>
      <c r="D2627" s="7" t="s">
        <v>3928</v>
      </c>
      <c r="E2627" s="13" t="s">
        <v>1657</v>
      </c>
      <c r="F2627" t="str">
        <f t="shared" si="205"/>
        <v>Halkies</v>
      </c>
      <c r="G2627" t="str">
        <f t="shared" si="206"/>
        <v>Halkies301Houston</v>
      </c>
      <c r="H2627" t="s">
        <v>33485</v>
      </c>
      <c r="I2627" t="s">
        <v>24910</v>
      </c>
      <c r="J2627" t="str">
        <f t="shared" si="207"/>
        <v>E:\PropInv\MF</v>
      </c>
      <c r="K2627" s="103" t="str">
        <f>HYPERLINK("E:\PropInv\MF\Houston\Halkies S_301_Gemini Gardens_Houston_03710","Halkies S_301_Gemini Gardens_Houston_03710" )</f>
        <v>Halkies S_301_Gemini Gardens_Houston_03710</v>
      </c>
      <c r="L2627" s="104" t="s">
        <v>22253</v>
      </c>
      <c r="M2627" s="103" t="str">
        <f t="shared" si="208"/>
        <v>http://oconnordata.com/mlink/modules/profile/index.cfm?action=profile&amp;prop_id=3710</v>
      </c>
      <c r="N2627" s="1" t="str">
        <f t="shared" si="209"/>
        <v>03710</v>
      </c>
    </row>
    <row r="2628" spans="1:14" x14ac:dyDescent="0.3">
      <c r="A2628" s="1">
        <v>3714</v>
      </c>
      <c r="B2628" s="7" t="s">
        <v>3929</v>
      </c>
      <c r="C2628" s="12">
        <v>6727</v>
      </c>
      <c r="D2628" s="7" t="s">
        <v>3930</v>
      </c>
      <c r="E2628" s="13" t="s">
        <v>1657</v>
      </c>
      <c r="F2628" t="str">
        <f t="shared" si="205"/>
        <v>Telephone</v>
      </c>
      <c r="G2628" t="str">
        <f t="shared" si="206"/>
        <v>Telephone6727Houston</v>
      </c>
      <c r="H2628" t="s">
        <v>33486</v>
      </c>
      <c r="I2628" t="s">
        <v>24911</v>
      </c>
      <c r="J2628" t="str">
        <f t="shared" si="207"/>
        <v>E:\PropInv\MF</v>
      </c>
      <c r="K2628" s="103" t="str">
        <f>HYPERLINK("E:\PropInv\MF\Houston\Telephone Rd_6727_Sage Meadows_Houston_03714","Telephone Rd_6727_Sage Meadows_Houston_03714" )</f>
        <v>Telephone Rd_6727_Sage Meadows_Houston_03714</v>
      </c>
      <c r="L2628" s="104" t="s">
        <v>22253</v>
      </c>
      <c r="M2628" s="103" t="str">
        <f t="shared" si="208"/>
        <v>http://oconnordata.com/mlink/modules/profile/index.cfm?action=profile&amp;prop_id=3714</v>
      </c>
      <c r="N2628" s="1" t="str">
        <f t="shared" si="209"/>
        <v>03714</v>
      </c>
    </row>
    <row r="2629" spans="1:14" x14ac:dyDescent="0.3">
      <c r="A2629" s="1">
        <v>3716</v>
      </c>
      <c r="B2629" s="7" t="s">
        <v>3863</v>
      </c>
      <c r="C2629" s="12">
        <v>8601</v>
      </c>
      <c r="D2629" s="7" t="s">
        <v>3931</v>
      </c>
      <c r="E2629" s="13" t="s">
        <v>1657</v>
      </c>
      <c r="F2629" t="str">
        <f t="shared" si="205"/>
        <v>Winkler</v>
      </c>
      <c r="G2629" t="str">
        <f t="shared" si="206"/>
        <v>Winkler8601Houston</v>
      </c>
      <c r="H2629" t="s">
        <v>33487</v>
      </c>
      <c r="I2629" t="s">
        <v>24912</v>
      </c>
      <c r="J2629" t="str">
        <f t="shared" si="207"/>
        <v>E:\PropInv\MF</v>
      </c>
      <c r="K2629" s="103" t="str">
        <f>HYPERLINK("E:\PropInv\MF\Houston\Winkler Dr_8601_Meadowbrook Manor_Houston_03716","Winkler Dr_8601_Meadowbrook Manor_Houston_03716" )</f>
        <v>Winkler Dr_8601_Meadowbrook Manor_Houston_03716</v>
      </c>
      <c r="L2629" s="104" t="s">
        <v>22253</v>
      </c>
      <c r="M2629" s="103" t="str">
        <f t="shared" si="208"/>
        <v>http://oconnordata.com/mlink/modules/profile/index.cfm?action=profile&amp;prop_id=3716</v>
      </c>
      <c r="N2629" s="1" t="str">
        <f t="shared" si="209"/>
        <v>03716</v>
      </c>
    </row>
    <row r="2630" spans="1:14" x14ac:dyDescent="0.3">
      <c r="A2630" s="1">
        <v>3717</v>
      </c>
      <c r="B2630" s="7" t="s">
        <v>3906</v>
      </c>
      <c r="C2630" s="12">
        <v>4801</v>
      </c>
      <c r="D2630" s="7" t="s">
        <v>3932</v>
      </c>
      <c r="E2630" s="13" t="s">
        <v>1657</v>
      </c>
      <c r="F2630" t="str">
        <f t="shared" si="205"/>
        <v>Allendale</v>
      </c>
      <c r="G2630" t="str">
        <f t="shared" si="206"/>
        <v>Allendale4801Houston</v>
      </c>
      <c r="H2630" t="s">
        <v>33488</v>
      </c>
      <c r="I2630" t="s">
        <v>24913</v>
      </c>
      <c r="J2630" t="str">
        <f t="shared" si="207"/>
        <v>E:\PropInv\MF</v>
      </c>
      <c r="K2630" s="103" t="str">
        <f>HYPERLINK("E:\PropInv\MF\Houston\Allendale_4801_Oakshadows Retirement Community_Houston_03717","Allendale_4801_Oakshadows Retirement Community_Houston_03717" )</f>
        <v>Allendale_4801_Oakshadows Retirement Community_Houston_03717</v>
      </c>
      <c r="L2630" s="104" t="s">
        <v>22253</v>
      </c>
      <c r="M2630" s="103" t="str">
        <f t="shared" si="208"/>
        <v>http://oconnordata.com/mlink/modules/profile/index.cfm?action=profile&amp;prop_id=3717</v>
      </c>
      <c r="N2630" s="1" t="str">
        <f t="shared" si="209"/>
        <v>03717</v>
      </c>
    </row>
    <row r="2631" spans="1:14" x14ac:dyDescent="0.3">
      <c r="A2631" s="1">
        <v>3718</v>
      </c>
      <c r="B2631" s="7" t="s">
        <v>3933</v>
      </c>
      <c r="C2631" s="12">
        <v>910</v>
      </c>
      <c r="D2631" s="7" t="s">
        <v>3934</v>
      </c>
      <c r="E2631" s="13" t="s">
        <v>3924</v>
      </c>
      <c r="F2631" t="str">
        <f t="shared" si="205"/>
        <v>Main</v>
      </c>
      <c r="G2631" t="str">
        <f t="shared" si="206"/>
        <v>Main910Pasadena</v>
      </c>
      <c r="H2631" t="s">
        <v>33489</v>
      </c>
      <c r="I2631" t="s">
        <v>24914</v>
      </c>
      <c r="J2631" t="str">
        <f t="shared" si="207"/>
        <v>E:\PropInv\MF</v>
      </c>
      <c r="K2631" s="103" t="str">
        <f>HYPERLINK("E:\PropInv\MF\Pasadena\Main St S_910_Ken Mar_Pasadena_03718","Main St S_910_Ken Mar_Pasadena_03718" )</f>
        <v>Main St S_910_Ken Mar_Pasadena_03718</v>
      </c>
      <c r="L2631" s="104" t="s">
        <v>22253</v>
      </c>
      <c r="M2631" s="103" t="str">
        <f t="shared" si="208"/>
        <v>http://oconnordata.com/mlink/modules/profile/index.cfm?action=profile&amp;prop_id=3718</v>
      </c>
      <c r="N2631" s="1" t="str">
        <f t="shared" si="209"/>
        <v>03718</v>
      </c>
    </row>
    <row r="2632" spans="1:14" x14ac:dyDescent="0.3">
      <c r="A2632" s="1">
        <v>3719</v>
      </c>
      <c r="B2632" s="7" t="s">
        <v>3933</v>
      </c>
      <c r="C2632" s="12">
        <v>1004</v>
      </c>
      <c r="D2632" s="7" t="s">
        <v>3935</v>
      </c>
      <c r="E2632" s="13" t="s">
        <v>3924</v>
      </c>
      <c r="F2632" t="str">
        <f t="shared" si="205"/>
        <v>Main</v>
      </c>
      <c r="G2632" t="str">
        <f t="shared" si="206"/>
        <v>Main1004Pasadena</v>
      </c>
      <c r="H2632" t="s">
        <v>33490</v>
      </c>
      <c r="I2632" t="s">
        <v>24915</v>
      </c>
      <c r="J2632" t="str">
        <f t="shared" si="207"/>
        <v>E:\PropInv\MF</v>
      </c>
      <c r="K2632" s="103" t="str">
        <f>HYPERLINK("E:\PropInv\MF\Pasadena\Main St S_1004_Main Village_Pasadena_03719","Main St S_1004_Main Village_Pasadena_03719" )</f>
        <v>Main St S_1004_Main Village_Pasadena_03719</v>
      </c>
      <c r="L2632" s="104" t="s">
        <v>22253</v>
      </c>
      <c r="M2632" s="103" t="str">
        <f t="shared" si="208"/>
        <v>http://oconnordata.com/mlink/modules/profile/index.cfm?action=profile&amp;prop_id=3719</v>
      </c>
      <c r="N2632" s="1" t="str">
        <f t="shared" si="209"/>
        <v>03719</v>
      </c>
    </row>
    <row r="2633" spans="1:14" x14ac:dyDescent="0.3">
      <c r="A2633" s="1">
        <v>3720</v>
      </c>
      <c r="B2633" s="7" t="s">
        <v>3936</v>
      </c>
      <c r="C2633" s="12">
        <v>519</v>
      </c>
      <c r="D2633" s="7" t="s">
        <v>3937</v>
      </c>
      <c r="E2633" s="13" t="s">
        <v>3924</v>
      </c>
      <c r="F2633" t="str">
        <f t="shared" si="205"/>
        <v>Richey</v>
      </c>
      <c r="G2633" t="str">
        <f t="shared" si="206"/>
        <v>Richey519Pasadena</v>
      </c>
      <c r="H2633" t="s">
        <v>33491</v>
      </c>
      <c r="I2633" t="s">
        <v>24916</v>
      </c>
      <c r="J2633" t="str">
        <f t="shared" si="207"/>
        <v>E:\PropInv\MF</v>
      </c>
      <c r="K2633" s="103" t="str">
        <f>HYPERLINK("E:\PropInv\MF\Pasadena\Richey S_519_Bryton Hill Manor_Pasadena_03720","Richey S_519_Bryton Hill Manor_Pasadena_03720" )</f>
        <v>Richey S_519_Bryton Hill Manor_Pasadena_03720</v>
      </c>
      <c r="L2633" s="104" t="s">
        <v>22253</v>
      </c>
      <c r="M2633" s="103" t="str">
        <f t="shared" si="208"/>
        <v>http://oconnordata.com/mlink/modules/profile/index.cfm?action=profile&amp;prop_id=3720</v>
      </c>
      <c r="N2633" s="1" t="str">
        <f t="shared" si="209"/>
        <v>03720</v>
      </c>
    </row>
    <row r="2634" spans="1:14" x14ac:dyDescent="0.3">
      <c r="A2634" s="1">
        <v>3722</v>
      </c>
      <c r="B2634" s="7" t="s">
        <v>3938</v>
      </c>
      <c r="C2634" s="12">
        <v>402</v>
      </c>
      <c r="D2634" s="7" t="s">
        <v>3939</v>
      </c>
      <c r="E2634" s="13" t="s">
        <v>3924</v>
      </c>
      <c r="F2634" t="str">
        <f t="shared" si="205"/>
        <v>Garner</v>
      </c>
      <c r="G2634" t="str">
        <f t="shared" si="206"/>
        <v>Garner402Pasadena</v>
      </c>
      <c r="H2634" t="s">
        <v>33492</v>
      </c>
      <c r="I2634" t="s">
        <v>24917</v>
      </c>
      <c r="J2634" t="str">
        <f t="shared" si="207"/>
        <v>E:\PropInv\MF</v>
      </c>
      <c r="K2634" s="103" t="str">
        <f>HYPERLINK("E:\PropInv\MF\Pasadena\Garner_402_Courtyard Apts_Pasadena_03722","Garner_402_Courtyard Apts_Pasadena_03722" )</f>
        <v>Garner_402_Courtyard Apts_Pasadena_03722</v>
      </c>
      <c r="L2634" s="104" t="s">
        <v>22253</v>
      </c>
      <c r="M2634" s="103" t="str">
        <f t="shared" si="208"/>
        <v>http://oconnordata.com/mlink/modules/profile/index.cfm?action=profile&amp;prop_id=3722</v>
      </c>
      <c r="N2634" s="1" t="str">
        <f t="shared" si="209"/>
        <v>03722</v>
      </c>
    </row>
    <row r="2635" spans="1:14" x14ac:dyDescent="0.3">
      <c r="A2635" s="1">
        <v>3723</v>
      </c>
      <c r="B2635" s="7" t="s">
        <v>3938</v>
      </c>
      <c r="C2635" s="12">
        <v>403</v>
      </c>
      <c r="D2635" s="7" t="s">
        <v>3940</v>
      </c>
      <c r="E2635" s="13" t="s">
        <v>3924</v>
      </c>
      <c r="F2635" t="str">
        <f t="shared" si="205"/>
        <v>Garner</v>
      </c>
      <c r="G2635" t="str">
        <f t="shared" si="206"/>
        <v>Garner403Pasadena</v>
      </c>
      <c r="H2635" t="s">
        <v>33493</v>
      </c>
      <c r="I2635" t="s">
        <v>24918</v>
      </c>
      <c r="J2635" t="str">
        <f t="shared" si="207"/>
        <v>E:\PropInv\MF</v>
      </c>
      <c r="K2635" s="103" t="str">
        <f>HYPERLINK("E:\PropInv\MF\Pasadena\Garner_403_Garner Villa_Pasadena_03723","Garner_403_Garner Villa_Pasadena_03723" )</f>
        <v>Garner_403_Garner Villa_Pasadena_03723</v>
      </c>
      <c r="L2635" s="104" t="s">
        <v>22253</v>
      </c>
      <c r="M2635" s="103" t="str">
        <f t="shared" si="208"/>
        <v>http://oconnordata.com/mlink/modules/profile/index.cfm?action=profile&amp;prop_id=3723</v>
      </c>
      <c r="N2635" s="1" t="str">
        <f t="shared" si="209"/>
        <v>03723</v>
      </c>
    </row>
    <row r="2636" spans="1:14" x14ac:dyDescent="0.3">
      <c r="A2636" s="1">
        <v>3724</v>
      </c>
      <c r="B2636" s="7" t="s">
        <v>919</v>
      </c>
      <c r="C2636" s="12">
        <v>8501</v>
      </c>
      <c r="D2636" s="7" t="s">
        <v>3941</v>
      </c>
      <c r="E2636" s="13" t="s">
        <v>1657</v>
      </c>
      <c r="F2636" t="str">
        <f t="shared" si="205"/>
        <v>Broadway</v>
      </c>
      <c r="G2636" t="str">
        <f t="shared" si="206"/>
        <v>Broadway8501Houston</v>
      </c>
      <c r="H2636" t="s">
        <v>33494</v>
      </c>
      <c r="I2636" t="s">
        <v>24919</v>
      </c>
      <c r="J2636" t="str">
        <f t="shared" si="207"/>
        <v>E:\PropInv\MF</v>
      </c>
      <c r="K2636" s="103" t="str">
        <f>HYPERLINK("E:\PropInv\MF\Houston\Broadway_8501_Crescent City_Houston_03724","Broadway_8501_Crescent City_Houston_03724" )</f>
        <v>Broadway_8501_Crescent City_Houston_03724</v>
      </c>
      <c r="L2636" s="104" t="s">
        <v>22253</v>
      </c>
      <c r="M2636" s="103" t="str">
        <f t="shared" si="208"/>
        <v>http://oconnordata.com/mlink/modules/profile/index.cfm?action=profile&amp;prop_id=3724</v>
      </c>
      <c r="N2636" s="1" t="str">
        <f t="shared" si="209"/>
        <v>03724</v>
      </c>
    </row>
    <row r="2637" spans="1:14" x14ac:dyDescent="0.3">
      <c r="A2637" s="1">
        <v>3725</v>
      </c>
      <c r="B2637" s="7" t="s">
        <v>3916</v>
      </c>
      <c r="C2637" s="12">
        <v>8750</v>
      </c>
      <c r="D2637" s="7" t="s">
        <v>3942</v>
      </c>
      <c r="E2637" s="13" t="s">
        <v>1657</v>
      </c>
      <c r="F2637" t="str">
        <f t="shared" si="205"/>
        <v>Broadway</v>
      </c>
      <c r="G2637" t="str">
        <f t="shared" si="206"/>
        <v>Broadway8750Houston</v>
      </c>
      <c r="H2637" t="s">
        <v>33495</v>
      </c>
      <c r="I2637" t="s">
        <v>24920</v>
      </c>
      <c r="J2637" t="str">
        <f t="shared" si="207"/>
        <v>E:\PropInv\MF</v>
      </c>
      <c r="K2637" s="103" t="str">
        <f>HYPERLINK("E:\PropInv\MF\Houston\Broadway St_8750_Broadway Square-Section 4-II_Houston_03725","Broadway St_8750_Broadway Square-Section 4-II_Houston_03725" )</f>
        <v>Broadway St_8750_Broadway Square-Section 4-II_Houston_03725</v>
      </c>
      <c r="L2637" s="104" t="s">
        <v>22253</v>
      </c>
      <c r="M2637" s="103" t="str">
        <f t="shared" si="208"/>
        <v>http://oconnordata.com/mlink/modules/profile/index.cfm?action=profile&amp;prop_id=3725</v>
      </c>
      <c r="N2637" s="1" t="str">
        <f t="shared" si="209"/>
        <v>03725</v>
      </c>
    </row>
    <row r="2638" spans="1:14" x14ac:dyDescent="0.3">
      <c r="A2638" s="1">
        <v>3726</v>
      </c>
      <c r="B2638" s="7" t="s">
        <v>3936</v>
      </c>
      <c r="C2638" s="12">
        <v>621</v>
      </c>
      <c r="D2638" s="19" t="s">
        <v>3943</v>
      </c>
      <c r="E2638" s="13" t="s">
        <v>3924</v>
      </c>
      <c r="F2638" t="str">
        <f t="shared" si="205"/>
        <v>Richey</v>
      </c>
      <c r="G2638" t="str">
        <f t="shared" si="206"/>
        <v>Richey621Pasadena</v>
      </c>
      <c r="H2638" t="s">
        <v>33496</v>
      </c>
      <c r="I2638" t="s">
        <v>24921</v>
      </c>
      <c r="J2638" t="str">
        <f t="shared" si="207"/>
        <v>E:\PropInv\MF</v>
      </c>
      <c r="K2638" s="103" t="str">
        <f>HYPERLINK("E:\PropInv\MF\Pasadena\Richey S_621_The Columns_Pasadena_03726","Richey S_621_The Columns_Pasadena_03726" )</f>
        <v>Richey S_621_The Columns_Pasadena_03726</v>
      </c>
      <c r="L2638" s="104" t="s">
        <v>22253</v>
      </c>
      <c r="M2638" s="103" t="str">
        <f t="shared" si="208"/>
        <v>http://oconnordata.com/mlink/modules/profile/index.cfm?action=profile&amp;prop_id=3726</v>
      </c>
      <c r="N2638" s="1" t="str">
        <f t="shared" si="209"/>
        <v>03726</v>
      </c>
    </row>
    <row r="2639" spans="1:14" x14ac:dyDescent="0.3">
      <c r="A2639" s="1">
        <v>3727</v>
      </c>
      <c r="B2639" s="7" t="s">
        <v>3944</v>
      </c>
      <c r="C2639" s="12">
        <v>1009</v>
      </c>
      <c r="D2639" s="7" t="s">
        <v>3311</v>
      </c>
      <c r="E2639" s="13" t="s">
        <v>3924</v>
      </c>
      <c r="F2639" t="str">
        <f t="shared" si="205"/>
        <v>Richey</v>
      </c>
      <c r="G2639" t="str">
        <f t="shared" si="206"/>
        <v>Richey1009Pasadena</v>
      </c>
      <c r="H2639" t="s">
        <v>33497</v>
      </c>
      <c r="I2639" t="s">
        <v>24922</v>
      </c>
      <c r="J2639" t="str">
        <f t="shared" si="207"/>
        <v>E:\PropInv\MF</v>
      </c>
      <c r="K2639" s="103" t="str">
        <f>HYPERLINK("E:\PropInv\MF\Pasadena\Richey St S_1009_Raintree_Pasadena_03727","Richey St S_1009_Raintree_Pasadena_03727" )</f>
        <v>Richey St S_1009_Raintree_Pasadena_03727</v>
      </c>
      <c r="L2639" s="104" t="s">
        <v>22253</v>
      </c>
      <c r="M2639" s="103" t="str">
        <f t="shared" si="208"/>
        <v>http://oconnordata.com/mlink/modules/profile/index.cfm?action=profile&amp;prop_id=3727</v>
      </c>
      <c r="N2639" s="1" t="str">
        <f t="shared" si="209"/>
        <v>03727</v>
      </c>
    </row>
    <row r="2640" spans="1:14" x14ac:dyDescent="0.3">
      <c r="A2640" s="1">
        <v>3728</v>
      </c>
      <c r="B2640" s="7" t="s">
        <v>3945</v>
      </c>
      <c r="C2640" s="12">
        <v>812</v>
      </c>
      <c r="D2640" s="7" t="s">
        <v>3946</v>
      </c>
      <c r="E2640" s="13" t="s">
        <v>3924</v>
      </c>
      <c r="F2640" t="str">
        <f t="shared" si="205"/>
        <v>Shaver</v>
      </c>
      <c r="G2640" t="str">
        <f t="shared" si="206"/>
        <v>Shaver812Pasadena</v>
      </c>
      <c r="H2640" t="s">
        <v>33498</v>
      </c>
      <c r="I2640" t="s">
        <v>24923</v>
      </c>
      <c r="J2640" t="str">
        <f t="shared" si="207"/>
        <v>E:\PropInv\MF</v>
      </c>
      <c r="K2640" s="103" t="str">
        <f>HYPERLINK("E:\PropInv\MF\Pasadena\Shaver S_812_Old South_Pasadena_03728","Shaver S_812_Old South_Pasadena_03728" )</f>
        <v>Shaver S_812_Old South_Pasadena_03728</v>
      </c>
      <c r="L2640" s="104" t="s">
        <v>22253</v>
      </c>
      <c r="M2640" s="103" t="str">
        <f t="shared" si="208"/>
        <v>http://oconnordata.com/mlink/modules/profile/index.cfm?action=profile&amp;prop_id=3728</v>
      </c>
      <c r="N2640" s="1" t="str">
        <f t="shared" si="209"/>
        <v>03728</v>
      </c>
    </row>
    <row r="2641" spans="1:14" x14ac:dyDescent="0.3">
      <c r="A2641" s="1">
        <v>3729</v>
      </c>
      <c r="B2641" s="7" t="s">
        <v>3936</v>
      </c>
      <c r="C2641" s="12">
        <v>315</v>
      </c>
      <c r="D2641" s="7" t="s">
        <v>3947</v>
      </c>
      <c r="E2641" s="13" t="s">
        <v>3924</v>
      </c>
      <c r="F2641" t="str">
        <f t="shared" si="205"/>
        <v>Richey</v>
      </c>
      <c r="G2641" t="str">
        <f t="shared" si="206"/>
        <v>Richey315Pasadena</v>
      </c>
      <c r="H2641" t="s">
        <v>33499</v>
      </c>
      <c r="I2641" t="s">
        <v>24924</v>
      </c>
      <c r="J2641" t="str">
        <f t="shared" si="207"/>
        <v>E:\PropInv\MF</v>
      </c>
      <c r="K2641" s="103" t="str">
        <f>HYPERLINK("E:\PropInv\MF\Pasadena\Richey S_315_Compton Court_Pasadena_03729","Richey S_315_Compton Court_Pasadena_03729" )</f>
        <v>Richey S_315_Compton Court_Pasadena_03729</v>
      </c>
      <c r="L2641" s="104" t="s">
        <v>22253</v>
      </c>
      <c r="M2641" s="103" t="str">
        <f t="shared" si="208"/>
        <v>http://oconnordata.com/mlink/modules/profile/index.cfm?action=profile&amp;prop_id=3729</v>
      </c>
      <c r="N2641" s="1" t="str">
        <f t="shared" si="209"/>
        <v>03729</v>
      </c>
    </row>
    <row r="2642" spans="1:14" x14ac:dyDescent="0.3">
      <c r="A2642" s="1">
        <v>3733</v>
      </c>
      <c r="B2642" s="7" t="s">
        <v>3948</v>
      </c>
      <c r="C2642" s="12">
        <v>1010</v>
      </c>
      <c r="D2642" s="7" t="s">
        <v>3290</v>
      </c>
      <c r="E2642" s="13" t="s">
        <v>3924</v>
      </c>
      <c r="F2642" t="str">
        <f t="shared" si="205"/>
        <v>Jackson</v>
      </c>
      <c r="G2642" t="str">
        <f t="shared" si="206"/>
        <v>Jackson1010Pasadena</v>
      </c>
      <c r="H2642" t="s">
        <v>33500</v>
      </c>
      <c r="I2642" t="s">
        <v>24925</v>
      </c>
      <c r="J2642" t="str">
        <f t="shared" si="207"/>
        <v>E:\PropInv\MF</v>
      </c>
      <c r="K2642" s="103" t="str">
        <f>HYPERLINK("E:\PropInv\MF\Pasadena\Jackson E_1010_Cedar Bayou_Pasadena_03733","Jackson E_1010_Cedar Bayou_Pasadena_03733" )</f>
        <v>Jackson E_1010_Cedar Bayou_Pasadena_03733</v>
      </c>
      <c r="L2642" s="104" t="s">
        <v>22253</v>
      </c>
      <c r="M2642" s="103" t="str">
        <f t="shared" si="208"/>
        <v>http://oconnordata.com/mlink/modules/profile/index.cfm?action=profile&amp;prop_id=3733</v>
      </c>
      <c r="N2642" s="1" t="str">
        <f t="shared" si="209"/>
        <v>03733</v>
      </c>
    </row>
    <row r="2643" spans="1:14" x14ac:dyDescent="0.3">
      <c r="A2643" s="1">
        <v>3734</v>
      </c>
      <c r="B2643" s="7" t="s">
        <v>3949</v>
      </c>
      <c r="C2643" s="12">
        <v>1120</v>
      </c>
      <c r="D2643" s="7" t="s">
        <v>3950</v>
      </c>
      <c r="E2643" s="13" t="s">
        <v>3924</v>
      </c>
      <c r="F2643" t="str">
        <f t="shared" si="205"/>
        <v>Red</v>
      </c>
      <c r="G2643" t="str">
        <f t="shared" si="206"/>
        <v>Red1120Pasadena</v>
      </c>
      <c r="H2643" t="s">
        <v>33501</v>
      </c>
      <c r="I2643" t="s">
        <v>24926</v>
      </c>
      <c r="J2643" t="str">
        <f t="shared" si="207"/>
        <v>E:\PropInv\MF</v>
      </c>
      <c r="K2643" s="103" t="str">
        <f>HYPERLINK("E:\PropInv\MF\Pasadena\Red Bluff_1120_First Line_Pasadena_03734","Red Bluff_1120_First Line_Pasadena_03734" )</f>
        <v>Red Bluff_1120_First Line_Pasadena_03734</v>
      </c>
      <c r="L2643" s="104" t="s">
        <v>22253</v>
      </c>
      <c r="M2643" s="103" t="str">
        <f t="shared" si="208"/>
        <v>http://oconnordata.com/mlink/modules/profile/index.cfm?action=profile&amp;prop_id=3734</v>
      </c>
      <c r="N2643" s="1" t="str">
        <f t="shared" si="209"/>
        <v>03734</v>
      </c>
    </row>
    <row r="2644" spans="1:14" x14ac:dyDescent="0.3">
      <c r="A2644" s="1">
        <v>3735</v>
      </c>
      <c r="B2644" s="7" t="s">
        <v>3951</v>
      </c>
      <c r="C2644" s="12">
        <v>7900</v>
      </c>
      <c r="D2644" s="7" t="s">
        <v>3952</v>
      </c>
      <c r="E2644" s="13" t="s">
        <v>1657</v>
      </c>
      <c r="F2644" t="str">
        <f t="shared" si="205"/>
        <v>Morley</v>
      </c>
      <c r="G2644" t="str">
        <f t="shared" si="206"/>
        <v>Morley7900Houston</v>
      </c>
      <c r="H2644" t="s">
        <v>33502</v>
      </c>
      <c r="I2644" t="s">
        <v>24927</v>
      </c>
      <c r="J2644" t="str">
        <f t="shared" si="207"/>
        <v>E:\PropInv\MF</v>
      </c>
      <c r="K2644" s="103" t="str">
        <f>HYPERLINK("E:\PropInv\MF\Houston\Morley St_7900_Broadway Square-Section 2-I_Houston_03735","Morley St_7900_Broadway Square-Section 2-I_Houston_03735" )</f>
        <v>Morley St_7900_Broadway Square-Section 2-I_Houston_03735</v>
      </c>
      <c r="L2644" s="104" t="s">
        <v>22253</v>
      </c>
      <c r="M2644" s="103" t="str">
        <f t="shared" si="208"/>
        <v>http://oconnordata.com/mlink/modules/profile/index.cfm?action=profile&amp;prop_id=3735</v>
      </c>
      <c r="N2644" s="1" t="str">
        <f t="shared" si="209"/>
        <v>03735</v>
      </c>
    </row>
    <row r="2645" spans="1:14" x14ac:dyDescent="0.3">
      <c r="A2645" s="1">
        <v>3736</v>
      </c>
      <c r="B2645" s="7" t="s">
        <v>3830</v>
      </c>
      <c r="C2645" s="12">
        <v>8800</v>
      </c>
      <c r="D2645" s="7" t="s">
        <v>3953</v>
      </c>
      <c r="E2645" s="13" t="s">
        <v>1657</v>
      </c>
      <c r="F2645" t="str">
        <f t="shared" si="205"/>
        <v>Gulf</v>
      </c>
      <c r="G2645" t="str">
        <f t="shared" si="206"/>
        <v>Gulf8800Houston</v>
      </c>
      <c r="H2645" t="s">
        <v>33503</v>
      </c>
      <c r="I2645" t="s">
        <v>24928</v>
      </c>
      <c r="J2645" t="str">
        <f t="shared" si="207"/>
        <v>E:\PropInv\MF</v>
      </c>
      <c r="K2645" s="103" t="str">
        <f>HYPERLINK("E:\PropInv\MF\Houston\Gulf Fwy_8800_Skylane South_Houston_03736","Gulf Fwy_8800_Skylane South_Houston_03736" )</f>
        <v>Gulf Fwy_8800_Skylane South_Houston_03736</v>
      </c>
      <c r="L2645" s="104" t="s">
        <v>22253</v>
      </c>
      <c r="M2645" s="103" t="str">
        <f t="shared" si="208"/>
        <v>http://oconnordata.com/mlink/modules/profile/index.cfm?action=profile&amp;prop_id=3736</v>
      </c>
      <c r="N2645" s="1" t="str">
        <f t="shared" si="209"/>
        <v>03736</v>
      </c>
    </row>
    <row r="2646" spans="1:14" x14ac:dyDescent="0.3">
      <c r="A2646" s="1">
        <v>3740</v>
      </c>
      <c r="B2646" s="7" t="s">
        <v>3954</v>
      </c>
      <c r="C2646" s="12">
        <v>612</v>
      </c>
      <c r="D2646" s="7" t="s">
        <v>3955</v>
      </c>
      <c r="E2646" s="13" t="s">
        <v>3924</v>
      </c>
      <c r="F2646" t="str">
        <f t="shared" si="205"/>
        <v>Charles</v>
      </c>
      <c r="G2646" t="str">
        <f t="shared" si="206"/>
        <v>Charles612Pasadena</v>
      </c>
      <c r="H2646" t="s">
        <v>33504</v>
      </c>
      <c r="I2646" t="s">
        <v>24929</v>
      </c>
      <c r="J2646" t="str">
        <f t="shared" si="207"/>
        <v>E:\PropInv\MF</v>
      </c>
      <c r="K2646" s="103" t="str">
        <f>HYPERLINK("E:\PropInv\MF\Pasadena\Charles S_612_Cedar Creek_Pasadena_03740","Charles S_612_Cedar Creek_Pasadena_03740" )</f>
        <v>Charles S_612_Cedar Creek_Pasadena_03740</v>
      </c>
      <c r="L2646" s="104" t="s">
        <v>22253</v>
      </c>
      <c r="M2646" s="103" t="str">
        <f t="shared" si="208"/>
        <v>http://oconnordata.com/mlink/modules/profile/index.cfm?action=profile&amp;prop_id=3740</v>
      </c>
      <c r="N2646" s="1" t="str">
        <f t="shared" si="209"/>
        <v>03740</v>
      </c>
    </row>
    <row r="2647" spans="1:14" x14ac:dyDescent="0.3">
      <c r="A2647" s="1">
        <v>3741</v>
      </c>
      <c r="B2647" s="7" t="s">
        <v>3945</v>
      </c>
      <c r="C2647" s="18">
        <v>2135</v>
      </c>
      <c r="D2647" s="19" t="s">
        <v>3956</v>
      </c>
      <c r="E2647" s="20" t="s">
        <v>3924</v>
      </c>
      <c r="F2647" t="str">
        <f t="shared" si="205"/>
        <v>Shaver</v>
      </c>
      <c r="G2647" t="str">
        <f t="shared" si="206"/>
        <v>Shaver2135Pasadena</v>
      </c>
      <c r="H2647" t="s">
        <v>33505</v>
      </c>
      <c r="I2647" t="s">
        <v>24930</v>
      </c>
      <c r="J2647" t="str">
        <f t="shared" si="207"/>
        <v>E:\PropInv\MF</v>
      </c>
      <c r="K2647" s="103" t="str">
        <f>HYPERLINK("E:\PropInv\MF\Pasadena\Shaver S_2135_Rozewood Apts_Pasadena_03741","Shaver S_2135_Rozewood Apts_Pasadena_03741" )</f>
        <v>Shaver S_2135_Rozewood Apts_Pasadena_03741</v>
      </c>
      <c r="L2647" s="104" t="s">
        <v>22253</v>
      </c>
      <c r="M2647" s="103" t="str">
        <f t="shared" si="208"/>
        <v>http://oconnordata.com/mlink/modules/profile/index.cfm?action=profile&amp;prop_id=3741</v>
      </c>
      <c r="N2647" s="1" t="str">
        <f t="shared" si="209"/>
        <v>03741</v>
      </c>
    </row>
    <row r="2648" spans="1:14" x14ac:dyDescent="0.3">
      <c r="A2648" s="1">
        <v>3742</v>
      </c>
      <c r="B2648" s="7" t="s">
        <v>3957</v>
      </c>
      <c r="C2648" s="12" t="s">
        <v>3958</v>
      </c>
      <c r="D2648" s="7" t="s">
        <v>3959</v>
      </c>
      <c r="E2648" s="13" t="s">
        <v>3960</v>
      </c>
      <c r="F2648" t="str">
        <f t="shared" si="205"/>
        <v>Dumont</v>
      </c>
      <c r="G2648" t="str">
        <f t="shared" si="206"/>
        <v>Dumont1103-1109South Houston</v>
      </c>
      <c r="H2648" t="s">
        <v>33506</v>
      </c>
      <c r="I2648" t="s">
        <v>24931</v>
      </c>
      <c r="J2648" t="str">
        <f t="shared" si="207"/>
        <v>E:\PropInv\MF</v>
      </c>
      <c r="K2648" s="103" t="str">
        <f>HYPERLINK("E:\PropInv\MF\South Houston\Dumont_1103-1109_Dumont Palace Apts_South Houston_03742","Dumont_1103-1109_Dumont Palace Apts_South Houston_03742" )</f>
        <v>Dumont_1103-1109_Dumont Palace Apts_South Houston_03742</v>
      </c>
      <c r="L2648" s="104" t="s">
        <v>22253</v>
      </c>
      <c r="M2648" s="103" t="str">
        <f t="shared" si="208"/>
        <v>http://oconnordata.com/mlink/modules/profile/index.cfm?action=profile&amp;prop_id=3742</v>
      </c>
      <c r="N2648" s="1" t="str">
        <f t="shared" si="209"/>
        <v>03742</v>
      </c>
    </row>
    <row r="2649" spans="1:14" x14ac:dyDescent="0.3">
      <c r="A2649" s="1">
        <v>3746</v>
      </c>
      <c r="B2649" s="7" t="s">
        <v>3961</v>
      </c>
      <c r="C2649" s="12">
        <v>2701</v>
      </c>
      <c r="D2649" s="7" t="s">
        <v>3962</v>
      </c>
      <c r="E2649" s="13" t="s">
        <v>3924</v>
      </c>
      <c r="F2649" t="str">
        <f t="shared" si="205"/>
        <v>Perez</v>
      </c>
      <c r="G2649" t="str">
        <f t="shared" si="206"/>
        <v>Perez2701Pasadena</v>
      </c>
      <c r="H2649" t="s">
        <v>33507</v>
      </c>
      <c r="I2649" t="s">
        <v>24932</v>
      </c>
      <c r="J2649" t="str">
        <f t="shared" si="207"/>
        <v>E:\PropInv\MF</v>
      </c>
      <c r="K2649" s="103" t="str">
        <f>HYPERLINK("E:\PropInv\MF\Pasadena\Perez_2701_Garden Villa_Pasadena_03746","Perez_2701_Garden Villa_Pasadena_03746" )</f>
        <v>Perez_2701_Garden Villa_Pasadena_03746</v>
      </c>
      <c r="L2649" s="104" t="s">
        <v>22253</v>
      </c>
      <c r="M2649" s="103" t="str">
        <f t="shared" si="208"/>
        <v>http://oconnordata.com/mlink/modules/profile/index.cfm?action=profile&amp;prop_id=3746</v>
      </c>
      <c r="N2649" s="1" t="str">
        <f t="shared" si="209"/>
        <v>03746</v>
      </c>
    </row>
    <row r="2650" spans="1:14" x14ac:dyDescent="0.3">
      <c r="A2650" s="1">
        <v>3747</v>
      </c>
      <c r="B2650" s="7" t="s">
        <v>3963</v>
      </c>
      <c r="C2650" s="12">
        <v>920</v>
      </c>
      <c r="D2650" s="7" t="s">
        <v>3964</v>
      </c>
      <c r="E2650" s="13" t="s">
        <v>3924</v>
      </c>
      <c r="F2650" t="str">
        <f t="shared" si="205"/>
        <v>Houston</v>
      </c>
      <c r="G2650" t="str">
        <f t="shared" si="206"/>
        <v>Houston920Pasadena</v>
      </c>
      <c r="H2650" t="s">
        <v>33508</v>
      </c>
      <c r="I2650" t="s">
        <v>24933</v>
      </c>
      <c r="J2650" t="str">
        <f t="shared" si="207"/>
        <v>E:\PropInv\MF</v>
      </c>
      <c r="K2650" s="103" t="str">
        <f>HYPERLINK("E:\PropInv\MF\Pasadena\Houston Ave E_920_Emerald Pointe_Pasadena_03747","Houston Ave E_920_Emerald Pointe_Pasadena_03747" )</f>
        <v>Houston Ave E_920_Emerald Pointe_Pasadena_03747</v>
      </c>
      <c r="L2650" s="104" t="s">
        <v>22253</v>
      </c>
      <c r="M2650" s="103" t="str">
        <f t="shared" si="208"/>
        <v>http://oconnordata.com/mlink/modules/profile/index.cfm?action=profile&amp;prop_id=3747</v>
      </c>
      <c r="N2650" s="1" t="str">
        <f t="shared" si="209"/>
        <v>03747</v>
      </c>
    </row>
    <row r="2651" spans="1:14" x14ac:dyDescent="0.3">
      <c r="A2651" s="1">
        <v>3748</v>
      </c>
      <c r="B2651" s="7" t="s">
        <v>3965</v>
      </c>
      <c r="C2651" s="12">
        <v>1706</v>
      </c>
      <c r="D2651" s="7" t="s">
        <v>3966</v>
      </c>
      <c r="E2651" s="13" t="s">
        <v>3924</v>
      </c>
      <c r="F2651" t="str">
        <f t="shared" si="205"/>
        <v>Pasadena</v>
      </c>
      <c r="G2651" t="str">
        <f t="shared" si="206"/>
        <v>Pasadena1706Pasadena</v>
      </c>
      <c r="H2651" t="s">
        <v>33509</v>
      </c>
      <c r="I2651" t="s">
        <v>24934</v>
      </c>
      <c r="J2651" t="str">
        <f t="shared" si="207"/>
        <v>E:\PropInv\MF</v>
      </c>
      <c r="K2651" s="103" t="str">
        <f>HYPERLINK("E:\PropInv\MF\Pasadena\Pasadena Blvd_1706_Villas of Pasadena_Pasadena_03748","Pasadena Blvd_1706_Villas of Pasadena_Pasadena_03748" )</f>
        <v>Pasadena Blvd_1706_Villas of Pasadena_Pasadena_03748</v>
      </c>
      <c r="L2651" s="104" t="s">
        <v>22253</v>
      </c>
      <c r="M2651" s="103" t="str">
        <f t="shared" si="208"/>
        <v>http://oconnordata.com/mlink/modules/profile/index.cfm?action=profile&amp;prop_id=3748</v>
      </c>
      <c r="N2651" s="1" t="str">
        <f t="shared" si="209"/>
        <v>03748</v>
      </c>
    </row>
    <row r="2652" spans="1:14" x14ac:dyDescent="0.3">
      <c r="A2652" s="1">
        <v>3750</v>
      </c>
      <c r="B2652" s="7" t="s">
        <v>3967</v>
      </c>
      <c r="C2652" s="12">
        <v>1408</v>
      </c>
      <c r="D2652" s="7" t="s">
        <v>3968</v>
      </c>
      <c r="E2652" s="13" t="s">
        <v>3960</v>
      </c>
      <c r="F2652" t="str">
        <f t="shared" si="205"/>
        <v>Ave</v>
      </c>
      <c r="G2652" t="str">
        <f t="shared" si="206"/>
        <v>Ave1408South Houston</v>
      </c>
      <c r="H2652" t="s">
        <v>33510</v>
      </c>
      <c r="I2652" t="s">
        <v>24935</v>
      </c>
      <c r="J2652" t="str">
        <f t="shared" si="207"/>
        <v>E:\PropInv\MF</v>
      </c>
      <c r="K2652" s="103" t="str">
        <f>HYPERLINK("E:\PropInv\MF\South Houston\Ave H_1408_Ashton Place II_South Houston_03750","Ave H_1408_Ashton Place II_South Houston_03750" )</f>
        <v>Ave H_1408_Ashton Place II_South Houston_03750</v>
      </c>
      <c r="L2652" s="104" t="s">
        <v>22253</v>
      </c>
      <c r="M2652" s="103" t="str">
        <f t="shared" si="208"/>
        <v>http://oconnordata.com/mlink/modules/profile/index.cfm?action=profile&amp;prop_id=3750</v>
      </c>
      <c r="N2652" s="1" t="str">
        <f t="shared" si="209"/>
        <v>03750</v>
      </c>
    </row>
    <row r="2653" spans="1:14" x14ac:dyDescent="0.3">
      <c r="A2653" s="1">
        <v>3751</v>
      </c>
      <c r="B2653" s="7" t="s">
        <v>3969</v>
      </c>
      <c r="C2653" s="12">
        <v>1301</v>
      </c>
      <c r="D2653" s="7" t="s">
        <v>3970</v>
      </c>
      <c r="E2653" s="13" t="s">
        <v>3960</v>
      </c>
      <c r="F2653" t="str">
        <f t="shared" si="205"/>
        <v>Ave</v>
      </c>
      <c r="G2653" t="str">
        <f t="shared" si="206"/>
        <v>Ave1301South Houston</v>
      </c>
      <c r="H2653" t="s">
        <v>33511</v>
      </c>
      <c r="I2653" t="s">
        <v>24936</v>
      </c>
      <c r="J2653" t="str">
        <f t="shared" si="207"/>
        <v>E:\PropInv\MF</v>
      </c>
      <c r="K2653" s="103" t="str">
        <f>HYPERLINK("E:\PropInv\MF\South Houston\Ave A_1301_Granada Terrace_South Houston_03751","Ave A_1301_Granada Terrace_South Houston_03751" )</f>
        <v>Ave A_1301_Granada Terrace_South Houston_03751</v>
      </c>
      <c r="L2653" s="104" t="s">
        <v>22253</v>
      </c>
      <c r="M2653" s="103" t="str">
        <f t="shared" si="208"/>
        <v>http://oconnordata.com/mlink/modules/profile/index.cfm?action=profile&amp;prop_id=3751</v>
      </c>
      <c r="N2653" s="1" t="str">
        <f t="shared" si="209"/>
        <v>03751</v>
      </c>
    </row>
    <row r="2654" spans="1:14" x14ac:dyDescent="0.3">
      <c r="A2654" s="1">
        <v>3752</v>
      </c>
      <c r="B2654" s="7" t="s">
        <v>3971</v>
      </c>
      <c r="C2654" s="12">
        <v>3200</v>
      </c>
      <c r="D2654" s="7" t="s">
        <v>3972</v>
      </c>
      <c r="E2654" s="13" t="s">
        <v>3924</v>
      </c>
      <c r="F2654" t="str">
        <f t="shared" si="205"/>
        <v>Federal</v>
      </c>
      <c r="G2654" t="str">
        <f t="shared" si="206"/>
        <v>Federal3200Pasadena</v>
      </c>
      <c r="H2654" t="s">
        <v>33512</v>
      </c>
      <c r="I2654" t="s">
        <v>24937</v>
      </c>
      <c r="J2654" t="str">
        <f t="shared" si="207"/>
        <v>E:\PropInv\MF</v>
      </c>
      <c r="K2654" s="103" t="str">
        <f>HYPERLINK("E:\PropInv\MF\Pasadena\Federal_3200_Spencer Square_Pasadena_03752","Federal_3200_Spencer Square_Pasadena_03752" )</f>
        <v>Federal_3200_Spencer Square_Pasadena_03752</v>
      </c>
      <c r="L2654" s="104" t="s">
        <v>22253</v>
      </c>
      <c r="M2654" s="103" t="str">
        <f t="shared" si="208"/>
        <v>http://oconnordata.com/mlink/modules/profile/index.cfm?action=profile&amp;prop_id=3752</v>
      </c>
      <c r="N2654" s="1" t="str">
        <f t="shared" si="209"/>
        <v>03752</v>
      </c>
    </row>
    <row r="2655" spans="1:14" x14ac:dyDescent="0.3">
      <c r="A2655" s="1">
        <v>3753</v>
      </c>
      <c r="B2655" s="7" t="s">
        <v>3973</v>
      </c>
      <c r="C2655" s="12">
        <v>2730</v>
      </c>
      <c r="D2655" s="7" t="s">
        <v>3974</v>
      </c>
      <c r="E2655" s="13" t="s">
        <v>3924</v>
      </c>
      <c r="F2655" t="str">
        <f t="shared" si="205"/>
        <v>Lafferty</v>
      </c>
      <c r="G2655" t="str">
        <f t="shared" si="206"/>
        <v>Lafferty2730Pasadena</v>
      </c>
      <c r="H2655" t="s">
        <v>33513</v>
      </c>
      <c r="I2655" t="s">
        <v>24938</v>
      </c>
      <c r="J2655" t="str">
        <f t="shared" si="207"/>
        <v>E:\PropInv\MF</v>
      </c>
      <c r="K2655" s="103" t="str">
        <f>HYPERLINK("E:\PropInv\MF\Pasadena\Lafferty_2730_Gardenview_Pasadena_03753","Lafferty_2730_Gardenview_Pasadena_03753" )</f>
        <v>Lafferty_2730_Gardenview_Pasadena_03753</v>
      </c>
      <c r="L2655" s="104" t="s">
        <v>22253</v>
      </c>
      <c r="M2655" s="103" t="str">
        <f t="shared" si="208"/>
        <v>http://oconnordata.com/mlink/modules/profile/index.cfm?action=profile&amp;prop_id=3753</v>
      </c>
      <c r="N2655" s="1" t="str">
        <f t="shared" si="209"/>
        <v>03753</v>
      </c>
    </row>
    <row r="2656" spans="1:14" x14ac:dyDescent="0.3">
      <c r="A2656" s="1">
        <v>3754</v>
      </c>
      <c r="B2656" s="7" t="s">
        <v>3973</v>
      </c>
      <c r="C2656" s="12">
        <v>3030</v>
      </c>
      <c r="D2656" s="7" t="s">
        <v>1911</v>
      </c>
      <c r="E2656" s="13" t="s">
        <v>3924</v>
      </c>
      <c r="F2656" t="str">
        <f t="shared" si="205"/>
        <v>Lafferty</v>
      </c>
      <c r="G2656" t="str">
        <f t="shared" si="206"/>
        <v>Lafferty3030Pasadena</v>
      </c>
      <c r="H2656" t="s">
        <v>33514</v>
      </c>
      <c r="I2656" t="s">
        <v>24939</v>
      </c>
      <c r="J2656" t="str">
        <f t="shared" si="207"/>
        <v>E:\PropInv\MF</v>
      </c>
      <c r="K2656" s="103" t="str">
        <f>HYPERLINK("E:\PropInv\MF\Pasadena\Lafferty_3030_Bayou Oaks_Pasadena_03754","Lafferty_3030_Bayou Oaks_Pasadena_03754" )</f>
        <v>Lafferty_3030_Bayou Oaks_Pasadena_03754</v>
      </c>
      <c r="L2656" s="104" t="s">
        <v>22253</v>
      </c>
      <c r="M2656" s="103" t="str">
        <f t="shared" si="208"/>
        <v>http://oconnordata.com/mlink/modules/profile/index.cfm?action=profile&amp;prop_id=3754</v>
      </c>
      <c r="N2656" s="1" t="str">
        <f t="shared" si="209"/>
        <v>03754</v>
      </c>
    </row>
    <row r="2657" spans="1:14" x14ac:dyDescent="0.3">
      <c r="A2657" s="1">
        <v>3755</v>
      </c>
      <c r="B2657" s="7" t="s">
        <v>3975</v>
      </c>
      <c r="C2657" s="12">
        <v>2525</v>
      </c>
      <c r="D2657" s="7" t="s">
        <v>3976</v>
      </c>
      <c r="E2657" s="13" t="s">
        <v>3924</v>
      </c>
      <c r="F2657" t="str">
        <f t="shared" si="205"/>
        <v>Allen</v>
      </c>
      <c r="G2657" t="str">
        <f t="shared" si="206"/>
        <v>Allen2525Pasadena</v>
      </c>
      <c r="H2657" t="s">
        <v>33515</v>
      </c>
      <c r="I2657" t="s">
        <v>24940</v>
      </c>
      <c r="J2657" t="str">
        <f t="shared" si="207"/>
        <v>E:\PropInv\MF</v>
      </c>
      <c r="K2657" s="103" t="str">
        <f>HYPERLINK("E:\PropInv\MF\Pasadena\Allen Genoa S_2525_Queens Lane_Pasadena_03755","Allen Genoa S_2525_Queens Lane_Pasadena_03755" )</f>
        <v>Allen Genoa S_2525_Queens Lane_Pasadena_03755</v>
      </c>
      <c r="L2657" s="104" t="s">
        <v>22253</v>
      </c>
      <c r="M2657" s="103" t="str">
        <f t="shared" si="208"/>
        <v>http://oconnordata.com/mlink/modules/profile/index.cfm?action=profile&amp;prop_id=3755</v>
      </c>
      <c r="N2657" s="1" t="str">
        <f t="shared" si="209"/>
        <v>03755</v>
      </c>
    </row>
    <row r="2658" spans="1:14" x14ac:dyDescent="0.3">
      <c r="A2658" s="1">
        <v>3757</v>
      </c>
      <c r="B2658" s="7" t="s">
        <v>3977</v>
      </c>
      <c r="C2658" s="12">
        <v>1111</v>
      </c>
      <c r="D2658" s="7" t="s">
        <v>3978</v>
      </c>
      <c r="E2658" s="13" t="s">
        <v>3924</v>
      </c>
      <c r="F2658" t="str">
        <f t="shared" si="205"/>
        <v>Queens</v>
      </c>
      <c r="G2658" t="str">
        <f t="shared" si="206"/>
        <v>Queens1111Pasadena</v>
      </c>
      <c r="H2658" t="s">
        <v>33516</v>
      </c>
      <c r="I2658" t="s">
        <v>24941</v>
      </c>
      <c r="J2658" t="str">
        <f t="shared" si="207"/>
        <v>E:\PropInv\MF</v>
      </c>
      <c r="K2658" s="103" t="str">
        <f>HYPERLINK("E:\PropInv\MF\Pasadena\Queens Rd_1111_The Crossing at Allen Square_Pasadena_03757","Queens Rd_1111_The Crossing at Allen Square_Pasadena_03757" )</f>
        <v>Queens Rd_1111_The Crossing at Allen Square_Pasadena_03757</v>
      </c>
      <c r="L2658" s="104" t="s">
        <v>22253</v>
      </c>
      <c r="M2658" s="103" t="str">
        <f t="shared" si="208"/>
        <v>http://oconnordata.com/mlink/modules/profile/index.cfm?action=profile&amp;prop_id=3757</v>
      </c>
      <c r="N2658" s="1" t="str">
        <f t="shared" si="209"/>
        <v>03757</v>
      </c>
    </row>
    <row r="2659" spans="1:14" x14ac:dyDescent="0.3">
      <c r="A2659" s="1">
        <v>3758</v>
      </c>
      <c r="B2659" s="7" t="s">
        <v>3979</v>
      </c>
      <c r="C2659" s="12">
        <v>910</v>
      </c>
      <c r="D2659" s="7" t="s">
        <v>3980</v>
      </c>
      <c r="E2659" s="13" t="s">
        <v>3924</v>
      </c>
      <c r="F2659" t="str">
        <f t="shared" si="205"/>
        <v>Austin</v>
      </c>
      <c r="G2659" t="str">
        <f t="shared" si="206"/>
        <v>Austin910Pasadena</v>
      </c>
      <c r="H2659" t="s">
        <v>33517</v>
      </c>
      <c r="I2659" t="s">
        <v>24942</v>
      </c>
      <c r="J2659" t="str">
        <f t="shared" si="207"/>
        <v>E:\PropInv\MF</v>
      </c>
      <c r="K2659" s="103" t="str">
        <f>HYPERLINK("E:\PropInv\MF\Pasadena\Austin E_910_Lotus Square_Pasadena_03758","Austin E_910_Lotus Square_Pasadena_03758" )</f>
        <v>Austin E_910_Lotus Square_Pasadena_03758</v>
      </c>
      <c r="L2659" s="104" t="s">
        <v>22253</v>
      </c>
      <c r="M2659" s="103" t="str">
        <f t="shared" si="208"/>
        <v>http://oconnordata.com/mlink/modules/profile/index.cfm?action=profile&amp;prop_id=3758</v>
      </c>
      <c r="N2659" s="1" t="str">
        <f t="shared" si="209"/>
        <v>03758</v>
      </c>
    </row>
    <row r="2660" spans="1:14" x14ac:dyDescent="0.3">
      <c r="A2660" s="1">
        <v>3759</v>
      </c>
      <c r="B2660" s="7" t="s">
        <v>3981</v>
      </c>
      <c r="C2660" s="12">
        <v>1000</v>
      </c>
      <c r="D2660" s="7" t="s">
        <v>3982</v>
      </c>
      <c r="E2660" s="13" t="s">
        <v>3924</v>
      </c>
      <c r="F2660" t="str">
        <f t="shared" si="205"/>
        <v>Curtis</v>
      </c>
      <c r="G2660" t="str">
        <f t="shared" si="206"/>
        <v>Curtis1000Pasadena</v>
      </c>
      <c r="H2660" t="s">
        <v>33518</v>
      </c>
      <c r="I2660" t="s">
        <v>24943</v>
      </c>
      <c r="J2660" t="str">
        <f t="shared" si="207"/>
        <v>E:\PropInv\MF</v>
      </c>
      <c r="K2660" s="103" t="str">
        <f>HYPERLINK("E:\PropInv\MF\Pasadena\Curtis E_1000_Arbors at Town Square_Pasadena_03759","Curtis E_1000_Arbors at Town Square_Pasadena_03759" )</f>
        <v>Curtis E_1000_Arbors at Town Square_Pasadena_03759</v>
      </c>
      <c r="L2660" s="104" t="s">
        <v>22253</v>
      </c>
      <c r="M2660" s="103" t="str">
        <f t="shared" si="208"/>
        <v>http://oconnordata.com/mlink/modules/profile/index.cfm?action=profile&amp;prop_id=3759</v>
      </c>
      <c r="N2660" s="1" t="str">
        <f t="shared" si="209"/>
        <v>03759</v>
      </c>
    </row>
    <row r="2661" spans="1:14" x14ac:dyDescent="0.3">
      <c r="A2661" s="1">
        <v>3764</v>
      </c>
      <c r="B2661" s="7" t="s">
        <v>3983</v>
      </c>
      <c r="C2661" s="12">
        <v>701</v>
      </c>
      <c r="D2661" s="7" t="s">
        <v>3984</v>
      </c>
      <c r="E2661" s="13" t="s">
        <v>3924</v>
      </c>
      <c r="F2661" t="str">
        <f t="shared" si="205"/>
        <v>Preston</v>
      </c>
      <c r="G2661" t="str">
        <f t="shared" si="206"/>
        <v>Preston701Pasadena</v>
      </c>
      <c r="H2661" t="s">
        <v>33519</v>
      </c>
      <c r="I2661" t="s">
        <v>24944</v>
      </c>
      <c r="J2661" t="str">
        <f t="shared" si="207"/>
        <v>E:\PropInv\MF</v>
      </c>
      <c r="K2661" s="103" t="str">
        <f>HYPERLINK("E:\PropInv\MF\Pasadena\Preston Rd_701_Vista Del Sol_Pasadena_03764","Preston Rd_701_Vista Del Sol_Pasadena_03764" )</f>
        <v>Preston Rd_701_Vista Del Sol_Pasadena_03764</v>
      </c>
      <c r="L2661" s="104" t="s">
        <v>22253</v>
      </c>
      <c r="M2661" s="103" t="str">
        <f t="shared" si="208"/>
        <v>http://oconnordata.com/mlink/modules/profile/index.cfm?action=profile&amp;prop_id=3764</v>
      </c>
      <c r="N2661" s="1" t="str">
        <f t="shared" si="209"/>
        <v>03764</v>
      </c>
    </row>
    <row r="2662" spans="1:14" x14ac:dyDescent="0.3">
      <c r="A2662" s="1">
        <v>3765</v>
      </c>
      <c r="B2662" s="7" t="s">
        <v>3985</v>
      </c>
      <c r="C2662" s="12">
        <v>909</v>
      </c>
      <c r="D2662" s="7" t="s">
        <v>3986</v>
      </c>
      <c r="E2662" s="13" t="s">
        <v>3924</v>
      </c>
      <c r="F2662" t="str">
        <f t="shared" si="205"/>
        <v>Birnham</v>
      </c>
      <c r="G2662" t="str">
        <f t="shared" si="206"/>
        <v>Birnham909Pasadena</v>
      </c>
      <c r="H2662" t="s">
        <v>33520</v>
      </c>
      <c r="I2662" t="s">
        <v>24945</v>
      </c>
      <c r="J2662" t="str">
        <f t="shared" si="207"/>
        <v>E:\PropInv\MF</v>
      </c>
      <c r="K2662" s="103" t="str">
        <f>HYPERLINK("E:\PropInv\MF\Pasadena\Birnham Woods Blvd_909_Birnham Woods_Pasadena_03765","Birnham Woods Blvd_909_Birnham Woods_Pasadena_03765" )</f>
        <v>Birnham Woods Blvd_909_Birnham Woods_Pasadena_03765</v>
      </c>
      <c r="L2662" s="104" t="s">
        <v>22253</v>
      </c>
      <c r="M2662" s="103" t="str">
        <f t="shared" si="208"/>
        <v>http://oconnordata.com/mlink/modules/profile/index.cfm?action=profile&amp;prop_id=3765</v>
      </c>
      <c r="N2662" s="1" t="str">
        <f t="shared" si="209"/>
        <v>03765</v>
      </c>
    </row>
    <row r="2663" spans="1:14" x14ac:dyDescent="0.3">
      <c r="A2663" s="1">
        <v>3766</v>
      </c>
      <c r="B2663" s="19" t="s">
        <v>3987</v>
      </c>
      <c r="C2663" s="18">
        <v>1500</v>
      </c>
      <c r="D2663" s="19" t="s">
        <v>3988</v>
      </c>
      <c r="E2663" s="20" t="s">
        <v>3924</v>
      </c>
      <c r="F2663" t="str">
        <f t="shared" si="205"/>
        <v>Strawberry</v>
      </c>
      <c r="G2663" t="str">
        <f t="shared" si="206"/>
        <v>Strawberry1500Pasadena</v>
      </c>
      <c r="H2663" t="s">
        <v>33521</v>
      </c>
      <c r="I2663" t="s">
        <v>24946</v>
      </c>
      <c r="J2663" t="str">
        <f t="shared" si="207"/>
        <v>E:\PropInv\MF</v>
      </c>
      <c r="K2663" s="103" t="str">
        <f>HYPERLINK("E:\PropInv\MF\Pasadena\Strawberry_1500_Strawberry Hill_Pasadena_03766","Strawberry_1500_Strawberry Hill_Pasadena_03766" )</f>
        <v>Strawberry_1500_Strawberry Hill_Pasadena_03766</v>
      </c>
      <c r="L2663" s="104" t="s">
        <v>22253</v>
      </c>
      <c r="M2663" s="103" t="str">
        <f t="shared" si="208"/>
        <v>http://oconnordata.com/mlink/modules/profile/index.cfm?action=profile&amp;prop_id=3766</v>
      </c>
      <c r="N2663" s="1" t="str">
        <f t="shared" si="209"/>
        <v>03766</v>
      </c>
    </row>
    <row r="2664" spans="1:14" x14ac:dyDescent="0.3">
      <c r="A2664" s="1">
        <v>3768</v>
      </c>
      <c r="B2664" s="7" t="s">
        <v>3989</v>
      </c>
      <c r="C2664" s="12">
        <v>1111</v>
      </c>
      <c r="D2664" s="7" t="s">
        <v>3990</v>
      </c>
      <c r="E2664" s="13" t="s">
        <v>3924</v>
      </c>
      <c r="F2664" t="str">
        <f t="shared" si="205"/>
        <v>Burke</v>
      </c>
      <c r="G2664" t="str">
        <f t="shared" si="206"/>
        <v>Burke1111Pasadena</v>
      </c>
      <c r="H2664" t="s">
        <v>33522</v>
      </c>
      <c r="I2664" t="s">
        <v>24947</v>
      </c>
      <c r="J2664" t="str">
        <f t="shared" si="207"/>
        <v>E:\PropInv\MF</v>
      </c>
      <c r="K2664" s="103" t="str">
        <f>HYPERLINK("E:\PropInv\MF\Pasadena\Burke_1111_Oak Pointe_Pasadena_03768","Burke_1111_Oak Pointe_Pasadena_03768" )</f>
        <v>Burke_1111_Oak Pointe_Pasadena_03768</v>
      </c>
      <c r="L2664" s="104" t="s">
        <v>22253</v>
      </c>
      <c r="M2664" s="103" t="str">
        <f t="shared" si="208"/>
        <v>http://oconnordata.com/mlink/modules/profile/index.cfm?action=profile&amp;prop_id=3768</v>
      </c>
      <c r="N2664" s="1" t="str">
        <f t="shared" si="209"/>
        <v>03768</v>
      </c>
    </row>
    <row r="2665" spans="1:14" x14ac:dyDescent="0.3">
      <c r="A2665" s="1">
        <v>3770</v>
      </c>
      <c r="B2665" s="7" t="s">
        <v>3991</v>
      </c>
      <c r="C2665" s="12">
        <v>2320</v>
      </c>
      <c r="D2665" s="7" t="s">
        <v>3992</v>
      </c>
      <c r="E2665" s="13" t="s">
        <v>3924</v>
      </c>
      <c r="F2665" t="str">
        <f t="shared" si="205"/>
        <v>Cherrybrook</v>
      </c>
      <c r="G2665" t="str">
        <f t="shared" si="206"/>
        <v>Cherrybrook2320Pasadena</v>
      </c>
      <c r="H2665" t="s">
        <v>33523</v>
      </c>
      <c r="I2665" t="s">
        <v>24948</v>
      </c>
      <c r="J2665" t="str">
        <f t="shared" si="207"/>
        <v>E:\PropInv\MF</v>
      </c>
      <c r="K2665" s="103" t="str">
        <f>HYPERLINK("E:\PropInv\MF\Pasadena\Cherrybrook_2320_Cherrybrook Place_Pasadena_03770","Cherrybrook_2320_Cherrybrook Place_Pasadena_03770" )</f>
        <v>Cherrybrook_2320_Cherrybrook Place_Pasadena_03770</v>
      </c>
      <c r="L2665" s="104" t="s">
        <v>22253</v>
      </c>
      <c r="M2665" s="103" t="str">
        <f t="shared" si="208"/>
        <v>http://oconnordata.com/mlink/modules/profile/index.cfm?action=profile&amp;prop_id=3770</v>
      </c>
      <c r="N2665" s="1" t="str">
        <f t="shared" si="209"/>
        <v>03770</v>
      </c>
    </row>
    <row r="2666" spans="1:14" x14ac:dyDescent="0.3">
      <c r="A2666" s="1">
        <v>3771</v>
      </c>
      <c r="B2666" s="7" t="s">
        <v>3993</v>
      </c>
      <c r="C2666" s="12">
        <v>3101</v>
      </c>
      <c r="D2666" s="7" t="s">
        <v>3994</v>
      </c>
      <c r="E2666" s="13" t="s">
        <v>3924</v>
      </c>
      <c r="F2666" t="str">
        <f t="shared" si="205"/>
        <v>Spencer</v>
      </c>
      <c r="G2666" t="str">
        <f t="shared" si="206"/>
        <v>Spencer3101Pasadena</v>
      </c>
      <c r="H2666" t="s">
        <v>33524</v>
      </c>
      <c r="I2666" t="s">
        <v>24949</v>
      </c>
      <c r="J2666" t="str">
        <f t="shared" si="207"/>
        <v>E:\PropInv\MF</v>
      </c>
      <c r="K2666" s="103" t="str">
        <f>HYPERLINK("E:\PropInv\MF\Pasadena\Spencer Hwy_3101_Parkside Place_Pasadena_03771","Spencer Hwy_3101_Parkside Place_Pasadena_03771" )</f>
        <v>Spencer Hwy_3101_Parkside Place_Pasadena_03771</v>
      </c>
      <c r="L2666" s="104" t="s">
        <v>22253</v>
      </c>
      <c r="M2666" s="103" t="str">
        <f t="shared" si="208"/>
        <v>http://oconnordata.com/mlink/modules/profile/index.cfm?action=profile&amp;prop_id=3771</v>
      </c>
      <c r="N2666" s="1" t="str">
        <f t="shared" si="209"/>
        <v>03771</v>
      </c>
    </row>
    <row r="2667" spans="1:14" x14ac:dyDescent="0.3">
      <c r="A2667" s="1">
        <v>3772</v>
      </c>
      <c r="B2667" s="7" t="s">
        <v>3995</v>
      </c>
      <c r="C2667" s="12">
        <v>2802</v>
      </c>
      <c r="D2667" s="7" t="s">
        <v>3996</v>
      </c>
      <c r="E2667" s="13" t="s">
        <v>3924</v>
      </c>
      <c r="F2667" t="str">
        <f t="shared" si="205"/>
        <v>Westside</v>
      </c>
      <c r="G2667" t="str">
        <f t="shared" si="206"/>
        <v>Westside2802Pasadena</v>
      </c>
      <c r="H2667" t="s">
        <v>33525</v>
      </c>
      <c r="I2667" t="s">
        <v>24950</v>
      </c>
      <c r="J2667" t="str">
        <f t="shared" si="207"/>
        <v>E:\PropInv\MF</v>
      </c>
      <c r="K2667" s="103" t="str">
        <f>HYPERLINK("E:\PropInv\MF\Pasadena\Westside_2802_Tammerlane_Pasadena_03772","Westside_2802_Tammerlane_Pasadena_03772" )</f>
        <v>Westside_2802_Tammerlane_Pasadena_03772</v>
      </c>
      <c r="L2667" s="104" t="s">
        <v>22253</v>
      </c>
      <c r="M2667" s="103" t="str">
        <f t="shared" si="208"/>
        <v>http://oconnordata.com/mlink/modules/profile/index.cfm?action=profile&amp;prop_id=3772</v>
      </c>
      <c r="N2667" s="1" t="str">
        <f t="shared" si="209"/>
        <v>03772</v>
      </c>
    </row>
    <row r="2668" spans="1:14" x14ac:dyDescent="0.3">
      <c r="A2668" s="1">
        <v>3773</v>
      </c>
      <c r="B2668" s="7" t="s">
        <v>3989</v>
      </c>
      <c r="C2668" s="12">
        <v>1100</v>
      </c>
      <c r="D2668" s="7" t="s">
        <v>3997</v>
      </c>
      <c r="E2668" s="13" t="s">
        <v>3924</v>
      </c>
      <c r="F2668" t="str">
        <f t="shared" si="205"/>
        <v>Burke</v>
      </c>
      <c r="G2668" t="str">
        <f t="shared" si="206"/>
        <v>Burke1100Pasadena</v>
      </c>
      <c r="H2668" t="s">
        <v>33526</v>
      </c>
      <c r="I2668" t="s">
        <v>24951</v>
      </c>
      <c r="J2668" t="str">
        <f t="shared" si="207"/>
        <v>E:\PropInv\MF</v>
      </c>
      <c r="K2668" s="103" t="str">
        <f>HYPERLINK("E:\PropInv\MF\Pasadena\Burke_1100_Empire Village_Pasadena_03773","Burke_1100_Empire Village_Pasadena_03773" )</f>
        <v>Burke_1100_Empire Village_Pasadena_03773</v>
      </c>
      <c r="L2668" s="104" t="s">
        <v>22253</v>
      </c>
      <c r="M2668" s="103" t="str">
        <f t="shared" si="208"/>
        <v>http://oconnordata.com/mlink/modules/profile/index.cfm?action=profile&amp;prop_id=3773</v>
      </c>
      <c r="N2668" s="1" t="str">
        <f t="shared" si="209"/>
        <v>03773</v>
      </c>
    </row>
    <row r="2669" spans="1:14" x14ac:dyDescent="0.3">
      <c r="A2669" s="1">
        <v>3774</v>
      </c>
      <c r="B2669" s="7" t="s">
        <v>3998</v>
      </c>
      <c r="C2669" s="12">
        <v>502</v>
      </c>
      <c r="D2669" s="7" t="s">
        <v>3999</v>
      </c>
      <c r="E2669" s="13" t="s">
        <v>3924</v>
      </c>
      <c r="F2669" t="str">
        <f t="shared" si="205"/>
        <v>Beltway</v>
      </c>
      <c r="G2669" t="str">
        <f t="shared" si="206"/>
        <v>Beltway502Pasadena</v>
      </c>
      <c r="H2669" t="s">
        <v>33527</v>
      </c>
      <c r="I2669" t="s">
        <v>24952</v>
      </c>
      <c r="J2669" t="str">
        <f t="shared" si="207"/>
        <v>E:\PropInv\MF</v>
      </c>
      <c r="K2669" s="103" t="str">
        <f>HYPERLINK("E:\PropInv\MF\Pasadena\Beltway 8 E_502_Greentree_Pasadena_03774","Beltway 8 E_502_Greentree_Pasadena_03774" )</f>
        <v>Beltway 8 E_502_Greentree_Pasadena_03774</v>
      </c>
      <c r="L2669" s="104" t="s">
        <v>22253</v>
      </c>
      <c r="M2669" s="103" t="str">
        <f t="shared" si="208"/>
        <v>http://oconnordata.com/mlink/modules/profile/index.cfm?action=profile&amp;prop_id=3774</v>
      </c>
      <c r="N2669" s="1" t="str">
        <f t="shared" si="209"/>
        <v>03774</v>
      </c>
    </row>
    <row r="2670" spans="1:14" x14ac:dyDescent="0.3">
      <c r="A2670" s="1">
        <v>3775</v>
      </c>
      <c r="B2670" s="7" t="s">
        <v>4000</v>
      </c>
      <c r="C2670" s="12">
        <v>1111</v>
      </c>
      <c r="D2670" s="7" t="s">
        <v>4001</v>
      </c>
      <c r="E2670" s="13" t="s">
        <v>3924</v>
      </c>
      <c r="F2670" t="str">
        <f t="shared" si="205"/>
        <v>Sam</v>
      </c>
      <c r="G2670" t="str">
        <f t="shared" si="206"/>
        <v>Sam1111Pasadena</v>
      </c>
      <c r="H2670" t="s">
        <v>33528</v>
      </c>
      <c r="I2670" t="s">
        <v>24953</v>
      </c>
      <c r="J2670" t="str">
        <f t="shared" si="207"/>
        <v>E:\PropInv\MF</v>
      </c>
      <c r="K2670" s="103" t="str">
        <f>HYPERLINK("E:\PropInv\MF\Pasadena\Sam Houston Pkwy S E_1111_La Paloma Village_Pasadena_03775","Sam Houston Pkwy S E_1111_La Paloma Village_Pasadena_03775" )</f>
        <v>Sam Houston Pkwy S E_1111_La Paloma Village_Pasadena_03775</v>
      </c>
      <c r="L2670" s="104" t="s">
        <v>22253</v>
      </c>
      <c r="M2670" s="103" t="str">
        <f t="shared" si="208"/>
        <v>http://oconnordata.com/mlink/modules/profile/index.cfm?action=profile&amp;prop_id=3775</v>
      </c>
      <c r="N2670" s="1" t="str">
        <f t="shared" si="209"/>
        <v>03775</v>
      </c>
    </row>
    <row r="2671" spans="1:14" x14ac:dyDescent="0.3">
      <c r="A2671" s="1">
        <v>3776</v>
      </c>
      <c r="B2671" s="7" t="s">
        <v>3949</v>
      </c>
      <c r="C2671" s="12">
        <v>2300</v>
      </c>
      <c r="D2671" s="7" t="s">
        <v>4002</v>
      </c>
      <c r="E2671" s="13" t="s">
        <v>3924</v>
      </c>
      <c r="F2671" t="str">
        <f t="shared" si="205"/>
        <v>Red</v>
      </c>
      <c r="G2671" t="str">
        <f t="shared" si="206"/>
        <v>Red2300Pasadena</v>
      </c>
      <c r="H2671" t="s">
        <v>33529</v>
      </c>
      <c r="I2671" t="s">
        <v>24954</v>
      </c>
      <c r="J2671" t="str">
        <f t="shared" si="207"/>
        <v>E:\PropInv\MF</v>
      </c>
      <c r="K2671" s="103" t="str">
        <f>HYPERLINK("E:\PropInv\MF\Pasadena\Red Bluff_2300_Quarters on Red Bluff_Pasadena_03776","Red Bluff_2300_Quarters on Red Bluff_Pasadena_03776" )</f>
        <v>Red Bluff_2300_Quarters on Red Bluff_Pasadena_03776</v>
      </c>
      <c r="L2671" s="104" t="s">
        <v>22253</v>
      </c>
      <c r="M2671" s="103" t="str">
        <f t="shared" si="208"/>
        <v>http://oconnordata.com/mlink/modules/profile/index.cfm?action=profile&amp;prop_id=3776</v>
      </c>
      <c r="N2671" s="1" t="str">
        <f t="shared" si="209"/>
        <v>03776</v>
      </c>
    </row>
    <row r="2672" spans="1:14" x14ac:dyDescent="0.3">
      <c r="A2672" s="1">
        <v>3777</v>
      </c>
      <c r="B2672" s="7" t="s">
        <v>4003</v>
      </c>
      <c r="C2672" s="12">
        <v>622</v>
      </c>
      <c r="D2672" s="7" t="s">
        <v>4004</v>
      </c>
      <c r="E2672" s="13" t="s">
        <v>3924</v>
      </c>
      <c r="F2672" t="str">
        <f t="shared" si="205"/>
        <v>Preston</v>
      </c>
      <c r="G2672" t="str">
        <f t="shared" si="206"/>
        <v>Preston622Pasadena</v>
      </c>
      <c r="H2672" t="s">
        <v>33530</v>
      </c>
      <c r="I2672" t="s">
        <v>24955</v>
      </c>
      <c r="J2672" t="str">
        <f t="shared" si="207"/>
        <v>E:\PropInv\MF</v>
      </c>
      <c r="K2672" s="103" t="str">
        <f>HYPERLINK("E:\PropInv\MF\Pasadena\Preston Ave_622_Trinity Courtyards_Pasadena_03777","Preston Ave_622_Trinity Courtyards_Pasadena_03777" )</f>
        <v>Preston Ave_622_Trinity Courtyards_Pasadena_03777</v>
      </c>
      <c r="L2672" s="104" t="s">
        <v>22253</v>
      </c>
      <c r="M2672" s="103" t="str">
        <f t="shared" si="208"/>
        <v>http://oconnordata.com/mlink/modules/profile/index.cfm?action=profile&amp;prop_id=3777</v>
      </c>
      <c r="N2672" s="1" t="str">
        <f t="shared" si="209"/>
        <v>03777</v>
      </c>
    </row>
    <row r="2673" spans="1:14" x14ac:dyDescent="0.3">
      <c r="A2673" s="1">
        <v>3779</v>
      </c>
      <c r="B2673" s="7" t="s">
        <v>3989</v>
      </c>
      <c r="C2673" s="12">
        <v>1141</v>
      </c>
      <c r="D2673" s="7" t="s">
        <v>4005</v>
      </c>
      <c r="E2673" s="13" t="s">
        <v>3924</v>
      </c>
      <c r="F2673" t="str">
        <f t="shared" si="205"/>
        <v>Burke</v>
      </c>
      <c r="G2673" t="str">
        <f t="shared" si="206"/>
        <v>Burke1141Pasadena</v>
      </c>
      <c r="H2673" t="s">
        <v>33531</v>
      </c>
      <c r="I2673" t="s">
        <v>24956</v>
      </c>
      <c r="J2673" t="str">
        <f t="shared" si="207"/>
        <v>E:\PropInv\MF</v>
      </c>
      <c r="K2673" s="103" t="str">
        <f>HYPERLINK("E:\PropInv\MF\Pasadena\Burke_1141_Burke Square_Pasadena_03779","Burke_1141_Burke Square_Pasadena_03779" )</f>
        <v>Burke_1141_Burke Square_Pasadena_03779</v>
      </c>
      <c r="L2673" s="104" t="s">
        <v>22253</v>
      </c>
      <c r="M2673" s="103" t="str">
        <f t="shared" si="208"/>
        <v>http://oconnordata.com/mlink/modules/profile/index.cfm?action=profile&amp;prop_id=3779</v>
      </c>
      <c r="N2673" s="1" t="str">
        <f t="shared" si="209"/>
        <v>03779</v>
      </c>
    </row>
    <row r="2674" spans="1:14" x14ac:dyDescent="0.3">
      <c r="A2674" s="1">
        <v>3780</v>
      </c>
      <c r="B2674" s="7" t="s">
        <v>3989</v>
      </c>
      <c r="C2674" s="12">
        <v>2001</v>
      </c>
      <c r="D2674" s="7" t="s">
        <v>4006</v>
      </c>
      <c r="E2674" s="13" t="s">
        <v>3924</v>
      </c>
      <c r="F2674" t="str">
        <f t="shared" si="205"/>
        <v>Burke</v>
      </c>
      <c r="G2674" t="str">
        <f t="shared" si="206"/>
        <v>Burke2001Pasadena</v>
      </c>
      <c r="H2674" t="s">
        <v>33532</v>
      </c>
      <c r="I2674" t="s">
        <v>24957</v>
      </c>
      <c r="J2674" t="str">
        <f t="shared" si="207"/>
        <v>E:\PropInv\MF</v>
      </c>
      <c r="K2674" s="103" t="str">
        <f>HYPERLINK("E:\PropInv\MF\Pasadena\Burke_2001_Maple Trail Apts &amp; TH_Pasadena_03780","Burke_2001_Maple Trail Apts &amp; TH_Pasadena_03780" )</f>
        <v>Burke_2001_Maple Trail Apts &amp; TH_Pasadena_03780</v>
      </c>
      <c r="L2674" s="104" t="s">
        <v>22253</v>
      </c>
      <c r="M2674" s="103" t="str">
        <f t="shared" si="208"/>
        <v>http://oconnordata.com/mlink/modules/profile/index.cfm?action=profile&amp;prop_id=3780</v>
      </c>
      <c r="N2674" s="1" t="str">
        <f t="shared" si="209"/>
        <v>03780</v>
      </c>
    </row>
    <row r="2675" spans="1:14" x14ac:dyDescent="0.3">
      <c r="A2675" s="1">
        <v>3781</v>
      </c>
      <c r="B2675" s="7" t="s">
        <v>4007</v>
      </c>
      <c r="C2675" s="12">
        <v>1911</v>
      </c>
      <c r="D2675" s="7" t="s">
        <v>4008</v>
      </c>
      <c r="E2675" s="13" t="s">
        <v>3924</v>
      </c>
      <c r="F2675" t="str">
        <f t="shared" si="205"/>
        <v>Southmore</v>
      </c>
      <c r="G2675" t="str">
        <f t="shared" si="206"/>
        <v>Southmore1911Pasadena</v>
      </c>
      <c r="H2675" t="s">
        <v>33533</v>
      </c>
      <c r="I2675" t="s">
        <v>24958</v>
      </c>
      <c r="J2675" t="str">
        <f t="shared" si="207"/>
        <v>E:\PropInv\MF</v>
      </c>
      <c r="K2675" s="103" t="str">
        <f>HYPERLINK("E:\PropInv\MF\Pasadena\Southmore Ave_1911_Eden Rock_Pasadena_03781","Southmore Ave_1911_Eden Rock_Pasadena_03781" )</f>
        <v>Southmore Ave_1911_Eden Rock_Pasadena_03781</v>
      </c>
      <c r="L2675" s="104" t="s">
        <v>22253</v>
      </c>
      <c r="M2675" s="103" t="str">
        <f t="shared" si="208"/>
        <v>http://oconnordata.com/mlink/modules/profile/index.cfm?action=profile&amp;prop_id=3781</v>
      </c>
      <c r="N2675" s="1" t="str">
        <f t="shared" si="209"/>
        <v>03781</v>
      </c>
    </row>
    <row r="2676" spans="1:14" x14ac:dyDescent="0.3">
      <c r="A2676" s="1">
        <v>3782</v>
      </c>
      <c r="B2676" s="7" t="s">
        <v>3965</v>
      </c>
      <c r="C2676" s="12">
        <v>2701</v>
      </c>
      <c r="D2676" s="7" t="s">
        <v>4009</v>
      </c>
      <c r="E2676" s="13" t="s">
        <v>1657</v>
      </c>
      <c r="F2676" t="str">
        <f t="shared" si="205"/>
        <v>Pasadena</v>
      </c>
      <c r="G2676" t="str">
        <f t="shared" si="206"/>
        <v>Pasadena2701Houston</v>
      </c>
      <c r="H2676" t="s">
        <v>33534</v>
      </c>
      <c r="I2676" t="s">
        <v>24959</v>
      </c>
      <c r="J2676" t="str">
        <f t="shared" si="207"/>
        <v>E:\PropInv\MF</v>
      </c>
      <c r="K2676" s="103" t="str">
        <f>HYPERLINK("E:\PropInv\MF\Houston\Pasadena Blvd_2701_Jasmine Park_Houston_03782","Pasadena Blvd_2701_Jasmine Park_Houston_03782" )</f>
        <v>Pasadena Blvd_2701_Jasmine Park_Houston_03782</v>
      </c>
      <c r="L2676" s="104" t="s">
        <v>22253</v>
      </c>
      <c r="M2676" s="103" t="str">
        <f t="shared" si="208"/>
        <v>http://oconnordata.com/mlink/modules/profile/index.cfm?action=profile&amp;prop_id=3782</v>
      </c>
      <c r="N2676" s="1" t="str">
        <f t="shared" si="209"/>
        <v>03782</v>
      </c>
    </row>
    <row r="2677" spans="1:14" x14ac:dyDescent="0.3">
      <c r="A2677" s="1">
        <v>3787</v>
      </c>
      <c r="B2677" s="7" t="s">
        <v>4000</v>
      </c>
      <c r="C2677" s="12">
        <v>1516</v>
      </c>
      <c r="D2677" s="7" t="s">
        <v>4010</v>
      </c>
      <c r="E2677" s="13" t="s">
        <v>3924</v>
      </c>
      <c r="F2677" t="str">
        <f t="shared" si="205"/>
        <v>Sam</v>
      </c>
      <c r="G2677" t="str">
        <f t="shared" si="206"/>
        <v>Sam1516Pasadena</v>
      </c>
      <c r="H2677" t="s">
        <v>33535</v>
      </c>
      <c r="I2677" t="s">
        <v>24960</v>
      </c>
      <c r="J2677" t="str">
        <f t="shared" si="207"/>
        <v>E:\PropInv\MF</v>
      </c>
      <c r="K2677" s="103" t="str">
        <f>HYPERLINK("E:\PropInv\MF\Pasadena\Sam Houston Pkwy S E_1516_San Augustine_Pasadena_03787","Sam Houston Pkwy S E_1516_San Augustine_Pasadena_03787" )</f>
        <v>Sam Houston Pkwy S E_1516_San Augustine_Pasadena_03787</v>
      </c>
      <c r="L2677" s="104" t="s">
        <v>22253</v>
      </c>
      <c r="M2677" s="103" t="str">
        <f t="shared" si="208"/>
        <v>http://oconnordata.com/mlink/modules/profile/index.cfm?action=profile&amp;prop_id=3787</v>
      </c>
      <c r="N2677" s="1" t="str">
        <f t="shared" si="209"/>
        <v>03787</v>
      </c>
    </row>
    <row r="2678" spans="1:14" x14ac:dyDescent="0.3">
      <c r="A2678" s="1">
        <v>3788</v>
      </c>
      <c r="B2678" s="7" t="s">
        <v>3965</v>
      </c>
      <c r="C2678" s="12">
        <v>3120</v>
      </c>
      <c r="D2678" s="7" t="s">
        <v>4011</v>
      </c>
      <c r="E2678" s="13" t="s">
        <v>3924</v>
      </c>
      <c r="F2678" t="str">
        <f t="shared" si="205"/>
        <v>Pasadena</v>
      </c>
      <c r="G2678" t="str">
        <f t="shared" si="206"/>
        <v>Pasadena3120Pasadena</v>
      </c>
      <c r="H2678" t="s">
        <v>33536</v>
      </c>
      <c r="I2678" t="s">
        <v>24961</v>
      </c>
      <c r="J2678" t="str">
        <f t="shared" si="207"/>
        <v>E:\PropInv\MF</v>
      </c>
      <c r="K2678" s="103" t="str">
        <f>HYPERLINK("E:\PropInv\MF\Pasadena\Pasadena Blvd_3120_Oakwood Village_Pasadena_03788","Pasadena Blvd_3120_Oakwood Village_Pasadena_03788" )</f>
        <v>Pasadena Blvd_3120_Oakwood Village_Pasadena_03788</v>
      </c>
      <c r="L2678" s="104" t="s">
        <v>22253</v>
      </c>
      <c r="M2678" s="103" t="str">
        <f t="shared" si="208"/>
        <v>http://oconnordata.com/mlink/modules/profile/index.cfm?action=profile&amp;prop_id=3788</v>
      </c>
      <c r="N2678" s="1" t="str">
        <f t="shared" si="209"/>
        <v>03788</v>
      </c>
    </row>
    <row r="2679" spans="1:14" x14ac:dyDescent="0.3">
      <c r="A2679" s="1">
        <v>3789</v>
      </c>
      <c r="B2679" s="7" t="s">
        <v>3965</v>
      </c>
      <c r="C2679" s="12">
        <v>3222</v>
      </c>
      <c r="D2679" s="7" t="s">
        <v>4012</v>
      </c>
      <c r="E2679" s="13" t="s">
        <v>3924</v>
      </c>
      <c r="F2679" t="str">
        <f t="shared" si="205"/>
        <v>Pasadena</v>
      </c>
      <c r="G2679" t="str">
        <f t="shared" si="206"/>
        <v>Pasadena3222Pasadena</v>
      </c>
      <c r="H2679" t="s">
        <v>33537</v>
      </c>
      <c r="I2679" t="s">
        <v>24962</v>
      </c>
      <c r="J2679" t="str">
        <f t="shared" si="207"/>
        <v>E:\PropInv\MF</v>
      </c>
      <c r="K2679" s="103" t="str">
        <f>HYPERLINK("E:\PropInv\MF\Pasadena\Pasadena Blvd_3222_Twin Oaks_Pasadena_03789","Pasadena Blvd_3222_Twin Oaks_Pasadena_03789" )</f>
        <v>Pasadena Blvd_3222_Twin Oaks_Pasadena_03789</v>
      </c>
      <c r="L2679" s="104" t="s">
        <v>22253</v>
      </c>
      <c r="M2679" s="103" t="str">
        <f t="shared" si="208"/>
        <v>http://oconnordata.com/mlink/modules/profile/index.cfm?action=profile&amp;prop_id=3789</v>
      </c>
      <c r="N2679" s="1" t="str">
        <f t="shared" si="209"/>
        <v>03789</v>
      </c>
    </row>
    <row r="2680" spans="1:14" x14ac:dyDescent="0.3">
      <c r="A2680" s="1">
        <v>3790</v>
      </c>
      <c r="B2680" s="7" t="s">
        <v>3989</v>
      </c>
      <c r="C2680" s="12">
        <v>2323</v>
      </c>
      <c r="D2680" s="7" t="s">
        <v>4013</v>
      </c>
      <c r="E2680" s="13" t="s">
        <v>3924</v>
      </c>
      <c r="F2680" t="str">
        <f t="shared" si="205"/>
        <v>Burke</v>
      </c>
      <c r="G2680" t="str">
        <f t="shared" si="206"/>
        <v>Burke2323Pasadena</v>
      </c>
      <c r="H2680" t="s">
        <v>33538</v>
      </c>
      <c r="I2680" t="s">
        <v>24963</v>
      </c>
      <c r="J2680" t="str">
        <f t="shared" si="207"/>
        <v>E:\PropInv\MF</v>
      </c>
      <c r="K2680" s="103" t="str">
        <f>HYPERLINK("E:\PropInv\MF\Pasadena\Burke_2323_Parkview Village_Pasadena_03790","Burke_2323_Parkview Village_Pasadena_03790" )</f>
        <v>Burke_2323_Parkview Village_Pasadena_03790</v>
      </c>
      <c r="L2680" s="104" t="s">
        <v>22253</v>
      </c>
      <c r="M2680" s="103" t="str">
        <f t="shared" si="208"/>
        <v>http://oconnordata.com/mlink/modules/profile/index.cfm?action=profile&amp;prop_id=3790</v>
      </c>
      <c r="N2680" s="1" t="str">
        <f t="shared" si="209"/>
        <v>03790</v>
      </c>
    </row>
    <row r="2681" spans="1:14" x14ac:dyDescent="0.3">
      <c r="A2681" s="1">
        <v>3791</v>
      </c>
      <c r="B2681" s="7" t="s">
        <v>3989</v>
      </c>
      <c r="C2681" s="12">
        <v>2402</v>
      </c>
      <c r="D2681" s="7" t="s">
        <v>4014</v>
      </c>
      <c r="E2681" s="13" t="s">
        <v>3924</v>
      </c>
      <c r="F2681" t="str">
        <f t="shared" si="205"/>
        <v>Burke</v>
      </c>
      <c r="G2681" t="str">
        <f t="shared" si="206"/>
        <v>Burke2402Pasadena</v>
      </c>
      <c r="H2681" t="s">
        <v>33539</v>
      </c>
      <c r="I2681" t="s">
        <v>24964</v>
      </c>
      <c r="J2681" t="str">
        <f t="shared" si="207"/>
        <v>E:\PropInv\MF</v>
      </c>
      <c r="K2681" s="103" t="str">
        <f>HYPERLINK("E:\PropInv\MF\Pasadena\Burke_2402_Alpine Village_Pasadena_03791","Burke_2402_Alpine Village_Pasadena_03791" )</f>
        <v>Burke_2402_Alpine Village_Pasadena_03791</v>
      </c>
      <c r="L2681" s="104" t="s">
        <v>22253</v>
      </c>
      <c r="M2681" s="103" t="str">
        <f t="shared" si="208"/>
        <v>http://oconnordata.com/mlink/modules/profile/index.cfm?action=profile&amp;prop_id=3791</v>
      </c>
      <c r="N2681" s="1" t="str">
        <f t="shared" si="209"/>
        <v>03791</v>
      </c>
    </row>
    <row r="2682" spans="1:14" x14ac:dyDescent="0.3">
      <c r="A2682" s="1">
        <v>3792</v>
      </c>
      <c r="B2682" s="7" t="s">
        <v>3987</v>
      </c>
      <c r="C2682" s="12">
        <v>2120</v>
      </c>
      <c r="D2682" s="7" t="s">
        <v>4015</v>
      </c>
      <c r="E2682" s="13" t="s">
        <v>3924</v>
      </c>
      <c r="F2682" t="str">
        <f t="shared" si="205"/>
        <v>Strawberry</v>
      </c>
      <c r="G2682" t="str">
        <f t="shared" si="206"/>
        <v>Strawberry2120Pasadena</v>
      </c>
      <c r="H2682" t="s">
        <v>33540</v>
      </c>
      <c r="I2682" t="s">
        <v>24965</v>
      </c>
      <c r="J2682" t="str">
        <f t="shared" si="207"/>
        <v>E:\PropInv\MF</v>
      </c>
      <c r="K2682" s="103" t="str">
        <f>HYPERLINK("E:\PropInv\MF\Pasadena\Strawberry_2120_Embers_Pasadena_03792","Strawberry_2120_Embers_Pasadena_03792" )</f>
        <v>Strawberry_2120_Embers_Pasadena_03792</v>
      </c>
      <c r="L2682" s="104" t="s">
        <v>22253</v>
      </c>
      <c r="M2682" s="103" t="str">
        <f t="shared" si="208"/>
        <v>http://oconnordata.com/mlink/modules/profile/index.cfm?action=profile&amp;prop_id=3792</v>
      </c>
      <c r="N2682" s="1" t="str">
        <f t="shared" si="209"/>
        <v>03792</v>
      </c>
    </row>
    <row r="2683" spans="1:14" x14ac:dyDescent="0.3">
      <c r="A2683" s="1">
        <v>3793</v>
      </c>
      <c r="B2683" s="7" t="s">
        <v>4016</v>
      </c>
      <c r="C2683" s="12">
        <v>2401</v>
      </c>
      <c r="D2683" s="7" t="s">
        <v>4017</v>
      </c>
      <c r="E2683" s="13" t="s">
        <v>3924</v>
      </c>
      <c r="F2683" t="str">
        <f t="shared" si="205"/>
        <v>Southmore</v>
      </c>
      <c r="G2683" t="str">
        <f t="shared" si="206"/>
        <v>Southmore2401Pasadena</v>
      </c>
      <c r="H2683" t="s">
        <v>33541</v>
      </c>
      <c r="I2683" t="s">
        <v>24966</v>
      </c>
      <c r="J2683" t="str">
        <f t="shared" si="207"/>
        <v>E:\PropInv\MF</v>
      </c>
      <c r="K2683" s="103" t="str">
        <f>HYPERLINK("E:\PropInv\MF\Pasadena\Southmore E_2401_Southmore Park_Pasadena_03793","Southmore E_2401_Southmore Park_Pasadena_03793" )</f>
        <v>Southmore E_2401_Southmore Park_Pasadena_03793</v>
      </c>
      <c r="L2683" s="104" t="s">
        <v>22253</v>
      </c>
      <c r="M2683" s="103" t="str">
        <f t="shared" si="208"/>
        <v>http://oconnordata.com/mlink/modules/profile/index.cfm?action=profile&amp;prop_id=3793</v>
      </c>
      <c r="N2683" s="1" t="str">
        <f t="shared" si="209"/>
        <v>03793</v>
      </c>
    </row>
    <row r="2684" spans="1:14" x14ac:dyDescent="0.3">
      <c r="A2684" s="1">
        <v>3794</v>
      </c>
      <c r="B2684" s="19" t="s">
        <v>4016</v>
      </c>
      <c r="C2684" s="18">
        <v>2650</v>
      </c>
      <c r="D2684" s="19" t="s">
        <v>4018</v>
      </c>
      <c r="E2684" s="20" t="s">
        <v>3924</v>
      </c>
      <c r="F2684" t="str">
        <f t="shared" si="205"/>
        <v>Southmore</v>
      </c>
      <c r="G2684" t="str">
        <f t="shared" si="206"/>
        <v>Southmore2650Pasadena</v>
      </c>
      <c r="H2684" t="s">
        <v>33542</v>
      </c>
      <c r="I2684" t="s">
        <v>24967</v>
      </c>
      <c r="J2684" t="str">
        <f t="shared" si="207"/>
        <v>E:\PropInv\MF</v>
      </c>
      <c r="K2684" s="103" t="str">
        <f>HYPERLINK("E:\PropInv\MF\Pasadena\Southmore E_2650_Southmore TH_Pasadena_03794","Southmore E_2650_Southmore TH_Pasadena_03794" )</f>
        <v>Southmore E_2650_Southmore TH_Pasadena_03794</v>
      </c>
      <c r="L2684" s="104" t="s">
        <v>22253</v>
      </c>
      <c r="M2684" s="103" t="str">
        <f t="shared" si="208"/>
        <v>http://oconnordata.com/mlink/modules/profile/index.cfm?action=profile&amp;prop_id=3794</v>
      </c>
      <c r="N2684" s="1" t="str">
        <f t="shared" si="209"/>
        <v>03794</v>
      </c>
    </row>
    <row r="2685" spans="1:14" x14ac:dyDescent="0.3">
      <c r="A2685" s="1">
        <v>3797</v>
      </c>
      <c r="B2685" s="7" t="s">
        <v>3949</v>
      </c>
      <c r="C2685" s="12">
        <v>3201</v>
      </c>
      <c r="D2685" s="7" t="s">
        <v>4019</v>
      </c>
      <c r="E2685" s="13" t="s">
        <v>3924</v>
      </c>
      <c r="F2685" t="str">
        <f t="shared" si="205"/>
        <v>Red</v>
      </c>
      <c r="G2685" t="str">
        <f t="shared" si="206"/>
        <v>Red3201Pasadena</v>
      </c>
      <c r="H2685" t="s">
        <v>33543</v>
      </c>
      <c r="I2685" t="s">
        <v>24968</v>
      </c>
      <c r="J2685" t="str">
        <f t="shared" si="207"/>
        <v>E:\PropInv\MF</v>
      </c>
      <c r="K2685" s="103" t="str">
        <f>HYPERLINK("E:\PropInv\MF\Pasadena\Red Bluff_3201_Fieldstone_Pasadena_03797","Red Bluff_3201_Fieldstone_Pasadena_03797" )</f>
        <v>Red Bluff_3201_Fieldstone_Pasadena_03797</v>
      </c>
      <c r="L2685" s="104" t="s">
        <v>22253</v>
      </c>
      <c r="M2685" s="103" t="str">
        <f t="shared" si="208"/>
        <v>http://oconnordata.com/mlink/modules/profile/index.cfm?action=profile&amp;prop_id=3797</v>
      </c>
      <c r="N2685" s="1" t="str">
        <f t="shared" si="209"/>
        <v>03797</v>
      </c>
    </row>
    <row r="2686" spans="1:14" x14ac:dyDescent="0.3">
      <c r="A2686" s="1">
        <v>3798</v>
      </c>
      <c r="B2686" s="7" t="s">
        <v>4020</v>
      </c>
      <c r="C2686" s="12">
        <v>3500</v>
      </c>
      <c r="D2686" s="7" t="s">
        <v>4021</v>
      </c>
      <c r="E2686" s="13" t="s">
        <v>3924</v>
      </c>
      <c r="F2686" t="str">
        <f t="shared" si="205"/>
        <v>Red</v>
      </c>
      <c r="G2686" t="str">
        <f t="shared" si="206"/>
        <v>Red3500Pasadena</v>
      </c>
      <c r="H2686" t="s">
        <v>33544</v>
      </c>
      <c r="I2686" t="s">
        <v>24969</v>
      </c>
      <c r="J2686" t="str">
        <f t="shared" si="207"/>
        <v>E:\PropInv\MF</v>
      </c>
      <c r="K2686" s="103" t="str">
        <f>HYPERLINK("E:\PropInv\MF\Pasadena\Red Bluff Rd_3500_Casa Palmas_Pasadena_03798","Red Bluff Rd_3500_Casa Palmas_Pasadena_03798" )</f>
        <v>Red Bluff Rd_3500_Casa Palmas_Pasadena_03798</v>
      </c>
      <c r="L2686" s="104" t="s">
        <v>22253</v>
      </c>
      <c r="M2686" s="103" t="str">
        <f t="shared" si="208"/>
        <v>http://oconnordata.com/mlink/modules/profile/index.cfm?action=profile&amp;prop_id=3798</v>
      </c>
      <c r="N2686" s="1" t="str">
        <f t="shared" si="209"/>
        <v>03798</v>
      </c>
    </row>
    <row r="2687" spans="1:14" x14ac:dyDescent="0.3">
      <c r="A2687" s="1">
        <v>3800</v>
      </c>
      <c r="B2687" s="7" t="s">
        <v>4022</v>
      </c>
      <c r="C2687" s="12">
        <v>1202</v>
      </c>
      <c r="D2687" s="7" t="s">
        <v>4023</v>
      </c>
      <c r="E2687" s="13" t="s">
        <v>3924</v>
      </c>
      <c r="F2687" t="str">
        <f t="shared" si="205"/>
        <v>Lyric</v>
      </c>
      <c r="G2687" t="str">
        <f t="shared" si="206"/>
        <v>Lyric1202Pasadena</v>
      </c>
      <c r="H2687" t="s">
        <v>33545</v>
      </c>
      <c r="I2687" t="s">
        <v>24970</v>
      </c>
      <c r="J2687" t="str">
        <f t="shared" si="207"/>
        <v>E:\PropInv\MF</v>
      </c>
      <c r="K2687" s="103" t="str">
        <f>HYPERLINK("E:\PropInv\MF\Pasadena\Lyric Ln_1202_San Augustine TH Apts_Pasadena_03800","Lyric Ln_1202_San Augustine TH Apts_Pasadena_03800" )</f>
        <v>Lyric Ln_1202_San Augustine TH Apts_Pasadena_03800</v>
      </c>
      <c r="L2687" s="104" t="s">
        <v>22253</v>
      </c>
      <c r="M2687" s="103" t="str">
        <f t="shared" si="208"/>
        <v>http://oconnordata.com/mlink/modules/profile/index.cfm?action=profile&amp;prop_id=3800</v>
      </c>
      <c r="N2687" s="1" t="str">
        <f t="shared" si="209"/>
        <v>03800</v>
      </c>
    </row>
    <row r="2688" spans="1:14" x14ac:dyDescent="0.3">
      <c r="A2688" s="1">
        <v>3801</v>
      </c>
      <c r="B2688" s="7" t="s">
        <v>4020</v>
      </c>
      <c r="C2688" s="12">
        <v>3823</v>
      </c>
      <c r="D2688" s="7" t="s">
        <v>4024</v>
      </c>
      <c r="E2688" s="13" t="s">
        <v>3924</v>
      </c>
      <c r="F2688" t="str">
        <f t="shared" si="205"/>
        <v>Red</v>
      </c>
      <c r="G2688" t="str">
        <f t="shared" si="206"/>
        <v>Red3823Pasadena</v>
      </c>
      <c r="H2688" t="s">
        <v>33546</v>
      </c>
      <c r="I2688" t="s">
        <v>24971</v>
      </c>
      <c r="J2688" t="str">
        <f t="shared" si="207"/>
        <v>E:\PropInv\MF</v>
      </c>
      <c r="K2688" s="103" t="str">
        <f>HYPERLINK("E:\PropInv\MF\Pasadena\Red Bluff Rd_3823_Red Pines AH_Pasadena_03801","Red Bluff Rd_3823_Red Pines AH_Pasadena_03801" )</f>
        <v>Red Bluff Rd_3823_Red Pines AH_Pasadena_03801</v>
      </c>
      <c r="L2688" s="104" t="s">
        <v>22253</v>
      </c>
      <c r="M2688" s="103" t="str">
        <f t="shared" si="208"/>
        <v>http://oconnordata.com/mlink/modules/profile/index.cfm?action=profile&amp;prop_id=3801</v>
      </c>
      <c r="N2688" s="1" t="str">
        <f t="shared" si="209"/>
        <v>03801</v>
      </c>
    </row>
    <row r="2689" spans="1:14" x14ac:dyDescent="0.3">
      <c r="A2689" s="1">
        <v>3802</v>
      </c>
      <c r="B2689" s="7" t="s">
        <v>4025</v>
      </c>
      <c r="C2689" s="12">
        <v>2001</v>
      </c>
      <c r="D2689" s="7" t="s">
        <v>4026</v>
      </c>
      <c r="E2689" s="13" t="s">
        <v>3924</v>
      </c>
      <c r="F2689" t="str">
        <f t="shared" si="205"/>
        <v>Jenkins</v>
      </c>
      <c r="G2689" t="str">
        <f t="shared" si="206"/>
        <v>Jenkins2001Pasadena</v>
      </c>
      <c r="H2689" t="s">
        <v>33547</v>
      </c>
      <c r="I2689" t="s">
        <v>24972</v>
      </c>
      <c r="J2689" t="str">
        <f t="shared" si="207"/>
        <v>E:\PropInv\MF</v>
      </c>
      <c r="K2689" s="103" t="str">
        <f>HYPERLINK("E:\PropInv\MF\Pasadena\Jenkins_2001_Pecan Place_Pasadena_03802","Jenkins_2001_Pecan Place_Pasadena_03802" )</f>
        <v>Jenkins_2001_Pecan Place_Pasadena_03802</v>
      </c>
      <c r="L2689" s="104" t="s">
        <v>22253</v>
      </c>
      <c r="M2689" s="103" t="str">
        <f t="shared" si="208"/>
        <v>http://oconnordata.com/mlink/modules/profile/index.cfm?action=profile&amp;prop_id=3802</v>
      </c>
      <c r="N2689" s="1" t="str">
        <f t="shared" si="209"/>
        <v>03802</v>
      </c>
    </row>
    <row r="2690" spans="1:14" x14ac:dyDescent="0.3">
      <c r="A2690" s="1">
        <v>3803</v>
      </c>
      <c r="B2690" s="7" t="s">
        <v>4025</v>
      </c>
      <c r="C2690" s="12">
        <v>2008</v>
      </c>
      <c r="D2690" s="7" t="s">
        <v>4027</v>
      </c>
      <c r="E2690" s="13" t="s">
        <v>3924</v>
      </c>
      <c r="F2690" t="str">
        <f t="shared" ref="F2690:F2753" si="210">IFERROR(LEFT(B2690,FIND(" ",B2690)-1),B2690)</f>
        <v>Jenkins</v>
      </c>
      <c r="G2690" t="str">
        <f t="shared" ref="G2690:G2753" si="211">F2690&amp;C2690&amp;E2690</f>
        <v>Jenkins2008Pasadena</v>
      </c>
      <c r="H2690" t="s">
        <v>33548</v>
      </c>
      <c r="I2690" t="s">
        <v>24973</v>
      </c>
      <c r="J2690" t="str">
        <f t="shared" ref="J2690:J2753" si="212">IF(L2690="TX",Folder_Path,Folder_Path&amp;"\State_"&amp;L2690)</f>
        <v>E:\PropInv\MF</v>
      </c>
      <c r="K2690" s="103" t="str">
        <f>HYPERLINK("E:\PropInv\MF\Pasadena\Jenkins_2008_Britany Village_Pasadena_03803","Jenkins_2008_Britany Village_Pasadena_03803" )</f>
        <v>Jenkins_2008_Britany Village_Pasadena_03803</v>
      </c>
      <c r="L2690" s="104" t="s">
        <v>22253</v>
      </c>
      <c r="M2690" s="103" t="str">
        <f t="shared" ref="M2690:M2753" si="213">HYPERLINK("http://oconnordata.com/mlink/modules/profile/index.cfm?action=profile&amp;prop_id="&amp;A2690)</f>
        <v>http://oconnordata.com/mlink/modules/profile/index.cfm?action=profile&amp;prop_id=3803</v>
      </c>
      <c r="N2690" s="1" t="str">
        <f t="shared" ref="N2690:N2753" si="214">IF(LEN(A2690)=1,"0000"&amp;A2690,IF(LEN(A2690)=2,"000"&amp;A2690,IF(LEN(A2690)=3,"00"&amp;A2690,IF(LEN(A2690)=4,"0"&amp;A2690,IF(LEN(A2690)=5,IF(LEFT(A2690,1)="3",A2690+30000,A2690))))))</f>
        <v>03803</v>
      </c>
    </row>
    <row r="2691" spans="1:14" x14ac:dyDescent="0.3">
      <c r="A2691" s="1">
        <v>3804</v>
      </c>
      <c r="B2691" s="7" t="s">
        <v>4028</v>
      </c>
      <c r="C2691" s="12">
        <v>2216</v>
      </c>
      <c r="D2691" s="7" t="s">
        <v>4029</v>
      </c>
      <c r="E2691" s="13" t="s">
        <v>3924</v>
      </c>
      <c r="F2691" t="str">
        <f t="shared" si="210"/>
        <v>Harris</v>
      </c>
      <c r="G2691" t="str">
        <f t="shared" si="211"/>
        <v>Harris2216Pasadena</v>
      </c>
      <c r="H2691" t="s">
        <v>33549</v>
      </c>
      <c r="I2691" t="s">
        <v>24974</v>
      </c>
      <c r="J2691" t="str">
        <f t="shared" si="212"/>
        <v>E:\PropInv\MF</v>
      </c>
      <c r="K2691" s="103" t="str">
        <f>HYPERLINK("E:\PropInv\MF\Pasadena\Harris E_2216_Copper Ridge_Pasadena_03804","Harris E_2216_Copper Ridge_Pasadena_03804" )</f>
        <v>Harris E_2216_Copper Ridge_Pasadena_03804</v>
      </c>
      <c r="L2691" s="104" t="s">
        <v>22253</v>
      </c>
      <c r="M2691" s="103" t="str">
        <f t="shared" si="213"/>
        <v>http://oconnordata.com/mlink/modules/profile/index.cfm?action=profile&amp;prop_id=3804</v>
      </c>
      <c r="N2691" s="1" t="str">
        <f t="shared" si="214"/>
        <v>03804</v>
      </c>
    </row>
    <row r="2692" spans="1:14" x14ac:dyDescent="0.3">
      <c r="A2692" s="1">
        <v>3805</v>
      </c>
      <c r="B2692" s="7" t="s">
        <v>4025</v>
      </c>
      <c r="C2692" s="12">
        <v>1705</v>
      </c>
      <c r="D2692" s="7" t="s">
        <v>4030</v>
      </c>
      <c r="E2692" s="13" t="s">
        <v>3924</v>
      </c>
      <c r="F2692" t="str">
        <f t="shared" si="210"/>
        <v>Jenkins</v>
      </c>
      <c r="G2692" t="str">
        <f t="shared" si="211"/>
        <v>Jenkins1705Pasadena</v>
      </c>
      <c r="H2692" t="s">
        <v>33550</v>
      </c>
      <c r="I2692" t="s">
        <v>24975</v>
      </c>
      <c r="J2692" t="str">
        <f t="shared" si="212"/>
        <v>E:\PropInv\MF</v>
      </c>
      <c r="K2692" s="103" t="str">
        <f>HYPERLINK("E:\PropInv\MF\Pasadena\Jenkins_1705_Victoria Village_Pasadena_03805","Jenkins_1705_Victoria Village_Pasadena_03805" )</f>
        <v>Jenkins_1705_Victoria Village_Pasadena_03805</v>
      </c>
      <c r="L2692" s="104" t="s">
        <v>22253</v>
      </c>
      <c r="M2692" s="103" t="str">
        <f t="shared" si="213"/>
        <v>http://oconnordata.com/mlink/modules/profile/index.cfm?action=profile&amp;prop_id=3805</v>
      </c>
      <c r="N2692" s="1" t="str">
        <f t="shared" si="214"/>
        <v>03805</v>
      </c>
    </row>
    <row r="2693" spans="1:14" x14ac:dyDescent="0.3">
      <c r="A2693" s="1">
        <v>3806</v>
      </c>
      <c r="B2693" s="7" t="s">
        <v>4025</v>
      </c>
      <c r="C2693" s="12">
        <v>1744</v>
      </c>
      <c r="D2693" s="7" t="s">
        <v>4031</v>
      </c>
      <c r="E2693" s="13" t="s">
        <v>3924</v>
      </c>
      <c r="F2693" t="str">
        <f t="shared" si="210"/>
        <v>Jenkins</v>
      </c>
      <c r="G2693" t="str">
        <f t="shared" si="211"/>
        <v>Jenkins1744Pasadena</v>
      </c>
      <c r="H2693" t="s">
        <v>33551</v>
      </c>
      <c r="I2693" t="s">
        <v>24976</v>
      </c>
      <c r="J2693" t="str">
        <f t="shared" si="212"/>
        <v>E:\PropInv\MF</v>
      </c>
      <c r="K2693" s="103" t="str">
        <f>HYPERLINK("E:\PropInv\MF\Pasadena\Jenkins_1744_The Crossings at Sun Meadow_Pasadena_03806","Jenkins_1744_The Crossings at Sun Meadow_Pasadena_03806" )</f>
        <v>Jenkins_1744_The Crossings at Sun Meadow_Pasadena_03806</v>
      </c>
      <c r="L2693" s="104" t="s">
        <v>22253</v>
      </c>
      <c r="M2693" s="103" t="str">
        <f t="shared" si="213"/>
        <v>http://oconnordata.com/mlink/modules/profile/index.cfm?action=profile&amp;prop_id=3806</v>
      </c>
      <c r="N2693" s="1" t="str">
        <f t="shared" si="214"/>
        <v>03806</v>
      </c>
    </row>
    <row r="2694" spans="1:14" x14ac:dyDescent="0.3">
      <c r="A2694" s="1">
        <v>3807</v>
      </c>
      <c r="B2694" s="7" t="s">
        <v>4032</v>
      </c>
      <c r="C2694" s="12">
        <v>8300</v>
      </c>
      <c r="D2694" s="7" t="s">
        <v>4033</v>
      </c>
      <c r="E2694" s="13" t="s">
        <v>1657</v>
      </c>
      <c r="F2694" t="str">
        <f t="shared" si="210"/>
        <v>Airport</v>
      </c>
      <c r="G2694" t="str">
        <f t="shared" si="211"/>
        <v>Airport8300Houston</v>
      </c>
      <c r="H2694" t="s">
        <v>33552</v>
      </c>
      <c r="I2694" t="s">
        <v>24977</v>
      </c>
      <c r="J2694" t="str">
        <f t="shared" si="212"/>
        <v>E:\PropInv\MF</v>
      </c>
      <c r="K2694" s="103" t="str">
        <f>HYPERLINK("E:\PropInv\MF\Houston\Airport Blvd W_8300_The Crossings at Bradford Place II_Houston_03807","Airport Blvd W_8300_The Crossings at Bradford Place II_Houston_03807" )</f>
        <v>Airport Blvd W_8300_The Crossings at Bradford Place II_Houston_03807</v>
      </c>
      <c r="L2694" s="104" t="s">
        <v>22253</v>
      </c>
      <c r="M2694" s="103" t="str">
        <f t="shared" si="213"/>
        <v>http://oconnordata.com/mlink/modules/profile/index.cfm?action=profile&amp;prop_id=3807</v>
      </c>
      <c r="N2694" s="1" t="str">
        <f t="shared" si="214"/>
        <v>03807</v>
      </c>
    </row>
    <row r="2695" spans="1:14" x14ac:dyDescent="0.3">
      <c r="A2695" s="1">
        <v>3809</v>
      </c>
      <c r="B2695" s="7" t="s">
        <v>4034</v>
      </c>
      <c r="C2695" s="12">
        <v>12247</v>
      </c>
      <c r="D2695" s="7" t="s">
        <v>4035</v>
      </c>
      <c r="E2695" s="13" t="s">
        <v>1657</v>
      </c>
      <c r="F2695" t="str">
        <f t="shared" si="210"/>
        <v>Sunset</v>
      </c>
      <c r="G2695" t="str">
        <f t="shared" si="211"/>
        <v>Sunset12247Houston</v>
      </c>
      <c r="H2695" t="s">
        <v>33553</v>
      </c>
      <c r="I2695" t="s">
        <v>24978</v>
      </c>
      <c r="J2695" t="str">
        <f t="shared" si="212"/>
        <v>E:\PropInv\MF</v>
      </c>
      <c r="K2695" s="103" t="str">
        <f>HYPERLINK("E:\PropInv\MF\Houston\Sunset Meadow Ln_12247_Sunswept TH Apts_Houston_03809","Sunset Meadow Ln_12247_Sunswept TH Apts_Houston_03809" )</f>
        <v>Sunset Meadow Ln_12247_Sunswept TH Apts_Houston_03809</v>
      </c>
      <c r="L2695" s="104" t="s">
        <v>22253</v>
      </c>
      <c r="M2695" s="103" t="str">
        <f t="shared" si="213"/>
        <v>http://oconnordata.com/mlink/modules/profile/index.cfm?action=profile&amp;prop_id=3809</v>
      </c>
      <c r="N2695" s="1" t="str">
        <f t="shared" si="214"/>
        <v>03809</v>
      </c>
    </row>
    <row r="2696" spans="1:14" x14ac:dyDescent="0.3">
      <c r="A2696" s="1">
        <v>3810</v>
      </c>
      <c r="B2696" s="7" t="s">
        <v>4036</v>
      </c>
      <c r="C2696" s="12">
        <v>401</v>
      </c>
      <c r="D2696" s="7" t="s">
        <v>4037</v>
      </c>
      <c r="E2696" s="13" t="s">
        <v>4038</v>
      </c>
      <c r="F2696" t="str">
        <f t="shared" si="210"/>
        <v>Pasadena</v>
      </c>
      <c r="G2696" t="str">
        <f t="shared" si="211"/>
        <v>Pasadena401Deer Park</v>
      </c>
      <c r="H2696" t="s">
        <v>33554</v>
      </c>
      <c r="I2696" t="s">
        <v>24979</v>
      </c>
      <c r="J2696" t="str">
        <f t="shared" si="212"/>
        <v>E:\PropInv\MF</v>
      </c>
      <c r="K2696" s="103" t="str">
        <f>HYPERLINK("E:\PropInv\MF\Deer Park\Pasadena Blvd W_401_Alexan Deer Park_Deer Park_03810","Pasadena Blvd W_401_Alexan Deer Park_Deer Park_03810" )</f>
        <v>Pasadena Blvd W_401_Alexan Deer Park_Deer Park_03810</v>
      </c>
      <c r="L2696" s="104" t="s">
        <v>22253</v>
      </c>
      <c r="M2696" s="103" t="str">
        <f t="shared" si="213"/>
        <v>http://oconnordata.com/mlink/modules/profile/index.cfm?action=profile&amp;prop_id=3810</v>
      </c>
      <c r="N2696" s="1" t="str">
        <f t="shared" si="214"/>
        <v>03810</v>
      </c>
    </row>
    <row r="2697" spans="1:14" x14ac:dyDescent="0.3">
      <c r="A2697" s="1">
        <v>3811</v>
      </c>
      <c r="B2697" s="7" t="s">
        <v>4036</v>
      </c>
      <c r="C2697" s="12">
        <v>500</v>
      </c>
      <c r="D2697" s="7" t="s">
        <v>4039</v>
      </c>
      <c r="E2697" s="13" t="s">
        <v>4038</v>
      </c>
      <c r="F2697" t="str">
        <f t="shared" si="210"/>
        <v>Pasadena</v>
      </c>
      <c r="G2697" t="str">
        <f t="shared" si="211"/>
        <v>Pasadena500Deer Park</v>
      </c>
      <c r="H2697" t="s">
        <v>33555</v>
      </c>
      <c r="I2697" t="s">
        <v>24980</v>
      </c>
      <c r="J2697" t="str">
        <f t="shared" si="212"/>
        <v>E:\PropInv\MF</v>
      </c>
      <c r="K2697" s="103" t="str">
        <f>HYPERLINK("E:\PropInv\MF\Deer Park\Pasadena Blvd W_500_Parktown Townhouses II_Deer Park_03811","Pasadena Blvd W_500_Parktown Townhouses II_Deer Park_03811" )</f>
        <v>Pasadena Blvd W_500_Parktown Townhouses II_Deer Park_03811</v>
      </c>
      <c r="L2697" s="104" t="s">
        <v>22253</v>
      </c>
      <c r="M2697" s="103" t="str">
        <f t="shared" si="213"/>
        <v>http://oconnordata.com/mlink/modules/profile/index.cfm?action=profile&amp;prop_id=3811</v>
      </c>
      <c r="N2697" s="1" t="str">
        <f t="shared" si="214"/>
        <v>03811</v>
      </c>
    </row>
    <row r="2698" spans="1:14" x14ac:dyDescent="0.3">
      <c r="A2698" s="1">
        <v>3812</v>
      </c>
      <c r="B2698" s="7" t="s">
        <v>3993</v>
      </c>
      <c r="C2698" s="12">
        <v>6411</v>
      </c>
      <c r="D2698" s="7" t="s">
        <v>4040</v>
      </c>
      <c r="E2698" s="13" t="s">
        <v>3924</v>
      </c>
      <c r="F2698" t="str">
        <f t="shared" si="210"/>
        <v>Spencer</v>
      </c>
      <c r="G2698" t="str">
        <f t="shared" si="211"/>
        <v>Spencer6411Pasadena</v>
      </c>
      <c r="H2698" t="s">
        <v>33556</v>
      </c>
      <c r="I2698" t="s">
        <v>24981</v>
      </c>
      <c r="J2698" t="str">
        <f t="shared" si="212"/>
        <v>E:\PropInv\MF</v>
      </c>
      <c r="K2698" s="103" t="str">
        <f>HYPERLINK("E:\PropInv\MF\Pasadena\Spencer Hwy_6411_Brandywood II_Pasadena_03812","Spencer Hwy_6411_Brandywood II_Pasadena_03812" )</f>
        <v>Spencer Hwy_6411_Brandywood II_Pasadena_03812</v>
      </c>
      <c r="L2698" s="104" t="s">
        <v>22253</v>
      </c>
      <c r="M2698" s="103" t="str">
        <f t="shared" si="213"/>
        <v>http://oconnordata.com/mlink/modules/profile/index.cfm?action=profile&amp;prop_id=3812</v>
      </c>
      <c r="N2698" s="1" t="str">
        <f t="shared" si="214"/>
        <v>03812</v>
      </c>
    </row>
    <row r="2699" spans="1:14" x14ac:dyDescent="0.3">
      <c r="A2699" s="1">
        <v>3813</v>
      </c>
      <c r="B2699" s="7" t="s">
        <v>4032</v>
      </c>
      <c r="C2699" s="12">
        <v>6255</v>
      </c>
      <c r="D2699" s="7" t="s">
        <v>4041</v>
      </c>
      <c r="E2699" s="13" t="s">
        <v>1657</v>
      </c>
      <c r="F2699" t="str">
        <f t="shared" si="210"/>
        <v>Airport</v>
      </c>
      <c r="G2699" t="str">
        <f t="shared" si="211"/>
        <v>Airport6255Houston</v>
      </c>
      <c r="H2699" t="s">
        <v>33557</v>
      </c>
      <c r="I2699" t="s">
        <v>24982</v>
      </c>
      <c r="J2699" t="str">
        <f t="shared" si="212"/>
        <v>E:\PropInv\MF</v>
      </c>
      <c r="K2699" s="103" t="str">
        <f>HYPERLINK("E:\PropInv\MF\Houston\Airport Blvd W_6255_Village of Fondren_Houston_03813","Airport Blvd W_6255_Village of Fondren_Houston_03813" )</f>
        <v>Airport Blvd W_6255_Village of Fondren_Houston_03813</v>
      </c>
      <c r="L2699" s="104" t="s">
        <v>22253</v>
      </c>
      <c r="M2699" s="103" t="str">
        <f t="shared" si="213"/>
        <v>http://oconnordata.com/mlink/modules/profile/index.cfm?action=profile&amp;prop_id=3813</v>
      </c>
      <c r="N2699" s="1" t="str">
        <f t="shared" si="214"/>
        <v>03813</v>
      </c>
    </row>
    <row r="2700" spans="1:14" x14ac:dyDescent="0.3">
      <c r="A2700" s="1">
        <v>3814</v>
      </c>
      <c r="B2700" s="7" t="s">
        <v>3425</v>
      </c>
      <c r="C2700" s="12">
        <v>6200</v>
      </c>
      <c r="D2700" s="7" t="s">
        <v>4042</v>
      </c>
      <c r="E2700" s="13" t="s">
        <v>1657</v>
      </c>
      <c r="F2700" t="str">
        <f t="shared" si="210"/>
        <v>Bellfort</v>
      </c>
      <c r="G2700" t="str">
        <f t="shared" si="211"/>
        <v>Bellfort6200Houston</v>
      </c>
      <c r="H2700" t="s">
        <v>33558</v>
      </c>
      <c r="I2700" t="s">
        <v>24983</v>
      </c>
      <c r="J2700" t="str">
        <f t="shared" si="212"/>
        <v>E:\PropInv\MF</v>
      </c>
      <c r="K2700" s="103" t="str">
        <f>HYPERLINK("E:\PropInv\MF\Houston\Bellfort W_6200_Bel Lindo_Houston_03814","Bellfort W_6200_Bel Lindo_Houston_03814" )</f>
        <v>Bellfort W_6200_Bel Lindo_Houston_03814</v>
      </c>
      <c r="L2700" s="104" t="s">
        <v>22253</v>
      </c>
      <c r="M2700" s="103" t="str">
        <f t="shared" si="213"/>
        <v>http://oconnordata.com/mlink/modules/profile/index.cfm?action=profile&amp;prop_id=3814</v>
      </c>
      <c r="N2700" s="1" t="str">
        <f t="shared" si="214"/>
        <v>03814</v>
      </c>
    </row>
    <row r="2701" spans="1:14" x14ac:dyDescent="0.3">
      <c r="A2701" s="1">
        <v>3815</v>
      </c>
      <c r="B2701" s="7" t="s">
        <v>3425</v>
      </c>
      <c r="C2701" s="12" t="s">
        <v>4043</v>
      </c>
      <c r="D2701" s="7" t="s">
        <v>4044</v>
      </c>
      <c r="E2701" s="13" t="s">
        <v>1657</v>
      </c>
      <c r="F2701" t="str">
        <f t="shared" si="210"/>
        <v>Bellfort</v>
      </c>
      <c r="G2701" t="str">
        <f t="shared" si="211"/>
        <v>Bellfort6101-6201Houston</v>
      </c>
      <c r="H2701" t="s">
        <v>33559</v>
      </c>
      <c r="I2701" t="s">
        <v>24984</v>
      </c>
      <c r="J2701" t="str">
        <f t="shared" si="212"/>
        <v>E:\PropInv\MF</v>
      </c>
      <c r="K2701" s="103" t="str">
        <f>HYPERLINK("E:\PropInv\MF\Houston\Bellfort W_6101-6201_Oakwood Villa_Houston_03815","Bellfort W_6101-6201_Oakwood Villa_Houston_03815" )</f>
        <v>Bellfort W_6101-6201_Oakwood Villa_Houston_03815</v>
      </c>
      <c r="L2701" s="104" t="s">
        <v>22253</v>
      </c>
      <c r="M2701" s="103" t="str">
        <f t="shared" si="213"/>
        <v>http://oconnordata.com/mlink/modules/profile/index.cfm?action=profile&amp;prop_id=3815</v>
      </c>
      <c r="N2701" s="1" t="str">
        <f t="shared" si="214"/>
        <v>03815</v>
      </c>
    </row>
    <row r="2702" spans="1:14" x14ac:dyDescent="0.3">
      <c r="A2702" s="1">
        <v>3816</v>
      </c>
      <c r="B2702" s="7" t="s">
        <v>4045</v>
      </c>
      <c r="C2702" s="12">
        <v>315</v>
      </c>
      <c r="D2702" s="7" t="s">
        <v>4046</v>
      </c>
      <c r="E2702" s="13" t="s">
        <v>4047</v>
      </c>
      <c r="F2702" t="str">
        <f t="shared" si="210"/>
        <v>2nd</v>
      </c>
      <c r="G2702" t="str">
        <f t="shared" si="211"/>
        <v>2nd315La Porte</v>
      </c>
      <c r="H2702" t="s">
        <v>33560</v>
      </c>
      <c r="I2702" t="s">
        <v>24985</v>
      </c>
      <c r="J2702" t="str">
        <f t="shared" si="212"/>
        <v>E:\PropInv\MF</v>
      </c>
      <c r="K2702" s="103" t="str">
        <f>HYPERLINK("E:\PropInv\MF\La Porte\2nd N_315_Sylvan Beach_La Porte_03816","2nd N_315_Sylvan Beach_La Porte_03816" )</f>
        <v>2nd N_315_Sylvan Beach_La Porte_03816</v>
      </c>
      <c r="L2702" s="104" t="s">
        <v>22253</v>
      </c>
      <c r="M2702" s="103" t="str">
        <f t="shared" si="213"/>
        <v>http://oconnordata.com/mlink/modules/profile/index.cfm?action=profile&amp;prop_id=3816</v>
      </c>
      <c r="N2702" s="1" t="str">
        <f t="shared" si="214"/>
        <v>03816</v>
      </c>
    </row>
    <row r="2703" spans="1:14" x14ac:dyDescent="0.3">
      <c r="A2703" s="1">
        <v>3817</v>
      </c>
      <c r="B2703" s="7" t="s">
        <v>4048</v>
      </c>
      <c r="C2703" s="12">
        <v>18</v>
      </c>
      <c r="D2703" s="7" t="s">
        <v>4049</v>
      </c>
      <c r="E2703" s="13" t="s">
        <v>2609</v>
      </c>
      <c r="F2703" t="str">
        <f t="shared" si="210"/>
        <v>Stacey</v>
      </c>
      <c r="G2703" t="str">
        <f t="shared" si="211"/>
        <v>Stacey18Baytown</v>
      </c>
      <c r="H2703" t="s">
        <v>33561</v>
      </c>
      <c r="I2703" t="s">
        <v>24986</v>
      </c>
      <c r="J2703" t="str">
        <f t="shared" si="212"/>
        <v>E:\PropInv\MF</v>
      </c>
      <c r="K2703" s="103" t="str">
        <f>HYPERLINK("E:\PropInv\MF\Baytown\Stacey Ln_18_Roseland Manor_Baytown_03817","Stacey Ln_18_Roseland Manor_Baytown_03817" )</f>
        <v>Stacey Ln_18_Roseland Manor_Baytown_03817</v>
      </c>
      <c r="L2703" s="104" t="s">
        <v>22253</v>
      </c>
      <c r="M2703" s="103" t="str">
        <f t="shared" si="213"/>
        <v>http://oconnordata.com/mlink/modules/profile/index.cfm?action=profile&amp;prop_id=3817</v>
      </c>
      <c r="N2703" s="1" t="str">
        <f t="shared" si="214"/>
        <v>03817</v>
      </c>
    </row>
    <row r="2704" spans="1:14" x14ac:dyDescent="0.3">
      <c r="A2704" s="1">
        <v>3818</v>
      </c>
      <c r="B2704" s="7" t="s">
        <v>3525</v>
      </c>
      <c r="C2704" s="12">
        <v>12265</v>
      </c>
      <c r="D2704" s="7" t="s">
        <v>4050</v>
      </c>
      <c r="E2704" s="13" t="s">
        <v>1657</v>
      </c>
      <c r="F2704" t="str">
        <f t="shared" si="210"/>
        <v>Fondren</v>
      </c>
      <c r="G2704" t="str">
        <f t="shared" si="211"/>
        <v>Fondren12265Houston</v>
      </c>
      <c r="H2704" t="s">
        <v>33562</v>
      </c>
      <c r="I2704" t="s">
        <v>24987</v>
      </c>
      <c r="J2704" t="str">
        <f t="shared" si="212"/>
        <v>E:\PropInv\MF</v>
      </c>
      <c r="K2704" s="103" t="str">
        <f>HYPERLINK("E:\PropInv\MF\Houston\Fondren Rd_12265_Brookbend_Houston_03818","Fondren Rd_12265_Brookbend_Houston_03818" )</f>
        <v>Fondren Rd_12265_Brookbend_Houston_03818</v>
      </c>
      <c r="L2704" s="104" t="s">
        <v>22253</v>
      </c>
      <c r="M2704" s="103" t="str">
        <f t="shared" si="213"/>
        <v>http://oconnordata.com/mlink/modules/profile/index.cfm?action=profile&amp;prop_id=3818</v>
      </c>
      <c r="N2704" s="1" t="str">
        <f t="shared" si="214"/>
        <v>03818</v>
      </c>
    </row>
    <row r="2705" spans="1:14" x14ac:dyDescent="0.3">
      <c r="A2705" s="1">
        <v>3819</v>
      </c>
      <c r="B2705" s="7" t="s">
        <v>4051</v>
      </c>
      <c r="C2705" s="12">
        <v>6655</v>
      </c>
      <c r="D2705" s="7" t="s">
        <v>4052</v>
      </c>
      <c r="E2705" s="13" t="s">
        <v>1657</v>
      </c>
      <c r="F2705" t="str">
        <f t="shared" si="210"/>
        <v>Ludington</v>
      </c>
      <c r="G2705" t="str">
        <f t="shared" si="211"/>
        <v>Ludington6655Houston</v>
      </c>
      <c r="H2705" t="s">
        <v>33563</v>
      </c>
      <c r="I2705" t="s">
        <v>24988</v>
      </c>
      <c r="J2705" t="str">
        <f t="shared" si="212"/>
        <v>E:\PropInv\MF</v>
      </c>
      <c r="K2705" s="103" t="str">
        <f>HYPERLINK("E:\PropInv\MF\Houston\Ludington_6655_The Ludington_Houston_03819","Ludington_6655_The Ludington_Houston_03819" )</f>
        <v>Ludington_6655_The Ludington_Houston_03819</v>
      </c>
      <c r="L2705" s="104" t="s">
        <v>22253</v>
      </c>
      <c r="M2705" s="103" t="str">
        <f t="shared" si="213"/>
        <v>http://oconnordata.com/mlink/modules/profile/index.cfm?action=profile&amp;prop_id=3819</v>
      </c>
      <c r="N2705" s="1" t="str">
        <f t="shared" si="214"/>
        <v>03819</v>
      </c>
    </row>
    <row r="2706" spans="1:14" x14ac:dyDescent="0.3">
      <c r="A2706" s="1">
        <v>3821</v>
      </c>
      <c r="B2706" s="7" t="s">
        <v>3989</v>
      </c>
      <c r="C2706" s="12">
        <v>3224</v>
      </c>
      <c r="D2706" s="7" t="s">
        <v>4053</v>
      </c>
      <c r="E2706" s="13" t="s">
        <v>3924</v>
      </c>
      <c r="F2706" t="str">
        <f t="shared" si="210"/>
        <v>Burke</v>
      </c>
      <c r="G2706" t="str">
        <f t="shared" si="211"/>
        <v>Burke3224Pasadena</v>
      </c>
      <c r="H2706" t="s">
        <v>33564</v>
      </c>
      <c r="I2706" t="s">
        <v>24989</v>
      </c>
      <c r="J2706" t="str">
        <f t="shared" si="212"/>
        <v>E:\PropInv\MF</v>
      </c>
      <c r="K2706" s="103" t="str">
        <f>HYPERLINK("E:\PropInv\MF\Pasadena\Burke_3224_Bayshore Park_Pasadena_03821","Burke_3224_Bayshore Park_Pasadena_03821" )</f>
        <v>Burke_3224_Bayshore Park_Pasadena_03821</v>
      </c>
      <c r="L2706" s="104" t="s">
        <v>22253</v>
      </c>
      <c r="M2706" s="103" t="str">
        <f t="shared" si="213"/>
        <v>http://oconnordata.com/mlink/modules/profile/index.cfm?action=profile&amp;prop_id=3821</v>
      </c>
      <c r="N2706" s="1" t="str">
        <f t="shared" si="214"/>
        <v>03821</v>
      </c>
    </row>
    <row r="2707" spans="1:14" x14ac:dyDescent="0.3">
      <c r="A2707" s="1">
        <v>3822</v>
      </c>
      <c r="B2707" s="7" t="s">
        <v>3987</v>
      </c>
      <c r="C2707" s="12">
        <v>3002</v>
      </c>
      <c r="D2707" s="7" t="s">
        <v>4054</v>
      </c>
      <c r="E2707" s="13" t="s">
        <v>3924</v>
      </c>
      <c r="F2707" t="str">
        <f t="shared" si="210"/>
        <v>Strawberry</v>
      </c>
      <c r="G2707" t="str">
        <f t="shared" si="211"/>
        <v>Strawberry3002Pasadena</v>
      </c>
      <c r="H2707" t="s">
        <v>33565</v>
      </c>
      <c r="I2707" t="s">
        <v>24990</v>
      </c>
      <c r="J2707" t="str">
        <f t="shared" si="212"/>
        <v>E:\PropInv\MF</v>
      </c>
      <c r="K2707" s="103" t="str">
        <f>HYPERLINK("E:\PropInv\MF\Pasadena\Strawberry_3002_Belle Chase_Pasadena_03822","Strawberry_3002_Belle Chase_Pasadena_03822" )</f>
        <v>Strawberry_3002_Belle Chase_Pasadena_03822</v>
      </c>
      <c r="L2707" s="104" t="s">
        <v>22253</v>
      </c>
      <c r="M2707" s="103" t="str">
        <f t="shared" si="213"/>
        <v>http://oconnordata.com/mlink/modules/profile/index.cfm?action=profile&amp;prop_id=3822</v>
      </c>
      <c r="N2707" s="1" t="str">
        <f t="shared" si="214"/>
        <v>03822</v>
      </c>
    </row>
    <row r="2708" spans="1:14" x14ac:dyDescent="0.3">
      <c r="A2708" s="1">
        <v>3825</v>
      </c>
      <c r="B2708" s="7" t="s">
        <v>4055</v>
      </c>
      <c r="C2708" s="12" t="s">
        <v>4056</v>
      </c>
      <c r="D2708" s="7" t="s">
        <v>4057</v>
      </c>
      <c r="E2708" s="13" t="s">
        <v>3924</v>
      </c>
      <c r="F2708" t="str">
        <f t="shared" si="210"/>
        <v>Sycamore</v>
      </c>
      <c r="G2708" t="str">
        <f t="shared" si="211"/>
        <v>Sycamore4802-4812Pasadena</v>
      </c>
      <c r="H2708" t="s">
        <v>33566</v>
      </c>
      <c r="I2708" t="s">
        <v>24991</v>
      </c>
      <c r="J2708" t="str">
        <f t="shared" si="212"/>
        <v>E:\PropInv\MF</v>
      </c>
      <c r="K2708" s="103" t="str">
        <f>HYPERLINK("E:\PropInv\MF\Pasadena\Sycamore Ave_4802-4812_Sycamore Gardens_Pasadena_03825","Sycamore Ave_4802-4812_Sycamore Gardens_Pasadena_03825" )</f>
        <v>Sycamore Ave_4802-4812_Sycamore Gardens_Pasadena_03825</v>
      </c>
      <c r="L2708" s="104" t="s">
        <v>22253</v>
      </c>
      <c r="M2708" s="103" t="str">
        <f t="shared" si="213"/>
        <v>http://oconnordata.com/mlink/modules/profile/index.cfm?action=profile&amp;prop_id=3825</v>
      </c>
      <c r="N2708" s="1" t="str">
        <f t="shared" si="214"/>
        <v>03825</v>
      </c>
    </row>
    <row r="2709" spans="1:14" x14ac:dyDescent="0.3">
      <c r="A2709" s="1">
        <v>3829</v>
      </c>
      <c r="B2709" s="7" t="s">
        <v>3989</v>
      </c>
      <c r="C2709" s="12">
        <v>3219</v>
      </c>
      <c r="D2709" s="7" t="s">
        <v>4058</v>
      </c>
      <c r="E2709" s="13" t="s">
        <v>3924</v>
      </c>
      <c r="F2709" t="str">
        <f t="shared" si="210"/>
        <v>Burke</v>
      </c>
      <c r="G2709" t="str">
        <f t="shared" si="211"/>
        <v>Burke3219Pasadena</v>
      </c>
      <c r="H2709" t="s">
        <v>33567</v>
      </c>
      <c r="I2709" t="s">
        <v>24992</v>
      </c>
      <c r="J2709" t="str">
        <f t="shared" si="212"/>
        <v>E:\PropInv\MF</v>
      </c>
      <c r="K2709" s="103" t="str">
        <f>HYPERLINK("E:\PropInv\MF\Pasadena\Burke_3219_Bayshore Towers_Pasadena_03829","Burke_3219_Bayshore Towers_Pasadena_03829" )</f>
        <v>Burke_3219_Bayshore Towers_Pasadena_03829</v>
      </c>
      <c r="L2709" s="104" t="s">
        <v>22253</v>
      </c>
      <c r="M2709" s="103" t="str">
        <f t="shared" si="213"/>
        <v>http://oconnordata.com/mlink/modules/profile/index.cfm?action=profile&amp;prop_id=3829</v>
      </c>
      <c r="N2709" s="1" t="str">
        <f t="shared" si="214"/>
        <v>03829</v>
      </c>
    </row>
    <row r="2710" spans="1:14" x14ac:dyDescent="0.3">
      <c r="A2710" s="1">
        <v>3833</v>
      </c>
      <c r="B2710" s="7" t="s">
        <v>3993</v>
      </c>
      <c r="C2710" s="12">
        <v>6411</v>
      </c>
      <c r="D2710" s="7" t="s">
        <v>4059</v>
      </c>
      <c r="E2710" s="13" t="s">
        <v>3924</v>
      </c>
      <c r="F2710" t="str">
        <f t="shared" si="210"/>
        <v>Spencer</v>
      </c>
      <c r="G2710" t="str">
        <f t="shared" si="211"/>
        <v>Spencer6411Pasadena</v>
      </c>
      <c r="H2710" t="s">
        <v>33568</v>
      </c>
      <c r="I2710" t="s">
        <v>24993</v>
      </c>
      <c r="J2710" t="str">
        <f t="shared" si="212"/>
        <v>E:\PropInv\MF</v>
      </c>
      <c r="K2710" s="103" t="str">
        <f>HYPERLINK("E:\PropInv\MF\Pasadena\Spencer Hwy_6411_Brandywood I_Pasadena_03833","Spencer Hwy_6411_Brandywood I_Pasadena_03833" )</f>
        <v>Spencer Hwy_6411_Brandywood I_Pasadena_03833</v>
      </c>
      <c r="L2710" s="104" t="s">
        <v>22253</v>
      </c>
      <c r="M2710" s="103" t="str">
        <f t="shared" si="213"/>
        <v>http://oconnordata.com/mlink/modules/profile/index.cfm?action=profile&amp;prop_id=3833</v>
      </c>
      <c r="N2710" s="1" t="str">
        <f t="shared" si="214"/>
        <v>03833</v>
      </c>
    </row>
    <row r="2711" spans="1:14" x14ac:dyDescent="0.3">
      <c r="A2711" s="1">
        <v>3834</v>
      </c>
      <c r="B2711" s="7" t="s">
        <v>4060</v>
      </c>
      <c r="C2711" s="12">
        <v>7329</v>
      </c>
      <c r="D2711" s="7" t="s">
        <v>4061</v>
      </c>
      <c r="E2711" s="13" t="s">
        <v>4038</v>
      </c>
      <c r="F2711" t="str">
        <f t="shared" si="210"/>
        <v>Carrie</v>
      </c>
      <c r="G2711" t="str">
        <f t="shared" si="211"/>
        <v>Carrie7329Deer Park</v>
      </c>
      <c r="H2711" t="s">
        <v>33569</v>
      </c>
      <c r="I2711" t="s">
        <v>24994</v>
      </c>
      <c r="J2711" t="str">
        <f t="shared" si="212"/>
        <v>E:\PropInv\MF</v>
      </c>
      <c r="K2711" s="103" t="str">
        <f>HYPERLINK("E:\PropInv\MF\Deer Park\Carrie Ln W_7329_Deer Park Gardens_Deer Park_03834","Carrie Ln W_7329_Deer Park Gardens_Deer Park_03834" )</f>
        <v>Carrie Ln W_7329_Deer Park Gardens_Deer Park_03834</v>
      </c>
      <c r="L2711" s="104" t="s">
        <v>22253</v>
      </c>
      <c r="M2711" s="103" t="str">
        <f t="shared" si="213"/>
        <v>http://oconnordata.com/mlink/modules/profile/index.cfm?action=profile&amp;prop_id=3834</v>
      </c>
      <c r="N2711" s="1" t="str">
        <f t="shared" si="214"/>
        <v>03834</v>
      </c>
    </row>
    <row r="2712" spans="1:14" x14ac:dyDescent="0.3">
      <c r="A2712" s="1">
        <v>3835</v>
      </c>
      <c r="B2712" s="7" t="s">
        <v>4062</v>
      </c>
      <c r="C2712" s="12">
        <v>1238</v>
      </c>
      <c r="D2712" s="7" t="s">
        <v>4063</v>
      </c>
      <c r="E2712" s="13" t="s">
        <v>4038</v>
      </c>
      <c r="F2712" t="str">
        <f t="shared" si="210"/>
        <v>Dutch</v>
      </c>
      <c r="G2712" t="str">
        <f t="shared" si="211"/>
        <v>Dutch1238Deer Park</v>
      </c>
      <c r="H2712" t="s">
        <v>33570</v>
      </c>
      <c r="I2712" t="s">
        <v>24995</v>
      </c>
      <c r="J2712" t="str">
        <f t="shared" si="212"/>
        <v>E:\PropInv\MF</v>
      </c>
      <c r="K2712" s="103" t="str">
        <f>HYPERLINK("E:\PropInv\MF\Deer Park\Dutch #5_1238_Village of Deer Park_Deer Park_03835","Dutch #5_1238_Village of Deer Park_Deer Park_03835" )</f>
        <v>Dutch #5_1238_Village of Deer Park_Deer Park_03835</v>
      </c>
      <c r="L2712" s="104" t="s">
        <v>22253</v>
      </c>
      <c r="M2712" s="103" t="str">
        <f t="shared" si="213"/>
        <v>http://oconnordata.com/mlink/modules/profile/index.cfm?action=profile&amp;prop_id=3835</v>
      </c>
      <c r="N2712" s="1" t="str">
        <f t="shared" si="214"/>
        <v>03835</v>
      </c>
    </row>
    <row r="2713" spans="1:14" x14ac:dyDescent="0.3">
      <c r="A2713" s="1">
        <v>3838</v>
      </c>
      <c r="B2713" s="7" t="s">
        <v>4064</v>
      </c>
      <c r="C2713" s="12">
        <v>223</v>
      </c>
      <c r="D2713" s="7" t="s">
        <v>4065</v>
      </c>
      <c r="E2713" s="13" t="s">
        <v>4038</v>
      </c>
      <c r="F2713" t="str">
        <f t="shared" si="210"/>
        <v>X</v>
      </c>
      <c r="G2713" t="str">
        <f t="shared" si="211"/>
        <v>X223Deer Park</v>
      </c>
      <c r="H2713" t="s">
        <v>33571</v>
      </c>
      <c r="I2713" t="s">
        <v>24996</v>
      </c>
      <c r="J2713" t="str">
        <f t="shared" si="212"/>
        <v>E:\PropInv\MF</v>
      </c>
      <c r="K2713" s="103" t="str">
        <f>HYPERLINK("E:\PropInv\MF\Deer Park\X St E_223_New Castle Town Plaza_Deer Park_03838","X St E_223_New Castle Town Plaza_Deer Park_03838" )</f>
        <v>X St E_223_New Castle Town Plaza_Deer Park_03838</v>
      </c>
      <c r="L2713" s="104" t="s">
        <v>22253</v>
      </c>
      <c r="M2713" s="103" t="str">
        <f t="shared" si="213"/>
        <v>http://oconnordata.com/mlink/modules/profile/index.cfm?action=profile&amp;prop_id=3838</v>
      </c>
      <c r="N2713" s="1" t="str">
        <f t="shared" si="214"/>
        <v>03838</v>
      </c>
    </row>
    <row r="2714" spans="1:14" x14ac:dyDescent="0.3">
      <c r="A2714" s="1">
        <v>3839</v>
      </c>
      <c r="B2714" s="7" t="s">
        <v>4036</v>
      </c>
      <c r="C2714" s="12">
        <v>500</v>
      </c>
      <c r="D2714" s="7" t="s">
        <v>4066</v>
      </c>
      <c r="E2714" s="13" t="s">
        <v>4038</v>
      </c>
      <c r="F2714" t="str">
        <f t="shared" si="210"/>
        <v>Pasadena</v>
      </c>
      <c r="G2714" t="str">
        <f t="shared" si="211"/>
        <v>Pasadena500Deer Park</v>
      </c>
      <c r="H2714" t="s">
        <v>33572</v>
      </c>
      <c r="I2714" t="s">
        <v>24997</v>
      </c>
      <c r="J2714" t="str">
        <f t="shared" si="212"/>
        <v>E:\PropInv\MF</v>
      </c>
      <c r="K2714" s="103" t="str">
        <f>HYPERLINK("E:\PropInv\MF\Deer Park\Pasadena Blvd W_500_Parktown Townhouses I_Deer Park_03839","Pasadena Blvd W_500_Parktown Townhouses I_Deer Park_03839" )</f>
        <v>Pasadena Blvd W_500_Parktown Townhouses I_Deer Park_03839</v>
      </c>
      <c r="L2714" s="104" t="s">
        <v>22253</v>
      </c>
      <c r="M2714" s="103" t="str">
        <f t="shared" si="213"/>
        <v>http://oconnordata.com/mlink/modules/profile/index.cfm?action=profile&amp;prop_id=3839</v>
      </c>
      <c r="N2714" s="1" t="str">
        <f t="shared" si="214"/>
        <v>03839</v>
      </c>
    </row>
    <row r="2715" spans="1:14" x14ac:dyDescent="0.3">
      <c r="A2715" s="1">
        <v>3840</v>
      </c>
      <c r="B2715" s="7" t="s">
        <v>4067</v>
      </c>
      <c r="C2715" s="12">
        <v>401</v>
      </c>
      <c r="D2715" s="7" t="s">
        <v>4068</v>
      </c>
      <c r="E2715" s="13" t="s">
        <v>4038</v>
      </c>
      <c r="F2715" t="str">
        <f t="shared" si="210"/>
        <v>McDermott</v>
      </c>
      <c r="G2715" t="str">
        <f t="shared" si="211"/>
        <v>McDermott401Deer Park</v>
      </c>
      <c r="H2715" t="s">
        <v>33573</v>
      </c>
      <c r="I2715" t="s">
        <v>24998</v>
      </c>
      <c r="J2715" t="str">
        <f t="shared" si="212"/>
        <v>E:\PropInv\MF</v>
      </c>
      <c r="K2715" s="103" t="str">
        <f>HYPERLINK("E:\PropInv\MF\Deer Park\McDermott_401_Deerglen_Deer Park_03840","McDermott_401_Deerglen_Deer Park_03840" )</f>
        <v>McDermott_401_Deerglen_Deer Park_03840</v>
      </c>
      <c r="L2715" s="104" t="s">
        <v>22253</v>
      </c>
      <c r="M2715" s="103" t="str">
        <f t="shared" si="213"/>
        <v>http://oconnordata.com/mlink/modules/profile/index.cfm?action=profile&amp;prop_id=3840</v>
      </c>
      <c r="N2715" s="1" t="str">
        <f t="shared" si="214"/>
        <v>03840</v>
      </c>
    </row>
    <row r="2716" spans="1:14" x14ac:dyDescent="0.3">
      <c r="A2716" s="1">
        <v>3841</v>
      </c>
      <c r="B2716" s="7" t="s">
        <v>4069</v>
      </c>
      <c r="C2716" s="12">
        <v>335</v>
      </c>
      <c r="D2716" s="7" t="s">
        <v>4070</v>
      </c>
      <c r="E2716" s="13" t="s">
        <v>4038</v>
      </c>
      <c r="F2716" t="str">
        <f t="shared" si="210"/>
        <v>San</v>
      </c>
      <c r="G2716" t="str">
        <f t="shared" si="211"/>
        <v>San335Deer Park</v>
      </c>
      <c r="H2716" t="s">
        <v>33574</v>
      </c>
      <c r="I2716" t="s">
        <v>24999</v>
      </c>
      <c r="J2716" t="str">
        <f t="shared" si="212"/>
        <v>E:\PropInv\MF</v>
      </c>
      <c r="K2716" s="103" t="str">
        <f>HYPERLINK("E:\PropInv\MF\Deer Park\San Augustine Ave E_335_Deerwood at the Park_Deer Park_03841","San Augustine Ave E_335_Deerwood at the Park_Deer Park_03841" )</f>
        <v>San Augustine Ave E_335_Deerwood at the Park_Deer Park_03841</v>
      </c>
      <c r="L2716" s="104" t="s">
        <v>22253</v>
      </c>
      <c r="M2716" s="103" t="str">
        <f t="shared" si="213"/>
        <v>http://oconnordata.com/mlink/modules/profile/index.cfm?action=profile&amp;prop_id=3841</v>
      </c>
      <c r="N2716" s="1" t="str">
        <f t="shared" si="214"/>
        <v>03841</v>
      </c>
    </row>
    <row r="2717" spans="1:14" x14ac:dyDescent="0.3">
      <c r="A2717" s="1">
        <v>3843</v>
      </c>
      <c r="B2717" s="7" t="s">
        <v>3993</v>
      </c>
      <c r="C2717" s="12">
        <v>7878</v>
      </c>
      <c r="D2717" s="7" t="s">
        <v>4071</v>
      </c>
      <c r="E2717" s="13" t="s">
        <v>3924</v>
      </c>
      <c r="F2717" t="str">
        <f t="shared" si="210"/>
        <v>Spencer</v>
      </c>
      <c r="G2717" t="str">
        <f t="shared" si="211"/>
        <v>Spencer7878Pasadena</v>
      </c>
      <c r="H2717" t="s">
        <v>33575</v>
      </c>
      <c r="I2717" t="s">
        <v>25000</v>
      </c>
      <c r="J2717" t="str">
        <f t="shared" si="212"/>
        <v>E:\PropInv\MF</v>
      </c>
      <c r="K2717" s="103" t="str">
        <f>HYPERLINK("E:\PropInv\MF\Pasadena\Spencer Hwy_7878_London Belle_Pasadena_03843","Spencer Hwy_7878_London Belle_Pasadena_03843" )</f>
        <v>Spencer Hwy_7878_London Belle_Pasadena_03843</v>
      </c>
      <c r="L2717" s="104" t="s">
        <v>22253</v>
      </c>
      <c r="M2717" s="103" t="str">
        <f t="shared" si="213"/>
        <v>http://oconnordata.com/mlink/modules/profile/index.cfm?action=profile&amp;prop_id=3843</v>
      </c>
      <c r="N2717" s="1" t="str">
        <f t="shared" si="214"/>
        <v>03843</v>
      </c>
    </row>
    <row r="2718" spans="1:14" x14ac:dyDescent="0.3">
      <c r="A2718" s="1">
        <v>3844</v>
      </c>
      <c r="B2718" s="7" t="s">
        <v>3993</v>
      </c>
      <c r="C2718" s="12">
        <v>8015</v>
      </c>
      <c r="D2718" s="7" t="s">
        <v>4072</v>
      </c>
      <c r="E2718" s="13" t="s">
        <v>4038</v>
      </c>
      <c r="F2718" t="str">
        <f t="shared" si="210"/>
        <v>Spencer</v>
      </c>
      <c r="G2718" t="str">
        <f t="shared" si="211"/>
        <v>Spencer8015Deer Park</v>
      </c>
      <c r="H2718" t="s">
        <v>33576</v>
      </c>
      <c r="I2718" t="s">
        <v>25001</v>
      </c>
      <c r="J2718" t="str">
        <f t="shared" si="212"/>
        <v>E:\PropInv\MF</v>
      </c>
      <c r="K2718" s="103" t="str">
        <f>HYPERLINK("E:\PropInv\MF\Deer Park\Spencer Hwy_8015_Savannah Oaks_Deer Park_03844","Spencer Hwy_8015_Savannah Oaks_Deer Park_03844" )</f>
        <v>Spencer Hwy_8015_Savannah Oaks_Deer Park_03844</v>
      </c>
      <c r="L2718" s="104" t="s">
        <v>22253</v>
      </c>
      <c r="M2718" s="103" t="str">
        <f t="shared" si="213"/>
        <v>http://oconnordata.com/mlink/modules/profile/index.cfm?action=profile&amp;prop_id=3844</v>
      </c>
      <c r="N2718" s="1" t="str">
        <f t="shared" si="214"/>
        <v>03844</v>
      </c>
    </row>
    <row r="2719" spans="1:14" x14ac:dyDescent="0.3">
      <c r="A2719" s="1">
        <v>3845</v>
      </c>
      <c r="B2719" s="7" t="s">
        <v>3993</v>
      </c>
      <c r="C2719" s="12">
        <v>9999</v>
      </c>
      <c r="D2719" s="7" t="s">
        <v>4073</v>
      </c>
      <c r="E2719" s="13" t="s">
        <v>4047</v>
      </c>
      <c r="F2719" t="str">
        <f t="shared" si="210"/>
        <v>Spencer</v>
      </c>
      <c r="G2719" t="str">
        <f t="shared" si="211"/>
        <v>Spencer9999La Porte</v>
      </c>
      <c r="H2719" t="s">
        <v>33577</v>
      </c>
      <c r="I2719" t="s">
        <v>25002</v>
      </c>
      <c r="J2719" t="str">
        <f t="shared" si="212"/>
        <v>E:\PropInv\MF</v>
      </c>
      <c r="K2719" s="103" t="str">
        <f>HYPERLINK("E:\PropInv\MF\La Porte\Spencer Hwy_9999_Harbour Bay_La Porte_03845","Spencer Hwy_9999_Harbour Bay_La Porte_03845" )</f>
        <v>Spencer Hwy_9999_Harbour Bay_La Porte_03845</v>
      </c>
      <c r="L2719" s="104" t="s">
        <v>22253</v>
      </c>
      <c r="M2719" s="103" t="str">
        <f t="shared" si="213"/>
        <v>http://oconnordata.com/mlink/modules/profile/index.cfm?action=profile&amp;prop_id=3845</v>
      </c>
      <c r="N2719" s="1" t="str">
        <f t="shared" si="214"/>
        <v>03845</v>
      </c>
    </row>
    <row r="2720" spans="1:14" x14ac:dyDescent="0.3">
      <c r="A2720" s="1">
        <v>3846</v>
      </c>
      <c r="B2720" s="7" t="s">
        <v>4074</v>
      </c>
      <c r="C2720" s="12">
        <v>1200</v>
      </c>
      <c r="D2720" s="7" t="s">
        <v>4075</v>
      </c>
      <c r="E2720" s="13" t="s">
        <v>2609</v>
      </c>
      <c r="F2720" t="str">
        <f t="shared" si="210"/>
        <v>Missouri</v>
      </c>
      <c r="G2720" t="str">
        <f t="shared" si="211"/>
        <v>Missouri1200Baytown</v>
      </c>
      <c r="H2720" t="s">
        <v>33578</v>
      </c>
      <c r="I2720" t="s">
        <v>25003</v>
      </c>
      <c r="J2720" t="str">
        <f t="shared" si="212"/>
        <v>E:\PropInv\MF</v>
      </c>
      <c r="K2720" s="103" t="str">
        <f>HYPERLINK("E:\PropInv\MF\Baytown\Missouri_1200_Marina Club at Baytown_Baytown_03846","Missouri_1200_Marina Club at Baytown_Baytown_03846" )</f>
        <v>Missouri_1200_Marina Club at Baytown_Baytown_03846</v>
      </c>
      <c r="L2720" s="104" t="s">
        <v>22253</v>
      </c>
      <c r="M2720" s="103" t="str">
        <f t="shared" si="213"/>
        <v>http://oconnordata.com/mlink/modules/profile/index.cfm?action=profile&amp;prop_id=3846</v>
      </c>
      <c r="N2720" s="1" t="str">
        <f t="shared" si="214"/>
        <v>03846</v>
      </c>
    </row>
    <row r="2721" spans="1:14" x14ac:dyDescent="0.3">
      <c r="A2721" s="1">
        <v>3847</v>
      </c>
      <c r="B2721" s="7" t="s">
        <v>3993</v>
      </c>
      <c r="C2721" s="12">
        <v>6565</v>
      </c>
      <c r="D2721" s="7" t="s">
        <v>4076</v>
      </c>
      <c r="E2721" s="13" t="s">
        <v>3924</v>
      </c>
      <c r="F2721" t="str">
        <f t="shared" si="210"/>
        <v>Spencer</v>
      </c>
      <c r="G2721" t="str">
        <f t="shared" si="211"/>
        <v>Spencer6565Pasadena</v>
      </c>
      <c r="H2721" t="s">
        <v>33579</v>
      </c>
      <c r="I2721" t="s">
        <v>25004</v>
      </c>
      <c r="J2721" t="str">
        <f t="shared" si="212"/>
        <v>E:\PropInv\MF</v>
      </c>
      <c r="K2721" s="103" t="str">
        <f>HYPERLINK("E:\PropInv\MF\Pasadena\Spencer Hwy_6565_Cinnamon Ridge_Pasadena_03847","Spencer Hwy_6565_Cinnamon Ridge_Pasadena_03847" )</f>
        <v>Spencer Hwy_6565_Cinnamon Ridge_Pasadena_03847</v>
      </c>
      <c r="L2721" s="104" t="s">
        <v>22253</v>
      </c>
      <c r="M2721" s="103" t="str">
        <f t="shared" si="213"/>
        <v>http://oconnordata.com/mlink/modules/profile/index.cfm?action=profile&amp;prop_id=3847</v>
      </c>
      <c r="N2721" s="1" t="str">
        <f t="shared" si="214"/>
        <v>03847</v>
      </c>
    </row>
    <row r="2722" spans="1:14" x14ac:dyDescent="0.3">
      <c r="A2722" s="1">
        <v>3848</v>
      </c>
      <c r="B2722" s="7" t="s">
        <v>3993</v>
      </c>
      <c r="C2722" s="12">
        <v>7201</v>
      </c>
      <c r="D2722" s="7" t="s">
        <v>4077</v>
      </c>
      <c r="E2722" s="13" t="s">
        <v>3924</v>
      </c>
      <c r="F2722" t="str">
        <f t="shared" si="210"/>
        <v>Spencer</v>
      </c>
      <c r="G2722" t="str">
        <f t="shared" si="211"/>
        <v>Spencer7201Pasadena</v>
      </c>
      <c r="H2722" t="s">
        <v>33580</v>
      </c>
      <c r="I2722" t="s">
        <v>25005</v>
      </c>
      <c r="J2722" t="str">
        <f t="shared" si="212"/>
        <v>E:\PropInv\MF</v>
      </c>
      <c r="K2722" s="103" t="str">
        <f>HYPERLINK("E:\PropInv\MF\Pasadena\Spencer Hwy_7201_Deer Park Village_Pasadena_03848","Spencer Hwy_7201_Deer Park Village_Pasadena_03848" )</f>
        <v>Spencer Hwy_7201_Deer Park Village_Pasadena_03848</v>
      </c>
      <c r="L2722" s="104" t="s">
        <v>22253</v>
      </c>
      <c r="M2722" s="103" t="str">
        <f t="shared" si="213"/>
        <v>http://oconnordata.com/mlink/modules/profile/index.cfm?action=profile&amp;prop_id=3848</v>
      </c>
      <c r="N2722" s="1" t="str">
        <f t="shared" si="214"/>
        <v>03848</v>
      </c>
    </row>
    <row r="2723" spans="1:14" x14ac:dyDescent="0.3">
      <c r="A2723" s="1">
        <v>3851</v>
      </c>
      <c r="B2723" s="7" t="s">
        <v>4078</v>
      </c>
      <c r="C2723" s="12">
        <v>7700</v>
      </c>
      <c r="D2723" s="7" t="s">
        <v>4079</v>
      </c>
      <c r="E2723" s="13" t="s">
        <v>1657</v>
      </c>
      <c r="F2723" t="str">
        <f t="shared" si="210"/>
        <v>Airport</v>
      </c>
      <c r="G2723" t="str">
        <f t="shared" si="211"/>
        <v>Airport7700Houston</v>
      </c>
      <c r="H2723" t="s">
        <v>33581</v>
      </c>
      <c r="I2723" t="s">
        <v>25006</v>
      </c>
      <c r="J2723" t="str">
        <f t="shared" si="212"/>
        <v>E:\PropInv\MF</v>
      </c>
      <c r="K2723" s="103" t="str">
        <f>HYPERLINK("E:\PropInv\MF\Houston\Airport W_7700_Airport Gardens_Houston_03851","Airport W_7700_Airport Gardens_Houston_03851" )</f>
        <v>Airport W_7700_Airport Gardens_Houston_03851</v>
      </c>
      <c r="L2723" s="104" t="s">
        <v>22253</v>
      </c>
      <c r="M2723" s="103" t="str">
        <f t="shared" si="213"/>
        <v>http://oconnordata.com/mlink/modules/profile/index.cfm?action=profile&amp;prop_id=3851</v>
      </c>
      <c r="N2723" s="1" t="str">
        <f t="shared" si="214"/>
        <v>03851</v>
      </c>
    </row>
    <row r="2724" spans="1:14" x14ac:dyDescent="0.3">
      <c r="A2724" s="1">
        <v>3852</v>
      </c>
      <c r="B2724" s="7" t="s">
        <v>4032</v>
      </c>
      <c r="C2724" s="12">
        <v>7800</v>
      </c>
      <c r="D2724" s="7" t="s">
        <v>4080</v>
      </c>
      <c r="E2724" s="13" t="s">
        <v>1657</v>
      </c>
      <c r="F2724" t="str">
        <f t="shared" si="210"/>
        <v>Airport</v>
      </c>
      <c r="G2724" t="str">
        <f t="shared" si="211"/>
        <v>Airport7800Houston</v>
      </c>
      <c r="H2724" t="s">
        <v>33582</v>
      </c>
      <c r="I2724" t="s">
        <v>25007</v>
      </c>
      <c r="J2724" t="str">
        <f t="shared" si="212"/>
        <v>E:\PropInv\MF</v>
      </c>
      <c r="K2724" s="103" t="str">
        <f>HYPERLINK("E:\PropInv\MF\Houston\Airport Blvd W_7800_Amritta_Houston_03852","Airport Blvd W_7800_Amritta_Houston_03852" )</f>
        <v>Airport Blvd W_7800_Amritta_Houston_03852</v>
      </c>
      <c r="L2724" s="104" t="s">
        <v>22253</v>
      </c>
      <c r="M2724" s="103" t="str">
        <f t="shared" si="213"/>
        <v>http://oconnordata.com/mlink/modules/profile/index.cfm?action=profile&amp;prop_id=3852</v>
      </c>
      <c r="N2724" s="1" t="str">
        <f t="shared" si="214"/>
        <v>03852</v>
      </c>
    </row>
    <row r="2725" spans="1:14" x14ac:dyDescent="0.3">
      <c r="A2725" s="1">
        <v>3854</v>
      </c>
      <c r="B2725" s="7" t="s">
        <v>4081</v>
      </c>
      <c r="C2725" s="12">
        <v>6300</v>
      </c>
      <c r="D2725" s="7" t="s">
        <v>4082</v>
      </c>
      <c r="E2725" s="13" t="s">
        <v>1657</v>
      </c>
      <c r="F2725" t="str">
        <f t="shared" si="210"/>
        <v>Bellfort</v>
      </c>
      <c r="G2725" t="str">
        <f t="shared" si="211"/>
        <v>Bellfort6300Houston</v>
      </c>
      <c r="H2725" t="s">
        <v>33583</v>
      </c>
      <c r="I2725" t="s">
        <v>25008</v>
      </c>
      <c r="J2725" t="str">
        <f t="shared" si="212"/>
        <v>E:\PropInv\MF</v>
      </c>
      <c r="K2725" s="103" t="str">
        <f>HYPERLINK("E:\PropInv\MF\Houston\Bellfort St W_6300_Bennington Square_Houston_03854","Bellfort St W_6300_Bennington Square_Houston_03854" )</f>
        <v>Bellfort St W_6300_Bennington Square_Houston_03854</v>
      </c>
      <c r="L2725" s="104" t="s">
        <v>22253</v>
      </c>
      <c r="M2725" s="103" t="str">
        <f t="shared" si="213"/>
        <v>http://oconnordata.com/mlink/modules/profile/index.cfm?action=profile&amp;prop_id=3854</v>
      </c>
      <c r="N2725" s="1" t="str">
        <f t="shared" si="214"/>
        <v>03854</v>
      </c>
    </row>
    <row r="2726" spans="1:14" x14ac:dyDescent="0.3">
      <c r="A2726" s="1">
        <v>3855</v>
      </c>
      <c r="B2726" s="7" t="s">
        <v>3425</v>
      </c>
      <c r="C2726" s="12">
        <v>6301</v>
      </c>
      <c r="D2726" s="7" t="s">
        <v>498</v>
      </c>
      <c r="E2726" s="13" t="s">
        <v>1657</v>
      </c>
      <c r="F2726" t="str">
        <f t="shared" si="210"/>
        <v>Bellfort</v>
      </c>
      <c r="G2726" t="str">
        <f t="shared" si="211"/>
        <v>Bellfort6301Houston</v>
      </c>
      <c r="H2726" t="s">
        <v>33584</v>
      </c>
      <c r="I2726" t="s">
        <v>25009</v>
      </c>
      <c r="J2726" t="str">
        <f t="shared" si="212"/>
        <v>E:\PropInv\MF</v>
      </c>
      <c r="K2726" s="103" t="str">
        <f>HYPERLINK("E:\PropInv\MF\Houston\Bellfort W_6301_San Marcos_Houston_03855","Bellfort W_6301_San Marcos_Houston_03855" )</f>
        <v>Bellfort W_6301_San Marcos_Houston_03855</v>
      </c>
      <c r="L2726" s="104" t="s">
        <v>22253</v>
      </c>
      <c r="M2726" s="103" t="str">
        <f t="shared" si="213"/>
        <v>http://oconnordata.com/mlink/modules/profile/index.cfm?action=profile&amp;prop_id=3855</v>
      </c>
      <c r="N2726" s="1" t="str">
        <f t="shared" si="214"/>
        <v>03855</v>
      </c>
    </row>
    <row r="2727" spans="1:14" x14ac:dyDescent="0.3">
      <c r="A2727" s="1">
        <v>3856</v>
      </c>
      <c r="B2727" s="7" t="s">
        <v>4083</v>
      </c>
      <c r="C2727" s="12">
        <v>301</v>
      </c>
      <c r="D2727" s="7" t="s">
        <v>4084</v>
      </c>
      <c r="E2727" s="13" t="s">
        <v>2609</v>
      </c>
      <c r="F2727" t="str">
        <f t="shared" si="210"/>
        <v>Tri</v>
      </c>
      <c r="G2727" t="str">
        <f t="shared" si="211"/>
        <v>Tri301Baytown</v>
      </c>
      <c r="H2727" t="s">
        <v>33585</v>
      </c>
      <c r="I2727" t="s">
        <v>25010</v>
      </c>
      <c r="J2727" t="str">
        <f t="shared" si="212"/>
        <v>E:\PropInv\MF</v>
      </c>
      <c r="K2727" s="103" t="str">
        <f>HYPERLINK("E:\PropInv\MF\Baytown\Tri City Beach Rd_301_Forest View Apts_Baytown_03856","Tri City Beach Rd_301_Forest View Apts_Baytown_03856" )</f>
        <v>Tri City Beach Rd_301_Forest View Apts_Baytown_03856</v>
      </c>
      <c r="L2727" s="104" t="s">
        <v>22253</v>
      </c>
      <c r="M2727" s="103" t="str">
        <f t="shared" si="213"/>
        <v>http://oconnordata.com/mlink/modules/profile/index.cfm?action=profile&amp;prop_id=3856</v>
      </c>
      <c r="N2727" s="1" t="str">
        <f t="shared" si="214"/>
        <v>03856</v>
      </c>
    </row>
    <row r="2728" spans="1:14" x14ac:dyDescent="0.3">
      <c r="A2728" s="1">
        <v>3857</v>
      </c>
      <c r="B2728" s="7" t="s">
        <v>4085</v>
      </c>
      <c r="C2728" s="12">
        <v>1300</v>
      </c>
      <c r="D2728" s="7" t="s">
        <v>4086</v>
      </c>
      <c r="E2728" s="13" t="s">
        <v>2609</v>
      </c>
      <c r="F2728" t="str">
        <f t="shared" si="210"/>
        <v>James</v>
      </c>
      <c r="G2728" t="str">
        <f t="shared" si="211"/>
        <v>James1300Baytown</v>
      </c>
      <c r="H2728" t="s">
        <v>33586</v>
      </c>
      <c r="I2728" t="s">
        <v>25011</v>
      </c>
      <c r="J2728" t="str">
        <f t="shared" si="212"/>
        <v>E:\PropInv\MF</v>
      </c>
      <c r="K2728" s="103" t="str">
        <f>HYPERLINK("E:\PropInv\MF\Baytown\James E_1300_Baywood_Baytown_03857","James E_1300_Baywood_Baytown_03857" )</f>
        <v>James E_1300_Baywood_Baytown_03857</v>
      </c>
      <c r="L2728" s="104" t="s">
        <v>22253</v>
      </c>
      <c r="M2728" s="103" t="str">
        <f t="shared" si="213"/>
        <v>http://oconnordata.com/mlink/modules/profile/index.cfm?action=profile&amp;prop_id=3857</v>
      </c>
      <c r="N2728" s="1" t="str">
        <f t="shared" si="214"/>
        <v>03857</v>
      </c>
    </row>
    <row r="2729" spans="1:14" x14ac:dyDescent="0.3">
      <c r="A2729" s="1">
        <v>3858</v>
      </c>
      <c r="B2729" s="7" t="s">
        <v>4087</v>
      </c>
      <c r="C2729" s="12">
        <v>2500</v>
      </c>
      <c r="D2729" s="7" t="s">
        <v>4088</v>
      </c>
      <c r="E2729" s="13" t="s">
        <v>2609</v>
      </c>
      <c r="F2729" t="str">
        <f t="shared" si="210"/>
        <v>James</v>
      </c>
      <c r="G2729" t="str">
        <f t="shared" si="211"/>
        <v>James2500Baytown</v>
      </c>
      <c r="H2729" t="s">
        <v>33587</v>
      </c>
      <c r="I2729" t="s">
        <v>25012</v>
      </c>
      <c r="J2729" t="str">
        <f t="shared" si="212"/>
        <v>E:\PropInv\MF</v>
      </c>
      <c r="K2729" s="103" t="str">
        <f>HYPERLINK("E:\PropInv\MF\Baytown\James St E_2500_The Place at 2500 James_Baytown_03858","James St E_2500_The Place at 2500 James_Baytown_03858" )</f>
        <v>James St E_2500_The Place at 2500 James_Baytown_03858</v>
      </c>
      <c r="L2729" s="104" t="s">
        <v>22253</v>
      </c>
      <c r="M2729" s="103" t="str">
        <f t="shared" si="213"/>
        <v>http://oconnordata.com/mlink/modules/profile/index.cfm?action=profile&amp;prop_id=3858</v>
      </c>
      <c r="N2729" s="1" t="str">
        <f t="shared" si="214"/>
        <v>03858</v>
      </c>
    </row>
    <row r="2730" spans="1:14" x14ac:dyDescent="0.3">
      <c r="A2730" s="1">
        <v>3859</v>
      </c>
      <c r="B2730" s="7" t="s">
        <v>3425</v>
      </c>
      <c r="C2730" s="12">
        <v>10200</v>
      </c>
      <c r="D2730" s="7" t="s">
        <v>4089</v>
      </c>
      <c r="E2730" s="13" t="s">
        <v>1657</v>
      </c>
      <c r="F2730" t="str">
        <f t="shared" si="210"/>
        <v>Bellfort</v>
      </c>
      <c r="G2730" t="str">
        <f t="shared" si="211"/>
        <v>Bellfort10200Houston</v>
      </c>
      <c r="H2730" t="s">
        <v>33588</v>
      </c>
      <c r="I2730" t="s">
        <v>25013</v>
      </c>
      <c r="J2730" t="str">
        <f t="shared" si="212"/>
        <v>E:\PropInv\MF</v>
      </c>
      <c r="K2730" s="103" t="str">
        <f>HYPERLINK("E:\PropInv\MF\Houston\Bellfort W_10200_Southwest Terrace_Houston_03859","Bellfort W_10200_Southwest Terrace_Houston_03859" )</f>
        <v>Bellfort W_10200_Southwest Terrace_Houston_03859</v>
      </c>
      <c r="L2730" s="104" t="s">
        <v>22253</v>
      </c>
      <c r="M2730" s="103" t="str">
        <f t="shared" si="213"/>
        <v>http://oconnordata.com/mlink/modules/profile/index.cfm?action=profile&amp;prop_id=3859</v>
      </c>
      <c r="N2730" s="1" t="str">
        <f t="shared" si="214"/>
        <v>03859</v>
      </c>
    </row>
    <row r="2731" spans="1:14" x14ac:dyDescent="0.3">
      <c r="A2731" s="1">
        <v>3860</v>
      </c>
      <c r="B2731" s="7" t="s">
        <v>4090</v>
      </c>
      <c r="C2731" s="12">
        <v>11500</v>
      </c>
      <c r="D2731" s="7" t="s">
        <v>4091</v>
      </c>
      <c r="E2731" s="13" t="s">
        <v>1657</v>
      </c>
      <c r="F2731" t="str">
        <f t="shared" si="210"/>
        <v>Keegans</v>
      </c>
      <c r="G2731" t="str">
        <f t="shared" si="211"/>
        <v>Keegans11500Houston</v>
      </c>
      <c r="H2731" t="s">
        <v>33589</v>
      </c>
      <c r="I2731" t="s">
        <v>25014</v>
      </c>
      <c r="J2731" t="str">
        <f t="shared" si="212"/>
        <v>E:\PropInv\MF</v>
      </c>
      <c r="K2731" s="103" t="str">
        <f>HYPERLINK("E:\PropInv\MF\Houston\Keegans Ridge Rd_11500_Keegan's Mill_Houston_03860","Keegans Ridge Rd_11500_Keegan's Mill_Houston_03860" )</f>
        <v>Keegans Ridge Rd_11500_Keegan's Mill_Houston_03860</v>
      </c>
      <c r="L2731" s="104" t="s">
        <v>22253</v>
      </c>
      <c r="M2731" s="103" t="str">
        <f t="shared" si="213"/>
        <v>http://oconnordata.com/mlink/modules/profile/index.cfm?action=profile&amp;prop_id=3860</v>
      </c>
      <c r="N2731" s="1" t="str">
        <f t="shared" si="214"/>
        <v>03860</v>
      </c>
    </row>
    <row r="2732" spans="1:14" x14ac:dyDescent="0.3">
      <c r="A2732" s="1">
        <v>3861</v>
      </c>
      <c r="B2732" s="7" t="s">
        <v>4081</v>
      </c>
      <c r="C2732" s="12">
        <v>8201</v>
      </c>
      <c r="D2732" s="7" t="s">
        <v>4092</v>
      </c>
      <c r="E2732" s="13" t="s">
        <v>1657</v>
      </c>
      <c r="F2732" t="str">
        <f t="shared" si="210"/>
        <v>Bellfort</v>
      </c>
      <c r="G2732" t="str">
        <f t="shared" si="211"/>
        <v>Bellfort8201Houston</v>
      </c>
      <c r="H2732" t="s">
        <v>33590</v>
      </c>
      <c r="I2732" t="s">
        <v>25015</v>
      </c>
      <c r="J2732" t="str">
        <f t="shared" si="212"/>
        <v>E:\PropInv\MF</v>
      </c>
      <c r="K2732" s="103" t="str">
        <f>HYPERLINK("E:\PropInv\MF\Houston\Bellfort St W_8201_Brays Oaks Village_Houston_03861","Bellfort St W_8201_Brays Oaks Village_Houston_03861" )</f>
        <v>Bellfort St W_8201_Brays Oaks Village_Houston_03861</v>
      </c>
      <c r="L2732" s="104" t="s">
        <v>22253</v>
      </c>
      <c r="M2732" s="103" t="str">
        <f t="shared" si="213"/>
        <v>http://oconnordata.com/mlink/modules/profile/index.cfm?action=profile&amp;prop_id=3861</v>
      </c>
      <c r="N2732" s="1" t="str">
        <f t="shared" si="214"/>
        <v>03861</v>
      </c>
    </row>
    <row r="2733" spans="1:14" x14ac:dyDescent="0.3">
      <c r="A2733" s="1">
        <v>3862</v>
      </c>
      <c r="B2733" s="7" t="s">
        <v>4093</v>
      </c>
      <c r="C2733" s="12">
        <v>8800</v>
      </c>
      <c r="D2733" s="7" t="s">
        <v>4094</v>
      </c>
      <c r="E2733" s="13" t="s">
        <v>1657</v>
      </c>
      <c r="F2733" t="str">
        <f t="shared" si="210"/>
        <v>Westplace</v>
      </c>
      <c r="G2733" t="str">
        <f t="shared" si="211"/>
        <v>Westplace8800Houston</v>
      </c>
      <c r="H2733" t="s">
        <v>33591</v>
      </c>
      <c r="I2733" t="s">
        <v>25016</v>
      </c>
      <c r="J2733" t="str">
        <f t="shared" si="212"/>
        <v>E:\PropInv\MF</v>
      </c>
      <c r="K2733" s="103" t="str">
        <f>HYPERLINK("E:\PropInv\MF\Houston\Westplace Dr_8800_Chelsea Town Condos_Houston_03862","Westplace Dr_8800_Chelsea Town Condos_Houston_03862" )</f>
        <v>Westplace Dr_8800_Chelsea Town Condos_Houston_03862</v>
      </c>
      <c r="L2733" s="104" t="s">
        <v>22253</v>
      </c>
      <c r="M2733" s="103" t="str">
        <f t="shared" si="213"/>
        <v>http://oconnordata.com/mlink/modules/profile/index.cfm?action=profile&amp;prop_id=3862</v>
      </c>
      <c r="N2733" s="1" t="str">
        <f t="shared" si="214"/>
        <v>03862</v>
      </c>
    </row>
    <row r="2734" spans="1:14" x14ac:dyDescent="0.3">
      <c r="A2734" s="1">
        <v>3863</v>
      </c>
      <c r="B2734" s="7" t="s">
        <v>3425</v>
      </c>
      <c r="C2734" s="12">
        <v>6400</v>
      </c>
      <c r="D2734" s="7" t="s">
        <v>4095</v>
      </c>
      <c r="E2734" s="13" t="s">
        <v>1657</v>
      </c>
      <c r="F2734" t="str">
        <f t="shared" si="210"/>
        <v>Bellfort</v>
      </c>
      <c r="G2734" t="str">
        <f t="shared" si="211"/>
        <v>Bellfort6400Houston</v>
      </c>
      <c r="H2734" t="s">
        <v>33592</v>
      </c>
      <c r="I2734" t="s">
        <v>25017</v>
      </c>
      <c r="J2734" t="str">
        <f t="shared" si="212"/>
        <v>E:\PropInv\MF</v>
      </c>
      <c r="K2734" s="103" t="str">
        <f>HYPERLINK("E:\PropInv\MF\Houston\Bellfort W_6400_Brays Oaks Park Apts_Houston_03863","Bellfort W_6400_Brays Oaks Park Apts_Houston_03863" )</f>
        <v>Bellfort W_6400_Brays Oaks Park Apts_Houston_03863</v>
      </c>
      <c r="L2734" s="104" t="s">
        <v>22253</v>
      </c>
      <c r="M2734" s="103" t="str">
        <f t="shared" si="213"/>
        <v>http://oconnordata.com/mlink/modules/profile/index.cfm?action=profile&amp;prop_id=3863</v>
      </c>
      <c r="N2734" s="1" t="str">
        <f t="shared" si="214"/>
        <v>03863</v>
      </c>
    </row>
    <row r="2735" spans="1:14" x14ac:dyDescent="0.3">
      <c r="A2735" s="1">
        <v>3864</v>
      </c>
      <c r="B2735" s="7" t="s">
        <v>3425</v>
      </c>
      <c r="C2735" s="12">
        <v>6405</v>
      </c>
      <c r="D2735" s="7" t="s">
        <v>4096</v>
      </c>
      <c r="E2735" s="13" t="s">
        <v>1657</v>
      </c>
      <c r="F2735" t="str">
        <f t="shared" si="210"/>
        <v>Bellfort</v>
      </c>
      <c r="G2735" t="str">
        <f t="shared" si="211"/>
        <v>Bellfort6405Houston</v>
      </c>
      <c r="H2735" t="s">
        <v>33593</v>
      </c>
      <c r="I2735" t="s">
        <v>25018</v>
      </c>
      <c r="J2735" t="str">
        <f t="shared" si="212"/>
        <v>E:\PropInv\MF</v>
      </c>
      <c r="K2735" s="103" t="str">
        <f>HYPERLINK("E:\PropInv\MF\Houston\Bellfort W_6405_Bellfort Village_Houston_03864","Bellfort W_6405_Bellfort Village_Houston_03864" )</f>
        <v>Bellfort W_6405_Bellfort Village_Houston_03864</v>
      </c>
      <c r="L2735" s="104" t="s">
        <v>22253</v>
      </c>
      <c r="M2735" s="103" t="str">
        <f t="shared" si="213"/>
        <v>http://oconnordata.com/mlink/modules/profile/index.cfm?action=profile&amp;prop_id=3864</v>
      </c>
      <c r="N2735" s="1" t="str">
        <f t="shared" si="214"/>
        <v>03864</v>
      </c>
    </row>
    <row r="2736" spans="1:14" x14ac:dyDescent="0.3">
      <c r="A2736" s="1">
        <v>3866</v>
      </c>
      <c r="B2736" s="7" t="s">
        <v>4097</v>
      </c>
      <c r="C2736" s="12">
        <v>11810</v>
      </c>
      <c r="D2736" s="7" t="s">
        <v>4098</v>
      </c>
      <c r="E2736" s="13" t="s">
        <v>1657</v>
      </c>
      <c r="F2736" t="str">
        <f t="shared" si="210"/>
        <v>Chimney</v>
      </c>
      <c r="G2736" t="str">
        <f t="shared" si="211"/>
        <v>Chimney11810Houston</v>
      </c>
      <c r="H2736" t="s">
        <v>33594</v>
      </c>
      <c r="I2736" t="s">
        <v>25019</v>
      </c>
      <c r="J2736" t="str">
        <f t="shared" si="212"/>
        <v>E:\PropInv\MF</v>
      </c>
      <c r="K2736" s="103" t="str">
        <f>HYPERLINK("E:\PropInv\MF\Houston\Chimney Rock Rd_11810_Spring Village_Houston_03866","Chimney Rock Rd_11810_Spring Village_Houston_03866" )</f>
        <v>Chimney Rock Rd_11810_Spring Village_Houston_03866</v>
      </c>
      <c r="L2736" s="104" t="s">
        <v>22253</v>
      </c>
      <c r="M2736" s="103" t="str">
        <f t="shared" si="213"/>
        <v>http://oconnordata.com/mlink/modules/profile/index.cfm?action=profile&amp;prop_id=3866</v>
      </c>
      <c r="N2736" s="1" t="str">
        <f t="shared" si="214"/>
        <v>03866</v>
      </c>
    </row>
    <row r="2737" spans="1:14" x14ac:dyDescent="0.3">
      <c r="A2737" s="1">
        <v>3868</v>
      </c>
      <c r="B2737" s="7" t="s">
        <v>4099</v>
      </c>
      <c r="C2737" s="12">
        <v>6298</v>
      </c>
      <c r="D2737" s="7" t="s">
        <v>4100</v>
      </c>
      <c r="E2737" s="13" t="s">
        <v>1657</v>
      </c>
      <c r="F2737" t="str">
        <f t="shared" si="210"/>
        <v>Ludington</v>
      </c>
      <c r="G2737" t="str">
        <f t="shared" si="211"/>
        <v>Ludington6298Houston</v>
      </c>
      <c r="H2737" t="s">
        <v>33595</v>
      </c>
      <c r="I2737" t="s">
        <v>25020</v>
      </c>
      <c r="J2737" t="str">
        <f t="shared" si="212"/>
        <v>E:\PropInv\MF</v>
      </c>
      <c r="K2737" s="103" t="str">
        <f>HYPERLINK("E:\PropInv\MF\Houston\Ludington #3_6298_Arbor Village TH_Houston_03868","Ludington #3_6298_Arbor Village TH_Houston_03868" )</f>
        <v>Ludington #3_6298_Arbor Village TH_Houston_03868</v>
      </c>
      <c r="L2737" s="104" t="s">
        <v>22253</v>
      </c>
      <c r="M2737" s="103" t="str">
        <f t="shared" si="213"/>
        <v>http://oconnordata.com/mlink/modules/profile/index.cfm?action=profile&amp;prop_id=3868</v>
      </c>
      <c r="N2737" s="1" t="str">
        <f t="shared" si="214"/>
        <v>03868</v>
      </c>
    </row>
    <row r="2738" spans="1:14" x14ac:dyDescent="0.3">
      <c r="A2738" s="1">
        <v>3870</v>
      </c>
      <c r="B2738" s="7" t="s">
        <v>3525</v>
      </c>
      <c r="C2738" s="12">
        <v>11315</v>
      </c>
      <c r="D2738" s="7" t="s">
        <v>4101</v>
      </c>
      <c r="E2738" s="13" t="s">
        <v>1657</v>
      </c>
      <c r="F2738" t="str">
        <f t="shared" si="210"/>
        <v>Fondren</v>
      </c>
      <c r="G2738" t="str">
        <f t="shared" si="211"/>
        <v>Fondren11315Houston</v>
      </c>
      <c r="H2738" t="s">
        <v>33596</v>
      </c>
      <c r="I2738" t="s">
        <v>25021</v>
      </c>
      <c r="J2738" t="str">
        <f t="shared" si="212"/>
        <v>E:\PropInv\MF</v>
      </c>
      <c r="K2738" s="103" t="str">
        <f>HYPERLINK("E:\PropInv\MF\Houston\Fondren Rd_11315_Los Arcos_Houston_03870","Fondren Rd_11315_Los Arcos_Houston_03870" )</f>
        <v>Fondren Rd_11315_Los Arcos_Houston_03870</v>
      </c>
      <c r="L2738" s="104" t="s">
        <v>22253</v>
      </c>
      <c r="M2738" s="103" t="str">
        <f t="shared" si="213"/>
        <v>http://oconnordata.com/mlink/modules/profile/index.cfm?action=profile&amp;prop_id=3870</v>
      </c>
      <c r="N2738" s="1" t="str">
        <f t="shared" si="214"/>
        <v>03870</v>
      </c>
    </row>
    <row r="2739" spans="1:14" x14ac:dyDescent="0.3">
      <c r="A2739" s="1">
        <v>3871</v>
      </c>
      <c r="B2739" s="7" t="s">
        <v>4102</v>
      </c>
      <c r="C2739" s="12">
        <v>14550</v>
      </c>
      <c r="D2739" s="7" t="s">
        <v>4103</v>
      </c>
      <c r="E2739" s="13" t="s">
        <v>3924</v>
      </c>
      <c r="F2739" t="str">
        <f t="shared" si="210"/>
        <v>Fonmeadow</v>
      </c>
      <c r="G2739" t="str">
        <f t="shared" si="211"/>
        <v>Fonmeadow14550Pasadena</v>
      </c>
      <c r="H2739" t="s">
        <v>33597</v>
      </c>
      <c r="I2739" t="s">
        <v>25022</v>
      </c>
      <c r="J2739" t="str">
        <f t="shared" si="212"/>
        <v>E:\PropInv\MF</v>
      </c>
      <c r="K2739" s="103" t="str">
        <f>HYPERLINK("E:\PropInv\MF\Pasadena\Fonmeadow_14550_Camden Court_Pasadena_03871","Fonmeadow_14550_Camden Court_Pasadena_03871" )</f>
        <v>Fonmeadow_14550_Camden Court_Pasadena_03871</v>
      </c>
      <c r="L2739" s="104" t="s">
        <v>22253</v>
      </c>
      <c r="M2739" s="103" t="str">
        <f t="shared" si="213"/>
        <v>http://oconnordata.com/mlink/modules/profile/index.cfm?action=profile&amp;prop_id=3871</v>
      </c>
      <c r="N2739" s="1" t="str">
        <f t="shared" si="214"/>
        <v>03871</v>
      </c>
    </row>
    <row r="2740" spans="1:14" x14ac:dyDescent="0.3">
      <c r="A2740" s="1">
        <v>3872</v>
      </c>
      <c r="B2740" s="7" t="s">
        <v>4104</v>
      </c>
      <c r="C2740" s="12">
        <v>14600</v>
      </c>
      <c r="D2740" s="7" t="s">
        <v>4105</v>
      </c>
      <c r="E2740" s="13" t="s">
        <v>1657</v>
      </c>
      <c r="F2740" t="str">
        <f t="shared" si="210"/>
        <v>Fonmeadow</v>
      </c>
      <c r="G2740" t="str">
        <f t="shared" si="211"/>
        <v>Fonmeadow14600Houston</v>
      </c>
      <c r="H2740" t="s">
        <v>33598</v>
      </c>
      <c r="I2740" t="s">
        <v>25023</v>
      </c>
      <c r="J2740" t="str">
        <f t="shared" si="212"/>
        <v>E:\PropInv\MF</v>
      </c>
      <c r="K2740" s="103" t="str">
        <f>HYPERLINK("E:\PropInv\MF\Houston\Fonmeadow Dr_14600_Remington Place Condo Apts_Houston_03872","Fonmeadow Dr_14600_Remington Place Condo Apts_Houston_03872" )</f>
        <v>Fonmeadow Dr_14600_Remington Place Condo Apts_Houston_03872</v>
      </c>
      <c r="L2740" s="104" t="s">
        <v>22253</v>
      </c>
      <c r="M2740" s="103" t="str">
        <f t="shared" si="213"/>
        <v>http://oconnordata.com/mlink/modules/profile/index.cfm?action=profile&amp;prop_id=3872</v>
      </c>
      <c r="N2740" s="1" t="str">
        <f t="shared" si="214"/>
        <v>03872</v>
      </c>
    </row>
    <row r="2741" spans="1:14" x14ac:dyDescent="0.3">
      <c r="A2741" s="1">
        <v>3874</v>
      </c>
      <c r="B2741" s="7" t="s">
        <v>4106</v>
      </c>
      <c r="C2741" s="12">
        <v>4000</v>
      </c>
      <c r="D2741" s="7" t="s">
        <v>4107</v>
      </c>
      <c r="E2741" s="13" t="s">
        <v>1657</v>
      </c>
      <c r="F2741" t="str">
        <f t="shared" si="210"/>
        <v>Wilmington</v>
      </c>
      <c r="G2741" t="str">
        <f t="shared" si="211"/>
        <v>Wilmington4000Houston</v>
      </c>
      <c r="H2741" t="s">
        <v>33599</v>
      </c>
      <c r="I2741" t="s">
        <v>25024</v>
      </c>
      <c r="J2741" t="str">
        <f t="shared" si="212"/>
        <v>E:\PropInv\MF</v>
      </c>
      <c r="K2741" s="103" t="str">
        <f>HYPERLINK("E:\PropInv\MF\Houston\Wilmington_4000_Wilmington House Apts_Houston_03874","Wilmington_4000_Wilmington House Apts_Houston_03874" )</f>
        <v>Wilmington_4000_Wilmington House Apts_Houston_03874</v>
      </c>
      <c r="L2741" s="104" t="s">
        <v>22253</v>
      </c>
      <c r="M2741" s="103" t="str">
        <f t="shared" si="213"/>
        <v>http://oconnordata.com/mlink/modules/profile/index.cfm?action=profile&amp;prop_id=3874</v>
      </c>
      <c r="N2741" s="1" t="str">
        <f t="shared" si="214"/>
        <v>03874</v>
      </c>
    </row>
    <row r="2742" spans="1:14" x14ac:dyDescent="0.3">
      <c r="A2742" s="1">
        <v>3875</v>
      </c>
      <c r="B2742" s="7" t="s">
        <v>4108</v>
      </c>
      <c r="C2742" s="12">
        <v>10200</v>
      </c>
      <c r="D2742" s="7" t="s">
        <v>4109</v>
      </c>
      <c r="E2742" s="13" t="s">
        <v>1657</v>
      </c>
      <c r="F2742" t="str">
        <f t="shared" si="210"/>
        <v>Scott</v>
      </c>
      <c r="G2742" t="str">
        <f t="shared" si="211"/>
        <v>Scott10200Houston</v>
      </c>
      <c r="H2742" t="s">
        <v>33600</v>
      </c>
      <c r="I2742" t="s">
        <v>25025</v>
      </c>
      <c r="J2742" t="str">
        <f t="shared" si="212"/>
        <v>E:\PropInv\MF</v>
      </c>
      <c r="K2742" s="103" t="str">
        <f>HYPERLINK("E:\PropInv\MF\Houston\Scott St_10200_Simmons Gardens_Houston_03875","Scott St_10200_Simmons Gardens_Houston_03875" )</f>
        <v>Scott St_10200_Simmons Gardens_Houston_03875</v>
      </c>
      <c r="L2742" s="104" t="s">
        <v>22253</v>
      </c>
      <c r="M2742" s="103" t="str">
        <f t="shared" si="213"/>
        <v>http://oconnordata.com/mlink/modules/profile/index.cfm?action=profile&amp;prop_id=3875</v>
      </c>
      <c r="N2742" s="1" t="str">
        <f t="shared" si="214"/>
        <v>03875</v>
      </c>
    </row>
    <row r="2743" spans="1:14" x14ac:dyDescent="0.3">
      <c r="A2743" s="1">
        <v>3876</v>
      </c>
      <c r="B2743" s="7" t="s">
        <v>4110</v>
      </c>
      <c r="C2743" s="12">
        <v>10012</v>
      </c>
      <c r="D2743" s="7" t="s">
        <v>4111</v>
      </c>
      <c r="E2743" s="13" t="s">
        <v>1657</v>
      </c>
      <c r="F2743" t="str">
        <f t="shared" si="210"/>
        <v>Cullen</v>
      </c>
      <c r="G2743" t="str">
        <f t="shared" si="211"/>
        <v>Cullen10012Houston</v>
      </c>
      <c r="H2743" t="s">
        <v>33601</v>
      </c>
      <c r="I2743" t="s">
        <v>25026</v>
      </c>
      <c r="J2743" t="str">
        <f t="shared" si="212"/>
        <v>E:\PropInv\MF</v>
      </c>
      <c r="K2743" s="103" t="str">
        <f>HYPERLINK("E:\PropInv\MF\Houston\Cullen Blvd_10012_Anna Dupree Terrace_Houston_03876","Cullen Blvd_10012_Anna Dupree Terrace_Houston_03876" )</f>
        <v>Cullen Blvd_10012_Anna Dupree Terrace_Houston_03876</v>
      </c>
      <c r="L2743" s="104" t="s">
        <v>22253</v>
      </c>
      <c r="M2743" s="103" t="str">
        <f t="shared" si="213"/>
        <v>http://oconnordata.com/mlink/modules/profile/index.cfm?action=profile&amp;prop_id=3876</v>
      </c>
      <c r="N2743" s="1" t="str">
        <f t="shared" si="214"/>
        <v>03876</v>
      </c>
    </row>
    <row r="2744" spans="1:14" x14ac:dyDescent="0.3">
      <c r="A2744" s="1">
        <v>3878</v>
      </c>
      <c r="B2744" s="7" t="s">
        <v>3709</v>
      </c>
      <c r="C2744" s="12">
        <v>11211</v>
      </c>
      <c r="D2744" s="7" t="s">
        <v>4112</v>
      </c>
      <c r="E2744" s="13" t="s">
        <v>1657</v>
      </c>
      <c r="F2744" t="str">
        <f t="shared" si="210"/>
        <v>Post</v>
      </c>
      <c r="G2744" t="str">
        <f t="shared" si="211"/>
        <v>Post11211Houston</v>
      </c>
      <c r="H2744" t="s">
        <v>33602</v>
      </c>
      <c r="I2744" t="s">
        <v>25027</v>
      </c>
      <c r="J2744" t="str">
        <f t="shared" si="212"/>
        <v>E:\PropInv\MF</v>
      </c>
      <c r="K2744" s="103" t="str">
        <f>HYPERLINK("E:\PropInv\MF\Houston\Post Oak S_11211_Post Oak Manor_Houston_03878","Post Oak S_11211_Post Oak Manor_Houston_03878" )</f>
        <v>Post Oak S_11211_Post Oak Manor_Houston_03878</v>
      </c>
      <c r="L2744" s="104" t="s">
        <v>22253</v>
      </c>
      <c r="M2744" s="103" t="str">
        <f t="shared" si="213"/>
        <v>http://oconnordata.com/mlink/modules/profile/index.cfm?action=profile&amp;prop_id=3878</v>
      </c>
      <c r="N2744" s="1" t="str">
        <f t="shared" si="214"/>
        <v>03878</v>
      </c>
    </row>
    <row r="2745" spans="1:14" x14ac:dyDescent="0.3">
      <c r="A2745" s="1">
        <v>3879</v>
      </c>
      <c r="B2745" s="7" t="s">
        <v>4113</v>
      </c>
      <c r="C2745" s="12">
        <v>12111</v>
      </c>
      <c r="D2745" s="7" t="s">
        <v>4114</v>
      </c>
      <c r="E2745" s="13" t="s">
        <v>1657</v>
      </c>
      <c r="F2745" t="str">
        <f t="shared" si="210"/>
        <v>Burdine</v>
      </c>
      <c r="G2745" t="str">
        <f t="shared" si="211"/>
        <v>Burdine12111Houston</v>
      </c>
      <c r="H2745" t="s">
        <v>33603</v>
      </c>
      <c r="I2745" t="s">
        <v>25028</v>
      </c>
      <c r="J2745" t="str">
        <f t="shared" si="212"/>
        <v>E:\PropInv\MF</v>
      </c>
      <c r="K2745" s="103" t="str">
        <f>HYPERLINK("E:\PropInv\MF\Houston\Burdine St_12111_Westbury Park_Houston_03879","Burdine St_12111_Westbury Park_Houston_03879" )</f>
        <v>Burdine St_12111_Westbury Park_Houston_03879</v>
      </c>
      <c r="L2745" s="104" t="s">
        <v>22253</v>
      </c>
      <c r="M2745" s="103" t="str">
        <f t="shared" si="213"/>
        <v>http://oconnordata.com/mlink/modules/profile/index.cfm?action=profile&amp;prop_id=3879</v>
      </c>
      <c r="N2745" s="1" t="str">
        <f t="shared" si="214"/>
        <v>03879</v>
      </c>
    </row>
    <row r="2746" spans="1:14" x14ac:dyDescent="0.3">
      <c r="A2746" s="1">
        <v>3880</v>
      </c>
      <c r="B2746" s="7" t="s">
        <v>4032</v>
      </c>
      <c r="C2746" s="12">
        <v>6363</v>
      </c>
      <c r="D2746" s="7" t="s">
        <v>4115</v>
      </c>
      <c r="E2746" s="13" t="s">
        <v>1657</v>
      </c>
      <c r="F2746" t="str">
        <f t="shared" si="210"/>
        <v>Airport</v>
      </c>
      <c r="G2746" t="str">
        <f t="shared" si="211"/>
        <v>Airport6363Houston</v>
      </c>
      <c r="H2746" t="s">
        <v>33604</v>
      </c>
      <c r="I2746" t="s">
        <v>25029</v>
      </c>
      <c r="J2746" t="str">
        <f t="shared" si="212"/>
        <v>E:\PropInv\MF</v>
      </c>
      <c r="K2746" s="103" t="str">
        <f>HYPERLINK("E:\PropInv\MF\Houston\Airport Blvd W_6363_The Reserve at 63 Sixty Three_Houston_03880","Airport Blvd W_6363_The Reserve at 63 Sixty Three_Houston_03880" )</f>
        <v>Airport Blvd W_6363_The Reserve at 63 Sixty Three_Houston_03880</v>
      </c>
      <c r="L2746" s="104" t="s">
        <v>22253</v>
      </c>
      <c r="M2746" s="103" t="str">
        <f t="shared" si="213"/>
        <v>http://oconnordata.com/mlink/modules/profile/index.cfm?action=profile&amp;prop_id=3880</v>
      </c>
      <c r="N2746" s="1" t="str">
        <f t="shared" si="214"/>
        <v>03880</v>
      </c>
    </row>
    <row r="2747" spans="1:14" x14ac:dyDescent="0.3">
      <c r="A2747" s="1">
        <v>3882</v>
      </c>
      <c r="B2747" s="7" t="s">
        <v>4116</v>
      </c>
      <c r="C2747" s="12">
        <v>12345</v>
      </c>
      <c r="D2747" s="7" t="s">
        <v>4117</v>
      </c>
      <c r="E2747" s="13" t="s">
        <v>1657</v>
      </c>
      <c r="F2747" t="str">
        <f t="shared" si="210"/>
        <v>Bob</v>
      </c>
      <c r="G2747" t="str">
        <f t="shared" si="211"/>
        <v>Bob12345Houston</v>
      </c>
      <c r="H2747" t="s">
        <v>33605</v>
      </c>
      <c r="I2747" t="s">
        <v>25030</v>
      </c>
      <c r="J2747" t="str">
        <f t="shared" si="212"/>
        <v>E:\PropInv\MF</v>
      </c>
      <c r="K2747" s="103" t="str">
        <f>HYPERLINK("E:\PropInv\MF\Houston\Bob White Dr_12345_Rainy Meadows_Houston_03882","Bob White Dr_12345_Rainy Meadows_Houston_03882" )</f>
        <v>Bob White Dr_12345_Rainy Meadows_Houston_03882</v>
      </c>
      <c r="L2747" s="104" t="s">
        <v>22253</v>
      </c>
      <c r="M2747" s="103" t="str">
        <f t="shared" si="213"/>
        <v>http://oconnordata.com/mlink/modules/profile/index.cfm?action=profile&amp;prop_id=3882</v>
      </c>
      <c r="N2747" s="1" t="str">
        <f t="shared" si="214"/>
        <v>03882</v>
      </c>
    </row>
    <row r="2748" spans="1:14" x14ac:dyDescent="0.3">
      <c r="A2748" s="1">
        <v>3883</v>
      </c>
      <c r="B2748" s="7" t="s">
        <v>4118</v>
      </c>
      <c r="C2748" s="12">
        <v>5602</v>
      </c>
      <c r="D2748" s="7" t="s">
        <v>4119</v>
      </c>
      <c r="E2748" s="13" t="s">
        <v>1657</v>
      </c>
      <c r="F2748" t="str">
        <f t="shared" si="210"/>
        <v>Selinsky</v>
      </c>
      <c r="G2748" t="str">
        <f t="shared" si="211"/>
        <v>Selinsky5602Houston</v>
      </c>
      <c r="H2748" t="s">
        <v>33606</v>
      </c>
      <c r="I2748" t="s">
        <v>25031</v>
      </c>
      <c r="J2748" t="str">
        <f t="shared" si="212"/>
        <v>E:\PropInv\MF</v>
      </c>
      <c r="K2748" s="103" t="str">
        <f>HYPERLINK("E:\PropInv\MF\Houston\Selinsky Rd_5602_Crestmont West_Houston_03883","Selinsky Rd_5602_Crestmont West_Houston_03883" )</f>
        <v>Selinsky Rd_5602_Crestmont West_Houston_03883</v>
      </c>
      <c r="L2748" s="104" t="s">
        <v>22253</v>
      </c>
      <c r="M2748" s="103" t="str">
        <f t="shared" si="213"/>
        <v>http://oconnordata.com/mlink/modules/profile/index.cfm?action=profile&amp;prop_id=3883</v>
      </c>
      <c r="N2748" s="1" t="str">
        <f t="shared" si="214"/>
        <v>03883</v>
      </c>
    </row>
    <row r="2749" spans="1:14" x14ac:dyDescent="0.3">
      <c r="A2749" s="1">
        <v>3884</v>
      </c>
      <c r="B2749" s="7" t="s">
        <v>4118</v>
      </c>
      <c r="C2749" s="12">
        <v>5638</v>
      </c>
      <c r="D2749" s="7" t="s">
        <v>4120</v>
      </c>
      <c r="E2749" s="13" t="s">
        <v>1657</v>
      </c>
      <c r="F2749" t="str">
        <f t="shared" si="210"/>
        <v>Selinsky</v>
      </c>
      <c r="G2749" t="str">
        <f t="shared" si="211"/>
        <v>Selinsky5638Houston</v>
      </c>
      <c r="H2749" t="s">
        <v>33607</v>
      </c>
      <c r="I2749" t="s">
        <v>25032</v>
      </c>
      <c r="J2749" t="str">
        <f t="shared" si="212"/>
        <v>E:\PropInv\MF</v>
      </c>
      <c r="K2749" s="103" t="str">
        <f>HYPERLINK("E:\PropInv\MF\Houston\Selinsky Rd_5638_Crestmont Village_Houston_03884","Selinsky Rd_5638_Crestmont Village_Houston_03884" )</f>
        <v>Selinsky Rd_5638_Crestmont Village_Houston_03884</v>
      </c>
      <c r="L2749" s="104" t="s">
        <v>22253</v>
      </c>
      <c r="M2749" s="103" t="str">
        <f t="shared" si="213"/>
        <v>http://oconnordata.com/mlink/modules/profile/index.cfm?action=profile&amp;prop_id=3884</v>
      </c>
      <c r="N2749" s="1" t="str">
        <f t="shared" si="214"/>
        <v>03884</v>
      </c>
    </row>
    <row r="2750" spans="1:14" x14ac:dyDescent="0.3">
      <c r="A2750" s="1">
        <v>3887</v>
      </c>
      <c r="B2750" s="7" t="s">
        <v>3597</v>
      </c>
      <c r="C2750" s="12">
        <v>12500</v>
      </c>
      <c r="D2750" s="7" t="s">
        <v>4121</v>
      </c>
      <c r="E2750" s="13" t="s">
        <v>1657</v>
      </c>
      <c r="F2750" t="str">
        <f t="shared" si="210"/>
        <v>Dunlap</v>
      </c>
      <c r="G2750" t="str">
        <f t="shared" si="211"/>
        <v>Dunlap12500Houston</v>
      </c>
      <c r="H2750" t="s">
        <v>33608</v>
      </c>
      <c r="I2750" t="s">
        <v>25033</v>
      </c>
      <c r="J2750" t="str">
        <f t="shared" si="212"/>
        <v>E:\PropInv\MF</v>
      </c>
      <c r="K2750" s="103" t="str">
        <f>HYPERLINK("E:\PropInv\MF\Houston\Dunlap St_12500_Pines of Westbury_Houston_03887","Dunlap St_12500_Pines of Westbury_Houston_03887" )</f>
        <v>Dunlap St_12500_Pines of Westbury_Houston_03887</v>
      </c>
      <c r="L2750" s="104" t="s">
        <v>22253</v>
      </c>
      <c r="M2750" s="103" t="str">
        <f t="shared" si="213"/>
        <v>http://oconnordata.com/mlink/modules/profile/index.cfm?action=profile&amp;prop_id=3887</v>
      </c>
      <c r="N2750" s="1" t="str">
        <f t="shared" si="214"/>
        <v>03887</v>
      </c>
    </row>
    <row r="2751" spans="1:14" x14ac:dyDescent="0.3">
      <c r="A2751" s="1">
        <v>3889</v>
      </c>
      <c r="B2751" s="7" t="s">
        <v>3525</v>
      </c>
      <c r="C2751" s="12">
        <v>12261</v>
      </c>
      <c r="D2751" s="7" t="s">
        <v>4122</v>
      </c>
      <c r="E2751" s="13" t="s">
        <v>1657</v>
      </c>
      <c r="F2751" t="str">
        <f t="shared" si="210"/>
        <v>Fondren</v>
      </c>
      <c r="G2751" t="str">
        <f t="shared" si="211"/>
        <v>Fondren12261Houston</v>
      </c>
      <c r="H2751" t="s">
        <v>33609</v>
      </c>
      <c r="I2751" t="s">
        <v>25034</v>
      </c>
      <c r="J2751" t="str">
        <f t="shared" si="212"/>
        <v>E:\PropInv\MF</v>
      </c>
      <c r="K2751" s="103" t="str">
        <f>HYPERLINK("E:\PropInv\MF\Houston\Fondren Rd_12261_Casa Miranda_Houston_03889","Fondren Rd_12261_Casa Miranda_Houston_03889" )</f>
        <v>Fondren Rd_12261_Casa Miranda_Houston_03889</v>
      </c>
      <c r="L2751" s="104" t="s">
        <v>22253</v>
      </c>
      <c r="M2751" s="103" t="str">
        <f t="shared" si="213"/>
        <v>http://oconnordata.com/mlink/modules/profile/index.cfm?action=profile&amp;prop_id=3889</v>
      </c>
      <c r="N2751" s="1" t="str">
        <f t="shared" si="214"/>
        <v>03889</v>
      </c>
    </row>
    <row r="2752" spans="1:14" x14ac:dyDescent="0.3">
      <c r="A2752" s="1">
        <v>3890</v>
      </c>
      <c r="B2752" s="7" t="s">
        <v>3425</v>
      </c>
      <c r="C2752" s="12">
        <v>5438</v>
      </c>
      <c r="D2752" s="7" t="s">
        <v>4123</v>
      </c>
      <c r="E2752" s="13" t="s">
        <v>1657</v>
      </c>
      <c r="F2752" t="str">
        <f t="shared" si="210"/>
        <v>Bellfort</v>
      </c>
      <c r="G2752" t="str">
        <f t="shared" si="211"/>
        <v>Bellfort5438Houston</v>
      </c>
      <c r="H2752" t="s">
        <v>33610</v>
      </c>
      <c r="I2752" t="s">
        <v>25035</v>
      </c>
      <c r="J2752" t="str">
        <f t="shared" si="212"/>
        <v>E:\PropInv\MF</v>
      </c>
      <c r="K2752" s="103" t="str">
        <f>HYPERLINK("E:\PropInv\MF\Houston\Bellfort W_5438_5438 Bellfort West_Houston_03890","Bellfort W_5438_5438 Bellfort West_Houston_03890" )</f>
        <v>Bellfort W_5438_5438 Bellfort West_Houston_03890</v>
      </c>
      <c r="L2752" s="104" t="s">
        <v>22253</v>
      </c>
      <c r="M2752" s="103" t="str">
        <f t="shared" si="213"/>
        <v>http://oconnordata.com/mlink/modules/profile/index.cfm?action=profile&amp;prop_id=3890</v>
      </c>
      <c r="N2752" s="1" t="str">
        <f t="shared" si="214"/>
        <v>03890</v>
      </c>
    </row>
    <row r="2753" spans="1:14" x14ac:dyDescent="0.3">
      <c r="A2753" s="1">
        <v>3892</v>
      </c>
      <c r="B2753" s="7" t="s">
        <v>3525</v>
      </c>
      <c r="C2753" s="12">
        <v>12101</v>
      </c>
      <c r="D2753" s="7" t="s">
        <v>4124</v>
      </c>
      <c r="E2753" s="13" t="s">
        <v>1657</v>
      </c>
      <c r="F2753" t="str">
        <f t="shared" si="210"/>
        <v>Fondren</v>
      </c>
      <c r="G2753" t="str">
        <f t="shared" si="211"/>
        <v>Fondren12101Houston</v>
      </c>
      <c r="H2753" t="s">
        <v>33611</v>
      </c>
      <c r="I2753" t="s">
        <v>25036</v>
      </c>
      <c r="J2753" t="str">
        <f t="shared" si="212"/>
        <v>E:\PropInv\MF</v>
      </c>
      <c r="K2753" s="103" t="str">
        <f>HYPERLINK("E:\PropInv\MF\Houston\Fondren Rd_12101_Ludren Park_Houston_03892","Fondren Rd_12101_Ludren Park_Houston_03892" )</f>
        <v>Fondren Rd_12101_Ludren Park_Houston_03892</v>
      </c>
      <c r="L2753" s="104" t="s">
        <v>22253</v>
      </c>
      <c r="M2753" s="103" t="str">
        <f t="shared" si="213"/>
        <v>http://oconnordata.com/mlink/modules/profile/index.cfm?action=profile&amp;prop_id=3892</v>
      </c>
      <c r="N2753" s="1" t="str">
        <f t="shared" si="214"/>
        <v>03892</v>
      </c>
    </row>
    <row r="2754" spans="1:14" x14ac:dyDescent="0.3">
      <c r="A2754" s="1">
        <v>3893</v>
      </c>
      <c r="B2754" s="7" t="s">
        <v>3525</v>
      </c>
      <c r="C2754" s="12">
        <v>12211</v>
      </c>
      <c r="D2754" s="7" t="s">
        <v>4125</v>
      </c>
      <c r="E2754" s="13" t="s">
        <v>1657</v>
      </c>
      <c r="F2754" t="str">
        <f t="shared" ref="F2754:F2817" si="215">IFERROR(LEFT(B2754,FIND(" ",B2754)-1),B2754)</f>
        <v>Fondren</v>
      </c>
      <c r="G2754" t="str">
        <f t="shared" ref="G2754:G2817" si="216">F2754&amp;C2754&amp;E2754</f>
        <v>Fondren12211Houston</v>
      </c>
      <c r="H2754" t="s">
        <v>33612</v>
      </c>
      <c r="I2754" t="s">
        <v>25037</v>
      </c>
      <c r="J2754" t="str">
        <f t="shared" ref="J2754:J2817" si="217">IF(L2754="TX",Folder_Path,Folder_Path&amp;"\State_"&amp;L2754)</f>
        <v>E:\PropInv\MF</v>
      </c>
      <c r="K2754" s="103" t="str">
        <f>HYPERLINK("E:\PropInv\MF\Houston\Fondren Rd_12211_Airport Landing_Houston_03893","Fondren Rd_12211_Airport Landing_Houston_03893" )</f>
        <v>Fondren Rd_12211_Airport Landing_Houston_03893</v>
      </c>
      <c r="L2754" s="104" t="s">
        <v>22253</v>
      </c>
      <c r="M2754" s="103" t="str">
        <f t="shared" ref="M2754:M2817" si="218">HYPERLINK("http://oconnordata.com/mlink/modules/profile/index.cfm?action=profile&amp;prop_id="&amp;A2754)</f>
        <v>http://oconnordata.com/mlink/modules/profile/index.cfm?action=profile&amp;prop_id=3893</v>
      </c>
      <c r="N2754" s="1" t="str">
        <f t="shared" ref="N2754:N2817" si="219">IF(LEN(A2754)=1,"0000"&amp;A2754,IF(LEN(A2754)=2,"000"&amp;A2754,IF(LEN(A2754)=3,"00"&amp;A2754,IF(LEN(A2754)=4,"0"&amp;A2754,IF(LEN(A2754)=5,IF(LEFT(A2754,1)="3",A2754+30000,A2754))))))</f>
        <v>03893</v>
      </c>
    </row>
    <row r="2755" spans="1:14" x14ac:dyDescent="0.3">
      <c r="A2755" s="1">
        <v>3894</v>
      </c>
      <c r="B2755" s="19" t="s">
        <v>4126</v>
      </c>
      <c r="C2755" s="18">
        <v>5525</v>
      </c>
      <c r="D2755" s="19" t="s">
        <v>4127</v>
      </c>
      <c r="E2755" s="20" t="s">
        <v>1657</v>
      </c>
      <c r="F2755" t="str">
        <f t="shared" si="215"/>
        <v>Gasmer</v>
      </c>
      <c r="G2755" t="str">
        <f t="shared" si="216"/>
        <v>Gasmer5525Houston</v>
      </c>
      <c r="H2755" t="s">
        <v>33613</v>
      </c>
      <c r="I2755" t="s">
        <v>25038</v>
      </c>
      <c r="J2755" t="str">
        <f t="shared" si="217"/>
        <v>E:\PropInv\MF</v>
      </c>
      <c r="K2755" s="103" t="str">
        <f>HYPERLINK("E:\PropInv\MF\Houston\Gasmer Dr_5525_La Peak_Houston_03894","Gasmer Dr_5525_La Peak_Houston_03894" )</f>
        <v>Gasmer Dr_5525_La Peak_Houston_03894</v>
      </c>
      <c r="L2755" s="104" t="s">
        <v>22253</v>
      </c>
      <c r="M2755" s="103" t="str">
        <f t="shared" si="218"/>
        <v>http://oconnordata.com/mlink/modules/profile/index.cfm?action=profile&amp;prop_id=3894</v>
      </c>
      <c r="N2755" s="1" t="str">
        <f t="shared" si="219"/>
        <v>03894</v>
      </c>
    </row>
    <row r="2756" spans="1:14" x14ac:dyDescent="0.3">
      <c r="A2756" s="1">
        <v>3895</v>
      </c>
      <c r="B2756" s="7" t="s">
        <v>4126</v>
      </c>
      <c r="C2756" s="12">
        <v>5555</v>
      </c>
      <c r="D2756" s="7" t="s">
        <v>4128</v>
      </c>
      <c r="E2756" s="13" t="s">
        <v>1657</v>
      </c>
      <c r="F2756" t="str">
        <f t="shared" si="215"/>
        <v>Gasmer</v>
      </c>
      <c r="G2756" t="str">
        <f t="shared" si="216"/>
        <v>Gasmer5555Houston</v>
      </c>
      <c r="H2756" t="s">
        <v>33614</v>
      </c>
      <c r="I2756" t="s">
        <v>25039</v>
      </c>
      <c r="J2756" t="str">
        <f t="shared" si="217"/>
        <v>E:\PropInv\MF</v>
      </c>
      <c r="K2756" s="103" t="str">
        <f>HYPERLINK("E:\PropInv\MF\Houston\Gasmer Dr_5555_Las Villas del Parque_Houston_03895","Gasmer Dr_5555_Las Villas del Parque_Houston_03895" )</f>
        <v>Gasmer Dr_5555_Las Villas del Parque_Houston_03895</v>
      </c>
      <c r="L2756" s="104" t="s">
        <v>22253</v>
      </c>
      <c r="M2756" s="103" t="str">
        <f t="shared" si="218"/>
        <v>http://oconnordata.com/mlink/modules/profile/index.cfm?action=profile&amp;prop_id=3895</v>
      </c>
      <c r="N2756" s="1" t="str">
        <f t="shared" si="219"/>
        <v>03895</v>
      </c>
    </row>
    <row r="2757" spans="1:14" x14ac:dyDescent="0.3">
      <c r="A2757" s="1">
        <v>3900</v>
      </c>
      <c r="B2757" s="7" t="s">
        <v>4129</v>
      </c>
      <c r="C2757" s="12">
        <v>5565</v>
      </c>
      <c r="D2757" s="7" t="s">
        <v>4130</v>
      </c>
      <c r="E2757" s="13" t="s">
        <v>1657</v>
      </c>
      <c r="F2757" t="str">
        <f t="shared" si="215"/>
        <v>Gasmer</v>
      </c>
      <c r="G2757" t="str">
        <f t="shared" si="216"/>
        <v>Gasmer5565Houston</v>
      </c>
      <c r="H2757" t="s">
        <v>33615</v>
      </c>
      <c r="I2757" t="s">
        <v>25040</v>
      </c>
      <c r="J2757" t="str">
        <f t="shared" si="217"/>
        <v>E:\PropInv\MF</v>
      </c>
      <c r="K2757" s="103" t="str">
        <f>HYPERLINK("E:\PropInv\MF\Houston\Gasmer_5565_Westbury Manor_Houston_03900","Gasmer_5565_Westbury Manor_Houston_03900" )</f>
        <v>Gasmer_5565_Westbury Manor_Houston_03900</v>
      </c>
      <c r="L2757" s="104" t="s">
        <v>22253</v>
      </c>
      <c r="M2757" s="103" t="str">
        <f t="shared" si="218"/>
        <v>http://oconnordata.com/mlink/modules/profile/index.cfm?action=profile&amp;prop_id=3900</v>
      </c>
      <c r="N2757" s="1" t="str">
        <f t="shared" si="219"/>
        <v>03900</v>
      </c>
    </row>
    <row r="2758" spans="1:14" x14ac:dyDescent="0.3">
      <c r="A2758" s="1">
        <v>3902</v>
      </c>
      <c r="B2758" s="7" t="s">
        <v>4126</v>
      </c>
      <c r="C2758" s="12">
        <v>5570</v>
      </c>
      <c r="D2758" s="7" t="s">
        <v>4131</v>
      </c>
      <c r="E2758" s="13" t="s">
        <v>1657</v>
      </c>
      <c r="F2758" t="str">
        <f t="shared" si="215"/>
        <v>Gasmer</v>
      </c>
      <c r="G2758" t="str">
        <f t="shared" si="216"/>
        <v>Gasmer5570Houston</v>
      </c>
      <c r="H2758" t="s">
        <v>33616</v>
      </c>
      <c r="I2758" t="s">
        <v>25041</v>
      </c>
      <c r="J2758" t="str">
        <f t="shared" si="217"/>
        <v>E:\PropInv\MF</v>
      </c>
      <c r="K2758" s="103" t="str">
        <f>HYPERLINK("E:\PropInv\MF\Houston\Gasmer Dr_5570_Piccadilly Place_Houston_03902","Gasmer Dr_5570_Piccadilly Place_Houston_03902" )</f>
        <v>Gasmer Dr_5570_Piccadilly Place_Houston_03902</v>
      </c>
      <c r="L2758" s="104" t="s">
        <v>22253</v>
      </c>
      <c r="M2758" s="103" t="str">
        <f t="shared" si="218"/>
        <v>http://oconnordata.com/mlink/modules/profile/index.cfm?action=profile&amp;prop_id=3902</v>
      </c>
      <c r="N2758" s="1" t="str">
        <f t="shared" si="219"/>
        <v>03902</v>
      </c>
    </row>
    <row r="2759" spans="1:14" x14ac:dyDescent="0.3">
      <c r="A2759" s="1">
        <v>3903</v>
      </c>
      <c r="B2759" s="7" t="s">
        <v>3425</v>
      </c>
      <c r="C2759" s="12">
        <v>5448</v>
      </c>
      <c r="D2759" s="7" t="s">
        <v>4132</v>
      </c>
      <c r="E2759" s="13" t="s">
        <v>1657</v>
      </c>
      <c r="F2759" t="str">
        <f t="shared" si="215"/>
        <v>Bellfort</v>
      </c>
      <c r="G2759" t="str">
        <f t="shared" si="216"/>
        <v>Bellfort5448Houston</v>
      </c>
      <c r="H2759" t="s">
        <v>33617</v>
      </c>
      <c r="I2759" t="s">
        <v>25042</v>
      </c>
      <c r="J2759" t="str">
        <f t="shared" si="217"/>
        <v>E:\PropInv\MF</v>
      </c>
      <c r="K2759" s="103" t="str">
        <f>HYPERLINK("E:\PropInv\MF\Houston\Bellfort W_5448_Westbury Square_Houston_03903","Bellfort W_5448_Westbury Square_Houston_03903" )</f>
        <v>Bellfort W_5448_Westbury Square_Houston_03903</v>
      </c>
      <c r="L2759" s="104" t="s">
        <v>22253</v>
      </c>
      <c r="M2759" s="103" t="str">
        <f t="shared" si="218"/>
        <v>http://oconnordata.com/mlink/modules/profile/index.cfm?action=profile&amp;prop_id=3903</v>
      </c>
      <c r="N2759" s="1" t="str">
        <f t="shared" si="219"/>
        <v>03903</v>
      </c>
    </row>
    <row r="2760" spans="1:14" x14ac:dyDescent="0.3">
      <c r="A2760" s="1">
        <v>3904</v>
      </c>
      <c r="B2760" s="7" t="s">
        <v>4133</v>
      </c>
      <c r="C2760" s="12">
        <v>5022</v>
      </c>
      <c r="D2760" s="7" t="s">
        <v>638</v>
      </c>
      <c r="E2760" s="13" t="s">
        <v>1657</v>
      </c>
      <c r="F2760" t="str">
        <f t="shared" si="215"/>
        <v>Willow</v>
      </c>
      <c r="G2760" t="str">
        <f t="shared" si="216"/>
        <v>Willow5022Houston</v>
      </c>
      <c r="H2760" t="s">
        <v>33618</v>
      </c>
      <c r="I2760" t="s">
        <v>25043</v>
      </c>
      <c r="J2760" t="str">
        <f t="shared" si="217"/>
        <v>E:\PropInv\MF</v>
      </c>
      <c r="K2760" s="103" t="str">
        <f>HYPERLINK("E:\PropInv\MF\Houston\Willow Dr S_5022_Silver Springs_Houston_03904","Willow Dr S_5022_Silver Springs_Houston_03904" )</f>
        <v>Willow Dr S_5022_Silver Springs_Houston_03904</v>
      </c>
      <c r="L2760" s="104" t="s">
        <v>22253</v>
      </c>
      <c r="M2760" s="103" t="str">
        <f t="shared" si="218"/>
        <v>http://oconnordata.com/mlink/modules/profile/index.cfm?action=profile&amp;prop_id=3904</v>
      </c>
      <c r="N2760" s="1" t="str">
        <f t="shared" si="219"/>
        <v>03904</v>
      </c>
    </row>
    <row r="2761" spans="1:14" x14ac:dyDescent="0.3">
      <c r="A2761" s="1">
        <v>3905</v>
      </c>
      <c r="B2761" s="7" t="s">
        <v>4134</v>
      </c>
      <c r="C2761" s="12">
        <v>5151</v>
      </c>
      <c r="D2761" s="7" t="s">
        <v>4135</v>
      </c>
      <c r="E2761" s="13" t="s">
        <v>1657</v>
      </c>
      <c r="F2761" t="str">
        <f t="shared" si="215"/>
        <v>Willow</v>
      </c>
      <c r="G2761" t="str">
        <f t="shared" si="216"/>
        <v>Willow5151Houston</v>
      </c>
      <c r="H2761" t="s">
        <v>33619</v>
      </c>
      <c r="I2761" t="s">
        <v>25044</v>
      </c>
      <c r="J2761" t="str">
        <f t="shared" si="217"/>
        <v>E:\PropInv\MF</v>
      </c>
      <c r="K2761" s="103" t="str">
        <f>HYPERLINK("E:\PropInv\MF\Houston\Willow S_5151_Villa Rosa_Houston_03905","Willow S_5151_Villa Rosa_Houston_03905" )</f>
        <v>Willow S_5151_Villa Rosa_Houston_03905</v>
      </c>
      <c r="L2761" s="104" t="s">
        <v>22253</v>
      </c>
      <c r="M2761" s="103" t="str">
        <f t="shared" si="218"/>
        <v>http://oconnordata.com/mlink/modules/profile/index.cfm?action=profile&amp;prop_id=3905</v>
      </c>
      <c r="N2761" s="1" t="str">
        <f t="shared" si="219"/>
        <v>03905</v>
      </c>
    </row>
    <row r="2762" spans="1:14" x14ac:dyDescent="0.3">
      <c r="A2762" s="1">
        <v>3906</v>
      </c>
      <c r="B2762" s="7" t="s">
        <v>4136</v>
      </c>
      <c r="C2762" s="12">
        <v>4203</v>
      </c>
      <c r="D2762" s="7" t="s">
        <v>4137</v>
      </c>
      <c r="E2762" s="13" t="s">
        <v>1657</v>
      </c>
      <c r="F2762" t="str">
        <f t="shared" si="215"/>
        <v>Phlox</v>
      </c>
      <c r="G2762" t="str">
        <f t="shared" si="216"/>
        <v>Phlox4203Houston</v>
      </c>
      <c r="H2762" t="s">
        <v>33620</v>
      </c>
      <c r="I2762" t="s">
        <v>25045</v>
      </c>
      <c r="J2762" t="str">
        <f t="shared" si="217"/>
        <v>E:\PropInv\MF</v>
      </c>
      <c r="K2762" s="103" t="str">
        <f>HYPERLINK("E:\PropInv\MF\Houston\Phlox St_4203_4203 Phlox_Houston_03906","Phlox St_4203_4203 Phlox_Houston_03906" )</f>
        <v>Phlox St_4203_4203 Phlox_Houston_03906</v>
      </c>
      <c r="L2762" s="104" t="s">
        <v>22253</v>
      </c>
      <c r="M2762" s="103" t="str">
        <f t="shared" si="218"/>
        <v>http://oconnordata.com/mlink/modules/profile/index.cfm?action=profile&amp;prop_id=3906</v>
      </c>
      <c r="N2762" s="1" t="str">
        <f t="shared" si="219"/>
        <v>03906</v>
      </c>
    </row>
    <row r="2763" spans="1:14" x14ac:dyDescent="0.3">
      <c r="A2763" s="1">
        <v>3907</v>
      </c>
      <c r="B2763" s="7" t="s">
        <v>4108</v>
      </c>
      <c r="C2763" s="12">
        <v>9425</v>
      </c>
      <c r="D2763" s="7" t="s">
        <v>4138</v>
      </c>
      <c r="E2763" s="13" t="s">
        <v>1657</v>
      </c>
      <c r="F2763" t="str">
        <f t="shared" si="215"/>
        <v>Scott</v>
      </c>
      <c r="G2763" t="str">
        <f t="shared" si="216"/>
        <v>Scott9425Houston</v>
      </c>
      <c r="H2763" t="s">
        <v>33621</v>
      </c>
      <c r="I2763" t="s">
        <v>25046</v>
      </c>
      <c r="J2763" t="str">
        <f t="shared" si="217"/>
        <v>E:\PropInv\MF</v>
      </c>
      <c r="K2763" s="103" t="str">
        <f>HYPERLINK("E:\PropInv\MF\Houston\Scott St_9425_Riverbrook_Houston_03907","Scott St_9425_Riverbrook_Houston_03907" )</f>
        <v>Scott St_9425_Riverbrook_Houston_03907</v>
      </c>
      <c r="L2763" s="104" t="s">
        <v>22253</v>
      </c>
      <c r="M2763" s="103" t="str">
        <f t="shared" si="218"/>
        <v>http://oconnordata.com/mlink/modules/profile/index.cfm?action=profile&amp;prop_id=3907</v>
      </c>
      <c r="N2763" s="1" t="str">
        <f t="shared" si="219"/>
        <v>03907</v>
      </c>
    </row>
    <row r="2764" spans="1:14" x14ac:dyDescent="0.3">
      <c r="A2764" s="1">
        <v>3908</v>
      </c>
      <c r="B2764" s="7" t="s">
        <v>4108</v>
      </c>
      <c r="C2764" s="12">
        <v>9703</v>
      </c>
      <c r="D2764" s="7" t="s">
        <v>4139</v>
      </c>
      <c r="E2764" s="13" t="s">
        <v>1657</v>
      </c>
      <c r="F2764" t="str">
        <f t="shared" si="215"/>
        <v>Scott</v>
      </c>
      <c r="G2764" t="str">
        <f t="shared" si="216"/>
        <v>Scott9703Houston</v>
      </c>
      <c r="H2764" t="s">
        <v>33622</v>
      </c>
      <c r="I2764" t="s">
        <v>25047</v>
      </c>
      <c r="J2764" t="str">
        <f t="shared" si="217"/>
        <v>E:\PropInv\MF</v>
      </c>
      <c r="K2764" s="103" t="str">
        <f>HYPERLINK("E:\PropInv\MF\Houston\Scott St_9703_Scott Plaza_Houston_03908","Scott St_9703_Scott Plaza_Houston_03908" )</f>
        <v>Scott St_9703_Scott Plaza_Houston_03908</v>
      </c>
      <c r="L2764" s="104" t="s">
        <v>22253</v>
      </c>
      <c r="M2764" s="103" t="str">
        <f t="shared" si="218"/>
        <v>http://oconnordata.com/mlink/modules/profile/index.cfm?action=profile&amp;prop_id=3908</v>
      </c>
      <c r="N2764" s="1" t="str">
        <f t="shared" si="219"/>
        <v>03908</v>
      </c>
    </row>
    <row r="2765" spans="1:14" x14ac:dyDescent="0.3">
      <c r="A2765" s="1">
        <v>3909</v>
      </c>
      <c r="B2765" s="7" t="s">
        <v>4140</v>
      </c>
      <c r="C2765" s="12">
        <v>12945</v>
      </c>
      <c r="D2765" s="7" t="s">
        <v>4141</v>
      </c>
      <c r="E2765" s="13" t="s">
        <v>1657</v>
      </c>
      <c r="F2765" t="str">
        <f t="shared" si="215"/>
        <v>Post</v>
      </c>
      <c r="G2765" t="str">
        <f t="shared" si="216"/>
        <v>Post12945Houston</v>
      </c>
      <c r="H2765" t="s">
        <v>33623</v>
      </c>
      <c r="I2765" t="s">
        <v>25048</v>
      </c>
      <c r="J2765" t="str">
        <f t="shared" si="217"/>
        <v>E:\PropInv\MF</v>
      </c>
      <c r="K2765" s="103" t="str">
        <f>HYPERLINK("E:\PropInv\MF\Houston\Post Oak Rd S_12945_Cambridge Village_Houston_03909","Post Oak Rd S_12945_Cambridge Village_Houston_03909" )</f>
        <v>Post Oak Rd S_12945_Cambridge Village_Houston_03909</v>
      </c>
      <c r="L2765" s="104" t="s">
        <v>22253</v>
      </c>
      <c r="M2765" s="103" t="str">
        <f t="shared" si="218"/>
        <v>http://oconnordata.com/mlink/modules/profile/index.cfm?action=profile&amp;prop_id=3909</v>
      </c>
      <c r="N2765" s="1" t="str">
        <f t="shared" si="219"/>
        <v>03909</v>
      </c>
    </row>
    <row r="2766" spans="1:14" x14ac:dyDescent="0.3">
      <c r="A2766" s="1">
        <v>3912</v>
      </c>
      <c r="B2766" s="7" t="s">
        <v>4078</v>
      </c>
      <c r="C2766" s="12">
        <v>4400</v>
      </c>
      <c r="D2766" s="7" t="s">
        <v>4142</v>
      </c>
      <c r="E2766" s="13" t="s">
        <v>1657</v>
      </c>
      <c r="F2766" t="str">
        <f t="shared" si="215"/>
        <v>Airport</v>
      </c>
      <c r="G2766" t="str">
        <f t="shared" si="216"/>
        <v>Airport4400Houston</v>
      </c>
      <c r="H2766" t="s">
        <v>33624</v>
      </c>
      <c r="I2766" t="s">
        <v>25049</v>
      </c>
      <c r="J2766" t="str">
        <f t="shared" si="217"/>
        <v>E:\PropInv\MF</v>
      </c>
      <c r="K2766" s="103" t="str">
        <f>HYPERLINK("E:\PropInv\MF\Houston\Airport W_4400_Palomino Place_Houston_03912","Airport W_4400_Palomino Place_Houston_03912" )</f>
        <v>Airport W_4400_Palomino Place_Houston_03912</v>
      </c>
      <c r="L2766" s="104" t="s">
        <v>22253</v>
      </c>
      <c r="M2766" s="103" t="str">
        <f t="shared" si="218"/>
        <v>http://oconnordata.com/mlink/modules/profile/index.cfm?action=profile&amp;prop_id=3912</v>
      </c>
      <c r="N2766" s="1" t="str">
        <f t="shared" si="219"/>
        <v>03912</v>
      </c>
    </row>
    <row r="2767" spans="1:14" x14ac:dyDescent="0.3">
      <c r="A2767" s="1">
        <v>3915</v>
      </c>
      <c r="B2767" s="7" t="s">
        <v>4143</v>
      </c>
      <c r="C2767" s="12">
        <v>3815</v>
      </c>
      <c r="D2767" s="7" t="s">
        <v>4144</v>
      </c>
      <c r="E2767" s="13" t="s">
        <v>1657</v>
      </c>
      <c r="F2767" t="str">
        <f t="shared" si="215"/>
        <v>Fuqua</v>
      </c>
      <c r="G2767" t="str">
        <f t="shared" si="216"/>
        <v>Fuqua3815Houston</v>
      </c>
      <c r="H2767" t="s">
        <v>33625</v>
      </c>
      <c r="I2767" t="s">
        <v>25050</v>
      </c>
      <c r="J2767" t="str">
        <f t="shared" si="217"/>
        <v>E:\PropInv\MF</v>
      </c>
      <c r="K2767" s="103" t="str">
        <f>HYPERLINK("E:\PropInv\MF\Houston\Fuqua St W_3815_St. James Village_Houston_03915","Fuqua St W_3815_St. James Village_Houston_03915" )</f>
        <v>Fuqua St W_3815_St. James Village_Houston_03915</v>
      </c>
      <c r="L2767" s="104" t="s">
        <v>22253</v>
      </c>
      <c r="M2767" s="103" t="str">
        <f t="shared" si="218"/>
        <v>http://oconnordata.com/mlink/modules/profile/index.cfm?action=profile&amp;prop_id=3915</v>
      </c>
      <c r="N2767" s="1" t="str">
        <f t="shared" si="219"/>
        <v>03915</v>
      </c>
    </row>
    <row r="2768" spans="1:14" x14ac:dyDescent="0.3">
      <c r="A2768" s="1">
        <v>3917</v>
      </c>
      <c r="B2768" s="7" t="s">
        <v>4145</v>
      </c>
      <c r="C2768" s="12">
        <v>1717</v>
      </c>
      <c r="D2768" s="7" t="s">
        <v>4146</v>
      </c>
      <c r="E2768" s="13" t="s">
        <v>1657</v>
      </c>
      <c r="F2768" t="str">
        <f t="shared" si="215"/>
        <v>College</v>
      </c>
      <c r="G2768" t="str">
        <f t="shared" si="216"/>
        <v>College1717Houston</v>
      </c>
      <c r="H2768" t="s">
        <v>33626</v>
      </c>
      <c r="I2768" t="s">
        <v>25051</v>
      </c>
      <c r="J2768" t="str">
        <f t="shared" si="217"/>
        <v>E:\PropInv\MF</v>
      </c>
      <c r="K2768" s="103" t="str">
        <f>HYPERLINK("E:\PropInv\MF\Houston\College_1717_Tara Hall_Houston_03917","College_1717_Tara Hall_Houston_03917" )</f>
        <v>College_1717_Tara Hall_Houston_03917</v>
      </c>
      <c r="L2768" s="104" t="s">
        <v>22253</v>
      </c>
      <c r="M2768" s="103" t="str">
        <f t="shared" si="218"/>
        <v>http://oconnordata.com/mlink/modules/profile/index.cfm?action=profile&amp;prop_id=3917</v>
      </c>
      <c r="N2768" s="1" t="str">
        <f t="shared" si="219"/>
        <v>03917</v>
      </c>
    </row>
    <row r="2769" spans="1:14" x14ac:dyDescent="0.3">
      <c r="A2769" s="1">
        <v>3918</v>
      </c>
      <c r="B2769" s="7" t="s">
        <v>4147</v>
      </c>
      <c r="C2769" s="12">
        <v>7800</v>
      </c>
      <c r="D2769" s="7" t="s">
        <v>4148</v>
      </c>
      <c r="E2769" s="13" t="s">
        <v>1657</v>
      </c>
      <c r="F2769" t="str">
        <f t="shared" si="215"/>
        <v>Easthaven</v>
      </c>
      <c r="G2769" t="str">
        <f t="shared" si="216"/>
        <v>Easthaven7800Houston</v>
      </c>
      <c r="H2769" t="s">
        <v>33627</v>
      </c>
      <c r="I2769" t="s">
        <v>25052</v>
      </c>
      <c r="J2769" t="str">
        <f t="shared" si="217"/>
        <v>E:\PropInv\MF</v>
      </c>
      <c r="K2769" s="103" t="str">
        <f>HYPERLINK("E:\PropInv\MF\Houston\Easthaven_7800_South Houston Vista_Houston_03918","Easthaven_7800_South Houston Vista_Houston_03918" )</f>
        <v>Easthaven_7800_South Houston Vista_Houston_03918</v>
      </c>
      <c r="L2769" s="104" t="s">
        <v>22253</v>
      </c>
      <c r="M2769" s="103" t="str">
        <f t="shared" si="218"/>
        <v>http://oconnordata.com/mlink/modules/profile/index.cfm?action=profile&amp;prop_id=3918</v>
      </c>
      <c r="N2769" s="1" t="str">
        <f t="shared" si="219"/>
        <v>03918</v>
      </c>
    </row>
    <row r="2770" spans="1:14" x14ac:dyDescent="0.3">
      <c r="A2770" s="1">
        <v>3919</v>
      </c>
      <c r="B2770" s="7" t="s">
        <v>4149</v>
      </c>
      <c r="C2770" s="12">
        <v>9313</v>
      </c>
      <c r="D2770" s="7" t="s">
        <v>4150</v>
      </c>
      <c r="E2770" s="13" t="s">
        <v>1657</v>
      </c>
      <c r="F2770" t="str">
        <f t="shared" si="215"/>
        <v>Tallyho</v>
      </c>
      <c r="G2770" t="str">
        <f t="shared" si="216"/>
        <v>Tallyho9313Houston</v>
      </c>
      <c r="H2770" t="s">
        <v>33628</v>
      </c>
      <c r="I2770" t="s">
        <v>25053</v>
      </c>
      <c r="J2770" t="str">
        <f t="shared" si="217"/>
        <v>E:\PropInv\MF</v>
      </c>
      <c r="K2770" s="103" t="str">
        <f>HYPERLINK("E:\PropInv\MF\Houston\Tallyho Rd_9313_Villa del Prado_Houston_03919","Tallyho Rd_9313_Villa del Prado_Houston_03919" )</f>
        <v>Tallyho Rd_9313_Villa del Prado_Houston_03919</v>
      </c>
      <c r="L2770" s="104" t="s">
        <v>22253</v>
      </c>
      <c r="M2770" s="103" t="str">
        <f t="shared" si="218"/>
        <v>http://oconnordata.com/mlink/modules/profile/index.cfm?action=profile&amp;prop_id=3919</v>
      </c>
      <c r="N2770" s="1" t="str">
        <f t="shared" si="219"/>
        <v>03919</v>
      </c>
    </row>
    <row r="2771" spans="1:14" x14ac:dyDescent="0.3">
      <c r="A2771" s="1">
        <v>3921</v>
      </c>
      <c r="B2771" s="7" t="s">
        <v>4151</v>
      </c>
      <c r="C2771" s="12">
        <v>8950</v>
      </c>
      <c r="D2771" s="7" t="s">
        <v>4152</v>
      </c>
      <c r="E2771" s="13" t="s">
        <v>1657</v>
      </c>
      <c r="F2771" t="str">
        <f t="shared" si="215"/>
        <v>Glencrest</v>
      </c>
      <c r="G2771" t="str">
        <f t="shared" si="216"/>
        <v>Glencrest8950Houston</v>
      </c>
      <c r="H2771" t="s">
        <v>33629</v>
      </c>
      <c r="I2771" t="s">
        <v>25054</v>
      </c>
      <c r="J2771" t="str">
        <f t="shared" si="217"/>
        <v>E:\PropInv\MF</v>
      </c>
      <c r="K2771" s="103" t="str">
        <f>HYPERLINK("E:\PropInv\MF\Houston\Glencrest St_8950_Broadway Square-Section 1-II_Houston_03921","Glencrest St_8950_Broadway Square-Section 1-II_Houston_03921" )</f>
        <v>Glencrest St_8950_Broadway Square-Section 1-II_Houston_03921</v>
      </c>
      <c r="L2771" s="104" t="s">
        <v>22253</v>
      </c>
      <c r="M2771" s="103" t="str">
        <f t="shared" si="218"/>
        <v>http://oconnordata.com/mlink/modules/profile/index.cfm?action=profile&amp;prop_id=3921</v>
      </c>
      <c r="N2771" s="1" t="str">
        <f t="shared" si="219"/>
        <v>03921</v>
      </c>
    </row>
    <row r="2772" spans="1:14" x14ac:dyDescent="0.3">
      <c r="A2772" s="1">
        <v>3924</v>
      </c>
      <c r="B2772" s="7" t="s">
        <v>4118</v>
      </c>
      <c r="C2772" s="12">
        <v>5901</v>
      </c>
      <c r="D2772" s="7" t="s">
        <v>4153</v>
      </c>
      <c r="E2772" s="13" t="s">
        <v>1657</v>
      </c>
      <c r="F2772" t="str">
        <f t="shared" si="215"/>
        <v>Selinsky</v>
      </c>
      <c r="G2772" t="str">
        <f t="shared" si="216"/>
        <v>Selinsky5901Houston</v>
      </c>
      <c r="H2772" t="s">
        <v>33630</v>
      </c>
      <c r="I2772" t="s">
        <v>25055</v>
      </c>
      <c r="J2772" t="str">
        <f t="shared" si="217"/>
        <v>E:\PropInv\MF</v>
      </c>
      <c r="K2772" s="103" t="str">
        <f>HYPERLINK("E:\PropInv\MF\Houston\Selinsky Rd_5901_Villa Americana_Houston_03924","Selinsky Rd_5901_Villa Americana_Houston_03924" )</f>
        <v>Selinsky Rd_5901_Villa Americana_Houston_03924</v>
      </c>
      <c r="L2772" s="104" t="s">
        <v>22253</v>
      </c>
      <c r="M2772" s="103" t="str">
        <f t="shared" si="218"/>
        <v>http://oconnordata.com/mlink/modules/profile/index.cfm?action=profile&amp;prop_id=3924</v>
      </c>
      <c r="N2772" s="1" t="str">
        <f t="shared" si="219"/>
        <v>03924</v>
      </c>
    </row>
    <row r="2773" spans="1:14" x14ac:dyDescent="0.3">
      <c r="A2773" s="1">
        <v>3925</v>
      </c>
      <c r="B2773" s="7" t="s">
        <v>4151</v>
      </c>
      <c r="C2773" s="12">
        <v>8801</v>
      </c>
      <c r="D2773" s="7" t="s">
        <v>4154</v>
      </c>
      <c r="E2773" s="13" t="s">
        <v>1657</v>
      </c>
      <c r="F2773" t="str">
        <f t="shared" si="215"/>
        <v>Glencrest</v>
      </c>
      <c r="G2773" t="str">
        <f t="shared" si="216"/>
        <v>Glencrest8801Houston</v>
      </c>
      <c r="H2773" t="s">
        <v>33631</v>
      </c>
      <c r="I2773" t="s">
        <v>25056</v>
      </c>
      <c r="J2773" t="str">
        <f t="shared" si="217"/>
        <v>E:\PropInv\MF</v>
      </c>
      <c r="K2773" s="103" t="str">
        <f>HYPERLINK("E:\PropInv\MF\Houston\Glencrest St_8801_Broadway Square-Section 2-II_Houston_03925","Glencrest St_8801_Broadway Square-Section 2-II_Houston_03925" )</f>
        <v>Glencrest St_8801_Broadway Square-Section 2-II_Houston_03925</v>
      </c>
      <c r="L2773" s="104" t="s">
        <v>22253</v>
      </c>
      <c r="M2773" s="103" t="str">
        <f t="shared" si="218"/>
        <v>http://oconnordata.com/mlink/modules/profile/index.cfm?action=profile&amp;prop_id=3925</v>
      </c>
      <c r="N2773" s="1" t="str">
        <f t="shared" si="219"/>
        <v>03925</v>
      </c>
    </row>
    <row r="2774" spans="1:14" x14ac:dyDescent="0.3">
      <c r="A2774" s="1">
        <v>3926</v>
      </c>
      <c r="B2774" s="7" t="s">
        <v>3916</v>
      </c>
      <c r="C2774" s="12">
        <v>8800</v>
      </c>
      <c r="D2774" s="7" t="s">
        <v>4155</v>
      </c>
      <c r="E2774" s="13" t="s">
        <v>1657</v>
      </c>
      <c r="F2774" t="str">
        <f t="shared" si="215"/>
        <v>Broadway</v>
      </c>
      <c r="G2774" t="str">
        <f t="shared" si="216"/>
        <v>Broadway8800Houston</v>
      </c>
      <c r="H2774" t="s">
        <v>33632</v>
      </c>
      <c r="I2774" t="s">
        <v>25057</v>
      </c>
      <c r="J2774" t="str">
        <f t="shared" si="217"/>
        <v>E:\PropInv\MF</v>
      </c>
      <c r="K2774" s="103" t="str">
        <f>HYPERLINK("E:\PropInv\MF\Houston\Broadway St_8800_Savannah_Houston_03926","Broadway St_8800_Savannah_Houston_03926" )</f>
        <v>Broadway St_8800_Savannah_Houston_03926</v>
      </c>
      <c r="L2774" s="104" t="s">
        <v>22253</v>
      </c>
      <c r="M2774" s="103" t="str">
        <f t="shared" si="218"/>
        <v>http://oconnordata.com/mlink/modules/profile/index.cfm?action=profile&amp;prop_id=3926</v>
      </c>
      <c r="N2774" s="1" t="str">
        <f t="shared" si="219"/>
        <v>03926</v>
      </c>
    </row>
    <row r="2775" spans="1:14" x14ac:dyDescent="0.3">
      <c r="A2775" s="1">
        <v>3927</v>
      </c>
      <c r="B2775" s="7" t="s">
        <v>4156</v>
      </c>
      <c r="C2775" s="12">
        <v>9220</v>
      </c>
      <c r="D2775" s="7" t="s">
        <v>4157</v>
      </c>
      <c r="E2775" s="13" t="s">
        <v>1657</v>
      </c>
      <c r="F2775" t="str">
        <f t="shared" si="215"/>
        <v>Nathaniel</v>
      </c>
      <c r="G2775" t="str">
        <f t="shared" si="216"/>
        <v>Nathaniel9220Houston</v>
      </c>
      <c r="H2775" t="s">
        <v>33633</v>
      </c>
      <c r="I2775" t="s">
        <v>25058</v>
      </c>
      <c r="J2775" t="str">
        <f t="shared" si="217"/>
        <v>E:\PropInv\MF</v>
      </c>
      <c r="K2775" s="103" t="str">
        <f>HYPERLINK("E:\PropInv\MF\Houston\Nathaniel_9220_Indigo Falls Apts I_Houston_03927","Nathaniel_9220_Indigo Falls Apts I_Houston_03927" )</f>
        <v>Nathaniel_9220_Indigo Falls Apts I_Houston_03927</v>
      </c>
      <c r="L2775" s="104" t="s">
        <v>22253</v>
      </c>
      <c r="M2775" s="103" t="str">
        <f t="shared" si="218"/>
        <v>http://oconnordata.com/mlink/modules/profile/index.cfm?action=profile&amp;prop_id=3927</v>
      </c>
      <c r="N2775" s="1" t="str">
        <f t="shared" si="219"/>
        <v>03927</v>
      </c>
    </row>
    <row r="2776" spans="1:14" x14ac:dyDescent="0.3">
      <c r="A2776" s="1">
        <v>3928</v>
      </c>
      <c r="B2776" s="7" t="s">
        <v>4156</v>
      </c>
      <c r="C2776" s="12">
        <v>9220</v>
      </c>
      <c r="D2776" s="7" t="s">
        <v>4158</v>
      </c>
      <c r="E2776" s="13" t="s">
        <v>1657</v>
      </c>
      <c r="F2776" t="str">
        <f t="shared" si="215"/>
        <v>Nathaniel</v>
      </c>
      <c r="G2776" t="str">
        <f t="shared" si="216"/>
        <v>Nathaniel9220Houston</v>
      </c>
      <c r="H2776" t="s">
        <v>33634</v>
      </c>
      <c r="I2776" t="s">
        <v>25059</v>
      </c>
      <c r="J2776" t="str">
        <f t="shared" si="217"/>
        <v>E:\PropInv\MF</v>
      </c>
      <c r="K2776" s="103" t="str">
        <f>HYPERLINK("E:\PropInv\MF\Houston\Nathaniel_9220_Indigo Falls Apts II_Houston_03928","Nathaniel_9220_Indigo Falls Apts II_Houston_03928" )</f>
        <v>Nathaniel_9220_Indigo Falls Apts II_Houston_03928</v>
      </c>
      <c r="L2776" s="104" t="s">
        <v>22253</v>
      </c>
      <c r="M2776" s="103" t="str">
        <f t="shared" si="218"/>
        <v>http://oconnordata.com/mlink/modules/profile/index.cfm?action=profile&amp;prop_id=3928</v>
      </c>
      <c r="N2776" s="1" t="str">
        <f t="shared" si="219"/>
        <v>03928</v>
      </c>
    </row>
    <row r="2777" spans="1:14" x14ac:dyDescent="0.3">
      <c r="A2777" s="1">
        <v>3929</v>
      </c>
      <c r="B2777" s="7" t="s">
        <v>3830</v>
      </c>
      <c r="C2777" s="35" t="s">
        <v>4159</v>
      </c>
      <c r="D2777" s="7" t="s">
        <v>4160</v>
      </c>
      <c r="E2777" s="13" t="s">
        <v>1657</v>
      </c>
      <c r="F2777" t="str">
        <f t="shared" si="215"/>
        <v>Gulf</v>
      </c>
      <c r="G2777" t="str">
        <f t="shared" si="216"/>
        <v>Gulf10809-10909Houston</v>
      </c>
      <c r="H2777" t="s">
        <v>33635</v>
      </c>
      <c r="I2777" t="s">
        <v>25060</v>
      </c>
      <c r="J2777" t="str">
        <f t="shared" si="217"/>
        <v>E:\PropInv\MF</v>
      </c>
      <c r="K2777" s="103" t="str">
        <f>HYPERLINK("E:\PropInv\MF\Houston\Gulf Fwy_10809-10909_Del Mar_Houston_03929","Gulf Fwy_10809-10909_Del Mar_Houston_03929" )</f>
        <v>Gulf Fwy_10809-10909_Del Mar_Houston_03929</v>
      </c>
      <c r="L2777" s="104" t="s">
        <v>22253</v>
      </c>
      <c r="M2777" s="103" t="str">
        <f t="shared" si="218"/>
        <v>http://oconnordata.com/mlink/modules/profile/index.cfm?action=profile&amp;prop_id=3929</v>
      </c>
      <c r="N2777" s="1" t="str">
        <f t="shared" si="219"/>
        <v>03929</v>
      </c>
    </row>
    <row r="2778" spans="1:14" x14ac:dyDescent="0.3">
      <c r="A2778" s="1">
        <v>3930</v>
      </c>
      <c r="B2778" s="7" t="s">
        <v>4156</v>
      </c>
      <c r="C2778" s="12">
        <v>9220</v>
      </c>
      <c r="D2778" s="7" t="s">
        <v>4161</v>
      </c>
      <c r="E2778" s="13" t="s">
        <v>1657</v>
      </c>
      <c r="F2778" t="str">
        <f t="shared" si="215"/>
        <v>Nathaniel</v>
      </c>
      <c r="G2778" t="str">
        <f t="shared" si="216"/>
        <v>Nathaniel9220Houston</v>
      </c>
      <c r="H2778" t="s">
        <v>33636</v>
      </c>
      <c r="I2778" t="s">
        <v>25061</v>
      </c>
      <c r="J2778" t="str">
        <f t="shared" si="217"/>
        <v>E:\PropInv\MF</v>
      </c>
      <c r="K2778" s="103" t="str">
        <f>HYPERLINK("E:\PropInv\MF\Houston\Nathaniel_9220_Indigo Falls Apts III_Houston_03930","Nathaniel_9220_Indigo Falls Apts III_Houston_03930" )</f>
        <v>Nathaniel_9220_Indigo Falls Apts III_Houston_03930</v>
      </c>
      <c r="L2778" s="104" t="s">
        <v>22253</v>
      </c>
      <c r="M2778" s="103" t="str">
        <f t="shared" si="218"/>
        <v>http://oconnordata.com/mlink/modules/profile/index.cfm?action=profile&amp;prop_id=3930</v>
      </c>
      <c r="N2778" s="1" t="str">
        <f t="shared" si="219"/>
        <v>03930</v>
      </c>
    </row>
    <row r="2779" spans="1:14" x14ac:dyDescent="0.3">
      <c r="A2779" s="1">
        <v>3931</v>
      </c>
      <c r="B2779" s="7" t="s">
        <v>4162</v>
      </c>
      <c r="C2779" s="12">
        <v>11911</v>
      </c>
      <c r="D2779" s="7" t="s">
        <v>4163</v>
      </c>
      <c r="E2779" s="13" t="s">
        <v>1657</v>
      </c>
      <c r="F2779" t="str">
        <f t="shared" si="215"/>
        <v>Martin</v>
      </c>
      <c r="G2779" t="str">
        <f t="shared" si="216"/>
        <v>Martin11911Houston</v>
      </c>
      <c r="H2779" t="s">
        <v>33637</v>
      </c>
      <c r="I2779" t="s">
        <v>25062</v>
      </c>
      <c r="J2779" t="str">
        <f t="shared" si="217"/>
        <v>E:\PropInv\MF</v>
      </c>
      <c r="K2779" s="103" t="str">
        <f>HYPERLINK("E:\PropInv\MF\Houston\Martin Luther King_11911_Park Texas_Houston_03931","Martin Luther King_11911_Park Texas_Houston_03931" )</f>
        <v>Martin Luther King_11911_Park Texas_Houston_03931</v>
      </c>
      <c r="L2779" s="104" t="s">
        <v>22253</v>
      </c>
      <c r="M2779" s="103" t="str">
        <f t="shared" si="218"/>
        <v>http://oconnordata.com/mlink/modules/profile/index.cfm?action=profile&amp;prop_id=3931</v>
      </c>
      <c r="N2779" s="1" t="str">
        <f t="shared" si="219"/>
        <v>03931</v>
      </c>
    </row>
    <row r="2780" spans="1:14" x14ac:dyDescent="0.3">
      <c r="A2780" s="1">
        <v>3932</v>
      </c>
      <c r="B2780" s="7" t="s">
        <v>4162</v>
      </c>
      <c r="C2780" s="12">
        <v>12000</v>
      </c>
      <c r="D2780" s="7" t="s">
        <v>4164</v>
      </c>
      <c r="E2780" s="13" t="s">
        <v>1657</v>
      </c>
      <c r="F2780" t="str">
        <f t="shared" si="215"/>
        <v>Martin</v>
      </c>
      <c r="G2780" t="str">
        <f t="shared" si="216"/>
        <v>Martin12000Houston</v>
      </c>
      <c r="H2780" t="s">
        <v>33638</v>
      </c>
      <c r="I2780" t="s">
        <v>25063</v>
      </c>
      <c r="J2780" t="str">
        <f t="shared" si="217"/>
        <v>E:\PropInv\MF</v>
      </c>
      <c r="K2780" s="103" t="str">
        <f>HYPERLINK("E:\PropInv\MF\Houston\Martin Luther King_12000_Park Houston_Houston_03932","Martin Luther King_12000_Park Houston_Houston_03932" )</f>
        <v>Martin Luther King_12000_Park Houston_Houston_03932</v>
      </c>
      <c r="L2780" s="104" t="s">
        <v>22253</v>
      </c>
      <c r="M2780" s="103" t="str">
        <f t="shared" si="218"/>
        <v>http://oconnordata.com/mlink/modules/profile/index.cfm?action=profile&amp;prop_id=3932</v>
      </c>
      <c r="N2780" s="1" t="str">
        <f t="shared" si="219"/>
        <v>03932</v>
      </c>
    </row>
    <row r="2781" spans="1:14" x14ac:dyDescent="0.3">
      <c r="A2781" s="1">
        <v>3934</v>
      </c>
      <c r="B2781" s="7" t="s">
        <v>4165</v>
      </c>
      <c r="C2781" s="12">
        <v>5900</v>
      </c>
      <c r="D2781" s="7" t="s">
        <v>4166</v>
      </c>
      <c r="E2781" s="13" t="s">
        <v>1657</v>
      </c>
      <c r="F2781" t="str">
        <f t="shared" si="215"/>
        <v>Selinsky</v>
      </c>
      <c r="G2781" t="str">
        <f t="shared" si="216"/>
        <v>Selinsky5900Houston</v>
      </c>
      <c r="H2781" t="s">
        <v>33639</v>
      </c>
      <c r="I2781" t="s">
        <v>25064</v>
      </c>
      <c r="J2781" t="str">
        <f t="shared" si="217"/>
        <v>E:\PropInv\MF</v>
      </c>
      <c r="K2781" s="103" t="str">
        <f>HYPERLINK("E:\PropInv\MF\Houston\Selinsky_5900_Crystal Springs_Houston_03934","Selinsky_5900_Crystal Springs_Houston_03934" )</f>
        <v>Selinsky_5900_Crystal Springs_Houston_03934</v>
      </c>
      <c r="L2781" s="104" t="s">
        <v>22253</v>
      </c>
      <c r="M2781" s="103" t="str">
        <f t="shared" si="218"/>
        <v>http://oconnordata.com/mlink/modules/profile/index.cfm?action=profile&amp;prop_id=3934</v>
      </c>
      <c r="N2781" s="1" t="str">
        <f t="shared" si="219"/>
        <v>03934</v>
      </c>
    </row>
    <row r="2782" spans="1:14" x14ac:dyDescent="0.3">
      <c r="A2782" s="1">
        <v>3938</v>
      </c>
      <c r="B2782" s="7" t="s">
        <v>3916</v>
      </c>
      <c r="C2782" s="12">
        <v>8751</v>
      </c>
      <c r="D2782" s="7" t="s">
        <v>4167</v>
      </c>
      <c r="E2782" s="13" t="s">
        <v>1657</v>
      </c>
      <c r="F2782" t="str">
        <f t="shared" si="215"/>
        <v>Broadway</v>
      </c>
      <c r="G2782" t="str">
        <f t="shared" si="216"/>
        <v>Broadway8751Houston</v>
      </c>
      <c r="H2782" t="s">
        <v>33640</v>
      </c>
      <c r="I2782" t="s">
        <v>25065</v>
      </c>
      <c r="J2782" t="str">
        <f t="shared" si="217"/>
        <v>E:\PropInv\MF</v>
      </c>
      <c r="K2782" s="103" t="str">
        <f>HYPERLINK("E:\PropInv\MF\Houston\Broadway St_8751_Broadway Square-Section 3-II_Houston_03938","Broadway St_8751_Broadway Square-Section 3-II_Houston_03938" )</f>
        <v>Broadway St_8751_Broadway Square-Section 3-II_Houston_03938</v>
      </c>
      <c r="L2782" s="104" t="s">
        <v>22253</v>
      </c>
      <c r="M2782" s="103" t="str">
        <f t="shared" si="218"/>
        <v>http://oconnordata.com/mlink/modules/profile/index.cfm?action=profile&amp;prop_id=3938</v>
      </c>
      <c r="N2782" s="1" t="str">
        <f t="shared" si="219"/>
        <v>03938</v>
      </c>
    </row>
    <row r="2783" spans="1:14" x14ac:dyDescent="0.3">
      <c r="A2783" s="1">
        <v>3939</v>
      </c>
      <c r="B2783" s="7" t="s">
        <v>4151</v>
      </c>
      <c r="C2783" s="12">
        <v>8900</v>
      </c>
      <c r="D2783" s="7" t="s">
        <v>4168</v>
      </c>
      <c r="E2783" s="13" t="s">
        <v>1657</v>
      </c>
      <c r="F2783" t="str">
        <f t="shared" si="215"/>
        <v>Glencrest</v>
      </c>
      <c r="G2783" t="str">
        <f t="shared" si="216"/>
        <v>Glencrest8900Houston</v>
      </c>
      <c r="H2783" t="s">
        <v>33641</v>
      </c>
      <c r="I2783" t="s">
        <v>25066</v>
      </c>
      <c r="J2783" t="str">
        <f t="shared" si="217"/>
        <v>E:\PropInv\MF</v>
      </c>
      <c r="K2783" s="103" t="str">
        <f>HYPERLINK("E:\PropInv\MF\Houston\Glencrest St_8900_Broadway Square-Section 1-I_Houston_03939","Glencrest St_8900_Broadway Square-Section 1-I_Houston_03939" )</f>
        <v>Glencrest St_8900_Broadway Square-Section 1-I_Houston_03939</v>
      </c>
      <c r="L2783" s="104" t="s">
        <v>22253</v>
      </c>
      <c r="M2783" s="103" t="str">
        <f t="shared" si="218"/>
        <v>http://oconnordata.com/mlink/modules/profile/index.cfm?action=profile&amp;prop_id=3939</v>
      </c>
      <c r="N2783" s="1" t="str">
        <f t="shared" si="219"/>
        <v>03939</v>
      </c>
    </row>
    <row r="2784" spans="1:14" x14ac:dyDescent="0.3">
      <c r="A2784" s="1">
        <v>3941</v>
      </c>
      <c r="B2784" s="7" t="s">
        <v>3929</v>
      </c>
      <c r="C2784" s="12">
        <v>10201</v>
      </c>
      <c r="D2784" s="7" t="s">
        <v>4169</v>
      </c>
      <c r="E2784" s="13" t="s">
        <v>1657</v>
      </c>
      <c r="F2784" t="str">
        <f t="shared" si="215"/>
        <v>Telephone</v>
      </c>
      <c r="G2784" t="str">
        <f t="shared" si="216"/>
        <v>Telephone10201Houston</v>
      </c>
      <c r="H2784" t="s">
        <v>33642</v>
      </c>
      <c r="I2784" t="s">
        <v>25067</v>
      </c>
      <c r="J2784" t="str">
        <f t="shared" si="217"/>
        <v>E:\PropInv\MF</v>
      </c>
      <c r="K2784" s="103" t="str">
        <f>HYPERLINK("E:\PropInv\MF\Houston\Telephone Rd_10201_Quail Meadows_Houston_03941","Telephone Rd_10201_Quail Meadows_Houston_03941" )</f>
        <v>Telephone Rd_10201_Quail Meadows_Houston_03941</v>
      </c>
      <c r="L2784" s="104" t="s">
        <v>22253</v>
      </c>
      <c r="M2784" s="103" t="str">
        <f t="shared" si="218"/>
        <v>http://oconnordata.com/mlink/modules/profile/index.cfm?action=profile&amp;prop_id=3941</v>
      </c>
      <c r="N2784" s="1" t="str">
        <f t="shared" si="219"/>
        <v>03941</v>
      </c>
    </row>
    <row r="2785" spans="1:14" x14ac:dyDescent="0.3">
      <c r="A2785" s="1">
        <v>3942</v>
      </c>
      <c r="B2785" s="7" t="s">
        <v>3945</v>
      </c>
      <c r="C2785" s="12">
        <v>3402</v>
      </c>
      <c r="D2785" s="7" t="s">
        <v>4170</v>
      </c>
      <c r="E2785" s="13" t="s">
        <v>3960</v>
      </c>
      <c r="F2785" t="str">
        <f t="shared" si="215"/>
        <v>Shaver</v>
      </c>
      <c r="G2785" t="str">
        <f t="shared" si="216"/>
        <v>Shaver3402South Houston</v>
      </c>
      <c r="H2785" t="s">
        <v>33643</v>
      </c>
      <c r="I2785" t="s">
        <v>25068</v>
      </c>
      <c r="J2785" t="str">
        <f t="shared" si="217"/>
        <v>E:\PropInv\MF</v>
      </c>
      <c r="K2785" s="103" t="str">
        <f>HYPERLINK("E:\PropInv\MF\South Houston\Shaver S_3402_Sierra Wald_South Houston_03942","Shaver S_3402_Sierra Wald_South Houston_03942" )</f>
        <v>Shaver S_3402_Sierra Wald_South Houston_03942</v>
      </c>
      <c r="L2785" s="104" t="s">
        <v>22253</v>
      </c>
      <c r="M2785" s="103" t="str">
        <f t="shared" si="218"/>
        <v>http://oconnordata.com/mlink/modules/profile/index.cfm?action=profile&amp;prop_id=3942</v>
      </c>
      <c r="N2785" s="1" t="str">
        <f t="shared" si="219"/>
        <v>03942</v>
      </c>
    </row>
    <row r="2786" spans="1:14" x14ac:dyDescent="0.3">
      <c r="A2786" s="1">
        <v>3943</v>
      </c>
      <c r="B2786" s="7" t="s">
        <v>3945</v>
      </c>
      <c r="C2786" s="12">
        <v>3600</v>
      </c>
      <c r="D2786" s="7" t="s">
        <v>639</v>
      </c>
      <c r="E2786" s="13" t="s">
        <v>3960</v>
      </c>
      <c r="F2786" t="str">
        <f t="shared" si="215"/>
        <v>Shaver</v>
      </c>
      <c r="G2786" t="str">
        <f t="shared" si="216"/>
        <v>Shaver3600South Houston</v>
      </c>
      <c r="H2786" t="s">
        <v>33644</v>
      </c>
      <c r="I2786" t="s">
        <v>25069</v>
      </c>
      <c r="J2786" t="str">
        <f t="shared" si="217"/>
        <v>E:\PropInv\MF</v>
      </c>
      <c r="K2786" s="103" t="str">
        <f>HYPERLINK("E:\PropInv\MF\South Houston\Shaver S_3600_The Crossing_South Houston_03943","Shaver S_3600_The Crossing_South Houston_03943" )</f>
        <v>Shaver S_3600_The Crossing_South Houston_03943</v>
      </c>
      <c r="L2786" s="104" t="s">
        <v>22253</v>
      </c>
      <c r="M2786" s="103" t="str">
        <f t="shared" si="218"/>
        <v>http://oconnordata.com/mlink/modules/profile/index.cfm?action=profile&amp;prop_id=3943</v>
      </c>
      <c r="N2786" s="1" t="str">
        <f t="shared" si="219"/>
        <v>03943</v>
      </c>
    </row>
    <row r="2787" spans="1:14" x14ac:dyDescent="0.3">
      <c r="A2787" s="1">
        <v>3947</v>
      </c>
      <c r="B2787" s="7" t="s">
        <v>3929</v>
      </c>
      <c r="C2787" s="12">
        <v>10901</v>
      </c>
      <c r="D2787" s="7" t="s">
        <v>4013</v>
      </c>
      <c r="E2787" s="13" t="s">
        <v>1657</v>
      </c>
      <c r="F2787" t="str">
        <f t="shared" si="215"/>
        <v>Telephone</v>
      </c>
      <c r="G2787" t="str">
        <f t="shared" si="216"/>
        <v>Telephone10901Houston</v>
      </c>
      <c r="H2787" t="s">
        <v>33645</v>
      </c>
      <c r="I2787" t="s">
        <v>25070</v>
      </c>
      <c r="J2787" t="str">
        <f t="shared" si="217"/>
        <v>E:\PropInv\MF</v>
      </c>
      <c r="K2787" s="103" t="str">
        <f>HYPERLINK("E:\PropInv\MF\Houston\Telephone Rd_10901_Parkview Village_Houston_03947","Telephone Rd_10901_Parkview Village_Houston_03947" )</f>
        <v>Telephone Rd_10901_Parkview Village_Houston_03947</v>
      </c>
      <c r="L2787" s="104" t="s">
        <v>22253</v>
      </c>
      <c r="M2787" s="103" t="str">
        <f t="shared" si="218"/>
        <v>http://oconnordata.com/mlink/modules/profile/index.cfm?action=profile&amp;prop_id=3947</v>
      </c>
      <c r="N2787" s="1" t="str">
        <f t="shared" si="219"/>
        <v>03947</v>
      </c>
    </row>
    <row r="2788" spans="1:14" x14ac:dyDescent="0.3">
      <c r="A2788" s="1">
        <v>3949</v>
      </c>
      <c r="B2788" s="7" t="s">
        <v>3975</v>
      </c>
      <c r="C2788" s="12">
        <v>801</v>
      </c>
      <c r="D2788" s="7" t="s">
        <v>4171</v>
      </c>
      <c r="E2788" s="13" t="s">
        <v>3960</v>
      </c>
      <c r="F2788" t="str">
        <f t="shared" si="215"/>
        <v>Allen</v>
      </c>
      <c r="G2788" t="str">
        <f t="shared" si="216"/>
        <v>Allen801South Houston</v>
      </c>
      <c r="H2788" t="s">
        <v>33646</v>
      </c>
      <c r="I2788" t="s">
        <v>25071</v>
      </c>
      <c r="J2788" t="str">
        <f t="shared" si="217"/>
        <v>E:\PropInv\MF</v>
      </c>
      <c r="K2788" s="103" t="str">
        <f>HYPERLINK("E:\PropInv\MF\South Houston\Allen Genoa S_801_Alegra Palms_South Houston_03949","Allen Genoa S_801_Alegra Palms_South Houston_03949" )</f>
        <v>Allen Genoa S_801_Alegra Palms_South Houston_03949</v>
      </c>
      <c r="L2788" s="104" t="s">
        <v>22253</v>
      </c>
      <c r="M2788" s="103" t="str">
        <f t="shared" si="218"/>
        <v>http://oconnordata.com/mlink/modules/profile/index.cfm?action=profile&amp;prop_id=3949</v>
      </c>
      <c r="N2788" s="1" t="str">
        <f t="shared" si="219"/>
        <v>03949</v>
      </c>
    </row>
    <row r="2789" spans="1:14" x14ac:dyDescent="0.3">
      <c r="A2789" s="1">
        <v>3950</v>
      </c>
      <c r="B2789" s="7" t="s">
        <v>4172</v>
      </c>
      <c r="C2789" s="12">
        <v>1000</v>
      </c>
      <c r="D2789" s="7" t="s">
        <v>4173</v>
      </c>
      <c r="E2789" s="13" t="s">
        <v>3960</v>
      </c>
      <c r="F2789" t="str">
        <f t="shared" si="215"/>
        <v>Allen</v>
      </c>
      <c r="G2789" t="str">
        <f t="shared" si="216"/>
        <v>Allen1000South Houston</v>
      </c>
      <c r="H2789" t="s">
        <v>33647</v>
      </c>
      <c r="I2789" t="s">
        <v>25072</v>
      </c>
      <c r="J2789" t="str">
        <f t="shared" si="217"/>
        <v>E:\PropInv\MF</v>
      </c>
      <c r="K2789" s="103" t="str">
        <f>HYPERLINK("E:\PropInv\MF\South Houston\Allen Genoa_1000_Allen Arms I_South Houston_03950","Allen Genoa_1000_Allen Arms I_South Houston_03950" )</f>
        <v>Allen Genoa_1000_Allen Arms I_South Houston_03950</v>
      </c>
      <c r="L2789" s="104" t="s">
        <v>22253</v>
      </c>
      <c r="M2789" s="103" t="str">
        <f t="shared" si="218"/>
        <v>http://oconnordata.com/mlink/modules/profile/index.cfm?action=profile&amp;prop_id=3950</v>
      </c>
      <c r="N2789" s="1" t="str">
        <f t="shared" si="219"/>
        <v>03950</v>
      </c>
    </row>
    <row r="2790" spans="1:14" x14ac:dyDescent="0.3">
      <c r="A2790" s="1">
        <v>3951</v>
      </c>
      <c r="B2790" s="7" t="s">
        <v>4174</v>
      </c>
      <c r="C2790" s="12">
        <v>1600</v>
      </c>
      <c r="D2790" s="7" t="s">
        <v>4175</v>
      </c>
      <c r="E2790" s="13" t="s">
        <v>3960</v>
      </c>
      <c r="F2790" t="str">
        <f t="shared" si="215"/>
        <v>Ave</v>
      </c>
      <c r="G2790" t="str">
        <f t="shared" si="216"/>
        <v>Ave1600South Houston</v>
      </c>
      <c r="H2790" t="s">
        <v>33648</v>
      </c>
      <c r="I2790" t="s">
        <v>25073</v>
      </c>
      <c r="J2790" t="str">
        <f t="shared" si="217"/>
        <v>E:\PropInv\MF</v>
      </c>
      <c r="K2790" s="103" t="str">
        <f>HYPERLINK("E:\PropInv\MF\South Houston\Ave M_1600_Allen Arms II_South Houston_03951","Ave M_1600_Allen Arms II_South Houston_03951" )</f>
        <v>Ave M_1600_Allen Arms II_South Houston_03951</v>
      </c>
      <c r="L2790" s="104" t="s">
        <v>22253</v>
      </c>
      <c r="M2790" s="103" t="str">
        <f t="shared" si="218"/>
        <v>http://oconnordata.com/mlink/modules/profile/index.cfm?action=profile&amp;prop_id=3951</v>
      </c>
      <c r="N2790" s="1" t="str">
        <f t="shared" si="219"/>
        <v>03951</v>
      </c>
    </row>
    <row r="2791" spans="1:14" x14ac:dyDescent="0.3">
      <c r="A2791" s="1">
        <v>3952</v>
      </c>
      <c r="B2791" s="7" t="s">
        <v>4176</v>
      </c>
      <c r="C2791" s="12">
        <v>1606</v>
      </c>
      <c r="D2791" s="7" t="s">
        <v>4155</v>
      </c>
      <c r="E2791" s="13" t="s">
        <v>3960</v>
      </c>
      <c r="F2791" t="str">
        <f t="shared" si="215"/>
        <v>Ave</v>
      </c>
      <c r="G2791" t="str">
        <f t="shared" si="216"/>
        <v>Ave1606South Houston</v>
      </c>
      <c r="H2791" t="s">
        <v>33649</v>
      </c>
      <c r="I2791" t="s">
        <v>25074</v>
      </c>
      <c r="J2791" t="str">
        <f t="shared" si="217"/>
        <v>E:\PropInv\MF</v>
      </c>
      <c r="K2791" s="103" t="str">
        <f>HYPERLINK("E:\PropInv\MF\South Houston\Ave N_1606_Savannah_South Houston_03952","Ave N_1606_Savannah_South Houston_03952" )</f>
        <v>Ave N_1606_Savannah_South Houston_03952</v>
      </c>
      <c r="L2791" s="104" t="s">
        <v>22253</v>
      </c>
      <c r="M2791" s="103" t="str">
        <f t="shared" si="218"/>
        <v>http://oconnordata.com/mlink/modules/profile/index.cfm?action=profile&amp;prop_id=3952</v>
      </c>
      <c r="N2791" s="1" t="str">
        <f t="shared" si="219"/>
        <v>03952</v>
      </c>
    </row>
    <row r="2792" spans="1:14" x14ac:dyDescent="0.3">
      <c r="A2792" s="1">
        <v>3953</v>
      </c>
      <c r="B2792" s="7" t="s">
        <v>4177</v>
      </c>
      <c r="C2792" s="12">
        <v>1221</v>
      </c>
      <c r="D2792" s="7" t="s">
        <v>4178</v>
      </c>
      <c r="E2792" s="13" t="s">
        <v>1657</v>
      </c>
      <c r="F2792" t="str">
        <f t="shared" si="215"/>
        <v>Redford</v>
      </c>
      <c r="G2792" t="str">
        <f t="shared" si="216"/>
        <v>Redford1221Houston</v>
      </c>
      <c r="H2792" t="s">
        <v>33650</v>
      </c>
      <c r="I2792" t="s">
        <v>25075</v>
      </c>
      <c r="J2792" t="str">
        <f t="shared" si="217"/>
        <v>E:\PropInv\MF</v>
      </c>
      <c r="K2792" s="103" t="str">
        <f>HYPERLINK("E:\PropInv\MF\Houston\Redford Rd_1221_The Bristol_Houston_03953","Redford Rd_1221_The Bristol_Houston_03953" )</f>
        <v>Redford Rd_1221_The Bristol_Houston_03953</v>
      </c>
      <c r="L2792" s="104" t="s">
        <v>22253</v>
      </c>
      <c r="M2792" s="103" t="str">
        <f t="shared" si="218"/>
        <v>http://oconnordata.com/mlink/modules/profile/index.cfm?action=profile&amp;prop_id=3953</v>
      </c>
      <c r="N2792" s="1" t="str">
        <f t="shared" si="219"/>
        <v>03953</v>
      </c>
    </row>
    <row r="2793" spans="1:14" x14ac:dyDescent="0.3">
      <c r="A2793" s="1">
        <v>3954</v>
      </c>
      <c r="B2793" s="7" t="s">
        <v>4179</v>
      </c>
      <c r="C2793" s="12">
        <v>9406</v>
      </c>
      <c r="D2793" s="7" t="s">
        <v>4180</v>
      </c>
      <c r="E2793" s="13" t="s">
        <v>1657</v>
      </c>
      <c r="F2793" t="str">
        <f t="shared" si="215"/>
        <v>Redford</v>
      </c>
      <c r="G2793" t="str">
        <f t="shared" si="216"/>
        <v>Redford9406Houston</v>
      </c>
      <c r="H2793" t="s">
        <v>33651</v>
      </c>
      <c r="I2793" t="s">
        <v>25076</v>
      </c>
      <c r="J2793" t="str">
        <f t="shared" si="217"/>
        <v>E:\PropInv\MF</v>
      </c>
      <c r="K2793" s="103" t="str">
        <f>HYPERLINK("E:\PropInv\MF\Houston\Redford St_9406_Redford Square_Houston_03954","Redford St_9406_Redford Square_Houston_03954" )</f>
        <v>Redford St_9406_Redford Square_Houston_03954</v>
      </c>
      <c r="L2793" s="104" t="s">
        <v>22253</v>
      </c>
      <c r="M2793" s="103" t="str">
        <f t="shared" si="218"/>
        <v>http://oconnordata.com/mlink/modules/profile/index.cfm?action=profile&amp;prop_id=3954</v>
      </c>
      <c r="N2793" s="1" t="str">
        <f t="shared" si="219"/>
        <v>03954</v>
      </c>
    </row>
    <row r="2794" spans="1:14" x14ac:dyDescent="0.3">
      <c r="A2794" s="1">
        <v>3955</v>
      </c>
      <c r="B2794" s="7" t="s">
        <v>3916</v>
      </c>
      <c r="C2794" s="12">
        <v>8915</v>
      </c>
      <c r="D2794" s="7" t="s">
        <v>4181</v>
      </c>
      <c r="E2794" s="13" t="s">
        <v>1657</v>
      </c>
      <c r="F2794" t="str">
        <f t="shared" si="215"/>
        <v>Broadway</v>
      </c>
      <c r="G2794" t="str">
        <f t="shared" si="216"/>
        <v>Broadway8915Houston</v>
      </c>
      <c r="H2794" t="s">
        <v>33652</v>
      </c>
      <c r="I2794" t="s">
        <v>25077</v>
      </c>
      <c r="J2794" t="str">
        <f t="shared" si="217"/>
        <v>E:\PropInv\MF</v>
      </c>
      <c r="K2794" s="103" t="str">
        <f>HYPERLINK("E:\PropInv\MF\Houston\Broadway St_8915_Broadway Square-Section 1-III_Houston_03955","Broadway St_8915_Broadway Square-Section 1-III_Houston_03955" )</f>
        <v>Broadway St_8915_Broadway Square-Section 1-III_Houston_03955</v>
      </c>
      <c r="L2794" s="104" t="s">
        <v>22253</v>
      </c>
      <c r="M2794" s="103" t="str">
        <f t="shared" si="218"/>
        <v>http://oconnordata.com/mlink/modules/profile/index.cfm?action=profile&amp;prop_id=3955</v>
      </c>
      <c r="N2794" s="1" t="str">
        <f t="shared" si="219"/>
        <v>03955</v>
      </c>
    </row>
    <row r="2795" spans="1:14" x14ac:dyDescent="0.3">
      <c r="A2795" s="1">
        <v>3957</v>
      </c>
      <c r="B2795" s="7" t="s">
        <v>3945</v>
      </c>
      <c r="C2795" s="12">
        <v>3635</v>
      </c>
      <c r="D2795" s="7" t="s">
        <v>4182</v>
      </c>
      <c r="E2795" s="13" t="s">
        <v>3924</v>
      </c>
      <c r="F2795" t="str">
        <f t="shared" si="215"/>
        <v>Shaver</v>
      </c>
      <c r="G2795" t="str">
        <f t="shared" si="216"/>
        <v>Shaver3635Pasadena</v>
      </c>
      <c r="H2795" t="s">
        <v>33653</v>
      </c>
      <c r="I2795" t="s">
        <v>25078</v>
      </c>
      <c r="J2795" t="str">
        <f t="shared" si="217"/>
        <v>E:\PropInv\MF</v>
      </c>
      <c r="K2795" s="103" t="str">
        <f>HYPERLINK("E:\PropInv\MF\Pasadena\Shaver S_3635_West Point Village_Pasadena_03957","Shaver S_3635_West Point Village_Pasadena_03957" )</f>
        <v>Shaver S_3635_West Point Village_Pasadena_03957</v>
      </c>
      <c r="L2795" s="104" t="s">
        <v>22253</v>
      </c>
      <c r="M2795" s="103" t="str">
        <f t="shared" si="218"/>
        <v>http://oconnordata.com/mlink/modules/profile/index.cfm?action=profile&amp;prop_id=3957</v>
      </c>
      <c r="N2795" s="1" t="str">
        <f t="shared" si="219"/>
        <v>03957</v>
      </c>
    </row>
    <row r="2796" spans="1:14" x14ac:dyDescent="0.3">
      <c r="A2796" s="1">
        <v>3959</v>
      </c>
      <c r="B2796" s="7" t="s">
        <v>4183</v>
      </c>
      <c r="C2796" s="12">
        <v>4300</v>
      </c>
      <c r="D2796" s="7" t="s">
        <v>4184</v>
      </c>
      <c r="E2796" s="13" t="s">
        <v>1657</v>
      </c>
      <c r="F2796" t="str">
        <f t="shared" si="215"/>
        <v>Shaver</v>
      </c>
      <c r="G2796" t="str">
        <f t="shared" si="216"/>
        <v>Shaver4300Houston</v>
      </c>
      <c r="H2796" t="s">
        <v>33654</v>
      </c>
      <c r="I2796" t="s">
        <v>25079</v>
      </c>
      <c r="J2796" t="str">
        <f t="shared" si="217"/>
        <v>E:\PropInv\MF</v>
      </c>
      <c r="K2796" s="103" t="str">
        <f>HYPERLINK("E:\PropInv\MF\Houston\Shaver St S_4300_La Villita_Houston_03959","Shaver St S_4300_La Villita_Houston_03959" )</f>
        <v>Shaver St S_4300_La Villita_Houston_03959</v>
      </c>
      <c r="L2796" s="104" t="s">
        <v>22253</v>
      </c>
      <c r="M2796" s="103" t="str">
        <f t="shared" si="218"/>
        <v>http://oconnordata.com/mlink/modules/profile/index.cfm?action=profile&amp;prop_id=3959</v>
      </c>
      <c r="N2796" s="1" t="str">
        <f t="shared" si="219"/>
        <v>03959</v>
      </c>
    </row>
    <row r="2797" spans="1:14" x14ac:dyDescent="0.3">
      <c r="A2797" s="1">
        <v>3960</v>
      </c>
      <c r="B2797" s="7" t="s">
        <v>3945</v>
      </c>
      <c r="C2797" s="12">
        <v>4343</v>
      </c>
      <c r="D2797" s="7" t="s">
        <v>4185</v>
      </c>
      <c r="E2797" s="13" t="s">
        <v>3924</v>
      </c>
      <c r="F2797" t="str">
        <f t="shared" si="215"/>
        <v>Shaver</v>
      </c>
      <c r="G2797" t="str">
        <f t="shared" si="216"/>
        <v>Shaver4343Pasadena</v>
      </c>
      <c r="H2797" t="s">
        <v>33655</v>
      </c>
      <c r="I2797" t="s">
        <v>25080</v>
      </c>
      <c r="J2797" t="str">
        <f t="shared" si="217"/>
        <v>E:\PropInv\MF</v>
      </c>
      <c r="K2797" s="103" t="str">
        <f>HYPERLINK("E:\PropInv\MF\Pasadena\Shaver S_4343_Park Hollow_Pasadena_03960","Shaver S_4343_Park Hollow_Pasadena_03960" )</f>
        <v>Shaver S_4343_Park Hollow_Pasadena_03960</v>
      </c>
      <c r="L2797" s="104" t="s">
        <v>22253</v>
      </c>
      <c r="M2797" s="103" t="str">
        <f t="shared" si="218"/>
        <v>http://oconnordata.com/mlink/modules/profile/index.cfm?action=profile&amp;prop_id=3960</v>
      </c>
      <c r="N2797" s="1" t="str">
        <f t="shared" si="219"/>
        <v>03960</v>
      </c>
    </row>
    <row r="2798" spans="1:14" x14ac:dyDescent="0.3">
      <c r="A2798" s="1">
        <v>3961</v>
      </c>
      <c r="B2798" s="7" t="s">
        <v>4186</v>
      </c>
      <c r="C2798" s="12">
        <v>201</v>
      </c>
      <c r="D2798" s="7" t="s">
        <v>4187</v>
      </c>
      <c r="E2798" s="13" t="s">
        <v>3924</v>
      </c>
      <c r="F2798" t="str">
        <f t="shared" si="215"/>
        <v>Vista</v>
      </c>
      <c r="G2798" t="str">
        <f t="shared" si="216"/>
        <v>Vista201Pasadena</v>
      </c>
      <c r="H2798" t="s">
        <v>33656</v>
      </c>
      <c r="I2798" t="s">
        <v>25081</v>
      </c>
      <c r="J2798" t="str">
        <f t="shared" si="217"/>
        <v>E:\PropInv\MF</v>
      </c>
      <c r="K2798" s="103" t="str">
        <f>HYPERLINK("E:\PropInv\MF\Pasadena\Vista_201_Park On Vista_Pasadena_03961","Vista_201_Park On Vista_Pasadena_03961" )</f>
        <v>Vista_201_Park On Vista_Pasadena_03961</v>
      </c>
      <c r="L2798" s="104" t="s">
        <v>22253</v>
      </c>
      <c r="M2798" s="103" t="str">
        <f t="shared" si="218"/>
        <v>http://oconnordata.com/mlink/modules/profile/index.cfm?action=profile&amp;prop_id=3961</v>
      </c>
      <c r="N2798" s="1" t="str">
        <f t="shared" si="219"/>
        <v>03961</v>
      </c>
    </row>
    <row r="2799" spans="1:14" x14ac:dyDescent="0.3">
      <c r="A2799" s="1">
        <v>3962</v>
      </c>
      <c r="B2799" s="7" t="s">
        <v>4188</v>
      </c>
      <c r="C2799" s="12">
        <v>77</v>
      </c>
      <c r="D2799" s="7" t="s">
        <v>4189</v>
      </c>
      <c r="E2799" s="13" t="s">
        <v>1657</v>
      </c>
      <c r="F2799" t="str">
        <f t="shared" si="215"/>
        <v>Edgebrook</v>
      </c>
      <c r="G2799" t="str">
        <f t="shared" si="216"/>
        <v>Edgebrook77Houston</v>
      </c>
      <c r="H2799" t="s">
        <v>33657</v>
      </c>
      <c r="I2799" t="s">
        <v>25082</v>
      </c>
      <c r="J2799" t="str">
        <f t="shared" si="217"/>
        <v>E:\PropInv\MF</v>
      </c>
      <c r="K2799" s="103" t="str">
        <f>HYPERLINK("E:\PropInv\MF\Houston\Edgebrook Dr E_77_Flagstone Gardens_Houston_03962","Edgebrook Dr E_77_Flagstone Gardens_Houston_03962" )</f>
        <v>Edgebrook Dr E_77_Flagstone Gardens_Houston_03962</v>
      </c>
      <c r="L2799" s="104" t="s">
        <v>22253</v>
      </c>
      <c r="M2799" s="103" t="str">
        <f t="shared" si="218"/>
        <v>http://oconnordata.com/mlink/modules/profile/index.cfm?action=profile&amp;prop_id=3962</v>
      </c>
      <c r="N2799" s="1" t="str">
        <f t="shared" si="219"/>
        <v>03962</v>
      </c>
    </row>
    <row r="2800" spans="1:14" x14ac:dyDescent="0.3">
      <c r="A2800" s="1">
        <v>3963</v>
      </c>
      <c r="B2800" s="7" t="s">
        <v>4190</v>
      </c>
      <c r="C2800" s="12">
        <v>116</v>
      </c>
      <c r="D2800" s="7" t="s">
        <v>4191</v>
      </c>
      <c r="E2800" s="13" t="s">
        <v>1657</v>
      </c>
      <c r="F2800" t="str">
        <f t="shared" si="215"/>
        <v>Edgebrook</v>
      </c>
      <c r="G2800" t="str">
        <f t="shared" si="216"/>
        <v>Edgebrook116Houston</v>
      </c>
      <c r="H2800" t="s">
        <v>33658</v>
      </c>
      <c r="I2800" t="s">
        <v>25083</v>
      </c>
      <c r="J2800" t="str">
        <f t="shared" si="217"/>
        <v>E:\PropInv\MF</v>
      </c>
      <c r="K2800" s="103" t="str">
        <f>HYPERLINK("E:\PropInv\MF\Houston\Edgebrook E_116_Arlington Place_Houston_03963","Edgebrook E_116_Arlington Place_Houston_03963" )</f>
        <v>Edgebrook E_116_Arlington Place_Houston_03963</v>
      </c>
      <c r="L2800" s="104" t="s">
        <v>22253</v>
      </c>
      <c r="M2800" s="103" t="str">
        <f t="shared" si="218"/>
        <v>http://oconnordata.com/mlink/modules/profile/index.cfm?action=profile&amp;prop_id=3963</v>
      </c>
      <c r="N2800" s="1" t="str">
        <f t="shared" si="219"/>
        <v>03963</v>
      </c>
    </row>
    <row r="2801" spans="1:14" x14ac:dyDescent="0.3">
      <c r="A2801" s="1">
        <v>3965</v>
      </c>
      <c r="B2801" s="7" t="s">
        <v>3945</v>
      </c>
      <c r="C2801" s="12">
        <v>4101</v>
      </c>
      <c r="D2801" s="7" t="s">
        <v>4192</v>
      </c>
      <c r="E2801" s="13" t="s">
        <v>3924</v>
      </c>
      <c r="F2801" t="str">
        <f t="shared" si="215"/>
        <v>Shaver</v>
      </c>
      <c r="G2801" t="str">
        <f t="shared" si="216"/>
        <v>Shaver4101Pasadena</v>
      </c>
      <c r="H2801" t="s">
        <v>33659</v>
      </c>
      <c r="I2801" t="s">
        <v>25084</v>
      </c>
      <c r="J2801" t="str">
        <f t="shared" si="217"/>
        <v>E:\PropInv\MF</v>
      </c>
      <c r="K2801" s="103" t="str">
        <f>HYPERLINK("E:\PropInv\MF\Pasadena\Shaver S_4101_The Pointe_Pasadena_03965","Shaver S_4101_The Pointe_Pasadena_03965" )</f>
        <v>Shaver S_4101_The Pointe_Pasadena_03965</v>
      </c>
      <c r="L2801" s="104" t="s">
        <v>22253</v>
      </c>
      <c r="M2801" s="103" t="str">
        <f t="shared" si="218"/>
        <v>http://oconnordata.com/mlink/modules/profile/index.cfm?action=profile&amp;prop_id=3965</v>
      </c>
      <c r="N2801" s="1" t="str">
        <f t="shared" si="219"/>
        <v>03965</v>
      </c>
    </row>
    <row r="2802" spans="1:14" x14ac:dyDescent="0.3">
      <c r="A2802" s="1">
        <v>3966</v>
      </c>
      <c r="B2802" s="7" t="s">
        <v>4188</v>
      </c>
      <c r="C2802" s="12">
        <v>101</v>
      </c>
      <c r="D2802" s="7" t="s">
        <v>4193</v>
      </c>
      <c r="E2802" s="13" t="s">
        <v>1657</v>
      </c>
      <c r="F2802" t="str">
        <f t="shared" si="215"/>
        <v>Edgebrook</v>
      </c>
      <c r="G2802" t="str">
        <f t="shared" si="216"/>
        <v>Edgebrook101Houston</v>
      </c>
      <c r="H2802" t="s">
        <v>33660</v>
      </c>
      <c r="I2802" t="s">
        <v>25085</v>
      </c>
      <c r="J2802" t="str">
        <f t="shared" si="217"/>
        <v>E:\PropInv\MF</v>
      </c>
      <c r="K2802" s="103" t="str">
        <f>HYPERLINK("E:\PropInv\MF\Houston\Edgebrook Dr E_101_Edgebrook I_Houston_03966","Edgebrook Dr E_101_Edgebrook I_Houston_03966" )</f>
        <v>Edgebrook Dr E_101_Edgebrook I_Houston_03966</v>
      </c>
      <c r="L2802" s="104" t="s">
        <v>22253</v>
      </c>
      <c r="M2802" s="103" t="str">
        <f t="shared" si="218"/>
        <v>http://oconnordata.com/mlink/modules/profile/index.cfm?action=profile&amp;prop_id=3966</v>
      </c>
      <c r="N2802" s="1" t="str">
        <f t="shared" si="219"/>
        <v>03966</v>
      </c>
    </row>
    <row r="2803" spans="1:14" x14ac:dyDescent="0.3">
      <c r="A2803" s="1">
        <v>3968</v>
      </c>
      <c r="B2803" s="7" t="s">
        <v>4194</v>
      </c>
      <c r="C2803" s="12">
        <v>3927</v>
      </c>
      <c r="D2803" s="7" t="s">
        <v>4195</v>
      </c>
      <c r="E2803" s="13" t="s">
        <v>1657</v>
      </c>
      <c r="F2803" t="str">
        <f t="shared" si="215"/>
        <v>Arlington</v>
      </c>
      <c r="G2803" t="str">
        <f t="shared" si="216"/>
        <v>Arlington3927Houston</v>
      </c>
      <c r="H2803" t="s">
        <v>33661</v>
      </c>
      <c r="I2803" t="s">
        <v>25086</v>
      </c>
      <c r="J2803" t="str">
        <f t="shared" si="217"/>
        <v>E:\PropInv\MF</v>
      </c>
      <c r="K2803" s="103" t="str">
        <f>HYPERLINK("E:\PropInv\MF\Houston\Arlington Sq_3927_The Commons on Edgebrook_Houston_03968","Arlington Sq_3927_The Commons on Edgebrook_Houston_03968" )</f>
        <v>Arlington Sq_3927_The Commons on Edgebrook_Houston_03968</v>
      </c>
      <c r="L2803" s="104" t="s">
        <v>22253</v>
      </c>
      <c r="M2803" s="103" t="str">
        <f t="shared" si="218"/>
        <v>http://oconnordata.com/mlink/modules/profile/index.cfm?action=profile&amp;prop_id=3968</v>
      </c>
      <c r="N2803" s="1" t="str">
        <f t="shared" si="219"/>
        <v>03968</v>
      </c>
    </row>
    <row r="2804" spans="1:14" x14ac:dyDescent="0.3">
      <c r="A2804" s="1">
        <v>3969</v>
      </c>
      <c r="B2804" s="7" t="s">
        <v>4194</v>
      </c>
      <c r="C2804" s="12">
        <v>3925</v>
      </c>
      <c r="D2804" s="7" t="s">
        <v>4196</v>
      </c>
      <c r="E2804" s="13" t="s">
        <v>1657</v>
      </c>
      <c r="F2804" t="str">
        <f t="shared" si="215"/>
        <v>Arlington</v>
      </c>
      <c r="G2804" t="str">
        <f t="shared" si="216"/>
        <v>Arlington3925Houston</v>
      </c>
      <c r="H2804" t="s">
        <v>33662</v>
      </c>
      <c r="I2804" t="s">
        <v>25087</v>
      </c>
      <c r="J2804" t="str">
        <f t="shared" si="217"/>
        <v>E:\PropInv\MF</v>
      </c>
      <c r="K2804" s="103" t="str">
        <f>HYPERLINK("E:\PropInv\MF\Houston\Arlington Sq_3925_Quay Point_Houston_03969","Arlington Sq_3925_Quay Point_Houston_03969" )</f>
        <v>Arlington Sq_3925_Quay Point_Houston_03969</v>
      </c>
      <c r="L2804" s="104" t="s">
        <v>22253</v>
      </c>
      <c r="M2804" s="103" t="str">
        <f t="shared" si="218"/>
        <v>http://oconnordata.com/mlink/modules/profile/index.cfm?action=profile&amp;prop_id=3969</v>
      </c>
      <c r="N2804" s="1" t="str">
        <f t="shared" si="219"/>
        <v>03969</v>
      </c>
    </row>
    <row r="2805" spans="1:14" x14ac:dyDescent="0.3">
      <c r="A2805" s="1">
        <v>3970</v>
      </c>
      <c r="B2805" s="7" t="s">
        <v>4197</v>
      </c>
      <c r="C2805" s="12">
        <v>3520</v>
      </c>
      <c r="D2805" s="7" t="s">
        <v>4198</v>
      </c>
      <c r="E2805" s="13" t="s">
        <v>3924</v>
      </c>
      <c r="F2805" t="str">
        <f t="shared" si="215"/>
        <v>Burke</v>
      </c>
      <c r="G2805" t="str">
        <f t="shared" si="216"/>
        <v>Burke3520Pasadena</v>
      </c>
      <c r="H2805" t="s">
        <v>33663</v>
      </c>
      <c r="I2805" t="s">
        <v>25088</v>
      </c>
      <c r="J2805" t="str">
        <f t="shared" si="217"/>
        <v>E:\PropInv\MF</v>
      </c>
      <c r="K2805" s="103" t="str">
        <f>HYPERLINK("E:\PropInv\MF\Pasadena\Burke Rd_3520_Ashwood Park_Pasadena_03970","Burke Rd_3520_Ashwood Park_Pasadena_03970" )</f>
        <v>Burke Rd_3520_Ashwood Park_Pasadena_03970</v>
      </c>
      <c r="L2805" s="104" t="s">
        <v>22253</v>
      </c>
      <c r="M2805" s="103" t="str">
        <f t="shared" si="218"/>
        <v>http://oconnordata.com/mlink/modules/profile/index.cfm?action=profile&amp;prop_id=3970</v>
      </c>
      <c r="N2805" s="1" t="str">
        <f t="shared" si="219"/>
        <v>03970</v>
      </c>
    </row>
    <row r="2806" spans="1:14" x14ac:dyDescent="0.3">
      <c r="A2806" s="1">
        <v>3971</v>
      </c>
      <c r="B2806" s="7" t="s">
        <v>3989</v>
      </c>
      <c r="C2806" s="12">
        <v>3602</v>
      </c>
      <c r="D2806" s="7" t="s">
        <v>4199</v>
      </c>
      <c r="E2806" s="13" t="s">
        <v>3924</v>
      </c>
      <c r="F2806" t="str">
        <f t="shared" si="215"/>
        <v>Burke</v>
      </c>
      <c r="G2806" t="str">
        <f t="shared" si="216"/>
        <v>Burke3602Pasadena</v>
      </c>
      <c r="H2806" t="s">
        <v>33664</v>
      </c>
      <c r="I2806" t="s">
        <v>25089</v>
      </c>
      <c r="J2806" t="str">
        <f t="shared" si="217"/>
        <v>E:\PropInv\MF</v>
      </c>
      <c r="K2806" s="103" t="str">
        <f>HYPERLINK("E:\PropInv\MF\Pasadena\Burke_3602_The Crossing at Burke Regency_Pasadena_03971","Burke_3602_The Crossing at Burke Regency_Pasadena_03971" )</f>
        <v>Burke_3602_The Crossing at Burke Regency_Pasadena_03971</v>
      </c>
      <c r="L2806" s="104" t="s">
        <v>22253</v>
      </c>
      <c r="M2806" s="103" t="str">
        <f t="shared" si="218"/>
        <v>http://oconnordata.com/mlink/modules/profile/index.cfm?action=profile&amp;prop_id=3971</v>
      </c>
      <c r="N2806" s="1" t="str">
        <f t="shared" si="219"/>
        <v>03971</v>
      </c>
    </row>
    <row r="2807" spans="1:14" x14ac:dyDescent="0.3">
      <c r="A2807" s="1">
        <v>3972</v>
      </c>
      <c r="B2807" s="7" t="s">
        <v>4186</v>
      </c>
      <c r="C2807" s="12">
        <v>4100</v>
      </c>
      <c r="D2807" s="7" t="s">
        <v>4200</v>
      </c>
      <c r="E2807" s="13" t="s">
        <v>3924</v>
      </c>
      <c r="F2807" t="str">
        <f t="shared" si="215"/>
        <v>Vista</v>
      </c>
      <c r="G2807" t="str">
        <f t="shared" si="216"/>
        <v>Vista4100Pasadena</v>
      </c>
      <c r="H2807" t="s">
        <v>33665</v>
      </c>
      <c r="I2807" t="s">
        <v>25090</v>
      </c>
      <c r="J2807" t="str">
        <f t="shared" si="217"/>
        <v>E:\PropInv\MF</v>
      </c>
      <c r="K2807" s="103" t="str">
        <f>HYPERLINK("E:\PropInv\MF\Pasadena\Vista_4100_Oak Run Manor_Pasadena_03972","Vista_4100_Oak Run Manor_Pasadena_03972" )</f>
        <v>Vista_4100_Oak Run Manor_Pasadena_03972</v>
      </c>
      <c r="L2807" s="104" t="s">
        <v>22253</v>
      </c>
      <c r="M2807" s="103" t="str">
        <f t="shared" si="218"/>
        <v>http://oconnordata.com/mlink/modules/profile/index.cfm?action=profile&amp;prop_id=3972</v>
      </c>
      <c r="N2807" s="1" t="str">
        <f t="shared" si="219"/>
        <v>03972</v>
      </c>
    </row>
    <row r="2808" spans="1:14" x14ac:dyDescent="0.3">
      <c r="A2808" s="1">
        <v>3973</v>
      </c>
      <c r="B2808" s="7" t="s">
        <v>4201</v>
      </c>
      <c r="C2808" s="12">
        <v>4205</v>
      </c>
      <c r="D2808" s="7" t="s">
        <v>4202</v>
      </c>
      <c r="E2808" s="13" t="s">
        <v>3924</v>
      </c>
      <c r="F2808" t="str">
        <f t="shared" si="215"/>
        <v>Vista</v>
      </c>
      <c r="G2808" t="str">
        <f t="shared" si="216"/>
        <v>Vista4205Pasadena</v>
      </c>
      <c r="H2808" t="s">
        <v>33666</v>
      </c>
      <c r="I2808" t="s">
        <v>25091</v>
      </c>
      <c r="J2808" t="str">
        <f t="shared" si="217"/>
        <v>E:\PropInv\MF</v>
      </c>
      <c r="K2808" s="103" t="str">
        <f>HYPERLINK("E:\PropInv\MF\Pasadena\Vista Rd_4205_Vista Hollow_Pasadena_03973","Vista Rd_4205_Vista Hollow_Pasadena_03973" )</f>
        <v>Vista Rd_4205_Vista Hollow_Pasadena_03973</v>
      </c>
      <c r="L2808" s="104" t="s">
        <v>22253</v>
      </c>
      <c r="M2808" s="103" t="str">
        <f t="shared" si="218"/>
        <v>http://oconnordata.com/mlink/modules/profile/index.cfm?action=profile&amp;prop_id=3973</v>
      </c>
      <c r="N2808" s="1" t="str">
        <f t="shared" si="219"/>
        <v>03973</v>
      </c>
    </row>
    <row r="2809" spans="1:14" x14ac:dyDescent="0.3">
      <c r="A2809" s="1">
        <v>3974</v>
      </c>
      <c r="B2809" s="7" t="s">
        <v>4203</v>
      </c>
      <c r="C2809" s="12">
        <v>10802</v>
      </c>
      <c r="D2809" s="7" t="s">
        <v>4204</v>
      </c>
      <c r="E2809" s="13" t="s">
        <v>1657</v>
      </c>
      <c r="F2809" t="str">
        <f t="shared" si="215"/>
        <v>Kingspoint</v>
      </c>
      <c r="G2809" t="str">
        <f t="shared" si="216"/>
        <v>Kingspoint10802Houston</v>
      </c>
      <c r="H2809" t="s">
        <v>33667</v>
      </c>
      <c r="I2809" t="s">
        <v>25092</v>
      </c>
      <c r="J2809" t="str">
        <f t="shared" si="217"/>
        <v>E:\PropInv\MF</v>
      </c>
      <c r="K2809" s="103" t="str">
        <f>HYPERLINK("E:\PropInv\MF\Houston\Kingspoint Rd_10802_Almeda Chateau_Houston_03974","Kingspoint Rd_10802_Almeda Chateau_Houston_03974" )</f>
        <v>Kingspoint Rd_10802_Almeda Chateau_Houston_03974</v>
      </c>
      <c r="L2809" s="104" t="s">
        <v>22253</v>
      </c>
      <c r="M2809" s="103" t="str">
        <f t="shared" si="218"/>
        <v>http://oconnordata.com/mlink/modules/profile/index.cfm?action=profile&amp;prop_id=3974</v>
      </c>
      <c r="N2809" s="1" t="str">
        <f t="shared" si="219"/>
        <v>03974</v>
      </c>
    </row>
    <row r="2810" spans="1:14" x14ac:dyDescent="0.3">
      <c r="A2810" s="1">
        <v>3975</v>
      </c>
      <c r="B2810" s="7" t="s">
        <v>4205</v>
      </c>
      <c r="C2810" s="12">
        <v>11700</v>
      </c>
      <c r="D2810" s="7" t="s">
        <v>4206</v>
      </c>
      <c r="E2810" s="13" t="s">
        <v>1657</v>
      </c>
      <c r="F2810" t="str">
        <f t="shared" si="215"/>
        <v>Fuqua</v>
      </c>
      <c r="G2810" t="str">
        <f t="shared" si="216"/>
        <v>Fuqua11700Houston</v>
      </c>
      <c r="H2810" t="s">
        <v>33668</v>
      </c>
      <c r="I2810" t="s">
        <v>25093</v>
      </c>
      <c r="J2810" t="str">
        <f t="shared" si="217"/>
        <v>E:\PropInv\MF</v>
      </c>
      <c r="K2810" s="103" t="str">
        <f>HYPERLINK("E:\PropInv\MF\Houston\Fuqua_11700_Eagles Landing_Houston_03975","Fuqua_11700_Eagles Landing_Houston_03975" )</f>
        <v>Fuqua_11700_Eagles Landing_Houston_03975</v>
      </c>
      <c r="L2810" s="104" t="s">
        <v>22253</v>
      </c>
      <c r="M2810" s="103" t="str">
        <f t="shared" si="218"/>
        <v>http://oconnordata.com/mlink/modules/profile/index.cfm?action=profile&amp;prop_id=3975</v>
      </c>
      <c r="N2810" s="1" t="str">
        <f t="shared" si="219"/>
        <v>03975</v>
      </c>
    </row>
    <row r="2811" spans="1:14" x14ac:dyDescent="0.3">
      <c r="A2811" s="1">
        <v>3976</v>
      </c>
      <c r="B2811" s="7" t="s">
        <v>4207</v>
      </c>
      <c r="C2811" s="12">
        <v>12510</v>
      </c>
      <c r="D2811" s="7" t="s">
        <v>4208</v>
      </c>
      <c r="E2811" s="13" t="s">
        <v>1657</v>
      </c>
      <c r="F2811" t="str">
        <f t="shared" si="215"/>
        <v>Green</v>
      </c>
      <c r="G2811" t="str">
        <f t="shared" si="216"/>
        <v>Green12510Houston</v>
      </c>
      <c r="H2811" t="s">
        <v>33669</v>
      </c>
      <c r="I2811" t="s">
        <v>25094</v>
      </c>
      <c r="J2811" t="str">
        <f t="shared" si="217"/>
        <v>E:\PropInv\MF</v>
      </c>
      <c r="K2811" s="103" t="str">
        <f>HYPERLINK("E:\PropInv\MF\Houston\Green Dr S_12510_Fairfield Creek_Houston_03976","Green Dr S_12510_Fairfield Creek_Houston_03976" )</f>
        <v>Green Dr S_12510_Fairfield Creek_Houston_03976</v>
      </c>
      <c r="L2811" s="104" t="s">
        <v>22253</v>
      </c>
      <c r="M2811" s="103" t="str">
        <f t="shared" si="218"/>
        <v>http://oconnordata.com/mlink/modules/profile/index.cfm?action=profile&amp;prop_id=3976</v>
      </c>
      <c r="N2811" s="1" t="str">
        <f t="shared" si="219"/>
        <v>03976</v>
      </c>
    </row>
    <row r="2812" spans="1:14" x14ac:dyDescent="0.3">
      <c r="A2812" s="1">
        <v>3977</v>
      </c>
      <c r="B2812" s="7" t="s">
        <v>4209</v>
      </c>
      <c r="C2812" s="12">
        <v>10280</v>
      </c>
      <c r="D2812" s="7" t="s">
        <v>4210</v>
      </c>
      <c r="E2812" s="13" t="s">
        <v>1657</v>
      </c>
      <c r="F2812" t="str">
        <f t="shared" si="215"/>
        <v>Windmill</v>
      </c>
      <c r="G2812" t="str">
        <f t="shared" si="216"/>
        <v>Windmill10280Houston</v>
      </c>
      <c r="H2812" t="s">
        <v>33670</v>
      </c>
      <c r="I2812" t="s">
        <v>25095</v>
      </c>
      <c r="J2812" t="str">
        <f t="shared" si="217"/>
        <v>E:\PropInv\MF</v>
      </c>
      <c r="K2812" s="103" t="str">
        <f>HYPERLINK("E:\PropInv\MF\Houston\Windmill Lakes Blvd_10280_Point at Windmill Lakes_Houston_03977","Windmill Lakes Blvd_10280_Point at Windmill Lakes_Houston_03977" )</f>
        <v>Windmill Lakes Blvd_10280_Point at Windmill Lakes_Houston_03977</v>
      </c>
      <c r="L2812" s="104" t="s">
        <v>22253</v>
      </c>
      <c r="M2812" s="103" t="str">
        <f t="shared" si="218"/>
        <v>http://oconnordata.com/mlink/modules/profile/index.cfm?action=profile&amp;prop_id=3977</v>
      </c>
      <c r="N2812" s="1" t="str">
        <f t="shared" si="219"/>
        <v>03977</v>
      </c>
    </row>
    <row r="2813" spans="1:14" x14ac:dyDescent="0.3">
      <c r="A2813" s="1">
        <v>3978</v>
      </c>
      <c r="B2813" s="7" t="s">
        <v>4211</v>
      </c>
      <c r="C2813" s="12">
        <v>9750</v>
      </c>
      <c r="D2813" s="7" t="s">
        <v>4212</v>
      </c>
      <c r="E2813" s="13" t="s">
        <v>1657</v>
      </c>
      <c r="F2813" t="str">
        <f t="shared" si="215"/>
        <v>Windwater</v>
      </c>
      <c r="G2813" t="str">
        <f t="shared" si="216"/>
        <v>Windwater9750Houston</v>
      </c>
      <c r="H2813" t="s">
        <v>33671</v>
      </c>
      <c r="I2813" t="s">
        <v>25096</v>
      </c>
      <c r="J2813" t="str">
        <f t="shared" si="217"/>
        <v>E:\PropInv\MF</v>
      </c>
      <c r="K2813" s="103" t="str">
        <f>HYPERLINK("E:\PropInv\MF\Houston\Windwater Dr_9750_The Breakers at Windmill Lakes_Houston_03978","Windwater Dr_9750_The Breakers at Windmill Lakes_Houston_03978" )</f>
        <v>Windwater Dr_9750_The Breakers at Windmill Lakes_Houston_03978</v>
      </c>
      <c r="L2813" s="104" t="s">
        <v>22253</v>
      </c>
      <c r="M2813" s="103" t="str">
        <f t="shared" si="218"/>
        <v>http://oconnordata.com/mlink/modules/profile/index.cfm?action=profile&amp;prop_id=3978</v>
      </c>
      <c r="N2813" s="1" t="str">
        <f t="shared" si="219"/>
        <v>03978</v>
      </c>
    </row>
    <row r="2814" spans="1:14" x14ac:dyDescent="0.3">
      <c r="A2814" s="97">
        <v>3979</v>
      </c>
      <c r="B2814" s="7" t="s">
        <v>4211</v>
      </c>
      <c r="C2814" s="12">
        <v>9757</v>
      </c>
      <c r="D2814" s="7" t="s">
        <v>4213</v>
      </c>
      <c r="E2814" s="25" t="s">
        <v>1657</v>
      </c>
      <c r="F2814" t="str">
        <f t="shared" si="215"/>
        <v>Windwater</v>
      </c>
      <c r="G2814" t="str">
        <f t="shared" si="216"/>
        <v>Windwater9757Houston</v>
      </c>
      <c r="H2814" t="s">
        <v>33672</v>
      </c>
      <c r="I2814" t="s">
        <v>25097</v>
      </c>
      <c r="J2814" t="str">
        <f t="shared" si="217"/>
        <v>E:\PropInv\MF</v>
      </c>
      <c r="K2814" s="103" t="str">
        <f>HYPERLINK("E:\PropInv\MF\Houston\Windwater Dr_9757_Windwater at Windmill Lakes_Houston_03979","Windwater Dr_9757_Windwater at Windmill Lakes_Houston_03979" )</f>
        <v>Windwater Dr_9757_Windwater at Windmill Lakes_Houston_03979</v>
      </c>
      <c r="L2814" s="104" t="s">
        <v>22253</v>
      </c>
      <c r="M2814" s="103" t="str">
        <f t="shared" si="218"/>
        <v>http://oconnordata.com/mlink/modules/profile/index.cfm?action=profile&amp;prop_id=3979</v>
      </c>
      <c r="N2814" s="1" t="str">
        <f t="shared" si="219"/>
        <v>03979</v>
      </c>
    </row>
    <row r="2815" spans="1:14" x14ac:dyDescent="0.3">
      <c r="A2815" s="1">
        <v>3981</v>
      </c>
      <c r="B2815" s="7" t="s">
        <v>4214</v>
      </c>
      <c r="C2815" s="12">
        <v>9800</v>
      </c>
      <c r="D2815" s="7" t="s">
        <v>4215</v>
      </c>
      <c r="E2815" s="13" t="s">
        <v>1657</v>
      </c>
      <c r="F2815" t="str">
        <f t="shared" si="215"/>
        <v>Hollock</v>
      </c>
      <c r="G2815" t="str">
        <f t="shared" si="216"/>
        <v>Hollock9800Houston</v>
      </c>
      <c r="H2815" t="s">
        <v>33673</v>
      </c>
      <c r="I2815" t="s">
        <v>25098</v>
      </c>
      <c r="J2815" t="str">
        <f t="shared" si="217"/>
        <v>E:\PropInv\MF</v>
      </c>
      <c r="K2815" s="103" t="str">
        <f>HYPERLINK("E:\PropInv\MF\Houston\Hollock_9800_The Lakes_Houston_03981","Hollock_9800_The Lakes_Houston_03981" )</f>
        <v>Hollock_9800_The Lakes_Houston_03981</v>
      </c>
      <c r="L2815" s="104" t="s">
        <v>22253</v>
      </c>
      <c r="M2815" s="103" t="str">
        <f t="shared" si="218"/>
        <v>http://oconnordata.com/mlink/modules/profile/index.cfm?action=profile&amp;prop_id=3981</v>
      </c>
      <c r="N2815" s="1" t="str">
        <f t="shared" si="219"/>
        <v>03981</v>
      </c>
    </row>
    <row r="2816" spans="1:14" x14ac:dyDescent="0.3">
      <c r="A2816" s="1">
        <v>3982</v>
      </c>
      <c r="B2816" s="7" t="s">
        <v>4216</v>
      </c>
      <c r="C2816" s="12">
        <v>8600</v>
      </c>
      <c r="D2816" s="7" t="s">
        <v>4217</v>
      </c>
      <c r="E2816" s="13" t="s">
        <v>1657</v>
      </c>
      <c r="F2816" t="str">
        <f t="shared" si="215"/>
        <v>Theta</v>
      </c>
      <c r="G2816" t="str">
        <f t="shared" si="216"/>
        <v>Theta8600Houston</v>
      </c>
      <c r="H2816" t="s">
        <v>33674</v>
      </c>
      <c r="I2816" t="s">
        <v>25099</v>
      </c>
      <c r="J2816" t="str">
        <f t="shared" si="217"/>
        <v>E:\PropInv\MF</v>
      </c>
      <c r="K2816" s="103" t="str">
        <f>HYPERLINK("E:\PropInv\MF\Houston\Theta_8600_The Berkshire_Houston_03982","Theta_8600_The Berkshire_Houston_03982" )</f>
        <v>Theta_8600_The Berkshire_Houston_03982</v>
      </c>
      <c r="L2816" s="104" t="s">
        <v>22253</v>
      </c>
      <c r="M2816" s="103" t="str">
        <f t="shared" si="218"/>
        <v>http://oconnordata.com/mlink/modules/profile/index.cfm?action=profile&amp;prop_id=3982</v>
      </c>
      <c r="N2816" s="1" t="str">
        <f t="shared" si="219"/>
        <v>03982</v>
      </c>
    </row>
    <row r="2817" spans="1:14" x14ac:dyDescent="0.3">
      <c r="A2817" s="1">
        <v>3984</v>
      </c>
      <c r="B2817" s="7" t="s">
        <v>4205</v>
      </c>
      <c r="C2817" s="12">
        <v>10700</v>
      </c>
      <c r="D2817" s="7" t="s">
        <v>4218</v>
      </c>
      <c r="E2817" s="13" t="s">
        <v>1657</v>
      </c>
      <c r="F2817" t="str">
        <f t="shared" si="215"/>
        <v>Fuqua</v>
      </c>
      <c r="G2817" t="str">
        <f t="shared" si="216"/>
        <v>Fuqua10700Houston</v>
      </c>
      <c r="H2817" t="s">
        <v>33675</v>
      </c>
      <c r="I2817" t="s">
        <v>25100</v>
      </c>
      <c r="J2817" t="str">
        <f t="shared" si="217"/>
        <v>E:\PropInv\MF</v>
      </c>
      <c r="K2817" s="103" t="str">
        <f>HYPERLINK("E:\PropInv\MF\Houston\Fuqua_10700_Sage Hollow_Houston_03984","Fuqua_10700_Sage Hollow_Houston_03984" )</f>
        <v>Fuqua_10700_Sage Hollow_Houston_03984</v>
      </c>
      <c r="L2817" s="104" t="s">
        <v>22253</v>
      </c>
      <c r="M2817" s="103" t="str">
        <f t="shared" si="218"/>
        <v>http://oconnordata.com/mlink/modules/profile/index.cfm?action=profile&amp;prop_id=3984</v>
      </c>
      <c r="N2817" s="1" t="str">
        <f t="shared" si="219"/>
        <v>03984</v>
      </c>
    </row>
    <row r="2818" spans="1:14" x14ac:dyDescent="0.3">
      <c r="A2818" s="1">
        <v>3985</v>
      </c>
      <c r="B2818" s="7" t="s">
        <v>4219</v>
      </c>
      <c r="C2818" s="12">
        <v>10601</v>
      </c>
      <c r="D2818" s="7" t="s">
        <v>4220</v>
      </c>
      <c r="E2818" s="13" t="s">
        <v>1657</v>
      </c>
      <c r="F2818" t="str">
        <f t="shared" ref="F2818:F2881" si="220">IFERROR(LEFT(B2818,FIND(" ",B2818)-1),B2818)</f>
        <v>Sabo</v>
      </c>
      <c r="G2818" t="str">
        <f t="shared" ref="G2818:G2881" si="221">F2818&amp;C2818&amp;E2818</f>
        <v>Sabo10601Houston</v>
      </c>
      <c r="H2818" t="s">
        <v>33676</v>
      </c>
      <c r="I2818" t="s">
        <v>25101</v>
      </c>
      <c r="J2818" t="str">
        <f t="shared" ref="J2818:J2881" si="222">IF(L2818="TX",Folder_Path,Folder_Path&amp;"\State_"&amp;L2818)</f>
        <v>E:\PropInv\MF</v>
      </c>
      <c r="K2818" s="103" t="str">
        <f>HYPERLINK("E:\PropInv\MF\Houston\Sabo Rd_10601_Green Arbor_Houston_03985","Sabo Rd_10601_Green Arbor_Houston_03985" )</f>
        <v>Sabo Rd_10601_Green Arbor_Houston_03985</v>
      </c>
      <c r="L2818" s="104" t="s">
        <v>22253</v>
      </c>
      <c r="M2818" s="103" t="str">
        <f t="shared" ref="M2818:M2881" si="223">HYPERLINK("http://oconnordata.com/mlink/modules/profile/index.cfm?action=profile&amp;prop_id="&amp;A2818)</f>
        <v>http://oconnordata.com/mlink/modules/profile/index.cfm?action=profile&amp;prop_id=3985</v>
      </c>
      <c r="N2818" s="1" t="str">
        <f t="shared" ref="N2818:N2881" si="224">IF(LEN(A2818)=1,"0000"&amp;A2818,IF(LEN(A2818)=2,"000"&amp;A2818,IF(LEN(A2818)=3,"00"&amp;A2818,IF(LEN(A2818)=4,"0"&amp;A2818,IF(LEN(A2818)=5,IF(LEFT(A2818,1)="3",A2818+30000,A2818))))))</f>
        <v>03985</v>
      </c>
    </row>
    <row r="2819" spans="1:14" x14ac:dyDescent="0.3">
      <c r="A2819" s="1">
        <v>3986</v>
      </c>
      <c r="B2819" s="7" t="s">
        <v>4197</v>
      </c>
      <c r="C2819" s="12">
        <v>3650</v>
      </c>
      <c r="D2819" s="7" t="s">
        <v>4221</v>
      </c>
      <c r="E2819" s="13" t="s">
        <v>3924</v>
      </c>
      <c r="F2819" t="str">
        <f t="shared" si="220"/>
        <v>Burke</v>
      </c>
      <c r="G2819" t="str">
        <f t="shared" si="221"/>
        <v>Burke3650Pasadena</v>
      </c>
      <c r="H2819" t="s">
        <v>33677</v>
      </c>
      <c r="I2819" t="s">
        <v>25102</v>
      </c>
      <c r="J2819" t="str">
        <f t="shared" si="222"/>
        <v>E:\PropInv\MF</v>
      </c>
      <c r="K2819" s="103" t="str">
        <f>HYPERLINK("E:\PropInv\MF\Pasadena\Burke Rd_3650_Parc Bay_Pasadena_03986","Burke Rd_3650_Parc Bay_Pasadena_03986" )</f>
        <v>Burke Rd_3650_Parc Bay_Pasadena_03986</v>
      </c>
      <c r="L2819" s="104" t="s">
        <v>22253</v>
      </c>
      <c r="M2819" s="103" t="str">
        <f t="shared" si="223"/>
        <v>http://oconnordata.com/mlink/modules/profile/index.cfm?action=profile&amp;prop_id=3986</v>
      </c>
      <c r="N2819" s="1" t="str">
        <f t="shared" si="224"/>
        <v>03986</v>
      </c>
    </row>
    <row r="2820" spans="1:14" x14ac:dyDescent="0.3">
      <c r="A2820" s="1">
        <v>3987</v>
      </c>
      <c r="B2820" s="7" t="s">
        <v>4222</v>
      </c>
      <c r="C2820" s="12">
        <v>3420</v>
      </c>
      <c r="D2820" s="7" t="s">
        <v>4223</v>
      </c>
      <c r="E2820" s="13" t="s">
        <v>3924</v>
      </c>
      <c r="F2820" t="str">
        <f t="shared" si="220"/>
        <v>Federal</v>
      </c>
      <c r="G2820" t="str">
        <f t="shared" si="221"/>
        <v>Federal3420Pasadena</v>
      </c>
      <c r="H2820" t="s">
        <v>33678</v>
      </c>
      <c r="I2820" t="s">
        <v>25103</v>
      </c>
      <c r="J2820" t="str">
        <f t="shared" si="222"/>
        <v>E:\PropInv\MF</v>
      </c>
      <c r="K2820" s="103" t="str">
        <f>HYPERLINK("E:\PropInv\MF\Pasadena\Federal Rd_3420_Alta Vista TH_Pasadena_03987","Federal Rd_3420_Alta Vista TH_Pasadena_03987" )</f>
        <v>Federal Rd_3420_Alta Vista TH_Pasadena_03987</v>
      </c>
      <c r="L2820" s="104" t="s">
        <v>22253</v>
      </c>
      <c r="M2820" s="103" t="str">
        <f t="shared" si="223"/>
        <v>http://oconnordata.com/mlink/modules/profile/index.cfm?action=profile&amp;prop_id=3987</v>
      </c>
      <c r="N2820" s="1" t="str">
        <f t="shared" si="224"/>
        <v>03987</v>
      </c>
    </row>
    <row r="2821" spans="1:14" x14ac:dyDescent="0.3">
      <c r="A2821" s="1">
        <v>3988</v>
      </c>
      <c r="B2821" s="7" t="s">
        <v>4219</v>
      </c>
      <c r="C2821" s="12">
        <v>10701</v>
      </c>
      <c r="D2821" s="7" t="s">
        <v>4224</v>
      </c>
      <c r="E2821" s="13" t="s">
        <v>1657</v>
      </c>
      <c r="F2821" t="str">
        <f t="shared" si="220"/>
        <v>Sabo</v>
      </c>
      <c r="G2821" t="str">
        <f t="shared" si="221"/>
        <v>Sabo10701Houston</v>
      </c>
      <c r="H2821" t="s">
        <v>33679</v>
      </c>
      <c r="I2821" t="s">
        <v>25104</v>
      </c>
      <c r="J2821" t="str">
        <f t="shared" si="222"/>
        <v>E:\PropInv\MF</v>
      </c>
      <c r="K2821" s="103" t="str">
        <f>HYPERLINK("E:\PropInv\MF\Houston\Sabo Rd_10701_Sabo Village_Houston_03988","Sabo Rd_10701_Sabo Village_Houston_03988" )</f>
        <v>Sabo Rd_10701_Sabo Village_Houston_03988</v>
      </c>
      <c r="L2821" s="104" t="s">
        <v>22253</v>
      </c>
      <c r="M2821" s="103" t="str">
        <f t="shared" si="223"/>
        <v>http://oconnordata.com/mlink/modules/profile/index.cfm?action=profile&amp;prop_id=3988</v>
      </c>
      <c r="N2821" s="1" t="str">
        <f t="shared" si="224"/>
        <v>03988</v>
      </c>
    </row>
    <row r="2822" spans="1:14" x14ac:dyDescent="0.3">
      <c r="A2822" s="1">
        <v>3989</v>
      </c>
      <c r="B2822" s="7" t="s">
        <v>4225</v>
      </c>
      <c r="C2822" s="12">
        <v>12801</v>
      </c>
      <c r="D2822" s="7" t="s">
        <v>4226</v>
      </c>
      <c r="E2822" s="13" t="s">
        <v>1657</v>
      </c>
      <c r="F2822" t="str">
        <f t="shared" si="220"/>
        <v>Roydon</v>
      </c>
      <c r="G2822" t="str">
        <f t="shared" si="221"/>
        <v>Roydon12801Houston</v>
      </c>
      <c r="H2822" t="s">
        <v>33680</v>
      </c>
      <c r="I2822" t="s">
        <v>25105</v>
      </c>
      <c r="J2822" t="str">
        <f t="shared" si="222"/>
        <v>E:\PropInv\MF</v>
      </c>
      <c r="K2822" s="103" t="str">
        <f>HYPERLINK("E:\PropInv\MF\Houston\Roydon Dr_12801_Southpoint_Houston_03989","Roydon Dr_12801_Southpoint_Houston_03989" )</f>
        <v>Roydon Dr_12801_Southpoint_Houston_03989</v>
      </c>
      <c r="L2822" s="104" t="s">
        <v>22253</v>
      </c>
      <c r="M2822" s="103" t="str">
        <f t="shared" si="223"/>
        <v>http://oconnordata.com/mlink/modules/profile/index.cfm?action=profile&amp;prop_id=3989</v>
      </c>
      <c r="N2822" s="1" t="str">
        <f t="shared" si="224"/>
        <v>03989</v>
      </c>
    </row>
    <row r="2823" spans="1:14" x14ac:dyDescent="0.3">
      <c r="A2823" s="1">
        <v>3991</v>
      </c>
      <c r="B2823" s="7" t="s">
        <v>4227</v>
      </c>
      <c r="C2823" s="12">
        <v>9988</v>
      </c>
      <c r="D2823" s="7" t="s">
        <v>4228</v>
      </c>
      <c r="E2823" s="13" t="s">
        <v>1657</v>
      </c>
      <c r="F2823" t="str">
        <f t="shared" si="220"/>
        <v>Windmill</v>
      </c>
      <c r="G2823" t="str">
        <f t="shared" si="221"/>
        <v>Windmill9988Houston</v>
      </c>
      <c r="H2823" t="s">
        <v>33681</v>
      </c>
      <c r="I2823" t="s">
        <v>25106</v>
      </c>
      <c r="J2823" t="str">
        <f t="shared" si="222"/>
        <v>E:\PropInv\MF</v>
      </c>
      <c r="K2823" s="103" t="str">
        <f>HYPERLINK("E:\PropInv\MF\Houston\Windmill Lakes_9988_La Jolla on the Lake_Houston_03991","Windmill Lakes_9988_La Jolla on the Lake_Houston_03991" )</f>
        <v>Windmill Lakes_9988_La Jolla on the Lake_Houston_03991</v>
      </c>
      <c r="L2823" s="104" t="s">
        <v>22253</v>
      </c>
      <c r="M2823" s="103" t="str">
        <f t="shared" si="223"/>
        <v>http://oconnordata.com/mlink/modules/profile/index.cfm?action=profile&amp;prop_id=3991</v>
      </c>
      <c r="N2823" s="1" t="str">
        <f t="shared" si="224"/>
        <v>03991</v>
      </c>
    </row>
    <row r="2824" spans="1:14" x14ac:dyDescent="0.3">
      <c r="A2824" s="97">
        <v>3992</v>
      </c>
      <c r="B2824" s="7" t="s">
        <v>4227</v>
      </c>
      <c r="C2824" s="12">
        <v>10121</v>
      </c>
      <c r="D2824" s="7" t="s">
        <v>4229</v>
      </c>
      <c r="E2824" s="13" t="s">
        <v>1657</v>
      </c>
      <c r="F2824" t="str">
        <f t="shared" si="220"/>
        <v>Windmill</v>
      </c>
      <c r="G2824" t="str">
        <f t="shared" si="221"/>
        <v>Windmill10121Houston</v>
      </c>
      <c r="H2824" t="s">
        <v>33682</v>
      </c>
      <c r="I2824" t="s">
        <v>25107</v>
      </c>
      <c r="J2824" t="str">
        <f t="shared" si="222"/>
        <v>E:\PropInv\MF</v>
      </c>
      <c r="K2824" s="103" t="str">
        <f>HYPERLINK("E:\PropInv\MF\Houston\Windmill Lakes_10121_Windmill Landing_Houston_03992","Windmill Lakes_10121_Windmill Landing_Houston_03992" )</f>
        <v>Windmill Lakes_10121_Windmill Landing_Houston_03992</v>
      </c>
      <c r="L2824" s="104" t="s">
        <v>22253</v>
      </c>
      <c r="M2824" s="103" t="str">
        <f t="shared" si="223"/>
        <v>http://oconnordata.com/mlink/modules/profile/index.cfm?action=profile&amp;prop_id=3992</v>
      </c>
      <c r="N2824" s="1" t="str">
        <f t="shared" si="224"/>
        <v>03992</v>
      </c>
    </row>
    <row r="2825" spans="1:14" x14ac:dyDescent="0.3">
      <c r="A2825" s="1">
        <v>3993</v>
      </c>
      <c r="B2825" s="7" t="s">
        <v>4230</v>
      </c>
      <c r="C2825" s="12">
        <v>4201</v>
      </c>
      <c r="D2825" s="7" t="s">
        <v>4231</v>
      </c>
      <c r="E2825" s="13" t="s">
        <v>3924</v>
      </c>
      <c r="F2825" t="str">
        <f t="shared" si="220"/>
        <v>Fairmont</v>
      </c>
      <c r="G2825" t="str">
        <f t="shared" si="221"/>
        <v>Fairmont4201Pasadena</v>
      </c>
      <c r="H2825" t="s">
        <v>33683</v>
      </c>
      <c r="I2825" t="s">
        <v>25108</v>
      </c>
      <c r="J2825" t="str">
        <f t="shared" si="222"/>
        <v>E:\PropInv\MF</v>
      </c>
      <c r="K2825" s="103" t="str">
        <f>HYPERLINK("E:\PropInv\MF\Pasadena\Fairmont Pkwy_4201_Sandstone_Pasadena_03993","Fairmont Pkwy_4201_Sandstone_Pasadena_03993" )</f>
        <v>Fairmont Pkwy_4201_Sandstone_Pasadena_03993</v>
      </c>
      <c r="L2825" s="104" t="s">
        <v>22253</v>
      </c>
      <c r="M2825" s="103" t="str">
        <f t="shared" si="223"/>
        <v>http://oconnordata.com/mlink/modules/profile/index.cfm?action=profile&amp;prop_id=3993</v>
      </c>
      <c r="N2825" s="1" t="str">
        <f t="shared" si="224"/>
        <v>03993</v>
      </c>
    </row>
    <row r="2826" spans="1:14" x14ac:dyDescent="0.3">
      <c r="A2826" s="1">
        <v>3994</v>
      </c>
      <c r="B2826" s="7" t="s">
        <v>4232</v>
      </c>
      <c r="C2826" s="12">
        <v>3402</v>
      </c>
      <c r="D2826" s="7" t="s">
        <v>4233</v>
      </c>
      <c r="E2826" s="13" t="s">
        <v>3924</v>
      </c>
      <c r="F2826" t="str">
        <f t="shared" si="220"/>
        <v>Preston</v>
      </c>
      <c r="G2826" t="str">
        <f t="shared" si="221"/>
        <v>Preston3402Pasadena</v>
      </c>
      <c r="H2826" t="s">
        <v>33684</v>
      </c>
      <c r="I2826" t="s">
        <v>25109</v>
      </c>
      <c r="J2826" t="str">
        <f t="shared" si="222"/>
        <v>E:\PropInv\MF</v>
      </c>
      <c r="K2826" s="103" t="str">
        <f>HYPERLINK("E:\PropInv\MF\Pasadena\Preston St_3402_Willow Springs_Pasadena_03994","Preston St_3402_Willow Springs_Pasadena_03994" )</f>
        <v>Preston St_3402_Willow Springs_Pasadena_03994</v>
      </c>
      <c r="L2826" s="104" t="s">
        <v>22253</v>
      </c>
      <c r="M2826" s="103" t="str">
        <f t="shared" si="223"/>
        <v>http://oconnordata.com/mlink/modules/profile/index.cfm?action=profile&amp;prop_id=3994</v>
      </c>
      <c r="N2826" s="1" t="str">
        <f t="shared" si="224"/>
        <v>03994</v>
      </c>
    </row>
    <row r="2827" spans="1:14" x14ac:dyDescent="0.3">
      <c r="A2827" s="1">
        <v>3995</v>
      </c>
      <c r="B2827" s="7" t="s">
        <v>4234</v>
      </c>
      <c r="C2827" s="12">
        <v>4102</v>
      </c>
      <c r="D2827" s="7" t="s">
        <v>4235</v>
      </c>
      <c r="E2827" s="13" t="s">
        <v>3924</v>
      </c>
      <c r="F2827" t="str">
        <f t="shared" si="220"/>
        <v>Young</v>
      </c>
      <c r="G2827" t="str">
        <f t="shared" si="221"/>
        <v>Young4102Pasadena</v>
      </c>
      <c r="H2827" t="s">
        <v>33685</v>
      </c>
      <c r="I2827" t="s">
        <v>25110</v>
      </c>
      <c r="J2827" t="str">
        <f t="shared" si="222"/>
        <v>E:\PropInv\MF</v>
      </c>
      <c r="K2827" s="103" t="str">
        <f>HYPERLINK("E:\PropInv\MF\Pasadena\Young_4102_Bayou Willows_Pasadena_03995","Young_4102_Bayou Willows_Pasadena_03995" )</f>
        <v>Young_4102_Bayou Willows_Pasadena_03995</v>
      </c>
      <c r="L2827" s="104" t="s">
        <v>22253</v>
      </c>
      <c r="M2827" s="103" t="str">
        <f t="shared" si="223"/>
        <v>http://oconnordata.com/mlink/modules/profile/index.cfm?action=profile&amp;prop_id=3995</v>
      </c>
      <c r="N2827" s="1" t="str">
        <f t="shared" si="224"/>
        <v>03995</v>
      </c>
    </row>
    <row r="2828" spans="1:14" x14ac:dyDescent="0.3">
      <c r="A2828" s="1">
        <v>3996</v>
      </c>
      <c r="B2828" s="7" t="s">
        <v>3989</v>
      </c>
      <c r="C2828" s="12">
        <v>4747</v>
      </c>
      <c r="D2828" s="7" t="s">
        <v>4236</v>
      </c>
      <c r="E2828" s="13" t="s">
        <v>3924</v>
      </c>
      <c r="F2828" t="str">
        <f t="shared" si="220"/>
        <v>Burke</v>
      </c>
      <c r="G2828" t="str">
        <f t="shared" si="221"/>
        <v>Burke4747Pasadena</v>
      </c>
      <c r="H2828" t="s">
        <v>33686</v>
      </c>
      <c r="I2828" t="s">
        <v>25111</v>
      </c>
      <c r="J2828" t="str">
        <f t="shared" si="222"/>
        <v>E:\PropInv\MF</v>
      </c>
      <c r="K2828" s="103" t="str">
        <f>HYPERLINK("E:\PropInv\MF\Pasadena\Burke_4747_Park on Burke_Pasadena_03996","Burke_4747_Park on Burke_Pasadena_03996" )</f>
        <v>Burke_4747_Park on Burke_Pasadena_03996</v>
      </c>
      <c r="L2828" s="104" t="s">
        <v>22253</v>
      </c>
      <c r="M2828" s="103" t="str">
        <f t="shared" si="223"/>
        <v>http://oconnordata.com/mlink/modules/profile/index.cfm?action=profile&amp;prop_id=3996</v>
      </c>
      <c r="N2828" s="1" t="str">
        <f t="shared" si="224"/>
        <v>03996</v>
      </c>
    </row>
    <row r="2829" spans="1:14" x14ac:dyDescent="0.3">
      <c r="A2829" s="1">
        <v>3997</v>
      </c>
      <c r="B2829" s="7" t="s">
        <v>4230</v>
      </c>
      <c r="C2829" s="12">
        <v>6060</v>
      </c>
      <c r="D2829" s="7" t="s">
        <v>4237</v>
      </c>
      <c r="E2829" s="13" t="s">
        <v>3924</v>
      </c>
      <c r="F2829" t="str">
        <f t="shared" si="220"/>
        <v>Fairmont</v>
      </c>
      <c r="G2829" t="str">
        <f t="shared" si="221"/>
        <v>Fairmont6060Pasadena</v>
      </c>
      <c r="H2829" t="s">
        <v>33687</v>
      </c>
      <c r="I2829" t="s">
        <v>25112</v>
      </c>
      <c r="J2829" t="str">
        <f t="shared" si="222"/>
        <v>E:\PropInv\MF</v>
      </c>
      <c r="K2829" s="103" t="str">
        <f>HYPERLINK("E:\PropInv\MF\Pasadena\Fairmont Pkwy_6060_The Park at Fairmont_Pasadena_03997","Fairmont Pkwy_6060_The Park at Fairmont_Pasadena_03997" )</f>
        <v>Fairmont Pkwy_6060_The Park at Fairmont_Pasadena_03997</v>
      </c>
      <c r="L2829" s="104" t="s">
        <v>22253</v>
      </c>
      <c r="M2829" s="103" t="str">
        <f t="shared" si="223"/>
        <v>http://oconnordata.com/mlink/modules/profile/index.cfm?action=profile&amp;prop_id=3997</v>
      </c>
      <c r="N2829" s="1" t="str">
        <f t="shared" si="224"/>
        <v>03997</v>
      </c>
    </row>
    <row r="2830" spans="1:14" x14ac:dyDescent="0.3">
      <c r="A2830" s="1">
        <v>3998</v>
      </c>
      <c r="B2830" s="7" t="s">
        <v>4238</v>
      </c>
      <c r="C2830" s="12">
        <v>3101</v>
      </c>
      <c r="D2830" s="7" t="s">
        <v>4239</v>
      </c>
      <c r="E2830" s="13" t="s">
        <v>4047</v>
      </c>
      <c r="F2830" t="str">
        <f t="shared" si="220"/>
        <v>Broadway</v>
      </c>
      <c r="G2830" t="str">
        <f t="shared" si="221"/>
        <v>Broadway3101La Porte</v>
      </c>
      <c r="H2830" t="s">
        <v>33688</v>
      </c>
      <c r="I2830" t="s">
        <v>25113</v>
      </c>
      <c r="J2830" t="str">
        <f t="shared" si="222"/>
        <v>E:\PropInv\MF</v>
      </c>
      <c r="K2830" s="103" t="str">
        <f>HYPERLINK("E:\PropInv\MF\La Porte\Broadway S_3101_Rush Oaks_La Porte_03998","Broadway S_3101_Rush Oaks_La Porte_03998" )</f>
        <v>Broadway S_3101_Rush Oaks_La Porte_03998</v>
      </c>
      <c r="L2830" s="104" t="s">
        <v>22253</v>
      </c>
      <c r="M2830" s="103" t="str">
        <f t="shared" si="223"/>
        <v>http://oconnordata.com/mlink/modules/profile/index.cfm?action=profile&amp;prop_id=3998</v>
      </c>
      <c r="N2830" s="1" t="str">
        <f t="shared" si="224"/>
        <v>03998</v>
      </c>
    </row>
    <row r="2831" spans="1:14" x14ac:dyDescent="0.3">
      <c r="A2831" s="1">
        <v>3999</v>
      </c>
      <c r="B2831" s="19" t="s">
        <v>4240</v>
      </c>
      <c r="C2831" s="18">
        <v>3001</v>
      </c>
      <c r="D2831" s="19" t="s">
        <v>4241</v>
      </c>
      <c r="E2831" s="20" t="s">
        <v>4047</v>
      </c>
      <c r="F2831" t="str">
        <f t="shared" si="220"/>
        <v>Falk</v>
      </c>
      <c r="G2831" t="str">
        <f t="shared" si="221"/>
        <v>Falk3001La Porte</v>
      </c>
      <c r="H2831" t="s">
        <v>33689</v>
      </c>
      <c r="I2831" t="s">
        <v>25114</v>
      </c>
      <c r="J2831" t="str">
        <f t="shared" si="222"/>
        <v>E:\PropInv\MF</v>
      </c>
      <c r="K2831" s="103" t="str">
        <f>HYPERLINK("E:\PropInv\MF\La Porte\Falk_3001_Township Apts_La Porte_03999","Falk_3001_Township Apts_La Porte_03999" )</f>
        <v>Falk_3001_Township Apts_La Porte_03999</v>
      </c>
      <c r="L2831" s="104" t="s">
        <v>22253</v>
      </c>
      <c r="M2831" s="103" t="str">
        <f t="shared" si="223"/>
        <v>http://oconnordata.com/mlink/modules/profile/index.cfm?action=profile&amp;prop_id=3999</v>
      </c>
      <c r="N2831" s="1" t="str">
        <f t="shared" si="224"/>
        <v>03999</v>
      </c>
    </row>
    <row r="2832" spans="1:14" x14ac:dyDescent="0.3">
      <c r="A2832" s="1">
        <v>4001</v>
      </c>
      <c r="B2832" s="7" t="s">
        <v>4238</v>
      </c>
      <c r="C2832" s="12">
        <v>3003</v>
      </c>
      <c r="D2832" s="7" t="s">
        <v>4242</v>
      </c>
      <c r="E2832" s="13" t="s">
        <v>4047</v>
      </c>
      <c r="F2832" t="str">
        <f t="shared" si="220"/>
        <v>Broadway</v>
      </c>
      <c r="G2832" t="str">
        <f t="shared" si="221"/>
        <v>Broadway3003La Porte</v>
      </c>
      <c r="H2832" t="s">
        <v>33690</v>
      </c>
      <c r="I2832" t="s">
        <v>25115</v>
      </c>
      <c r="J2832" t="str">
        <f t="shared" si="222"/>
        <v>E:\PropInv\MF</v>
      </c>
      <c r="K2832" s="103" t="str">
        <f>HYPERLINK("E:\PropInv\MF\La Porte\Broadway S_3003_Bayside Oaks_La Porte_04001","Broadway S_3003_Bayside Oaks_La Porte_04001" )</f>
        <v>Broadway S_3003_Bayside Oaks_La Porte_04001</v>
      </c>
      <c r="L2832" s="104" t="s">
        <v>22253</v>
      </c>
      <c r="M2832" s="103" t="str">
        <f t="shared" si="223"/>
        <v>http://oconnordata.com/mlink/modules/profile/index.cfm?action=profile&amp;prop_id=4001</v>
      </c>
      <c r="N2832" s="1" t="str">
        <f t="shared" si="224"/>
        <v>04001</v>
      </c>
    </row>
    <row r="2833" spans="1:14" x14ac:dyDescent="0.3">
      <c r="A2833" s="1">
        <v>4003</v>
      </c>
      <c r="B2833" s="7" t="s">
        <v>4243</v>
      </c>
      <c r="C2833" s="12">
        <v>3331</v>
      </c>
      <c r="D2833" s="7" t="s">
        <v>4244</v>
      </c>
      <c r="E2833" s="13" t="s">
        <v>4047</v>
      </c>
      <c r="F2833" t="str">
        <f t="shared" si="220"/>
        <v>Luella</v>
      </c>
      <c r="G2833" t="str">
        <f t="shared" si="221"/>
        <v>Luella3331La Porte</v>
      </c>
      <c r="H2833" t="s">
        <v>33691</v>
      </c>
      <c r="I2833" t="s">
        <v>25116</v>
      </c>
      <c r="J2833" t="str">
        <f t="shared" si="222"/>
        <v>E:\PropInv\MF</v>
      </c>
      <c r="K2833" s="103" t="str">
        <f>HYPERLINK("E:\PropInv\MF\La Porte\Luella_3331_The Plaza at San Jacinto Park_La Porte_04003","Luella_3331_The Plaza at San Jacinto Park_La Porte_04003" )</f>
        <v>Luella_3331_The Plaza at San Jacinto Park_La Porte_04003</v>
      </c>
      <c r="L2833" s="104" t="s">
        <v>22253</v>
      </c>
      <c r="M2833" s="103" t="str">
        <f t="shared" si="223"/>
        <v>http://oconnordata.com/mlink/modules/profile/index.cfm?action=profile&amp;prop_id=4003</v>
      </c>
      <c r="N2833" s="1" t="str">
        <f t="shared" si="224"/>
        <v>04003</v>
      </c>
    </row>
    <row r="2834" spans="1:14" x14ac:dyDescent="0.3">
      <c r="A2834" s="1">
        <v>4005</v>
      </c>
      <c r="B2834" s="7" t="s">
        <v>4245</v>
      </c>
      <c r="C2834" s="12">
        <v>1026</v>
      </c>
      <c r="D2834" s="7" t="s">
        <v>4246</v>
      </c>
      <c r="E2834" s="13" t="s">
        <v>4047</v>
      </c>
      <c r="F2834" t="str">
        <f t="shared" si="220"/>
        <v>6th</v>
      </c>
      <c r="G2834" t="str">
        <f t="shared" si="221"/>
        <v>6th1026La Porte</v>
      </c>
      <c r="H2834" t="s">
        <v>33692</v>
      </c>
      <c r="I2834" t="s">
        <v>25117</v>
      </c>
      <c r="J2834" t="str">
        <f t="shared" si="222"/>
        <v>E:\PropInv\MF</v>
      </c>
      <c r="K2834" s="103" t="str">
        <f>HYPERLINK("E:\PropInv\MF\La Porte\6th St S_1026_Village by the Bay_La Porte_04005","6th St S_1026_Village by the Bay_La Porte_04005" )</f>
        <v>6th St S_1026_Village by the Bay_La Porte_04005</v>
      </c>
      <c r="L2834" s="104" t="s">
        <v>22253</v>
      </c>
      <c r="M2834" s="103" t="str">
        <f t="shared" si="223"/>
        <v>http://oconnordata.com/mlink/modules/profile/index.cfm?action=profile&amp;prop_id=4005</v>
      </c>
      <c r="N2834" s="1" t="str">
        <f t="shared" si="224"/>
        <v>04005</v>
      </c>
    </row>
    <row r="2835" spans="1:14" x14ac:dyDescent="0.3">
      <c r="A2835" s="1">
        <v>4006</v>
      </c>
      <c r="B2835" s="7" t="s">
        <v>4247</v>
      </c>
      <c r="C2835" s="12">
        <v>695</v>
      </c>
      <c r="D2835" s="7" t="s">
        <v>4248</v>
      </c>
      <c r="E2835" s="13" t="s">
        <v>4249</v>
      </c>
      <c r="F2835" t="str">
        <f t="shared" si="220"/>
        <v>Pineloch</v>
      </c>
      <c r="G2835" t="str">
        <f t="shared" si="221"/>
        <v>Pineloch695Webster</v>
      </c>
      <c r="H2835" t="s">
        <v>33693</v>
      </c>
      <c r="I2835" t="s">
        <v>25118</v>
      </c>
      <c r="J2835" t="str">
        <f t="shared" si="222"/>
        <v>E:\PropInv\MF</v>
      </c>
      <c r="K2835" s="103" t="str">
        <f>HYPERLINK("E:\PropInv\MF\Webster\Pineloch_695_Green Oaks I_Webster_04006","Pineloch_695_Green Oaks I_Webster_04006" )</f>
        <v>Pineloch_695_Green Oaks I_Webster_04006</v>
      </c>
      <c r="L2835" s="104" t="s">
        <v>22253</v>
      </c>
      <c r="M2835" s="103" t="str">
        <f t="shared" si="223"/>
        <v>http://oconnordata.com/mlink/modules/profile/index.cfm?action=profile&amp;prop_id=4006</v>
      </c>
      <c r="N2835" s="1" t="str">
        <f t="shared" si="224"/>
        <v>04006</v>
      </c>
    </row>
    <row r="2836" spans="1:14" x14ac:dyDescent="0.3">
      <c r="A2836" s="1">
        <v>4007</v>
      </c>
      <c r="B2836" s="7" t="s">
        <v>4250</v>
      </c>
      <c r="C2836" s="12">
        <v>240</v>
      </c>
      <c r="D2836" s="7" t="s">
        <v>4251</v>
      </c>
      <c r="E2836" s="13" t="s">
        <v>4249</v>
      </c>
      <c r="F2836" t="str">
        <f t="shared" si="220"/>
        <v>El</v>
      </c>
      <c r="G2836" t="str">
        <f t="shared" si="221"/>
        <v>El240Webster</v>
      </c>
      <c r="H2836" t="s">
        <v>33694</v>
      </c>
      <c r="I2836" t="s">
        <v>25119</v>
      </c>
      <c r="J2836" t="str">
        <f t="shared" si="222"/>
        <v>E:\PropInv\MF</v>
      </c>
      <c r="K2836" s="103" t="str">
        <f>HYPERLINK("E:\PropInv\MF\Webster\El Dorado_240_El Dorado View_Webster_04007","El Dorado_240_El Dorado View_Webster_04007" )</f>
        <v>El Dorado_240_El Dorado View_Webster_04007</v>
      </c>
      <c r="L2836" s="104" t="s">
        <v>22253</v>
      </c>
      <c r="M2836" s="103" t="str">
        <f t="shared" si="223"/>
        <v>http://oconnordata.com/mlink/modules/profile/index.cfm?action=profile&amp;prop_id=4007</v>
      </c>
      <c r="N2836" s="1" t="str">
        <f t="shared" si="224"/>
        <v>04007</v>
      </c>
    </row>
    <row r="2837" spans="1:14" x14ac:dyDescent="0.3">
      <c r="A2837" s="1">
        <v>4010</v>
      </c>
      <c r="B2837" s="7" t="s">
        <v>4197</v>
      </c>
      <c r="C2837" s="12" t="s">
        <v>4252</v>
      </c>
      <c r="D2837" s="7" t="s">
        <v>4253</v>
      </c>
      <c r="E2837" s="13" t="s">
        <v>3924</v>
      </c>
      <c r="F2837" t="str">
        <f t="shared" si="220"/>
        <v>Burke</v>
      </c>
      <c r="G2837" t="str">
        <f t="shared" si="221"/>
        <v>Burke4025-4029Pasadena</v>
      </c>
      <c r="H2837" t="s">
        <v>33695</v>
      </c>
      <c r="I2837" t="s">
        <v>25120</v>
      </c>
      <c r="J2837" t="str">
        <f t="shared" si="222"/>
        <v>E:\PropInv\MF</v>
      </c>
      <c r="K2837" s="103" t="str">
        <f>HYPERLINK("E:\PropInv\MF\Pasadena\Burke Rd_4025-4029_Sandridge_Pasadena_04010","Burke Rd_4025-4029_Sandridge_Pasadena_04010" )</f>
        <v>Burke Rd_4025-4029_Sandridge_Pasadena_04010</v>
      </c>
      <c r="L2837" s="104" t="s">
        <v>22253</v>
      </c>
      <c r="M2837" s="103" t="str">
        <f t="shared" si="223"/>
        <v>http://oconnordata.com/mlink/modules/profile/index.cfm?action=profile&amp;prop_id=4010</v>
      </c>
      <c r="N2837" s="1" t="str">
        <f t="shared" si="224"/>
        <v>04010</v>
      </c>
    </row>
    <row r="2838" spans="1:14" x14ac:dyDescent="0.3">
      <c r="A2838" s="1">
        <v>4011</v>
      </c>
      <c r="B2838" s="7" t="s">
        <v>4254</v>
      </c>
      <c r="C2838" s="12">
        <v>10925</v>
      </c>
      <c r="D2838" s="7" t="s">
        <v>4255</v>
      </c>
      <c r="E2838" s="13" t="s">
        <v>1657</v>
      </c>
      <c r="F2838" t="str">
        <f t="shared" si="220"/>
        <v>Beamer</v>
      </c>
      <c r="G2838" t="str">
        <f t="shared" si="221"/>
        <v>Beamer10925Houston</v>
      </c>
      <c r="H2838" t="s">
        <v>33696</v>
      </c>
      <c r="I2838" t="s">
        <v>25121</v>
      </c>
      <c r="J2838" t="str">
        <f t="shared" si="222"/>
        <v>E:\PropInv\MF</v>
      </c>
      <c r="K2838" s="103" t="str">
        <f>HYPERLINK("E:\PropInv\MF\Houston\Beamer_10925_Altmonte_Houston_04011","Beamer_10925_Altmonte_Houston_04011" )</f>
        <v>Beamer_10925_Altmonte_Houston_04011</v>
      </c>
      <c r="L2838" s="104" t="s">
        <v>22253</v>
      </c>
      <c r="M2838" s="103" t="str">
        <f t="shared" si="223"/>
        <v>http://oconnordata.com/mlink/modules/profile/index.cfm?action=profile&amp;prop_id=4011</v>
      </c>
      <c r="N2838" s="1" t="str">
        <f t="shared" si="224"/>
        <v>04011</v>
      </c>
    </row>
    <row r="2839" spans="1:14" x14ac:dyDescent="0.3">
      <c r="A2839" s="1">
        <v>4012</v>
      </c>
      <c r="B2839" s="10" t="s">
        <v>4254</v>
      </c>
      <c r="C2839" s="9">
        <v>11150</v>
      </c>
      <c r="D2839" s="10" t="s">
        <v>4256</v>
      </c>
      <c r="E2839" s="11" t="s">
        <v>1657</v>
      </c>
      <c r="F2839" t="str">
        <f t="shared" si="220"/>
        <v>Beamer</v>
      </c>
      <c r="G2839" t="str">
        <f t="shared" si="221"/>
        <v>Beamer11150Houston</v>
      </c>
      <c r="H2839" t="s">
        <v>33697</v>
      </c>
      <c r="I2839" t="s">
        <v>25122</v>
      </c>
      <c r="J2839" t="str">
        <f t="shared" si="222"/>
        <v>E:\PropInv\MF</v>
      </c>
      <c r="K2839" s="103" t="str">
        <f>HYPERLINK("E:\PropInv\MF\Houston\Beamer_11150_Beamer Place_Houston_04012","Beamer_11150_Beamer Place_Houston_04012" )</f>
        <v>Beamer_11150_Beamer Place_Houston_04012</v>
      </c>
      <c r="L2839" s="104" t="s">
        <v>22253</v>
      </c>
      <c r="M2839" s="103" t="str">
        <f t="shared" si="223"/>
        <v>http://oconnordata.com/mlink/modules/profile/index.cfm?action=profile&amp;prop_id=4012</v>
      </c>
      <c r="N2839" s="1" t="str">
        <f t="shared" si="224"/>
        <v>04012</v>
      </c>
    </row>
    <row r="2840" spans="1:14" x14ac:dyDescent="0.3">
      <c r="A2840" s="1">
        <v>4013</v>
      </c>
      <c r="B2840" s="7" t="s">
        <v>4257</v>
      </c>
      <c r="C2840" s="12">
        <v>11717</v>
      </c>
      <c r="D2840" s="7" t="s">
        <v>4258</v>
      </c>
      <c r="E2840" s="13" t="s">
        <v>1657</v>
      </c>
      <c r="F2840" t="str">
        <f t="shared" si="220"/>
        <v>Beamer</v>
      </c>
      <c r="G2840" t="str">
        <f t="shared" si="221"/>
        <v>Beamer11717Houston</v>
      </c>
      <c r="H2840" t="s">
        <v>33698</v>
      </c>
      <c r="I2840" t="s">
        <v>25123</v>
      </c>
      <c r="J2840" t="str">
        <f t="shared" si="222"/>
        <v>E:\PropInv\MF</v>
      </c>
      <c r="K2840" s="103" t="str">
        <f>HYPERLINK("E:\PropInv\MF\Houston\Beamer Rd_11717_Clear Creek Landing_Houston_04013","Beamer Rd_11717_Clear Creek Landing_Houston_04013" )</f>
        <v>Beamer Rd_11717_Clear Creek Landing_Houston_04013</v>
      </c>
      <c r="L2840" s="104" t="s">
        <v>22253</v>
      </c>
      <c r="M2840" s="103" t="str">
        <f t="shared" si="223"/>
        <v>http://oconnordata.com/mlink/modules/profile/index.cfm?action=profile&amp;prop_id=4013</v>
      </c>
      <c r="N2840" s="1" t="str">
        <f t="shared" si="224"/>
        <v>04013</v>
      </c>
    </row>
    <row r="2841" spans="1:14" x14ac:dyDescent="0.3">
      <c r="A2841" s="1">
        <v>4014</v>
      </c>
      <c r="B2841" s="7" t="s">
        <v>4259</v>
      </c>
      <c r="C2841" s="12">
        <v>11710</v>
      </c>
      <c r="D2841" s="7" t="s">
        <v>4260</v>
      </c>
      <c r="E2841" s="13" t="s">
        <v>1657</v>
      </c>
      <c r="F2841" t="str">
        <f t="shared" si="220"/>
        <v>Algonquin</v>
      </c>
      <c r="G2841" t="str">
        <f t="shared" si="221"/>
        <v>Algonquin11710Houston</v>
      </c>
      <c r="H2841" t="s">
        <v>33699</v>
      </c>
      <c r="I2841" t="s">
        <v>25124</v>
      </c>
      <c r="J2841" t="str">
        <f t="shared" si="222"/>
        <v>E:\PropInv\MF</v>
      </c>
      <c r="K2841" s="103" t="str">
        <f>HYPERLINK("E:\PropInv\MF\Houston\Algonquin_11710_Scarsdale Park II_Houston_04014","Algonquin_11710_Scarsdale Park II_Houston_04014" )</f>
        <v>Algonquin_11710_Scarsdale Park II_Houston_04014</v>
      </c>
      <c r="L2841" s="104" t="s">
        <v>22253</v>
      </c>
      <c r="M2841" s="103" t="str">
        <f t="shared" si="223"/>
        <v>http://oconnordata.com/mlink/modules/profile/index.cfm?action=profile&amp;prop_id=4014</v>
      </c>
      <c r="N2841" s="1" t="str">
        <f t="shared" si="224"/>
        <v>04014</v>
      </c>
    </row>
    <row r="2842" spans="1:14" x14ac:dyDescent="0.3">
      <c r="A2842" s="1">
        <v>4015</v>
      </c>
      <c r="B2842" s="7" t="s">
        <v>4259</v>
      </c>
      <c r="C2842" s="12">
        <v>11810</v>
      </c>
      <c r="D2842" s="7" t="s">
        <v>4261</v>
      </c>
      <c r="E2842" s="13" t="s">
        <v>1657</v>
      </c>
      <c r="F2842" t="str">
        <f t="shared" si="220"/>
        <v>Algonquin</v>
      </c>
      <c r="G2842" t="str">
        <f t="shared" si="221"/>
        <v>Algonquin11810Houston</v>
      </c>
      <c r="H2842" t="s">
        <v>33700</v>
      </c>
      <c r="I2842" t="s">
        <v>25125</v>
      </c>
      <c r="J2842" t="str">
        <f t="shared" si="222"/>
        <v>E:\PropInv\MF</v>
      </c>
      <c r="K2842" s="103" t="str">
        <f>HYPERLINK("E:\PropInv\MF\Houston\Algonquin_11810_Scarsdale Park I_Houston_04015","Algonquin_11810_Scarsdale Park I_Houston_04015" )</f>
        <v>Algonquin_11810_Scarsdale Park I_Houston_04015</v>
      </c>
      <c r="L2842" s="104" t="s">
        <v>22253</v>
      </c>
      <c r="M2842" s="103" t="str">
        <f t="shared" si="223"/>
        <v>http://oconnordata.com/mlink/modules/profile/index.cfm?action=profile&amp;prop_id=4015</v>
      </c>
      <c r="N2842" s="1" t="str">
        <f t="shared" si="224"/>
        <v>04015</v>
      </c>
    </row>
    <row r="2843" spans="1:14" x14ac:dyDescent="0.3">
      <c r="A2843" s="1">
        <v>4016</v>
      </c>
      <c r="B2843" s="7" t="s">
        <v>4262</v>
      </c>
      <c r="C2843" s="12" t="s">
        <v>4263</v>
      </c>
      <c r="D2843" s="7" t="s">
        <v>4264</v>
      </c>
      <c r="E2843" s="13" t="s">
        <v>1657</v>
      </c>
      <c r="F2843" t="str">
        <f t="shared" si="220"/>
        <v>Resource</v>
      </c>
      <c r="G2843" t="str">
        <f t="shared" si="221"/>
        <v>Resource11207-11211Houston</v>
      </c>
      <c r="H2843" t="s">
        <v>33701</v>
      </c>
      <c r="I2843" t="s">
        <v>25126</v>
      </c>
      <c r="J2843" t="str">
        <f t="shared" si="222"/>
        <v>E:\PropInv\MF</v>
      </c>
      <c r="K2843" s="103" t="str">
        <f>HYPERLINK("E:\PropInv\MF\Houston\Resource Pkwy_11207-11211_Oak Haven Retirement Community_Houston_04016","Resource Pkwy_11207-11211_Oak Haven Retirement Community_Houston_04016" )</f>
        <v>Resource Pkwy_11207-11211_Oak Haven Retirement Community_Houston_04016</v>
      </c>
      <c r="L2843" s="104" t="s">
        <v>22253</v>
      </c>
      <c r="M2843" s="103" t="str">
        <f t="shared" si="223"/>
        <v>http://oconnordata.com/mlink/modules/profile/index.cfm?action=profile&amp;prop_id=4016</v>
      </c>
      <c r="N2843" s="1" t="str">
        <f t="shared" si="224"/>
        <v>04016</v>
      </c>
    </row>
    <row r="2844" spans="1:14" x14ac:dyDescent="0.3">
      <c r="A2844" s="1">
        <v>4017</v>
      </c>
      <c r="B2844" s="7" t="s">
        <v>4265</v>
      </c>
      <c r="C2844" s="12">
        <v>4210</v>
      </c>
      <c r="D2844" s="7" t="s">
        <v>4266</v>
      </c>
      <c r="E2844" s="13" t="s">
        <v>3924</v>
      </c>
      <c r="F2844" t="str">
        <f t="shared" si="220"/>
        <v>Young</v>
      </c>
      <c r="G2844" t="str">
        <f t="shared" si="221"/>
        <v>Young4210Pasadena</v>
      </c>
      <c r="H2844" t="s">
        <v>33702</v>
      </c>
      <c r="I2844" t="s">
        <v>25127</v>
      </c>
      <c r="J2844" t="str">
        <f t="shared" si="222"/>
        <v>E:\PropInv\MF</v>
      </c>
      <c r="K2844" s="103" t="str">
        <f>HYPERLINK("E:\PropInv\MF\Pasadena\Young St_4210_Fairmont Oaks_Pasadena_04017","Young St_4210_Fairmont Oaks_Pasadena_04017" )</f>
        <v>Young St_4210_Fairmont Oaks_Pasadena_04017</v>
      </c>
      <c r="L2844" s="104" t="s">
        <v>22253</v>
      </c>
      <c r="M2844" s="103" t="str">
        <f t="shared" si="223"/>
        <v>http://oconnordata.com/mlink/modules/profile/index.cfm?action=profile&amp;prop_id=4017</v>
      </c>
      <c r="N2844" s="1" t="str">
        <f t="shared" si="224"/>
        <v>04017</v>
      </c>
    </row>
    <row r="2845" spans="1:14" x14ac:dyDescent="0.3">
      <c r="A2845" s="97">
        <v>4020</v>
      </c>
      <c r="B2845" s="7" t="s">
        <v>4238</v>
      </c>
      <c r="C2845" s="12">
        <v>3141</v>
      </c>
      <c r="D2845" s="7" t="s">
        <v>4267</v>
      </c>
      <c r="E2845" s="13" t="s">
        <v>4047</v>
      </c>
      <c r="F2845" t="str">
        <f t="shared" si="220"/>
        <v>Broadway</v>
      </c>
      <c r="G2845" t="str">
        <f t="shared" si="221"/>
        <v>Broadway3141La Porte</v>
      </c>
      <c r="H2845" t="s">
        <v>33703</v>
      </c>
      <c r="I2845" t="s">
        <v>25128</v>
      </c>
      <c r="J2845" t="str">
        <f t="shared" si="222"/>
        <v>E:\PropInv\MF</v>
      </c>
      <c r="K2845" s="103" t="str">
        <f>HYPERLINK("E:\PropInv\MF\La Porte\Broadway S_3141_Windsail Bay II_La Porte_04020","Broadway S_3141_Windsail Bay II_La Porte_04020" )</f>
        <v>Broadway S_3141_Windsail Bay II_La Porte_04020</v>
      </c>
      <c r="L2845" s="104" t="s">
        <v>22253</v>
      </c>
      <c r="M2845" s="103" t="str">
        <f t="shared" si="223"/>
        <v>http://oconnordata.com/mlink/modules/profile/index.cfm?action=profile&amp;prop_id=4020</v>
      </c>
      <c r="N2845" s="1" t="str">
        <f t="shared" si="224"/>
        <v>04020</v>
      </c>
    </row>
    <row r="2846" spans="1:14" x14ac:dyDescent="0.3">
      <c r="A2846" s="1">
        <v>4021</v>
      </c>
      <c r="B2846" s="7" t="s">
        <v>4268</v>
      </c>
      <c r="C2846" s="12">
        <v>222</v>
      </c>
      <c r="D2846" s="7" t="s">
        <v>4269</v>
      </c>
      <c r="E2846" s="13" t="s">
        <v>4047</v>
      </c>
      <c r="F2846" t="str">
        <f t="shared" si="220"/>
        <v>Fairmont</v>
      </c>
      <c r="G2846" t="str">
        <f t="shared" si="221"/>
        <v>Fairmont222La Porte</v>
      </c>
      <c r="H2846" t="s">
        <v>33704</v>
      </c>
      <c r="I2846" t="s">
        <v>25129</v>
      </c>
      <c r="J2846" t="str">
        <f t="shared" si="222"/>
        <v>E:\PropInv\MF</v>
      </c>
      <c r="K2846" s="103" t="str">
        <f>HYPERLINK("E:\PropInv\MF\La Porte\Fairmont Pkwy E_222_Tammie Jay_La Porte_04021","Fairmont Pkwy E_222_Tammie Jay_La Porte_04021" )</f>
        <v>Fairmont Pkwy E_222_Tammie Jay_La Porte_04021</v>
      </c>
      <c r="L2846" s="104" t="s">
        <v>22253</v>
      </c>
      <c r="M2846" s="103" t="str">
        <f t="shared" si="223"/>
        <v>http://oconnordata.com/mlink/modules/profile/index.cfm?action=profile&amp;prop_id=4021</v>
      </c>
      <c r="N2846" s="1" t="str">
        <f t="shared" si="224"/>
        <v>04021</v>
      </c>
    </row>
    <row r="2847" spans="1:14" x14ac:dyDescent="0.3">
      <c r="A2847" s="1">
        <v>4022</v>
      </c>
      <c r="B2847" s="7" t="s">
        <v>4270</v>
      </c>
      <c r="C2847" s="12">
        <v>3030</v>
      </c>
      <c r="D2847" s="7" t="s">
        <v>4271</v>
      </c>
      <c r="E2847" s="13" t="s">
        <v>4047</v>
      </c>
      <c r="F2847" t="str">
        <f t="shared" si="220"/>
        <v>146</v>
      </c>
      <c r="G2847" t="str">
        <f t="shared" si="221"/>
        <v>1463030La Porte</v>
      </c>
      <c r="H2847" t="s">
        <v>33705</v>
      </c>
      <c r="I2847" t="s">
        <v>25130</v>
      </c>
      <c r="J2847" t="str">
        <f t="shared" si="222"/>
        <v>E:\PropInv\MF</v>
      </c>
      <c r="K2847" s="103" t="str">
        <f>HYPERLINK("E:\PropInv\MF\La Porte\146 Hwy_3030_Bayou Villa_La Porte_04022","146 Hwy_3030_Bayou Villa_La Porte_04022" )</f>
        <v>146 Hwy_3030_Bayou Villa_La Porte_04022</v>
      </c>
      <c r="L2847" s="104" t="s">
        <v>22253</v>
      </c>
      <c r="M2847" s="103" t="str">
        <f t="shared" si="223"/>
        <v>http://oconnordata.com/mlink/modules/profile/index.cfm?action=profile&amp;prop_id=4022</v>
      </c>
      <c r="N2847" s="1" t="str">
        <f t="shared" si="224"/>
        <v>04022</v>
      </c>
    </row>
    <row r="2848" spans="1:14" x14ac:dyDescent="0.3">
      <c r="A2848" s="1">
        <v>4024</v>
      </c>
      <c r="B2848" s="7" t="s">
        <v>4272</v>
      </c>
      <c r="C2848" s="12">
        <v>15240</v>
      </c>
      <c r="D2848" s="7" t="s">
        <v>4273</v>
      </c>
      <c r="E2848" s="13" t="s">
        <v>4249</v>
      </c>
      <c r="F2848" t="str">
        <f t="shared" si="220"/>
        <v>Galveston</v>
      </c>
      <c r="G2848" t="str">
        <f t="shared" si="221"/>
        <v>Galveston15240Webster</v>
      </c>
      <c r="H2848" t="s">
        <v>33706</v>
      </c>
      <c r="I2848" t="s">
        <v>25131</v>
      </c>
      <c r="J2848" t="str">
        <f t="shared" si="222"/>
        <v>E:\PropInv\MF</v>
      </c>
      <c r="K2848" s="103" t="str">
        <f>HYPERLINK("E:\PropInv\MF\Webster\Galveston Rd (Hwy 3)_15240_Clear Lake Falls Townhome Condos_Webster_04024","Galveston Rd (Hwy 3)_15240_Clear Lake Falls Townhome Condos_Webster_04024" )</f>
        <v>Galveston Rd (Hwy 3)_15240_Clear Lake Falls Townhome Condos_Webster_04024</v>
      </c>
      <c r="L2848" s="104" t="s">
        <v>22253</v>
      </c>
      <c r="M2848" s="103" t="str">
        <f t="shared" si="223"/>
        <v>http://oconnordata.com/mlink/modules/profile/index.cfm?action=profile&amp;prop_id=4024</v>
      </c>
      <c r="N2848" s="1" t="str">
        <f t="shared" si="224"/>
        <v>04024</v>
      </c>
    </row>
    <row r="2849" spans="1:14" x14ac:dyDescent="0.3">
      <c r="A2849" s="1">
        <v>4026</v>
      </c>
      <c r="B2849" s="7" t="s">
        <v>4020</v>
      </c>
      <c r="C2849" s="12">
        <v>5930</v>
      </c>
      <c r="D2849" s="7" t="s">
        <v>4274</v>
      </c>
      <c r="E2849" s="13" t="s">
        <v>3924</v>
      </c>
      <c r="F2849" t="str">
        <f t="shared" si="220"/>
        <v>Red</v>
      </c>
      <c r="G2849" t="str">
        <f t="shared" si="221"/>
        <v>Red5930Pasadena</v>
      </c>
      <c r="H2849" t="s">
        <v>33707</v>
      </c>
      <c r="I2849" t="s">
        <v>25132</v>
      </c>
      <c r="J2849" t="str">
        <f t="shared" si="222"/>
        <v>E:\PropInv\MF</v>
      </c>
      <c r="K2849" s="103" t="str">
        <f>HYPERLINK("E:\PropInv\MF\Pasadena\Red Bluff Rd_5930_Cedar Bluff_Pasadena_04026","Red Bluff Rd_5930_Cedar Bluff_Pasadena_04026" )</f>
        <v>Red Bluff Rd_5930_Cedar Bluff_Pasadena_04026</v>
      </c>
      <c r="L2849" s="104" t="s">
        <v>22253</v>
      </c>
      <c r="M2849" s="103" t="str">
        <f t="shared" si="223"/>
        <v>http://oconnordata.com/mlink/modules/profile/index.cfm?action=profile&amp;prop_id=4026</v>
      </c>
      <c r="N2849" s="1" t="str">
        <f t="shared" si="224"/>
        <v>04026</v>
      </c>
    </row>
    <row r="2850" spans="1:14" x14ac:dyDescent="0.3">
      <c r="A2850" s="1">
        <v>4027</v>
      </c>
      <c r="B2850" s="10" t="s">
        <v>4275</v>
      </c>
      <c r="C2850" s="9">
        <v>3333</v>
      </c>
      <c r="D2850" s="10" t="s">
        <v>4276</v>
      </c>
      <c r="E2850" s="11" t="s">
        <v>4047</v>
      </c>
      <c r="F2850" t="str">
        <f t="shared" si="220"/>
        <v>Luella</v>
      </c>
      <c r="G2850" t="str">
        <f t="shared" si="221"/>
        <v>Luella3333La Porte</v>
      </c>
      <c r="H2850" t="s">
        <v>33708</v>
      </c>
      <c r="I2850" t="s">
        <v>25133</v>
      </c>
      <c r="J2850" t="str">
        <f t="shared" si="222"/>
        <v>E:\PropInv\MF</v>
      </c>
      <c r="K2850" s="103" t="str">
        <f>HYPERLINK("E:\PropInv\MF\La Porte\Luella Blvd_3333_College View_La Porte_04027","Luella Blvd_3333_College View_La Porte_04027" )</f>
        <v>Luella Blvd_3333_College View_La Porte_04027</v>
      </c>
      <c r="L2850" s="104" t="s">
        <v>22253</v>
      </c>
      <c r="M2850" s="103" t="str">
        <f t="shared" si="223"/>
        <v>http://oconnordata.com/mlink/modules/profile/index.cfm?action=profile&amp;prop_id=4027</v>
      </c>
      <c r="N2850" s="1" t="str">
        <f t="shared" si="224"/>
        <v>04027</v>
      </c>
    </row>
    <row r="2851" spans="1:14" x14ac:dyDescent="0.3">
      <c r="A2851" s="1">
        <v>4028</v>
      </c>
      <c r="B2851" s="10" t="s">
        <v>4277</v>
      </c>
      <c r="C2851" s="9">
        <v>1300</v>
      </c>
      <c r="D2851" s="10" t="s">
        <v>4278</v>
      </c>
      <c r="E2851" s="11" t="s">
        <v>1657</v>
      </c>
      <c r="F2851" t="str">
        <f t="shared" si="220"/>
        <v>Gemini</v>
      </c>
      <c r="G2851" t="str">
        <f t="shared" si="221"/>
        <v>Gemini1300Houston</v>
      </c>
      <c r="H2851" t="s">
        <v>33709</v>
      </c>
      <c r="I2851" t="s">
        <v>25134</v>
      </c>
      <c r="J2851" t="str">
        <f t="shared" si="222"/>
        <v>E:\PropInv\MF</v>
      </c>
      <c r="K2851" s="103" t="str">
        <f>HYPERLINK("E:\PropInv\MF\Houston\Gemini Ave_1300_The Palms at Clear Lake_Houston_04028","Gemini Ave_1300_The Palms at Clear Lake_Houston_04028" )</f>
        <v>Gemini Ave_1300_The Palms at Clear Lake_Houston_04028</v>
      </c>
      <c r="L2851" s="104" t="s">
        <v>22253</v>
      </c>
      <c r="M2851" s="103" t="str">
        <f t="shared" si="223"/>
        <v>http://oconnordata.com/mlink/modules/profile/index.cfm?action=profile&amp;prop_id=4028</v>
      </c>
      <c r="N2851" s="1" t="str">
        <f t="shared" si="224"/>
        <v>04028</v>
      </c>
    </row>
    <row r="2852" spans="1:14" x14ac:dyDescent="0.3">
      <c r="A2852" s="1">
        <v>4029</v>
      </c>
      <c r="B2852" s="10" t="s">
        <v>4279</v>
      </c>
      <c r="C2852" s="9">
        <v>2000</v>
      </c>
      <c r="D2852" s="10" t="s">
        <v>4280</v>
      </c>
      <c r="E2852" s="11" t="s">
        <v>1657</v>
      </c>
      <c r="F2852" t="str">
        <f t="shared" si="220"/>
        <v>Bay</v>
      </c>
      <c r="G2852" t="str">
        <f t="shared" si="221"/>
        <v>Bay2000Houston</v>
      </c>
      <c r="H2852" t="s">
        <v>33710</v>
      </c>
      <c r="I2852" t="s">
        <v>25135</v>
      </c>
      <c r="J2852" t="str">
        <f t="shared" si="222"/>
        <v>E:\PropInv\MF</v>
      </c>
      <c r="K2852" s="103" t="str">
        <f>HYPERLINK("E:\PropInv\MF\Houston\Bay Area Blvd_2000_The Cove_Houston_04029","Bay Area Blvd_2000_The Cove_Houston_04029" )</f>
        <v>Bay Area Blvd_2000_The Cove_Houston_04029</v>
      </c>
      <c r="L2852" s="104" t="s">
        <v>22253</v>
      </c>
      <c r="M2852" s="103" t="str">
        <f t="shared" si="223"/>
        <v>http://oconnordata.com/mlink/modules/profile/index.cfm?action=profile&amp;prop_id=4029</v>
      </c>
      <c r="N2852" s="1" t="str">
        <f t="shared" si="224"/>
        <v>04029</v>
      </c>
    </row>
    <row r="2853" spans="1:14" x14ac:dyDescent="0.3">
      <c r="A2853" s="1">
        <v>4032</v>
      </c>
      <c r="B2853" s="10" t="s">
        <v>4281</v>
      </c>
      <c r="C2853" s="9">
        <v>777</v>
      </c>
      <c r="D2853" s="10" t="s">
        <v>4282</v>
      </c>
      <c r="E2853" s="11" t="s">
        <v>4047</v>
      </c>
      <c r="F2853" t="str">
        <f t="shared" si="220"/>
        <v>R</v>
      </c>
      <c r="G2853" t="str">
        <f t="shared" si="221"/>
        <v>R777La Porte</v>
      </c>
      <c r="H2853" t="s">
        <v>33711</v>
      </c>
      <c r="I2853" t="s">
        <v>25136</v>
      </c>
      <c r="J2853" t="str">
        <f t="shared" si="222"/>
        <v>E:\PropInv\MF</v>
      </c>
      <c r="K2853" s="103" t="str">
        <f>HYPERLINK("E:\PropInv\MF\La Porte\R St S_777_Vista Baywood_La Porte_04032","R St S_777_Vista Baywood_La Porte_04032" )</f>
        <v>R St S_777_Vista Baywood_La Porte_04032</v>
      </c>
      <c r="L2853" s="104" t="s">
        <v>22253</v>
      </c>
      <c r="M2853" s="103" t="str">
        <f t="shared" si="223"/>
        <v>http://oconnordata.com/mlink/modules/profile/index.cfm?action=profile&amp;prop_id=4032</v>
      </c>
      <c r="N2853" s="1" t="str">
        <f t="shared" si="224"/>
        <v>04032</v>
      </c>
    </row>
    <row r="2854" spans="1:14" x14ac:dyDescent="0.3">
      <c r="A2854" s="1">
        <v>4033</v>
      </c>
      <c r="B2854" s="10" t="s">
        <v>4283</v>
      </c>
      <c r="C2854" s="9">
        <v>725</v>
      </c>
      <c r="D2854" s="10" t="s">
        <v>4284</v>
      </c>
      <c r="E2854" s="11" t="s">
        <v>1657</v>
      </c>
      <c r="F2854" t="str">
        <f t="shared" si="220"/>
        <v>1959</v>
      </c>
      <c r="G2854" t="str">
        <f t="shared" si="221"/>
        <v>1959725Houston</v>
      </c>
      <c r="H2854" t="s">
        <v>33712</v>
      </c>
      <c r="I2854" t="s">
        <v>25137</v>
      </c>
      <c r="J2854" t="str">
        <f t="shared" si="222"/>
        <v>E:\PropInv\MF</v>
      </c>
      <c r="K2854" s="103" t="str">
        <f>HYPERLINK("E:\PropInv\MF\Houston\1959 FM_725_Summer Cove_Houston_04033","1959 FM_725_Summer Cove_Houston_04033" )</f>
        <v>1959 FM_725_Summer Cove_Houston_04033</v>
      </c>
      <c r="L2854" s="104" t="s">
        <v>22253</v>
      </c>
      <c r="M2854" s="103" t="str">
        <f t="shared" si="223"/>
        <v>http://oconnordata.com/mlink/modules/profile/index.cfm?action=profile&amp;prop_id=4033</v>
      </c>
      <c r="N2854" s="1" t="str">
        <f t="shared" si="224"/>
        <v>04033</v>
      </c>
    </row>
    <row r="2855" spans="1:14" x14ac:dyDescent="0.3">
      <c r="A2855" s="1">
        <v>4034</v>
      </c>
      <c r="B2855" s="10" t="s">
        <v>3830</v>
      </c>
      <c r="C2855" s="9">
        <v>15603</v>
      </c>
      <c r="D2855" s="10" t="s">
        <v>4285</v>
      </c>
      <c r="E2855" s="11" t="s">
        <v>4249</v>
      </c>
      <c r="F2855" t="str">
        <f t="shared" si="220"/>
        <v>Gulf</v>
      </c>
      <c r="G2855" t="str">
        <f t="shared" si="221"/>
        <v>Gulf15603Webster</v>
      </c>
      <c r="H2855" t="s">
        <v>33713</v>
      </c>
      <c r="I2855" t="s">
        <v>25138</v>
      </c>
      <c r="J2855" t="str">
        <f t="shared" si="222"/>
        <v>E:\PropInv\MF</v>
      </c>
      <c r="K2855" s="103" t="str">
        <f>HYPERLINK("E:\PropInv\MF\Webster\Gulf Fwy_15603_Coopers Mill_Webster_04034","Gulf Fwy_15603_Coopers Mill_Webster_04034" )</f>
        <v>Gulf Fwy_15603_Coopers Mill_Webster_04034</v>
      </c>
      <c r="L2855" s="104" t="s">
        <v>22253</v>
      </c>
      <c r="M2855" s="103" t="str">
        <f t="shared" si="223"/>
        <v>http://oconnordata.com/mlink/modules/profile/index.cfm?action=profile&amp;prop_id=4034</v>
      </c>
      <c r="N2855" s="1" t="str">
        <f t="shared" si="224"/>
        <v>04034</v>
      </c>
    </row>
    <row r="2856" spans="1:14" x14ac:dyDescent="0.3">
      <c r="A2856" s="1">
        <v>4036</v>
      </c>
      <c r="B2856" s="10" t="s">
        <v>4286</v>
      </c>
      <c r="C2856" s="9">
        <v>10903</v>
      </c>
      <c r="D2856" s="10" t="s">
        <v>4287</v>
      </c>
      <c r="E2856" s="11" t="s">
        <v>1657</v>
      </c>
      <c r="F2856" t="str">
        <f t="shared" si="220"/>
        <v>Highland</v>
      </c>
      <c r="G2856" t="str">
        <f t="shared" si="221"/>
        <v>Highland10903Houston</v>
      </c>
      <c r="H2856" t="s">
        <v>33714</v>
      </c>
      <c r="I2856" t="s">
        <v>25139</v>
      </c>
      <c r="J2856" t="str">
        <f t="shared" si="222"/>
        <v>E:\PropInv\MF</v>
      </c>
      <c r="K2856" s="103" t="str">
        <f>HYPERLINK("E:\PropInv\MF\Houston\Highland Meadows Village_10903_Cimarron Landing_Houston_04036","Highland Meadows Village_10903_Cimarron Landing_Houston_04036" )</f>
        <v>Highland Meadows Village_10903_Cimarron Landing_Houston_04036</v>
      </c>
      <c r="L2856" s="104" t="s">
        <v>22253</v>
      </c>
      <c r="M2856" s="103" t="str">
        <f t="shared" si="223"/>
        <v>http://oconnordata.com/mlink/modules/profile/index.cfm?action=profile&amp;prop_id=4036</v>
      </c>
      <c r="N2856" s="1" t="str">
        <f t="shared" si="224"/>
        <v>04036</v>
      </c>
    </row>
    <row r="2857" spans="1:14" x14ac:dyDescent="0.3">
      <c r="A2857" s="1">
        <v>4037</v>
      </c>
      <c r="B2857" s="10" t="s">
        <v>4254</v>
      </c>
      <c r="C2857" s="9">
        <v>12353</v>
      </c>
      <c r="D2857" s="10" t="s">
        <v>4288</v>
      </c>
      <c r="E2857" s="11" t="s">
        <v>1657</v>
      </c>
      <c r="F2857" t="str">
        <f t="shared" si="220"/>
        <v>Beamer</v>
      </c>
      <c r="G2857" t="str">
        <f t="shared" si="221"/>
        <v>Beamer12353Houston</v>
      </c>
      <c r="H2857" t="s">
        <v>33715</v>
      </c>
      <c r="I2857" t="s">
        <v>25140</v>
      </c>
      <c r="J2857" t="str">
        <f t="shared" si="222"/>
        <v>E:\PropInv\MF</v>
      </c>
      <c r="K2857" s="103" t="str">
        <f>HYPERLINK("E:\PropInv\MF\Houston\Beamer_12353_Park Center_Houston_04037","Beamer_12353_Park Center_Houston_04037" )</f>
        <v>Beamer_12353_Park Center_Houston_04037</v>
      </c>
      <c r="L2857" s="104" t="s">
        <v>22253</v>
      </c>
      <c r="M2857" s="103" t="str">
        <f t="shared" si="223"/>
        <v>http://oconnordata.com/mlink/modules/profile/index.cfm?action=profile&amp;prop_id=4037</v>
      </c>
      <c r="N2857" s="1" t="str">
        <f t="shared" si="224"/>
        <v>04037</v>
      </c>
    </row>
    <row r="2858" spans="1:14" x14ac:dyDescent="0.3">
      <c r="A2858" s="97">
        <v>4038</v>
      </c>
      <c r="B2858" s="10" t="s">
        <v>4283</v>
      </c>
      <c r="C2858" s="9">
        <v>950</v>
      </c>
      <c r="D2858" s="10" t="s">
        <v>4289</v>
      </c>
      <c r="E2858" s="11" t="s">
        <v>1657</v>
      </c>
      <c r="F2858" t="str">
        <f t="shared" si="220"/>
        <v>1959</v>
      </c>
      <c r="G2858" t="str">
        <f t="shared" si="221"/>
        <v>1959950Houston</v>
      </c>
      <c r="H2858" t="s">
        <v>33716</v>
      </c>
      <c r="I2858" t="s">
        <v>25141</v>
      </c>
      <c r="J2858" t="str">
        <f t="shared" si="222"/>
        <v>E:\PropInv\MF</v>
      </c>
      <c r="K2858" s="103" t="str">
        <f>HYPERLINK("E:\PropInv\MF\Houston\1959 FM_950_Windjammer_Houston_04038","1959 FM_950_Windjammer_Houston_04038" )</f>
        <v>1959 FM_950_Windjammer_Houston_04038</v>
      </c>
      <c r="L2858" s="104" t="s">
        <v>22253</v>
      </c>
      <c r="M2858" s="103" t="str">
        <f t="shared" si="223"/>
        <v>http://oconnordata.com/mlink/modules/profile/index.cfm?action=profile&amp;prop_id=4038</v>
      </c>
      <c r="N2858" s="1" t="str">
        <f t="shared" si="224"/>
        <v>04038</v>
      </c>
    </row>
    <row r="2859" spans="1:14" x14ac:dyDescent="0.3">
      <c r="A2859" s="1">
        <v>4040</v>
      </c>
      <c r="B2859" s="10" t="s">
        <v>4290</v>
      </c>
      <c r="C2859" s="9">
        <v>300</v>
      </c>
      <c r="D2859" s="10" t="s">
        <v>4291</v>
      </c>
      <c r="E2859" s="11" t="s">
        <v>1657</v>
      </c>
      <c r="F2859" t="str">
        <f t="shared" si="220"/>
        <v>Cyberonics</v>
      </c>
      <c r="G2859" t="str">
        <f t="shared" si="221"/>
        <v>Cyberonics300Houston</v>
      </c>
      <c r="H2859" t="s">
        <v>33717</v>
      </c>
      <c r="I2859" t="s">
        <v>25142</v>
      </c>
      <c r="J2859" t="str">
        <f t="shared" si="222"/>
        <v>E:\PropInv\MF</v>
      </c>
      <c r="K2859" s="103" t="str">
        <f>HYPERLINK("E:\PropInv\MF\Houston\Cyberonics Blvd_300_Armand Place_Houston_04040","Cyberonics Blvd_300_Armand Place_Houston_04040" )</f>
        <v>Cyberonics Blvd_300_Armand Place_Houston_04040</v>
      </c>
      <c r="L2859" s="104" t="s">
        <v>22253</v>
      </c>
      <c r="M2859" s="103" t="str">
        <f t="shared" si="223"/>
        <v>http://oconnordata.com/mlink/modules/profile/index.cfm?action=profile&amp;prop_id=4040</v>
      </c>
      <c r="N2859" s="1" t="str">
        <f t="shared" si="224"/>
        <v>04040</v>
      </c>
    </row>
    <row r="2860" spans="1:14" x14ac:dyDescent="0.3">
      <c r="A2860" s="1">
        <v>4041</v>
      </c>
      <c r="B2860" s="10" t="s">
        <v>4292</v>
      </c>
      <c r="C2860" s="9">
        <v>503</v>
      </c>
      <c r="D2860" s="10" t="s">
        <v>4293</v>
      </c>
      <c r="E2860" s="11" t="s">
        <v>4249</v>
      </c>
      <c r="F2860" t="str">
        <f t="shared" si="220"/>
        <v>El</v>
      </c>
      <c r="G2860" t="str">
        <f t="shared" si="221"/>
        <v>El503Webster</v>
      </c>
      <c r="H2860" t="s">
        <v>33718</v>
      </c>
      <c r="I2860" t="s">
        <v>25143</v>
      </c>
      <c r="J2860" t="str">
        <f t="shared" si="222"/>
        <v>E:\PropInv\MF</v>
      </c>
      <c r="K2860" s="103" t="str">
        <f>HYPERLINK("E:\PropInv\MF\Webster\El Dorado Blvd_503_Lakeshire Place_Webster_04041","El Dorado Blvd_503_Lakeshire Place_Webster_04041" )</f>
        <v>El Dorado Blvd_503_Lakeshire Place_Webster_04041</v>
      </c>
      <c r="L2860" s="104" t="s">
        <v>22253</v>
      </c>
      <c r="M2860" s="103" t="str">
        <f t="shared" si="223"/>
        <v>http://oconnordata.com/mlink/modules/profile/index.cfm?action=profile&amp;prop_id=4041</v>
      </c>
      <c r="N2860" s="1" t="str">
        <f t="shared" si="224"/>
        <v>04041</v>
      </c>
    </row>
    <row r="2861" spans="1:14" x14ac:dyDescent="0.3">
      <c r="A2861" s="1">
        <v>4042</v>
      </c>
      <c r="B2861" s="10" t="s">
        <v>4292</v>
      </c>
      <c r="C2861" s="9">
        <v>450</v>
      </c>
      <c r="D2861" s="10" t="s">
        <v>4294</v>
      </c>
      <c r="E2861" s="11" t="s">
        <v>4249</v>
      </c>
      <c r="F2861" t="str">
        <f t="shared" si="220"/>
        <v>El</v>
      </c>
      <c r="G2861" t="str">
        <f t="shared" si="221"/>
        <v>El450Webster</v>
      </c>
      <c r="H2861" t="s">
        <v>33719</v>
      </c>
      <c r="I2861" t="s">
        <v>25144</v>
      </c>
      <c r="J2861" t="str">
        <f t="shared" si="222"/>
        <v>E:\PropInv\MF</v>
      </c>
      <c r="K2861" s="103" t="str">
        <f>HYPERLINK("E:\PropInv\MF\Webster\El Dorado Blvd_450_The Huntley_Webster_04042","El Dorado Blvd_450_The Huntley_Webster_04042" )</f>
        <v>El Dorado Blvd_450_The Huntley_Webster_04042</v>
      </c>
      <c r="L2861" s="104" t="s">
        <v>22253</v>
      </c>
      <c r="M2861" s="103" t="str">
        <f t="shared" si="223"/>
        <v>http://oconnordata.com/mlink/modules/profile/index.cfm?action=profile&amp;prop_id=4042</v>
      </c>
      <c r="N2861" s="1" t="str">
        <f t="shared" si="224"/>
        <v>04042</v>
      </c>
    </row>
    <row r="2862" spans="1:14" x14ac:dyDescent="0.3">
      <c r="A2862" s="1">
        <v>4043</v>
      </c>
      <c r="B2862" s="10" t="s">
        <v>4295</v>
      </c>
      <c r="C2862" s="9">
        <v>4949</v>
      </c>
      <c r="D2862" s="10" t="s">
        <v>4296</v>
      </c>
      <c r="E2862" s="11" t="s">
        <v>4297</v>
      </c>
      <c r="F2862" t="str">
        <f t="shared" si="220"/>
        <v>2351</v>
      </c>
      <c r="G2862" t="str">
        <f t="shared" si="221"/>
        <v>23514949Friendswood</v>
      </c>
      <c r="H2862" t="s">
        <v>33720</v>
      </c>
      <c r="I2862" t="s">
        <v>25145</v>
      </c>
      <c r="J2862" t="str">
        <f t="shared" si="222"/>
        <v>E:\PropInv\MF</v>
      </c>
      <c r="K2862" s="103" t="str">
        <f>HYPERLINK("E:\PropInv\MF\Friendswood\2351 FM_4949_Bridgestone_Friendswood_04043","2351 FM_4949_Bridgestone_Friendswood_04043" )</f>
        <v>2351 FM_4949_Bridgestone_Friendswood_04043</v>
      </c>
      <c r="L2862" s="104" t="s">
        <v>22253</v>
      </c>
      <c r="M2862" s="103" t="str">
        <f t="shared" si="223"/>
        <v>http://oconnordata.com/mlink/modules/profile/index.cfm?action=profile&amp;prop_id=4043</v>
      </c>
      <c r="N2862" s="1" t="str">
        <f t="shared" si="224"/>
        <v>04043</v>
      </c>
    </row>
    <row r="2863" spans="1:14" x14ac:dyDescent="0.3">
      <c r="A2863" s="1">
        <v>4044</v>
      </c>
      <c r="B2863" s="10" t="s">
        <v>4279</v>
      </c>
      <c r="C2863" s="9">
        <v>4300</v>
      </c>
      <c r="D2863" s="10" t="s">
        <v>4298</v>
      </c>
      <c r="E2863" s="11" t="s">
        <v>1657</v>
      </c>
      <c r="F2863" t="str">
        <f t="shared" si="220"/>
        <v>Bay</v>
      </c>
      <c r="G2863" t="str">
        <f t="shared" si="221"/>
        <v>Bay4300Houston</v>
      </c>
      <c r="H2863" t="s">
        <v>33721</v>
      </c>
      <c r="I2863" t="s">
        <v>25146</v>
      </c>
      <c r="J2863" t="str">
        <f t="shared" si="222"/>
        <v>E:\PropInv\MF</v>
      </c>
      <c r="K2863" s="103" t="str">
        <f>HYPERLINK("E:\PropInv\MF\Houston\Bay Area Blvd_4300_The Park at Armand Bayou II_Houston_04044","Bay Area Blvd_4300_The Park at Armand Bayou II_Houston_04044" )</f>
        <v>Bay Area Blvd_4300_The Park at Armand Bayou II_Houston_04044</v>
      </c>
      <c r="L2863" s="104" t="s">
        <v>22253</v>
      </c>
      <c r="M2863" s="103" t="str">
        <f t="shared" si="223"/>
        <v>http://oconnordata.com/mlink/modules/profile/index.cfm?action=profile&amp;prop_id=4044</v>
      </c>
      <c r="N2863" s="1" t="str">
        <f t="shared" si="224"/>
        <v>04044</v>
      </c>
    </row>
    <row r="2864" spans="1:14" x14ac:dyDescent="0.3">
      <c r="A2864" s="1">
        <v>4045</v>
      </c>
      <c r="B2864" s="10" t="s">
        <v>4299</v>
      </c>
      <c r="C2864" s="9">
        <v>16301</v>
      </c>
      <c r="D2864" s="10" t="s">
        <v>4300</v>
      </c>
      <c r="E2864" s="11" t="s">
        <v>1657</v>
      </c>
      <c r="F2864" t="str">
        <f t="shared" si="220"/>
        <v>Buccaneer</v>
      </c>
      <c r="G2864" t="str">
        <f t="shared" si="221"/>
        <v>Buccaneer16301Houston</v>
      </c>
      <c r="H2864" t="s">
        <v>33722</v>
      </c>
      <c r="I2864" t="s">
        <v>25147</v>
      </c>
      <c r="J2864" t="str">
        <f t="shared" si="222"/>
        <v>E:\PropInv\MF</v>
      </c>
      <c r="K2864" s="103" t="str">
        <f>HYPERLINK("E:\PropInv\MF\Houston\Buccaneer_16301_Quail Walk_Houston_04045","Buccaneer_16301_Quail Walk_Houston_04045" )</f>
        <v>Buccaneer_16301_Quail Walk_Houston_04045</v>
      </c>
      <c r="L2864" s="104" t="s">
        <v>22253</v>
      </c>
      <c r="M2864" s="103" t="str">
        <f t="shared" si="223"/>
        <v>http://oconnordata.com/mlink/modules/profile/index.cfm?action=profile&amp;prop_id=4045</v>
      </c>
      <c r="N2864" s="1" t="str">
        <f t="shared" si="224"/>
        <v>04045</v>
      </c>
    </row>
    <row r="2865" spans="1:14" x14ac:dyDescent="0.3">
      <c r="A2865" s="1">
        <v>4046</v>
      </c>
      <c r="B2865" s="10" t="s">
        <v>4279</v>
      </c>
      <c r="C2865" s="9">
        <v>1500</v>
      </c>
      <c r="D2865" s="10" t="s">
        <v>4301</v>
      </c>
      <c r="E2865" s="11" t="s">
        <v>1657</v>
      </c>
      <c r="F2865" t="str">
        <f t="shared" si="220"/>
        <v>Bay</v>
      </c>
      <c r="G2865" t="str">
        <f t="shared" si="221"/>
        <v>Bay1500Houston</v>
      </c>
      <c r="H2865" t="s">
        <v>33723</v>
      </c>
      <c r="I2865" t="s">
        <v>25148</v>
      </c>
      <c r="J2865" t="str">
        <f t="shared" si="222"/>
        <v>E:\PropInv\MF</v>
      </c>
      <c r="K2865" s="103" t="str">
        <f>HYPERLINK("E:\PropInv\MF\Houston\Bay Area Blvd_1500_Taylorcrest Condos_Houston_04046","Bay Area Blvd_1500_Taylorcrest Condos_Houston_04046" )</f>
        <v>Bay Area Blvd_1500_Taylorcrest Condos_Houston_04046</v>
      </c>
      <c r="L2865" s="104" t="s">
        <v>22253</v>
      </c>
      <c r="M2865" s="103" t="str">
        <f t="shared" si="223"/>
        <v>http://oconnordata.com/mlink/modules/profile/index.cfm?action=profile&amp;prop_id=4046</v>
      </c>
      <c r="N2865" s="1" t="str">
        <f t="shared" si="224"/>
        <v>04046</v>
      </c>
    </row>
    <row r="2866" spans="1:14" x14ac:dyDescent="0.3">
      <c r="A2866" s="1">
        <v>4047</v>
      </c>
      <c r="B2866" s="10" t="s">
        <v>4299</v>
      </c>
      <c r="C2866" s="9">
        <v>16203</v>
      </c>
      <c r="D2866" s="10" t="s">
        <v>4302</v>
      </c>
      <c r="E2866" s="11" t="s">
        <v>1657</v>
      </c>
      <c r="F2866" t="str">
        <f t="shared" si="220"/>
        <v>Buccaneer</v>
      </c>
      <c r="G2866" t="str">
        <f t="shared" si="221"/>
        <v>Buccaneer16203Houston</v>
      </c>
      <c r="H2866" t="s">
        <v>33724</v>
      </c>
      <c r="I2866" t="s">
        <v>25149</v>
      </c>
      <c r="J2866" t="str">
        <f t="shared" si="222"/>
        <v>E:\PropInv\MF</v>
      </c>
      <c r="K2866" s="103" t="str">
        <f>HYPERLINK("E:\PropInv\MF\Houston\Buccaneer_16203_The Presidio at Clear Lake_Houston_04047","Buccaneer_16203_The Presidio at Clear Lake_Houston_04047" )</f>
        <v>Buccaneer_16203_The Presidio at Clear Lake_Houston_04047</v>
      </c>
      <c r="L2866" s="104" t="s">
        <v>22253</v>
      </c>
      <c r="M2866" s="103" t="str">
        <f t="shared" si="223"/>
        <v>http://oconnordata.com/mlink/modules/profile/index.cfm?action=profile&amp;prop_id=4047</v>
      </c>
      <c r="N2866" s="1" t="str">
        <f t="shared" si="224"/>
        <v>04047</v>
      </c>
    </row>
    <row r="2867" spans="1:14" x14ac:dyDescent="0.3">
      <c r="A2867" s="1">
        <v>4048</v>
      </c>
      <c r="B2867" s="10" t="s">
        <v>4303</v>
      </c>
      <c r="C2867" s="9">
        <v>16202</v>
      </c>
      <c r="D2867" s="10" t="s">
        <v>4304</v>
      </c>
      <c r="E2867" s="11" t="s">
        <v>1657</v>
      </c>
      <c r="F2867" t="str">
        <f t="shared" si="220"/>
        <v>El</v>
      </c>
      <c r="G2867" t="str">
        <f t="shared" si="221"/>
        <v>El16202Houston</v>
      </c>
      <c r="H2867" t="s">
        <v>33725</v>
      </c>
      <c r="I2867" t="s">
        <v>25150</v>
      </c>
      <c r="J2867" t="str">
        <f t="shared" si="222"/>
        <v>E:\PropInv\MF</v>
      </c>
      <c r="K2867" s="103" t="str">
        <f>HYPERLINK("E:\PropInv\MF\Houston\El Camino Real_16202_The Hamptons_Houston_04048","El Camino Real_16202_The Hamptons_Houston_04048" )</f>
        <v>El Camino Real_16202_The Hamptons_Houston_04048</v>
      </c>
      <c r="L2867" s="104" t="s">
        <v>22253</v>
      </c>
      <c r="M2867" s="103" t="str">
        <f t="shared" si="223"/>
        <v>http://oconnordata.com/mlink/modules/profile/index.cfm?action=profile&amp;prop_id=4048</v>
      </c>
      <c r="N2867" s="1" t="str">
        <f t="shared" si="224"/>
        <v>04048</v>
      </c>
    </row>
    <row r="2868" spans="1:14" x14ac:dyDescent="0.3">
      <c r="A2868" s="1">
        <v>4049</v>
      </c>
      <c r="B2868" s="10" t="s">
        <v>4305</v>
      </c>
      <c r="C2868" s="9">
        <v>5000</v>
      </c>
      <c r="D2868" s="10" t="s">
        <v>4306</v>
      </c>
      <c r="E2868" s="11" t="s">
        <v>4297</v>
      </c>
      <c r="F2868" t="str">
        <f t="shared" si="220"/>
        <v>Watkins</v>
      </c>
      <c r="G2868" t="str">
        <f t="shared" si="221"/>
        <v>Watkins5000Friendswood</v>
      </c>
      <c r="H2868" t="s">
        <v>33726</v>
      </c>
      <c r="I2868" t="s">
        <v>25151</v>
      </c>
      <c r="J2868" t="str">
        <f t="shared" si="222"/>
        <v>E:\PropInv\MF</v>
      </c>
      <c r="K2868" s="103" t="str">
        <f>HYPERLINK("E:\PropInv\MF\Friendswood\Watkins Way_5000_The Enclave at Quail Crossing II_Friendswood_04049","Watkins Way_5000_The Enclave at Quail Crossing II_Friendswood_04049" )</f>
        <v>Watkins Way_5000_The Enclave at Quail Crossing II_Friendswood_04049</v>
      </c>
      <c r="L2868" s="104" t="s">
        <v>22253</v>
      </c>
      <c r="M2868" s="103" t="str">
        <f t="shared" si="223"/>
        <v>http://oconnordata.com/mlink/modules/profile/index.cfm?action=profile&amp;prop_id=4049</v>
      </c>
      <c r="N2868" s="1" t="str">
        <f t="shared" si="224"/>
        <v>04049</v>
      </c>
    </row>
    <row r="2869" spans="1:14" x14ac:dyDescent="0.3">
      <c r="A2869" s="1">
        <v>4050</v>
      </c>
      <c r="B2869" s="10" t="s">
        <v>4307</v>
      </c>
      <c r="C2869" s="9">
        <v>19100</v>
      </c>
      <c r="D2869" s="10" t="s">
        <v>4308</v>
      </c>
      <c r="E2869" s="11" t="s">
        <v>4297</v>
      </c>
      <c r="F2869" t="str">
        <f t="shared" si="220"/>
        <v>Glenwest</v>
      </c>
      <c r="G2869" t="str">
        <f t="shared" si="221"/>
        <v>Glenwest19100Friendswood</v>
      </c>
      <c r="H2869" t="s">
        <v>33727</v>
      </c>
      <c r="I2869" t="s">
        <v>25152</v>
      </c>
      <c r="J2869" t="str">
        <f t="shared" si="222"/>
        <v>E:\PropInv\MF</v>
      </c>
      <c r="K2869" s="103" t="str">
        <f>HYPERLINK("E:\PropInv\MF\Friendswood\Glenwest Dr_19100_The Lodge at Baybrook_Friendswood_04050","Glenwest Dr_19100_The Lodge at Baybrook_Friendswood_04050" )</f>
        <v>Glenwest Dr_19100_The Lodge at Baybrook_Friendswood_04050</v>
      </c>
      <c r="L2869" s="104" t="s">
        <v>22253</v>
      </c>
      <c r="M2869" s="103" t="str">
        <f t="shared" si="223"/>
        <v>http://oconnordata.com/mlink/modules/profile/index.cfm?action=profile&amp;prop_id=4050</v>
      </c>
      <c r="N2869" s="1" t="str">
        <f t="shared" si="224"/>
        <v>04050</v>
      </c>
    </row>
    <row r="2870" spans="1:14" x14ac:dyDescent="0.3">
      <c r="A2870" s="1">
        <v>4051</v>
      </c>
      <c r="B2870" s="10" t="s">
        <v>4309</v>
      </c>
      <c r="C2870" s="9">
        <v>2323</v>
      </c>
      <c r="D2870" s="10" t="s">
        <v>4310</v>
      </c>
      <c r="E2870" s="11" t="s">
        <v>4249</v>
      </c>
      <c r="F2870" t="str">
        <f t="shared" si="220"/>
        <v>Bay</v>
      </c>
      <c r="G2870" t="str">
        <f t="shared" si="221"/>
        <v>Bay2323Webster</v>
      </c>
      <c r="H2870" t="s">
        <v>33728</v>
      </c>
      <c r="I2870" t="s">
        <v>25153</v>
      </c>
      <c r="J2870" t="str">
        <f t="shared" si="222"/>
        <v>E:\PropInv\MF</v>
      </c>
      <c r="K2870" s="103" t="str">
        <f>HYPERLINK("E:\PropInv\MF\Webster\Bay Area Blvd W_2323_Crystal Bay_Webster_04051","Bay Area Blvd W_2323_Crystal Bay_Webster_04051" )</f>
        <v>Bay Area Blvd W_2323_Crystal Bay_Webster_04051</v>
      </c>
      <c r="L2870" s="104" t="s">
        <v>22253</v>
      </c>
      <c r="M2870" s="103" t="str">
        <f t="shared" si="223"/>
        <v>http://oconnordata.com/mlink/modules/profile/index.cfm?action=profile&amp;prop_id=4051</v>
      </c>
      <c r="N2870" s="1" t="str">
        <f t="shared" si="224"/>
        <v>04051</v>
      </c>
    </row>
    <row r="2871" spans="1:14" x14ac:dyDescent="0.3">
      <c r="A2871" s="1">
        <v>4052</v>
      </c>
      <c r="B2871" s="10" t="s">
        <v>4311</v>
      </c>
      <c r="C2871" s="9">
        <v>15902</v>
      </c>
      <c r="D2871" s="10" t="s">
        <v>4312</v>
      </c>
      <c r="E2871" s="11" t="s">
        <v>4249</v>
      </c>
      <c r="F2871" t="str">
        <f t="shared" si="220"/>
        <v>3</v>
      </c>
      <c r="G2871" t="str">
        <f t="shared" si="221"/>
        <v>315902Webster</v>
      </c>
      <c r="H2871" t="s">
        <v>33729</v>
      </c>
      <c r="I2871" t="s">
        <v>25154</v>
      </c>
      <c r="J2871" t="str">
        <f t="shared" si="222"/>
        <v>E:\PropInv\MF</v>
      </c>
      <c r="K2871" s="103" t="str">
        <f>HYPERLINK("E:\PropInv\MF\Webster\3 Hwy_15902_The Bradford I_Webster_04052","3 Hwy_15902_The Bradford I_Webster_04052" )</f>
        <v>3 Hwy_15902_The Bradford I_Webster_04052</v>
      </c>
      <c r="L2871" s="104" t="s">
        <v>22253</v>
      </c>
      <c r="M2871" s="103" t="str">
        <f t="shared" si="223"/>
        <v>http://oconnordata.com/mlink/modules/profile/index.cfm?action=profile&amp;prop_id=4052</v>
      </c>
      <c r="N2871" s="1" t="str">
        <f t="shared" si="224"/>
        <v>04052</v>
      </c>
    </row>
    <row r="2872" spans="1:14" x14ac:dyDescent="0.3">
      <c r="A2872" s="1">
        <v>4055</v>
      </c>
      <c r="B2872" s="10" t="s">
        <v>4250</v>
      </c>
      <c r="C2872" s="9">
        <v>270</v>
      </c>
      <c r="D2872" s="10" t="s">
        <v>4313</v>
      </c>
      <c r="E2872" s="11" t="s">
        <v>4249</v>
      </c>
      <c r="F2872" t="str">
        <f t="shared" si="220"/>
        <v>El</v>
      </c>
      <c r="G2872" t="str">
        <f t="shared" si="221"/>
        <v>El270Webster</v>
      </c>
      <c r="H2872" t="s">
        <v>33730</v>
      </c>
      <c r="I2872" t="s">
        <v>25155</v>
      </c>
      <c r="J2872" t="str">
        <f t="shared" si="222"/>
        <v>E:\PropInv\MF</v>
      </c>
      <c r="K2872" s="103" t="str">
        <f>HYPERLINK("E:\PropInv\MF\Webster\El Dorado_270_Piper's Cove_Webster_04055","El Dorado_270_Piper's Cove_Webster_04055" )</f>
        <v>El Dorado_270_Piper's Cove_Webster_04055</v>
      </c>
      <c r="L2872" s="104" t="s">
        <v>22253</v>
      </c>
      <c r="M2872" s="103" t="str">
        <f t="shared" si="223"/>
        <v>http://oconnordata.com/mlink/modules/profile/index.cfm?action=profile&amp;prop_id=4055</v>
      </c>
      <c r="N2872" s="1" t="str">
        <f t="shared" si="224"/>
        <v>04055</v>
      </c>
    </row>
    <row r="2873" spans="1:14" x14ac:dyDescent="0.3">
      <c r="A2873" s="1">
        <v>4056</v>
      </c>
      <c r="B2873" s="10" t="s">
        <v>4295</v>
      </c>
      <c r="C2873" s="9">
        <v>5025</v>
      </c>
      <c r="D2873" s="10" t="s">
        <v>4086</v>
      </c>
      <c r="E2873" s="11" t="s">
        <v>4297</v>
      </c>
      <c r="F2873" t="str">
        <f t="shared" si="220"/>
        <v>2351</v>
      </c>
      <c r="G2873" t="str">
        <f t="shared" si="221"/>
        <v>23515025Friendswood</v>
      </c>
      <c r="H2873" t="s">
        <v>33731</v>
      </c>
      <c r="I2873" t="s">
        <v>25156</v>
      </c>
      <c r="J2873" t="str">
        <f t="shared" si="222"/>
        <v>E:\PropInv\MF</v>
      </c>
      <c r="K2873" s="103" t="str">
        <f>HYPERLINK("E:\PropInv\MF\Friendswood\2351 FM_5025_Baywood_Friendswood_04056","2351 FM_5025_Baywood_Friendswood_04056" )</f>
        <v>2351 FM_5025_Baywood_Friendswood_04056</v>
      </c>
      <c r="L2873" s="104" t="s">
        <v>22253</v>
      </c>
      <c r="M2873" s="103" t="str">
        <f t="shared" si="223"/>
        <v>http://oconnordata.com/mlink/modules/profile/index.cfm?action=profile&amp;prop_id=4056</v>
      </c>
      <c r="N2873" s="1" t="str">
        <f t="shared" si="224"/>
        <v>04056</v>
      </c>
    </row>
    <row r="2874" spans="1:14" x14ac:dyDescent="0.3">
      <c r="A2874" s="1">
        <v>4057</v>
      </c>
      <c r="B2874" s="10" t="s">
        <v>4305</v>
      </c>
      <c r="C2874" s="9">
        <v>5000</v>
      </c>
      <c r="D2874" s="10" t="s">
        <v>4314</v>
      </c>
      <c r="E2874" s="11" t="s">
        <v>4297</v>
      </c>
      <c r="F2874" t="str">
        <f t="shared" si="220"/>
        <v>Watkins</v>
      </c>
      <c r="G2874" t="str">
        <f t="shared" si="221"/>
        <v>Watkins5000Friendswood</v>
      </c>
      <c r="H2874" t="s">
        <v>33732</v>
      </c>
      <c r="I2874" t="s">
        <v>25157</v>
      </c>
      <c r="J2874" t="str">
        <f t="shared" si="222"/>
        <v>E:\PropInv\MF</v>
      </c>
      <c r="K2874" s="103" t="str">
        <f>HYPERLINK("E:\PropInv\MF\Friendswood\Watkins Way_5000_The Enclave at Quail Crossing I_Friendswood_04057","Watkins Way_5000_The Enclave at Quail Crossing I_Friendswood_04057" )</f>
        <v>Watkins Way_5000_The Enclave at Quail Crossing I_Friendswood_04057</v>
      </c>
      <c r="L2874" s="104" t="s">
        <v>22253</v>
      </c>
      <c r="M2874" s="103" t="str">
        <f t="shared" si="223"/>
        <v>http://oconnordata.com/mlink/modules/profile/index.cfm?action=profile&amp;prop_id=4057</v>
      </c>
      <c r="N2874" s="1" t="str">
        <f t="shared" si="224"/>
        <v>04057</v>
      </c>
    </row>
    <row r="2875" spans="1:14" x14ac:dyDescent="0.3">
      <c r="A2875" s="1">
        <v>4058</v>
      </c>
      <c r="B2875" s="10" t="s">
        <v>4315</v>
      </c>
      <c r="C2875" s="9">
        <v>800</v>
      </c>
      <c r="D2875" s="10" t="s">
        <v>4316</v>
      </c>
      <c r="E2875" s="11" t="s">
        <v>4249</v>
      </c>
      <c r="F2875" t="str">
        <f t="shared" si="220"/>
        <v>Nasa</v>
      </c>
      <c r="G2875" t="str">
        <f t="shared" si="221"/>
        <v>Nasa800Webster</v>
      </c>
      <c r="H2875" t="s">
        <v>33733</v>
      </c>
      <c r="I2875" t="s">
        <v>25158</v>
      </c>
      <c r="J2875" t="str">
        <f t="shared" si="222"/>
        <v>E:\PropInv\MF</v>
      </c>
      <c r="K2875" s="103" t="str">
        <f>HYPERLINK("E:\PropInv\MF\Webster\Nasa Rd 1 W_800_Baystone_Webster_04058","Nasa Rd 1 W_800_Baystone_Webster_04058" )</f>
        <v>Nasa Rd 1 W_800_Baystone_Webster_04058</v>
      </c>
      <c r="L2875" s="104" t="s">
        <v>22253</v>
      </c>
      <c r="M2875" s="103" t="str">
        <f t="shared" si="223"/>
        <v>http://oconnordata.com/mlink/modules/profile/index.cfm?action=profile&amp;prop_id=4058</v>
      </c>
      <c r="N2875" s="1" t="str">
        <f t="shared" si="224"/>
        <v>04058</v>
      </c>
    </row>
    <row r="2876" spans="1:14" x14ac:dyDescent="0.3">
      <c r="A2876" s="1">
        <v>4059</v>
      </c>
      <c r="B2876" s="10" t="s">
        <v>4317</v>
      </c>
      <c r="C2876" s="9">
        <v>801</v>
      </c>
      <c r="D2876" s="10" t="s">
        <v>4318</v>
      </c>
      <c r="E2876" s="11" t="s">
        <v>4249</v>
      </c>
      <c r="F2876" t="str">
        <f t="shared" si="220"/>
        <v>Nasa</v>
      </c>
      <c r="G2876" t="str">
        <f t="shared" si="221"/>
        <v>Nasa801Webster</v>
      </c>
      <c r="H2876" t="s">
        <v>33734</v>
      </c>
      <c r="I2876" t="s">
        <v>25159</v>
      </c>
      <c r="J2876" t="str">
        <f t="shared" si="222"/>
        <v>E:\PropInv\MF</v>
      </c>
      <c r="K2876" s="103" t="str">
        <f>HYPERLINK("E:\PropInv\MF\Webster\Nasa Rd 1 E_801_The Falls at Clearlake_Webster_04059","Nasa Rd 1 E_801_The Falls at Clearlake_Webster_04059" )</f>
        <v>Nasa Rd 1 E_801_The Falls at Clearlake_Webster_04059</v>
      </c>
      <c r="L2876" s="104" t="s">
        <v>22253</v>
      </c>
      <c r="M2876" s="103" t="str">
        <f t="shared" si="223"/>
        <v>http://oconnordata.com/mlink/modules/profile/index.cfm?action=profile&amp;prop_id=4059</v>
      </c>
      <c r="N2876" s="1" t="str">
        <f t="shared" si="224"/>
        <v>04059</v>
      </c>
    </row>
    <row r="2877" spans="1:14" x14ac:dyDescent="0.3">
      <c r="A2877" s="1">
        <v>4060</v>
      </c>
      <c r="B2877" s="10" t="s">
        <v>4279</v>
      </c>
      <c r="C2877" s="9">
        <v>2305</v>
      </c>
      <c r="D2877" s="10" t="s">
        <v>4319</v>
      </c>
      <c r="E2877" s="11" t="s">
        <v>1657</v>
      </c>
      <c r="F2877" t="str">
        <f t="shared" si="220"/>
        <v>Bay</v>
      </c>
      <c r="G2877" t="str">
        <f t="shared" si="221"/>
        <v>Bay2305Houston</v>
      </c>
      <c r="H2877" t="s">
        <v>33735</v>
      </c>
      <c r="I2877" t="s">
        <v>25160</v>
      </c>
      <c r="J2877" t="str">
        <f t="shared" si="222"/>
        <v>E:\PropInv\MF</v>
      </c>
      <c r="K2877" s="103" t="str">
        <f>HYPERLINK("E:\PropInv\MF\Houston\Bay Area Blvd_2305_Retreat Of Clear Lake_Houston_04060","Bay Area Blvd_2305_Retreat Of Clear Lake_Houston_04060" )</f>
        <v>Bay Area Blvd_2305_Retreat Of Clear Lake_Houston_04060</v>
      </c>
      <c r="L2877" s="104" t="s">
        <v>22253</v>
      </c>
      <c r="M2877" s="103" t="str">
        <f t="shared" si="223"/>
        <v>http://oconnordata.com/mlink/modules/profile/index.cfm?action=profile&amp;prop_id=4060</v>
      </c>
      <c r="N2877" s="1" t="str">
        <f t="shared" si="224"/>
        <v>04060</v>
      </c>
    </row>
    <row r="2878" spans="1:14" x14ac:dyDescent="0.3">
      <c r="A2878" s="1">
        <v>4061</v>
      </c>
      <c r="B2878" s="10" t="s">
        <v>4320</v>
      </c>
      <c r="C2878" s="9">
        <v>15900</v>
      </c>
      <c r="D2878" s="10" t="s">
        <v>4321</v>
      </c>
      <c r="E2878" s="11" t="s">
        <v>1657</v>
      </c>
      <c r="F2878" t="str">
        <f t="shared" si="220"/>
        <v>Space</v>
      </c>
      <c r="G2878" t="str">
        <f t="shared" si="221"/>
        <v>Space15900Houston</v>
      </c>
      <c r="H2878" t="s">
        <v>33736</v>
      </c>
      <c r="I2878" t="s">
        <v>25161</v>
      </c>
      <c r="J2878" t="str">
        <f t="shared" si="222"/>
        <v>E:\PropInv\MF</v>
      </c>
      <c r="K2878" s="103" t="str">
        <f>HYPERLINK("E:\PropInv\MF\Houston\Space Center_15900_Newport at Clearlake_Houston_04061","Space Center_15900_Newport at Clearlake_Houston_04061" )</f>
        <v>Space Center_15900_Newport at Clearlake_Houston_04061</v>
      </c>
      <c r="L2878" s="104" t="s">
        <v>22253</v>
      </c>
      <c r="M2878" s="103" t="str">
        <f t="shared" si="223"/>
        <v>http://oconnordata.com/mlink/modules/profile/index.cfm?action=profile&amp;prop_id=4061</v>
      </c>
      <c r="N2878" s="1" t="str">
        <f t="shared" si="224"/>
        <v>04061</v>
      </c>
    </row>
    <row r="2879" spans="1:14" x14ac:dyDescent="0.3">
      <c r="A2879" s="1">
        <v>4062</v>
      </c>
      <c r="B2879" s="10" t="s">
        <v>4322</v>
      </c>
      <c r="C2879" s="9">
        <v>444</v>
      </c>
      <c r="D2879" s="10" t="s">
        <v>4323</v>
      </c>
      <c r="E2879" s="11" t="s">
        <v>4249</v>
      </c>
      <c r="F2879" t="str">
        <f t="shared" si="220"/>
        <v>Medical</v>
      </c>
      <c r="G2879" t="str">
        <f t="shared" si="221"/>
        <v>Medical444Webster</v>
      </c>
      <c r="H2879" t="s">
        <v>33737</v>
      </c>
      <c r="I2879" t="s">
        <v>25162</v>
      </c>
      <c r="J2879" t="str">
        <f t="shared" si="222"/>
        <v>E:\PropInv\MF</v>
      </c>
      <c r="K2879" s="103" t="str">
        <f>HYPERLINK("E:\PropInv\MF\Webster\Medical Center Blvd_444_The Preserve_Webster_04062","Medical Center Blvd_444_The Preserve_Webster_04062" )</f>
        <v>Medical Center Blvd_444_The Preserve_Webster_04062</v>
      </c>
      <c r="L2879" s="104" t="s">
        <v>22253</v>
      </c>
      <c r="M2879" s="103" t="str">
        <f t="shared" si="223"/>
        <v>http://oconnordata.com/mlink/modules/profile/index.cfm?action=profile&amp;prop_id=4062</v>
      </c>
      <c r="N2879" s="1" t="str">
        <f t="shared" si="224"/>
        <v>04062</v>
      </c>
    </row>
    <row r="2880" spans="1:14" x14ac:dyDescent="0.3">
      <c r="A2880" s="1">
        <v>4063</v>
      </c>
      <c r="B2880" s="10" t="s">
        <v>4324</v>
      </c>
      <c r="C2880" s="9">
        <v>535</v>
      </c>
      <c r="D2880" s="10" t="s">
        <v>301</v>
      </c>
      <c r="E2880" s="11" t="s">
        <v>4249</v>
      </c>
      <c r="F2880" t="str">
        <f t="shared" si="220"/>
        <v>Nasa</v>
      </c>
      <c r="G2880" t="str">
        <f t="shared" si="221"/>
        <v>Nasa535Webster</v>
      </c>
      <c r="H2880" t="s">
        <v>33738</v>
      </c>
      <c r="I2880" t="s">
        <v>25163</v>
      </c>
      <c r="J2880" t="str">
        <f t="shared" si="222"/>
        <v>E:\PropInv\MF</v>
      </c>
      <c r="K2880" s="103" t="str">
        <f>HYPERLINK("E:\PropInv\MF\Webster\Nasa Rd 1_535_Solano_Webster_04063","Nasa Rd 1_535_Solano_Webster_04063" )</f>
        <v>Nasa Rd 1_535_Solano_Webster_04063</v>
      </c>
      <c r="L2880" s="104" t="s">
        <v>22253</v>
      </c>
      <c r="M2880" s="103" t="str">
        <f t="shared" si="223"/>
        <v>http://oconnordata.com/mlink/modules/profile/index.cfm?action=profile&amp;prop_id=4063</v>
      </c>
      <c r="N2880" s="1" t="str">
        <f t="shared" si="224"/>
        <v>04063</v>
      </c>
    </row>
    <row r="2881" spans="1:14" x14ac:dyDescent="0.3">
      <c r="A2881" s="1">
        <v>4065</v>
      </c>
      <c r="B2881" s="10" t="s">
        <v>4325</v>
      </c>
      <c r="C2881" s="9">
        <v>16457</v>
      </c>
      <c r="D2881" s="10" t="s">
        <v>4326</v>
      </c>
      <c r="E2881" s="11" t="s">
        <v>1657</v>
      </c>
      <c r="F2881" t="str">
        <f t="shared" si="220"/>
        <v>El</v>
      </c>
      <c r="G2881" t="str">
        <f t="shared" si="221"/>
        <v>El16457Houston</v>
      </c>
      <c r="H2881" t="s">
        <v>33739</v>
      </c>
      <c r="I2881" t="s">
        <v>25164</v>
      </c>
      <c r="J2881" t="str">
        <f t="shared" si="222"/>
        <v>E:\PropInv\MF</v>
      </c>
      <c r="K2881" s="103" t="str">
        <f>HYPERLINK("E:\PropInv\MF\Houston\El Camino_16457_Bay Place_Houston_04065","El Camino_16457_Bay Place_Houston_04065" )</f>
        <v>El Camino_16457_Bay Place_Houston_04065</v>
      </c>
      <c r="L2881" s="104" t="s">
        <v>22253</v>
      </c>
      <c r="M2881" s="103" t="str">
        <f t="shared" si="223"/>
        <v>http://oconnordata.com/mlink/modules/profile/index.cfm?action=profile&amp;prop_id=4065</v>
      </c>
      <c r="N2881" s="1" t="str">
        <f t="shared" si="224"/>
        <v>04065</v>
      </c>
    </row>
    <row r="2882" spans="1:14" x14ac:dyDescent="0.3">
      <c r="A2882" s="1">
        <v>4068</v>
      </c>
      <c r="B2882" s="10" t="s">
        <v>4327</v>
      </c>
      <c r="C2882" s="9">
        <v>18100</v>
      </c>
      <c r="D2882" s="10" t="s">
        <v>4328</v>
      </c>
      <c r="E2882" s="11" t="s">
        <v>1657</v>
      </c>
      <c r="F2882" t="str">
        <f t="shared" ref="F2882:F2945" si="225">IFERROR(LEFT(B2882,FIND(" ",B2882)-1),B2882)</f>
        <v>Nassau</v>
      </c>
      <c r="G2882" t="str">
        <f t="shared" ref="G2882:G2945" si="226">F2882&amp;C2882&amp;E2882</f>
        <v>Nassau18100Houston</v>
      </c>
      <c r="H2882" t="s">
        <v>33740</v>
      </c>
      <c r="I2882" t="s">
        <v>25165</v>
      </c>
      <c r="J2882" t="str">
        <f t="shared" ref="J2882:J2945" si="227">IF(L2882="TX",Folder_Path,Folder_Path&amp;"\State_"&amp;L2882)</f>
        <v>E:\PropInv\MF</v>
      </c>
      <c r="K2882" s="103" t="str">
        <f>HYPERLINK("E:\PropInv\MF\Houston\Nassau Bay_18100_Colony Oaks By the Bay_Houston_04068","Nassau Bay_18100_Colony Oaks By the Bay_Houston_04068" )</f>
        <v>Nassau Bay_18100_Colony Oaks By the Bay_Houston_04068</v>
      </c>
      <c r="L2882" s="104" t="s">
        <v>22253</v>
      </c>
      <c r="M2882" s="103" t="str">
        <f t="shared" ref="M2882:M2945" si="228">HYPERLINK("http://oconnordata.com/mlink/modules/profile/index.cfm?action=profile&amp;prop_id="&amp;A2882)</f>
        <v>http://oconnordata.com/mlink/modules/profile/index.cfm?action=profile&amp;prop_id=4068</v>
      </c>
      <c r="N2882" s="1" t="str">
        <f t="shared" ref="N2882:N2945" si="229">IF(LEN(A2882)=1,"0000"&amp;A2882,IF(LEN(A2882)=2,"000"&amp;A2882,IF(LEN(A2882)=3,"00"&amp;A2882,IF(LEN(A2882)=4,"0"&amp;A2882,IF(LEN(A2882)=5,IF(LEFT(A2882,1)="3",A2882+30000,A2882))))))</f>
        <v>04068</v>
      </c>
    </row>
    <row r="2883" spans="1:14" x14ac:dyDescent="0.3">
      <c r="A2883" s="97">
        <v>4069</v>
      </c>
      <c r="B2883" s="10" t="s">
        <v>4329</v>
      </c>
      <c r="C2883" s="9">
        <v>16100</v>
      </c>
      <c r="D2883" s="10" t="s">
        <v>4330</v>
      </c>
      <c r="E2883" s="11" t="s">
        <v>1657</v>
      </c>
      <c r="F2883" t="str">
        <f t="shared" si="225"/>
        <v>Space</v>
      </c>
      <c r="G2883" t="str">
        <f t="shared" si="226"/>
        <v>Space16100Houston</v>
      </c>
      <c r="H2883" t="s">
        <v>33741</v>
      </c>
      <c r="I2883" t="s">
        <v>25166</v>
      </c>
      <c r="J2883" t="str">
        <f t="shared" si="227"/>
        <v>E:\PropInv\MF</v>
      </c>
      <c r="K2883" s="103" t="str">
        <f>HYPERLINK("E:\PropInv\MF\Houston\Space Center Blvd_16100_Wolf Creek_Houston_04069","Space Center Blvd_16100_Wolf Creek_Houston_04069" )</f>
        <v>Space Center Blvd_16100_Wolf Creek_Houston_04069</v>
      </c>
      <c r="L2883" s="104" t="s">
        <v>22253</v>
      </c>
      <c r="M2883" s="103" t="str">
        <f t="shared" si="228"/>
        <v>http://oconnordata.com/mlink/modules/profile/index.cfm?action=profile&amp;prop_id=4069</v>
      </c>
      <c r="N2883" s="1" t="str">
        <f t="shared" si="229"/>
        <v>04069</v>
      </c>
    </row>
    <row r="2884" spans="1:14" x14ac:dyDescent="0.3">
      <c r="A2884" s="1">
        <v>4070</v>
      </c>
      <c r="B2884" s="10" t="s">
        <v>4329</v>
      </c>
      <c r="C2884" s="9">
        <v>19200</v>
      </c>
      <c r="D2884" s="10" t="s">
        <v>4331</v>
      </c>
      <c r="E2884" s="11" t="s">
        <v>1657</v>
      </c>
      <c r="F2884" t="str">
        <f t="shared" si="225"/>
        <v>Space</v>
      </c>
      <c r="G2884" t="str">
        <f t="shared" si="226"/>
        <v>Space19200Houston</v>
      </c>
      <c r="H2884" t="s">
        <v>33742</v>
      </c>
      <c r="I2884" t="s">
        <v>25167</v>
      </c>
      <c r="J2884" t="str">
        <f t="shared" si="227"/>
        <v>E:\PropInv\MF</v>
      </c>
      <c r="K2884" s="103" t="str">
        <f>HYPERLINK("E:\PropInv\MF\Houston\Space Center Blvd_19200_Village on the Lake_Houston_04070","Space Center Blvd_19200_Village on the Lake_Houston_04070" )</f>
        <v>Space Center Blvd_19200_Village on the Lake_Houston_04070</v>
      </c>
      <c r="L2884" s="104" t="s">
        <v>22253</v>
      </c>
      <c r="M2884" s="103" t="str">
        <f t="shared" si="228"/>
        <v>http://oconnordata.com/mlink/modules/profile/index.cfm?action=profile&amp;prop_id=4070</v>
      </c>
      <c r="N2884" s="1" t="str">
        <f t="shared" si="229"/>
        <v>04070</v>
      </c>
    </row>
    <row r="2885" spans="1:14" x14ac:dyDescent="0.3">
      <c r="A2885" s="1">
        <v>4071</v>
      </c>
      <c r="B2885" s="10" t="s">
        <v>4332</v>
      </c>
      <c r="C2885" s="9">
        <v>16505</v>
      </c>
      <c r="D2885" s="10" t="s">
        <v>4333</v>
      </c>
      <c r="E2885" s="11" t="s">
        <v>1657</v>
      </c>
      <c r="F2885" t="str">
        <f t="shared" si="225"/>
        <v>Tiffany</v>
      </c>
      <c r="G2885" t="str">
        <f t="shared" si="226"/>
        <v>Tiffany16505Houston</v>
      </c>
      <c r="H2885" t="s">
        <v>33743</v>
      </c>
      <c r="I2885" t="s">
        <v>25168</v>
      </c>
      <c r="J2885" t="str">
        <f t="shared" si="227"/>
        <v>E:\PropInv\MF</v>
      </c>
      <c r="K2885" s="103" t="str">
        <f>HYPERLINK("E:\PropInv\MF\Houston\Tiffany Ct_16505_Tiffany Bay_Houston_04071","Tiffany Ct_16505_Tiffany Bay_Houston_04071" )</f>
        <v>Tiffany Ct_16505_Tiffany Bay_Houston_04071</v>
      </c>
      <c r="L2885" s="104" t="s">
        <v>22253</v>
      </c>
      <c r="M2885" s="103" t="str">
        <f t="shared" si="228"/>
        <v>http://oconnordata.com/mlink/modules/profile/index.cfm?action=profile&amp;prop_id=4071</v>
      </c>
      <c r="N2885" s="1" t="str">
        <f t="shared" si="229"/>
        <v>04071</v>
      </c>
    </row>
    <row r="2886" spans="1:14" x14ac:dyDescent="0.3">
      <c r="A2886" s="1">
        <v>4072</v>
      </c>
      <c r="B2886" s="10" t="s">
        <v>4279</v>
      </c>
      <c r="C2886" s="9">
        <v>1620</v>
      </c>
      <c r="D2886" s="10" t="s">
        <v>4334</v>
      </c>
      <c r="E2886" s="11" t="s">
        <v>1657</v>
      </c>
      <c r="F2886" t="str">
        <f t="shared" si="225"/>
        <v>Bay</v>
      </c>
      <c r="G2886" t="str">
        <f t="shared" si="226"/>
        <v>Bay1620Houston</v>
      </c>
      <c r="H2886" t="s">
        <v>33744</v>
      </c>
      <c r="I2886" t="s">
        <v>25169</v>
      </c>
      <c r="J2886" t="str">
        <f t="shared" si="227"/>
        <v>E:\PropInv\MF</v>
      </c>
      <c r="K2886" s="103" t="str">
        <f>HYPERLINK("E:\PropInv\MF\Houston\Bay Area Blvd_1620_University Green_Houston_04072","Bay Area Blvd_1620_University Green_Houston_04072" )</f>
        <v>Bay Area Blvd_1620_University Green_Houston_04072</v>
      </c>
      <c r="L2886" s="104" t="s">
        <v>22253</v>
      </c>
      <c r="M2886" s="103" t="str">
        <f t="shared" si="228"/>
        <v>http://oconnordata.com/mlink/modules/profile/index.cfm?action=profile&amp;prop_id=4072</v>
      </c>
      <c r="N2886" s="1" t="str">
        <f t="shared" si="229"/>
        <v>04072</v>
      </c>
    </row>
    <row r="2887" spans="1:14" x14ac:dyDescent="0.3">
      <c r="A2887" s="1">
        <v>4073</v>
      </c>
      <c r="B2887" s="10" t="s">
        <v>4311</v>
      </c>
      <c r="C2887" s="9">
        <v>16460</v>
      </c>
      <c r="D2887" s="10" t="s">
        <v>4335</v>
      </c>
      <c r="E2887" s="11" t="s">
        <v>4249</v>
      </c>
      <c r="F2887" t="str">
        <f t="shared" si="225"/>
        <v>3</v>
      </c>
      <c r="G2887" t="str">
        <f t="shared" si="226"/>
        <v>316460Webster</v>
      </c>
      <c r="H2887" t="s">
        <v>33745</v>
      </c>
      <c r="I2887" t="s">
        <v>25170</v>
      </c>
      <c r="J2887" t="str">
        <f t="shared" si="227"/>
        <v>E:\PropInv\MF</v>
      </c>
      <c r="K2887" s="103" t="str">
        <f>HYPERLINK("E:\PropInv\MF\Webster\3 Hwy_16460_Chatham Village_Webster_04073","3 Hwy_16460_Chatham Village_Webster_04073" )</f>
        <v>3 Hwy_16460_Chatham Village_Webster_04073</v>
      </c>
      <c r="L2887" s="104" t="s">
        <v>22253</v>
      </c>
      <c r="M2887" s="103" t="str">
        <f t="shared" si="228"/>
        <v>http://oconnordata.com/mlink/modules/profile/index.cfm?action=profile&amp;prop_id=4073</v>
      </c>
      <c r="N2887" s="1" t="str">
        <f t="shared" si="229"/>
        <v>04073</v>
      </c>
    </row>
    <row r="2888" spans="1:14" x14ac:dyDescent="0.3">
      <c r="A2888" s="1">
        <v>4074</v>
      </c>
      <c r="B2888" s="10" t="s">
        <v>4292</v>
      </c>
      <c r="C2888" s="9">
        <v>707</v>
      </c>
      <c r="D2888" s="10" t="s">
        <v>1160</v>
      </c>
      <c r="E2888" s="11" t="s">
        <v>1657</v>
      </c>
      <c r="F2888" t="str">
        <f t="shared" si="225"/>
        <v>El</v>
      </c>
      <c r="G2888" t="str">
        <f t="shared" si="226"/>
        <v>El707Houston</v>
      </c>
      <c r="H2888" t="s">
        <v>33746</v>
      </c>
      <c r="I2888" t="s">
        <v>25171</v>
      </c>
      <c r="J2888" t="str">
        <f t="shared" si="227"/>
        <v>E:\PropInv\MF</v>
      </c>
      <c r="K2888" s="103" t="str">
        <f>HYPERLINK("E:\PropInv\MF\Houston\El Dorado Blvd_707_Las Brisas_Houston_04074","El Dorado Blvd_707_Las Brisas_Houston_04074" )</f>
        <v>El Dorado Blvd_707_Las Brisas_Houston_04074</v>
      </c>
      <c r="L2888" s="104" t="s">
        <v>22253</v>
      </c>
      <c r="M2888" s="103" t="str">
        <f t="shared" si="228"/>
        <v>http://oconnordata.com/mlink/modules/profile/index.cfm?action=profile&amp;prop_id=4074</v>
      </c>
      <c r="N2888" s="1" t="str">
        <f t="shared" si="229"/>
        <v>04074</v>
      </c>
    </row>
    <row r="2889" spans="1:14" x14ac:dyDescent="0.3">
      <c r="A2889" s="1">
        <v>4075</v>
      </c>
      <c r="B2889" s="10" t="s">
        <v>4311</v>
      </c>
      <c r="C2889" s="9">
        <v>15902</v>
      </c>
      <c r="D2889" s="10" t="s">
        <v>4336</v>
      </c>
      <c r="E2889" s="11" t="s">
        <v>4249</v>
      </c>
      <c r="F2889" t="str">
        <f t="shared" si="225"/>
        <v>3</v>
      </c>
      <c r="G2889" t="str">
        <f t="shared" si="226"/>
        <v>315902Webster</v>
      </c>
      <c r="H2889" t="s">
        <v>33747</v>
      </c>
      <c r="I2889" t="s">
        <v>25172</v>
      </c>
      <c r="J2889" t="str">
        <f t="shared" si="227"/>
        <v>E:\PropInv\MF</v>
      </c>
      <c r="K2889" s="103" t="str">
        <f>HYPERLINK("E:\PropInv\MF\Webster\3 Hwy_15902_The Bradford II_Webster_04075","3 Hwy_15902_The Bradford II_Webster_04075" )</f>
        <v>3 Hwy_15902_The Bradford II_Webster_04075</v>
      </c>
      <c r="L2889" s="104" t="s">
        <v>22253</v>
      </c>
      <c r="M2889" s="103" t="str">
        <f t="shared" si="228"/>
        <v>http://oconnordata.com/mlink/modules/profile/index.cfm?action=profile&amp;prop_id=4075</v>
      </c>
      <c r="N2889" s="1" t="str">
        <f t="shared" si="229"/>
        <v>04075</v>
      </c>
    </row>
    <row r="2890" spans="1:14" x14ac:dyDescent="0.3">
      <c r="A2890" s="1">
        <v>4077</v>
      </c>
      <c r="B2890" s="10" t="s">
        <v>4324</v>
      </c>
      <c r="C2890" s="9">
        <v>3410</v>
      </c>
      <c r="D2890" s="10" t="s">
        <v>4337</v>
      </c>
      <c r="E2890" s="11" t="s">
        <v>4338</v>
      </c>
      <c r="F2890" t="str">
        <f t="shared" si="225"/>
        <v>Nasa</v>
      </c>
      <c r="G2890" t="str">
        <f t="shared" si="226"/>
        <v>Nasa3410Seabrook</v>
      </c>
      <c r="H2890" t="s">
        <v>33748</v>
      </c>
      <c r="I2890" t="s">
        <v>25173</v>
      </c>
      <c r="J2890" t="str">
        <f t="shared" si="227"/>
        <v>E:\PropInv\MF</v>
      </c>
      <c r="K2890" s="103" t="str">
        <f>HYPERLINK("E:\PropInv\MF\Seabrook\Nasa Rd 1_3410_Casa Bonita_Seabrook_04077","Nasa Rd 1_3410_Casa Bonita_Seabrook_04077" )</f>
        <v>Nasa Rd 1_3410_Casa Bonita_Seabrook_04077</v>
      </c>
      <c r="L2890" s="104" t="s">
        <v>22253</v>
      </c>
      <c r="M2890" s="103" t="str">
        <f t="shared" si="228"/>
        <v>http://oconnordata.com/mlink/modules/profile/index.cfm?action=profile&amp;prop_id=4077</v>
      </c>
      <c r="N2890" s="1" t="str">
        <f t="shared" si="229"/>
        <v>04077</v>
      </c>
    </row>
    <row r="2891" spans="1:14" x14ac:dyDescent="0.3">
      <c r="A2891" s="1">
        <v>4078</v>
      </c>
      <c r="B2891" s="10" t="s">
        <v>4324</v>
      </c>
      <c r="C2891" s="9">
        <v>3520</v>
      </c>
      <c r="D2891" s="10" t="s">
        <v>4339</v>
      </c>
      <c r="E2891" s="11" t="s">
        <v>4338</v>
      </c>
      <c r="F2891" t="str">
        <f t="shared" si="225"/>
        <v>Nasa</v>
      </c>
      <c r="G2891" t="str">
        <f t="shared" si="226"/>
        <v>Nasa3520Seabrook</v>
      </c>
      <c r="H2891" t="s">
        <v>33749</v>
      </c>
      <c r="I2891" t="s">
        <v>25174</v>
      </c>
      <c r="J2891" t="str">
        <f t="shared" si="227"/>
        <v>E:\PropInv\MF</v>
      </c>
      <c r="K2891" s="103" t="str">
        <f>HYPERLINK("E:\PropInv\MF\Seabrook\Nasa Rd 1_3520_Bay Park_Seabrook_04078","Nasa Rd 1_3520_Bay Park_Seabrook_04078" )</f>
        <v>Nasa Rd 1_3520_Bay Park_Seabrook_04078</v>
      </c>
      <c r="L2891" s="104" t="s">
        <v>22253</v>
      </c>
      <c r="M2891" s="103" t="str">
        <f t="shared" si="228"/>
        <v>http://oconnordata.com/mlink/modules/profile/index.cfm?action=profile&amp;prop_id=4078</v>
      </c>
      <c r="N2891" s="1" t="str">
        <f t="shared" si="229"/>
        <v>04078</v>
      </c>
    </row>
    <row r="2892" spans="1:14" x14ac:dyDescent="0.3">
      <c r="A2892" s="1">
        <v>4079</v>
      </c>
      <c r="B2892" s="10" t="s">
        <v>4303</v>
      </c>
      <c r="C2892" s="9">
        <v>17700</v>
      </c>
      <c r="D2892" s="10" t="s">
        <v>4340</v>
      </c>
      <c r="E2892" s="11" t="s">
        <v>1657</v>
      </c>
      <c r="F2892" t="str">
        <f t="shared" si="225"/>
        <v>El</v>
      </c>
      <c r="G2892" t="str">
        <f t="shared" si="226"/>
        <v>El17700Houston</v>
      </c>
      <c r="H2892" t="s">
        <v>33750</v>
      </c>
      <c r="I2892" t="s">
        <v>25175</v>
      </c>
      <c r="J2892" t="str">
        <f t="shared" si="227"/>
        <v>E:\PropInv\MF</v>
      </c>
      <c r="K2892" s="103" t="str">
        <f>HYPERLINK("E:\PropInv\MF\Houston\El Camino Real_17700_Harbortree_Houston_04079","El Camino Real_17700_Harbortree_Houston_04079" )</f>
        <v>El Camino Real_17700_Harbortree_Houston_04079</v>
      </c>
      <c r="L2892" s="104" t="s">
        <v>22253</v>
      </c>
      <c r="M2892" s="103" t="str">
        <f t="shared" si="228"/>
        <v>http://oconnordata.com/mlink/modules/profile/index.cfm?action=profile&amp;prop_id=4079</v>
      </c>
      <c r="N2892" s="1" t="str">
        <f t="shared" si="229"/>
        <v>04079</v>
      </c>
    </row>
    <row r="2893" spans="1:14" x14ac:dyDescent="0.3">
      <c r="A2893" s="1">
        <v>4080</v>
      </c>
      <c r="B2893" s="10" t="s">
        <v>4341</v>
      </c>
      <c r="C2893" s="9">
        <v>1110</v>
      </c>
      <c r="D2893" s="10" t="s">
        <v>4342</v>
      </c>
      <c r="E2893" s="11" t="s">
        <v>1657</v>
      </c>
      <c r="F2893" t="str">
        <f t="shared" si="225"/>
        <v>El</v>
      </c>
      <c r="G2893" t="str">
        <f t="shared" si="226"/>
        <v>El1110Houston</v>
      </c>
      <c r="H2893" t="s">
        <v>33751</v>
      </c>
      <c r="I2893" t="s">
        <v>25176</v>
      </c>
      <c r="J2893" t="str">
        <f t="shared" si="227"/>
        <v>E:\PropInv\MF</v>
      </c>
      <c r="K2893" s="103" t="str">
        <f>HYPERLINK("E:\PropInv\MF\Houston\El Camino Village Dr_1110_Skylar Pointe I_Houston_04080","El Camino Village Dr_1110_Skylar Pointe I_Houston_04080" )</f>
        <v>El Camino Village Dr_1110_Skylar Pointe I_Houston_04080</v>
      </c>
      <c r="L2893" s="104" t="s">
        <v>22253</v>
      </c>
      <c r="M2893" s="103" t="str">
        <f t="shared" si="228"/>
        <v>http://oconnordata.com/mlink/modules/profile/index.cfm?action=profile&amp;prop_id=4080</v>
      </c>
      <c r="N2893" s="1" t="str">
        <f t="shared" si="229"/>
        <v>04080</v>
      </c>
    </row>
    <row r="2894" spans="1:14" x14ac:dyDescent="0.3">
      <c r="A2894" s="1">
        <v>4082</v>
      </c>
      <c r="B2894" s="10" t="s">
        <v>4343</v>
      </c>
      <c r="C2894" s="9">
        <v>1315</v>
      </c>
      <c r="D2894" s="10" t="s">
        <v>4344</v>
      </c>
      <c r="E2894" s="11" t="s">
        <v>1657</v>
      </c>
      <c r="F2894" t="str">
        <f t="shared" si="225"/>
        <v>Nasa</v>
      </c>
      <c r="G2894" t="str">
        <f t="shared" si="226"/>
        <v>Nasa1315Houston</v>
      </c>
      <c r="H2894" t="s">
        <v>33752</v>
      </c>
      <c r="I2894" t="s">
        <v>25177</v>
      </c>
      <c r="J2894" t="str">
        <f t="shared" si="227"/>
        <v>E:\PropInv\MF</v>
      </c>
      <c r="K2894" s="103" t="str">
        <f>HYPERLINK("E:\PropInv\MF\Houston\Nasa Pkwy_1315_The Regatta I, II &amp; III_Houston_04082","Nasa Pkwy_1315_The Regatta I, II &amp; III_Houston_04082" )</f>
        <v>Nasa Pkwy_1315_The Regatta I, II &amp; III_Houston_04082</v>
      </c>
      <c r="L2894" s="104" t="s">
        <v>22253</v>
      </c>
      <c r="M2894" s="103" t="str">
        <f t="shared" si="228"/>
        <v>http://oconnordata.com/mlink/modules/profile/index.cfm?action=profile&amp;prop_id=4082</v>
      </c>
      <c r="N2894" s="1" t="str">
        <f t="shared" si="229"/>
        <v>04082</v>
      </c>
    </row>
    <row r="2895" spans="1:14" x14ac:dyDescent="0.3">
      <c r="A2895" s="1">
        <v>4083</v>
      </c>
      <c r="B2895" s="10" t="s">
        <v>4345</v>
      </c>
      <c r="C2895" s="9">
        <v>18707</v>
      </c>
      <c r="D2895" s="10" t="s">
        <v>4346</v>
      </c>
      <c r="E2895" s="11" t="s">
        <v>1657</v>
      </c>
      <c r="F2895" t="str">
        <f t="shared" si="225"/>
        <v>Egret</v>
      </c>
      <c r="G2895" t="str">
        <f t="shared" si="226"/>
        <v>Egret18707Houston</v>
      </c>
      <c r="H2895" t="s">
        <v>33753</v>
      </c>
      <c r="I2895" t="s">
        <v>25178</v>
      </c>
      <c r="J2895" t="str">
        <f t="shared" si="227"/>
        <v>E:\PropInv\MF</v>
      </c>
      <c r="K2895" s="103" t="str">
        <f>HYPERLINK("E:\PropInv\MF\Houston\Egret Bay Blvd_18707_Towers at Clear Lake North_Houston_04083","Egret Bay Blvd_18707_Towers at Clear Lake North_Houston_04083" )</f>
        <v>Egret Bay Blvd_18707_Towers at Clear Lake North_Houston_04083</v>
      </c>
      <c r="L2895" s="104" t="s">
        <v>22253</v>
      </c>
      <c r="M2895" s="103" t="str">
        <f t="shared" si="228"/>
        <v>http://oconnordata.com/mlink/modules/profile/index.cfm?action=profile&amp;prop_id=4083</v>
      </c>
      <c r="N2895" s="1" t="str">
        <f t="shared" si="229"/>
        <v>04083</v>
      </c>
    </row>
    <row r="2896" spans="1:14" x14ac:dyDescent="0.3">
      <c r="A2896" s="1">
        <v>4084</v>
      </c>
      <c r="B2896" s="10" t="s">
        <v>4279</v>
      </c>
      <c r="C2896" s="9">
        <v>1239</v>
      </c>
      <c r="D2896" s="10" t="s">
        <v>4347</v>
      </c>
      <c r="E2896" s="11" t="s">
        <v>1657</v>
      </c>
      <c r="F2896" t="str">
        <f t="shared" si="225"/>
        <v>Bay</v>
      </c>
      <c r="G2896" t="str">
        <f t="shared" si="226"/>
        <v>Bay1239Houston</v>
      </c>
      <c r="H2896" t="s">
        <v>33754</v>
      </c>
      <c r="I2896" t="s">
        <v>25179</v>
      </c>
      <c r="J2896" t="str">
        <f t="shared" si="227"/>
        <v>E:\PropInv\MF</v>
      </c>
      <c r="K2896" s="103" t="str">
        <f>HYPERLINK("E:\PropInv\MF\Houston\Bay Area Blvd_1239_Clear Lake Village_Houston_04084","Bay Area Blvd_1239_Clear Lake Village_Houston_04084" )</f>
        <v>Bay Area Blvd_1239_Clear Lake Village_Houston_04084</v>
      </c>
      <c r="L2896" s="104" t="s">
        <v>22253</v>
      </c>
      <c r="M2896" s="103" t="str">
        <f t="shared" si="228"/>
        <v>http://oconnordata.com/mlink/modules/profile/index.cfm?action=profile&amp;prop_id=4084</v>
      </c>
      <c r="N2896" s="1" t="str">
        <f t="shared" si="229"/>
        <v>04084</v>
      </c>
    </row>
    <row r="2897" spans="1:14" x14ac:dyDescent="0.3">
      <c r="A2897" s="1">
        <v>4085</v>
      </c>
      <c r="B2897" s="10" t="s">
        <v>4279</v>
      </c>
      <c r="C2897" s="9">
        <v>1243</v>
      </c>
      <c r="D2897" s="10" t="s">
        <v>4348</v>
      </c>
      <c r="E2897" s="11" t="s">
        <v>1657</v>
      </c>
      <c r="F2897" t="str">
        <f t="shared" si="225"/>
        <v>Bay</v>
      </c>
      <c r="G2897" t="str">
        <f t="shared" si="226"/>
        <v>Bay1243Houston</v>
      </c>
      <c r="H2897" t="s">
        <v>33755</v>
      </c>
      <c r="I2897" t="s">
        <v>25180</v>
      </c>
      <c r="J2897" t="str">
        <f t="shared" si="227"/>
        <v>E:\PropInv\MF</v>
      </c>
      <c r="K2897" s="103" t="str">
        <f>HYPERLINK("E:\PropInv\MF\Houston\Bay Area Blvd_1243_Clear Lake Village South_Houston_04085","Bay Area Blvd_1243_Clear Lake Village South_Houston_04085" )</f>
        <v>Bay Area Blvd_1243_Clear Lake Village South_Houston_04085</v>
      </c>
      <c r="L2897" s="104" t="s">
        <v>22253</v>
      </c>
      <c r="M2897" s="103" t="str">
        <f t="shared" si="228"/>
        <v>http://oconnordata.com/mlink/modules/profile/index.cfm?action=profile&amp;prop_id=4085</v>
      </c>
      <c r="N2897" s="1" t="str">
        <f t="shared" si="229"/>
        <v>04085</v>
      </c>
    </row>
    <row r="2898" spans="1:14" x14ac:dyDescent="0.3">
      <c r="A2898" s="1">
        <v>4086</v>
      </c>
      <c r="B2898" s="10" t="s">
        <v>4349</v>
      </c>
      <c r="C2898" s="9">
        <v>506</v>
      </c>
      <c r="D2898" s="10" t="s">
        <v>4350</v>
      </c>
      <c r="E2898" s="11" t="s">
        <v>4249</v>
      </c>
      <c r="F2898" t="str">
        <f t="shared" si="225"/>
        <v>Austin</v>
      </c>
      <c r="G2898" t="str">
        <f t="shared" si="226"/>
        <v>Austin506Webster</v>
      </c>
      <c r="H2898" t="s">
        <v>33756</v>
      </c>
      <c r="I2898" t="s">
        <v>25181</v>
      </c>
      <c r="J2898" t="str">
        <f t="shared" si="227"/>
        <v>E:\PropInv\MF</v>
      </c>
      <c r="K2898" s="103" t="str">
        <f>HYPERLINK("E:\PropInv\MF\Webster\Austin S_506_Capital Estates_Webster_04086","Austin S_506_Capital Estates_Webster_04086" )</f>
        <v>Austin S_506_Capital Estates_Webster_04086</v>
      </c>
      <c r="L2898" s="104" t="s">
        <v>22253</v>
      </c>
      <c r="M2898" s="103" t="str">
        <f t="shared" si="228"/>
        <v>http://oconnordata.com/mlink/modules/profile/index.cfm?action=profile&amp;prop_id=4086</v>
      </c>
      <c r="N2898" s="1" t="str">
        <f t="shared" si="229"/>
        <v>04086</v>
      </c>
    </row>
    <row r="2899" spans="1:14" x14ac:dyDescent="0.3">
      <c r="A2899" s="1">
        <v>4088</v>
      </c>
      <c r="B2899" s="10" t="s">
        <v>4351</v>
      </c>
      <c r="C2899" s="9">
        <v>202</v>
      </c>
      <c r="D2899" s="10" t="s">
        <v>4352</v>
      </c>
      <c r="E2899" s="11" t="s">
        <v>4249</v>
      </c>
      <c r="F2899" t="str">
        <f t="shared" si="225"/>
        <v>Cole</v>
      </c>
      <c r="G2899" t="str">
        <f t="shared" si="226"/>
        <v>Cole202Webster</v>
      </c>
      <c r="H2899" t="s">
        <v>33757</v>
      </c>
      <c r="I2899" t="s">
        <v>25182</v>
      </c>
      <c r="J2899" t="str">
        <f t="shared" si="227"/>
        <v>E:\PropInv\MF</v>
      </c>
      <c r="K2899" s="103" t="str">
        <f>HYPERLINK("E:\PropInv\MF\Webster\Cole St W_202_Space Colony_Webster_04088","Cole St W_202_Space Colony_Webster_04088" )</f>
        <v>Cole St W_202_Space Colony_Webster_04088</v>
      </c>
      <c r="L2899" s="104" t="s">
        <v>22253</v>
      </c>
      <c r="M2899" s="103" t="str">
        <f t="shared" si="228"/>
        <v>http://oconnordata.com/mlink/modules/profile/index.cfm?action=profile&amp;prop_id=4088</v>
      </c>
      <c r="N2899" s="1" t="str">
        <f t="shared" si="229"/>
        <v>04088</v>
      </c>
    </row>
    <row r="2900" spans="1:14" x14ac:dyDescent="0.3">
      <c r="A2900" s="1">
        <v>4090</v>
      </c>
      <c r="B2900" s="10" t="s">
        <v>4324</v>
      </c>
      <c r="C2900" s="9">
        <v>4101</v>
      </c>
      <c r="D2900" s="10" t="s">
        <v>4353</v>
      </c>
      <c r="E2900" s="11" t="s">
        <v>4338</v>
      </c>
      <c r="F2900" t="str">
        <f t="shared" si="225"/>
        <v>Nasa</v>
      </c>
      <c r="G2900" t="str">
        <f t="shared" si="226"/>
        <v>Nasa4101Seabrook</v>
      </c>
      <c r="H2900" t="s">
        <v>33758</v>
      </c>
      <c r="I2900" t="s">
        <v>25183</v>
      </c>
      <c r="J2900" t="str">
        <f t="shared" si="227"/>
        <v>E:\PropInv\MF</v>
      </c>
      <c r="K2900" s="103" t="str">
        <f>HYPERLINK("E:\PropInv\MF\Seabrook\Nasa Rd 1_4101_Harbor Pointe_Seabrook_04090","Nasa Rd 1_4101_Harbor Pointe_Seabrook_04090" )</f>
        <v>Nasa Rd 1_4101_Harbor Pointe_Seabrook_04090</v>
      </c>
      <c r="L2900" s="104" t="s">
        <v>22253</v>
      </c>
      <c r="M2900" s="103" t="str">
        <f t="shared" si="228"/>
        <v>http://oconnordata.com/mlink/modules/profile/index.cfm?action=profile&amp;prop_id=4090</v>
      </c>
      <c r="N2900" s="1" t="str">
        <f t="shared" si="229"/>
        <v>04090</v>
      </c>
    </row>
    <row r="2901" spans="1:14" x14ac:dyDescent="0.3">
      <c r="A2901" s="1">
        <v>4092</v>
      </c>
      <c r="B2901" s="10" t="s">
        <v>4341</v>
      </c>
      <c r="C2901" s="9">
        <v>1210</v>
      </c>
      <c r="D2901" s="10" t="s">
        <v>4354</v>
      </c>
      <c r="E2901" s="11" t="s">
        <v>1657</v>
      </c>
      <c r="F2901" t="str">
        <f t="shared" si="225"/>
        <v>El</v>
      </c>
      <c r="G2901" t="str">
        <f t="shared" si="226"/>
        <v>El1210Houston</v>
      </c>
      <c r="H2901" t="s">
        <v>33759</v>
      </c>
      <c r="I2901" t="s">
        <v>25184</v>
      </c>
      <c r="J2901" t="str">
        <f t="shared" si="227"/>
        <v>E:\PropInv\MF</v>
      </c>
      <c r="K2901" s="103" t="str">
        <f>HYPERLINK("E:\PropInv\MF\Houston\El Camino Village Dr_1210_Skylar Pointe II_Houston_04092","El Camino Village Dr_1210_Skylar Pointe II_Houston_04092" )</f>
        <v>El Camino Village Dr_1210_Skylar Pointe II_Houston_04092</v>
      </c>
      <c r="L2901" s="104" t="s">
        <v>22253</v>
      </c>
      <c r="M2901" s="103" t="str">
        <f t="shared" si="228"/>
        <v>http://oconnordata.com/mlink/modules/profile/index.cfm?action=profile&amp;prop_id=4092</v>
      </c>
      <c r="N2901" s="1" t="str">
        <f t="shared" si="229"/>
        <v>04092</v>
      </c>
    </row>
    <row r="2902" spans="1:14" x14ac:dyDescent="0.3">
      <c r="A2902" s="1">
        <v>4093</v>
      </c>
      <c r="B2902" s="10" t="s">
        <v>4355</v>
      </c>
      <c r="C2902" s="9">
        <v>1400</v>
      </c>
      <c r="D2902" s="10" t="s">
        <v>333</v>
      </c>
      <c r="E2902" s="11" t="s">
        <v>1657</v>
      </c>
      <c r="F2902" t="str">
        <f t="shared" si="225"/>
        <v>El</v>
      </c>
      <c r="G2902" t="str">
        <f t="shared" si="226"/>
        <v>El1400Houston</v>
      </c>
      <c r="H2902" t="s">
        <v>33760</v>
      </c>
      <c r="I2902" t="s">
        <v>25185</v>
      </c>
      <c r="J2902" t="str">
        <f t="shared" si="227"/>
        <v>E:\PropInv\MF</v>
      </c>
      <c r="K2902" s="103" t="str">
        <f>HYPERLINK("E:\PropInv\MF\Houston\El Camino Village_1400_Las Palmas_Houston_04093","El Camino Village_1400_Las Palmas_Houston_04093" )</f>
        <v>El Camino Village_1400_Las Palmas_Houston_04093</v>
      </c>
      <c r="L2902" s="104" t="s">
        <v>22253</v>
      </c>
      <c r="M2902" s="103" t="str">
        <f t="shared" si="228"/>
        <v>http://oconnordata.com/mlink/modules/profile/index.cfm?action=profile&amp;prop_id=4093</v>
      </c>
      <c r="N2902" s="1" t="str">
        <f t="shared" si="229"/>
        <v>04093</v>
      </c>
    </row>
    <row r="2903" spans="1:14" x14ac:dyDescent="0.3">
      <c r="A2903" s="1">
        <v>4094</v>
      </c>
      <c r="B2903" s="10" t="s">
        <v>4356</v>
      </c>
      <c r="C2903" s="9">
        <v>18290</v>
      </c>
      <c r="D2903" s="10" t="s">
        <v>4357</v>
      </c>
      <c r="E2903" s="11" t="s">
        <v>1657</v>
      </c>
      <c r="F2903" t="str">
        <f t="shared" si="225"/>
        <v>Upper</v>
      </c>
      <c r="G2903" t="str">
        <f t="shared" si="226"/>
        <v>Upper18290Houston</v>
      </c>
      <c r="H2903" t="s">
        <v>33761</v>
      </c>
      <c r="I2903" t="s">
        <v>25186</v>
      </c>
      <c r="J2903" t="str">
        <f t="shared" si="227"/>
        <v>E:\PropInv\MF</v>
      </c>
      <c r="K2903" s="103" t="str">
        <f>HYPERLINK("E:\PropInv\MF\Houston\Upper Bay Rd_18290_Nassau Bay Village_Houston_04094","Upper Bay Rd_18290_Nassau Bay Village_Houston_04094" )</f>
        <v>Upper Bay Rd_18290_Nassau Bay Village_Houston_04094</v>
      </c>
      <c r="L2903" s="104" t="s">
        <v>22253</v>
      </c>
      <c r="M2903" s="103" t="str">
        <f t="shared" si="228"/>
        <v>http://oconnordata.com/mlink/modules/profile/index.cfm?action=profile&amp;prop_id=4094</v>
      </c>
      <c r="N2903" s="1" t="str">
        <f t="shared" si="229"/>
        <v>04094</v>
      </c>
    </row>
    <row r="2904" spans="1:14" x14ac:dyDescent="0.3">
      <c r="A2904" s="1">
        <v>4096</v>
      </c>
      <c r="B2904" s="10" t="s">
        <v>4358</v>
      </c>
      <c r="C2904" s="9">
        <v>2041</v>
      </c>
      <c r="D2904" s="10" t="s">
        <v>4359</v>
      </c>
      <c r="E2904" s="11" t="s">
        <v>1657</v>
      </c>
      <c r="F2904" t="str">
        <f t="shared" si="225"/>
        <v>San</v>
      </c>
      <c r="G2904" t="str">
        <f t="shared" si="226"/>
        <v>San2041Houston</v>
      </c>
      <c r="H2904" t="s">
        <v>33762</v>
      </c>
      <c r="I2904" t="s">
        <v>25187</v>
      </c>
      <c r="J2904" t="str">
        <f t="shared" si="227"/>
        <v>E:\PropInv\MF</v>
      </c>
      <c r="K2904" s="103" t="str">
        <f>HYPERLINK("E:\PropInv\MF\Houston\San Sebastian_2041_Bay House_Houston_04096","San Sebastian_2041_Bay House_Houston_04096" )</f>
        <v>San Sebastian_2041_Bay House_Houston_04096</v>
      </c>
      <c r="L2904" s="104" t="s">
        <v>22253</v>
      </c>
      <c r="M2904" s="103" t="str">
        <f t="shared" si="228"/>
        <v>http://oconnordata.com/mlink/modules/profile/index.cfm?action=profile&amp;prop_id=4096</v>
      </c>
      <c r="N2904" s="1" t="str">
        <f t="shared" si="229"/>
        <v>04096</v>
      </c>
    </row>
    <row r="2905" spans="1:14" x14ac:dyDescent="0.3">
      <c r="A2905" s="1">
        <v>4097</v>
      </c>
      <c r="B2905" s="7" t="s">
        <v>4360</v>
      </c>
      <c r="C2905" s="12">
        <v>2401</v>
      </c>
      <c r="D2905" s="7" t="s">
        <v>4361</v>
      </c>
      <c r="E2905" s="13" t="s">
        <v>4338</v>
      </c>
      <c r="F2905" t="str">
        <f t="shared" si="225"/>
        <v>Repsdorph</v>
      </c>
      <c r="G2905" t="str">
        <f t="shared" si="226"/>
        <v>Repsdorph2401Seabrook</v>
      </c>
      <c r="H2905" t="s">
        <v>33763</v>
      </c>
      <c r="I2905" t="s">
        <v>25188</v>
      </c>
      <c r="J2905" t="str">
        <f t="shared" si="227"/>
        <v>E:\PropInv\MF</v>
      </c>
      <c r="K2905" s="103" t="str">
        <f>HYPERLINK("E:\PropInv\MF\Seabrook\Repsdorph N_2401_Vista Shores_Seabrook_04097","Repsdorph N_2401_Vista Shores_Seabrook_04097" )</f>
        <v>Repsdorph N_2401_Vista Shores_Seabrook_04097</v>
      </c>
      <c r="L2905" s="104" t="s">
        <v>22253</v>
      </c>
      <c r="M2905" s="103" t="str">
        <f t="shared" si="228"/>
        <v>http://oconnordata.com/mlink/modules/profile/index.cfm?action=profile&amp;prop_id=4097</v>
      </c>
      <c r="N2905" s="1" t="str">
        <f t="shared" si="229"/>
        <v>04097</v>
      </c>
    </row>
    <row r="2906" spans="1:14" x14ac:dyDescent="0.3">
      <c r="A2906" s="1">
        <v>4098</v>
      </c>
      <c r="B2906" s="7" t="s">
        <v>4345</v>
      </c>
      <c r="C2906" s="12">
        <v>18711</v>
      </c>
      <c r="D2906" s="7" t="s">
        <v>4362</v>
      </c>
      <c r="E2906" s="13" t="s">
        <v>1657</v>
      </c>
      <c r="F2906" t="str">
        <f t="shared" si="225"/>
        <v>Egret</v>
      </c>
      <c r="G2906" t="str">
        <f t="shared" si="226"/>
        <v>Egret18711Houston</v>
      </c>
      <c r="H2906" t="s">
        <v>33764</v>
      </c>
      <c r="I2906" t="s">
        <v>25189</v>
      </c>
      <c r="J2906" t="str">
        <f t="shared" si="227"/>
        <v>E:\PropInv\MF</v>
      </c>
      <c r="K2906" s="103" t="str">
        <f>HYPERLINK("E:\PropInv\MF\Houston\Egret Bay Blvd_18711_Towers at Clear Lake South Condos_Houston_04098","Egret Bay Blvd_18711_Towers at Clear Lake South Condos_Houston_04098" )</f>
        <v>Egret Bay Blvd_18711_Towers at Clear Lake South Condos_Houston_04098</v>
      </c>
      <c r="L2906" s="104" t="s">
        <v>22253</v>
      </c>
      <c r="M2906" s="103" t="str">
        <f t="shared" si="228"/>
        <v>http://oconnordata.com/mlink/modules/profile/index.cfm?action=profile&amp;prop_id=4098</v>
      </c>
      <c r="N2906" s="1" t="str">
        <f t="shared" si="229"/>
        <v>04098</v>
      </c>
    </row>
    <row r="2907" spans="1:14" x14ac:dyDescent="0.3">
      <c r="A2907" s="1">
        <v>4100</v>
      </c>
      <c r="B2907" s="7" t="s">
        <v>4363</v>
      </c>
      <c r="C2907" s="12">
        <v>900</v>
      </c>
      <c r="D2907" s="7" t="s">
        <v>4364</v>
      </c>
      <c r="E2907" s="13" t="s">
        <v>1657</v>
      </c>
      <c r="F2907" t="str">
        <f t="shared" si="225"/>
        <v>Henderson</v>
      </c>
      <c r="G2907" t="str">
        <f t="shared" si="226"/>
        <v>Henderson900Houston</v>
      </c>
      <c r="H2907" t="s">
        <v>33765</v>
      </c>
      <c r="I2907" t="s">
        <v>25190</v>
      </c>
      <c r="J2907" t="str">
        <f t="shared" si="227"/>
        <v>E:\PropInv\MF</v>
      </c>
      <c r="K2907" s="103" t="str">
        <f>HYPERLINK("E:\PropInv\MF\Houston\Henderson_900_Hidden Lake_Houston_04100","Henderson_900_Hidden Lake_Houston_04100" )</f>
        <v>Henderson_900_Hidden Lake_Houston_04100</v>
      </c>
      <c r="L2907" s="104" t="s">
        <v>22253</v>
      </c>
      <c r="M2907" s="103" t="str">
        <f t="shared" si="228"/>
        <v>http://oconnordata.com/mlink/modules/profile/index.cfm?action=profile&amp;prop_id=4100</v>
      </c>
      <c r="N2907" s="1" t="str">
        <f t="shared" si="229"/>
        <v>04100</v>
      </c>
    </row>
    <row r="2908" spans="1:14" x14ac:dyDescent="0.3">
      <c r="A2908" s="1">
        <v>4101</v>
      </c>
      <c r="B2908" s="7" t="s">
        <v>4365</v>
      </c>
      <c r="C2908" s="12">
        <v>850</v>
      </c>
      <c r="D2908" s="7" t="s">
        <v>4366</v>
      </c>
      <c r="E2908" s="13" t="s">
        <v>3228</v>
      </c>
      <c r="F2908" t="str">
        <f t="shared" si="225"/>
        <v>Ave</v>
      </c>
      <c r="G2908" t="str">
        <f t="shared" si="226"/>
        <v>Ave850Freeport</v>
      </c>
      <c r="H2908" t="s">
        <v>33766</v>
      </c>
      <c r="I2908" t="s">
        <v>25191</v>
      </c>
      <c r="J2908" t="str">
        <f t="shared" si="227"/>
        <v>E:\PropInv\MF</v>
      </c>
      <c r="K2908" s="103" t="str">
        <f>HYPERLINK("E:\PropInv\MF\Freeport\Ave J N_850_Villa Brazos_Freeport_04101","Ave J N_850_Villa Brazos_Freeport_04101" )</f>
        <v>Ave J N_850_Villa Brazos_Freeport_04101</v>
      </c>
      <c r="L2908" s="104" t="s">
        <v>22253</v>
      </c>
      <c r="M2908" s="103" t="str">
        <f t="shared" si="228"/>
        <v>http://oconnordata.com/mlink/modules/profile/index.cfm?action=profile&amp;prop_id=4101</v>
      </c>
      <c r="N2908" s="1" t="str">
        <f t="shared" si="229"/>
        <v>04101</v>
      </c>
    </row>
    <row r="2909" spans="1:14" x14ac:dyDescent="0.3">
      <c r="A2909" s="1">
        <v>4102</v>
      </c>
      <c r="B2909" s="7" t="s">
        <v>4365</v>
      </c>
      <c r="C2909" s="12">
        <v>902</v>
      </c>
      <c r="D2909" s="7" t="s">
        <v>4367</v>
      </c>
      <c r="E2909" s="13" t="s">
        <v>3228</v>
      </c>
      <c r="F2909" t="str">
        <f t="shared" si="225"/>
        <v>Ave</v>
      </c>
      <c r="G2909" t="str">
        <f t="shared" si="226"/>
        <v>Ave902Freeport</v>
      </c>
      <c r="H2909" t="s">
        <v>33767</v>
      </c>
      <c r="I2909" t="s">
        <v>25192</v>
      </c>
      <c r="J2909" t="str">
        <f t="shared" si="227"/>
        <v>E:\PropInv\MF</v>
      </c>
      <c r="K2909" s="103" t="str">
        <f>HYPERLINK("E:\PropInv\MF\Freeport\Ave J N_902_Azalea Court_Freeport_04102","Ave J N_902_Azalea Court_Freeport_04102" )</f>
        <v>Ave J N_902_Azalea Court_Freeport_04102</v>
      </c>
      <c r="L2909" s="104" t="s">
        <v>22253</v>
      </c>
      <c r="M2909" s="103" t="str">
        <f t="shared" si="228"/>
        <v>http://oconnordata.com/mlink/modules/profile/index.cfm?action=profile&amp;prop_id=4102</v>
      </c>
      <c r="N2909" s="1" t="str">
        <f t="shared" si="229"/>
        <v>04102</v>
      </c>
    </row>
    <row r="2910" spans="1:14" x14ac:dyDescent="0.3">
      <c r="A2910" s="1">
        <v>4103</v>
      </c>
      <c r="B2910" s="7" t="s">
        <v>4368</v>
      </c>
      <c r="C2910" s="12">
        <v>2525</v>
      </c>
      <c r="D2910" s="7" t="s">
        <v>1302</v>
      </c>
      <c r="E2910" s="13" t="s">
        <v>4369</v>
      </c>
      <c r="F2910" t="str">
        <f t="shared" si="225"/>
        <v>Barry</v>
      </c>
      <c r="G2910" t="str">
        <f t="shared" si="226"/>
        <v>Barry2525Pearland</v>
      </c>
      <c r="H2910" t="s">
        <v>33768</v>
      </c>
      <c r="I2910" t="s">
        <v>25193</v>
      </c>
      <c r="J2910" t="str">
        <f t="shared" si="227"/>
        <v>E:\PropInv\MF</v>
      </c>
      <c r="K2910" s="103" t="str">
        <f>HYPERLINK("E:\PropInv\MF\Pearland\Barry Rose Rd_2525_The Remington_Pearland_04103","Barry Rose Rd_2525_The Remington_Pearland_04103" )</f>
        <v>Barry Rose Rd_2525_The Remington_Pearland_04103</v>
      </c>
      <c r="L2910" s="104" t="s">
        <v>22253</v>
      </c>
      <c r="M2910" s="103" t="str">
        <f t="shared" si="228"/>
        <v>http://oconnordata.com/mlink/modules/profile/index.cfm?action=profile&amp;prop_id=4103</v>
      </c>
      <c r="N2910" s="1" t="str">
        <f t="shared" si="229"/>
        <v>04103</v>
      </c>
    </row>
    <row r="2911" spans="1:14" x14ac:dyDescent="0.3">
      <c r="A2911" s="1">
        <v>4104</v>
      </c>
      <c r="B2911" s="7" t="s">
        <v>4279</v>
      </c>
      <c r="C2911" s="12">
        <v>4300</v>
      </c>
      <c r="D2911" s="7" t="s">
        <v>4370</v>
      </c>
      <c r="E2911" s="13" t="s">
        <v>1657</v>
      </c>
      <c r="F2911" t="str">
        <f t="shared" si="225"/>
        <v>Bay</v>
      </c>
      <c r="G2911" t="str">
        <f t="shared" si="226"/>
        <v>Bay4300Houston</v>
      </c>
      <c r="H2911" t="s">
        <v>33769</v>
      </c>
      <c r="I2911" t="s">
        <v>25194</v>
      </c>
      <c r="J2911" t="str">
        <f t="shared" si="227"/>
        <v>E:\PropInv\MF</v>
      </c>
      <c r="K2911" s="103" t="str">
        <f>HYPERLINK("E:\PropInv\MF\Houston\Bay Area Blvd_4300_The Park at Armand Bayou I_Houston_04104","Bay Area Blvd_4300_The Park at Armand Bayou I_Houston_04104" )</f>
        <v>Bay Area Blvd_4300_The Park at Armand Bayou I_Houston_04104</v>
      </c>
      <c r="L2911" s="104" t="s">
        <v>22253</v>
      </c>
      <c r="M2911" s="103" t="str">
        <f t="shared" si="228"/>
        <v>http://oconnordata.com/mlink/modules/profile/index.cfm?action=profile&amp;prop_id=4104</v>
      </c>
      <c r="N2911" s="1" t="str">
        <f t="shared" si="229"/>
        <v>04104</v>
      </c>
    </row>
    <row r="2912" spans="1:14" x14ac:dyDescent="0.3">
      <c r="A2912" s="1">
        <v>4105</v>
      </c>
      <c r="B2912" s="7" t="s">
        <v>4324</v>
      </c>
      <c r="C2912" s="12">
        <v>4601</v>
      </c>
      <c r="D2912" s="7" t="s">
        <v>4371</v>
      </c>
      <c r="E2912" s="13" t="s">
        <v>4338</v>
      </c>
      <c r="F2912" t="str">
        <f t="shared" si="225"/>
        <v>Nasa</v>
      </c>
      <c r="G2912" t="str">
        <f t="shared" si="226"/>
        <v>Nasa4601Seabrook</v>
      </c>
      <c r="H2912" t="s">
        <v>33770</v>
      </c>
      <c r="I2912" t="s">
        <v>25195</v>
      </c>
      <c r="J2912" t="str">
        <f t="shared" si="227"/>
        <v>E:\PropInv\MF</v>
      </c>
      <c r="K2912" s="103" t="str">
        <f>HYPERLINK("E:\PropInv\MF\Seabrook\Nasa Rd 1_4601_Encore on the Bay_Seabrook_04105","Nasa Rd 1_4601_Encore on the Bay_Seabrook_04105" )</f>
        <v>Nasa Rd 1_4601_Encore on the Bay_Seabrook_04105</v>
      </c>
      <c r="L2912" s="104" t="s">
        <v>22253</v>
      </c>
      <c r="M2912" s="103" t="str">
        <f t="shared" si="228"/>
        <v>http://oconnordata.com/mlink/modules/profile/index.cfm?action=profile&amp;prop_id=4105</v>
      </c>
      <c r="N2912" s="1" t="str">
        <f t="shared" si="229"/>
        <v>04105</v>
      </c>
    </row>
    <row r="2913" spans="1:14" x14ac:dyDescent="0.3">
      <c r="A2913" s="1">
        <v>4106</v>
      </c>
      <c r="B2913" s="7" t="s">
        <v>4324</v>
      </c>
      <c r="C2913" s="12">
        <v>3802</v>
      </c>
      <c r="D2913" s="7" t="s">
        <v>4372</v>
      </c>
      <c r="E2913" s="13" t="s">
        <v>4338</v>
      </c>
      <c r="F2913" t="str">
        <f t="shared" si="225"/>
        <v>Nasa</v>
      </c>
      <c r="G2913" t="str">
        <f t="shared" si="226"/>
        <v>Nasa3802Seabrook</v>
      </c>
      <c r="H2913" t="s">
        <v>33771</v>
      </c>
      <c r="I2913" t="s">
        <v>25196</v>
      </c>
      <c r="J2913" t="str">
        <f t="shared" si="227"/>
        <v>E:\PropInv\MF</v>
      </c>
      <c r="K2913" s="103" t="str">
        <f>HYPERLINK("E:\PropInv\MF\Seabrook\Nasa Rd 1_3802_Emerald Shores_Seabrook_04106","Nasa Rd 1_3802_Emerald Shores_Seabrook_04106" )</f>
        <v>Nasa Rd 1_3802_Emerald Shores_Seabrook_04106</v>
      </c>
      <c r="L2913" s="104" t="s">
        <v>22253</v>
      </c>
      <c r="M2913" s="103" t="str">
        <f t="shared" si="228"/>
        <v>http://oconnordata.com/mlink/modules/profile/index.cfm?action=profile&amp;prop_id=4106</v>
      </c>
      <c r="N2913" s="1" t="str">
        <f t="shared" si="229"/>
        <v>04106</v>
      </c>
    </row>
    <row r="2914" spans="1:14" x14ac:dyDescent="0.3">
      <c r="A2914" s="1">
        <v>4107</v>
      </c>
      <c r="B2914" s="7" t="s">
        <v>4360</v>
      </c>
      <c r="C2914" s="12">
        <v>2601</v>
      </c>
      <c r="D2914" s="7" t="s">
        <v>4373</v>
      </c>
      <c r="E2914" s="13" t="s">
        <v>4338</v>
      </c>
      <c r="F2914" t="str">
        <f t="shared" si="225"/>
        <v>Repsdorph</v>
      </c>
      <c r="G2914" t="str">
        <f t="shared" si="226"/>
        <v>Repsdorph2601Seabrook</v>
      </c>
      <c r="H2914" t="s">
        <v>33772</v>
      </c>
      <c r="I2914" t="s">
        <v>25197</v>
      </c>
      <c r="J2914" t="str">
        <f t="shared" si="227"/>
        <v>E:\PropInv\MF</v>
      </c>
      <c r="K2914" s="103" t="str">
        <f>HYPERLINK("E:\PropInv\MF\Seabrook\Repsdorph N_2601_Bar Harbor_Seabrook_04107","Repsdorph N_2601_Bar Harbor_Seabrook_04107" )</f>
        <v>Repsdorph N_2601_Bar Harbor_Seabrook_04107</v>
      </c>
      <c r="L2914" s="104" t="s">
        <v>22253</v>
      </c>
      <c r="M2914" s="103" t="str">
        <f t="shared" si="228"/>
        <v>http://oconnordata.com/mlink/modules/profile/index.cfm?action=profile&amp;prop_id=4107</v>
      </c>
      <c r="N2914" s="1" t="str">
        <f t="shared" si="229"/>
        <v>04107</v>
      </c>
    </row>
    <row r="2915" spans="1:14" x14ac:dyDescent="0.3">
      <c r="A2915" s="1">
        <v>4108</v>
      </c>
      <c r="B2915" s="19" t="s">
        <v>4374</v>
      </c>
      <c r="C2915" s="18">
        <v>1876</v>
      </c>
      <c r="D2915" s="19" t="s">
        <v>4375</v>
      </c>
      <c r="E2915" s="20" t="s">
        <v>4338</v>
      </c>
      <c r="F2915" t="str">
        <f t="shared" si="225"/>
        <v>El</v>
      </c>
      <c r="G2915" t="str">
        <f t="shared" si="226"/>
        <v>El1876Seabrook</v>
      </c>
      <c r="H2915" t="s">
        <v>33773</v>
      </c>
      <c r="I2915" t="s">
        <v>25198</v>
      </c>
      <c r="J2915" t="str">
        <f t="shared" si="227"/>
        <v>E:\PropInv\MF</v>
      </c>
      <c r="K2915" s="103" t="str">
        <f>HYPERLINK("E:\PropInv\MF\Seabrook\El Mar_1876_Jo Anne's Cottages_Seabrook_04108","El Mar_1876_Jo Anne's Cottages_Seabrook_04108" )</f>
        <v>El Mar_1876_Jo Anne's Cottages_Seabrook_04108</v>
      </c>
      <c r="L2915" s="104" t="s">
        <v>22253</v>
      </c>
      <c r="M2915" s="103" t="str">
        <f t="shared" si="228"/>
        <v>http://oconnordata.com/mlink/modules/profile/index.cfm?action=profile&amp;prop_id=4108</v>
      </c>
      <c r="N2915" s="1" t="str">
        <f t="shared" si="229"/>
        <v>04108</v>
      </c>
    </row>
    <row r="2916" spans="1:14" x14ac:dyDescent="0.3">
      <c r="A2916" s="1">
        <v>4109</v>
      </c>
      <c r="B2916" s="7" t="s">
        <v>4324</v>
      </c>
      <c r="C2916" s="12">
        <v>2727</v>
      </c>
      <c r="D2916" s="7" t="s">
        <v>4376</v>
      </c>
      <c r="E2916" s="13" t="s">
        <v>4338</v>
      </c>
      <c r="F2916" t="str">
        <f t="shared" si="225"/>
        <v>Nasa</v>
      </c>
      <c r="G2916" t="str">
        <f t="shared" si="226"/>
        <v>Nasa2727Seabrook</v>
      </c>
      <c r="H2916" t="s">
        <v>33774</v>
      </c>
      <c r="I2916" t="s">
        <v>25199</v>
      </c>
      <c r="J2916" t="str">
        <f t="shared" si="227"/>
        <v>E:\PropInv\MF</v>
      </c>
      <c r="K2916" s="103" t="str">
        <f>HYPERLINK("E:\PropInv\MF\Seabrook\Nasa Rd 1_2727_Pirates Landing_Seabrook_04109","Nasa Rd 1_2727_Pirates Landing_Seabrook_04109" )</f>
        <v>Nasa Rd 1_2727_Pirates Landing_Seabrook_04109</v>
      </c>
      <c r="L2916" s="104" t="s">
        <v>22253</v>
      </c>
      <c r="M2916" s="103" t="str">
        <f t="shared" si="228"/>
        <v>http://oconnordata.com/mlink/modules/profile/index.cfm?action=profile&amp;prop_id=4109</v>
      </c>
      <c r="N2916" s="1" t="str">
        <f t="shared" si="229"/>
        <v>04109</v>
      </c>
    </row>
    <row r="2917" spans="1:14" x14ac:dyDescent="0.3">
      <c r="A2917" s="1">
        <v>4110</v>
      </c>
      <c r="B2917" s="7" t="s">
        <v>4324</v>
      </c>
      <c r="C2917" s="12">
        <v>2800</v>
      </c>
      <c r="D2917" s="7" t="s">
        <v>4377</v>
      </c>
      <c r="E2917" s="13" t="s">
        <v>4338</v>
      </c>
      <c r="F2917" t="str">
        <f t="shared" si="225"/>
        <v>Nasa</v>
      </c>
      <c r="G2917" t="str">
        <f t="shared" si="226"/>
        <v>Nasa2800Seabrook</v>
      </c>
      <c r="H2917" t="s">
        <v>33775</v>
      </c>
      <c r="I2917" t="s">
        <v>25200</v>
      </c>
      <c r="J2917" t="str">
        <f t="shared" si="227"/>
        <v>E:\PropInv\MF</v>
      </c>
      <c r="K2917" s="103" t="str">
        <f>HYPERLINK("E:\PropInv\MF\Seabrook\Nasa Rd 1_2800_Seatree_Seabrook_04110","Nasa Rd 1_2800_Seatree_Seabrook_04110" )</f>
        <v>Nasa Rd 1_2800_Seatree_Seabrook_04110</v>
      </c>
      <c r="L2917" s="104" t="s">
        <v>22253</v>
      </c>
      <c r="M2917" s="103" t="str">
        <f t="shared" si="228"/>
        <v>http://oconnordata.com/mlink/modules/profile/index.cfm?action=profile&amp;prop_id=4110</v>
      </c>
      <c r="N2917" s="1" t="str">
        <f t="shared" si="229"/>
        <v>04110</v>
      </c>
    </row>
    <row r="2918" spans="1:14" x14ac:dyDescent="0.3">
      <c r="A2918" s="1">
        <v>4111</v>
      </c>
      <c r="B2918" s="7" t="s">
        <v>4324</v>
      </c>
      <c r="C2918" s="12">
        <v>3010</v>
      </c>
      <c r="D2918" s="7" t="s">
        <v>4378</v>
      </c>
      <c r="E2918" s="13" t="s">
        <v>4338</v>
      </c>
      <c r="F2918" t="str">
        <f t="shared" si="225"/>
        <v>Nasa</v>
      </c>
      <c r="G2918" t="str">
        <f t="shared" si="226"/>
        <v>Nasa3010Seabrook</v>
      </c>
      <c r="H2918" t="s">
        <v>33776</v>
      </c>
      <c r="I2918" t="s">
        <v>25201</v>
      </c>
      <c r="J2918" t="str">
        <f t="shared" si="227"/>
        <v>E:\PropInv\MF</v>
      </c>
      <c r="K2918" s="103" t="str">
        <f>HYPERLINK("E:\PropInv\MF\Seabrook\Nasa Rd 1_3010_Edgelake_Seabrook_04111","Nasa Rd 1_3010_Edgelake_Seabrook_04111" )</f>
        <v>Nasa Rd 1_3010_Edgelake_Seabrook_04111</v>
      </c>
      <c r="L2918" s="104" t="s">
        <v>22253</v>
      </c>
      <c r="M2918" s="103" t="str">
        <f t="shared" si="228"/>
        <v>http://oconnordata.com/mlink/modules/profile/index.cfm?action=profile&amp;prop_id=4111</v>
      </c>
      <c r="N2918" s="1" t="str">
        <f t="shared" si="229"/>
        <v>04111</v>
      </c>
    </row>
    <row r="2919" spans="1:14" x14ac:dyDescent="0.3">
      <c r="A2919" s="1">
        <v>4113</v>
      </c>
      <c r="B2919" s="7" t="s">
        <v>4358</v>
      </c>
      <c r="C2919" s="12">
        <v>2002</v>
      </c>
      <c r="D2919" s="7" t="s">
        <v>4379</v>
      </c>
      <c r="E2919" s="13" t="s">
        <v>1657</v>
      </c>
      <c r="F2919" t="str">
        <f t="shared" si="225"/>
        <v>San</v>
      </c>
      <c r="G2919" t="str">
        <f t="shared" si="226"/>
        <v>San2002Houston</v>
      </c>
      <c r="H2919" t="s">
        <v>33777</v>
      </c>
      <c r="I2919" t="s">
        <v>25202</v>
      </c>
      <c r="J2919" t="str">
        <f t="shared" si="227"/>
        <v>E:\PropInv\MF</v>
      </c>
      <c r="K2919" s="103" t="str">
        <f>HYPERLINK("E:\PropInv\MF\Houston\San Sebastian_2002_Balboa_Houston_04113","San Sebastian_2002_Balboa_Houston_04113" )</f>
        <v>San Sebastian_2002_Balboa_Houston_04113</v>
      </c>
      <c r="L2919" s="104" t="s">
        <v>22253</v>
      </c>
      <c r="M2919" s="103" t="str">
        <f t="shared" si="228"/>
        <v>http://oconnordata.com/mlink/modules/profile/index.cfm?action=profile&amp;prop_id=4113</v>
      </c>
      <c r="N2919" s="1" t="str">
        <f t="shared" si="229"/>
        <v>04113</v>
      </c>
    </row>
    <row r="2920" spans="1:14" x14ac:dyDescent="0.3">
      <c r="A2920" s="1">
        <v>4114</v>
      </c>
      <c r="B2920" s="7" t="s">
        <v>4380</v>
      </c>
      <c r="C2920" s="12">
        <v>130</v>
      </c>
      <c r="D2920" s="7" t="s">
        <v>4381</v>
      </c>
      <c r="E2920" s="13" t="s">
        <v>1657</v>
      </c>
      <c r="F2920" t="str">
        <f t="shared" si="225"/>
        <v>Surf</v>
      </c>
      <c r="G2920" t="str">
        <f t="shared" si="226"/>
        <v>Surf130Houston</v>
      </c>
      <c r="H2920" t="s">
        <v>33778</v>
      </c>
      <c r="I2920" t="s">
        <v>25203</v>
      </c>
      <c r="J2920" t="str">
        <f t="shared" si="227"/>
        <v>E:\PropInv\MF</v>
      </c>
      <c r="K2920" s="103" t="str">
        <f>HYPERLINK("E:\PropInv\MF\Houston\Surf Ct_130_Nassau Bay Villa_Houston_04114","Surf Ct_130_Nassau Bay Villa_Houston_04114" )</f>
        <v>Surf Ct_130_Nassau Bay Villa_Houston_04114</v>
      </c>
      <c r="L2920" s="104" t="s">
        <v>22253</v>
      </c>
      <c r="M2920" s="103" t="str">
        <f t="shared" si="228"/>
        <v>http://oconnordata.com/mlink/modules/profile/index.cfm?action=profile&amp;prop_id=4114</v>
      </c>
      <c r="N2920" s="1" t="str">
        <f t="shared" si="229"/>
        <v>04114</v>
      </c>
    </row>
    <row r="2921" spans="1:14" x14ac:dyDescent="0.3">
      <c r="A2921" s="1">
        <v>4115</v>
      </c>
      <c r="B2921" s="7" t="s">
        <v>4382</v>
      </c>
      <c r="C2921" s="12">
        <v>1707</v>
      </c>
      <c r="D2921" s="7" t="s">
        <v>4383</v>
      </c>
      <c r="E2921" s="13" t="s">
        <v>4338</v>
      </c>
      <c r="F2921" t="str">
        <f t="shared" si="225"/>
        <v>El</v>
      </c>
      <c r="G2921" t="str">
        <f t="shared" si="226"/>
        <v>El1707Seabrook</v>
      </c>
      <c r="H2921" t="s">
        <v>33779</v>
      </c>
      <c r="I2921" t="s">
        <v>25204</v>
      </c>
      <c r="J2921" t="str">
        <f t="shared" si="227"/>
        <v>E:\PropInv\MF</v>
      </c>
      <c r="K2921" s="103" t="str">
        <f>HYPERLINK("E:\PropInv\MF\Seabrook\El Mar Ln_1707_Miramar II Apts_Seabrook_04115","El Mar Ln_1707_Miramar II Apts_Seabrook_04115" )</f>
        <v>El Mar Ln_1707_Miramar II Apts_Seabrook_04115</v>
      </c>
      <c r="L2921" s="104" t="s">
        <v>22253</v>
      </c>
      <c r="M2921" s="103" t="str">
        <f t="shared" si="228"/>
        <v>http://oconnordata.com/mlink/modules/profile/index.cfm?action=profile&amp;prop_id=4115</v>
      </c>
      <c r="N2921" s="1" t="str">
        <f t="shared" si="229"/>
        <v>04115</v>
      </c>
    </row>
    <row r="2922" spans="1:14" x14ac:dyDescent="0.3">
      <c r="A2922" s="1">
        <v>4116</v>
      </c>
      <c r="B2922" s="19" t="s">
        <v>4384</v>
      </c>
      <c r="C2922" s="18">
        <v>2311</v>
      </c>
      <c r="D2922" s="19" t="s">
        <v>4385</v>
      </c>
      <c r="E2922" s="20" t="s">
        <v>4338</v>
      </c>
      <c r="F2922" t="str">
        <f t="shared" si="225"/>
        <v>Meyer</v>
      </c>
      <c r="G2922" t="str">
        <f t="shared" si="226"/>
        <v>Meyer2311Seabrook</v>
      </c>
      <c r="H2922" t="s">
        <v>33780</v>
      </c>
      <c r="I2922" t="s">
        <v>25205</v>
      </c>
      <c r="J2922" t="str">
        <f t="shared" si="227"/>
        <v>E:\PropInv\MF</v>
      </c>
      <c r="K2922" s="103" t="str">
        <f>HYPERLINK("E:\PropInv\MF\Seabrook\Meyer N_2311_Miramar_Seabrook_04116","Meyer N_2311_Miramar_Seabrook_04116" )</f>
        <v>Meyer N_2311_Miramar_Seabrook_04116</v>
      </c>
      <c r="L2922" s="104" t="s">
        <v>22253</v>
      </c>
      <c r="M2922" s="103" t="str">
        <f t="shared" si="228"/>
        <v>http://oconnordata.com/mlink/modules/profile/index.cfm?action=profile&amp;prop_id=4116</v>
      </c>
      <c r="N2922" s="1" t="str">
        <f t="shared" si="229"/>
        <v>04116</v>
      </c>
    </row>
    <row r="2923" spans="1:14" x14ac:dyDescent="0.3">
      <c r="A2923" s="1">
        <v>4117</v>
      </c>
      <c r="B2923" s="7" t="s">
        <v>4386</v>
      </c>
      <c r="C2923" s="12">
        <v>1901</v>
      </c>
      <c r="D2923" s="7" t="s">
        <v>4387</v>
      </c>
      <c r="E2923" s="13" t="s">
        <v>4338</v>
      </c>
      <c r="F2923" t="str">
        <f t="shared" si="225"/>
        <v>Lakeside</v>
      </c>
      <c r="G2923" t="str">
        <f t="shared" si="226"/>
        <v>Lakeside1901Seabrook</v>
      </c>
      <c r="H2923" t="s">
        <v>33781</v>
      </c>
      <c r="I2923" t="s">
        <v>25206</v>
      </c>
      <c r="J2923" t="str">
        <f t="shared" si="227"/>
        <v>E:\PropInv\MF</v>
      </c>
      <c r="K2923" s="103" t="str">
        <f>HYPERLINK("E:\PropInv\MF\Seabrook\Lakeside Dr_1901_La Maison at Lake Cove_Seabrook_04117","Lakeside Dr_1901_La Maison at Lake Cove_Seabrook_04117" )</f>
        <v>Lakeside Dr_1901_La Maison at Lake Cove_Seabrook_04117</v>
      </c>
      <c r="L2923" s="104" t="s">
        <v>22253</v>
      </c>
      <c r="M2923" s="103" t="str">
        <f t="shared" si="228"/>
        <v>http://oconnordata.com/mlink/modules/profile/index.cfm?action=profile&amp;prop_id=4117</v>
      </c>
      <c r="N2923" s="1" t="str">
        <f t="shared" si="229"/>
        <v>04117</v>
      </c>
    </row>
    <row r="2924" spans="1:14" x14ac:dyDescent="0.3">
      <c r="A2924" s="1">
        <v>4119</v>
      </c>
      <c r="B2924" s="7" t="s">
        <v>4388</v>
      </c>
      <c r="C2924" s="12">
        <v>2502</v>
      </c>
      <c r="D2924" s="7" t="s">
        <v>4389</v>
      </c>
      <c r="E2924" s="13" t="s">
        <v>4369</v>
      </c>
      <c r="F2924" t="str">
        <f t="shared" si="225"/>
        <v>Alexander</v>
      </c>
      <c r="G2924" t="str">
        <f t="shared" si="226"/>
        <v>Alexander2502Pearland</v>
      </c>
      <c r="H2924" t="s">
        <v>33782</v>
      </c>
      <c r="I2924" t="s">
        <v>25207</v>
      </c>
      <c r="J2924" t="str">
        <f t="shared" si="227"/>
        <v>E:\PropInv\MF</v>
      </c>
      <c r="K2924" s="103" t="str">
        <f>HYPERLINK("E:\PropInv\MF\Pearland\Alexander Ln_2502_Strawbridge_Pearland_04119","Alexander Ln_2502_Strawbridge_Pearland_04119" )</f>
        <v>Alexander Ln_2502_Strawbridge_Pearland_04119</v>
      </c>
      <c r="L2924" s="104" t="s">
        <v>22253</v>
      </c>
      <c r="M2924" s="103" t="str">
        <f t="shared" si="228"/>
        <v>http://oconnordata.com/mlink/modules/profile/index.cfm?action=profile&amp;prop_id=4119</v>
      </c>
      <c r="N2924" s="1" t="str">
        <f t="shared" si="229"/>
        <v>04119</v>
      </c>
    </row>
    <row r="2925" spans="1:14" x14ac:dyDescent="0.3">
      <c r="A2925" s="1">
        <v>4120</v>
      </c>
      <c r="B2925" s="7" t="s">
        <v>4390</v>
      </c>
      <c r="C2925" s="12">
        <v>1000</v>
      </c>
      <c r="D2925" s="19" t="s">
        <v>4391</v>
      </c>
      <c r="E2925" s="13" t="s">
        <v>4392</v>
      </c>
      <c r="F2925" t="str">
        <f t="shared" si="225"/>
        <v>Ashley</v>
      </c>
      <c r="G2925" t="str">
        <f t="shared" si="226"/>
        <v>Ashley1000Sweeny</v>
      </c>
      <c r="H2925" t="s">
        <v>33783</v>
      </c>
      <c r="I2925" t="s">
        <v>25208</v>
      </c>
      <c r="J2925" t="str">
        <f t="shared" si="227"/>
        <v>E:\PropInv\MF</v>
      </c>
      <c r="K2925" s="103" t="str">
        <f>HYPERLINK("E:\PropInv\MF\Sweeny\Ashley Wilson Rd W_1000_Oak Bend Estates_Sweeny_04120","Ashley Wilson Rd W_1000_Oak Bend Estates_Sweeny_04120" )</f>
        <v>Ashley Wilson Rd W_1000_Oak Bend Estates_Sweeny_04120</v>
      </c>
      <c r="L2925" s="104" t="s">
        <v>22253</v>
      </c>
      <c r="M2925" s="103" t="str">
        <f t="shared" si="228"/>
        <v>http://oconnordata.com/mlink/modules/profile/index.cfm?action=profile&amp;prop_id=4120</v>
      </c>
      <c r="N2925" s="1" t="str">
        <f t="shared" si="229"/>
        <v>04120</v>
      </c>
    </row>
    <row r="2926" spans="1:14" x14ac:dyDescent="0.3">
      <c r="A2926" s="1">
        <v>4121</v>
      </c>
      <c r="B2926" s="7" t="s">
        <v>4309</v>
      </c>
      <c r="C2926" s="12">
        <v>2702</v>
      </c>
      <c r="D2926" s="7" t="s">
        <v>4393</v>
      </c>
      <c r="E2926" s="13" t="s">
        <v>4249</v>
      </c>
      <c r="F2926" t="str">
        <f t="shared" si="225"/>
        <v>Bay</v>
      </c>
      <c r="G2926" t="str">
        <f t="shared" si="226"/>
        <v>Bay2702Webster</v>
      </c>
      <c r="H2926" t="s">
        <v>33784</v>
      </c>
      <c r="I2926" t="s">
        <v>25209</v>
      </c>
      <c r="J2926" t="str">
        <f t="shared" si="227"/>
        <v>E:\PropInv\MF</v>
      </c>
      <c r="K2926" s="103" t="str">
        <f>HYPERLINK("E:\PropInv\MF\Webster\Bay Area Blvd W_2702_Baybrook Village III_Webster_04121","Bay Area Blvd W_2702_Baybrook Village III_Webster_04121" )</f>
        <v>Bay Area Blvd W_2702_Baybrook Village III_Webster_04121</v>
      </c>
      <c r="L2926" s="104" t="s">
        <v>22253</v>
      </c>
      <c r="M2926" s="103" t="str">
        <f t="shared" si="228"/>
        <v>http://oconnordata.com/mlink/modules/profile/index.cfm?action=profile&amp;prop_id=4121</v>
      </c>
      <c r="N2926" s="1" t="str">
        <f t="shared" si="229"/>
        <v>04121</v>
      </c>
    </row>
    <row r="2927" spans="1:14" x14ac:dyDescent="0.3">
      <c r="A2927" s="1">
        <v>4122</v>
      </c>
      <c r="B2927" s="7" t="s">
        <v>4309</v>
      </c>
      <c r="C2927" s="12">
        <v>2702</v>
      </c>
      <c r="D2927" s="7" t="s">
        <v>4394</v>
      </c>
      <c r="E2927" s="13" t="s">
        <v>4249</v>
      </c>
      <c r="F2927" t="str">
        <f t="shared" si="225"/>
        <v>Bay</v>
      </c>
      <c r="G2927" t="str">
        <f t="shared" si="226"/>
        <v>Bay2702Webster</v>
      </c>
      <c r="H2927" t="s">
        <v>33785</v>
      </c>
      <c r="I2927" t="s">
        <v>25210</v>
      </c>
      <c r="J2927" t="str">
        <f t="shared" si="227"/>
        <v>E:\PropInv\MF</v>
      </c>
      <c r="K2927" s="103" t="str">
        <f>HYPERLINK("E:\PropInv\MF\Webster\Bay Area Blvd W_2702_Baybrook Village II_Webster_04122","Bay Area Blvd W_2702_Baybrook Village II_Webster_04122" )</f>
        <v>Bay Area Blvd W_2702_Baybrook Village II_Webster_04122</v>
      </c>
      <c r="L2927" s="104" t="s">
        <v>22253</v>
      </c>
      <c r="M2927" s="103" t="str">
        <f t="shared" si="228"/>
        <v>http://oconnordata.com/mlink/modules/profile/index.cfm?action=profile&amp;prop_id=4122</v>
      </c>
      <c r="N2927" s="1" t="str">
        <f t="shared" si="229"/>
        <v>04122</v>
      </c>
    </row>
    <row r="2928" spans="1:14" x14ac:dyDescent="0.3">
      <c r="A2928" s="1">
        <v>4123</v>
      </c>
      <c r="B2928" s="7" t="s">
        <v>4395</v>
      </c>
      <c r="C2928" s="12">
        <v>17231</v>
      </c>
      <c r="D2928" s="7" t="s">
        <v>4396</v>
      </c>
      <c r="E2928" s="13" t="s">
        <v>4297</v>
      </c>
      <c r="F2928" t="str">
        <f t="shared" si="225"/>
        <v>Blackhawk</v>
      </c>
      <c r="G2928" t="str">
        <f t="shared" si="226"/>
        <v>Blackhawk17231Friendswood</v>
      </c>
      <c r="H2928" t="s">
        <v>33786</v>
      </c>
      <c r="I2928" t="s">
        <v>25211</v>
      </c>
      <c r="J2928" t="str">
        <f t="shared" si="227"/>
        <v>E:\PropInv\MF</v>
      </c>
      <c r="K2928" s="103" t="str">
        <f>HYPERLINK("E:\PropInv\MF\Friendswood\Blackhawk Blvd_17231_Skyhawk_Friendswood_04123","Blackhawk Blvd_17231_Skyhawk_Friendswood_04123" )</f>
        <v>Blackhawk Blvd_17231_Skyhawk_Friendswood_04123</v>
      </c>
      <c r="L2928" s="104" t="s">
        <v>22253</v>
      </c>
      <c r="M2928" s="103" t="str">
        <f t="shared" si="228"/>
        <v>http://oconnordata.com/mlink/modules/profile/index.cfm?action=profile&amp;prop_id=4123</v>
      </c>
      <c r="N2928" s="1" t="str">
        <f t="shared" si="229"/>
        <v>04123</v>
      </c>
    </row>
    <row r="2929" spans="1:14" x14ac:dyDescent="0.3">
      <c r="A2929" s="1">
        <v>4125</v>
      </c>
      <c r="B2929" s="7" t="s">
        <v>4397</v>
      </c>
      <c r="C2929" s="12">
        <v>201</v>
      </c>
      <c r="D2929" s="7" t="s">
        <v>4398</v>
      </c>
      <c r="E2929" s="13" t="s">
        <v>4399</v>
      </c>
      <c r="F2929" t="str">
        <f t="shared" si="225"/>
        <v>Dixie</v>
      </c>
      <c r="G2929" t="str">
        <f t="shared" si="226"/>
        <v>Dixie201Clute</v>
      </c>
      <c r="H2929" t="s">
        <v>33787</v>
      </c>
      <c r="I2929" t="s">
        <v>25212</v>
      </c>
      <c r="J2929" t="str">
        <f t="shared" si="227"/>
        <v>E:\PropInv\MF</v>
      </c>
      <c r="K2929" s="103" t="str">
        <f>HYPERLINK("E:\PropInv\MF\Clute\Dixie Dr_201_Royal Wildewood Manor_Clute_04125","Dixie Dr_201_Royal Wildewood Manor_Clute_04125" )</f>
        <v>Dixie Dr_201_Royal Wildewood Manor_Clute_04125</v>
      </c>
      <c r="L2929" s="104" t="s">
        <v>22253</v>
      </c>
      <c r="M2929" s="103" t="str">
        <f t="shared" si="228"/>
        <v>http://oconnordata.com/mlink/modules/profile/index.cfm?action=profile&amp;prop_id=4125</v>
      </c>
      <c r="N2929" s="1" t="str">
        <f t="shared" si="229"/>
        <v>04125</v>
      </c>
    </row>
    <row r="2930" spans="1:14" x14ac:dyDescent="0.3">
      <c r="A2930" s="1">
        <v>4126</v>
      </c>
      <c r="B2930" s="7" t="s">
        <v>4400</v>
      </c>
      <c r="C2930" s="12">
        <v>2301</v>
      </c>
      <c r="D2930" s="7" t="s">
        <v>4401</v>
      </c>
      <c r="E2930" s="13" t="s">
        <v>4402</v>
      </c>
      <c r="F2930" t="str">
        <f t="shared" si="225"/>
        <v>Fairway</v>
      </c>
      <c r="G2930" t="str">
        <f t="shared" si="226"/>
        <v>Fairway2301Alvin</v>
      </c>
      <c r="H2930" t="s">
        <v>33788</v>
      </c>
      <c r="I2930" t="s">
        <v>25213</v>
      </c>
      <c r="J2930" t="str">
        <f t="shared" si="227"/>
        <v>E:\PropInv\MF</v>
      </c>
      <c r="K2930" s="103" t="str">
        <f>HYPERLINK("E:\PropInv\MF\Alvin\Fairway_2301_Fairway Square_Alvin_04126","Fairway_2301_Fairway Square_Alvin_04126" )</f>
        <v>Fairway_2301_Fairway Square_Alvin_04126</v>
      </c>
      <c r="L2930" s="104" t="s">
        <v>22253</v>
      </c>
      <c r="M2930" s="103" t="str">
        <f t="shared" si="228"/>
        <v>http://oconnordata.com/mlink/modules/profile/index.cfm?action=profile&amp;prop_id=4126</v>
      </c>
      <c r="N2930" s="1" t="str">
        <f t="shared" si="229"/>
        <v>04126</v>
      </c>
    </row>
    <row r="2931" spans="1:14" x14ac:dyDescent="0.3">
      <c r="A2931" s="1">
        <v>4127</v>
      </c>
      <c r="B2931" s="7" t="s">
        <v>4403</v>
      </c>
      <c r="C2931" s="12">
        <v>2500</v>
      </c>
      <c r="D2931" s="7" t="s">
        <v>4404</v>
      </c>
      <c r="E2931" s="13" t="s">
        <v>4402</v>
      </c>
      <c r="F2931" t="str">
        <f t="shared" si="225"/>
        <v>Fairway</v>
      </c>
      <c r="G2931" t="str">
        <f t="shared" si="226"/>
        <v>Fairway2500Alvin</v>
      </c>
      <c r="H2931" t="s">
        <v>33789</v>
      </c>
      <c r="I2931" t="s">
        <v>25214</v>
      </c>
      <c r="J2931" t="str">
        <f t="shared" si="227"/>
        <v>E:\PropInv\MF</v>
      </c>
      <c r="K2931" s="103" t="str">
        <f>HYPERLINK("E:\PropInv\MF\Alvin\Fairway S_2500_Hillcrest Village_Alvin_04127","Fairway S_2500_Hillcrest Village_Alvin_04127" )</f>
        <v>Fairway S_2500_Hillcrest Village_Alvin_04127</v>
      </c>
      <c r="L2931" s="104" t="s">
        <v>22253</v>
      </c>
      <c r="M2931" s="103" t="str">
        <f t="shared" si="228"/>
        <v>http://oconnordata.com/mlink/modules/profile/index.cfm?action=profile&amp;prop_id=4127</v>
      </c>
      <c r="N2931" s="1" t="str">
        <f t="shared" si="229"/>
        <v>04127</v>
      </c>
    </row>
    <row r="2932" spans="1:14" x14ac:dyDescent="0.3">
      <c r="A2932" s="1">
        <v>4128</v>
      </c>
      <c r="B2932" s="7" t="s">
        <v>4405</v>
      </c>
      <c r="C2932" s="12">
        <v>916</v>
      </c>
      <c r="D2932" s="7" t="s">
        <v>4406</v>
      </c>
      <c r="E2932" s="13" t="s">
        <v>4402</v>
      </c>
      <c r="F2932" t="str">
        <f t="shared" si="225"/>
        <v>Gordon</v>
      </c>
      <c r="G2932" t="str">
        <f t="shared" si="226"/>
        <v>Gordon916Alvin</v>
      </c>
      <c r="H2932" t="s">
        <v>33790</v>
      </c>
      <c r="I2932" t="s">
        <v>25215</v>
      </c>
      <c r="J2932" t="str">
        <f t="shared" si="227"/>
        <v>E:\PropInv\MF</v>
      </c>
      <c r="K2932" s="103" t="str">
        <f>HYPERLINK("E:\PropInv\MF\Alvin\Gordon S_916_Alvin Memorial Gardens_Alvin_04128","Gordon S_916_Alvin Memorial Gardens_Alvin_04128" )</f>
        <v>Gordon S_916_Alvin Memorial Gardens_Alvin_04128</v>
      </c>
      <c r="L2932" s="104" t="s">
        <v>22253</v>
      </c>
      <c r="M2932" s="103" t="str">
        <f t="shared" si="228"/>
        <v>http://oconnordata.com/mlink/modules/profile/index.cfm?action=profile&amp;prop_id=4128</v>
      </c>
      <c r="N2932" s="1" t="str">
        <f t="shared" si="229"/>
        <v>04128</v>
      </c>
    </row>
    <row r="2933" spans="1:14" x14ac:dyDescent="0.3">
      <c r="A2933" s="1">
        <v>4130</v>
      </c>
      <c r="B2933" s="7" t="s">
        <v>4407</v>
      </c>
      <c r="C2933" s="12">
        <v>101</v>
      </c>
      <c r="D2933" s="7" t="s">
        <v>1944</v>
      </c>
      <c r="E2933" s="13" t="s">
        <v>4399</v>
      </c>
      <c r="F2933" t="str">
        <f t="shared" si="225"/>
        <v>Hackberry</v>
      </c>
      <c r="G2933" t="str">
        <f t="shared" si="226"/>
        <v>Hackberry101Clute</v>
      </c>
      <c r="H2933" t="s">
        <v>33791</v>
      </c>
      <c r="I2933" t="s">
        <v>25216</v>
      </c>
      <c r="J2933" t="str">
        <f t="shared" si="227"/>
        <v>E:\PropInv\MF</v>
      </c>
      <c r="K2933" s="103" t="str">
        <f>HYPERLINK("E:\PropInv\MF\Clute\Hackberry Dr_101_Vanderbilt_Clute_04130","Hackberry Dr_101_Vanderbilt_Clute_04130" )</f>
        <v>Hackberry Dr_101_Vanderbilt_Clute_04130</v>
      </c>
      <c r="L2933" s="104" t="s">
        <v>22253</v>
      </c>
      <c r="M2933" s="103" t="str">
        <f t="shared" si="228"/>
        <v>http://oconnordata.com/mlink/modules/profile/index.cfm?action=profile&amp;prop_id=4130</v>
      </c>
      <c r="N2933" s="1" t="str">
        <f t="shared" si="229"/>
        <v>04130</v>
      </c>
    </row>
    <row r="2934" spans="1:14" x14ac:dyDescent="0.3">
      <c r="A2934" s="1">
        <v>4131</v>
      </c>
      <c r="B2934" s="7" t="s">
        <v>4408</v>
      </c>
      <c r="C2934" s="12">
        <v>3512</v>
      </c>
      <c r="D2934" s="7" t="s">
        <v>4409</v>
      </c>
      <c r="E2934" s="13" t="s">
        <v>4369</v>
      </c>
      <c r="F2934" t="str">
        <f t="shared" si="225"/>
        <v>Broadway</v>
      </c>
      <c r="G2934" t="str">
        <f t="shared" si="226"/>
        <v>Broadway3512Pearland</v>
      </c>
      <c r="H2934" t="s">
        <v>33792</v>
      </c>
      <c r="I2934" t="s">
        <v>25217</v>
      </c>
      <c r="J2934" t="str">
        <f t="shared" si="227"/>
        <v>E:\PropInv\MF</v>
      </c>
      <c r="K2934" s="103" t="str">
        <f>HYPERLINK("E:\PropInv\MF\Pearland\Broadway E_3512_Silver Maples_Pearland_04131","Broadway E_3512_Silver Maples_Pearland_04131" )</f>
        <v>Broadway E_3512_Silver Maples_Pearland_04131</v>
      </c>
      <c r="L2934" s="104" t="s">
        <v>22253</v>
      </c>
      <c r="M2934" s="103" t="str">
        <f t="shared" si="228"/>
        <v>http://oconnordata.com/mlink/modules/profile/index.cfm?action=profile&amp;prop_id=4131</v>
      </c>
      <c r="N2934" s="1" t="str">
        <f t="shared" si="229"/>
        <v>04131</v>
      </c>
    </row>
    <row r="2935" spans="1:14" x14ac:dyDescent="0.3">
      <c r="A2935" s="1">
        <v>4132</v>
      </c>
      <c r="B2935" s="7" t="s">
        <v>4410</v>
      </c>
      <c r="C2935" s="12">
        <v>1100</v>
      </c>
      <c r="D2935" s="7" t="s">
        <v>4411</v>
      </c>
      <c r="E2935" s="13" t="s">
        <v>4412</v>
      </c>
      <c r="F2935" t="str">
        <f t="shared" si="225"/>
        <v>Buchta</v>
      </c>
      <c r="G2935" t="str">
        <f t="shared" si="226"/>
        <v>Buchta1100Angleton</v>
      </c>
      <c r="H2935" t="s">
        <v>33793</v>
      </c>
      <c r="I2935" t="s">
        <v>25218</v>
      </c>
      <c r="J2935" t="str">
        <f t="shared" si="227"/>
        <v>E:\PropInv\MF</v>
      </c>
      <c r="K2935" s="103" t="str">
        <f>HYPERLINK("E:\PropInv\MF\Angleton\Buchta Rd_1100_Angleton Manor_Angleton_04132","Buchta Rd_1100_Angleton Manor_Angleton_04132" )</f>
        <v>Buchta Rd_1100_Angleton Manor_Angleton_04132</v>
      </c>
      <c r="L2935" s="104" t="s">
        <v>22253</v>
      </c>
      <c r="M2935" s="103" t="str">
        <f t="shared" si="228"/>
        <v>http://oconnordata.com/mlink/modules/profile/index.cfm?action=profile&amp;prop_id=4132</v>
      </c>
      <c r="N2935" s="1" t="str">
        <f t="shared" si="229"/>
        <v>04132</v>
      </c>
    </row>
    <row r="2936" spans="1:14" x14ac:dyDescent="0.3">
      <c r="A2936" s="1">
        <v>4133</v>
      </c>
      <c r="B2936" s="7" t="s">
        <v>4410</v>
      </c>
      <c r="C2936" s="12">
        <v>1300</v>
      </c>
      <c r="D2936" s="7" t="s">
        <v>4413</v>
      </c>
      <c r="E2936" s="13" t="s">
        <v>4412</v>
      </c>
      <c r="F2936" t="str">
        <f t="shared" si="225"/>
        <v>Buchta</v>
      </c>
      <c r="G2936" t="str">
        <f t="shared" si="226"/>
        <v>Buchta1300Angleton</v>
      </c>
      <c r="H2936" t="s">
        <v>33794</v>
      </c>
      <c r="I2936" t="s">
        <v>25219</v>
      </c>
      <c r="J2936" t="str">
        <f t="shared" si="227"/>
        <v>E:\PropInv\MF</v>
      </c>
      <c r="K2936" s="103" t="str">
        <f>HYPERLINK("E:\PropInv\MF\Angleton\Buchta Rd_1300_The Albion_Angleton_04133","Buchta Rd_1300_The Albion_Angleton_04133" )</f>
        <v>Buchta Rd_1300_The Albion_Angleton_04133</v>
      </c>
      <c r="L2936" s="104" t="s">
        <v>22253</v>
      </c>
      <c r="M2936" s="103" t="str">
        <f t="shared" si="228"/>
        <v>http://oconnordata.com/mlink/modules/profile/index.cfm?action=profile&amp;prop_id=4133</v>
      </c>
      <c r="N2936" s="1" t="str">
        <f t="shared" si="229"/>
        <v>04133</v>
      </c>
    </row>
    <row r="2937" spans="1:14" x14ac:dyDescent="0.3">
      <c r="A2937" s="1">
        <v>4136</v>
      </c>
      <c r="B2937" s="7" t="s">
        <v>4414</v>
      </c>
      <c r="C2937" s="12">
        <v>410</v>
      </c>
      <c r="D2937" s="7" t="s">
        <v>4415</v>
      </c>
      <c r="E2937" s="13" t="s">
        <v>4402</v>
      </c>
      <c r="F2937" t="str">
        <f t="shared" si="225"/>
        <v>2nd</v>
      </c>
      <c r="G2937" t="str">
        <f t="shared" si="226"/>
        <v>2nd410Alvin</v>
      </c>
      <c r="H2937" t="s">
        <v>33795</v>
      </c>
      <c r="I2937" t="s">
        <v>25220</v>
      </c>
      <c r="J2937" t="str">
        <f t="shared" si="227"/>
        <v>E:\PropInv\MF</v>
      </c>
      <c r="K2937" s="103" t="str">
        <f>HYPERLINK("E:\PropInv\MF\Alvin\2nd St S_410_Meadow Crossing_Alvin_04136","2nd St S_410_Meadow Crossing_Alvin_04136" )</f>
        <v>2nd St S_410_Meadow Crossing_Alvin_04136</v>
      </c>
      <c r="L2937" s="104" t="s">
        <v>22253</v>
      </c>
      <c r="M2937" s="103" t="str">
        <f t="shared" si="228"/>
        <v>http://oconnordata.com/mlink/modules/profile/index.cfm?action=profile&amp;prop_id=4136</v>
      </c>
      <c r="N2937" s="1" t="str">
        <f t="shared" si="229"/>
        <v>04136</v>
      </c>
    </row>
    <row r="2938" spans="1:14" x14ac:dyDescent="0.3">
      <c r="A2938" s="1">
        <v>4139</v>
      </c>
      <c r="B2938" s="7" t="s">
        <v>4416</v>
      </c>
      <c r="C2938" s="12">
        <v>17201</v>
      </c>
      <c r="D2938" s="7" t="s">
        <v>4417</v>
      </c>
      <c r="E2938" s="13" t="s">
        <v>4297</v>
      </c>
      <c r="F2938" t="str">
        <f t="shared" si="225"/>
        <v>Blackhawk</v>
      </c>
      <c r="G2938" t="str">
        <f t="shared" si="226"/>
        <v>Blackhawk17201Friendswood</v>
      </c>
      <c r="H2938" t="s">
        <v>33796</v>
      </c>
      <c r="I2938" t="s">
        <v>25221</v>
      </c>
      <c r="J2938" t="str">
        <f t="shared" si="227"/>
        <v>E:\PropInv\MF</v>
      </c>
      <c r="K2938" s="103" t="str">
        <f>HYPERLINK("E:\PropInv\MF\Friendswood\Blackhawk_17201_Bay Meadows_Friendswood_04139","Blackhawk_17201_Bay Meadows_Friendswood_04139" )</f>
        <v>Blackhawk_17201_Bay Meadows_Friendswood_04139</v>
      </c>
      <c r="L2938" s="104" t="s">
        <v>22253</v>
      </c>
      <c r="M2938" s="103" t="str">
        <f t="shared" si="228"/>
        <v>http://oconnordata.com/mlink/modules/profile/index.cfm?action=profile&amp;prop_id=4139</v>
      </c>
      <c r="N2938" s="1" t="str">
        <f t="shared" si="229"/>
        <v>04139</v>
      </c>
    </row>
    <row r="2939" spans="1:14" x14ac:dyDescent="0.3">
      <c r="A2939" s="1">
        <v>4140</v>
      </c>
      <c r="B2939" s="7" t="s">
        <v>4418</v>
      </c>
      <c r="C2939" s="12">
        <v>2800</v>
      </c>
      <c r="D2939" s="7" t="s">
        <v>4419</v>
      </c>
      <c r="E2939" s="13" t="s">
        <v>4402</v>
      </c>
      <c r="F2939" t="str">
        <f t="shared" si="225"/>
        <v>Mustang</v>
      </c>
      <c r="G2939" t="str">
        <f t="shared" si="226"/>
        <v>Mustang2800Alvin</v>
      </c>
      <c r="H2939" t="s">
        <v>33797</v>
      </c>
      <c r="I2939" t="s">
        <v>25222</v>
      </c>
      <c r="J2939" t="str">
        <f t="shared" si="227"/>
        <v>E:\PropInv\MF</v>
      </c>
      <c r="K2939" s="103" t="str">
        <f>HYPERLINK("E:\PropInv\MF\Alvin\Mustang Rd_2800_Meadow Park_Alvin_04140","Mustang Rd_2800_Meadow Park_Alvin_04140" )</f>
        <v>Mustang Rd_2800_Meadow Park_Alvin_04140</v>
      </c>
      <c r="L2939" s="104" t="s">
        <v>22253</v>
      </c>
      <c r="M2939" s="103" t="str">
        <f t="shared" si="228"/>
        <v>http://oconnordata.com/mlink/modules/profile/index.cfm?action=profile&amp;prop_id=4140</v>
      </c>
      <c r="N2939" s="1" t="str">
        <f t="shared" si="229"/>
        <v>04140</v>
      </c>
    </row>
    <row r="2940" spans="1:14" x14ac:dyDescent="0.3">
      <c r="A2940" s="1">
        <v>4142</v>
      </c>
      <c r="B2940" s="7" t="s">
        <v>4420</v>
      </c>
      <c r="C2940" s="12">
        <v>3833</v>
      </c>
      <c r="D2940" s="7" t="s">
        <v>4421</v>
      </c>
      <c r="E2940" s="13" t="s">
        <v>4402</v>
      </c>
      <c r="F2940" t="str">
        <f t="shared" si="225"/>
        <v>Mustang</v>
      </c>
      <c r="G2940" t="str">
        <f t="shared" si="226"/>
        <v>Mustang3833Alvin</v>
      </c>
      <c r="H2940" t="s">
        <v>33798</v>
      </c>
      <c r="I2940" t="s">
        <v>25223</v>
      </c>
      <c r="J2940" t="str">
        <f t="shared" si="227"/>
        <v>E:\PropInv\MF</v>
      </c>
      <c r="K2940" s="103" t="str">
        <f>HYPERLINK("E:\PropInv\MF\Alvin\Mustang S_3833_Willow Creek Manor_Alvin_04142","Mustang S_3833_Willow Creek Manor_Alvin_04142" )</f>
        <v>Mustang S_3833_Willow Creek Manor_Alvin_04142</v>
      </c>
      <c r="L2940" s="104" t="s">
        <v>22253</v>
      </c>
      <c r="M2940" s="103" t="str">
        <f t="shared" si="228"/>
        <v>http://oconnordata.com/mlink/modules/profile/index.cfm?action=profile&amp;prop_id=4142</v>
      </c>
      <c r="N2940" s="1" t="str">
        <f t="shared" si="229"/>
        <v>04142</v>
      </c>
    </row>
    <row r="2941" spans="1:14" x14ac:dyDescent="0.3">
      <c r="A2941" s="1">
        <v>4143</v>
      </c>
      <c r="B2941" s="7" t="s">
        <v>4422</v>
      </c>
      <c r="C2941" s="12">
        <v>401</v>
      </c>
      <c r="D2941" s="7" t="s">
        <v>4423</v>
      </c>
      <c r="E2941" s="13" t="s">
        <v>3228</v>
      </c>
      <c r="F2941" t="str">
        <f t="shared" si="225"/>
        <v>Brazosport</v>
      </c>
      <c r="G2941" t="str">
        <f t="shared" si="226"/>
        <v>Brazosport401Freeport</v>
      </c>
      <c r="H2941" t="s">
        <v>33799</v>
      </c>
      <c r="I2941" t="s">
        <v>25224</v>
      </c>
      <c r="J2941" t="str">
        <f t="shared" si="227"/>
        <v>E:\PropInv\MF</v>
      </c>
      <c r="K2941" s="103" t="str">
        <f>HYPERLINK("E:\PropInv\MF\Freeport\Brazosport Blvd S_401_Kings Road Apts_Freeport_04143","Brazosport Blvd S_401_Kings Road Apts_Freeport_04143" )</f>
        <v>Brazosport Blvd S_401_Kings Road Apts_Freeport_04143</v>
      </c>
      <c r="L2941" s="104" t="s">
        <v>22253</v>
      </c>
      <c r="M2941" s="103" t="str">
        <f t="shared" si="228"/>
        <v>http://oconnordata.com/mlink/modules/profile/index.cfm?action=profile&amp;prop_id=4143</v>
      </c>
      <c r="N2941" s="1" t="str">
        <f t="shared" si="229"/>
        <v>04143</v>
      </c>
    </row>
    <row r="2942" spans="1:14" x14ac:dyDescent="0.3">
      <c r="A2942" s="1">
        <v>4144</v>
      </c>
      <c r="B2942" s="7" t="s">
        <v>4424</v>
      </c>
      <c r="C2942" s="12">
        <v>200</v>
      </c>
      <c r="D2942" s="7" t="s">
        <v>4425</v>
      </c>
      <c r="E2942" s="13" t="s">
        <v>4399</v>
      </c>
      <c r="F2942" t="str">
        <f t="shared" si="225"/>
        <v>Brazoswood</v>
      </c>
      <c r="G2942" t="str">
        <f t="shared" si="226"/>
        <v>Brazoswood200Clute</v>
      </c>
      <c r="H2942" t="s">
        <v>33800</v>
      </c>
      <c r="I2942" t="s">
        <v>25225</v>
      </c>
      <c r="J2942" t="str">
        <f t="shared" si="227"/>
        <v>E:\PropInv\MF</v>
      </c>
      <c r="K2942" s="103" t="str">
        <f>HYPERLINK("E:\PropInv\MF\Clute\Brazoswood_200_Fisherman's Wharf_Clute_04144","Brazoswood_200_Fisherman's Wharf_Clute_04144" )</f>
        <v>Brazoswood_200_Fisherman's Wharf_Clute_04144</v>
      </c>
      <c r="L2942" s="104" t="s">
        <v>22253</v>
      </c>
      <c r="M2942" s="103" t="str">
        <f t="shared" si="228"/>
        <v>http://oconnordata.com/mlink/modules/profile/index.cfm?action=profile&amp;prop_id=4144</v>
      </c>
      <c r="N2942" s="1" t="str">
        <f t="shared" si="229"/>
        <v>04144</v>
      </c>
    </row>
    <row r="2943" spans="1:14" x14ac:dyDescent="0.3">
      <c r="A2943" s="1">
        <v>4146</v>
      </c>
      <c r="B2943" s="7" t="s">
        <v>4426</v>
      </c>
      <c r="C2943" s="12">
        <v>310</v>
      </c>
      <c r="D2943" s="7" t="s">
        <v>3962</v>
      </c>
      <c r="E2943" s="13" t="s">
        <v>3228</v>
      </c>
      <c r="F2943" t="str">
        <f t="shared" si="225"/>
        <v>Yupon</v>
      </c>
      <c r="G2943" t="str">
        <f t="shared" si="226"/>
        <v>Yupon310Freeport</v>
      </c>
      <c r="H2943" t="s">
        <v>33801</v>
      </c>
      <c r="I2943" t="s">
        <v>25226</v>
      </c>
      <c r="J2943" t="str">
        <f t="shared" si="227"/>
        <v>E:\PropInv\MF</v>
      </c>
      <c r="K2943" s="103" t="str">
        <f>HYPERLINK("E:\PropInv\MF\Freeport\Yupon_310_Garden Villa_Freeport_04146","Yupon_310_Garden Villa_Freeport_04146" )</f>
        <v>Yupon_310_Garden Villa_Freeport_04146</v>
      </c>
      <c r="L2943" s="104" t="s">
        <v>22253</v>
      </c>
      <c r="M2943" s="103" t="str">
        <f t="shared" si="228"/>
        <v>http://oconnordata.com/mlink/modules/profile/index.cfm?action=profile&amp;prop_id=4146</v>
      </c>
      <c r="N2943" s="1" t="str">
        <f t="shared" si="229"/>
        <v>04146</v>
      </c>
    </row>
    <row r="2944" spans="1:14" x14ac:dyDescent="0.3">
      <c r="A2944" s="1">
        <v>4147</v>
      </c>
      <c r="B2944" s="7" t="s">
        <v>4427</v>
      </c>
      <c r="C2944" s="12">
        <v>2901</v>
      </c>
      <c r="D2944" s="7" t="s">
        <v>3787</v>
      </c>
      <c r="E2944" s="13" t="s">
        <v>4428</v>
      </c>
      <c r="F2944" t="str">
        <f t="shared" si="225"/>
        <v>Airport</v>
      </c>
      <c r="G2944" t="str">
        <f t="shared" si="226"/>
        <v>Airport2901Rosenberg</v>
      </c>
      <c r="H2944" t="s">
        <v>33802</v>
      </c>
      <c r="I2944" t="s">
        <v>25227</v>
      </c>
      <c r="J2944" t="str">
        <f t="shared" si="227"/>
        <v>E:\PropInv\MF</v>
      </c>
      <c r="K2944" s="103" t="str">
        <f>HYPERLINK("E:\PropInv\MF\Rosenberg\Airport_2901_Bayou Bend_Rosenberg_04147","Airport_2901_Bayou Bend_Rosenberg_04147" )</f>
        <v>Airport_2901_Bayou Bend_Rosenberg_04147</v>
      </c>
      <c r="L2944" s="104" t="s">
        <v>22253</v>
      </c>
      <c r="M2944" s="103" t="str">
        <f t="shared" si="228"/>
        <v>http://oconnordata.com/mlink/modules/profile/index.cfm?action=profile&amp;prop_id=4147</v>
      </c>
      <c r="N2944" s="1" t="str">
        <f t="shared" si="229"/>
        <v>04147</v>
      </c>
    </row>
    <row r="2945" spans="1:14" x14ac:dyDescent="0.3">
      <c r="A2945" s="1">
        <v>4148</v>
      </c>
      <c r="B2945" s="7" t="s">
        <v>4429</v>
      </c>
      <c r="C2945" s="12">
        <v>708</v>
      </c>
      <c r="D2945" s="7" t="s">
        <v>4430</v>
      </c>
      <c r="E2945" s="13" t="s">
        <v>2198</v>
      </c>
      <c r="F2945" t="str">
        <f t="shared" si="225"/>
        <v>Alabama</v>
      </c>
      <c r="G2945" t="str">
        <f t="shared" si="226"/>
        <v>Alabama708Katy</v>
      </c>
      <c r="H2945" t="s">
        <v>33803</v>
      </c>
      <c r="I2945" t="s">
        <v>25228</v>
      </c>
      <c r="J2945" t="str">
        <f t="shared" si="227"/>
        <v>E:\PropInv\MF</v>
      </c>
      <c r="K2945" s="103" t="str">
        <f>HYPERLINK("E:\PropInv\MF\Katy\Alabama_708_Falcon Point_Katy_04148","Alabama_708_Falcon Point_Katy_04148" )</f>
        <v>Alabama_708_Falcon Point_Katy_04148</v>
      </c>
      <c r="L2945" s="104" t="s">
        <v>22253</v>
      </c>
      <c r="M2945" s="103" t="str">
        <f t="shared" si="228"/>
        <v>http://oconnordata.com/mlink/modules/profile/index.cfm?action=profile&amp;prop_id=4148</v>
      </c>
      <c r="N2945" s="1" t="str">
        <f t="shared" si="229"/>
        <v>04148</v>
      </c>
    </row>
    <row r="2946" spans="1:14" x14ac:dyDescent="0.3">
      <c r="A2946" s="1">
        <v>4149</v>
      </c>
      <c r="B2946" s="7" t="s">
        <v>919</v>
      </c>
      <c r="C2946" s="12">
        <v>9900</v>
      </c>
      <c r="D2946" s="7" t="s">
        <v>4431</v>
      </c>
      <c r="E2946" s="13" t="s">
        <v>4369</v>
      </c>
      <c r="F2946" t="str">
        <f t="shared" ref="F2946:F3009" si="230">IFERROR(LEFT(B2946,FIND(" ",B2946)-1),B2946)</f>
        <v>Broadway</v>
      </c>
      <c r="G2946" t="str">
        <f t="shared" ref="G2946:G3009" si="231">F2946&amp;C2946&amp;E2946</f>
        <v>Broadway9900Pearland</v>
      </c>
      <c r="H2946" t="s">
        <v>33804</v>
      </c>
      <c r="I2946" t="s">
        <v>25229</v>
      </c>
      <c r="J2946" t="str">
        <f t="shared" ref="J2946:J3009" si="232">IF(L2946="TX",Folder_Path,Folder_Path&amp;"\State_"&amp;L2946)</f>
        <v>E:\PropInv\MF</v>
      </c>
      <c r="K2946" s="103" t="str">
        <f>HYPERLINK("E:\PropInv\MF\Pearland\Broadway_9900_St. Andrews I_Pearland_04149","Broadway_9900_St. Andrews I_Pearland_04149" )</f>
        <v>Broadway_9900_St. Andrews I_Pearland_04149</v>
      </c>
      <c r="L2946" s="104" t="s">
        <v>22253</v>
      </c>
      <c r="M2946" s="103" t="str">
        <f t="shared" ref="M2946:M3009" si="233">HYPERLINK("http://oconnordata.com/mlink/modules/profile/index.cfm?action=profile&amp;prop_id="&amp;A2946)</f>
        <v>http://oconnordata.com/mlink/modules/profile/index.cfm?action=profile&amp;prop_id=4149</v>
      </c>
      <c r="N2946" s="1" t="str">
        <f t="shared" ref="N2946:N3009" si="234">IF(LEN(A2946)=1,"0000"&amp;A2946,IF(LEN(A2946)=2,"000"&amp;A2946,IF(LEN(A2946)=3,"00"&amp;A2946,IF(LEN(A2946)=4,"0"&amp;A2946,IF(LEN(A2946)=5,IF(LEFT(A2946,1)="3",A2946+30000,A2946))))))</f>
        <v>04149</v>
      </c>
    </row>
    <row r="2947" spans="1:14" x14ac:dyDescent="0.3">
      <c r="A2947" s="1">
        <v>4150</v>
      </c>
      <c r="B2947" s="7" t="s">
        <v>4432</v>
      </c>
      <c r="C2947" s="12">
        <v>2900</v>
      </c>
      <c r="D2947" s="7" t="s">
        <v>4433</v>
      </c>
      <c r="E2947" s="13" t="s">
        <v>4369</v>
      </c>
      <c r="F2947" t="str">
        <f t="shared" si="230"/>
        <v>Pearland</v>
      </c>
      <c r="G2947" t="str">
        <f t="shared" si="231"/>
        <v>Pearland2900Pearland</v>
      </c>
      <c r="H2947" t="s">
        <v>33805</v>
      </c>
      <c r="I2947" t="s">
        <v>25230</v>
      </c>
      <c r="J2947" t="str">
        <f t="shared" si="232"/>
        <v>E:\PropInv\MF</v>
      </c>
      <c r="K2947" s="103" t="str">
        <f>HYPERLINK("E:\PropInv\MF\Pearland\Pearland Pkwy_2900_The Enclave at Mary's Creek_Pearland_04150","Pearland Pkwy_2900_The Enclave at Mary's Creek_Pearland_04150" )</f>
        <v>Pearland Pkwy_2900_The Enclave at Mary's Creek_Pearland_04150</v>
      </c>
      <c r="L2947" s="104" t="s">
        <v>22253</v>
      </c>
      <c r="M2947" s="103" t="str">
        <f t="shared" si="233"/>
        <v>http://oconnordata.com/mlink/modules/profile/index.cfm?action=profile&amp;prop_id=4150</v>
      </c>
      <c r="N2947" s="1" t="str">
        <f t="shared" si="234"/>
        <v>04150</v>
      </c>
    </row>
    <row r="2948" spans="1:14" x14ac:dyDescent="0.3">
      <c r="A2948" s="1">
        <v>4151</v>
      </c>
      <c r="B2948" s="7" t="s">
        <v>4434</v>
      </c>
      <c r="C2948" s="12">
        <v>17111</v>
      </c>
      <c r="D2948" s="7" t="s">
        <v>4435</v>
      </c>
      <c r="E2948" s="13" t="s">
        <v>1657</v>
      </c>
      <c r="F2948" t="str">
        <f t="shared" si="230"/>
        <v>Hafer</v>
      </c>
      <c r="G2948" t="str">
        <f t="shared" si="231"/>
        <v>Hafer17111Houston</v>
      </c>
      <c r="H2948" t="s">
        <v>33806</v>
      </c>
      <c r="I2948" t="s">
        <v>25231</v>
      </c>
      <c r="J2948" t="str">
        <f t="shared" si="232"/>
        <v>E:\PropInv\MF</v>
      </c>
      <c r="K2948" s="103" t="str">
        <f>HYPERLINK("E:\PropInv\MF\Houston\Hafer Rd_17111_Northbrooke_Houston_04151","Hafer Rd_17111_Northbrooke_Houston_04151" )</f>
        <v>Hafer Rd_17111_Northbrooke_Houston_04151</v>
      </c>
      <c r="L2948" s="104" t="s">
        <v>22253</v>
      </c>
      <c r="M2948" s="103" t="str">
        <f t="shared" si="233"/>
        <v>http://oconnordata.com/mlink/modules/profile/index.cfm?action=profile&amp;prop_id=4151</v>
      </c>
      <c r="N2948" s="1" t="str">
        <f t="shared" si="234"/>
        <v>04151</v>
      </c>
    </row>
    <row r="2949" spans="1:14" x14ac:dyDescent="0.3">
      <c r="A2949" s="1">
        <v>4152</v>
      </c>
      <c r="B2949" s="7" t="s">
        <v>4436</v>
      </c>
      <c r="C2949" s="12">
        <v>1324</v>
      </c>
      <c r="D2949" s="7" t="s">
        <v>4437</v>
      </c>
      <c r="E2949" s="13" t="s">
        <v>4412</v>
      </c>
      <c r="F2949" t="str">
        <f t="shared" si="230"/>
        <v>Hospital</v>
      </c>
      <c r="G2949" t="str">
        <f t="shared" si="231"/>
        <v>Hospital1324Angleton</v>
      </c>
      <c r="H2949" t="s">
        <v>33807</v>
      </c>
      <c r="I2949" t="s">
        <v>25232</v>
      </c>
      <c r="J2949" t="str">
        <f t="shared" si="232"/>
        <v>E:\PropInv\MF</v>
      </c>
      <c r="K2949" s="103" t="str">
        <f>HYPERLINK("E:\PropInv\MF\Angleton\Hospital E_1324_Lexington Square_Angleton_04152","Hospital E_1324_Lexington Square_Angleton_04152" )</f>
        <v>Hospital E_1324_Lexington Square_Angleton_04152</v>
      </c>
      <c r="L2949" s="104" t="s">
        <v>22253</v>
      </c>
      <c r="M2949" s="103" t="str">
        <f t="shared" si="233"/>
        <v>http://oconnordata.com/mlink/modules/profile/index.cfm?action=profile&amp;prop_id=4152</v>
      </c>
      <c r="N2949" s="1" t="str">
        <f t="shared" si="234"/>
        <v>04152</v>
      </c>
    </row>
    <row r="2950" spans="1:14" x14ac:dyDescent="0.3">
      <c r="A2950" s="1">
        <v>4153</v>
      </c>
      <c r="B2950" s="7" t="s">
        <v>4438</v>
      </c>
      <c r="C2950" s="12">
        <v>821</v>
      </c>
      <c r="D2950" s="7" t="s">
        <v>4439</v>
      </c>
      <c r="E2950" s="13" t="s">
        <v>4402</v>
      </c>
      <c r="F2950" t="str">
        <f t="shared" si="230"/>
        <v>House</v>
      </c>
      <c r="G2950" t="str">
        <f t="shared" si="231"/>
        <v>House821Alvin</v>
      </c>
      <c r="H2950" t="s">
        <v>33808</v>
      </c>
      <c r="I2950" t="s">
        <v>25233</v>
      </c>
      <c r="J2950" t="str">
        <f t="shared" si="232"/>
        <v>E:\PropInv\MF</v>
      </c>
      <c r="K2950" s="103" t="str">
        <f>HYPERLINK("E:\PropInv\MF\Alvin\House St E_821_Kimberly House_Alvin_04153","House St E_821_Kimberly House_Alvin_04153" )</f>
        <v>House St E_821_Kimberly House_Alvin_04153</v>
      </c>
      <c r="L2950" s="104" t="s">
        <v>22253</v>
      </c>
      <c r="M2950" s="103" t="str">
        <f t="shared" si="233"/>
        <v>http://oconnordata.com/mlink/modules/profile/index.cfm?action=profile&amp;prop_id=4153</v>
      </c>
      <c r="N2950" s="1" t="str">
        <f t="shared" si="234"/>
        <v>04153</v>
      </c>
    </row>
    <row r="2951" spans="1:14" x14ac:dyDescent="0.3">
      <c r="A2951" s="1">
        <v>4154</v>
      </c>
      <c r="B2951" s="7" t="s">
        <v>4440</v>
      </c>
      <c r="C2951" s="12">
        <v>302</v>
      </c>
      <c r="D2951" s="7" t="s">
        <v>4441</v>
      </c>
      <c r="E2951" s="13" t="s">
        <v>4442</v>
      </c>
      <c r="F2951" t="str">
        <f t="shared" si="230"/>
        <v>Huisache</v>
      </c>
      <c r="G2951" t="str">
        <f t="shared" si="231"/>
        <v>Huisache302Lake Jackson</v>
      </c>
      <c r="H2951" t="s">
        <v>33809</v>
      </c>
      <c r="I2951" t="s">
        <v>25234</v>
      </c>
      <c r="J2951" t="str">
        <f t="shared" si="232"/>
        <v>E:\PropInv\MF</v>
      </c>
      <c r="K2951" s="103" t="str">
        <f>HYPERLINK("E:\PropInv\MF\Lake Jackson\Huisache_302_Lakewood Suites (TBD)_Lake Jackson_04154","Huisache_302_Lakewood Suites (TBD)_Lake Jackson_04154" )</f>
        <v>Huisache_302_Lakewood Suites (TBD)_Lake Jackson_04154</v>
      </c>
      <c r="L2951" s="104" t="s">
        <v>22253</v>
      </c>
      <c r="M2951" s="103" t="str">
        <f t="shared" si="233"/>
        <v>http://oconnordata.com/mlink/modules/profile/index.cfm?action=profile&amp;prop_id=4154</v>
      </c>
      <c r="N2951" s="1" t="str">
        <f t="shared" si="234"/>
        <v>04154</v>
      </c>
    </row>
    <row r="2952" spans="1:14" x14ac:dyDescent="0.3">
      <c r="A2952" s="1">
        <v>4155</v>
      </c>
      <c r="B2952" s="7" t="s">
        <v>4443</v>
      </c>
      <c r="C2952" s="12">
        <v>415</v>
      </c>
      <c r="D2952" s="7" t="s">
        <v>4444</v>
      </c>
      <c r="E2952" s="13" t="s">
        <v>4442</v>
      </c>
      <c r="F2952" t="str">
        <f t="shared" si="230"/>
        <v>Garland</v>
      </c>
      <c r="G2952" t="str">
        <f t="shared" si="231"/>
        <v>Garland415Lake Jackson</v>
      </c>
      <c r="H2952" t="s">
        <v>33810</v>
      </c>
      <c r="I2952" t="s">
        <v>25235</v>
      </c>
      <c r="J2952" t="str">
        <f t="shared" si="232"/>
        <v>E:\PropInv\MF</v>
      </c>
      <c r="K2952" s="103" t="str">
        <f>HYPERLINK("E:\PropInv\MF\Lake Jackson\Garland Dr_415_Arbors_Lake Jackson_04155","Garland Dr_415_Arbors_Lake Jackson_04155" )</f>
        <v>Garland Dr_415_Arbors_Lake Jackson_04155</v>
      </c>
      <c r="L2952" s="104" t="s">
        <v>22253</v>
      </c>
      <c r="M2952" s="103" t="str">
        <f t="shared" si="233"/>
        <v>http://oconnordata.com/mlink/modules/profile/index.cfm?action=profile&amp;prop_id=4155</v>
      </c>
      <c r="N2952" s="1" t="str">
        <f t="shared" si="234"/>
        <v>04155</v>
      </c>
    </row>
    <row r="2953" spans="1:14" x14ac:dyDescent="0.3">
      <c r="A2953" s="1">
        <v>4157</v>
      </c>
      <c r="B2953" s="7" t="s">
        <v>4443</v>
      </c>
      <c r="C2953" s="12">
        <v>420</v>
      </c>
      <c r="D2953" s="7" t="s">
        <v>4445</v>
      </c>
      <c r="E2953" s="13" t="s">
        <v>4442</v>
      </c>
      <c r="F2953" t="str">
        <f t="shared" si="230"/>
        <v>Garland</v>
      </c>
      <c r="G2953" t="str">
        <f t="shared" si="231"/>
        <v>Garland420Lake Jackson</v>
      </c>
      <c r="H2953" t="s">
        <v>33811</v>
      </c>
      <c r="I2953" t="s">
        <v>25236</v>
      </c>
      <c r="J2953" t="str">
        <f t="shared" si="232"/>
        <v>E:\PropInv\MF</v>
      </c>
      <c r="K2953" s="103" t="str">
        <f>HYPERLINK("E:\PropInv\MF\Lake Jackson\Garland Dr_420_Sun Forest_Lake Jackson_04157","Garland Dr_420_Sun Forest_Lake Jackson_04157" )</f>
        <v>Garland Dr_420_Sun Forest_Lake Jackson_04157</v>
      </c>
      <c r="L2953" s="104" t="s">
        <v>22253</v>
      </c>
      <c r="M2953" s="103" t="str">
        <f t="shared" si="233"/>
        <v>http://oconnordata.com/mlink/modules/profile/index.cfm?action=profile&amp;prop_id=4157</v>
      </c>
      <c r="N2953" s="1" t="str">
        <f t="shared" si="234"/>
        <v>04157</v>
      </c>
    </row>
    <row r="2954" spans="1:14" x14ac:dyDescent="0.3">
      <c r="A2954" s="1">
        <v>4158</v>
      </c>
      <c r="B2954" s="7" t="s">
        <v>4408</v>
      </c>
      <c r="C2954" s="12">
        <v>1302</v>
      </c>
      <c r="D2954" s="7" t="s">
        <v>4446</v>
      </c>
      <c r="E2954" s="13" t="s">
        <v>4369</v>
      </c>
      <c r="F2954" t="str">
        <f t="shared" si="230"/>
        <v>Broadway</v>
      </c>
      <c r="G2954" t="str">
        <f t="shared" si="231"/>
        <v>Broadway1302Pearland</v>
      </c>
      <c r="H2954" t="s">
        <v>33812</v>
      </c>
      <c r="I2954" t="s">
        <v>25237</v>
      </c>
      <c r="J2954" t="str">
        <f t="shared" si="232"/>
        <v>E:\PropInv\MF</v>
      </c>
      <c r="K2954" s="103" t="str">
        <f>HYPERLINK("E:\PropInv\MF\Pearland\Broadway E_1302_Royal Oaks_Pearland_04158","Broadway E_1302_Royal Oaks_Pearland_04158" )</f>
        <v>Broadway E_1302_Royal Oaks_Pearland_04158</v>
      </c>
      <c r="L2954" s="104" t="s">
        <v>22253</v>
      </c>
      <c r="M2954" s="103" t="str">
        <f t="shared" si="233"/>
        <v>http://oconnordata.com/mlink/modules/profile/index.cfm?action=profile&amp;prop_id=4158</v>
      </c>
      <c r="N2954" s="1" t="str">
        <f t="shared" si="234"/>
        <v>04158</v>
      </c>
    </row>
    <row r="2955" spans="1:14" x14ac:dyDescent="0.3">
      <c r="A2955" s="1">
        <v>4159</v>
      </c>
      <c r="B2955" s="7" t="s">
        <v>4408</v>
      </c>
      <c r="C2955" s="12">
        <v>3510</v>
      </c>
      <c r="D2955" s="7" t="s">
        <v>4447</v>
      </c>
      <c r="E2955" s="13" t="s">
        <v>4369</v>
      </c>
      <c r="F2955" t="str">
        <f t="shared" si="230"/>
        <v>Broadway</v>
      </c>
      <c r="G2955" t="str">
        <f t="shared" si="231"/>
        <v>Broadway3510Pearland</v>
      </c>
      <c r="H2955" t="s">
        <v>33813</v>
      </c>
      <c r="I2955" t="s">
        <v>25238</v>
      </c>
      <c r="J2955" t="str">
        <f t="shared" si="232"/>
        <v>E:\PropInv\MF</v>
      </c>
      <c r="K2955" s="103" t="str">
        <f>HYPERLINK("E:\PropInv\MF\Pearland\Broadway E_3510_Salem Village_Pearland_04159","Broadway E_3510_Salem Village_Pearland_04159" )</f>
        <v>Broadway E_3510_Salem Village_Pearland_04159</v>
      </c>
      <c r="L2955" s="104" t="s">
        <v>22253</v>
      </c>
      <c r="M2955" s="103" t="str">
        <f t="shared" si="233"/>
        <v>http://oconnordata.com/mlink/modules/profile/index.cfm?action=profile&amp;prop_id=4159</v>
      </c>
      <c r="N2955" s="1" t="str">
        <f t="shared" si="234"/>
        <v>04159</v>
      </c>
    </row>
    <row r="2956" spans="1:14" x14ac:dyDescent="0.3">
      <c r="A2956" s="1">
        <v>4160</v>
      </c>
      <c r="B2956" s="7" t="s">
        <v>4448</v>
      </c>
      <c r="C2956" s="12">
        <v>301</v>
      </c>
      <c r="D2956" s="7" t="s">
        <v>3803</v>
      </c>
      <c r="E2956" s="13" t="s">
        <v>4412</v>
      </c>
      <c r="F2956" t="str">
        <f t="shared" si="230"/>
        <v>Cannan</v>
      </c>
      <c r="G2956" t="str">
        <f t="shared" si="231"/>
        <v>Cannan301Angleton</v>
      </c>
      <c r="H2956" t="s">
        <v>33814</v>
      </c>
      <c r="I2956" t="s">
        <v>25239</v>
      </c>
      <c r="J2956" t="str">
        <f t="shared" si="232"/>
        <v>E:\PropInv\MF</v>
      </c>
      <c r="K2956" s="103" t="str">
        <f>HYPERLINK("E:\PropInv\MF\Angleton\Cannan Dr_301_Cambridge_Angleton_04160","Cannan Dr_301_Cambridge_Angleton_04160" )</f>
        <v>Cannan Dr_301_Cambridge_Angleton_04160</v>
      </c>
      <c r="L2956" s="104" t="s">
        <v>22253</v>
      </c>
      <c r="M2956" s="103" t="str">
        <f t="shared" si="233"/>
        <v>http://oconnordata.com/mlink/modules/profile/index.cfm?action=profile&amp;prop_id=4160</v>
      </c>
      <c r="N2956" s="1" t="str">
        <f t="shared" si="234"/>
        <v>04160</v>
      </c>
    </row>
    <row r="2957" spans="1:14" x14ac:dyDescent="0.3">
      <c r="A2957" s="1">
        <v>4161</v>
      </c>
      <c r="B2957" s="7" t="s">
        <v>4449</v>
      </c>
      <c r="C2957" s="12">
        <v>121</v>
      </c>
      <c r="D2957" s="7" t="s">
        <v>4450</v>
      </c>
      <c r="E2957" s="13" t="s">
        <v>4412</v>
      </c>
      <c r="F2957" t="str">
        <f t="shared" si="230"/>
        <v>Clements</v>
      </c>
      <c r="G2957" t="str">
        <f t="shared" si="231"/>
        <v>Clements121Angleton</v>
      </c>
      <c r="H2957" t="s">
        <v>33815</v>
      </c>
      <c r="I2957" t="s">
        <v>25240</v>
      </c>
      <c r="J2957" t="str">
        <f t="shared" si="232"/>
        <v>E:\PropInv\MF</v>
      </c>
      <c r="K2957" s="103" t="str">
        <f>HYPERLINK("E:\PropInv\MF\Angleton\Clements_121_Westport_Angleton_04161","Clements_121_Westport_Angleton_04161" )</f>
        <v>Clements_121_Westport_Angleton_04161</v>
      </c>
      <c r="L2957" s="104" t="s">
        <v>22253</v>
      </c>
      <c r="M2957" s="103" t="str">
        <f t="shared" si="233"/>
        <v>http://oconnordata.com/mlink/modules/profile/index.cfm?action=profile&amp;prop_id=4161</v>
      </c>
      <c r="N2957" s="1" t="str">
        <f t="shared" si="234"/>
        <v>04161</v>
      </c>
    </row>
    <row r="2958" spans="1:14" x14ac:dyDescent="0.3">
      <c r="A2958" s="1">
        <v>4163</v>
      </c>
      <c r="B2958" s="7" t="s">
        <v>4451</v>
      </c>
      <c r="C2958" s="12">
        <v>200</v>
      </c>
      <c r="D2958" s="7" t="s">
        <v>4452</v>
      </c>
      <c r="E2958" s="13" t="s">
        <v>4453</v>
      </c>
      <c r="F2958" t="str">
        <f t="shared" si="230"/>
        <v>Timbercreek</v>
      </c>
      <c r="G2958" t="str">
        <f t="shared" si="231"/>
        <v>Timbercreek200Richwood</v>
      </c>
      <c r="H2958" t="s">
        <v>33816</v>
      </c>
      <c r="I2958" t="s">
        <v>25241</v>
      </c>
      <c r="J2958" t="str">
        <f t="shared" si="232"/>
        <v>E:\PropInv\MF</v>
      </c>
      <c r="K2958" s="103" t="str">
        <f>HYPERLINK("E:\PropInv\MF\Richwood\Timbercreek Dr_200_Creekside Estates_Richwood_04163","Timbercreek Dr_200_Creekside Estates_Richwood_04163" )</f>
        <v>Timbercreek Dr_200_Creekside Estates_Richwood_04163</v>
      </c>
      <c r="L2958" s="104" t="s">
        <v>22253</v>
      </c>
      <c r="M2958" s="103" t="str">
        <f t="shared" si="233"/>
        <v>http://oconnordata.com/mlink/modules/profile/index.cfm?action=profile&amp;prop_id=4163</v>
      </c>
      <c r="N2958" s="1" t="str">
        <f t="shared" si="234"/>
        <v>04163</v>
      </c>
    </row>
    <row r="2959" spans="1:14" x14ac:dyDescent="0.3">
      <c r="A2959" s="1">
        <v>4164</v>
      </c>
      <c r="B2959" s="7" t="s">
        <v>4454</v>
      </c>
      <c r="C2959" s="12">
        <v>15027</v>
      </c>
      <c r="D2959" s="7" t="s">
        <v>4455</v>
      </c>
      <c r="E2959" s="13" t="s">
        <v>4456</v>
      </c>
      <c r="F2959" t="str">
        <f t="shared" si="230"/>
        <v>Quail</v>
      </c>
      <c r="G2959" t="str">
        <f t="shared" si="231"/>
        <v>Quail15027Danbury</v>
      </c>
      <c r="H2959" t="s">
        <v>33817</v>
      </c>
      <c r="I2959" t="s">
        <v>25242</v>
      </c>
      <c r="J2959" t="str">
        <f t="shared" si="232"/>
        <v>E:\PropInv\MF</v>
      </c>
      <c r="K2959" s="103" t="str">
        <f>HYPERLINK("E:\PropInv\MF\Danbury\Quail Ridge Rd_15027_Danbury Manor_Danbury_04164","Quail Ridge Rd_15027_Danbury Manor_Danbury_04164" )</f>
        <v>Quail Ridge Rd_15027_Danbury Manor_Danbury_04164</v>
      </c>
      <c r="L2959" s="104" t="s">
        <v>22253</v>
      </c>
      <c r="M2959" s="103" t="str">
        <f t="shared" si="233"/>
        <v>http://oconnordata.com/mlink/modules/profile/index.cfm?action=profile&amp;prop_id=4164</v>
      </c>
      <c r="N2959" s="1" t="str">
        <f t="shared" si="234"/>
        <v>04164</v>
      </c>
    </row>
    <row r="2960" spans="1:14" x14ac:dyDescent="0.3">
      <c r="A2960" s="1">
        <v>4165</v>
      </c>
      <c r="B2960" s="7" t="s">
        <v>4457</v>
      </c>
      <c r="C2960" s="12">
        <v>1908</v>
      </c>
      <c r="D2960" s="7" t="s">
        <v>4458</v>
      </c>
      <c r="E2960" s="13" t="s">
        <v>4402</v>
      </c>
      <c r="F2960" t="str">
        <f t="shared" si="230"/>
        <v>Rosharon</v>
      </c>
      <c r="G2960" t="str">
        <f t="shared" si="231"/>
        <v>Rosharon1908Alvin</v>
      </c>
      <c r="H2960" t="s">
        <v>33818</v>
      </c>
      <c r="I2960" t="s">
        <v>25243</v>
      </c>
      <c r="J2960" t="str">
        <f t="shared" si="232"/>
        <v>E:\PropInv\MF</v>
      </c>
      <c r="K2960" s="103" t="str">
        <f>HYPERLINK("E:\PropInv\MF\Alvin\Rosharon Rd_1908_Westwood Park_Alvin_04165","Rosharon Rd_1908_Westwood Park_Alvin_04165" )</f>
        <v>Rosharon Rd_1908_Westwood Park_Alvin_04165</v>
      </c>
      <c r="L2960" s="104" t="s">
        <v>22253</v>
      </c>
      <c r="M2960" s="103" t="str">
        <f t="shared" si="233"/>
        <v>http://oconnordata.com/mlink/modules/profile/index.cfm?action=profile&amp;prop_id=4165</v>
      </c>
      <c r="N2960" s="1" t="str">
        <f t="shared" si="234"/>
        <v>04165</v>
      </c>
    </row>
    <row r="2961" spans="1:14" x14ac:dyDescent="0.3">
      <c r="A2961" s="1">
        <v>4166</v>
      </c>
      <c r="B2961" s="7" t="s">
        <v>4459</v>
      </c>
      <c r="C2961" s="12">
        <v>2400</v>
      </c>
      <c r="D2961" s="7" t="s">
        <v>631</v>
      </c>
      <c r="E2961" s="13" t="s">
        <v>4402</v>
      </c>
      <c r="F2961" t="str">
        <f t="shared" si="230"/>
        <v>35</v>
      </c>
      <c r="G2961" t="str">
        <f t="shared" si="231"/>
        <v>352400Alvin</v>
      </c>
      <c r="H2961" t="s">
        <v>33819</v>
      </c>
      <c r="I2961" t="s">
        <v>25244</v>
      </c>
      <c r="J2961" t="str">
        <f t="shared" si="232"/>
        <v>E:\PropInv\MF</v>
      </c>
      <c r="K2961" s="103" t="str">
        <f>HYPERLINK("E:\PropInv\MF\Alvin\35 Loop_2400_Steeplechase_Alvin_04166","35 Loop_2400_Steeplechase_Alvin_04166" )</f>
        <v>35 Loop_2400_Steeplechase_Alvin_04166</v>
      </c>
      <c r="L2961" s="104" t="s">
        <v>22253</v>
      </c>
      <c r="M2961" s="103" t="str">
        <f t="shared" si="233"/>
        <v>http://oconnordata.com/mlink/modules/profile/index.cfm?action=profile&amp;prop_id=4166</v>
      </c>
      <c r="N2961" s="1" t="str">
        <f t="shared" si="234"/>
        <v>04166</v>
      </c>
    </row>
    <row r="2962" spans="1:14" x14ac:dyDescent="0.3">
      <c r="A2962" s="1">
        <v>4168</v>
      </c>
      <c r="B2962" s="7" t="s">
        <v>4460</v>
      </c>
      <c r="C2962" s="12">
        <v>2551</v>
      </c>
      <c r="D2962" s="7" t="s">
        <v>4461</v>
      </c>
      <c r="E2962" s="13" t="s">
        <v>4402</v>
      </c>
      <c r="F2962" t="str">
        <f t="shared" si="230"/>
        <v>35</v>
      </c>
      <c r="G2962" t="str">
        <f t="shared" si="231"/>
        <v>352551Alvin</v>
      </c>
      <c r="H2962" t="s">
        <v>33820</v>
      </c>
      <c r="I2962" t="s">
        <v>25245</v>
      </c>
      <c r="J2962" t="str">
        <f t="shared" si="232"/>
        <v>E:\PropInv\MF</v>
      </c>
      <c r="K2962" s="103" t="str">
        <f>HYPERLINK("E:\PropInv\MF\Alvin\35 Loop Bypass_2551_Huntington Oaks_Alvin_04168","35 Loop Bypass_2551_Huntington Oaks_Alvin_04168" )</f>
        <v>35 Loop Bypass_2551_Huntington Oaks_Alvin_04168</v>
      </c>
      <c r="L2962" s="104" t="s">
        <v>22253</v>
      </c>
      <c r="M2962" s="103" t="str">
        <f t="shared" si="233"/>
        <v>http://oconnordata.com/mlink/modules/profile/index.cfm?action=profile&amp;prop_id=4168</v>
      </c>
      <c r="N2962" s="1" t="str">
        <f t="shared" si="234"/>
        <v>04168</v>
      </c>
    </row>
    <row r="2963" spans="1:14" x14ac:dyDescent="0.3">
      <c r="A2963" s="1">
        <v>4169</v>
      </c>
      <c r="B2963" s="7" t="s">
        <v>4462</v>
      </c>
      <c r="C2963" s="12">
        <v>1010</v>
      </c>
      <c r="D2963" s="7" t="s">
        <v>1302</v>
      </c>
      <c r="E2963" s="13" t="s">
        <v>3228</v>
      </c>
      <c r="F2963" t="str">
        <f t="shared" si="230"/>
        <v>Magnolia</v>
      </c>
      <c r="G2963" t="str">
        <f t="shared" si="231"/>
        <v>Magnolia1010Freeport</v>
      </c>
      <c r="H2963" t="s">
        <v>33821</v>
      </c>
      <c r="I2963" t="s">
        <v>25246</v>
      </c>
      <c r="J2963" t="str">
        <f t="shared" si="232"/>
        <v>E:\PropInv\MF</v>
      </c>
      <c r="K2963" s="103" t="str">
        <f>HYPERLINK("E:\PropInv\MF\Freeport\Magnolia_1010_The Remington_Freeport_04169","Magnolia_1010_The Remington_Freeport_04169" )</f>
        <v>Magnolia_1010_The Remington_Freeport_04169</v>
      </c>
      <c r="L2963" s="104" t="s">
        <v>22253</v>
      </c>
      <c r="M2963" s="103" t="str">
        <f t="shared" si="233"/>
        <v>http://oconnordata.com/mlink/modules/profile/index.cfm?action=profile&amp;prop_id=4169</v>
      </c>
      <c r="N2963" s="1" t="str">
        <f t="shared" si="234"/>
        <v>04169</v>
      </c>
    </row>
    <row r="2964" spans="1:14" x14ac:dyDescent="0.3">
      <c r="A2964" s="1">
        <v>4170</v>
      </c>
      <c r="B2964" s="7" t="s">
        <v>4463</v>
      </c>
      <c r="C2964" s="12">
        <v>1904</v>
      </c>
      <c r="D2964" s="7" t="s">
        <v>4464</v>
      </c>
      <c r="E2964" s="13" t="s">
        <v>4412</v>
      </c>
      <c r="F2964" t="str">
        <f t="shared" si="230"/>
        <v>Mulberry</v>
      </c>
      <c r="G2964" t="str">
        <f t="shared" si="231"/>
        <v>Mulberry1904Angleton</v>
      </c>
      <c r="H2964" t="s">
        <v>33822</v>
      </c>
      <c r="I2964" t="s">
        <v>25247</v>
      </c>
      <c r="J2964" t="str">
        <f t="shared" si="232"/>
        <v>E:\PropInv\MF</v>
      </c>
      <c r="K2964" s="103" t="str">
        <f>HYPERLINK("E:\PropInv\MF\Angleton\Mulberry E_1904_Arbor Pines Apts_Angleton_04170","Mulberry E_1904_Arbor Pines Apts_Angleton_04170" )</f>
        <v>Mulberry E_1904_Arbor Pines Apts_Angleton_04170</v>
      </c>
      <c r="L2964" s="104" t="s">
        <v>22253</v>
      </c>
      <c r="M2964" s="103" t="str">
        <f t="shared" si="233"/>
        <v>http://oconnordata.com/mlink/modules/profile/index.cfm?action=profile&amp;prop_id=4170</v>
      </c>
      <c r="N2964" s="1" t="str">
        <f t="shared" si="234"/>
        <v>04170</v>
      </c>
    </row>
    <row r="2965" spans="1:14" x14ac:dyDescent="0.3">
      <c r="A2965" s="1">
        <v>4171</v>
      </c>
      <c r="B2965" s="7" t="s">
        <v>4465</v>
      </c>
      <c r="C2965" s="12">
        <v>2101</v>
      </c>
      <c r="D2965" s="7" t="s">
        <v>4466</v>
      </c>
      <c r="E2965" s="13" t="s">
        <v>4402</v>
      </c>
      <c r="F2965" t="str">
        <f t="shared" si="230"/>
        <v>Mustang</v>
      </c>
      <c r="G2965" t="str">
        <f t="shared" si="231"/>
        <v>Mustang2101Alvin</v>
      </c>
      <c r="H2965" t="s">
        <v>33823</v>
      </c>
      <c r="I2965" t="s">
        <v>25248</v>
      </c>
      <c r="J2965" t="str">
        <f t="shared" si="232"/>
        <v>E:\PropInv\MF</v>
      </c>
      <c r="K2965" s="103" t="str">
        <f>HYPERLINK("E:\PropInv\MF\Alvin\Mustang_2101_Garden Gate_Alvin_04171","Mustang_2101_Garden Gate_Alvin_04171" )</f>
        <v>Mustang_2101_Garden Gate_Alvin_04171</v>
      </c>
      <c r="L2965" s="104" t="s">
        <v>22253</v>
      </c>
      <c r="M2965" s="103" t="str">
        <f t="shared" si="233"/>
        <v>http://oconnordata.com/mlink/modules/profile/index.cfm?action=profile&amp;prop_id=4171</v>
      </c>
      <c r="N2965" s="1" t="str">
        <f t="shared" si="234"/>
        <v>04171</v>
      </c>
    </row>
    <row r="2966" spans="1:14" x14ac:dyDescent="0.3">
      <c r="A2966" s="1">
        <v>4172</v>
      </c>
      <c r="B2966" s="7" t="s">
        <v>4467</v>
      </c>
      <c r="C2966" s="12">
        <v>1201</v>
      </c>
      <c r="D2966" s="7" t="s">
        <v>4468</v>
      </c>
      <c r="E2966" s="13" t="s">
        <v>4402</v>
      </c>
      <c r="F2966" t="str">
        <f t="shared" si="230"/>
        <v>Johnson</v>
      </c>
      <c r="G2966" t="str">
        <f t="shared" si="231"/>
        <v>Johnson1201Alvin</v>
      </c>
      <c r="H2966" t="s">
        <v>33824</v>
      </c>
      <c r="I2966" t="s">
        <v>25249</v>
      </c>
      <c r="J2966" t="str">
        <f t="shared" si="232"/>
        <v>E:\PropInv\MF</v>
      </c>
      <c r="K2966" s="103" t="str">
        <f>HYPERLINK("E:\PropInv\MF\Alvin\Johnson S_1201_Cedar Wood_Alvin_04172","Johnson S_1201_Cedar Wood_Alvin_04172" )</f>
        <v>Johnson S_1201_Cedar Wood_Alvin_04172</v>
      </c>
      <c r="L2966" s="104" t="s">
        <v>22253</v>
      </c>
      <c r="M2966" s="103" t="str">
        <f t="shared" si="233"/>
        <v>http://oconnordata.com/mlink/modules/profile/index.cfm?action=profile&amp;prop_id=4172</v>
      </c>
      <c r="N2966" s="1" t="str">
        <f t="shared" si="234"/>
        <v>04172</v>
      </c>
    </row>
    <row r="2967" spans="1:14" x14ac:dyDescent="0.3">
      <c r="A2967" s="1">
        <v>4173</v>
      </c>
      <c r="B2967" s="7" t="s">
        <v>4467</v>
      </c>
      <c r="C2967" s="12">
        <v>2401</v>
      </c>
      <c r="D2967" s="7" t="s">
        <v>4469</v>
      </c>
      <c r="E2967" s="13" t="s">
        <v>4402</v>
      </c>
      <c r="F2967" t="str">
        <f t="shared" si="230"/>
        <v>Johnson</v>
      </c>
      <c r="G2967" t="str">
        <f t="shared" si="231"/>
        <v>Johnson2401Alvin</v>
      </c>
      <c r="H2967" t="s">
        <v>33825</v>
      </c>
      <c r="I2967" t="s">
        <v>25250</v>
      </c>
      <c r="J2967" t="str">
        <f t="shared" si="232"/>
        <v>E:\PropInv\MF</v>
      </c>
      <c r="K2967" s="103" t="str">
        <f>HYPERLINK("E:\PropInv\MF\Alvin\Johnson S_2401_Highland Square_Alvin_04173","Johnson S_2401_Highland Square_Alvin_04173" )</f>
        <v>Johnson S_2401_Highland Square_Alvin_04173</v>
      </c>
      <c r="L2967" s="104" t="s">
        <v>22253</v>
      </c>
      <c r="M2967" s="103" t="str">
        <f t="shared" si="233"/>
        <v>http://oconnordata.com/mlink/modules/profile/index.cfm?action=profile&amp;prop_id=4173</v>
      </c>
      <c r="N2967" s="1" t="str">
        <f t="shared" si="234"/>
        <v>04173</v>
      </c>
    </row>
    <row r="2968" spans="1:14" x14ac:dyDescent="0.3">
      <c r="A2968" s="1">
        <v>4176</v>
      </c>
      <c r="B2968" s="7" t="s">
        <v>4470</v>
      </c>
      <c r="C2968" s="12">
        <v>2701</v>
      </c>
      <c r="D2968" s="7" t="s">
        <v>4471</v>
      </c>
      <c r="E2968" s="13" t="s">
        <v>4369</v>
      </c>
      <c r="F2968" t="str">
        <f t="shared" si="230"/>
        <v>Old</v>
      </c>
      <c r="G2968" t="str">
        <f t="shared" si="231"/>
        <v>Old2701Pearland</v>
      </c>
      <c r="H2968" t="s">
        <v>33826</v>
      </c>
      <c r="I2968" t="s">
        <v>25251</v>
      </c>
      <c r="J2968" t="str">
        <f t="shared" si="232"/>
        <v>E:\PropInv\MF</v>
      </c>
      <c r="K2968" s="103" t="str">
        <f>HYPERLINK("E:\PropInv\MF\Pearland\Old Alvin Rd_2701_Pearland Village_Pearland_04176","Old Alvin Rd_2701_Pearland Village_Pearland_04176" )</f>
        <v>Old Alvin Rd_2701_Pearland Village_Pearland_04176</v>
      </c>
      <c r="L2968" s="104" t="s">
        <v>22253</v>
      </c>
      <c r="M2968" s="103" t="str">
        <f t="shared" si="233"/>
        <v>http://oconnordata.com/mlink/modules/profile/index.cfm?action=profile&amp;prop_id=4176</v>
      </c>
      <c r="N2968" s="1" t="str">
        <f t="shared" si="234"/>
        <v>04176</v>
      </c>
    </row>
    <row r="2969" spans="1:14" x14ac:dyDescent="0.3">
      <c r="A2969" s="97">
        <v>4178</v>
      </c>
      <c r="B2969" s="7" t="s">
        <v>4472</v>
      </c>
      <c r="C2969" s="12">
        <v>460</v>
      </c>
      <c r="D2969" s="19" t="s">
        <v>465</v>
      </c>
      <c r="E2969" s="13" t="s">
        <v>4442</v>
      </c>
      <c r="F2969" t="str">
        <f t="shared" si="230"/>
        <v>332</v>
      </c>
      <c r="G2969" t="str">
        <f t="shared" si="231"/>
        <v>332460Lake Jackson</v>
      </c>
      <c r="H2969" t="s">
        <v>33827</v>
      </c>
      <c r="I2969" t="s">
        <v>25252</v>
      </c>
      <c r="J2969" t="str">
        <f t="shared" si="232"/>
        <v>E:\PropInv\MF</v>
      </c>
      <c r="K2969" s="103" t="str">
        <f>HYPERLINK("E:\PropInv\MF\Lake Jackson\332 Hwy W_460_Woodhollow_Lake Jackson_04178","332 Hwy W_460_Woodhollow_Lake Jackson_04178" )</f>
        <v>332 Hwy W_460_Woodhollow_Lake Jackson_04178</v>
      </c>
      <c r="L2969" s="104" t="s">
        <v>22253</v>
      </c>
      <c r="M2969" s="103" t="str">
        <f t="shared" si="233"/>
        <v>http://oconnordata.com/mlink/modules/profile/index.cfm?action=profile&amp;prop_id=4178</v>
      </c>
      <c r="N2969" s="1" t="str">
        <f t="shared" si="234"/>
        <v>04178</v>
      </c>
    </row>
    <row r="2970" spans="1:14" x14ac:dyDescent="0.3">
      <c r="A2970" s="1">
        <v>4179</v>
      </c>
      <c r="B2970" s="7" t="s">
        <v>4472</v>
      </c>
      <c r="C2970" s="12">
        <v>905</v>
      </c>
      <c r="D2970" s="7" t="s">
        <v>4473</v>
      </c>
      <c r="E2970" s="13" t="s">
        <v>4442</v>
      </c>
      <c r="F2970" t="str">
        <f t="shared" si="230"/>
        <v>332</v>
      </c>
      <c r="G2970" t="str">
        <f t="shared" si="231"/>
        <v>332905Lake Jackson</v>
      </c>
      <c r="H2970" t="s">
        <v>33828</v>
      </c>
      <c r="I2970" t="s">
        <v>25253</v>
      </c>
      <c r="J2970" t="str">
        <f t="shared" si="232"/>
        <v>E:\PropInv\MF</v>
      </c>
      <c r="K2970" s="103" t="str">
        <f>HYPERLINK("E:\PropInv\MF\Lake Jackson\332 Hwy W_905_Oakwood_Lake Jackson_04179","332 Hwy W_905_Oakwood_Lake Jackson_04179" )</f>
        <v>332 Hwy W_905_Oakwood_Lake Jackson_04179</v>
      </c>
      <c r="L2970" s="104" t="s">
        <v>22253</v>
      </c>
      <c r="M2970" s="103" t="str">
        <f t="shared" si="233"/>
        <v>http://oconnordata.com/mlink/modules/profile/index.cfm?action=profile&amp;prop_id=4179</v>
      </c>
      <c r="N2970" s="1" t="str">
        <f t="shared" si="234"/>
        <v>04179</v>
      </c>
    </row>
    <row r="2971" spans="1:14" x14ac:dyDescent="0.3">
      <c r="A2971" s="1">
        <v>4180</v>
      </c>
      <c r="B2971" s="7" t="s">
        <v>4474</v>
      </c>
      <c r="C2971" s="12">
        <v>1004</v>
      </c>
      <c r="D2971" s="7" t="s">
        <v>4475</v>
      </c>
      <c r="E2971" s="13" t="s">
        <v>4402</v>
      </c>
      <c r="F2971" t="str">
        <f t="shared" si="230"/>
        <v>Hill</v>
      </c>
      <c r="G2971" t="str">
        <f t="shared" si="231"/>
        <v>Hill1004Alvin</v>
      </c>
      <c r="H2971" t="s">
        <v>33829</v>
      </c>
      <c r="I2971" t="s">
        <v>25254</v>
      </c>
      <c r="J2971" t="str">
        <f t="shared" si="232"/>
        <v>E:\PropInv\MF</v>
      </c>
      <c r="K2971" s="103" t="str">
        <f>HYPERLINK("E:\PropInv\MF\Alvin\Hill S_1004_Foley Hill_Alvin_04180","Hill S_1004_Foley Hill_Alvin_04180" )</f>
        <v>Hill S_1004_Foley Hill_Alvin_04180</v>
      </c>
      <c r="L2971" s="104" t="s">
        <v>22253</v>
      </c>
      <c r="M2971" s="103" t="str">
        <f t="shared" si="233"/>
        <v>http://oconnordata.com/mlink/modules/profile/index.cfm?action=profile&amp;prop_id=4180</v>
      </c>
      <c r="N2971" s="1" t="str">
        <f t="shared" si="234"/>
        <v>04180</v>
      </c>
    </row>
    <row r="2972" spans="1:14" x14ac:dyDescent="0.3">
      <c r="A2972" s="1">
        <v>4181</v>
      </c>
      <c r="B2972" s="7" t="s">
        <v>4407</v>
      </c>
      <c r="C2972" s="35" t="s">
        <v>4476</v>
      </c>
      <c r="D2972" s="7" t="s">
        <v>4477</v>
      </c>
      <c r="E2972" s="13" t="s">
        <v>4399</v>
      </c>
      <c r="F2972" t="str">
        <f t="shared" si="230"/>
        <v>Hackberry</v>
      </c>
      <c r="G2972" t="str">
        <f t="shared" si="231"/>
        <v>Hackberry201-202-301Clute</v>
      </c>
      <c r="H2972" t="s">
        <v>33830</v>
      </c>
      <c r="I2972" t="s">
        <v>25255</v>
      </c>
      <c r="J2972" t="str">
        <f t="shared" si="232"/>
        <v>E:\PropInv\MF</v>
      </c>
      <c r="K2972" s="103" t="str">
        <f>HYPERLINK("E:\PropInv\MF\Clute\Hackberry Dr_201-202-301_Ashton Oaks_Clute_04181","Hackberry Dr_201-202-301_Ashton Oaks_Clute_04181" )</f>
        <v>Hackberry Dr_201-202-301_Ashton Oaks_Clute_04181</v>
      </c>
      <c r="L2972" s="104" t="s">
        <v>22253</v>
      </c>
      <c r="M2972" s="103" t="str">
        <f t="shared" si="233"/>
        <v>http://oconnordata.com/mlink/modules/profile/index.cfm?action=profile&amp;prop_id=4181</v>
      </c>
      <c r="N2972" s="1" t="str">
        <f t="shared" si="234"/>
        <v>04181</v>
      </c>
    </row>
    <row r="2973" spans="1:14" x14ac:dyDescent="0.3">
      <c r="A2973" s="1">
        <v>4183</v>
      </c>
      <c r="B2973" s="7" t="s">
        <v>4478</v>
      </c>
      <c r="C2973" s="12">
        <v>1400</v>
      </c>
      <c r="D2973" s="7" t="s">
        <v>4479</v>
      </c>
      <c r="E2973" s="13" t="s">
        <v>4412</v>
      </c>
      <c r="F2973" t="str">
        <f t="shared" si="230"/>
        <v>Henderson</v>
      </c>
      <c r="G2973" t="str">
        <f t="shared" si="231"/>
        <v>Henderson1400Angleton</v>
      </c>
      <c r="H2973" t="s">
        <v>33831</v>
      </c>
      <c r="I2973" t="s">
        <v>25256</v>
      </c>
      <c r="J2973" t="str">
        <f t="shared" si="232"/>
        <v>E:\PropInv\MF</v>
      </c>
      <c r="K2973" s="103" t="str">
        <f>HYPERLINK("E:\PropInv\MF\Angleton\Henderson Rd_1400_Golden Gate_Angleton_04183","Henderson Rd_1400_Golden Gate_Angleton_04183" )</f>
        <v>Henderson Rd_1400_Golden Gate_Angleton_04183</v>
      </c>
      <c r="L2973" s="104" t="s">
        <v>22253</v>
      </c>
      <c r="M2973" s="103" t="str">
        <f t="shared" si="233"/>
        <v>http://oconnordata.com/mlink/modules/profile/index.cfm?action=profile&amp;prop_id=4183</v>
      </c>
      <c r="N2973" s="1" t="str">
        <f t="shared" si="234"/>
        <v>04183</v>
      </c>
    </row>
    <row r="2974" spans="1:14" x14ac:dyDescent="0.3">
      <c r="A2974" s="1">
        <v>4184</v>
      </c>
      <c r="B2974" s="7" t="s">
        <v>4480</v>
      </c>
      <c r="C2974" s="12">
        <v>110</v>
      </c>
      <c r="D2974" s="7" t="s">
        <v>3311</v>
      </c>
      <c r="E2974" s="13" t="s">
        <v>4442</v>
      </c>
      <c r="F2974" t="str">
        <f t="shared" si="230"/>
        <v>Lake</v>
      </c>
      <c r="G2974" t="str">
        <f t="shared" si="231"/>
        <v>Lake110Lake Jackson</v>
      </c>
      <c r="H2974" t="s">
        <v>33832</v>
      </c>
      <c r="I2974" t="s">
        <v>25257</v>
      </c>
      <c r="J2974" t="str">
        <f t="shared" si="232"/>
        <v>E:\PropInv\MF</v>
      </c>
      <c r="K2974" s="103" t="str">
        <f>HYPERLINK("E:\PropInv\MF\Lake Jackson\Lake Rd_110_Raintree_Lake Jackson_04184","Lake Rd_110_Raintree_Lake Jackson_04184" )</f>
        <v>Lake Rd_110_Raintree_Lake Jackson_04184</v>
      </c>
      <c r="L2974" s="104" t="s">
        <v>22253</v>
      </c>
      <c r="M2974" s="103" t="str">
        <f t="shared" si="233"/>
        <v>http://oconnordata.com/mlink/modules/profile/index.cfm?action=profile&amp;prop_id=4184</v>
      </c>
      <c r="N2974" s="1" t="str">
        <f t="shared" si="234"/>
        <v>04184</v>
      </c>
    </row>
    <row r="2975" spans="1:14" x14ac:dyDescent="0.3">
      <c r="A2975" s="1">
        <v>4185</v>
      </c>
      <c r="B2975" s="7" t="s">
        <v>234</v>
      </c>
      <c r="C2975" s="12">
        <v>100</v>
      </c>
      <c r="D2975" s="7" t="s">
        <v>2242</v>
      </c>
      <c r="E2975" s="13" t="s">
        <v>4399</v>
      </c>
      <c r="F2975" t="str">
        <f t="shared" si="230"/>
        <v>Lakeview</v>
      </c>
      <c r="G2975" t="str">
        <f t="shared" si="231"/>
        <v>Lakeview100Clute</v>
      </c>
      <c r="H2975" t="s">
        <v>33833</v>
      </c>
      <c r="I2975" t="s">
        <v>25258</v>
      </c>
      <c r="J2975" t="str">
        <f t="shared" si="232"/>
        <v>E:\PropInv\MF</v>
      </c>
      <c r="K2975" s="103" t="str">
        <f>HYPERLINK("E:\PropInv\MF\Clute\Lakeview_100_Sherwood Forest_Clute_04185","Lakeview_100_Sherwood Forest_Clute_04185" )</f>
        <v>Lakeview_100_Sherwood Forest_Clute_04185</v>
      </c>
      <c r="L2975" s="104" t="s">
        <v>22253</v>
      </c>
      <c r="M2975" s="103" t="str">
        <f t="shared" si="233"/>
        <v>http://oconnordata.com/mlink/modules/profile/index.cfm?action=profile&amp;prop_id=4185</v>
      </c>
      <c r="N2975" s="1" t="str">
        <f t="shared" si="234"/>
        <v>04185</v>
      </c>
    </row>
    <row r="2976" spans="1:14" x14ac:dyDescent="0.3">
      <c r="A2976" s="1">
        <v>4186</v>
      </c>
      <c r="B2976" s="7" t="s">
        <v>234</v>
      </c>
      <c r="C2976" s="12">
        <v>401</v>
      </c>
      <c r="D2976" s="7" t="s">
        <v>4481</v>
      </c>
      <c r="E2976" s="13" t="s">
        <v>4399</v>
      </c>
      <c r="F2976" t="str">
        <f t="shared" si="230"/>
        <v>Lakeview</v>
      </c>
      <c r="G2976" t="str">
        <f t="shared" si="231"/>
        <v>Lakeview401Clute</v>
      </c>
      <c r="H2976" t="s">
        <v>33834</v>
      </c>
      <c r="I2976" t="s">
        <v>25259</v>
      </c>
      <c r="J2976" t="str">
        <f t="shared" si="232"/>
        <v>E:\PropInv\MF</v>
      </c>
      <c r="K2976" s="103" t="str">
        <f>HYPERLINK("E:\PropInv\MF\Clute\Lakeview_401_Brighton Manor_Clute_04186","Lakeview_401_Brighton Manor_Clute_04186" )</f>
        <v>Lakeview_401_Brighton Manor_Clute_04186</v>
      </c>
      <c r="L2976" s="104" t="s">
        <v>22253</v>
      </c>
      <c r="M2976" s="103" t="str">
        <f t="shared" si="233"/>
        <v>http://oconnordata.com/mlink/modules/profile/index.cfm?action=profile&amp;prop_id=4186</v>
      </c>
      <c r="N2976" s="1" t="str">
        <f t="shared" si="234"/>
        <v>04186</v>
      </c>
    </row>
    <row r="2977" spans="1:14" x14ac:dyDescent="0.3">
      <c r="A2977" s="1">
        <v>4188</v>
      </c>
      <c r="B2977" s="7" t="s">
        <v>4482</v>
      </c>
      <c r="C2977" s="12">
        <v>5555</v>
      </c>
      <c r="D2977" s="7" t="s">
        <v>4483</v>
      </c>
      <c r="E2977" s="13" t="s">
        <v>4484</v>
      </c>
      <c r="F2977" t="str">
        <f t="shared" si="230"/>
        <v>New</v>
      </c>
      <c r="G2977" t="str">
        <f t="shared" si="231"/>
        <v>New5555Sugar Land</v>
      </c>
      <c r="H2977" t="s">
        <v>33835</v>
      </c>
      <c r="I2977" t="s">
        <v>25260</v>
      </c>
      <c r="J2977" t="str">
        <f t="shared" si="232"/>
        <v>E:\PropInv\MF</v>
      </c>
      <c r="K2977" s="103" t="str">
        <f>HYPERLINK("E:\PropInv\MF\Sugar Land\New Territory Blvd_5555_Broadstone New Territory I_Sugar Land_04188","New Territory Blvd_5555_Broadstone New Territory I_Sugar Land_04188" )</f>
        <v>New Territory Blvd_5555_Broadstone New Territory I_Sugar Land_04188</v>
      </c>
      <c r="L2977" s="104" t="s">
        <v>22253</v>
      </c>
      <c r="M2977" s="103" t="str">
        <f t="shared" si="233"/>
        <v>http://oconnordata.com/mlink/modules/profile/index.cfm?action=profile&amp;prop_id=4188</v>
      </c>
      <c r="N2977" s="1" t="str">
        <f t="shared" si="234"/>
        <v>04188</v>
      </c>
    </row>
    <row r="2978" spans="1:14" x14ac:dyDescent="0.3">
      <c r="A2978" s="1">
        <v>4189</v>
      </c>
      <c r="B2978" s="7" t="s">
        <v>2740</v>
      </c>
      <c r="C2978" s="12">
        <v>12840</v>
      </c>
      <c r="D2978" s="7" t="s">
        <v>4485</v>
      </c>
      <c r="E2978" s="13" t="s">
        <v>3428</v>
      </c>
      <c r="F2978" t="str">
        <f t="shared" si="230"/>
        <v>Kirkwood</v>
      </c>
      <c r="G2978" t="str">
        <f t="shared" si="231"/>
        <v>Kirkwood12840Stafford</v>
      </c>
      <c r="H2978" t="s">
        <v>33836</v>
      </c>
      <c r="I2978" t="s">
        <v>25261</v>
      </c>
      <c r="J2978" t="str">
        <f t="shared" si="232"/>
        <v>E:\PropInv\MF</v>
      </c>
      <c r="K2978" s="103" t="str">
        <f>HYPERLINK("E:\PropInv\MF\Stafford\Kirkwood S_12840_Villages at Kirkwood_Stafford_04189","Kirkwood S_12840_Villages at Kirkwood_Stafford_04189" )</f>
        <v>Kirkwood S_12840_Villages at Kirkwood_Stafford_04189</v>
      </c>
      <c r="L2978" s="104" t="s">
        <v>22253</v>
      </c>
      <c r="M2978" s="103" t="str">
        <f t="shared" si="233"/>
        <v>http://oconnordata.com/mlink/modules/profile/index.cfm?action=profile&amp;prop_id=4189</v>
      </c>
      <c r="N2978" s="1" t="str">
        <f t="shared" si="234"/>
        <v>04189</v>
      </c>
    </row>
    <row r="2979" spans="1:14" x14ac:dyDescent="0.3">
      <c r="A2979" s="1">
        <v>4190</v>
      </c>
      <c r="B2979" s="7" t="s">
        <v>4486</v>
      </c>
      <c r="C2979" s="12">
        <v>2000</v>
      </c>
      <c r="D2979" s="7" t="s">
        <v>4487</v>
      </c>
      <c r="E2979" s="13" t="s">
        <v>2675</v>
      </c>
      <c r="F2979" t="str">
        <f t="shared" si="230"/>
        <v>Lamar</v>
      </c>
      <c r="G2979" t="str">
        <f t="shared" si="231"/>
        <v>Lamar2000Richmond</v>
      </c>
      <c r="H2979" t="s">
        <v>33837</v>
      </c>
      <c r="I2979" t="s">
        <v>25262</v>
      </c>
      <c r="J2979" t="str">
        <f t="shared" si="232"/>
        <v>E:\PropInv\MF</v>
      </c>
      <c r="K2979" s="103" t="str">
        <f>HYPERLINK("E:\PropInv\MF\Richmond\Lamar_2000_Mustang Crossing I_Richmond_04190","Lamar_2000_Mustang Crossing I_Richmond_04190" )</f>
        <v>Lamar_2000_Mustang Crossing I_Richmond_04190</v>
      </c>
      <c r="L2979" s="104" t="s">
        <v>22253</v>
      </c>
      <c r="M2979" s="103" t="str">
        <f t="shared" si="233"/>
        <v>http://oconnordata.com/mlink/modules/profile/index.cfm?action=profile&amp;prop_id=4190</v>
      </c>
      <c r="N2979" s="1" t="str">
        <f t="shared" si="234"/>
        <v>04190</v>
      </c>
    </row>
    <row r="2980" spans="1:14" x14ac:dyDescent="0.3">
      <c r="A2980" s="1">
        <v>4191</v>
      </c>
      <c r="B2980" s="7" t="s">
        <v>4488</v>
      </c>
      <c r="C2980" s="12">
        <v>819</v>
      </c>
      <c r="D2980" s="7" t="s">
        <v>4489</v>
      </c>
      <c r="E2980" s="13" t="s">
        <v>4428</v>
      </c>
      <c r="F2980" t="str">
        <f t="shared" si="230"/>
        <v>Ln</v>
      </c>
      <c r="G2980" t="str">
        <f t="shared" si="231"/>
        <v>Ln819Rosenberg</v>
      </c>
      <c r="H2980" t="s">
        <v>33838</v>
      </c>
      <c r="I2980" t="s">
        <v>25263</v>
      </c>
      <c r="J2980" t="str">
        <f t="shared" si="232"/>
        <v>E:\PropInv\MF</v>
      </c>
      <c r="K2980" s="103" t="str">
        <f>HYPERLINK("E:\PropInv\MF\Rosenberg\Ln Dr_819_Murray Hill_Rosenberg_04191","Ln Dr_819_Murray Hill_Rosenberg_04191" )</f>
        <v>Ln Dr_819_Murray Hill_Rosenberg_04191</v>
      </c>
      <c r="L2980" s="104" t="s">
        <v>22253</v>
      </c>
      <c r="M2980" s="103" t="str">
        <f t="shared" si="233"/>
        <v>http://oconnordata.com/mlink/modules/profile/index.cfm?action=profile&amp;prop_id=4191</v>
      </c>
      <c r="N2980" s="1" t="str">
        <f t="shared" si="234"/>
        <v>04191</v>
      </c>
    </row>
    <row r="2981" spans="1:14" x14ac:dyDescent="0.3">
      <c r="A2981" s="1">
        <v>4192</v>
      </c>
      <c r="B2981" s="7" t="s">
        <v>919</v>
      </c>
      <c r="C2981" s="12">
        <v>6520</v>
      </c>
      <c r="D2981" s="7" t="s">
        <v>4490</v>
      </c>
      <c r="E2981" s="13" t="s">
        <v>4369</v>
      </c>
      <c r="F2981" t="str">
        <f t="shared" si="230"/>
        <v>Broadway</v>
      </c>
      <c r="G2981" t="str">
        <f t="shared" si="231"/>
        <v>Broadway6520Pearland</v>
      </c>
      <c r="H2981" t="s">
        <v>33839</v>
      </c>
      <c r="I2981" t="s">
        <v>25264</v>
      </c>
      <c r="J2981" t="str">
        <f t="shared" si="232"/>
        <v>E:\PropInv\MF</v>
      </c>
      <c r="K2981" s="103" t="str">
        <f>HYPERLINK("E:\PropInv\MF\Pearland\Broadway_6520_Westlake Residential_Pearland_04192","Broadway_6520_Westlake Residential_Pearland_04192" )</f>
        <v>Broadway_6520_Westlake Residential_Pearland_04192</v>
      </c>
      <c r="L2981" s="104" t="s">
        <v>22253</v>
      </c>
      <c r="M2981" s="103" t="str">
        <f t="shared" si="233"/>
        <v>http://oconnordata.com/mlink/modules/profile/index.cfm?action=profile&amp;prop_id=4192</v>
      </c>
      <c r="N2981" s="1" t="str">
        <f t="shared" si="234"/>
        <v>04192</v>
      </c>
    </row>
    <row r="2982" spans="1:14" x14ac:dyDescent="0.3">
      <c r="A2982" s="1">
        <v>4193</v>
      </c>
      <c r="B2982" s="7" t="s">
        <v>4491</v>
      </c>
      <c r="C2982" s="12">
        <v>2902</v>
      </c>
      <c r="D2982" s="7" t="s">
        <v>4492</v>
      </c>
      <c r="E2982" s="13" t="s">
        <v>4369</v>
      </c>
      <c r="F2982" t="str">
        <f t="shared" si="230"/>
        <v>Whispering</v>
      </c>
      <c r="G2982" t="str">
        <f t="shared" si="231"/>
        <v>Whispering2902Pearland</v>
      </c>
      <c r="H2982" t="s">
        <v>33840</v>
      </c>
      <c r="I2982" t="s">
        <v>25265</v>
      </c>
      <c r="J2982" t="str">
        <f t="shared" si="232"/>
        <v>E:\PropInv\MF</v>
      </c>
      <c r="K2982" s="103" t="str">
        <f>HYPERLINK("E:\PropInv\MF\Pearland\Whispering Winds Dr_2902_Whispering Winds_Pearland_04193","Whispering Winds Dr_2902_Whispering Winds_Pearland_04193" )</f>
        <v>Whispering Winds Dr_2902_Whispering Winds_Pearland_04193</v>
      </c>
      <c r="L2982" s="104" t="s">
        <v>22253</v>
      </c>
      <c r="M2982" s="103" t="str">
        <f t="shared" si="233"/>
        <v>http://oconnordata.com/mlink/modules/profile/index.cfm?action=profile&amp;prop_id=4193</v>
      </c>
      <c r="N2982" s="1" t="str">
        <f t="shared" si="234"/>
        <v>04193</v>
      </c>
    </row>
    <row r="2983" spans="1:14" x14ac:dyDescent="0.3">
      <c r="A2983" s="1">
        <v>4194</v>
      </c>
      <c r="B2983" s="7" t="s">
        <v>4493</v>
      </c>
      <c r="C2983" s="12">
        <v>301</v>
      </c>
      <c r="D2983" s="7" t="s">
        <v>4494</v>
      </c>
      <c r="E2983" s="13" t="s">
        <v>4495</v>
      </c>
      <c r="F2983" t="str">
        <f t="shared" si="230"/>
        <v>Yerby</v>
      </c>
      <c r="G2983" t="str">
        <f t="shared" si="231"/>
        <v>Yerby301Brazoria</v>
      </c>
      <c r="H2983" t="s">
        <v>33841</v>
      </c>
      <c r="I2983" t="s">
        <v>25266</v>
      </c>
      <c r="J2983" t="str">
        <f t="shared" si="232"/>
        <v>E:\PropInv\MF</v>
      </c>
      <c r="K2983" s="103" t="str">
        <f>HYPERLINK("E:\PropInv\MF\Brazoria\Yerby_301_Brazoria Manor_Brazoria_04194","Yerby_301_Brazoria Manor_Brazoria_04194" )</f>
        <v>Yerby_301_Brazoria Manor_Brazoria_04194</v>
      </c>
      <c r="L2983" s="104" t="s">
        <v>22253</v>
      </c>
      <c r="M2983" s="103" t="str">
        <f t="shared" si="233"/>
        <v>http://oconnordata.com/mlink/modules/profile/index.cfm?action=profile&amp;prop_id=4194</v>
      </c>
      <c r="N2983" s="1" t="str">
        <f t="shared" si="234"/>
        <v>04194</v>
      </c>
    </row>
    <row r="2984" spans="1:14" x14ac:dyDescent="0.3">
      <c r="A2984" s="1">
        <v>4195</v>
      </c>
      <c r="B2984" s="7" t="s">
        <v>4496</v>
      </c>
      <c r="C2984" s="12">
        <v>1800</v>
      </c>
      <c r="D2984" s="7" t="s">
        <v>4497</v>
      </c>
      <c r="E2984" s="13" t="s">
        <v>4484</v>
      </c>
      <c r="F2984" t="str">
        <f t="shared" si="230"/>
        <v>Austin</v>
      </c>
      <c r="G2984" t="str">
        <f t="shared" si="231"/>
        <v>Austin1800Sugar Land</v>
      </c>
      <c r="H2984" t="s">
        <v>33842</v>
      </c>
      <c r="I2984" t="s">
        <v>25267</v>
      </c>
      <c r="J2984" t="str">
        <f t="shared" si="232"/>
        <v>E:\PropInv\MF</v>
      </c>
      <c r="K2984" s="103" t="str">
        <f>HYPERLINK("E:\PropInv\MF\Sugar Land\Austin Pkwy_1800_Foundations at Austin Colony_Sugar Land_04195","Austin Pkwy_1800_Foundations at Austin Colony_Sugar Land_04195" )</f>
        <v>Austin Pkwy_1800_Foundations at Austin Colony_Sugar Land_04195</v>
      </c>
      <c r="L2984" s="104" t="s">
        <v>22253</v>
      </c>
      <c r="M2984" s="103" t="str">
        <f t="shared" si="233"/>
        <v>http://oconnordata.com/mlink/modules/profile/index.cfm?action=profile&amp;prop_id=4195</v>
      </c>
      <c r="N2984" s="1" t="str">
        <f t="shared" si="234"/>
        <v>04195</v>
      </c>
    </row>
    <row r="2985" spans="1:14" x14ac:dyDescent="0.3">
      <c r="A2985" s="1">
        <v>4196</v>
      </c>
      <c r="B2985" s="7" t="s">
        <v>4498</v>
      </c>
      <c r="C2985" s="12">
        <v>1800</v>
      </c>
      <c r="D2985" s="7" t="s">
        <v>4499</v>
      </c>
      <c r="E2985" s="13" t="s">
        <v>2675</v>
      </c>
      <c r="F2985" t="str">
        <f t="shared" si="230"/>
        <v>1640</v>
      </c>
      <c r="G2985" t="str">
        <f t="shared" si="231"/>
        <v>16401800Richmond</v>
      </c>
      <c r="H2985" t="s">
        <v>33843</v>
      </c>
      <c r="I2985" t="s">
        <v>25268</v>
      </c>
      <c r="J2985" t="str">
        <f t="shared" si="232"/>
        <v>E:\PropInv\MF</v>
      </c>
      <c r="K2985" s="103" t="str">
        <f>HYPERLINK("E:\PropInv\MF\Richmond\1640 FM_1800_Lamar Park_Richmond_04196","1640 FM_1800_Lamar Park_Richmond_04196" )</f>
        <v>1640 FM_1800_Lamar Park_Richmond_04196</v>
      </c>
      <c r="L2985" s="104" t="s">
        <v>22253</v>
      </c>
      <c r="M2985" s="103" t="str">
        <f t="shared" si="233"/>
        <v>http://oconnordata.com/mlink/modules/profile/index.cfm?action=profile&amp;prop_id=4196</v>
      </c>
      <c r="N2985" s="1" t="str">
        <f t="shared" si="234"/>
        <v>04196</v>
      </c>
    </row>
    <row r="2986" spans="1:14" x14ac:dyDescent="0.3">
      <c r="A2986" s="1">
        <v>4197</v>
      </c>
      <c r="B2986" s="7" t="s">
        <v>4500</v>
      </c>
      <c r="C2986" s="12">
        <v>810</v>
      </c>
      <c r="D2986" s="7" t="s">
        <v>4501</v>
      </c>
      <c r="E2986" s="13" t="s">
        <v>4428</v>
      </c>
      <c r="F2986" t="str">
        <f t="shared" si="230"/>
        <v>Brooks</v>
      </c>
      <c r="G2986" t="str">
        <f t="shared" si="231"/>
        <v>Brooks810Rosenberg</v>
      </c>
      <c r="H2986" t="s">
        <v>33844</v>
      </c>
      <c r="I2986" t="s">
        <v>25269</v>
      </c>
      <c r="J2986" t="str">
        <f t="shared" si="232"/>
        <v>E:\PropInv\MF</v>
      </c>
      <c r="K2986" s="103" t="str">
        <f>HYPERLINK("E:\PropInv\MF\Rosenberg\Brooks Ave_810_Brookmore Hollow_Rosenberg_04197","Brooks Ave_810_Brookmore Hollow_Rosenberg_04197" )</f>
        <v>Brooks Ave_810_Brookmore Hollow_Rosenberg_04197</v>
      </c>
      <c r="L2986" s="104" t="s">
        <v>22253</v>
      </c>
      <c r="M2986" s="103" t="str">
        <f t="shared" si="233"/>
        <v>http://oconnordata.com/mlink/modules/profile/index.cfm?action=profile&amp;prop_id=4197</v>
      </c>
      <c r="N2986" s="1" t="str">
        <f t="shared" si="234"/>
        <v>04197</v>
      </c>
    </row>
    <row r="2987" spans="1:14" x14ac:dyDescent="0.3">
      <c r="A2987" s="1">
        <v>4198</v>
      </c>
      <c r="B2987" s="7" t="s">
        <v>22257</v>
      </c>
      <c r="C2987" s="12">
        <v>800</v>
      </c>
      <c r="D2987" s="7" t="s">
        <v>4502</v>
      </c>
      <c r="E2987" s="13" t="s">
        <v>4402</v>
      </c>
      <c r="F2987" t="str">
        <f t="shared" si="230"/>
        <v>S</v>
      </c>
      <c r="G2987" t="str">
        <f t="shared" si="231"/>
        <v>S800Alvin</v>
      </c>
      <c r="H2987" t="s">
        <v>33845</v>
      </c>
      <c r="I2987" t="s">
        <v>25270</v>
      </c>
      <c r="J2987" t="str">
        <f t="shared" si="232"/>
        <v>E:\PropInv\MF</v>
      </c>
      <c r="K2987" s="103" t="str">
        <f>HYPERLINK("E:\PropInv\MF\Alvin\S St E_800_Newport Oaks_Alvin_04198","S St E_800_Newport Oaks_Alvin_04198" )</f>
        <v>S St E_800_Newport Oaks_Alvin_04198</v>
      </c>
      <c r="L2987" s="104" t="s">
        <v>22253</v>
      </c>
      <c r="M2987" s="103" t="str">
        <f t="shared" si="233"/>
        <v>http://oconnordata.com/mlink/modules/profile/index.cfm?action=profile&amp;prop_id=4198</v>
      </c>
      <c r="N2987" s="1" t="str">
        <f t="shared" si="234"/>
        <v>04198</v>
      </c>
    </row>
    <row r="2988" spans="1:14" x14ac:dyDescent="0.3">
      <c r="A2988" s="1">
        <v>4200</v>
      </c>
      <c r="B2988" s="7" t="s">
        <v>4503</v>
      </c>
      <c r="C2988" s="12">
        <v>1601</v>
      </c>
      <c r="D2988" s="7" t="s">
        <v>4504</v>
      </c>
      <c r="E2988" s="13" t="s">
        <v>4402</v>
      </c>
      <c r="F2988" t="str">
        <f t="shared" si="230"/>
        <v>S</v>
      </c>
      <c r="G2988" t="str">
        <f t="shared" si="231"/>
        <v>S1601Alvin</v>
      </c>
      <c r="H2988" t="s">
        <v>33846</v>
      </c>
      <c r="I2988" t="s">
        <v>25271</v>
      </c>
      <c r="J2988" t="str">
        <f t="shared" si="232"/>
        <v>E:\PropInv\MF</v>
      </c>
      <c r="K2988" s="103" t="str">
        <f>HYPERLINK("E:\PropInv\MF\Alvin\S W_1601_Morgan Park_Alvin_04200","S W_1601_Morgan Park_Alvin_04200" )</f>
        <v>S W_1601_Morgan Park_Alvin_04200</v>
      </c>
      <c r="L2988" s="104" t="s">
        <v>22253</v>
      </c>
      <c r="M2988" s="103" t="str">
        <f t="shared" si="233"/>
        <v>http://oconnordata.com/mlink/modules/profile/index.cfm?action=profile&amp;prop_id=4200</v>
      </c>
      <c r="N2988" s="1" t="str">
        <f t="shared" si="234"/>
        <v>04200</v>
      </c>
    </row>
    <row r="2989" spans="1:14" x14ac:dyDescent="0.3">
      <c r="A2989" s="1">
        <v>4201</v>
      </c>
      <c r="B2989" s="7" t="s">
        <v>4505</v>
      </c>
      <c r="C2989" s="12">
        <v>510</v>
      </c>
      <c r="D2989" s="7" t="s">
        <v>4506</v>
      </c>
      <c r="E2989" s="13" t="s">
        <v>4442</v>
      </c>
      <c r="F2989" t="str">
        <f t="shared" si="230"/>
        <v>That</v>
      </c>
      <c r="G2989" t="str">
        <f t="shared" si="231"/>
        <v>That510Lake Jackson</v>
      </c>
      <c r="H2989" t="s">
        <v>33847</v>
      </c>
      <c r="I2989" t="s">
        <v>25272</v>
      </c>
      <c r="J2989" t="str">
        <f t="shared" si="232"/>
        <v>E:\PropInv\MF</v>
      </c>
      <c r="K2989" s="103" t="str">
        <f>HYPERLINK("E:\PropInv\MF\Lake Jackson\That Way St_510_The Brentwood Apts_Lake Jackson_04201","That Way St_510_The Brentwood Apts_Lake Jackson_04201" )</f>
        <v>That Way St_510_The Brentwood Apts_Lake Jackson_04201</v>
      </c>
      <c r="L2989" s="104" t="s">
        <v>22253</v>
      </c>
      <c r="M2989" s="103" t="str">
        <f t="shared" si="233"/>
        <v>http://oconnordata.com/mlink/modules/profile/index.cfm?action=profile&amp;prop_id=4201</v>
      </c>
      <c r="N2989" s="1" t="str">
        <f t="shared" si="234"/>
        <v>04201</v>
      </c>
    </row>
    <row r="2990" spans="1:14" x14ac:dyDescent="0.3">
      <c r="A2990" s="1">
        <v>4202</v>
      </c>
      <c r="B2990" s="7" t="s">
        <v>4451</v>
      </c>
      <c r="C2990" s="12">
        <v>400</v>
      </c>
      <c r="D2990" s="7" t="s">
        <v>4507</v>
      </c>
      <c r="E2990" s="13" t="s">
        <v>4399</v>
      </c>
      <c r="F2990" t="str">
        <f t="shared" si="230"/>
        <v>Timbercreek</v>
      </c>
      <c r="G2990" t="str">
        <f t="shared" si="231"/>
        <v>Timbercreek400Clute</v>
      </c>
      <c r="H2990" t="s">
        <v>33848</v>
      </c>
      <c r="I2990" t="s">
        <v>25273</v>
      </c>
      <c r="J2990" t="str">
        <f t="shared" si="232"/>
        <v>E:\PropInv\MF</v>
      </c>
      <c r="K2990" s="103" t="str">
        <f>HYPERLINK("E:\PropInv\MF\Clute\Timbercreek Dr_400_Creekwood Landing_Clute_04202","Timbercreek Dr_400_Creekwood Landing_Clute_04202" )</f>
        <v>Timbercreek Dr_400_Creekwood Landing_Clute_04202</v>
      </c>
      <c r="L2990" s="104" t="s">
        <v>22253</v>
      </c>
      <c r="M2990" s="103" t="str">
        <f t="shared" si="233"/>
        <v>http://oconnordata.com/mlink/modules/profile/index.cfm?action=profile&amp;prop_id=4202</v>
      </c>
      <c r="N2990" s="1" t="str">
        <f t="shared" si="234"/>
        <v>04202</v>
      </c>
    </row>
    <row r="2991" spans="1:14" x14ac:dyDescent="0.3">
      <c r="A2991" s="1">
        <v>4203</v>
      </c>
      <c r="B2991" s="7" t="s">
        <v>4508</v>
      </c>
      <c r="C2991" s="12">
        <v>3340</v>
      </c>
      <c r="D2991" s="7" t="s">
        <v>548</v>
      </c>
      <c r="E2991" s="13" t="s">
        <v>4369</v>
      </c>
      <c r="F2991" t="str">
        <f t="shared" si="230"/>
        <v>Walnut</v>
      </c>
      <c r="G2991" t="str">
        <f t="shared" si="231"/>
        <v>Walnut3340Pearland</v>
      </c>
      <c r="H2991" t="s">
        <v>33849</v>
      </c>
      <c r="I2991" t="s">
        <v>25274</v>
      </c>
      <c r="J2991" t="str">
        <f t="shared" si="232"/>
        <v>E:\PropInv\MF</v>
      </c>
      <c r="K2991" s="103" t="str">
        <f>HYPERLINK("E:\PropInv\MF\Pearland\Walnut E_3340_Park Place_Pearland_04203","Walnut E_3340_Park Place_Pearland_04203" )</f>
        <v>Walnut E_3340_Park Place_Pearland_04203</v>
      </c>
      <c r="L2991" s="104" t="s">
        <v>22253</v>
      </c>
      <c r="M2991" s="103" t="str">
        <f t="shared" si="233"/>
        <v>http://oconnordata.com/mlink/modules/profile/index.cfm?action=profile&amp;prop_id=4203</v>
      </c>
      <c r="N2991" s="1" t="str">
        <f t="shared" si="234"/>
        <v>04203</v>
      </c>
    </row>
    <row r="2992" spans="1:14" x14ac:dyDescent="0.3">
      <c r="A2992" s="1">
        <v>4204</v>
      </c>
      <c r="B2992" s="7" t="s">
        <v>4509</v>
      </c>
      <c r="C2992" s="12">
        <v>1136</v>
      </c>
      <c r="D2992" s="7" t="s">
        <v>4477</v>
      </c>
      <c r="E2992" s="13" t="s">
        <v>4428</v>
      </c>
      <c r="F2992" t="str">
        <f t="shared" si="230"/>
        <v>Radio</v>
      </c>
      <c r="G2992" t="str">
        <f t="shared" si="231"/>
        <v>Radio1136Rosenberg</v>
      </c>
      <c r="H2992" t="s">
        <v>33850</v>
      </c>
      <c r="I2992" t="s">
        <v>25275</v>
      </c>
      <c r="J2992" t="str">
        <f t="shared" si="232"/>
        <v>E:\PropInv\MF</v>
      </c>
      <c r="K2992" s="103" t="str">
        <f>HYPERLINK("E:\PropInv\MF\Rosenberg\Radio Ln_1136_Ashton Oaks_Rosenberg_04204","Radio Ln_1136_Ashton Oaks_Rosenberg_04204" )</f>
        <v>Radio Ln_1136_Ashton Oaks_Rosenberg_04204</v>
      </c>
      <c r="L2992" s="104" t="s">
        <v>22253</v>
      </c>
      <c r="M2992" s="103" t="str">
        <f t="shared" si="233"/>
        <v>http://oconnordata.com/mlink/modules/profile/index.cfm?action=profile&amp;prop_id=4204</v>
      </c>
      <c r="N2992" s="1" t="str">
        <f t="shared" si="234"/>
        <v>04204</v>
      </c>
    </row>
    <row r="2993" spans="1:14" x14ac:dyDescent="0.3">
      <c r="A2993" s="1">
        <v>4205</v>
      </c>
      <c r="B2993" s="7" t="s">
        <v>4510</v>
      </c>
      <c r="C2993" s="12">
        <v>4720</v>
      </c>
      <c r="D2993" s="7" t="s">
        <v>4511</v>
      </c>
      <c r="E2993" s="13" t="s">
        <v>4428</v>
      </c>
      <c r="F2993" t="str">
        <f t="shared" si="230"/>
        <v>Reading</v>
      </c>
      <c r="G2993" t="str">
        <f t="shared" si="231"/>
        <v>Reading4720Rosenberg</v>
      </c>
      <c r="H2993" t="s">
        <v>33851</v>
      </c>
      <c r="I2993" t="s">
        <v>25276</v>
      </c>
      <c r="J2993" t="str">
        <f t="shared" si="232"/>
        <v>E:\PropInv\MF</v>
      </c>
      <c r="K2993" s="103" t="str">
        <f>HYPERLINK("E:\PropInv\MF\Rosenberg\Reading Rd_4720_Brittany Square_Rosenberg_04205","Reading Rd_4720_Brittany Square_Rosenberg_04205" )</f>
        <v>Reading Rd_4720_Brittany Square_Rosenberg_04205</v>
      </c>
      <c r="L2993" s="104" t="s">
        <v>22253</v>
      </c>
      <c r="M2993" s="103" t="str">
        <f t="shared" si="233"/>
        <v>http://oconnordata.com/mlink/modules/profile/index.cfm?action=profile&amp;prop_id=4205</v>
      </c>
      <c r="N2993" s="1" t="str">
        <f t="shared" si="234"/>
        <v>04205</v>
      </c>
    </row>
    <row r="2994" spans="1:14" x14ac:dyDescent="0.3">
      <c r="A2994" s="1">
        <v>4206</v>
      </c>
      <c r="B2994" s="7" t="s">
        <v>4512</v>
      </c>
      <c r="C2994" s="12">
        <v>1700</v>
      </c>
      <c r="D2994" s="7" t="s">
        <v>4513</v>
      </c>
      <c r="E2994" s="13" t="s">
        <v>4484</v>
      </c>
      <c r="F2994" t="str">
        <f t="shared" si="230"/>
        <v>Rivercrest</v>
      </c>
      <c r="G2994" t="str">
        <f t="shared" si="231"/>
        <v>Rivercrest1700Sugar Land</v>
      </c>
      <c r="H2994" t="s">
        <v>33852</v>
      </c>
      <c r="I2994" t="s">
        <v>25277</v>
      </c>
      <c r="J2994" t="str">
        <f t="shared" si="232"/>
        <v>E:\PropInv\MF</v>
      </c>
      <c r="K2994" s="103" t="str">
        <f>HYPERLINK("E:\PropInv\MF\Sugar Land\Rivercrest Dr_1700_Foundations at River Crest_Sugar Land_04206","Rivercrest Dr_1700_Foundations at River Crest_Sugar Land_04206" )</f>
        <v>Rivercrest Dr_1700_Foundations at River Crest_Sugar Land_04206</v>
      </c>
      <c r="L2994" s="104" t="s">
        <v>22253</v>
      </c>
      <c r="M2994" s="103" t="str">
        <f t="shared" si="233"/>
        <v>http://oconnordata.com/mlink/modules/profile/index.cfm?action=profile&amp;prop_id=4206</v>
      </c>
      <c r="N2994" s="1" t="str">
        <f t="shared" si="234"/>
        <v>04206</v>
      </c>
    </row>
    <row r="2995" spans="1:14" x14ac:dyDescent="0.3">
      <c r="A2995" s="1">
        <v>4207</v>
      </c>
      <c r="B2995" s="7" t="s">
        <v>4514</v>
      </c>
      <c r="C2995" s="12">
        <v>2400</v>
      </c>
      <c r="D2995" s="7" t="s">
        <v>4515</v>
      </c>
      <c r="E2995" s="13" t="s">
        <v>2675</v>
      </c>
      <c r="F2995" t="str">
        <f t="shared" si="230"/>
        <v>Old</v>
      </c>
      <c r="G2995" t="str">
        <f t="shared" si="231"/>
        <v>Old2400Richmond</v>
      </c>
      <c r="H2995" t="s">
        <v>33853</v>
      </c>
      <c r="I2995" t="s">
        <v>25278</v>
      </c>
      <c r="J2995" t="str">
        <f t="shared" si="232"/>
        <v>E:\PropInv\MF</v>
      </c>
      <c r="K2995" s="103" t="str">
        <f>HYPERLINK("E:\PropInv\MF\Richmond\Old Dr S_2400_South Grand at Pecan Grove_Richmond_04207","Old Dr S_2400_South Grand at Pecan Grove_Richmond_04207" )</f>
        <v>Old Dr S_2400_South Grand at Pecan Grove_Richmond_04207</v>
      </c>
      <c r="L2995" s="104" t="s">
        <v>22253</v>
      </c>
      <c r="M2995" s="103" t="str">
        <f t="shared" si="233"/>
        <v>http://oconnordata.com/mlink/modules/profile/index.cfm?action=profile&amp;prop_id=4207</v>
      </c>
      <c r="N2995" s="1" t="str">
        <f t="shared" si="234"/>
        <v>04207</v>
      </c>
    </row>
    <row r="2996" spans="1:14" x14ac:dyDescent="0.3">
      <c r="A2996" s="1">
        <v>4208</v>
      </c>
      <c r="B2996" s="7" t="s">
        <v>4465</v>
      </c>
      <c r="C2996" s="12">
        <v>1800</v>
      </c>
      <c r="D2996" s="7" t="s">
        <v>4516</v>
      </c>
      <c r="E2996" s="13" t="s">
        <v>2675</v>
      </c>
      <c r="F2996" t="str">
        <f t="shared" si="230"/>
        <v>Mustang</v>
      </c>
      <c r="G2996" t="str">
        <f t="shared" si="231"/>
        <v>Mustang1800Richmond</v>
      </c>
      <c r="H2996" t="s">
        <v>33854</v>
      </c>
      <c r="I2996" t="s">
        <v>25279</v>
      </c>
      <c r="J2996" t="str">
        <f t="shared" si="232"/>
        <v>E:\PropInv\MF</v>
      </c>
      <c r="K2996" s="103" t="str">
        <f>HYPERLINK("E:\PropInv\MF\Richmond\Mustang_1800_Mustang Crossing II &amp; III_Richmond_04208","Mustang_1800_Mustang Crossing II &amp; III_Richmond_04208" )</f>
        <v>Mustang_1800_Mustang Crossing II &amp; III_Richmond_04208</v>
      </c>
      <c r="L2996" s="104" t="s">
        <v>22253</v>
      </c>
      <c r="M2996" s="103" t="str">
        <f t="shared" si="233"/>
        <v>http://oconnordata.com/mlink/modules/profile/index.cfm?action=profile&amp;prop_id=4208</v>
      </c>
      <c r="N2996" s="1" t="str">
        <f t="shared" si="234"/>
        <v>04208</v>
      </c>
    </row>
    <row r="2997" spans="1:14" x14ac:dyDescent="0.3">
      <c r="A2997" s="1">
        <v>4209</v>
      </c>
      <c r="B2997" s="7" t="s">
        <v>4517</v>
      </c>
      <c r="C2997" s="12">
        <v>1001</v>
      </c>
      <c r="D2997" s="7" t="s">
        <v>4518</v>
      </c>
      <c r="E2997" s="13" t="s">
        <v>2675</v>
      </c>
      <c r="F2997" t="str">
        <f t="shared" si="230"/>
        <v>Pultar</v>
      </c>
      <c r="G2997" t="str">
        <f t="shared" si="231"/>
        <v>Pultar1001Richmond</v>
      </c>
      <c r="H2997" t="s">
        <v>33855</v>
      </c>
      <c r="I2997" t="s">
        <v>25280</v>
      </c>
      <c r="J2997" t="str">
        <f t="shared" si="232"/>
        <v>E:\PropInv\MF</v>
      </c>
      <c r="K2997" s="103" t="str">
        <f>HYPERLINK("E:\PropInv\MF\Richmond\Pultar_1001_Grand Villa_Richmond_04209","Pultar_1001_Grand Villa_Richmond_04209" )</f>
        <v>Pultar_1001_Grand Villa_Richmond_04209</v>
      </c>
      <c r="L2997" s="104" t="s">
        <v>22253</v>
      </c>
      <c r="M2997" s="103" t="str">
        <f t="shared" si="233"/>
        <v>http://oconnordata.com/mlink/modules/profile/index.cfm?action=profile&amp;prop_id=4209</v>
      </c>
      <c r="N2997" s="1" t="str">
        <f t="shared" si="234"/>
        <v>04209</v>
      </c>
    </row>
    <row r="2998" spans="1:14" x14ac:dyDescent="0.3">
      <c r="A2998" s="1">
        <v>4210</v>
      </c>
      <c r="B2998" s="7" t="s">
        <v>4519</v>
      </c>
      <c r="C2998" s="12">
        <v>22400</v>
      </c>
      <c r="D2998" s="7" t="s">
        <v>4520</v>
      </c>
      <c r="E2998" s="13" t="s">
        <v>2198</v>
      </c>
      <c r="F2998" t="str">
        <f t="shared" si="230"/>
        <v>Westheimer</v>
      </c>
      <c r="G2998" t="str">
        <f t="shared" si="231"/>
        <v>Westheimer22400Katy</v>
      </c>
      <c r="H2998" t="s">
        <v>33856</v>
      </c>
      <c r="I2998" t="s">
        <v>25281</v>
      </c>
      <c r="J2998" t="str">
        <f t="shared" si="232"/>
        <v>E:\PropInv\MF</v>
      </c>
      <c r="K2998" s="103" t="str">
        <f>HYPERLINK("E:\PropInv\MF\Katy\Westheimer Pkwy_22400_Merrywood_Katy_04210","Westheimer Pkwy_22400_Merrywood_Katy_04210" )</f>
        <v>Westheimer Pkwy_22400_Merrywood_Katy_04210</v>
      </c>
      <c r="L2998" s="104" t="s">
        <v>22253</v>
      </c>
      <c r="M2998" s="103" t="str">
        <f t="shared" si="233"/>
        <v>http://oconnordata.com/mlink/modules/profile/index.cfm?action=profile&amp;prop_id=4210</v>
      </c>
      <c r="N2998" s="1" t="str">
        <f t="shared" si="234"/>
        <v>04210</v>
      </c>
    </row>
    <row r="2999" spans="1:14" x14ac:dyDescent="0.3">
      <c r="A2999" s="1">
        <v>4211</v>
      </c>
      <c r="B2999" s="7" t="s">
        <v>2740</v>
      </c>
      <c r="C2999" s="12">
        <v>12250</v>
      </c>
      <c r="D2999" s="7" t="s">
        <v>4521</v>
      </c>
      <c r="E2999" s="13" t="s">
        <v>3428</v>
      </c>
      <c r="F2999" t="str">
        <f t="shared" si="230"/>
        <v>Kirkwood</v>
      </c>
      <c r="G2999" t="str">
        <f t="shared" si="231"/>
        <v>Kirkwood12250Stafford</v>
      </c>
      <c r="H2999" t="s">
        <v>33857</v>
      </c>
      <c r="I2999" t="s">
        <v>25282</v>
      </c>
      <c r="J2999" t="str">
        <f t="shared" si="232"/>
        <v>E:\PropInv\MF</v>
      </c>
      <c r="K2999" s="103" t="str">
        <f>HYPERLINK("E:\PropInv\MF\Stafford\Kirkwood S_12250_Camden Sugar Grove_Stafford_04211","Kirkwood S_12250_Camden Sugar Grove_Stafford_04211" )</f>
        <v>Kirkwood S_12250_Camden Sugar Grove_Stafford_04211</v>
      </c>
      <c r="L2999" s="104" t="s">
        <v>22253</v>
      </c>
      <c r="M2999" s="103" t="str">
        <f t="shared" si="233"/>
        <v>http://oconnordata.com/mlink/modules/profile/index.cfm?action=profile&amp;prop_id=4211</v>
      </c>
      <c r="N2999" s="1" t="str">
        <f t="shared" si="234"/>
        <v>04211</v>
      </c>
    </row>
    <row r="3000" spans="1:14" x14ac:dyDescent="0.3">
      <c r="A3000" s="1">
        <v>4212</v>
      </c>
      <c r="B3000" s="7" t="s">
        <v>2740</v>
      </c>
      <c r="C3000" s="12">
        <v>12525</v>
      </c>
      <c r="D3000" s="7" t="s">
        <v>4522</v>
      </c>
      <c r="E3000" s="13" t="s">
        <v>3428</v>
      </c>
      <c r="F3000" t="str">
        <f t="shared" si="230"/>
        <v>Kirkwood</v>
      </c>
      <c r="G3000" t="str">
        <f t="shared" si="231"/>
        <v>Kirkwood12525Stafford</v>
      </c>
      <c r="H3000" t="s">
        <v>33858</v>
      </c>
      <c r="I3000" t="s">
        <v>25283</v>
      </c>
      <c r="J3000" t="str">
        <f t="shared" si="232"/>
        <v>E:\PropInv\MF</v>
      </c>
      <c r="K3000" s="103" t="str">
        <f>HYPERLINK("E:\PropInv\MF\Stafford\Kirkwood S_12525_Fountain Park_Stafford_04212","Kirkwood S_12525_Fountain Park_Stafford_04212" )</f>
        <v>Kirkwood S_12525_Fountain Park_Stafford_04212</v>
      </c>
      <c r="L3000" s="104" t="s">
        <v>22253</v>
      </c>
      <c r="M3000" s="103" t="str">
        <f t="shared" si="233"/>
        <v>http://oconnordata.com/mlink/modules/profile/index.cfm?action=profile&amp;prop_id=4212</v>
      </c>
      <c r="N3000" s="1" t="str">
        <f t="shared" si="234"/>
        <v>04212</v>
      </c>
    </row>
    <row r="3001" spans="1:14" x14ac:dyDescent="0.3">
      <c r="A3001" s="1">
        <v>4214</v>
      </c>
      <c r="B3001" s="7" t="s">
        <v>4523</v>
      </c>
      <c r="C3001" s="12">
        <v>1317</v>
      </c>
      <c r="D3001" s="7" t="s">
        <v>4524</v>
      </c>
      <c r="E3001" s="13" t="s">
        <v>4428</v>
      </c>
      <c r="F3001" t="str">
        <f t="shared" si="230"/>
        <v>Mahlmann</v>
      </c>
      <c r="G3001" t="str">
        <f t="shared" si="231"/>
        <v>Mahlmann1317Rosenberg</v>
      </c>
      <c r="H3001" t="s">
        <v>33859</v>
      </c>
      <c r="I3001" t="s">
        <v>25284</v>
      </c>
      <c r="J3001" t="str">
        <f t="shared" si="232"/>
        <v>E:\PropInv\MF</v>
      </c>
      <c r="K3001" s="103" t="str">
        <f>HYPERLINK("E:\PropInv\MF\Rosenberg\Mahlmann_1317_Kings Arms_Rosenberg_04214","Mahlmann_1317_Kings Arms_Rosenberg_04214" )</f>
        <v>Mahlmann_1317_Kings Arms_Rosenberg_04214</v>
      </c>
      <c r="L3001" s="104" t="s">
        <v>22253</v>
      </c>
      <c r="M3001" s="103" t="str">
        <f t="shared" si="233"/>
        <v>http://oconnordata.com/mlink/modules/profile/index.cfm?action=profile&amp;prop_id=4214</v>
      </c>
      <c r="N3001" s="1" t="str">
        <f t="shared" si="234"/>
        <v>04214</v>
      </c>
    </row>
    <row r="3002" spans="1:14" x14ac:dyDescent="0.3">
      <c r="A3002" s="1">
        <v>4216</v>
      </c>
      <c r="B3002" s="7" t="s">
        <v>4525</v>
      </c>
      <c r="C3002" s="12">
        <v>1811</v>
      </c>
      <c r="D3002" s="7" t="s">
        <v>4526</v>
      </c>
      <c r="E3002" s="13" t="s">
        <v>4428</v>
      </c>
      <c r="F3002" t="str">
        <f t="shared" si="230"/>
        <v>City</v>
      </c>
      <c r="G3002" t="str">
        <f t="shared" si="231"/>
        <v>City1811Rosenberg</v>
      </c>
      <c r="H3002" t="s">
        <v>33860</v>
      </c>
      <c r="I3002" t="s">
        <v>25285</v>
      </c>
      <c r="J3002" t="str">
        <f t="shared" si="232"/>
        <v>E:\PropInv\MF</v>
      </c>
      <c r="K3002" s="103" t="str">
        <f>HYPERLINK("E:\PropInv\MF\Rosenberg\City Hall Dr_1811_Carriage Glen_Rosenberg_04216","City Hall Dr_1811_Carriage Glen_Rosenberg_04216" )</f>
        <v>City Hall Dr_1811_Carriage Glen_Rosenberg_04216</v>
      </c>
      <c r="L3002" s="104" t="s">
        <v>22253</v>
      </c>
      <c r="M3002" s="103" t="str">
        <f t="shared" si="233"/>
        <v>http://oconnordata.com/mlink/modules/profile/index.cfm?action=profile&amp;prop_id=4216</v>
      </c>
      <c r="N3002" s="1" t="str">
        <f t="shared" si="234"/>
        <v>04216</v>
      </c>
    </row>
    <row r="3003" spans="1:14" x14ac:dyDescent="0.3">
      <c r="A3003" s="1">
        <v>4217</v>
      </c>
      <c r="B3003" s="7" t="s">
        <v>2687</v>
      </c>
      <c r="C3003" s="12">
        <v>3719</v>
      </c>
      <c r="D3003" s="7" t="s">
        <v>4527</v>
      </c>
      <c r="E3003" s="13" t="s">
        <v>3428</v>
      </c>
      <c r="F3003" t="str">
        <f t="shared" si="230"/>
        <v>Country</v>
      </c>
      <c r="G3003" t="str">
        <f t="shared" si="231"/>
        <v>Country3719Stafford</v>
      </c>
      <c r="H3003" t="s">
        <v>33861</v>
      </c>
      <c r="I3003" t="s">
        <v>25286</v>
      </c>
      <c r="J3003" t="str">
        <f t="shared" si="232"/>
        <v>E:\PropInv\MF</v>
      </c>
      <c r="K3003" s="103" t="str">
        <f>HYPERLINK("E:\PropInv\MF\Stafford\Country Place_3719_Stafford Oaks_Stafford_04217","Country Place_3719_Stafford Oaks_Stafford_04217" )</f>
        <v>Country Place_3719_Stafford Oaks_Stafford_04217</v>
      </c>
      <c r="L3003" s="104" t="s">
        <v>22253</v>
      </c>
      <c r="M3003" s="103" t="str">
        <f t="shared" si="233"/>
        <v>http://oconnordata.com/mlink/modules/profile/index.cfm?action=profile&amp;prop_id=4217</v>
      </c>
      <c r="N3003" s="1" t="str">
        <f t="shared" si="234"/>
        <v>04217</v>
      </c>
    </row>
    <row r="3004" spans="1:14" x14ac:dyDescent="0.3">
      <c r="A3004" s="1">
        <v>4219</v>
      </c>
      <c r="B3004" s="7" t="s">
        <v>4528</v>
      </c>
      <c r="C3004" s="12">
        <v>735</v>
      </c>
      <c r="D3004" s="7" t="s">
        <v>4529</v>
      </c>
      <c r="E3004" s="13" t="s">
        <v>3428</v>
      </c>
      <c r="F3004" t="str">
        <f t="shared" si="230"/>
        <v>Dulles</v>
      </c>
      <c r="G3004" t="str">
        <f t="shared" si="231"/>
        <v>Dulles735Stafford</v>
      </c>
      <c r="H3004" t="s">
        <v>33862</v>
      </c>
      <c r="I3004" t="s">
        <v>25287</v>
      </c>
      <c r="J3004" t="str">
        <f t="shared" si="232"/>
        <v>E:\PropInv\MF</v>
      </c>
      <c r="K3004" s="103" t="str">
        <f>HYPERLINK("E:\PropInv\MF\Stafford\Dulles Ave_735_The Vinings_Stafford_04219","Dulles Ave_735_The Vinings_Stafford_04219" )</f>
        <v>Dulles Ave_735_The Vinings_Stafford_04219</v>
      </c>
      <c r="L3004" s="104" t="s">
        <v>22253</v>
      </c>
      <c r="M3004" s="103" t="str">
        <f t="shared" si="233"/>
        <v>http://oconnordata.com/mlink/modules/profile/index.cfm?action=profile&amp;prop_id=4219</v>
      </c>
      <c r="N3004" s="1" t="str">
        <f t="shared" si="234"/>
        <v>04219</v>
      </c>
    </row>
    <row r="3005" spans="1:14" x14ac:dyDescent="0.3">
      <c r="A3005" s="1">
        <v>4220</v>
      </c>
      <c r="B3005" s="7" t="s">
        <v>4530</v>
      </c>
      <c r="C3005" s="12">
        <v>1800</v>
      </c>
      <c r="D3005" s="7" t="s">
        <v>4531</v>
      </c>
      <c r="E3005" s="13" t="s">
        <v>4532</v>
      </c>
      <c r="F3005" t="str">
        <f t="shared" si="230"/>
        <v>1092</v>
      </c>
      <c r="G3005" t="str">
        <f t="shared" si="231"/>
        <v>10921800Missouri City</v>
      </c>
      <c r="H3005" t="s">
        <v>33863</v>
      </c>
      <c r="I3005" t="s">
        <v>25288</v>
      </c>
      <c r="J3005" t="str">
        <f t="shared" si="232"/>
        <v>E:\PropInv\MF</v>
      </c>
      <c r="K3005" s="103" t="str">
        <f>HYPERLINK("E:\PropInv\MF\Missouri City\1092 FM_1800_Quail Valley_Missouri City_04220","1092 FM_1800_Quail Valley_Missouri City_04220" )</f>
        <v>1092 FM_1800_Quail Valley_Missouri City_04220</v>
      </c>
      <c r="L3005" s="104" t="s">
        <v>22253</v>
      </c>
      <c r="M3005" s="103" t="str">
        <f t="shared" si="233"/>
        <v>http://oconnordata.com/mlink/modules/profile/index.cfm?action=profile&amp;prop_id=4220</v>
      </c>
      <c r="N3005" s="1" t="str">
        <f t="shared" si="234"/>
        <v>04220</v>
      </c>
    </row>
    <row r="3006" spans="1:14" x14ac:dyDescent="0.3">
      <c r="A3006" s="1">
        <v>4221</v>
      </c>
      <c r="B3006" s="7" t="s">
        <v>3317</v>
      </c>
      <c r="C3006" s="12">
        <v>12100</v>
      </c>
      <c r="D3006" s="7" t="s">
        <v>4533</v>
      </c>
      <c r="E3006" s="13" t="s">
        <v>4484</v>
      </c>
      <c r="F3006" t="str">
        <f t="shared" si="230"/>
        <v>6</v>
      </c>
      <c r="G3006" t="str">
        <f t="shared" si="231"/>
        <v>612100Sugar Land</v>
      </c>
      <c r="H3006" t="s">
        <v>33864</v>
      </c>
      <c r="I3006" t="s">
        <v>25289</v>
      </c>
      <c r="J3006" t="str">
        <f t="shared" si="232"/>
        <v>E:\PropInv\MF</v>
      </c>
      <c r="K3006" s="103" t="str">
        <f>HYPERLINK("E:\PropInv\MF\Sugar Land\6 Hwy S_12100_Parkside Apts_Sugar Land_04221","6 Hwy S_12100_Parkside Apts_Sugar Land_04221" )</f>
        <v>6 Hwy S_12100_Parkside Apts_Sugar Land_04221</v>
      </c>
      <c r="L3006" s="104" t="s">
        <v>22253</v>
      </c>
      <c r="M3006" s="103" t="str">
        <f t="shared" si="233"/>
        <v>http://oconnordata.com/mlink/modules/profile/index.cfm?action=profile&amp;prop_id=4221</v>
      </c>
      <c r="N3006" s="1" t="str">
        <f t="shared" si="234"/>
        <v>04221</v>
      </c>
    </row>
    <row r="3007" spans="1:14" x14ac:dyDescent="0.3">
      <c r="A3007" s="1">
        <v>4222</v>
      </c>
      <c r="B3007" s="7" t="s">
        <v>4488</v>
      </c>
      <c r="C3007" s="12">
        <v>911</v>
      </c>
      <c r="D3007" s="7" t="s">
        <v>4534</v>
      </c>
      <c r="E3007" s="13" t="s">
        <v>4428</v>
      </c>
      <c r="F3007" t="str">
        <f t="shared" si="230"/>
        <v>Ln</v>
      </c>
      <c r="G3007" t="str">
        <f t="shared" si="231"/>
        <v>Ln911Rosenberg</v>
      </c>
      <c r="H3007" t="s">
        <v>33865</v>
      </c>
      <c r="I3007" t="s">
        <v>25290</v>
      </c>
      <c r="J3007" t="str">
        <f t="shared" si="232"/>
        <v>E:\PropInv\MF</v>
      </c>
      <c r="K3007" s="103" t="str">
        <f>HYPERLINK("E:\PropInv\MF\Rosenberg\Ln Dr_911_Victoria Garden_Rosenberg_04222","Ln Dr_911_Victoria Garden_Rosenberg_04222" )</f>
        <v>Ln Dr_911_Victoria Garden_Rosenberg_04222</v>
      </c>
      <c r="L3007" s="104" t="s">
        <v>22253</v>
      </c>
      <c r="M3007" s="103" t="str">
        <f t="shared" si="233"/>
        <v>http://oconnordata.com/mlink/modules/profile/index.cfm?action=profile&amp;prop_id=4222</v>
      </c>
      <c r="N3007" s="1" t="str">
        <f t="shared" si="234"/>
        <v>04222</v>
      </c>
    </row>
    <row r="3008" spans="1:14" x14ac:dyDescent="0.3">
      <c r="A3008" s="1">
        <v>4223</v>
      </c>
      <c r="B3008" s="7" t="s">
        <v>4535</v>
      </c>
      <c r="C3008" s="12">
        <v>15700</v>
      </c>
      <c r="D3008" s="7" t="s">
        <v>4536</v>
      </c>
      <c r="E3008" s="13" t="s">
        <v>4484</v>
      </c>
      <c r="F3008" t="str">
        <f t="shared" si="230"/>
        <v>Lexington</v>
      </c>
      <c r="G3008" t="str">
        <f t="shared" si="231"/>
        <v>Lexington15700Sugar Land</v>
      </c>
      <c r="H3008" t="s">
        <v>33866</v>
      </c>
      <c r="I3008" t="s">
        <v>25291</v>
      </c>
      <c r="J3008" t="str">
        <f t="shared" si="232"/>
        <v>E:\PropInv\MF</v>
      </c>
      <c r="K3008" s="103" t="str">
        <f>HYPERLINK("E:\PropInv\MF\Sugar Land\Lexington Blvd_15700_Foundations at Lions Head_Sugar Land_04223","Lexington Blvd_15700_Foundations at Lions Head_Sugar Land_04223" )</f>
        <v>Lexington Blvd_15700_Foundations at Lions Head_Sugar Land_04223</v>
      </c>
      <c r="L3008" s="104" t="s">
        <v>22253</v>
      </c>
      <c r="M3008" s="103" t="str">
        <f t="shared" si="233"/>
        <v>http://oconnordata.com/mlink/modules/profile/index.cfm?action=profile&amp;prop_id=4223</v>
      </c>
      <c r="N3008" s="1" t="str">
        <f t="shared" si="234"/>
        <v>04223</v>
      </c>
    </row>
    <row r="3009" spans="1:14" x14ac:dyDescent="0.3">
      <c r="A3009" s="1">
        <v>4224</v>
      </c>
      <c r="B3009" s="7" t="s">
        <v>4537</v>
      </c>
      <c r="C3009" s="12">
        <v>2323</v>
      </c>
      <c r="D3009" s="7" t="s">
        <v>4538</v>
      </c>
      <c r="E3009" s="13" t="s">
        <v>4484</v>
      </c>
      <c r="F3009" t="str">
        <f t="shared" si="230"/>
        <v>Long</v>
      </c>
      <c r="G3009" t="str">
        <f t="shared" si="231"/>
        <v>Long2323Sugar Land</v>
      </c>
      <c r="H3009" t="s">
        <v>33867</v>
      </c>
      <c r="I3009" t="s">
        <v>25292</v>
      </c>
      <c r="J3009" t="str">
        <f t="shared" si="232"/>
        <v>E:\PropInv\MF</v>
      </c>
      <c r="K3009" s="103" t="str">
        <f>HYPERLINK("E:\PropInv\MF\Sugar Land\Long Reach Dr_2323_The Fairmont First Colony_Sugar Land_04224","Long Reach Dr_2323_The Fairmont First Colony_Sugar Land_04224" )</f>
        <v>Long Reach Dr_2323_The Fairmont First Colony_Sugar Land_04224</v>
      </c>
      <c r="L3009" s="104" t="s">
        <v>22253</v>
      </c>
      <c r="M3009" s="103" t="str">
        <f t="shared" si="233"/>
        <v>http://oconnordata.com/mlink/modules/profile/index.cfm?action=profile&amp;prop_id=4224</v>
      </c>
      <c r="N3009" s="1" t="str">
        <f t="shared" si="234"/>
        <v>04224</v>
      </c>
    </row>
    <row r="3010" spans="1:14" x14ac:dyDescent="0.3">
      <c r="A3010" s="1">
        <v>4225</v>
      </c>
      <c r="B3010" s="7" t="s">
        <v>4539</v>
      </c>
      <c r="C3010" s="12">
        <v>1511</v>
      </c>
      <c r="D3010" s="7" t="s">
        <v>4540</v>
      </c>
      <c r="E3010" s="13" t="s">
        <v>4532</v>
      </c>
      <c r="F3010" t="str">
        <f t="shared" ref="F3010:F3073" si="235">IFERROR(LEFT(B3010,FIND(" ",B3010)-1),B3010)</f>
        <v>Fifth</v>
      </c>
      <c r="G3010" t="str">
        <f t="shared" ref="G3010:G3073" si="236">F3010&amp;C3010&amp;E3010</f>
        <v>Fifth1511Missouri City</v>
      </c>
      <c r="H3010" t="s">
        <v>33868</v>
      </c>
      <c r="I3010" t="s">
        <v>25293</v>
      </c>
      <c r="J3010" t="str">
        <f t="shared" ref="J3010:J3073" si="237">IF(L3010="TX",Folder_Path,Folder_Path&amp;"\State_"&amp;L3010)</f>
        <v>E:\PropInv\MF</v>
      </c>
      <c r="K3010" s="103" t="str">
        <f>HYPERLINK("E:\PropInv\MF\Missouri City\Fifth St_1511_Springfield_Missouri City_04225","Fifth St_1511_Springfield_Missouri City_04225" )</f>
        <v>Fifth St_1511_Springfield_Missouri City_04225</v>
      </c>
      <c r="L3010" s="104" t="s">
        <v>22253</v>
      </c>
      <c r="M3010" s="103" t="str">
        <f t="shared" ref="M3010:M3073" si="238">HYPERLINK("http://oconnordata.com/mlink/modules/profile/index.cfm?action=profile&amp;prop_id="&amp;A3010)</f>
        <v>http://oconnordata.com/mlink/modules/profile/index.cfm?action=profile&amp;prop_id=4225</v>
      </c>
      <c r="N3010" s="1" t="str">
        <f t="shared" ref="N3010:N3073" si="239">IF(LEN(A3010)=1,"0000"&amp;A3010,IF(LEN(A3010)=2,"000"&amp;A3010,IF(LEN(A3010)=3,"00"&amp;A3010,IF(LEN(A3010)=4,"0"&amp;A3010,IF(LEN(A3010)=5,IF(LEFT(A3010,1)="3",A3010+30000,A3010))))))</f>
        <v>04225</v>
      </c>
    </row>
    <row r="3011" spans="1:14" x14ac:dyDescent="0.3">
      <c r="A3011" s="1">
        <v>4226</v>
      </c>
      <c r="B3011" s="7" t="s">
        <v>4541</v>
      </c>
      <c r="C3011" s="12">
        <v>225</v>
      </c>
      <c r="D3011" s="7" t="s">
        <v>4542</v>
      </c>
      <c r="E3011" s="13" t="s">
        <v>4484</v>
      </c>
      <c r="F3011" t="str">
        <f t="shared" si="235"/>
        <v>Fluor</v>
      </c>
      <c r="G3011" t="str">
        <f t="shared" si="236"/>
        <v>Fluor225Sugar Land</v>
      </c>
      <c r="H3011" t="s">
        <v>33869</v>
      </c>
      <c r="I3011" t="s">
        <v>25294</v>
      </c>
      <c r="J3011" t="str">
        <f t="shared" si="237"/>
        <v>E:\PropInv\MF</v>
      </c>
      <c r="K3011" s="103" t="str">
        <f>HYPERLINK("E:\PropInv\MF\Sugar Land\Fluor Daniel Dr_225_Regency at First Colony_Sugar Land_04226","Fluor Daniel Dr_225_Regency at First Colony_Sugar Land_04226" )</f>
        <v>Fluor Daniel Dr_225_Regency at First Colony_Sugar Land_04226</v>
      </c>
      <c r="L3011" s="104" t="s">
        <v>22253</v>
      </c>
      <c r="M3011" s="103" t="str">
        <f t="shared" si="238"/>
        <v>http://oconnordata.com/mlink/modules/profile/index.cfm?action=profile&amp;prop_id=4226</v>
      </c>
      <c r="N3011" s="1" t="str">
        <f t="shared" si="239"/>
        <v>04226</v>
      </c>
    </row>
    <row r="3012" spans="1:14" x14ac:dyDescent="0.3">
      <c r="A3012" s="1">
        <v>4227</v>
      </c>
      <c r="B3012" s="7" t="s">
        <v>4543</v>
      </c>
      <c r="C3012" s="12">
        <v>1111</v>
      </c>
      <c r="D3012" s="7" t="s">
        <v>4544</v>
      </c>
      <c r="E3012" s="13" t="s">
        <v>2675</v>
      </c>
      <c r="F3012" t="str">
        <f t="shared" si="235"/>
        <v>Golfview</v>
      </c>
      <c r="G3012" t="str">
        <f t="shared" si="236"/>
        <v>Golfview1111Richmond</v>
      </c>
      <c r="H3012" t="s">
        <v>33870</v>
      </c>
      <c r="I3012" t="s">
        <v>25295</v>
      </c>
      <c r="J3012" t="str">
        <f t="shared" si="237"/>
        <v>E:\PropInv\MF</v>
      </c>
      <c r="K3012" s="103" t="str">
        <f>HYPERLINK("E:\PropInv\MF\Richmond\Golfview Dr_1111_Country Club Place_Richmond_04227","Golfview Dr_1111_Country Club Place_Richmond_04227" )</f>
        <v>Golfview Dr_1111_Country Club Place_Richmond_04227</v>
      </c>
      <c r="L3012" s="104" t="s">
        <v>22253</v>
      </c>
      <c r="M3012" s="103" t="str">
        <f t="shared" si="238"/>
        <v>http://oconnordata.com/mlink/modules/profile/index.cfm?action=profile&amp;prop_id=4227</v>
      </c>
      <c r="N3012" s="1" t="str">
        <f t="shared" si="239"/>
        <v>04227</v>
      </c>
    </row>
    <row r="3013" spans="1:14" x14ac:dyDescent="0.3">
      <c r="A3013" s="1">
        <v>4228</v>
      </c>
      <c r="B3013" s="7" t="s">
        <v>4545</v>
      </c>
      <c r="C3013" s="12">
        <v>2222</v>
      </c>
      <c r="D3013" s="7" t="s">
        <v>4546</v>
      </c>
      <c r="E3013" s="13" t="s">
        <v>4484</v>
      </c>
      <c r="F3013" t="str">
        <f t="shared" si="235"/>
        <v>Settlers</v>
      </c>
      <c r="G3013" t="str">
        <f t="shared" si="236"/>
        <v>Settlers2222Sugar Land</v>
      </c>
      <c r="H3013" t="s">
        <v>33871</v>
      </c>
      <c r="I3013" t="s">
        <v>25296</v>
      </c>
      <c r="J3013" t="str">
        <f t="shared" si="237"/>
        <v>E:\PropInv\MF</v>
      </c>
      <c r="K3013" s="103" t="str">
        <f>HYPERLINK("E:\PropInv\MF\Sugar Land\Settlers Way Blvd_2222_Foundations at Edgewater_Sugar Land_04228","Settlers Way Blvd_2222_Foundations at Edgewater_Sugar Land_04228" )</f>
        <v>Settlers Way Blvd_2222_Foundations at Edgewater_Sugar Land_04228</v>
      </c>
      <c r="L3013" s="104" t="s">
        <v>22253</v>
      </c>
      <c r="M3013" s="103" t="str">
        <f t="shared" si="238"/>
        <v>http://oconnordata.com/mlink/modules/profile/index.cfm?action=profile&amp;prop_id=4228</v>
      </c>
      <c r="N3013" s="1" t="str">
        <f t="shared" si="239"/>
        <v>04228</v>
      </c>
    </row>
    <row r="3014" spans="1:14" x14ac:dyDescent="0.3">
      <c r="A3014" s="1">
        <v>4229</v>
      </c>
      <c r="B3014" s="7" t="s">
        <v>4547</v>
      </c>
      <c r="C3014" s="12">
        <v>10502</v>
      </c>
      <c r="D3014" s="7" t="s">
        <v>4548</v>
      </c>
      <c r="E3014" s="13" t="s">
        <v>3428</v>
      </c>
      <c r="F3014" t="str">
        <f t="shared" si="235"/>
        <v>Fountain</v>
      </c>
      <c r="G3014" t="str">
        <f t="shared" si="236"/>
        <v>Fountain10502Stafford</v>
      </c>
      <c r="H3014" t="s">
        <v>33872</v>
      </c>
      <c r="I3014" t="s">
        <v>25297</v>
      </c>
      <c r="J3014" t="str">
        <f t="shared" si="237"/>
        <v>E:\PropInv\MF</v>
      </c>
      <c r="K3014" s="103" t="str">
        <f>HYPERLINK("E:\PropInv\MF\Stafford\Fountain Lake Dr_10502_The Reserve at the Fountains_Stafford_04229","Fountain Lake Dr_10502_The Reserve at the Fountains_Stafford_04229" )</f>
        <v>Fountain Lake Dr_10502_The Reserve at the Fountains_Stafford_04229</v>
      </c>
      <c r="L3014" s="104" t="s">
        <v>22253</v>
      </c>
      <c r="M3014" s="103" t="str">
        <f t="shared" si="238"/>
        <v>http://oconnordata.com/mlink/modules/profile/index.cfm?action=profile&amp;prop_id=4229</v>
      </c>
      <c r="N3014" s="1" t="str">
        <f t="shared" si="239"/>
        <v>04229</v>
      </c>
    </row>
    <row r="3015" spans="1:14" x14ac:dyDescent="0.3">
      <c r="A3015" s="1">
        <v>4231</v>
      </c>
      <c r="B3015" s="7" t="s">
        <v>4549</v>
      </c>
      <c r="C3015" s="12">
        <v>2710</v>
      </c>
      <c r="D3015" s="7" t="s">
        <v>4550</v>
      </c>
      <c r="E3015" s="13" t="s">
        <v>4484</v>
      </c>
      <c r="F3015" t="str">
        <f t="shared" si="235"/>
        <v>Grants</v>
      </c>
      <c r="G3015" t="str">
        <f t="shared" si="236"/>
        <v>Grants2710Sugar Land</v>
      </c>
      <c r="H3015" t="s">
        <v>33873</v>
      </c>
      <c r="I3015" t="s">
        <v>25298</v>
      </c>
      <c r="J3015" t="str">
        <f t="shared" si="237"/>
        <v>E:\PropInv\MF</v>
      </c>
      <c r="K3015" s="103" t="str">
        <f>HYPERLINK("E:\PropInv\MF\Sugar Land\Grants Lake Blvd_2710_Grants Lake_Sugar Land_04231","Grants Lake Blvd_2710_Grants Lake_Sugar Land_04231" )</f>
        <v>Grants Lake Blvd_2710_Grants Lake_Sugar Land_04231</v>
      </c>
      <c r="L3015" s="104" t="s">
        <v>22253</v>
      </c>
      <c r="M3015" s="103" t="str">
        <f t="shared" si="238"/>
        <v>http://oconnordata.com/mlink/modules/profile/index.cfm?action=profile&amp;prop_id=4231</v>
      </c>
      <c r="N3015" s="1" t="str">
        <f t="shared" si="239"/>
        <v>04231</v>
      </c>
    </row>
    <row r="3016" spans="1:14" x14ac:dyDescent="0.3">
      <c r="A3016" s="1">
        <v>4232</v>
      </c>
      <c r="B3016" s="7" t="s">
        <v>4551</v>
      </c>
      <c r="C3016" s="12">
        <v>1550</v>
      </c>
      <c r="D3016" s="7" t="s">
        <v>4552</v>
      </c>
      <c r="E3016" s="13" t="s">
        <v>2198</v>
      </c>
      <c r="F3016" t="str">
        <f t="shared" si="235"/>
        <v>Katy</v>
      </c>
      <c r="G3016" t="str">
        <f t="shared" si="236"/>
        <v>Katy1550Katy</v>
      </c>
      <c r="H3016" t="s">
        <v>33874</v>
      </c>
      <c r="I3016" t="s">
        <v>25299</v>
      </c>
      <c r="J3016" t="str">
        <f t="shared" si="237"/>
        <v>E:\PropInv\MF</v>
      </c>
      <c r="K3016" s="103" t="str">
        <f>HYPERLINK("E:\PropInv\MF\Katy\Katy Flewellen_1550_The Hunt Club At Pin Oak_Katy_04232","Katy Flewellen_1550_The Hunt Club At Pin Oak_Katy_04232" )</f>
        <v>Katy Flewellen_1550_The Hunt Club At Pin Oak_Katy_04232</v>
      </c>
      <c r="L3016" s="104" t="s">
        <v>22253</v>
      </c>
      <c r="M3016" s="103" t="str">
        <f t="shared" si="238"/>
        <v>http://oconnordata.com/mlink/modules/profile/index.cfm?action=profile&amp;prop_id=4232</v>
      </c>
      <c r="N3016" s="1" t="str">
        <f t="shared" si="239"/>
        <v>04232</v>
      </c>
    </row>
    <row r="3017" spans="1:14" x14ac:dyDescent="0.3">
      <c r="A3017" s="1">
        <v>4233</v>
      </c>
      <c r="B3017" s="7" t="s">
        <v>4528</v>
      </c>
      <c r="C3017" s="12">
        <v>1201</v>
      </c>
      <c r="D3017" s="7" t="s">
        <v>4553</v>
      </c>
      <c r="E3017" s="13" t="s">
        <v>3428</v>
      </c>
      <c r="F3017" t="str">
        <f t="shared" si="235"/>
        <v>Dulles</v>
      </c>
      <c r="G3017" t="str">
        <f t="shared" si="236"/>
        <v>Dulles1201Stafford</v>
      </c>
      <c r="H3017" t="s">
        <v>33875</v>
      </c>
      <c r="I3017" t="s">
        <v>25300</v>
      </c>
      <c r="J3017" t="str">
        <f t="shared" si="237"/>
        <v>E:\PropInv\MF</v>
      </c>
      <c r="K3017" s="103" t="str">
        <f>HYPERLINK("E:\PropInv\MF\Stafford\Dulles Ave_1201_The Trestles_Stafford_04233","Dulles Ave_1201_The Trestles_Stafford_04233" )</f>
        <v>Dulles Ave_1201_The Trestles_Stafford_04233</v>
      </c>
      <c r="L3017" s="104" t="s">
        <v>22253</v>
      </c>
      <c r="M3017" s="103" t="str">
        <f t="shared" si="238"/>
        <v>http://oconnordata.com/mlink/modules/profile/index.cfm?action=profile&amp;prop_id=4233</v>
      </c>
      <c r="N3017" s="1" t="str">
        <f t="shared" si="239"/>
        <v>04233</v>
      </c>
    </row>
    <row r="3018" spans="1:14" x14ac:dyDescent="0.3">
      <c r="A3018" s="1">
        <v>4234</v>
      </c>
      <c r="B3018" s="7" t="s">
        <v>4554</v>
      </c>
      <c r="C3018" s="12">
        <v>550</v>
      </c>
      <c r="D3018" s="7" t="s">
        <v>4554</v>
      </c>
      <c r="E3018" s="13" t="s">
        <v>3428</v>
      </c>
      <c r="F3018" t="str">
        <f t="shared" si="235"/>
        <v>Stafford</v>
      </c>
      <c r="G3018" t="str">
        <f t="shared" si="236"/>
        <v>Stafford550Stafford</v>
      </c>
      <c r="H3018" t="s">
        <v>33876</v>
      </c>
      <c r="I3018" t="s">
        <v>25301</v>
      </c>
      <c r="J3018" t="str">
        <f t="shared" si="237"/>
        <v>E:\PropInv\MF</v>
      </c>
      <c r="K3018" s="103" t="str">
        <f>HYPERLINK("E:\PropInv\MF\Stafford\Stafford Run_550_Stafford Run_Stafford_04234","Stafford Run_550_Stafford Run_Stafford_04234" )</f>
        <v>Stafford Run_550_Stafford Run_Stafford_04234</v>
      </c>
      <c r="L3018" s="104" t="s">
        <v>22253</v>
      </c>
      <c r="M3018" s="103" t="str">
        <f t="shared" si="238"/>
        <v>http://oconnordata.com/mlink/modules/profile/index.cfm?action=profile&amp;prop_id=4234</v>
      </c>
      <c r="N3018" s="1" t="str">
        <f t="shared" si="239"/>
        <v>04234</v>
      </c>
    </row>
    <row r="3019" spans="1:14" x14ac:dyDescent="0.3">
      <c r="A3019" s="1">
        <v>4235</v>
      </c>
      <c r="B3019" s="7" t="s">
        <v>4555</v>
      </c>
      <c r="C3019" s="12">
        <v>4930</v>
      </c>
      <c r="D3019" s="7" t="s">
        <v>4556</v>
      </c>
      <c r="E3019" s="13" t="s">
        <v>3428</v>
      </c>
      <c r="F3019" t="str">
        <f t="shared" si="235"/>
        <v>Sugar</v>
      </c>
      <c r="G3019" t="str">
        <f t="shared" si="236"/>
        <v>Sugar4930Stafford</v>
      </c>
      <c r="H3019" t="s">
        <v>33877</v>
      </c>
      <c r="I3019" t="s">
        <v>25302</v>
      </c>
      <c r="J3019" t="str">
        <f t="shared" si="237"/>
        <v>E:\PropInv\MF</v>
      </c>
      <c r="K3019" s="103" t="str">
        <f>HYPERLINK("E:\PropInv\MF\Stafford\Sugar Grove Blvd_4930_The Resort TH_Stafford_04235","Sugar Grove Blvd_4930_The Resort TH_Stafford_04235" )</f>
        <v>Sugar Grove Blvd_4930_The Resort TH_Stafford_04235</v>
      </c>
      <c r="L3019" s="104" t="s">
        <v>22253</v>
      </c>
      <c r="M3019" s="103" t="str">
        <f t="shared" si="238"/>
        <v>http://oconnordata.com/mlink/modules/profile/index.cfm?action=profile&amp;prop_id=4235</v>
      </c>
      <c r="N3019" s="1" t="str">
        <f t="shared" si="239"/>
        <v>04235</v>
      </c>
    </row>
    <row r="3020" spans="1:14" x14ac:dyDescent="0.3">
      <c r="A3020" s="1">
        <v>4237</v>
      </c>
      <c r="B3020" s="7" t="s">
        <v>4557</v>
      </c>
      <c r="C3020" s="12">
        <v>600</v>
      </c>
      <c r="D3020" s="7" t="s">
        <v>4558</v>
      </c>
      <c r="E3020" s="13" t="s">
        <v>4559</v>
      </c>
      <c r="F3020" t="str">
        <f t="shared" si="235"/>
        <v>Deats</v>
      </c>
      <c r="G3020" t="str">
        <f t="shared" si="236"/>
        <v>Deats600Dickinson</v>
      </c>
      <c r="H3020" t="s">
        <v>33878</v>
      </c>
      <c r="I3020" t="s">
        <v>25303</v>
      </c>
      <c r="J3020" t="str">
        <f t="shared" si="237"/>
        <v>E:\PropInv\MF</v>
      </c>
      <c r="K3020" s="103" t="str">
        <f>HYPERLINK("E:\PropInv\MF\Dickinson\Deats Rd_600_Dickinson Pines_Dickinson_04237","Deats Rd_600_Dickinson Pines_Dickinson_04237" )</f>
        <v>Deats Rd_600_Dickinson Pines_Dickinson_04237</v>
      </c>
      <c r="L3020" s="104" t="s">
        <v>22253</v>
      </c>
      <c r="M3020" s="103" t="str">
        <f t="shared" si="238"/>
        <v>http://oconnordata.com/mlink/modules/profile/index.cfm?action=profile&amp;prop_id=4237</v>
      </c>
      <c r="N3020" s="1" t="str">
        <f t="shared" si="239"/>
        <v>04237</v>
      </c>
    </row>
    <row r="3021" spans="1:14" x14ac:dyDescent="0.3">
      <c r="A3021" s="1">
        <v>4238</v>
      </c>
      <c r="B3021" s="7" t="s">
        <v>4557</v>
      </c>
      <c r="C3021" s="12">
        <v>110</v>
      </c>
      <c r="D3021" s="7" t="s">
        <v>4560</v>
      </c>
      <c r="E3021" s="13" t="s">
        <v>4559</v>
      </c>
      <c r="F3021" t="str">
        <f t="shared" si="235"/>
        <v>Deats</v>
      </c>
      <c r="G3021" t="str">
        <f t="shared" si="236"/>
        <v>Deats110Dickinson</v>
      </c>
      <c r="H3021" t="s">
        <v>33879</v>
      </c>
      <c r="I3021" t="s">
        <v>25304</v>
      </c>
      <c r="J3021" t="str">
        <f t="shared" si="237"/>
        <v>E:\PropInv\MF</v>
      </c>
      <c r="K3021" s="103" t="str">
        <f>HYPERLINK("E:\PropInv\MF\Dickinson\Deats Rd_110_Bayou Village_Dickinson_04238","Deats Rd_110_Bayou Village_Dickinson_04238" )</f>
        <v>Deats Rd_110_Bayou Village_Dickinson_04238</v>
      </c>
      <c r="L3021" s="104" t="s">
        <v>22253</v>
      </c>
      <c r="M3021" s="103" t="str">
        <f t="shared" si="238"/>
        <v>http://oconnordata.com/mlink/modules/profile/index.cfm?action=profile&amp;prop_id=4238</v>
      </c>
      <c r="N3021" s="1" t="str">
        <f t="shared" si="239"/>
        <v>04238</v>
      </c>
    </row>
    <row r="3022" spans="1:14" x14ac:dyDescent="0.3">
      <c r="A3022" s="1">
        <v>4239</v>
      </c>
      <c r="B3022" s="7" t="s">
        <v>4561</v>
      </c>
      <c r="C3022" s="12">
        <v>451</v>
      </c>
      <c r="D3022" s="7" t="s">
        <v>4562</v>
      </c>
      <c r="E3022" s="13" t="s">
        <v>4563</v>
      </c>
      <c r="F3022" t="str">
        <f t="shared" si="235"/>
        <v>Constellation</v>
      </c>
      <c r="G3022" t="str">
        <f t="shared" si="236"/>
        <v>Constellation451League City</v>
      </c>
      <c r="H3022" t="s">
        <v>33880</v>
      </c>
      <c r="I3022" t="s">
        <v>25305</v>
      </c>
      <c r="J3022" t="str">
        <f t="shared" si="237"/>
        <v>E:\PropInv\MF</v>
      </c>
      <c r="K3022" s="103" t="str">
        <f>HYPERLINK("E:\PropInv\MF\League City\Constellation Blvd_451_Constellation Pointe_League City_04239","Constellation Blvd_451_Constellation Pointe_League City_04239" )</f>
        <v>Constellation Blvd_451_Constellation Pointe_League City_04239</v>
      </c>
      <c r="L3022" s="104" t="s">
        <v>22253</v>
      </c>
      <c r="M3022" s="103" t="str">
        <f t="shared" si="238"/>
        <v>http://oconnordata.com/mlink/modules/profile/index.cfm?action=profile&amp;prop_id=4239</v>
      </c>
      <c r="N3022" s="1" t="str">
        <f t="shared" si="239"/>
        <v>04239</v>
      </c>
    </row>
    <row r="3023" spans="1:14" x14ac:dyDescent="0.3">
      <c r="A3023" s="1">
        <v>4240</v>
      </c>
      <c r="B3023" s="7" t="s">
        <v>582</v>
      </c>
      <c r="C3023" s="12">
        <v>515</v>
      </c>
      <c r="D3023" s="7" t="s">
        <v>4564</v>
      </c>
      <c r="E3023" s="13" t="s">
        <v>4565</v>
      </c>
      <c r="F3023" t="str">
        <f t="shared" si="235"/>
        <v>1st</v>
      </c>
      <c r="G3023" t="str">
        <f t="shared" si="236"/>
        <v>1st515Galveston</v>
      </c>
      <c r="H3023" t="s">
        <v>33881</v>
      </c>
      <c r="I3023" t="s">
        <v>25306</v>
      </c>
      <c r="J3023" t="str">
        <f t="shared" si="237"/>
        <v>E:\PropInv\MF</v>
      </c>
      <c r="K3023" s="103" t="str">
        <f>HYPERLINK("E:\PropInv\MF\Galveston\1st St_515_Casa Caribe_Galveston_04240","1st St_515_Casa Caribe_Galveston_04240" )</f>
        <v>1st St_515_Casa Caribe_Galveston_04240</v>
      </c>
      <c r="L3023" s="104" t="s">
        <v>22253</v>
      </c>
      <c r="M3023" s="103" t="str">
        <f t="shared" si="238"/>
        <v>http://oconnordata.com/mlink/modules/profile/index.cfm?action=profile&amp;prop_id=4240</v>
      </c>
      <c r="N3023" s="1" t="str">
        <f t="shared" si="239"/>
        <v>04240</v>
      </c>
    </row>
    <row r="3024" spans="1:14" x14ac:dyDescent="0.3">
      <c r="A3024" s="1">
        <v>4241</v>
      </c>
      <c r="B3024" s="7" t="s">
        <v>4566</v>
      </c>
      <c r="C3024" s="12">
        <v>3428</v>
      </c>
      <c r="D3024" s="7" t="s">
        <v>4567</v>
      </c>
      <c r="E3024" s="13" t="s">
        <v>4565</v>
      </c>
      <c r="F3024" t="str">
        <f t="shared" si="235"/>
        <v>Cove</v>
      </c>
      <c r="G3024" t="str">
        <f t="shared" si="236"/>
        <v>Cove3428Galveston</v>
      </c>
      <c r="H3024" t="s">
        <v>33882</v>
      </c>
      <c r="I3024" t="s">
        <v>25307</v>
      </c>
      <c r="J3024" t="str">
        <f t="shared" si="237"/>
        <v>E:\PropInv\MF</v>
      </c>
      <c r="K3024" s="103" t="str">
        <f>HYPERLINK("E:\PropInv\MF\Galveston\Cove View Blvd_3428_Newport at Campeche Cove_Galveston_04241","Cove View Blvd_3428_Newport at Campeche Cove_Galveston_04241" )</f>
        <v>Cove View Blvd_3428_Newport at Campeche Cove_Galveston_04241</v>
      </c>
      <c r="L3024" s="104" t="s">
        <v>22253</v>
      </c>
      <c r="M3024" s="103" t="str">
        <f t="shared" si="238"/>
        <v>http://oconnordata.com/mlink/modules/profile/index.cfm?action=profile&amp;prop_id=4241</v>
      </c>
      <c r="N3024" s="1" t="str">
        <f t="shared" si="239"/>
        <v>04241</v>
      </c>
    </row>
    <row r="3025" spans="1:14" x14ac:dyDescent="0.3">
      <c r="A3025" s="1">
        <v>4243</v>
      </c>
      <c r="B3025" s="7" t="s">
        <v>4568</v>
      </c>
      <c r="C3025" s="12">
        <v>2410</v>
      </c>
      <c r="D3025" s="7" t="s">
        <v>1665</v>
      </c>
      <c r="E3025" s="13" t="s">
        <v>4569</v>
      </c>
      <c r="F3025" t="str">
        <f t="shared" si="235"/>
        <v>24th</v>
      </c>
      <c r="G3025" t="str">
        <f t="shared" si="236"/>
        <v>24th2410Texas City</v>
      </c>
      <c r="H3025" t="s">
        <v>33883</v>
      </c>
      <c r="I3025" t="s">
        <v>25308</v>
      </c>
      <c r="J3025" t="str">
        <f t="shared" si="237"/>
        <v>E:\PropInv\MF</v>
      </c>
      <c r="K3025" s="103" t="str">
        <f>HYPERLINK("E:\PropInv\MF\Texas City\24th St N_2410_Lakewood_Texas City_04243","24th St N_2410_Lakewood_Texas City_04243" )</f>
        <v>24th St N_2410_Lakewood_Texas City_04243</v>
      </c>
      <c r="L3025" s="104" t="s">
        <v>22253</v>
      </c>
      <c r="M3025" s="103" t="str">
        <f t="shared" si="238"/>
        <v>http://oconnordata.com/mlink/modules/profile/index.cfm?action=profile&amp;prop_id=4243</v>
      </c>
      <c r="N3025" s="1" t="str">
        <f t="shared" si="239"/>
        <v>04243</v>
      </c>
    </row>
    <row r="3026" spans="1:14" x14ac:dyDescent="0.3">
      <c r="A3026" s="1">
        <v>4244</v>
      </c>
      <c r="B3026" s="7" t="s">
        <v>4570</v>
      </c>
      <c r="C3026" s="12">
        <v>2111</v>
      </c>
      <c r="D3026" s="7" t="s">
        <v>4571</v>
      </c>
      <c r="E3026" s="13" t="s">
        <v>4569</v>
      </c>
      <c r="F3026" t="str">
        <f t="shared" si="235"/>
        <v>25th</v>
      </c>
      <c r="G3026" t="str">
        <f t="shared" si="236"/>
        <v>25th2111Texas City</v>
      </c>
      <c r="H3026" t="s">
        <v>33884</v>
      </c>
      <c r="I3026" t="s">
        <v>25309</v>
      </c>
      <c r="J3026" t="str">
        <f t="shared" si="237"/>
        <v>E:\PropInv\MF</v>
      </c>
      <c r="K3026" s="103" t="str">
        <f>HYPERLINK("E:\PropInv\MF\Texas City\25th Ave N_2111_Chateau Jonon_Texas City_04244","25th Ave N_2111_Chateau Jonon_Texas City_04244" )</f>
        <v>25th Ave N_2111_Chateau Jonon_Texas City_04244</v>
      </c>
      <c r="L3026" s="104" t="s">
        <v>22253</v>
      </c>
      <c r="M3026" s="103" t="str">
        <f t="shared" si="238"/>
        <v>http://oconnordata.com/mlink/modules/profile/index.cfm?action=profile&amp;prop_id=4244</v>
      </c>
      <c r="N3026" s="1" t="str">
        <f t="shared" si="239"/>
        <v>04244</v>
      </c>
    </row>
    <row r="3027" spans="1:14" x14ac:dyDescent="0.3">
      <c r="A3027" s="1">
        <v>4245</v>
      </c>
      <c r="B3027" s="7" t="s">
        <v>4572</v>
      </c>
      <c r="C3027" s="12">
        <v>1919</v>
      </c>
      <c r="D3027" s="7" t="s">
        <v>4573</v>
      </c>
      <c r="E3027" s="13" t="s">
        <v>4569</v>
      </c>
      <c r="F3027" t="str">
        <f t="shared" si="235"/>
        <v>13th</v>
      </c>
      <c r="G3027" t="str">
        <f t="shared" si="236"/>
        <v>13th1919Texas City</v>
      </c>
      <c r="H3027" t="s">
        <v>33885</v>
      </c>
      <c r="I3027" t="s">
        <v>25310</v>
      </c>
      <c r="J3027" t="str">
        <f t="shared" si="237"/>
        <v>E:\PropInv\MF</v>
      </c>
      <c r="K3027" s="103" t="str">
        <f>HYPERLINK("E:\PropInv\MF\Texas City\13th Ave N_1919_Trade Winds_Texas City_04245","13th Ave N_1919_Trade Winds_Texas City_04245" )</f>
        <v>13th Ave N_1919_Trade Winds_Texas City_04245</v>
      </c>
      <c r="L3027" s="104" t="s">
        <v>22253</v>
      </c>
      <c r="M3027" s="103" t="str">
        <f t="shared" si="238"/>
        <v>http://oconnordata.com/mlink/modules/profile/index.cfm?action=profile&amp;prop_id=4245</v>
      </c>
      <c r="N3027" s="1" t="str">
        <f t="shared" si="239"/>
        <v>04245</v>
      </c>
    </row>
    <row r="3028" spans="1:14" x14ac:dyDescent="0.3">
      <c r="A3028" s="1">
        <v>4246</v>
      </c>
      <c r="B3028" s="10" t="s">
        <v>4572</v>
      </c>
      <c r="C3028" s="9">
        <v>2701</v>
      </c>
      <c r="D3028" s="10" t="s">
        <v>4574</v>
      </c>
      <c r="E3028" s="11" t="s">
        <v>4569</v>
      </c>
      <c r="F3028" t="str">
        <f t="shared" si="235"/>
        <v>13th</v>
      </c>
      <c r="G3028" t="str">
        <f t="shared" si="236"/>
        <v>13th2701Texas City</v>
      </c>
      <c r="H3028" t="s">
        <v>33886</v>
      </c>
      <c r="I3028" t="s">
        <v>25311</v>
      </c>
      <c r="J3028" t="str">
        <f t="shared" si="237"/>
        <v>E:\PropInv\MF</v>
      </c>
      <c r="K3028" s="103" t="str">
        <f>HYPERLINK("E:\PropInv\MF\Texas City\13th Ave N_2701_Baypointe Manor_Texas City_04246","13th Ave N_2701_Baypointe Manor_Texas City_04246" )</f>
        <v>13th Ave N_2701_Baypointe Manor_Texas City_04246</v>
      </c>
      <c r="L3028" s="104" t="s">
        <v>22253</v>
      </c>
      <c r="M3028" s="103" t="str">
        <f t="shared" si="238"/>
        <v>http://oconnordata.com/mlink/modules/profile/index.cfm?action=profile&amp;prop_id=4246</v>
      </c>
      <c r="N3028" s="1" t="str">
        <f t="shared" si="239"/>
        <v>04246</v>
      </c>
    </row>
    <row r="3029" spans="1:14" x14ac:dyDescent="0.3">
      <c r="A3029" s="1">
        <v>4247</v>
      </c>
      <c r="B3029" s="10" t="s">
        <v>4575</v>
      </c>
      <c r="C3029" s="9">
        <v>2602</v>
      </c>
      <c r="D3029" s="10" t="s">
        <v>4576</v>
      </c>
      <c r="E3029" s="11" t="s">
        <v>4569</v>
      </c>
      <c r="F3029" t="str">
        <f t="shared" si="235"/>
        <v>21st</v>
      </c>
      <c r="G3029" t="str">
        <f t="shared" si="236"/>
        <v>21st2602Texas City</v>
      </c>
      <c r="H3029" t="s">
        <v>33887</v>
      </c>
      <c r="I3029" t="s">
        <v>25312</v>
      </c>
      <c r="J3029" t="str">
        <f t="shared" si="237"/>
        <v>E:\PropInv\MF</v>
      </c>
      <c r="K3029" s="103" t="str">
        <f>HYPERLINK("E:\PropInv\MF\Texas City\21st St N_2602_Ashton Park I &amp; II_Texas City_04247","21st St N_2602_Ashton Park I &amp; II_Texas City_04247" )</f>
        <v>21st St N_2602_Ashton Park I &amp; II_Texas City_04247</v>
      </c>
      <c r="L3029" s="104" t="s">
        <v>22253</v>
      </c>
      <c r="M3029" s="103" t="str">
        <f t="shared" si="238"/>
        <v>http://oconnordata.com/mlink/modules/profile/index.cfm?action=profile&amp;prop_id=4247</v>
      </c>
      <c r="N3029" s="1" t="str">
        <f t="shared" si="239"/>
        <v>04247</v>
      </c>
    </row>
    <row r="3030" spans="1:14" x14ac:dyDescent="0.3">
      <c r="A3030" s="1">
        <v>4248</v>
      </c>
      <c r="B3030" s="10" t="s">
        <v>4577</v>
      </c>
      <c r="C3030" s="9">
        <v>3102</v>
      </c>
      <c r="D3030" s="10" t="s">
        <v>4578</v>
      </c>
      <c r="E3030" s="11" t="s">
        <v>4565</v>
      </c>
      <c r="F3030" t="str">
        <f t="shared" si="235"/>
        <v>69th</v>
      </c>
      <c r="G3030" t="str">
        <f t="shared" si="236"/>
        <v>69th3102Galveston</v>
      </c>
      <c r="H3030" t="s">
        <v>33888</v>
      </c>
      <c r="I3030" t="s">
        <v>25313</v>
      </c>
      <c r="J3030" t="str">
        <f t="shared" si="237"/>
        <v>E:\PropInv\MF</v>
      </c>
      <c r="K3030" s="103" t="str">
        <f>HYPERLINK("E:\PropInv\MF\Galveston\69th St_3102_Stewart's Landing_Galveston_04248","69th St_3102_Stewart's Landing_Galveston_04248" )</f>
        <v>69th St_3102_Stewart's Landing_Galveston_04248</v>
      </c>
      <c r="L3030" s="104" t="s">
        <v>22253</v>
      </c>
      <c r="M3030" s="103" t="str">
        <f t="shared" si="238"/>
        <v>http://oconnordata.com/mlink/modules/profile/index.cfm?action=profile&amp;prop_id=4248</v>
      </c>
      <c r="N3030" s="1" t="str">
        <f t="shared" si="239"/>
        <v>04248</v>
      </c>
    </row>
    <row r="3031" spans="1:14" x14ac:dyDescent="0.3">
      <c r="A3031" s="1">
        <v>4250</v>
      </c>
      <c r="B3031" s="10" t="s">
        <v>4176</v>
      </c>
      <c r="C3031" s="9">
        <v>4400</v>
      </c>
      <c r="D3031" s="10" t="s">
        <v>4579</v>
      </c>
      <c r="E3031" s="11" t="s">
        <v>4565</v>
      </c>
      <c r="F3031" t="str">
        <f t="shared" si="235"/>
        <v>Ave</v>
      </c>
      <c r="G3031" t="str">
        <f t="shared" si="236"/>
        <v>Ave4400Galveston</v>
      </c>
      <c r="H3031" t="s">
        <v>33889</v>
      </c>
      <c r="I3031" t="s">
        <v>25314</v>
      </c>
      <c r="J3031" t="str">
        <f t="shared" si="237"/>
        <v>E:\PropInv\MF</v>
      </c>
      <c r="K3031" s="103" t="str">
        <f>HYPERLINK("E:\PropInv\MF\Galveston\Ave N_4400_The Park at Cedar Lawn_Galveston_04250","Ave N_4400_The Park at Cedar Lawn_Galveston_04250" )</f>
        <v>Ave N_4400_The Park at Cedar Lawn_Galveston_04250</v>
      </c>
      <c r="L3031" s="104" t="s">
        <v>22253</v>
      </c>
      <c r="M3031" s="103" t="str">
        <f t="shared" si="238"/>
        <v>http://oconnordata.com/mlink/modules/profile/index.cfm?action=profile&amp;prop_id=4250</v>
      </c>
      <c r="N3031" s="1" t="str">
        <f t="shared" si="239"/>
        <v>04250</v>
      </c>
    </row>
    <row r="3032" spans="1:14" x14ac:dyDescent="0.3">
      <c r="A3032" s="97">
        <v>4251</v>
      </c>
      <c r="B3032" s="10" t="s">
        <v>4580</v>
      </c>
      <c r="C3032" s="9">
        <v>5010</v>
      </c>
      <c r="D3032" s="10" t="s">
        <v>4581</v>
      </c>
      <c r="E3032" s="11" t="s">
        <v>3428</v>
      </c>
      <c r="F3032" t="str">
        <f t="shared" si="235"/>
        <v>Sugar</v>
      </c>
      <c r="G3032" t="str">
        <f t="shared" si="236"/>
        <v>Sugar5010Stafford</v>
      </c>
      <c r="H3032" t="s">
        <v>33890</v>
      </c>
      <c r="I3032" t="s">
        <v>25315</v>
      </c>
      <c r="J3032" t="str">
        <f t="shared" si="237"/>
        <v>E:\PropInv\MF</v>
      </c>
      <c r="K3032" s="103" t="str">
        <f>HYPERLINK("E:\PropInv\MF\Stafford\Sugar Grove W Blvd_5010_Windfield TH_Stafford_04251","Sugar Grove W Blvd_5010_Windfield TH_Stafford_04251" )</f>
        <v>Sugar Grove W Blvd_5010_Windfield TH_Stafford_04251</v>
      </c>
      <c r="L3032" s="104" t="s">
        <v>22253</v>
      </c>
      <c r="M3032" s="103" t="str">
        <f t="shared" si="238"/>
        <v>http://oconnordata.com/mlink/modules/profile/index.cfm?action=profile&amp;prop_id=4251</v>
      </c>
      <c r="N3032" s="1" t="str">
        <f t="shared" si="239"/>
        <v>04251</v>
      </c>
    </row>
    <row r="3033" spans="1:14" x14ac:dyDescent="0.3">
      <c r="A3033" s="1">
        <v>4252</v>
      </c>
      <c r="B3033" s="10" t="s">
        <v>4582</v>
      </c>
      <c r="C3033" s="9">
        <v>12903</v>
      </c>
      <c r="D3033" s="10" t="s">
        <v>4583</v>
      </c>
      <c r="E3033" s="11" t="s">
        <v>3428</v>
      </c>
      <c r="F3033" t="str">
        <f t="shared" si="235"/>
        <v>Sugar</v>
      </c>
      <c r="G3033" t="str">
        <f t="shared" si="236"/>
        <v>Sugar12903Stafford</v>
      </c>
      <c r="H3033" t="s">
        <v>33891</v>
      </c>
      <c r="I3033" t="s">
        <v>25316</v>
      </c>
      <c r="J3033" t="str">
        <f t="shared" si="237"/>
        <v>E:\PropInv\MF</v>
      </c>
      <c r="K3033" s="103" t="str">
        <f>HYPERLINK("E:\PropInv\MF\Stafford\Sugar Ridge Blvd_12903_Sugar Ridge II_Stafford_04252","Sugar Ridge Blvd_12903_Sugar Ridge II_Stafford_04252" )</f>
        <v>Sugar Ridge Blvd_12903_Sugar Ridge II_Stafford_04252</v>
      </c>
      <c r="L3033" s="104" t="s">
        <v>22253</v>
      </c>
      <c r="M3033" s="103" t="str">
        <f t="shared" si="238"/>
        <v>http://oconnordata.com/mlink/modules/profile/index.cfm?action=profile&amp;prop_id=4252</v>
      </c>
      <c r="N3033" s="1" t="str">
        <f t="shared" si="239"/>
        <v>04252</v>
      </c>
    </row>
    <row r="3034" spans="1:14" x14ac:dyDescent="0.3">
      <c r="A3034" s="1">
        <v>4253</v>
      </c>
      <c r="B3034" s="10" t="s">
        <v>4582</v>
      </c>
      <c r="C3034" s="9">
        <v>12903</v>
      </c>
      <c r="D3034" s="10" t="s">
        <v>4584</v>
      </c>
      <c r="E3034" s="11" t="s">
        <v>3428</v>
      </c>
      <c r="F3034" t="str">
        <f t="shared" si="235"/>
        <v>Sugar</v>
      </c>
      <c r="G3034" t="str">
        <f t="shared" si="236"/>
        <v>Sugar12903Stafford</v>
      </c>
      <c r="H3034" t="s">
        <v>33892</v>
      </c>
      <c r="I3034" t="s">
        <v>25317</v>
      </c>
      <c r="J3034" t="str">
        <f t="shared" si="237"/>
        <v>E:\PropInv\MF</v>
      </c>
      <c r="K3034" s="103" t="str">
        <f>HYPERLINK("E:\PropInv\MF\Stafford\Sugar Ridge Blvd_12903_Sugar Ridge I_Stafford_04253","Sugar Ridge Blvd_12903_Sugar Ridge I_Stafford_04253" )</f>
        <v>Sugar Ridge Blvd_12903_Sugar Ridge I_Stafford_04253</v>
      </c>
      <c r="L3034" s="104" t="s">
        <v>22253</v>
      </c>
      <c r="M3034" s="103" t="str">
        <f t="shared" si="238"/>
        <v>http://oconnordata.com/mlink/modules/profile/index.cfm?action=profile&amp;prop_id=4253</v>
      </c>
      <c r="N3034" s="1" t="str">
        <f t="shared" si="239"/>
        <v>04253</v>
      </c>
    </row>
    <row r="3035" spans="1:14" x14ac:dyDescent="0.3">
      <c r="A3035" s="1">
        <v>4254</v>
      </c>
      <c r="B3035" s="10" t="s">
        <v>4585</v>
      </c>
      <c r="C3035" s="9">
        <v>6424</v>
      </c>
      <c r="D3035" s="10" t="s">
        <v>4586</v>
      </c>
      <c r="E3035" s="11" t="s">
        <v>4565</v>
      </c>
      <c r="F3035" t="str">
        <f t="shared" si="235"/>
        <v>Central</v>
      </c>
      <c r="G3035" t="str">
        <f t="shared" si="236"/>
        <v>Central6424Galveston</v>
      </c>
      <c r="H3035" t="s">
        <v>33893</v>
      </c>
      <c r="I3035" t="s">
        <v>25318</v>
      </c>
      <c r="J3035" t="str">
        <f t="shared" si="237"/>
        <v>E:\PropInv\MF</v>
      </c>
      <c r="K3035" s="103" t="str">
        <f>HYPERLINK("E:\PropInv\MF\Galveston\Central City Blvd_6424_Village by the Sea_Galveston_04254","Central City Blvd_6424_Village by the Sea_Galveston_04254" )</f>
        <v>Central City Blvd_6424_Village by the Sea_Galveston_04254</v>
      </c>
      <c r="L3035" s="104" t="s">
        <v>22253</v>
      </c>
      <c r="M3035" s="103" t="str">
        <f t="shared" si="238"/>
        <v>http://oconnordata.com/mlink/modules/profile/index.cfm?action=profile&amp;prop_id=4254</v>
      </c>
      <c r="N3035" s="1" t="str">
        <f t="shared" si="239"/>
        <v>04254</v>
      </c>
    </row>
    <row r="3036" spans="1:14" x14ac:dyDescent="0.3">
      <c r="A3036" s="1">
        <v>4255</v>
      </c>
      <c r="B3036" s="10" t="s">
        <v>4585</v>
      </c>
      <c r="C3036" s="9">
        <v>6315</v>
      </c>
      <c r="D3036" s="10" t="s">
        <v>4587</v>
      </c>
      <c r="E3036" s="11" t="s">
        <v>4565</v>
      </c>
      <c r="F3036" t="str">
        <f t="shared" si="235"/>
        <v>Central</v>
      </c>
      <c r="G3036" t="str">
        <f t="shared" si="236"/>
        <v>Central6315Galveston</v>
      </c>
      <c r="H3036" t="s">
        <v>33894</v>
      </c>
      <c r="I3036" t="s">
        <v>25319</v>
      </c>
      <c r="J3036" t="str">
        <f t="shared" si="237"/>
        <v>E:\PropInv\MF</v>
      </c>
      <c r="K3036" s="103" t="str">
        <f>HYPERLINK("E:\PropInv\MF\Galveston\Central City Blvd_6315_The Broadwater_Galveston_04255","Central City Blvd_6315_The Broadwater_Galveston_04255" )</f>
        <v>Central City Blvd_6315_The Broadwater_Galveston_04255</v>
      </c>
      <c r="L3036" s="104" t="s">
        <v>22253</v>
      </c>
      <c r="M3036" s="103" t="str">
        <f t="shared" si="238"/>
        <v>http://oconnordata.com/mlink/modules/profile/index.cfm?action=profile&amp;prop_id=4255</v>
      </c>
      <c r="N3036" s="1" t="str">
        <f t="shared" si="239"/>
        <v>04255</v>
      </c>
    </row>
    <row r="3037" spans="1:14" x14ac:dyDescent="0.3">
      <c r="A3037" s="1">
        <v>4256</v>
      </c>
      <c r="B3037" s="10" t="s">
        <v>4588</v>
      </c>
      <c r="C3037" s="9">
        <v>107</v>
      </c>
      <c r="D3037" s="10" t="s">
        <v>4589</v>
      </c>
      <c r="E3037" s="11" t="s">
        <v>4297</v>
      </c>
      <c r="F3037" t="str">
        <f t="shared" si="235"/>
        <v>Clearview</v>
      </c>
      <c r="G3037" t="str">
        <f t="shared" si="236"/>
        <v>Clearview107Friendswood</v>
      </c>
      <c r="H3037" t="s">
        <v>33895</v>
      </c>
      <c r="I3037" t="s">
        <v>25320</v>
      </c>
      <c r="J3037" t="str">
        <f t="shared" si="237"/>
        <v>E:\PropInv\MF</v>
      </c>
      <c r="K3037" s="103" t="str">
        <f>HYPERLINK("E:\PropInv\MF\Friendswood\Clearview_107_Salem Square_Friendswood_04256","Clearview_107_Salem Square_Friendswood_04256" )</f>
        <v>Clearview_107_Salem Square_Friendswood_04256</v>
      </c>
      <c r="L3037" s="104" t="s">
        <v>22253</v>
      </c>
      <c r="M3037" s="103" t="str">
        <f t="shared" si="238"/>
        <v>http://oconnordata.com/mlink/modules/profile/index.cfm?action=profile&amp;prop_id=4256</v>
      </c>
      <c r="N3037" s="1" t="str">
        <f t="shared" si="239"/>
        <v>04256</v>
      </c>
    </row>
    <row r="3038" spans="1:14" x14ac:dyDescent="0.3">
      <c r="A3038" s="1">
        <v>4257</v>
      </c>
      <c r="B3038" s="10" t="s">
        <v>4547</v>
      </c>
      <c r="C3038" s="9">
        <v>10500</v>
      </c>
      <c r="D3038" s="10" t="s">
        <v>4590</v>
      </c>
      <c r="E3038" s="11" t="s">
        <v>3428</v>
      </c>
      <c r="F3038" t="str">
        <f t="shared" si="235"/>
        <v>Fountain</v>
      </c>
      <c r="G3038" t="str">
        <f t="shared" si="236"/>
        <v>Fountain10500Stafford</v>
      </c>
      <c r="H3038" t="s">
        <v>33896</v>
      </c>
      <c r="I3038" t="s">
        <v>25321</v>
      </c>
      <c r="J3038" t="str">
        <f t="shared" si="237"/>
        <v>E:\PropInv\MF</v>
      </c>
      <c r="K3038" s="103" t="str">
        <f>HYPERLINK("E:\PropInv\MF\Stafford\Fountain Lake Dr_10500_The Reserve at Fountain Lake_Stafford_04257","Fountain Lake Dr_10500_The Reserve at Fountain Lake_Stafford_04257" )</f>
        <v>Fountain Lake Dr_10500_The Reserve at Fountain Lake_Stafford_04257</v>
      </c>
      <c r="L3038" s="104" t="s">
        <v>22253</v>
      </c>
      <c r="M3038" s="103" t="str">
        <f t="shared" si="238"/>
        <v>http://oconnordata.com/mlink/modules/profile/index.cfm?action=profile&amp;prop_id=4257</v>
      </c>
      <c r="N3038" s="1" t="str">
        <f t="shared" si="239"/>
        <v>04257</v>
      </c>
    </row>
    <row r="3039" spans="1:14" x14ac:dyDescent="0.3">
      <c r="A3039" s="1">
        <v>4258</v>
      </c>
      <c r="B3039" s="7" t="s">
        <v>4547</v>
      </c>
      <c r="C3039" s="12">
        <v>10498</v>
      </c>
      <c r="D3039" s="7" t="s">
        <v>4591</v>
      </c>
      <c r="E3039" s="13" t="s">
        <v>3428</v>
      </c>
      <c r="F3039" t="str">
        <f t="shared" si="235"/>
        <v>Fountain</v>
      </c>
      <c r="G3039" t="str">
        <f t="shared" si="236"/>
        <v>Fountain10498Stafford</v>
      </c>
      <c r="H3039" t="s">
        <v>33897</v>
      </c>
      <c r="I3039" t="s">
        <v>25322</v>
      </c>
      <c r="J3039" t="str">
        <f t="shared" si="237"/>
        <v>E:\PropInv\MF</v>
      </c>
      <c r="K3039" s="103" t="str">
        <f>HYPERLINK("E:\PropInv\MF\Stafford\Fountain Lake Dr_10498_Alexan Fountain Lake_Stafford_04258","Fountain Lake Dr_10498_Alexan Fountain Lake_Stafford_04258" )</f>
        <v>Fountain Lake Dr_10498_Alexan Fountain Lake_Stafford_04258</v>
      </c>
      <c r="L3039" s="104" t="s">
        <v>22253</v>
      </c>
      <c r="M3039" s="103" t="str">
        <f t="shared" si="238"/>
        <v>http://oconnordata.com/mlink/modules/profile/index.cfm?action=profile&amp;prop_id=4258</v>
      </c>
      <c r="N3039" s="1" t="str">
        <f t="shared" si="239"/>
        <v>04258</v>
      </c>
    </row>
    <row r="3040" spans="1:14" x14ac:dyDescent="0.3">
      <c r="A3040" s="1">
        <v>4259</v>
      </c>
      <c r="B3040" s="7" t="s">
        <v>4592</v>
      </c>
      <c r="C3040" s="12">
        <v>2020</v>
      </c>
      <c r="D3040" s="7" t="s">
        <v>4593</v>
      </c>
      <c r="E3040" s="13" t="s">
        <v>2675</v>
      </c>
      <c r="F3040" t="str">
        <f t="shared" si="235"/>
        <v>Rocky</v>
      </c>
      <c r="G3040" t="str">
        <f t="shared" si="236"/>
        <v>Rocky2020Richmond</v>
      </c>
      <c r="H3040" t="s">
        <v>33898</v>
      </c>
      <c r="I3040" t="s">
        <v>25323</v>
      </c>
      <c r="J3040" t="str">
        <f t="shared" si="237"/>
        <v>E:\PropInv\MF</v>
      </c>
      <c r="K3040" s="103" t="str">
        <f>HYPERLINK("E:\PropInv\MF\Richmond\Rocky Falls_2020_Brazos Bend Villa_Richmond_04259","Rocky Falls_2020_Brazos Bend Villa_Richmond_04259" )</f>
        <v>Rocky Falls_2020_Brazos Bend Villa_Richmond_04259</v>
      </c>
      <c r="L3040" s="104" t="s">
        <v>22253</v>
      </c>
      <c r="M3040" s="103" t="str">
        <f t="shared" si="238"/>
        <v>http://oconnordata.com/mlink/modules/profile/index.cfm?action=profile&amp;prop_id=4259</v>
      </c>
      <c r="N3040" s="1" t="str">
        <f t="shared" si="239"/>
        <v>04259</v>
      </c>
    </row>
    <row r="3041" spans="1:14" x14ac:dyDescent="0.3">
      <c r="A3041" s="1">
        <v>4260</v>
      </c>
      <c r="B3041" s="7" t="s">
        <v>4594</v>
      </c>
      <c r="C3041" s="12">
        <v>2111</v>
      </c>
      <c r="D3041" s="7" t="s">
        <v>4595</v>
      </c>
      <c r="E3041" s="13" t="s">
        <v>2675</v>
      </c>
      <c r="F3041" t="str">
        <f t="shared" si="235"/>
        <v>Thompson</v>
      </c>
      <c r="G3041" t="str">
        <f t="shared" si="236"/>
        <v>Thompson2111Richmond</v>
      </c>
      <c r="H3041" t="s">
        <v>33899</v>
      </c>
      <c r="I3041" t="s">
        <v>25324</v>
      </c>
      <c r="J3041" t="str">
        <f t="shared" si="237"/>
        <v>E:\PropInv\MF</v>
      </c>
      <c r="K3041" s="103" t="str">
        <f>HYPERLINK("E:\PropInv\MF\Richmond\Thompson Rd_2111_Town &amp; Country_Richmond_04260","Thompson Rd_2111_Town &amp; Country_Richmond_04260" )</f>
        <v>Thompson Rd_2111_Town &amp; Country_Richmond_04260</v>
      </c>
      <c r="L3041" s="104" t="s">
        <v>22253</v>
      </c>
      <c r="M3041" s="103" t="str">
        <f t="shared" si="238"/>
        <v>http://oconnordata.com/mlink/modules/profile/index.cfm?action=profile&amp;prop_id=4260</v>
      </c>
      <c r="N3041" s="1" t="str">
        <f t="shared" si="239"/>
        <v>04260</v>
      </c>
    </row>
    <row r="3042" spans="1:14" x14ac:dyDescent="0.3">
      <c r="A3042" s="1">
        <v>4261</v>
      </c>
      <c r="B3042" s="7" t="s">
        <v>4596</v>
      </c>
      <c r="C3042" s="12">
        <v>1217</v>
      </c>
      <c r="D3042" s="7" t="s">
        <v>4597</v>
      </c>
      <c r="E3042" s="13" t="s">
        <v>4428</v>
      </c>
      <c r="F3042" t="str">
        <f t="shared" si="235"/>
        <v>Westwood</v>
      </c>
      <c r="G3042" t="str">
        <f t="shared" si="236"/>
        <v>Westwood1217Rosenberg</v>
      </c>
      <c r="H3042" t="s">
        <v>33900</v>
      </c>
      <c r="I3042" t="s">
        <v>25325</v>
      </c>
      <c r="J3042" t="str">
        <f t="shared" si="237"/>
        <v>E:\PropInv\MF</v>
      </c>
      <c r="K3042" s="103" t="str">
        <f>HYPERLINK("E:\PropInv\MF\Rosenberg\Westwood Dr_1217_Pecan Park_Rosenberg_04261","Westwood Dr_1217_Pecan Park_Rosenberg_04261" )</f>
        <v>Westwood Dr_1217_Pecan Park_Rosenberg_04261</v>
      </c>
      <c r="L3042" s="104" t="s">
        <v>22253</v>
      </c>
      <c r="M3042" s="103" t="str">
        <f t="shared" si="238"/>
        <v>http://oconnordata.com/mlink/modules/profile/index.cfm?action=profile&amp;prop_id=4261</v>
      </c>
      <c r="N3042" s="1" t="str">
        <f t="shared" si="239"/>
        <v>04261</v>
      </c>
    </row>
    <row r="3043" spans="1:14" x14ac:dyDescent="0.3">
      <c r="A3043" s="1">
        <v>4264</v>
      </c>
      <c r="B3043" s="7" t="s">
        <v>4598</v>
      </c>
      <c r="C3043" s="12">
        <v>2020</v>
      </c>
      <c r="D3043" s="7" t="s">
        <v>4599</v>
      </c>
      <c r="E3043" s="13" t="s">
        <v>4569</v>
      </c>
      <c r="F3043" t="str">
        <f t="shared" si="235"/>
        <v>36th</v>
      </c>
      <c r="G3043" t="str">
        <f t="shared" si="236"/>
        <v>36th2020Texas City</v>
      </c>
      <c r="H3043" t="s">
        <v>33901</v>
      </c>
      <c r="I3043" t="s">
        <v>25326</v>
      </c>
      <c r="J3043" t="str">
        <f t="shared" si="237"/>
        <v>E:\PropInv\MF</v>
      </c>
      <c r="K3043" s="103" t="str">
        <f>HYPERLINK("E:\PropInv\MF\Texas City\36th St N_2020_Los Cabos_Texas City_04264","36th St N_2020_Los Cabos_Texas City_04264" )</f>
        <v>36th St N_2020_Los Cabos_Texas City_04264</v>
      </c>
      <c r="L3043" s="104" t="s">
        <v>22253</v>
      </c>
      <c r="M3043" s="103" t="str">
        <f t="shared" si="238"/>
        <v>http://oconnordata.com/mlink/modules/profile/index.cfm?action=profile&amp;prop_id=4264</v>
      </c>
      <c r="N3043" s="1" t="str">
        <f t="shared" si="239"/>
        <v>04264</v>
      </c>
    </row>
    <row r="3044" spans="1:14" x14ac:dyDescent="0.3">
      <c r="A3044" s="1">
        <v>4265</v>
      </c>
      <c r="B3044" s="7" t="s">
        <v>4577</v>
      </c>
      <c r="C3044" s="12">
        <v>3222</v>
      </c>
      <c r="D3044" s="7" t="s">
        <v>4600</v>
      </c>
      <c r="E3044" s="13" t="s">
        <v>4565</v>
      </c>
      <c r="F3044" t="str">
        <f t="shared" si="235"/>
        <v>69th</v>
      </c>
      <c r="G3044" t="str">
        <f t="shared" si="236"/>
        <v>69th3222Galveston</v>
      </c>
      <c r="H3044" t="s">
        <v>33902</v>
      </c>
      <c r="I3044" t="s">
        <v>25327</v>
      </c>
      <c r="J3044" t="str">
        <f t="shared" si="237"/>
        <v>E:\PropInv\MF</v>
      </c>
      <c r="K3044" s="103" t="str">
        <f>HYPERLINK("E:\PropInv\MF\Galveston\69th St_3222_Newport at West Beach_Galveston_04265","69th St_3222_Newport at West Beach_Galveston_04265" )</f>
        <v>69th St_3222_Newport at West Beach_Galveston_04265</v>
      </c>
      <c r="L3044" s="104" t="s">
        <v>22253</v>
      </c>
      <c r="M3044" s="103" t="str">
        <f t="shared" si="238"/>
        <v>http://oconnordata.com/mlink/modules/profile/index.cfm?action=profile&amp;prop_id=4265</v>
      </c>
      <c r="N3044" s="1" t="str">
        <f t="shared" si="239"/>
        <v>04265</v>
      </c>
    </row>
    <row r="3045" spans="1:14" x14ac:dyDescent="0.3">
      <c r="A3045" s="1">
        <v>4266</v>
      </c>
      <c r="B3045" s="7" t="s">
        <v>4570</v>
      </c>
      <c r="C3045" s="12">
        <v>3501</v>
      </c>
      <c r="D3045" s="7" t="s">
        <v>2224</v>
      </c>
      <c r="E3045" s="13" t="s">
        <v>4569</v>
      </c>
      <c r="F3045" t="str">
        <f t="shared" si="235"/>
        <v>25th</v>
      </c>
      <c r="G3045" t="str">
        <f t="shared" si="236"/>
        <v>25th3501Texas City</v>
      </c>
      <c r="H3045" t="s">
        <v>33903</v>
      </c>
      <c r="I3045" t="s">
        <v>25328</v>
      </c>
      <c r="J3045" t="str">
        <f t="shared" si="237"/>
        <v>E:\PropInv\MF</v>
      </c>
      <c r="K3045" s="103" t="str">
        <f>HYPERLINK("E:\PropInv\MF\Texas City\25th Ave N_3501_Green Meadows_Texas City_04266","25th Ave N_3501_Green Meadows_Texas City_04266" )</f>
        <v>25th Ave N_3501_Green Meadows_Texas City_04266</v>
      </c>
      <c r="L3045" s="104" t="s">
        <v>22253</v>
      </c>
      <c r="M3045" s="103" t="str">
        <f t="shared" si="238"/>
        <v>http://oconnordata.com/mlink/modules/profile/index.cfm?action=profile&amp;prop_id=4266</v>
      </c>
      <c r="N3045" s="1" t="str">
        <f t="shared" si="239"/>
        <v>04266</v>
      </c>
    </row>
    <row r="3046" spans="1:14" x14ac:dyDescent="0.3">
      <c r="A3046" s="1">
        <v>4267</v>
      </c>
      <c r="B3046" s="7" t="s">
        <v>4601</v>
      </c>
      <c r="C3046" s="12">
        <v>1403</v>
      </c>
      <c r="D3046" s="7" t="s">
        <v>3795</v>
      </c>
      <c r="E3046" s="13" t="s">
        <v>4569</v>
      </c>
      <c r="F3046" t="str">
        <f t="shared" si="235"/>
        <v>25th</v>
      </c>
      <c r="G3046" t="str">
        <f t="shared" si="236"/>
        <v>25th1403Texas City</v>
      </c>
      <c r="H3046" t="s">
        <v>33904</v>
      </c>
      <c r="I3046" t="s">
        <v>25329</v>
      </c>
      <c r="J3046" t="str">
        <f t="shared" si="237"/>
        <v>E:\PropInv\MF</v>
      </c>
      <c r="K3046" s="103" t="str">
        <f>HYPERLINK("E:\PropInv\MF\Texas City\25th St N_1403_Parkwood_Texas City_04267","25th St N_1403_Parkwood_Texas City_04267" )</f>
        <v>25th St N_1403_Parkwood_Texas City_04267</v>
      </c>
      <c r="L3046" s="104" t="s">
        <v>22253</v>
      </c>
      <c r="M3046" s="103" t="str">
        <f t="shared" si="238"/>
        <v>http://oconnordata.com/mlink/modules/profile/index.cfm?action=profile&amp;prop_id=4267</v>
      </c>
      <c r="N3046" s="1" t="str">
        <f t="shared" si="239"/>
        <v>04267</v>
      </c>
    </row>
    <row r="3047" spans="1:14" x14ac:dyDescent="0.3">
      <c r="A3047" s="1">
        <v>4268</v>
      </c>
      <c r="B3047" s="7" t="s">
        <v>4602</v>
      </c>
      <c r="C3047" s="12">
        <v>1320</v>
      </c>
      <c r="D3047" s="7" t="s">
        <v>4603</v>
      </c>
      <c r="E3047" s="13" t="s">
        <v>4569</v>
      </c>
      <c r="F3047" t="str">
        <f t="shared" si="235"/>
        <v>31st</v>
      </c>
      <c r="G3047" t="str">
        <f t="shared" si="236"/>
        <v>31st1320Texas City</v>
      </c>
      <c r="H3047" t="s">
        <v>33905</v>
      </c>
      <c r="I3047" t="s">
        <v>25330</v>
      </c>
      <c r="J3047" t="str">
        <f t="shared" si="237"/>
        <v>E:\PropInv\MF</v>
      </c>
      <c r="K3047" s="103" t="str">
        <f>HYPERLINK("E:\PropInv\MF\Texas City\31st St N_1320_Gulf Royale_Texas City_04268","31st St N_1320_Gulf Royale_Texas City_04268" )</f>
        <v>31st St N_1320_Gulf Royale_Texas City_04268</v>
      </c>
      <c r="L3047" s="104" t="s">
        <v>22253</v>
      </c>
      <c r="M3047" s="103" t="str">
        <f t="shared" si="238"/>
        <v>http://oconnordata.com/mlink/modules/profile/index.cfm?action=profile&amp;prop_id=4268</v>
      </c>
      <c r="N3047" s="1" t="str">
        <f t="shared" si="239"/>
        <v>04268</v>
      </c>
    </row>
    <row r="3048" spans="1:14" x14ac:dyDescent="0.3">
      <c r="A3048" s="1">
        <v>4269</v>
      </c>
      <c r="B3048" s="10" t="s">
        <v>4604</v>
      </c>
      <c r="C3048" s="9">
        <v>4818</v>
      </c>
      <c r="D3048" s="10" t="s">
        <v>4605</v>
      </c>
      <c r="E3048" s="11" t="s">
        <v>4565</v>
      </c>
      <c r="F3048" t="str">
        <f t="shared" si="235"/>
        <v>Ave</v>
      </c>
      <c r="G3048" t="str">
        <f t="shared" si="236"/>
        <v>Ave4818Galveston</v>
      </c>
      <c r="H3048" t="s">
        <v>33906</v>
      </c>
      <c r="I3048" t="s">
        <v>25331</v>
      </c>
      <c r="J3048" t="str">
        <f t="shared" si="237"/>
        <v>E:\PropInv\MF</v>
      </c>
      <c r="K3048" s="103" t="str">
        <f>HYPERLINK("E:\PropInv\MF\Galveston\Ave .5 R_4818_William B Travis_Galveston_04269","Ave .5 R_4818_William B Travis_Galveston_04269" )</f>
        <v>Ave .5 R_4818_William B Travis_Galveston_04269</v>
      </c>
      <c r="L3048" s="104" t="s">
        <v>22253</v>
      </c>
      <c r="M3048" s="103" t="str">
        <f t="shared" si="238"/>
        <v>http://oconnordata.com/mlink/modules/profile/index.cfm?action=profile&amp;prop_id=4269</v>
      </c>
      <c r="N3048" s="1" t="str">
        <f t="shared" si="239"/>
        <v>04269</v>
      </c>
    </row>
    <row r="3049" spans="1:14" x14ac:dyDescent="0.3">
      <c r="A3049" s="1">
        <v>4274</v>
      </c>
      <c r="B3049" s="10" t="s">
        <v>4606</v>
      </c>
      <c r="C3049" s="9">
        <v>501</v>
      </c>
      <c r="D3049" s="10" t="s">
        <v>4607</v>
      </c>
      <c r="E3049" s="11" t="s">
        <v>4563</v>
      </c>
      <c r="F3049" t="str">
        <f t="shared" si="235"/>
        <v>Davis</v>
      </c>
      <c r="G3049" t="str">
        <f t="shared" si="236"/>
        <v>Davis501League City</v>
      </c>
      <c r="H3049" t="s">
        <v>33907</v>
      </c>
      <c r="I3049" t="s">
        <v>25332</v>
      </c>
      <c r="J3049" t="str">
        <f t="shared" si="237"/>
        <v>E:\PropInv\MF</v>
      </c>
      <c r="K3049" s="103" t="str">
        <f>HYPERLINK("E:\PropInv\MF\League City\Davis Rd_501_The Crow's Nest_League City_04274","Davis Rd_501_The Crow's Nest_League City_04274" )</f>
        <v>Davis Rd_501_The Crow's Nest_League City_04274</v>
      </c>
      <c r="L3049" s="104" t="s">
        <v>22253</v>
      </c>
      <c r="M3049" s="103" t="str">
        <f t="shared" si="238"/>
        <v>http://oconnordata.com/mlink/modules/profile/index.cfm?action=profile&amp;prop_id=4274</v>
      </c>
      <c r="N3049" s="1" t="str">
        <f t="shared" si="239"/>
        <v>04274</v>
      </c>
    </row>
    <row r="3050" spans="1:14" x14ac:dyDescent="0.3">
      <c r="A3050" s="1">
        <v>4275</v>
      </c>
      <c r="B3050" s="10" t="s">
        <v>4608</v>
      </c>
      <c r="C3050" s="9">
        <v>3045</v>
      </c>
      <c r="D3050" s="10" t="s">
        <v>4609</v>
      </c>
      <c r="E3050" s="11" t="s">
        <v>4563</v>
      </c>
      <c r="F3050" t="str">
        <f t="shared" si="235"/>
        <v>Marina</v>
      </c>
      <c r="G3050" t="str">
        <f t="shared" si="236"/>
        <v>Marina3045League City</v>
      </c>
      <c r="H3050" t="s">
        <v>33908</v>
      </c>
      <c r="I3050" t="s">
        <v>25333</v>
      </c>
      <c r="J3050" t="str">
        <f t="shared" si="237"/>
        <v>E:\PropInv\MF</v>
      </c>
      <c r="K3050" s="103" t="str">
        <f>HYPERLINK("E:\PropInv\MF\League City\Marina Bay Dr_3045_Fairways at South Shore Condo Apts_League City_04275","Marina Bay Dr_3045_Fairways at South Shore Condo Apts_League City_04275" )</f>
        <v>Marina Bay Dr_3045_Fairways at South Shore Condo Apts_League City_04275</v>
      </c>
      <c r="L3050" s="104" t="s">
        <v>22253</v>
      </c>
      <c r="M3050" s="103" t="str">
        <f t="shared" si="238"/>
        <v>http://oconnordata.com/mlink/modules/profile/index.cfm?action=profile&amp;prop_id=4275</v>
      </c>
      <c r="N3050" s="1" t="str">
        <f t="shared" si="239"/>
        <v>04275</v>
      </c>
    </row>
    <row r="3051" spans="1:14" x14ac:dyDescent="0.3">
      <c r="A3051" s="1">
        <v>4276</v>
      </c>
      <c r="B3051" s="10" t="s">
        <v>4610</v>
      </c>
      <c r="C3051" s="9">
        <v>3001</v>
      </c>
      <c r="D3051" s="10" t="s">
        <v>4611</v>
      </c>
      <c r="E3051" s="11" t="s">
        <v>4563</v>
      </c>
      <c r="F3051" t="str">
        <f t="shared" si="235"/>
        <v>96</v>
      </c>
      <c r="G3051" t="str">
        <f t="shared" si="236"/>
        <v>963001League City</v>
      </c>
      <c r="H3051" t="s">
        <v>33909</v>
      </c>
      <c r="I3051" t="s">
        <v>25334</v>
      </c>
      <c r="J3051" t="str">
        <f t="shared" si="237"/>
        <v>E:\PropInv\MF</v>
      </c>
      <c r="K3051" s="103" t="str">
        <f>HYPERLINK("E:\PropInv\MF\League City\96 Hwy_3001_Bayridge_League City_04276","96 Hwy_3001_Bayridge_League City_04276" )</f>
        <v>96 Hwy_3001_Bayridge_League City_04276</v>
      </c>
      <c r="L3051" s="104" t="s">
        <v>22253</v>
      </c>
      <c r="M3051" s="103" t="str">
        <f t="shared" si="238"/>
        <v>http://oconnordata.com/mlink/modules/profile/index.cfm?action=profile&amp;prop_id=4276</v>
      </c>
      <c r="N3051" s="1" t="str">
        <f t="shared" si="239"/>
        <v>04276</v>
      </c>
    </row>
    <row r="3052" spans="1:14" x14ac:dyDescent="0.3">
      <c r="A3052" s="1">
        <v>4279</v>
      </c>
      <c r="B3052" s="7" t="s">
        <v>4612</v>
      </c>
      <c r="C3052" s="12">
        <v>729</v>
      </c>
      <c r="D3052" s="7" t="s">
        <v>4613</v>
      </c>
      <c r="E3052" s="13" t="s">
        <v>4569</v>
      </c>
      <c r="F3052" t="str">
        <f t="shared" si="235"/>
        <v>5th</v>
      </c>
      <c r="G3052" t="str">
        <f t="shared" si="236"/>
        <v>5th729Texas City</v>
      </c>
      <c r="H3052" t="s">
        <v>33910</v>
      </c>
      <c r="I3052" t="s">
        <v>25335</v>
      </c>
      <c r="J3052" t="str">
        <f t="shared" si="237"/>
        <v>E:\PropInv\MF</v>
      </c>
      <c r="K3052" s="103" t="str">
        <f>HYPERLINK("E:\PropInv\MF\Texas City\5th Ave N_729_Mae's Apts_Texas City_04279","5th Ave N_729_Mae's Apts_Texas City_04279" )</f>
        <v>5th Ave N_729_Mae's Apts_Texas City_04279</v>
      </c>
      <c r="L3052" s="104" t="s">
        <v>22253</v>
      </c>
      <c r="M3052" s="103" t="str">
        <f t="shared" si="238"/>
        <v>http://oconnordata.com/mlink/modules/profile/index.cfm?action=profile&amp;prop_id=4279</v>
      </c>
      <c r="N3052" s="1" t="str">
        <f t="shared" si="239"/>
        <v>04279</v>
      </c>
    </row>
    <row r="3053" spans="1:14" x14ac:dyDescent="0.3">
      <c r="A3053" s="1">
        <v>4280</v>
      </c>
      <c r="B3053" s="7" t="s">
        <v>4614</v>
      </c>
      <c r="C3053" s="12">
        <v>3404</v>
      </c>
      <c r="D3053" s="7" t="s">
        <v>407</v>
      </c>
      <c r="E3053" s="13" t="s">
        <v>4569</v>
      </c>
      <c r="F3053" t="str">
        <f t="shared" si="235"/>
        <v>9th</v>
      </c>
      <c r="G3053" t="str">
        <f t="shared" si="236"/>
        <v>9th3404Texas City</v>
      </c>
      <c r="H3053" t="s">
        <v>33911</v>
      </c>
      <c r="I3053" t="s">
        <v>25336</v>
      </c>
      <c r="J3053" t="str">
        <f t="shared" si="237"/>
        <v>E:\PropInv\MF</v>
      </c>
      <c r="K3053" s="103" t="str">
        <f>HYPERLINK("E:\PropInv\MF\Texas City\9th Ave N N_3404_Sundance_Texas City_04280","9th Ave N N_3404_Sundance_Texas City_04280" )</f>
        <v>9th Ave N N_3404_Sundance_Texas City_04280</v>
      </c>
      <c r="L3053" s="104" t="s">
        <v>22253</v>
      </c>
      <c r="M3053" s="103" t="str">
        <f t="shared" si="238"/>
        <v>http://oconnordata.com/mlink/modules/profile/index.cfm?action=profile&amp;prop_id=4280</v>
      </c>
      <c r="N3053" s="1" t="str">
        <f t="shared" si="239"/>
        <v>04280</v>
      </c>
    </row>
    <row r="3054" spans="1:14" x14ac:dyDescent="0.3">
      <c r="A3054" s="1">
        <v>4281</v>
      </c>
      <c r="B3054" s="7" t="s">
        <v>152</v>
      </c>
      <c r="C3054" s="12">
        <v>1000</v>
      </c>
      <c r="D3054" s="7" t="s">
        <v>4615</v>
      </c>
      <c r="E3054" s="13" t="s">
        <v>4616</v>
      </c>
      <c r="F3054" t="str">
        <f t="shared" si="235"/>
        <v>1st</v>
      </c>
      <c r="G3054" t="str">
        <f t="shared" si="236"/>
        <v>1st1000Conroe</v>
      </c>
      <c r="H3054" t="s">
        <v>33912</v>
      </c>
      <c r="I3054" t="s">
        <v>25337</v>
      </c>
      <c r="J3054" t="str">
        <f t="shared" si="237"/>
        <v>E:\PropInv\MF</v>
      </c>
      <c r="K3054" s="103" t="str">
        <f>HYPERLINK("E:\PropInv\MF\Conroe\1st St S_1000_Rosewood_Conroe_04281","1st St S_1000_Rosewood_Conroe_04281" )</f>
        <v>1st St S_1000_Rosewood_Conroe_04281</v>
      </c>
      <c r="L3054" s="104" t="s">
        <v>22253</v>
      </c>
      <c r="M3054" s="103" t="str">
        <f t="shared" si="238"/>
        <v>http://oconnordata.com/mlink/modules/profile/index.cfm?action=profile&amp;prop_id=4281</v>
      </c>
      <c r="N3054" s="1" t="str">
        <f t="shared" si="239"/>
        <v>04281</v>
      </c>
    </row>
    <row r="3055" spans="1:14" x14ac:dyDescent="0.3">
      <c r="A3055" s="1">
        <v>4282</v>
      </c>
      <c r="B3055" s="7" t="s">
        <v>4617</v>
      </c>
      <c r="C3055" s="12">
        <v>1101</v>
      </c>
      <c r="D3055" s="7" t="s">
        <v>3232</v>
      </c>
      <c r="E3055" s="13" t="s">
        <v>4616</v>
      </c>
      <c r="F3055" t="str">
        <f t="shared" si="235"/>
        <v>7th</v>
      </c>
      <c r="G3055" t="str">
        <f t="shared" si="236"/>
        <v>7th1101Conroe</v>
      </c>
      <c r="H3055" t="s">
        <v>33913</v>
      </c>
      <c r="I3055" t="s">
        <v>25338</v>
      </c>
      <c r="J3055" t="str">
        <f t="shared" si="237"/>
        <v>E:\PropInv\MF</v>
      </c>
      <c r="K3055" s="103" t="str">
        <f>HYPERLINK("E:\PropInv\MF\Conroe\7th St S_1101_Tall Timbers_Conroe_04282","7th St S_1101_Tall Timbers_Conroe_04282" )</f>
        <v>7th St S_1101_Tall Timbers_Conroe_04282</v>
      </c>
      <c r="L3055" s="104" t="s">
        <v>22253</v>
      </c>
      <c r="M3055" s="103" t="str">
        <f t="shared" si="238"/>
        <v>http://oconnordata.com/mlink/modules/profile/index.cfm?action=profile&amp;prop_id=4282</v>
      </c>
      <c r="N3055" s="1" t="str">
        <f t="shared" si="239"/>
        <v>04282</v>
      </c>
    </row>
    <row r="3056" spans="1:14" x14ac:dyDescent="0.3">
      <c r="A3056" s="1">
        <v>4283</v>
      </c>
      <c r="B3056" s="19" t="s">
        <v>4618</v>
      </c>
      <c r="C3056" s="18">
        <v>230</v>
      </c>
      <c r="D3056" s="19" t="s">
        <v>4619</v>
      </c>
      <c r="E3056" s="20" t="s">
        <v>4616</v>
      </c>
      <c r="F3056" t="str">
        <f t="shared" si="235"/>
        <v>Ave</v>
      </c>
      <c r="G3056" t="str">
        <f t="shared" si="236"/>
        <v>Ave230Conroe</v>
      </c>
      <c r="H3056" t="s">
        <v>33914</v>
      </c>
      <c r="I3056" t="s">
        <v>25339</v>
      </c>
      <c r="J3056" t="str">
        <f t="shared" si="237"/>
        <v>E:\PropInv\MF</v>
      </c>
      <c r="K3056" s="103" t="str">
        <f>HYPERLINK("E:\PropInv\MF\Conroe\Ave G W_230_Pecan Grove Apts_Conroe_04283","Ave G W_230_Pecan Grove Apts_Conroe_04283" )</f>
        <v>Ave G W_230_Pecan Grove Apts_Conroe_04283</v>
      </c>
      <c r="L3056" s="104" t="s">
        <v>22253</v>
      </c>
      <c r="M3056" s="103" t="str">
        <f t="shared" si="238"/>
        <v>http://oconnordata.com/mlink/modules/profile/index.cfm?action=profile&amp;prop_id=4283</v>
      </c>
      <c r="N3056" s="1" t="str">
        <f t="shared" si="239"/>
        <v>04283</v>
      </c>
    </row>
    <row r="3057" spans="1:14" x14ac:dyDescent="0.3">
      <c r="A3057" s="1">
        <v>4284</v>
      </c>
      <c r="B3057" s="7" t="s">
        <v>4620</v>
      </c>
      <c r="C3057" s="12">
        <v>2751</v>
      </c>
      <c r="D3057" s="7" t="s">
        <v>4621</v>
      </c>
      <c r="E3057" s="13" t="s">
        <v>4563</v>
      </c>
      <c r="F3057" t="str">
        <f t="shared" si="235"/>
        <v>518</v>
      </c>
      <c r="G3057" t="str">
        <f t="shared" si="236"/>
        <v>5182751League City</v>
      </c>
      <c r="H3057" t="s">
        <v>33915</v>
      </c>
      <c r="I3057" t="s">
        <v>25340</v>
      </c>
      <c r="J3057" t="str">
        <f t="shared" si="237"/>
        <v>E:\PropInv\MF</v>
      </c>
      <c r="K3057" s="103" t="str">
        <f>HYPERLINK("E:\PropInv\MF\League City\518 FM_2751_Harbor Walk_League City_04284","518 FM_2751_Harbor Walk_League City_04284" )</f>
        <v>518 FM_2751_Harbor Walk_League City_04284</v>
      </c>
      <c r="L3057" s="104" t="s">
        <v>22253</v>
      </c>
      <c r="M3057" s="103" t="str">
        <f t="shared" si="238"/>
        <v>http://oconnordata.com/mlink/modules/profile/index.cfm?action=profile&amp;prop_id=4284</v>
      </c>
      <c r="N3057" s="1" t="str">
        <f t="shared" si="239"/>
        <v>04284</v>
      </c>
    </row>
    <row r="3058" spans="1:14" x14ac:dyDescent="0.3">
      <c r="A3058" s="1">
        <v>4285</v>
      </c>
      <c r="B3058" s="7" t="s">
        <v>4622</v>
      </c>
      <c r="C3058" s="12">
        <v>1</v>
      </c>
      <c r="D3058" s="7" t="s">
        <v>4622</v>
      </c>
      <c r="E3058" s="13" t="s">
        <v>4563</v>
      </c>
      <c r="F3058" t="str">
        <f t="shared" si="235"/>
        <v>Signature</v>
      </c>
      <c r="G3058" t="str">
        <f t="shared" si="236"/>
        <v>Signature1League City</v>
      </c>
      <c r="H3058" t="s">
        <v>33916</v>
      </c>
      <c r="I3058" t="s">
        <v>25341</v>
      </c>
      <c r="J3058" t="str">
        <f t="shared" si="237"/>
        <v>E:\PropInv\MF</v>
      </c>
      <c r="K3058" s="103" t="str">
        <f>HYPERLINK("E:\PropInv\MF\League City\Signature Point_1_Signature Point_League City_04285","Signature Point_1_Signature Point_League City_04285" )</f>
        <v>Signature Point_1_Signature Point_League City_04285</v>
      </c>
      <c r="L3058" s="104" t="s">
        <v>22253</v>
      </c>
      <c r="M3058" s="103" t="str">
        <f t="shared" si="238"/>
        <v>http://oconnordata.com/mlink/modules/profile/index.cfm?action=profile&amp;prop_id=4285</v>
      </c>
      <c r="N3058" s="1" t="str">
        <f t="shared" si="239"/>
        <v>04285</v>
      </c>
    </row>
    <row r="3059" spans="1:14" x14ac:dyDescent="0.3">
      <c r="A3059" s="1">
        <v>4286</v>
      </c>
      <c r="B3059" s="7" t="s">
        <v>4623</v>
      </c>
      <c r="C3059" s="12">
        <v>3850</v>
      </c>
      <c r="D3059" s="7" t="s">
        <v>4624</v>
      </c>
      <c r="E3059" s="13" t="s">
        <v>4563</v>
      </c>
      <c r="F3059" t="str">
        <f t="shared" si="235"/>
        <v>518</v>
      </c>
      <c r="G3059" t="str">
        <f t="shared" si="236"/>
        <v>5183850League City</v>
      </c>
      <c r="H3059" t="s">
        <v>33917</v>
      </c>
      <c r="I3059" t="s">
        <v>25342</v>
      </c>
      <c r="J3059" t="str">
        <f t="shared" si="237"/>
        <v>E:\PropInv\MF</v>
      </c>
      <c r="K3059" s="103" t="str">
        <f>HYPERLINK("E:\PropInv\MF\League City\518 FM E_3850_South Shore Lakes_League City_04286","518 FM E_3850_South Shore Lakes_League City_04286" )</f>
        <v>518 FM E_3850_South Shore Lakes_League City_04286</v>
      </c>
      <c r="L3059" s="104" t="s">
        <v>22253</v>
      </c>
      <c r="M3059" s="103" t="str">
        <f t="shared" si="238"/>
        <v>http://oconnordata.com/mlink/modules/profile/index.cfm?action=profile&amp;prop_id=4286</v>
      </c>
      <c r="N3059" s="1" t="str">
        <f t="shared" si="239"/>
        <v>04286</v>
      </c>
    </row>
    <row r="3060" spans="1:14" x14ac:dyDescent="0.3">
      <c r="A3060" s="1">
        <v>4287</v>
      </c>
      <c r="B3060" s="7" t="s">
        <v>4557</v>
      </c>
      <c r="C3060" s="12">
        <v>406</v>
      </c>
      <c r="D3060" s="7" t="s">
        <v>2237</v>
      </c>
      <c r="E3060" s="13" t="s">
        <v>4559</v>
      </c>
      <c r="F3060" t="str">
        <f t="shared" si="235"/>
        <v>Deats</v>
      </c>
      <c r="G3060" t="str">
        <f t="shared" si="236"/>
        <v>Deats406Dickinson</v>
      </c>
      <c r="H3060" t="s">
        <v>33918</v>
      </c>
      <c r="I3060" t="s">
        <v>25343</v>
      </c>
      <c r="J3060" t="str">
        <f t="shared" si="237"/>
        <v>E:\PropInv\MF</v>
      </c>
      <c r="K3060" s="103" t="str">
        <f>HYPERLINK("E:\PropInv\MF\Dickinson\Deats Rd_406_Pine Forest_Dickinson_04287","Deats Rd_406_Pine Forest_Dickinson_04287" )</f>
        <v>Deats Rd_406_Pine Forest_Dickinson_04287</v>
      </c>
      <c r="L3060" s="104" t="s">
        <v>22253</v>
      </c>
      <c r="M3060" s="103" t="str">
        <f t="shared" si="238"/>
        <v>http://oconnordata.com/mlink/modules/profile/index.cfm?action=profile&amp;prop_id=4287</v>
      </c>
      <c r="N3060" s="1" t="str">
        <f t="shared" si="239"/>
        <v>04287</v>
      </c>
    </row>
    <row r="3061" spans="1:14" x14ac:dyDescent="0.3">
      <c r="A3061" s="1">
        <v>4288</v>
      </c>
      <c r="B3061" s="7" t="s">
        <v>4557</v>
      </c>
      <c r="C3061" s="12">
        <v>810</v>
      </c>
      <c r="D3061" s="7" t="s">
        <v>4625</v>
      </c>
      <c r="E3061" s="13" t="s">
        <v>4559</v>
      </c>
      <c r="F3061" t="str">
        <f t="shared" si="235"/>
        <v>Deats</v>
      </c>
      <c r="G3061" t="str">
        <f t="shared" si="236"/>
        <v>Deats810Dickinson</v>
      </c>
      <c r="H3061" t="s">
        <v>33919</v>
      </c>
      <c r="I3061" t="s">
        <v>25344</v>
      </c>
      <c r="J3061" t="str">
        <f t="shared" si="237"/>
        <v>E:\PropInv\MF</v>
      </c>
      <c r="K3061" s="103" t="str">
        <f>HYPERLINK("E:\PropInv\MF\Dickinson\Deats Rd_810_Dickinson Oaks Apts_Dickinson_04288","Deats Rd_810_Dickinson Oaks Apts_Dickinson_04288" )</f>
        <v>Deats Rd_810_Dickinson Oaks Apts_Dickinson_04288</v>
      </c>
      <c r="L3061" s="104" t="s">
        <v>22253</v>
      </c>
      <c r="M3061" s="103" t="str">
        <f t="shared" si="238"/>
        <v>http://oconnordata.com/mlink/modules/profile/index.cfm?action=profile&amp;prop_id=4288</v>
      </c>
      <c r="N3061" s="1" t="str">
        <f t="shared" si="239"/>
        <v>04288</v>
      </c>
    </row>
    <row r="3062" spans="1:14" x14ac:dyDescent="0.3">
      <c r="A3062" s="1">
        <v>4289</v>
      </c>
      <c r="B3062" s="7" t="s">
        <v>4626</v>
      </c>
      <c r="C3062" s="12">
        <v>5809</v>
      </c>
      <c r="D3062" s="7" t="s">
        <v>4627</v>
      </c>
      <c r="E3062" s="13" t="s">
        <v>4628</v>
      </c>
      <c r="F3062" t="str">
        <f t="shared" si="235"/>
        <v>Delany</v>
      </c>
      <c r="G3062" t="str">
        <f t="shared" si="236"/>
        <v>Delany5809Hitchcock</v>
      </c>
      <c r="H3062" t="s">
        <v>33920</v>
      </c>
      <c r="I3062" t="s">
        <v>25345</v>
      </c>
      <c r="J3062" t="str">
        <f t="shared" si="237"/>
        <v>E:\PropInv\MF</v>
      </c>
      <c r="K3062" s="103" t="str">
        <f>HYPERLINK("E:\PropInv\MF\Hitchcock\Delany Rd_5809_Mesquite Woods_Hitchcock_04289","Delany Rd_5809_Mesquite Woods_Hitchcock_04289" )</f>
        <v>Delany Rd_5809_Mesquite Woods_Hitchcock_04289</v>
      </c>
      <c r="L3062" s="104" t="s">
        <v>22253</v>
      </c>
      <c r="M3062" s="103" t="str">
        <f t="shared" si="238"/>
        <v>http://oconnordata.com/mlink/modules/profile/index.cfm?action=profile&amp;prop_id=4289</v>
      </c>
      <c r="N3062" s="1" t="str">
        <f t="shared" si="239"/>
        <v>04289</v>
      </c>
    </row>
    <row r="3063" spans="1:14" x14ac:dyDescent="0.3">
      <c r="A3063" s="1">
        <v>4290</v>
      </c>
      <c r="B3063" s="7" t="s">
        <v>4629</v>
      </c>
      <c r="C3063" s="12">
        <v>628</v>
      </c>
      <c r="D3063" s="7" t="s">
        <v>4630</v>
      </c>
      <c r="E3063" s="13" t="s">
        <v>4563</v>
      </c>
      <c r="F3063" t="str">
        <f t="shared" si="235"/>
        <v>3</v>
      </c>
      <c r="G3063" t="str">
        <f t="shared" si="236"/>
        <v>3628League City</v>
      </c>
      <c r="H3063" t="s">
        <v>33921</v>
      </c>
      <c r="I3063" t="s">
        <v>25346</v>
      </c>
      <c r="J3063" t="str">
        <f t="shared" si="237"/>
        <v>E:\PropInv\MF</v>
      </c>
      <c r="K3063" s="103" t="str">
        <f>HYPERLINK("E:\PropInv\MF\League City\3 Hwy S_628_Snug Harbor_League City_04290","3 Hwy S_628_Snug Harbor_League City_04290" )</f>
        <v>3 Hwy S_628_Snug Harbor_League City_04290</v>
      </c>
      <c r="L3063" s="104" t="s">
        <v>22253</v>
      </c>
      <c r="M3063" s="103" t="str">
        <f t="shared" si="238"/>
        <v>http://oconnordata.com/mlink/modules/profile/index.cfm?action=profile&amp;prop_id=4290</v>
      </c>
      <c r="N3063" s="1" t="str">
        <f t="shared" si="239"/>
        <v>04290</v>
      </c>
    </row>
    <row r="3064" spans="1:14" x14ac:dyDescent="0.3">
      <c r="A3064" s="1">
        <v>4291</v>
      </c>
      <c r="B3064" s="7" t="s">
        <v>4631</v>
      </c>
      <c r="C3064" s="12">
        <v>100</v>
      </c>
      <c r="D3064" s="7" t="s">
        <v>4632</v>
      </c>
      <c r="E3064" s="13" t="s">
        <v>4249</v>
      </c>
      <c r="F3064" t="str">
        <f t="shared" si="235"/>
        <v>Texas</v>
      </c>
      <c r="G3064" t="str">
        <f t="shared" si="236"/>
        <v>Texas100Webster</v>
      </c>
      <c r="H3064" t="s">
        <v>33922</v>
      </c>
      <c r="I3064" t="s">
        <v>25347</v>
      </c>
      <c r="J3064" t="str">
        <f t="shared" si="237"/>
        <v>E:\PropInv\MF</v>
      </c>
      <c r="K3064" s="103" t="str">
        <f>HYPERLINK("E:\PropInv\MF\Webster\Texas Ave W_100_Seven Palms_Webster_04291","Texas Ave W_100_Seven Palms_Webster_04291" )</f>
        <v>Texas Ave W_100_Seven Palms_Webster_04291</v>
      </c>
      <c r="L3064" s="104" t="s">
        <v>22253</v>
      </c>
      <c r="M3064" s="103" t="str">
        <f t="shared" si="238"/>
        <v>http://oconnordata.com/mlink/modules/profile/index.cfm?action=profile&amp;prop_id=4291</v>
      </c>
      <c r="N3064" s="1" t="str">
        <f t="shared" si="239"/>
        <v>04291</v>
      </c>
    </row>
    <row r="3065" spans="1:14" x14ac:dyDescent="0.3">
      <c r="A3065" s="1">
        <v>4292</v>
      </c>
      <c r="B3065" s="7" t="s">
        <v>4270</v>
      </c>
      <c r="C3065" s="12">
        <v>1115</v>
      </c>
      <c r="D3065" s="7" t="s">
        <v>3375</v>
      </c>
      <c r="E3065" s="13" t="s">
        <v>4569</v>
      </c>
      <c r="F3065" t="str">
        <f t="shared" si="235"/>
        <v>146</v>
      </c>
      <c r="G3065" t="str">
        <f t="shared" si="236"/>
        <v>1461115Texas City</v>
      </c>
      <c r="H3065" t="s">
        <v>33923</v>
      </c>
      <c r="I3065" t="s">
        <v>25348</v>
      </c>
      <c r="J3065" t="str">
        <f t="shared" si="237"/>
        <v>E:\PropInv\MF</v>
      </c>
      <c r="K3065" s="103" t="str">
        <f>HYPERLINK("E:\PropInv\MF\Texas City\146 Hwy_1115_Stoneridge_Texas City_04292","146 Hwy_1115_Stoneridge_Texas City_04292" )</f>
        <v>146 Hwy_1115_Stoneridge_Texas City_04292</v>
      </c>
      <c r="L3065" s="104" t="s">
        <v>22253</v>
      </c>
      <c r="M3065" s="103" t="str">
        <f t="shared" si="238"/>
        <v>http://oconnordata.com/mlink/modules/profile/index.cfm?action=profile&amp;prop_id=4292</v>
      </c>
      <c r="N3065" s="1" t="str">
        <f t="shared" si="239"/>
        <v>04292</v>
      </c>
    </row>
    <row r="3066" spans="1:14" x14ac:dyDescent="0.3">
      <c r="A3066" s="1">
        <v>4296</v>
      </c>
      <c r="B3066" s="7" t="s">
        <v>4633</v>
      </c>
      <c r="C3066" s="12">
        <v>6205</v>
      </c>
      <c r="D3066" s="7" t="s">
        <v>4634</v>
      </c>
      <c r="E3066" s="13" t="s">
        <v>4628</v>
      </c>
      <c r="F3066" t="str">
        <f t="shared" si="235"/>
        <v>Jackson</v>
      </c>
      <c r="G3066" t="str">
        <f t="shared" si="236"/>
        <v>Jackson6205Hitchcock</v>
      </c>
      <c r="H3066" t="s">
        <v>33924</v>
      </c>
      <c r="I3066" t="s">
        <v>25349</v>
      </c>
      <c r="J3066" t="str">
        <f t="shared" si="237"/>
        <v>E:\PropInv\MF</v>
      </c>
      <c r="K3066" s="103" t="str">
        <f>HYPERLINK("E:\PropInv\MF\Hitchcock\Jackson Rd_6205_Jackson Cove_Hitchcock_04296","Jackson Rd_6205_Jackson Cove_Hitchcock_04296" )</f>
        <v>Jackson Rd_6205_Jackson Cove_Hitchcock_04296</v>
      </c>
      <c r="L3066" s="104" t="s">
        <v>22253</v>
      </c>
      <c r="M3066" s="103" t="str">
        <f t="shared" si="238"/>
        <v>http://oconnordata.com/mlink/modules/profile/index.cfm?action=profile&amp;prop_id=4296</v>
      </c>
      <c r="N3066" s="1" t="str">
        <f t="shared" si="239"/>
        <v>04296</v>
      </c>
    </row>
    <row r="3067" spans="1:14" x14ac:dyDescent="0.3">
      <c r="A3067" s="1">
        <v>4297</v>
      </c>
      <c r="B3067" s="7" t="s">
        <v>4635</v>
      </c>
      <c r="C3067" s="12">
        <v>7400</v>
      </c>
      <c r="D3067" s="7" t="s">
        <v>4636</v>
      </c>
      <c r="E3067" s="13" t="s">
        <v>4565</v>
      </c>
      <c r="F3067" t="str">
        <f t="shared" si="235"/>
        <v>Jones</v>
      </c>
      <c r="G3067" t="str">
        <f t="shared" si="236"/>
        <v>Jones7400Galveston</v>
      </c>
      <c r="H3067" t="s">
        <v>33925</v>
      </c>
      <c r="I3067" t="s">
        <v>25350</v>
      </c>
      <c r="J3067" t="str">
        <f t="shared" si="237"/>
        <v>E:\PropInv\MF</v>
      </c>
      <c r="K3067" s="103" t="str">
        <f>HYPERLINK("E:\PropInv\MF\Galveston\Jones Dr_7400_Island Bay Resorts I_Galveston_04297","Jones Dr_7400_Island Bay Resorts I_Galveston_04297" )</f>
        <v>Jones Dr_7400_Island Bay Resorts I_Galveston_04297</v>
      </c>
      <c r="L3067" s="104" t="s">
        <v>22253</v>
      </c>
      <c r="M3067" s="103" t="str">
        <f t="shared" si="238"/>
        <v>http://oconnordata.com/mlink/modules/profile/index.cfm?action=profile&amp;prop_id=4297</v>
      </c>
      <c r="N3067" s="1" t="str">
        <f t="shared" si="239"/>
        <v>04297</v>
      </c>
    </row>
    <row r="3068" spans="1:14" x14ac:dyDescent="0.3">
      <c r="A3068" s="1">
        <v>4298</v>
      </c>
      <c r="B3068" s="7" t="s">
        <v>4637</v>
      </c>
      <c r="C3068" s="12">
        <v>6904</v>
      </c>
      <c r="D3068" s="7" t="s">
        <v>4638</v>
      </c>
      <c r="E3068" s="13" t="s">
        <v>4565</v>
      </c>
      <c r="F3068" t="str">
        <f t="shared" si="235"/>
        <v>Lasker</v>
      </c>
      <c r="G3068" t="str">
        <f t="shared" si="236"/>
        <v>Lasker6904Galveston</v>
      </c>
      <c r="H3068" t="s">
        <v>33926</v>
      </c>
      <c r="I3068" t="s">
        <v>25351</v>
      </c>
      <c r="J3068" t="str">
        <f t="shared" si="237"/>
        <v>E:\PropInv\MF</v>
      </c>
      <c r="K3068" s="103" t="str">
        <f>HYPERLINK("E:\PropInv\MF\Galveston\Lasker_6904_Ashton Place_Galveston_04298","Lasker_6904_Ashton Place_Galveston_04298" )</f>
        <v>Lasker_6904_Ashton Place_Galveston_04298</v>
      </c>
      <c r="L3068" s="104" t="s">
        <v>22253</v>
      </c>
      <c r="M3068" s="103" t="str">
        <f t="shared" si="238"/>
        <v>http://oconnordata.com/mlink/modules/profile/index.cfm?action=profile&amp;prop_id=4298</v>
      </c>
      <c r="N3068" s="1" t="str">
        <f t="shared" si="239"/>
        <v>04298</v>
      </c>
    </row>
    <row r="3069" spans="1:14" x14ac:dyDescent="0.3">
      <c r="A3069" s="1">
        <v>4299</v>
      </c>
      <c r="B3069" s="7" t="s">
        <v>4639</v>
      </c>
      <c r="C3069" s="12">
        <v>8601</v>
      </c>
      <c r="D3069" s="7" t="s">
        <v>4640</v>
      </c>
      <c r="E3069" s="13" t="s">
        <v>4569</v>
      </c>
      <c r="F3069" t="str">
        <f t="shared" si="235"/>
        <v>Palmer</v>
      </c>
      <c r="G3069" t="str">
        <f t="shared" si="236"/>
        <v>Palmer8601Texas City</v>
      </c>
      <c r="H3069" t="s">
        <v>33927</v>
      </c>
      <c r="I3069" t="s">
        <v>25352</v>
      </c>
      <c r="J3069" t="str">
        <f t="shared" si="237"/>
        <v>E:\PropInv\MF</v>
      </c>
      <c r="K3069" s="103" t="str">
        <f>HYPERLINK("E:\PropInv\MF\Texas City\Palmer Hwy_8601_Oaks of Texas City_Texas City_04299","Palmer Hwy_8601_Oaks of Texas City_Texas City_04299" )</f>
        <v>Palmer Hwy_8601_Oaks of Texas City_Texas City_04299</v>
      </c>
      <c r="L3069" s="104" t="s">
        <v>22253</v>
      </c>
      <c r="M3069" s="103" t="str">
        <f t="shared" si="238"/>
        <v>http://oconnordata.com/mlink/modules/profile/index.cfm?action=profile&amp;prop_id=4299</v>
      </c>
      <c r="N3069" s="1" t="str">
        <f t="shared" si="239"/>
        <v>04299</v>
      </c>
    </row>
    <row r="3070" spans="1:14" x14ac:dyDescent="0.3">
      <c r="A3070" s="1">
        <v>4300</v>
      </c>
      <c r="B3070" s="7" t="s">
        <v>4641</v>
      </c>
      <c r="C3070" s="12">
        <v>1201</v>
      </c>
      <c r="D3070" s="7" t="s">
        <v>4642</v>
      </c>
      <c r="E3070" s="13" t="s">
        <v>4563</v>
      </c>
      <c r="F3070" t="str">
        <f t="shared" si="235"/>
        <v>Enterprise</v>
      </c>
      <c r="G3070" t="str">
        <f t="shared" si="236"/>
        <v>Enterprise1201League City</v>
      </c>
      <c r="H3070" t="s">
        <v>33928</v>
      </c>
      <c r="I3070" t="s">
        <v>25353</v>
      </c>
      <c r="J3070" t="str">
        <f t="shared" si="237"/>
        <v>E:\PropInv\MF</v>
      </c>
      <c r="K3070" s="103" t="str">
        <f>HYPERLINK("E:\PropInv\MF\League City\Enterprise_1201_Palms at South Shore Harbor_League City_04300","Enterprise_1201_Palms at South Shore Harbor_League City_04300" )</f>
        <v>Enterprise_1201_Palms at South Shore Harbor_League City_04300</v>
      </c>
      <c r="L3070" s="104" t="s">
        <v>22253</v>
      </c>
      <c r="M3070" s="103" t="str">
        <f t="shared" si="238"/>
        <v>http://oconnordata.com/mlink/modules/profile/index.cfm?action=profile&amp;prop_id=4300</v>
      </c>
      <c r="N3070" s="1" t="str">
        <f t="shared" si="239"/>
        <v>04300</v>
      </c>
    </row>
    <row r="3071" spans="1:14" x14ac:dyDescent="0.3">
      <c r="A3071" s="1">
        <v>4301</v>
      </c>
      <c r="B3071" s="7" t="s">
        <v>4643</v>
      </c>
      <c r="C3071" s="12">
        <v>601</v>
      </c>
      <c r="D3071" s="7" t="s">
        <v>4644</v>
      </c>
      <c r="E3071" s="13" t="s">
        <v>4563</v>
      </c>
      <c r="F3071" t="str">
        <f t="shared" si="235"/>
        <v>Enterprise</v>
      </c>
      <c r="G3071" t="str">
        <f t="shared" si="236"/>
        <v>Enterprise601League City</v>
      </c>
      <c r="H3071" t="s">
        <v>33929</v>
      </c>
      <c r="I3071" t="s">
        <v>25354</v>
      </c>
      <c r="J3071" t="str">
        <f t="shared" si="237"/>
        <v>E:\PropInv\MF</v>
      </c>
      <c r="K3071" s="103" t="str">
        <f>HYPERLINK("E:\PropInv\MF\League City\Enterprise Ave Blvd_601_The Moorings_League City_04301","Enterprise Ave Blvd_601_The Moorings_League City_04301" )</f>
        <v>Enterprise Ave Blvd_601_The Moorings_League City_04301</v>
      </c>
      <c r="L3071" s="104" t="s">
        <v>22253</v>
      </c>
      <c r="M3071" s="103" t="str">
        <f t="shared" si="238"/>
        <v>http://oconnordata.com/mlink/modules/profile/index.cfm?action=profile&amp;prop_id=4301</v>
      </c>
      <c r="N3071" s="1" t="str">
        <f t="shared" si="239"/>
        <v>04301</v>
      </c>
    </row>
    <row r="3072" spans="1:14" x14ac:dyDescent="0.3">
      <c r="A3072" s="1">
        <v>4302</v>
      </c>
      <c r="B3072" s="19" t="s">
        <v>4608</v>
      </c>
      <c r="C3072" s="18">
        <v>1300</v>
      </c>
      <c r="D3072" s="19" t="s">
        <v>4645</v>
      </c>
      <c r="E3072" s="20" t="s">
        <v>4646</v>
      </c>
      <c r="F3072" t="str">
        <f t="shared" si="235"/>
        <v>Marina</v>
      </c>
      <c r="G3072" t="str">
        <f t="shared" si="236"/>
        <v>Marina1300Clear Lake</v>
      </c>
      <c r="H3072" t="s">
        <v>33930</v>
      </c>
      <c r="I3072" t="s">
        <v>25355</v>
      </c>
      <c r="J3072" t="str">
        <f t="shared" si="237"/>
        <v>E:\PropInv\MF</v>
      </c>
      <c r="K3072" s="103" t="str">
        <f>HYPERLINK("E:\PropInv\MF\Clear Lake\Marina Bay Dr_1300_Legend Point Condominiums_Clear Lake_04302","Marina Bay Dr_1300_Legend Point Condominiums_Clear Lake_04302" )</f>
        <v>Marina Bay Dr_1300_Legend Point Condominiums_Clear Lake_04302</v>
      </c>
      <c r="L3072" s="104" t="s">
        <v>22253</v>
      </c>
      <c r="M3072" s="103" t="str">
        <f t="shared" si="238"/>
        <v>http://oconnordata.com/mlink/modules/profile/index.cfm?action=profile&amp;prop_id=4302</v>
      </c>
      <c r="N3072" s="1" t="str">
        <f t="shared" si="239"/>
        <v>04302</v>
      </c>
    </row>
    <row r="3073" spans="1:14" x14ac:dyDescent="0.3">
      <c r="A3073" s="1">
        <v>4303</v>
      </c>
      <c r="B3073" s="7" t="s">
        <v>4647</v>
      </c>
      <c r="C3073" s="12">
        <v>4925</v>
      </c>
      <c r="D3073" s="7" t="s">
        <v>4648</v>
      </c>
      <c r="E3073" s="13" t="s">
        <v>4565</v>
      </c>
      <c r="F3073" t="str">
        <f t="shared" si="235"/>
        <v>Fort</v>
      </c>
      <c r="G3073" t="str">
        <f t="shared" si="236"/>
        <v>Fort4925Galveston</v>
      </c>
      <c r="H3073" t="s">
        <v>33931</v>
      </c>
      <c r="I3073" t="s">
        <v>25356</v>
      </c>
      <c r="J3073" t="str">
        <f t="shared" si="237"/>
        <v>E:\PropInv\MF</v>
      </c>
      <c r="K3073" s="103" t="str">
        <f>HYPERLINK("E:\PropInv\MF\Galveston\Fort Crockett_4925_The Seaside Village_Galveston_04303","Fort Crockett_4925_The Seaside Village_Galveston_04303" )</f>
        <v>Fort Crockett_4925_The Seaside Village_Galveston_04303</v>
      </c>
      <c r="L3073" s="104" t="s">
        <v>22253</v>
      </c>
      <c r="M3073" s="103" t="str">
        <f t="shared" si="238"/>
        <v>http://oconnordata.com/mlink/modules/profile/index.cfm?action=profile&amp;prop_id=4303</v>
      </c>
      <c r="N3073" s="1" t="str">
        <f t="shared" si="239"/>
        <v>04303</v>
      </c>
    </row>
    <row r="3074" spans="1:14" x14ac:dyDescent="0.3">
      <c r="A3074" s="1">
        <v>4304</v>
      </c>
      <c r="B3074" s="7" t="s">
        <v>4649</v>
      </c>
      <c r="C3074" s="12">
        <v>701</v>
      </c>
      <c r="D3074" s="7" t="s">
        <v>4650</v>
      </c>
      <c r="E3074" s="13" t="s">
        <v>4297</v>
      </c>
      <c r="F3074" t="str">
        <f t="shared" ref="F3074:F3137" si="240">IFERROR(LEFT(B3074,FIND(" ",B3074)-1),B3074)</f>
        <v>Friendswood</v>
      </c>
      <c r="G3074" t="str">
        <f t="shared" ref="G3074:G3137" si="241">F3074&amp;C3074&amp;E3074</f>
        <v>Friendswood701Friendswood</v>
      </c>
      <c r="H3074" t="s">
        <v>33932</v>
      </c>
      <c r="I3074" t="s">
        <v>25357</v>
      </c>
      <c r="J3074" t="str">
        <f t="shared" ref="J3074:J3137" si="242">IF(L3074="TX",Folder_Path,Folder_Path&amp;"\State_"&amp;L3074)</f>
        <v>E:\PropInv\MF</v>
      </c>
      <c r="K3074" s="103" t="str">
        <f>HYPERLINK("E:\PropInv\MF\Friendswood\Friendswood Dr S_701_Huntington Woods_Friendswood_04304","Friendswood Dr S_701_Huntington Woods_Friendswood_04304" )</f>
        <v>Friendswood Dr S_701_Huntington Woods_Friendswood_04304</v>
      </c>
      <c r="L3074" s="104" t="s">
        <v>22253</v>
      </c>
      <c r="M3074" s="103" t="str">
        <f t="shared" ref="M3074:M3137" si="243">HYPERLINK("http://oconnordata.com/mlink/modules/profile/index.cfm?action=profile&amp;prop_id="&amp;A3074)</f>
        <v>http://oconnordata.com/mlink/modules/profile/index.cfm?action=profile&amp;prop_id=4304</v>
      </c>
      <c r="N3074" s="1" t="str">
        <f t="shared" ref="N3074:N3137" si="244">IF(LEN(A3074)=1,"0000"&amp;A3074,IF(LEN(A3074)=2,"000"&amp;A3074,IF(LEN(A3074)=3,"00"&amp;A3074,IF(LEN(A3074)=4,"0"&amp;A3074,IF(LEN(A3074)=5,IF(LEFT(A3074,1)="3",A3074+30000,A3074))))))</f>
        <v>04304</v>
      </c>
    </row>
    <row r="3075" spans="1:14" x14ac:dyDescent="0.3">
      <c r="A3075" s="1">
        <v>4305</v>
      </c>
      <c r="B3075" s="7" t="s">
        <v>4651</v>
      </c>
      <c r="C3075" s="12">
        <v>1111</v>
      </c>
      <c r="D3075" s="7" t="s">
        <v>4652</v>
      </c>
      <c r="E3075" s="13" t="s">
        <v>4563</v>
      </c>
      <c r="F3075" t="str">
        <f t="shared" si="240"/>
        <v>518</v>
      </c>
      <c r="G3075" t="str">
        <f t="shared" si="241"/>
        <v>5181111League City</v>
      </c>
      <c r="H3075" t="s">
        <v>33933</v>
      </c>
      <c r="I3075" t="s">
        <v>25358</v>
      </c>
      <c r="J3075" t="str">
        <f t="shared" si="242"/>
        <v>E:\PropInv\MF</v>
      </c>
      <c r="K3075" s="103" t="str">
        <f>HYPERLINK("E:\PropInv\MF\League City\518 FM W_1111_Calder Square_League City_04305","518 FM W_1111_Calder Square_League City_04305" )</f>
        <v>518 FM W_1111_Calder Square_League City_04305</v>
      </c>
      <c r="L3075" s="104" t="s">
        <v>22253</v>
      </c>
      <c r="M3075" s="103" t="str">
        <f t="shared" si="243"/>
        <v>http://oconnordata.com/mlink/modules/profile/index.cfm?action=profile&amp;prop_id=4305</v>
      </c>
      <c r="N3075" s="1" t="str">
        <f t="shared" si="244"/>
        <v>04305</v>
      </c>
    </row>
    <row r="3076" spans="1:14" x14ac:dyDescent="0.3">
      <c r="A3076" s="1">
        <v>4306</v>
      </c>
      <c r="B3076" s="7" t="s">
        <v>4608</v>
      </c>
      <c r="C3076" s="12">
        <v>1420</v>
      </c>
      <c r="D3076" s="7" t="s">
        <v>4653</v>
      </c>
      <c r="E3076" s="13" t="s">
        <v>4654</v>
      </c>
      <c r="F3076" t="str">
        <f t="shared" si="240"/>
        <v>Marina</v>
      </c>
      <c r="G3076" t="str">
        <f t="shared" si="241"/>
        <v>Marina1420Kemah</v>
      </c>
      <c r="H3076" t="s">
        <v>33934</v>
      </c>
      <c r="I3076" t="s">
        <v>25359</v>
      </c>
      <c r="J3076" t="str">
        <f t="shared" si="242"/>
        <v>E:\PropInv\MF</v>
      </c>
      <c r="K3076" s="103" t="str">
        <f>HYPERLINK("E:\PropInv\MF\Kemah\Marina Bay Dr_1420_The Park at Waterford Harbor_Kemah_04306","Marina Bay Dr_1420_The Park at Waterford Harbor_Kemah_04306" )</f>
        <v>Marina Bay Dr_1420_The Park at Waterford Harbor_Kemah_04306</v>
      </c>
      <c r="L3076" s="104" t="s">
        <v>22253</v>
      </c>
      <c r="M3076" s="103" t="str">
        <f t="shared" si="243"/>
        <v>http://oconnordata.com/mlink/modules/profile/index.cfm?action=profile&amp;prop_id=4306</v>
      </c>
      <c r="N3076" s="1" t="str">
        <f t="shared" si="244"/>
        <v>04306</v>
      </c>
    </row>
    <row r="3077" spans="1:14" x14ac:dyDescent="0.3">
      <c r="A3077" s="1">
        <v>4307</v>
      </c>
      <c r="B3077" s="7" t="s">
        <v>4655</v>
      </c>
      <c r="C3077" s="12">
        <v>2220</v>
      </c>
      <c r="D3077" s="7" t="s">
        <v>4656</v>
      </c>
      <c r="E3077" s="13" t="s">
        <v>4654</v>
      </c>
      <c r="F3077" t="str">
        <f t="shared" si="240"/>
        <v>Marina</v>
      </c>
      <c r="G3077" t="str">
        <f t="shared" si="241"/>
        <v>Marina2220Kemah</v>
      </c>
      <c r="H3077" t="s">
        <v>33935</v>
      </c>
      <c r="I3077" t="s">
        <v>25360</v>
      </c>
      <c r="J3077" t="str">
        <f t="shared" si="242"/>
        <v>E:\PropInv\MF</v>
      </c>
      <c r="K3077" s="103" t="str">
        <f>HYPERLINK("E:\PropInv\MF\Kemah\Marina Way_2220_Marina Del Sol_Kemah_04307","Marina Way_2220_Marina Del Sol_Kemah_04307" )</f>
        <v>Marina Way_2220_Marina Del Sol_Kemah_04307</v>
      </c>
      <c r="L3077" s="104" t="s">
        <v>22253</v>
      </c>
      <c r="M3077" s="103" t="str">
        <f t="shared" si="243"/>
        <v>http://oconnordata.com/mlink/modules/profile/index.cfm?action=profile&amp;prop_id=4307</v>
      </c>
      <c r="N3077" s="1" t="str">
        <f t="shared" si="244"/>
        <v>04307</v>
      </c>
    </row>
    <row r="3078" spans="1:14" x14ac:dyDescent="0.3">
      <c r="A3078" s="1">
        <v>4308</v>
      </c>
      <c r="B3078" s="7" t="s">
        <v>4657</v>
      </c>
      <c r="C3078" s="12">
        <v>7200</v>
      </c>
      <c r="D3078" s="7" t="s">
        <v>4658</v>
      </c>
      <c r="E3078" s="13" t="s">
        <v>4565</v>
      </c>
      <c r="F3078" t="str">
        <f t="shared" si="240"/>
        <v>Heards</v>
      </c>
      <c r="G3078" t="str">
        <f t="shared" si="241"/>
        <v>Heards7200Galveston</v>
      </c>
      <c r="H3078" t="s">
        <v>33936</v>
      </c>
      <c r="I3078" t="s">
        <v>25361</v>
      </c>
      <c r="J3078" t="str">
        <f t="shared" si="242"/>
        <v>E:\PropInv\MF</v>
      </c>
      <c r="K3078" s="103" t="str">
        <f>HYPERLINK("E:\PropInv\MF\Galveston\Heards Ln_7200_Champion Homes at Bay Walk_Galveston_04308","Heards Ln_7200_Champion Homes at Bay Walk_Galveston_04308" )</f>
        <v>Heards Ln_7200_Champion Homes at Bay Walk_Galveston_04308</v>
      </c>
      <c r="L3078" s="104" t="s">
        <v>22253</v>
      </c>
      <c r="M3078" s="103" t="str">
        <f t="shared" si="243"/>
        <v>http://oconnordata.com/mlink/modules/profile/index.cfm?action=profile&amp;prop_id=4308</v>
      </c>
      <c r="N3078" s="1" t="str">
        <f t="shared" si="244"/>
        <v>04308</v>
      </c>
    </row>
    <row r="3079" spans="1:14" x14ac:dyDescent="0.3">
      <c r="A3079" s="1">
        <v>4309</v>
      </c>
      <c r="B3079" s="7" t="s">
        <v>4657</v>
      </c>
      <c r="C3079" s="12">
        <v>7302</v>
      </c>
      <c r="D3079" s="7" t="s">
        <v>4659</v>
      </c>
      <c r="E3079" s="13" t="s">
        <v>4565</v>
      </c>
      <c r="F3079" t="str">
        <f t="shared" si="240"/>
        <v>Heards</v>
      </c>
      <c r="G3079" t="str">
        <f t="shared" si="241"/>
        <v>Heards7302Galveston</v>
      </c>
      <c r="H3079" t="s">
        <v>33937</v>
      </c>
      <c r="I3079" t="s">
        <v>25362</v>
      </c>
      <c r="J3079" t="str">
        <f t="shared" si="242"/>
        <v>E:\PropInv\MF</v>
      </c>
      <c r="K3079" s="103" t="str">
        <f>HYPERLINK("E:\PropInv\MF\Galveston\Heards Ln_7302_Champion Homes at Marina Landing_Galveston_04309","Heards Ln_7302_Champion Homes at Marina Landing_Galveston_04309" )</f>
        <v>Heards Ln_7302_Champion Homes at Marina Landing_Galveston_04309</v>
      </c>
      <c r="L3079" s="104" t="s">
        <v>22253</v>
      </c>
      <c r="M3079" s="103" t="str">
        <f t="shared" si="243"/>
        <v>http://oconnordata.com/mlink/modules/profile/index.cfm?action=profile&amp;prop_id=4309</v>
      </c>
      <c r="N3079" s="1" t="str">
        <f t="shared" si="244"/>
        <v>04309</v>
      </c>
    </row>
    <row r="3080" spans="1:14" x14ac:dyDescent="0.3">
      <c r="A3080" s="1">
        <v>4311</v>
      </c>
      <c r="B3080" s="7" t="s">
        <v>4660</v>
      </c>
      <c r="C3080" s="12">
        <v>7019</v>
      </c>
      <c r="D3080" s="7" t="s">
        <v>4661</v>
      </c>
      <c r="E3080" s="13" t="s">
        <v>4565</v>
      </c>
      <c r="F3080" t="str">
        <f t="shared" si="240"/>
        <v>Lasker</v>
      </c>
      <c r="G3080" t="str">
        <f t="shared" si="241"/>
        <v>Lasker7019Galveston</v>
      </c>
      <c r="H3080" t="s">
        <v>33938</v>
      </c>
      <c r="I3080" t="s">
        <v>25363</v>
      </c>
      <c r="J3080" t="str">
        <f t="shared" si="242"/>
        <v>E:\PropInv\MF</v>
      </c>
      <c r="K3080" s="103" t="str">
        <f>HYPERLINK("E:\PropInv\MF\Galveston\Lasker Dr_7019_Driftwood_Galveston_04311","Lasker Dr_7019_Driftwood_Galveston_04311" )</f>
        <v>Lasker Dr_7019_Driftwood_Galveston_04311</v>
      </c>
      <c r="L3080" s="104" t="s">
        <v>22253</v>
      </c>
      <c r="M3080" s="103" t="str">
        <f t="shared" si="243"/>
        <v>http://oconnordata.com/mlink/modules/profile/index.cfm?action=profile&amp;prop_id=4311</v>
      </c>
      <c r="N3080" s="1" t="str">
        <f t="shared" si="244"/>
        <v>04311</v>
      </c>
    </row>
    <row r="3081" spans="1:14" x14ac:dyDescent="0.3">
      <c r="A3081" s="1">
        <v>4312</v>
      </c>
      <c r="B3081" s="7" t="s">
        <v>4662</v>
      </c>
      <c r="C3081" s="12">
        <v>3206</v>
      </c>
      <c r="D3081" s="7" t="s">
        <v>4663</v>
      </c>
      <c r="E3081" s="13" t="s">
        <v>4559</v>
      </c>
      <c r="F3081" t="str">
        <f t="shared" si="240"/>
        <v>Lobit</v>
      </c>
      <c r="G3081" t="str">
        <f t="shared" si="241"/>
        <v>Lobit3206Dickinson</v>
      </c>
      <c r="H3081" t="s">
        <v>33939</v>
      </c>
      <c r="I3081" t="s">
        <v>25364</v>
      </c>
      <c r="J3081" t="str">
        <f t="shared" si="242"/>
        <v>E:\PropInv\MF</v>
      </c>
      <c r="K3081" s="103" t="str">
        <f>HYPERLINK("E:\PropInv\MF\Dickinson\Lobit Dr_3206_Northern Pines_Dickinson_04312","Lobit Dr_3206_Northern Pines_Dickinson_04312" )</f>
        <v>Lobit Dr_3206_Northern Pines_Dickinson_04312</v>
      </c>
      <c r="L3081" s="104" t="s">
        <v>22253</v>
      </c>
      <c r="M3081" s="103" t="str">
        <f t="shared" si="243"/>
        <v>http://oconnordata.com/mlink/modules/profile/index.cfm?action=profile&amp;prop_id=4312</v>
      </c>
      <c r="N3081" s="1" t="str">
        <f t="shared" si="244"/>
        <v>04312</v>
      </c>
    </row>
    <row r="3082" spans="1:14" x14ac:dyDescent="0.3">
      <c r="A3082" s="1">
        <v>4313</v>
      </c>
      <c r="B3082" s="7" t="s">
        <v>246</v>
      </c>
      <c r="C3082" s="12">
        <v>1215</v>
      </c>
      <c r="D3082" s="7" t="s">
        <v>4664</v>
      </c>
      <c r="E3082" s="13" t="s">
        <v>4563</v>
      </c>
      <c r="F3082" t="str">
        <f t="shared" si="240"/>
        <v>Main</v>
      </c>
      <c r="G3082" t="str">
        <f t="shared" si="241"/>
        <v>Main1215League City</v>
      </c>
      <c r="H3082" t="s">
        <v>33940</v>
      </c>
      <c r="I3082" t="s">
        <v>25365</v>
      </c>
      <c r="J3082" t="str">
        <f t="shared" si="242"/>
        <v>E:\PropInv\MF</v>
      </c>
      <c r="K3082" s="103" t="str">
        <f>HYPERLINK("E:\PropInv\MF\League City\Main St E_1215_Briar Palms_League City_04313","Main St E_1215_Briar Palms_League City_04313" )</f>
        <v>Main St E_1215_Briar Palms_League City_04313</v>
      </c>
      <c r="L3082" s="104" t="s">
        <v>22253</v>
      </c>
      <c r="M3082" s="103" t="str">
        <f t="shared" si="243"/>
        <v>http://oconnordata.com/mlink/modules/profile/index.cfm?action=profile&amp;prop_id=4313</v>
      </c>
      <c r="N3082" s="1" t="str">
        <f t="shared" si="244"/>
        <v>04313</v>
      </c>
    </row>
    <row r="3083" spans="1:14" x14ac:dyDescent="0.3">
      <c r="A3083" s="1">
        <v>4314</v>
      </c>
      <c r="B3083" s="7" t="s">
        <v>4665</v>
      </c>
      <c r="C3083" s="12">
        <v>615</v>
      </c>
      <c r="D3083" s="7" t="s">
        <v>4666</v>
      </c>
      <c r="E3083" s="13" t="s">
        <v>4565</v>
      </c>
      <c r="F3083" t="str">
        <f t="shared" si="240"/>
        <v>Holiday</v>
      </c>
      <c r="G3083" t="str">
        <f t="shared" si="241"/>
        <v>Holiday615Galveston</v>
      </c>
      <c r="H3083" t="s">
        <v>33941</v>
      </c>
      <c r="I3083" t="s">
        <v>25366</v>
      </c>
      <c r="J3083" t="str">
        <f t="shared" si="242"/>
        <v>E:\PropInv\MF</v>
      </c>
      <c r="K3083" s="103" t="str">
        <f>HYPERLINK("E:\PropInv\MF\Galveston\Holiday Dr_615_Carriage House_Galveston_04314","Holiday Dr_615_Carriage House_Galveston_04314" )</f>
        <v>Holiday Dr_615_Carriage House_Galveston_04314</v>
      </c>
      <c r="L3083" s="104" t="s">
        <v>22253</v>
      </c>
      <c r="M3083" s="103" t="str">
        <f t="shared" si="243"/>
        <v>http://oconnordata.com/mlink/modules/profile/index.cfm?action=profile&amp;prop_id=4314</v>
      </c>
      <c r="N3083" s="1" t="str">
        <f t="shared" si="244"/>
        <v>04314</v>
      </c>
    </row>
    <row r="3084" spans="1:14" x14ac:dyDescent="0.3">
      <c r="A3084" s="1">
        <v>4315</v>
      </c>
      <c r="B3084" s="7" t="s">
        <v>4665</v>
      </c>
      <c r="C3084" s="12">
        <v>711</v>
      </c>
      <c r="D3084" s="7" t="s">
        <v>4667</v>
      </c>
      <c r="E3084" s="13" t="s">
        <v>4565</v>
      </c>
      <c r="F3084" t="str">
        <f t="shared" si="240"/>
        <v>Holiday</v>
      </c>
      <c r="G3084" t="str">
        <f t="shared" si="241"/>
        <v>Holiday711Galveston</v>
      </c>
      <c r="H3084" t="s">
        <v>33942</v>
      </c>
      <c r="I3084" t="s">
        <v>25367</v>
      </c>
      <c r="J3084" t="str">
        <f t="shared" si="242"/>
        <v>E:\PropInv\MF</v>
      </c>
      <c r="K3084" s="103" t="str">
        <f>HYPERLINK("E:\PropInv\MF\Galveston\Holiday Dr_711_Chateau LaFitte_Galveston_04315","Holiday Dr_711_Chateau LaFitte_Galveston_04315" )</f>
        <v>Holiday Dr_711_Chateau LaFitte_Galveston_04315</v>
      </c>
      <c r="L3084" s="104" t="s">
        <v>22253</v>
      </c>
      <c r="M3084" s="103" t="str">
        <f t="shared" si="243"/>
        <v>http://oconnordata.com/mlink/modules/profile/index.cfm?action=profile&amp;prop_id=4315</v>
      </c>
      <c r="N3084" s="1" t="str">
        <f t="shared" si="244"/>
        <v>04315</v>
      </c>
    </row>
    <row r="3085" spans="1:14" x14ac:dyDescent="0.3">
      <c r="A3085" s="1">
        <v>4316</v>
      </c>
      <c r="B3085" s="7" t="s">
        <v>4668</v>
      </c>
      <c r="C3085" s="12">
        <v>3301</v>
      </c>
      <c r="D3085" s="7" t="s">
        <v>4669</v>
      </c>
      <c r="E3085" s="13" t="s">
        <v>4559</v>
      </c>
      <c r="F3085" t="str">
        <f t="shared" si="240"/>
        <v>Hughes</v>
      </c>
      <c r="G3085" t="str">
        <f t="shared" si="241"/>
        <v>Hughes3301Dickinson</v>
      </c>
      <c r="H3085" t="s">
        <v>33943</v>
      </c>
      <c r="I3085" t="s">
        <v>25368</v>
      </c>
      <c r="J3085" t="str">
        <f t="shared" si="242"/>
        <v>E:\PropInv\MF</v>
      </c>
      <c r="K3085" s="103" t="str">
        <f>HYPERLINK("E:\PropInv\MF\Dickinson\Hughes Ln_3301_Dickinson Arms_Dickinson_04316","Hughes Ln_3301_Dickinson Arms_Dickinson_04316" )</f>
        <v>Hughes Ln_3301_Dickinson Arms_Dickinson_04316</v>
      </c>
      <c r="L3085" s="104" t="s">
        <v>22253</v>
      </c>
      <c r="M3085" s="103" t="str">
        <f t="shared" si="243"/>
        <v>http://oconnordata.com/mlink/modules/profile/index.cfm?action=profile&amp;prop_id=4316</v>
      </c>
      <c r="N3085" s="1" t="str">
        <f t="shared" si="244"/>
        <v>04316</v>
      </c>
    </row>
    <row r="3086" spans="1:14" x14ac:dyDescent="0.3">
      <c r="A3086" s="1">
        <v>4317</v>
      </c>
      <c r="B3086" s="7" t="s">
        <v>4670</v>
      </c>
      <c r="C3086" s="12">
        <v>9001</v>
      </c>
      <c r="D3086" s="7" t="s">
        <v>4671</v>
      </c>
      <c r="E3086" s="13" t="s">
        <v>4569</v>
      </c>
      <c r="F3086" t="str">
        <f t="shared" si="240"/>
        <v>Glacier</v>
      </c>
      <c r="G3086" t="str">
        <f t="shared" si="241"/>
        <v>Glacier9001Texas City</v>
      </c>
      <c r="H3086" t="s">
        <v>33944</v>
      </c>
      <c r="I3086" t="s">
        <v>25369</v>
      </c>
      <c r="J3086" t="str">
        <f t="shared" si="242"/>
        <v>E:\PropInv\MF</v>
      </c>
      <c r="K3086" s="103" t="str">
        <f>HYPERLINK("E:\PropInv\MF\Texas City\Glacier Ave_9001_Glacier Court_Texas City_04317","Glacier Ave_9001_Glacier Court_Texas City_04317" )</f>
        <v>Glacier Ave_9001_Glacier Court_Texas City_04317</v>
      </c>
      <c r="L3086" s="104" t="s">
        <v>22253</v>
      </c>
      <c r="M3086" s="103" t="str">
        <f t="shared" si="243"/>
        <v>http://oconnordata.com/mlink/modules/profile/index.cfm?action=profile&amp;prop_id=4317</v>
      </c>
      <c r="N3086" s="1" t="str">
        <f t="shared" si="244"/>
        <v>04317</v>
      </c>
    </row>
    <row r="3087" spans="1:14" x14ac:dyDescent="0.3">
      <c r="A3087" s="1">
        <v>4318</v>
      </c>
      <c r="B3087" s="7" t="s">
        <v>3830</v>
      </c>
      <c r="C3087" s="12">
        <v>1720</v>
      </c>
      <c r="D3087" s="7" t="s">
        <v>4672</v>
      </c>
      <c r="E3087" s="13" t="s">
        <v>4673</v>
      </c>
      <c r="F3087" t="str">
        <f t="shared" si="240"/>
        <v>Gulf</v>
      </c>
      <c r="G3087" t="str">
        <f t="shared" si="241"/>
        <v>Gulf1720La Marque</v>
      </c>
      <c r="H3087" t="s">
        <v>33945</v>
      </c>
      <c r="I3087" t="s">
        <v>25370</v>
      </c>
      <c r="J3087" t="str">
        <f t="shared" si="242"/>
        <v>E:\PropInv\MF</v>
      </c>
      <c r="K3087" s="103" t="str">
        <f>HYPERLINK("E:\PropInv\MF\La Marque\Gulf Fwy_1720_Crossing at La Marque II_La Marque_04318","Gulf Fwy_1720_Crossing at La Marque II_La Marque_04318" )</f>
        <v>Gulf Fwy_1720_Crossing at La Marque II_La Marque_04318</v>
      </c>
      <c r="L3087" s="104" t="s">
        <v>22253</v>
      </c>
      <c r="M3087" s="103" t="str">
        <f t="shared" si="243"/>
        <v>http://oconnordata.com/mlink/modules/profile/index.cfm?action=profile&amp;prop_id=4318</v>
      </c>
      <c r="N3087" s="1" t="str">
        <f t="shared" si="244"/>
        <v>04318</v>
      </c>
    </row>
    <row r="3088" spans="1:14" x14ac:dyDescent="0.3">
      <c r="A3088" s="1">
        <v>4319</v>
      </c>
      <c r="B3088" s="7" t="s">
        <v>3830</v>
      </c>
      <c r="C3088" s="12">
        <v>1725</v>
      </c>
      <c r="D3088" s="7" t="s">
        <v>4674</v>
      </c>
      <c r="E3088" s="13" t="s">
        <v>4673</v>
      </c>
      <c r="F3088" t="str">
        <f t="shared" si="240"/>
        <v>Gulf</v>
      </c>
      <c r="G3088" t="str">
        <f t="shared" si="241"/>
        <v>Gulf1725La Marque</v>
      </c>
      <c r="H3088" t="s">
        <v>33946</v>
      </c>
      <c r="I3088" t="s">
        <v>25371</v>
      </c>
      <c r="J3088" t="str">
        <f t="shared" si="242"/>
        <v>E:\PropInv\MF</v>
      </c>
      <c r="K3088" s="103" t="str">
        <f>HYPERLINK("E:\PropInv\MF\La Marque\Gulf Fwy_1725_Crossing at La Marque I_La Marque_04319","Gulf Fwy_1725_Crossing at La Marque I_La Marque_04319" )</f>
        <v>Gulf Fwy_1725_Crossing at La Marque I_La Marque_04319</v>
      </c>
      <c r="L3088" s="104" t="s">
        <v>22253</v>
      </c>
      <c r="M3088" s="103" t="str">
        <f t="shared" si="243"/>
        <v>http://oconnordata.com/mlink/modules/profile/index.cfm?action=profile&amp;prop_id=4319</v>
      </c>
      <c r="N3088" s="1" t="str">
        <f t="shared" si="244"/>
        <v>04319</v>
      </c>
    </row>
    <row r="3089" spans="1:14" x14ac:dyDescent="0.3">
      <c r="A3089" s="1">
        <v>4320</v>
      </c>
      <c r="B3089" s="7" t="s">
        <v>3161</v>
      </c>
      <c r="C3089" s="12">
        <v>215</v>
      </c>
      <c r="D3089" s="7" t="s">
        <v>4675</v>
      </c>
      <c r="E3089" s="13" t="s">
        <v>4565</v>
      </c>
      <c r="F3089" t="str">
        <f t="shared" si="240"/>
        <v>Market</v>
      </c>
      <c r="G3089" t="str">
        <f t="shared" si="241"/>
        <v>Market215Galveston</v>
      </c>
      <c r="H3089" t="s">
        <v>33947</v>
      </c>
      <c r="I3089" t="s">
        <v>25372</v>
      </c>
      <c r="J3089" t="str">
        <f t="shared" si="242"/>
        <v>E:\PropInv\MF</v>
      </c>
      <c r="K3089" s="103" t="str">
        <f>HYPERLINK("E:\PropInv\MF\Galveston\Market_215_Carelton Courtyard_Galveston_04320","Market_215_Carelton Courtyard_Galveston_04320" )</f>
        <v>Market_215_Carelton Courtyard_Galveston_04320</v>
      </c>
      <c r="L3089" s="104" t="s">
        <v>22253</v>
      </c>
      <c r="M3089" s="103" t="str">
        <f t="shared" si="243"/>
        <v>http://oconnordata.com/mlink/modules/profile/index.cfm?action=profile&amp;prop_id=4320</v>
      </c>
      <c r="N3089" s="1" t="str">
        <f t="shared" si="244"/>
        <v>04320</v>
      </c>
    </row>
    <row r="3090" spans="1:14" x14ac:dyDescent="0.3">
      <c r="A3090" s="1">
        <v>4322</v>
      </c>
      <c r="B3090" s="7" t="s">
        <v>2615</v>
      </c>
      <c r="C3090" s="12">
        <v>6601</v>
      </c>
      <c r="D3090" s="7" t="s">
        <v>4676</v>
      </c>
      <c r="E3090" s="13" t="s">
        <v>4569</v>
      </c>
      <c r="F3090" t="str">
        <f t="shared" si="240"/>
        <v>Memorial</v>
      </c>
      <c r="G3090" t="str">
        <f t="shared" si="241"/>
        <v>Memorial6601Texas City</v>
      </c>
      <c r="H3090" t="s">
        <v>33948</v>
      </c>
      <c r="I3090" t="s">
        <v>25373</v>
      </c>
      <c r="J3090" t="str">
        <f t="shared" si="242"/>
        <v>E:\PropInv\MF</v>
      </c>
      <c r="K3090" s="103" t="str">
        <f>HYPERLINK("E:\PropInv\MF\Texas City\Memorial_6601_Memorial Oaks_Texas City_04322","Memorial_6601_Memorial Oaks_Texas City_04322" )</f>
        <v>Memorial_6601_Memorial Oaks_Texas City_04322</v>
      </c>
      <c r="L3090" s="104" t="s">
        <v>22253</v>
      </c>
      <c r="M3090" s="103" t="str">
        <f t="shared" si="243"/>
        <v>http://oconnordata.com/mlink/modules/profile/index.cfm?action=profile&amp;prop_id=4322</v>
      </c>
      <c r="N3090" s="1" t="str">
        <f t="shared" si="244"/>
        <v>04322</v>
      </c>
    </row>
    <row r="3091" spans="1:14" x14ac:dyDescent="0.3">
      <c r="A3091" s="1">
        <v>4323</v>
      </c>
      <c r="B3091" s="7" t="s">
        <v>4677</v>
      </c>
      <c r="C3091" s="12">
        <v>5601</v>
      </c>
      <c r="D3091" s="7" t="s">
        <v>4678</v>
      </c>
      <c r="E3091" s="13" t="s">
        <v>4559</v>
      </c>
      <c r="F3091" t="str">
        <f t="shared" si="240"/>
        <v>517</v>
      </c>
      <c r="G3091" t="str">
        <f t="shared" si="241"/>
        <v>5175601Dickinson</v>
      </c>
      <c r="H3091" t="s">
        <v>33949</v>
      </c>
      <c r="I3091" t="s">
        <v>25374</v>
      </c>
      <c r="J3091" t="str">
        <f t="shared" si="242"/>
        <v>E:\PropInv\MF</v>
      </c>
      <c r="K3091" s="103" t="str">
        <f>HYPERLINK("E:\PropInv\MF\Dickinson\517 Hwy E_5601_Torrey Pines_Dickinson_04323","517 Hwy E_5601_Torrey Pines_Dickinson_04323" )</f>
        <v>517 Hwy E_5601_Torrey Pines_Dickinson_04323</v>
      </c>
      <c r="L3091" s="104" t="s">
        <v>22253</v>
      </c>
      <c r="M3091" s="103" t="str">
        <f t="shared" si="243"/>
        <v>http://oconnordata.com/mlink/modules/profile/index.cfm?action=profile&amp;prop_id=4323</v>
      </c>
      <c r="N3091" s="1" t="str">
        <f t="shared" si="244"/>
        <v>04323</v>
      </c>
    </row>
    <row r="3092" spans="1:14" x14ac:dyDescent="0.3">
      <c r="A3092" s="1">
        <v>4324</v>
      </c>
      <c r="B3092" s="7" t="s">
        <v>4679</v>
      </c>
      <c r="C3092" s="12">
        <v>305</v>
      </c>
      <c r="D3092" s="7" t="s">
        <v>4680</v>
      </c>
      <c r="E3092" s="13" t="s">
        <v>4563</v>
      </c>
      <c r="F3092" t="str">
        <f t="shared" si="240"/>
        <v>Hobbs</v>
      </c>
      <c r="G3092" t="str">
        <f t="shared" si="241"/>
        <v>Hobbs305League City</v>
      </c>
      <c r="H3092" t="s">
        <v>33950</v>
      </c>
      <c r="I3092" t="s">
        <v>25375</v>
      </c>
      <c r="J3092" t="str">
        <f t="shared" si="242"/>
        <v>E:\PropInv\MF</v>
      </c>
      <c r="K3092" s="103" t="str">
        <f>HYPERLINK("E:\PropInv\MF\League City\Hobbs Rd_305_The Oaks of League City_League City_04324","Hobbs Rd_305_The Oaks of League City_League City_04324" )</f>
        <v>Hobbs Rd_305_The Oaks of League City_League City_04324</v>
      </c>
      <c r="L3092" s="104" t="s">
        <v>22253</v>
      </c>
      <c r="M3092" s="103" t="str">
        <f t="shared" si="243"/>
        <v>http://oconnordata.com/mlink/modules/profile/index.cfm?action=profile&amp;prop_id=4324</v>
      </c>
      <c r="N3092" s="1" t="str">
        <f t="shared" si="244"/>
        <v>04324</v>
      </c>
    </row>
    <row r="3093" spans="1:14" x14ac:dyDescent="0.3">
      <c r="A3093" s="1">
        <v>4326</v>
      </c>
      <c r="B3093" s="7" t="s">
        <v>4681</v>
      </c>
      <c r="C3093" s="12">
        <v>301</v>
      </c>
      <c r="D3093" s="7" t="s">
        <v>729</v>
      </c>
      <c r="E3093" s="13" t="s">
        <v>4563</v>
      </c>
      <c r="F3093" t="str">
        <f t="shared" si="240"/>
        <v>Wesley</v>
      </c>
      <c r="G3093" t="str">
        <f t="shared" si="241"/>
        <v>Wesley301League City</v>
      </c>
      <c r="H3093" t="s">
        <v>33951</v>
      </c>
      <c r="I3093" t="s">
        <v>25376</v>
      </c>
      <c r="J3093" t="str">
        <f t="shared" si="242"/>
        <v>E:\PropInv\MF</v>
      </c>
      <c r="K3093" s="103" t="str">
        <f>HYPERLINK("E:\PropInv\MF\League City\Wesley Dr N_301_Riverbend_League City_04326","Wesley Dr N_301_Riverbend_League City_04326" )</f>
        <v>Wesley Dr N_301_Riverbend_League City_04326</v>
      </c>
      <c r="L3093" s="104" t="s">
        <v>22253</v>
      </c>
      <c r="M3093" s="103" t="str">
        <f t="shared" si="243"/>
        <v>http://oconnordata.com/mlink/modules/profile/index.cfm?action=profile&amp;prop_id=4326</v>
      </c>
      <c r="N3093" s="1" t="str">
        <f t="shared" si="244"/>
        <v>04326</v>
      </c>
    </row>
    <row r="3094" spans="1:14" x14ac:dyDescent="0.3">
      <c r="A3094" s="1">
        <v>4328</v>
      </c>
      <c r="B3094" s="7" t="s">
        <v>4682</v>
      </c>
      <c r="C3094" s="12">
        <v>100</v>
      </c>
      <c r="D3094" s="7" t="s">
        <v>4683</v>
      </c>
      <c r="E3094" s="13" t="s">
        <v>4565</v>
      </c>
      <c r="F3094" t="str">
        <f t="shared" si="240"/>
        <v>Market</v>
      </c>
      <c r="G3094" t="str">
        <f t="shared" si="241"/>
        <v>Market100Galveston</v>
      </c>
      <c r="H3094" t="s">
        <v>33952</v>
      </c>
      <c r="I3094" t="s">
        <v>25377</v>
      </c>
      <c r="J3094" t="str">
        <f t="shared" si="242"/>
        <v>E:\PropInv\MF</v>
      </c>
      <c r="K3094" s="103" t="str">
        <f>HYPERLINK("E:\PropInv\MF\Galveston\Market St_100_Ebbtide_Galveston_04328","Market St_100_Ebbtide_Galveston_04328" )</f>
        <v>Market St_100_Ebbtide_Galveston_04328</v>
      </c>
      <c r="L3094" s="104" t="s">
        <v>22253</v>
      </c>
      <c r="M3094" s="103" t="str">
        <f t="shared" si="243"/>
        <v>http://oconnordata.com/mlink/modules/profile/index.cfm?action=profile&amp;prop_id=4328</v>
      </c>
      <c r="N3094" s="1" t="str">
        <f t="shared" si="244"/>
        <v>04328</v>
      </c>
    </row>
    <row r="3095" spans="1:14" x14ac:dyDescent="0.3">
      <c r="A3095" s="1">
        <v>4329</v>
      </c>
      <c r="B3095" s="7" t="s">
        <v>4684</v>
      </c>
      <c r="C3095" s="12">
        <v>25469</v>
      </c>
      <c r="D3095" s="7" t="s">
        <v>4685</v>
      </c>
      <c r="E3095" s="13" t="s">
        <v>1508</v>
      </c>
      <c r="F3095" t="str">
        <f t="shared" si="240"/>
        <v>Borough</v>
      </c>
      <c r="G3095" t="str">
        <f t="shared" si="241"/>
        <v>Borough25469The Woodlands</v>
      </c>
      <c r="H3095" t="s">
        <v>33953</v>
      </c>
      <c r="I3095" t="s">
        <v>25378</v>
      </c>
      <c r="J3095" t="str">
        <f t="shared" si="242"/>
        <v>E:\PropInv\MF</v>
      </c>
      <c r="K3095" s="103" t="str">
        <f>HYPERLINK("E:\PropInv\MF\The Woodlands\Borough Park Dr_25469_Mission Woods_The Woodlands_04329","Borough Park Dr_25469_Mission Woods_The Woodlands_04329" )</f>
        <v>Borough Park Dr_25469_Mission Woods_The Woodlands_04329</v>
      </c>
      <c r="L3095" s="104" t="s">
        <v>22253</v>
      </c>
      <c r="M3095" s="103" t="str">
        <f t="shared" si="243"/>
        <v>http://oconnordata.com/mlink/modules/profile/index.cfm?action=profile&amp;prop_id=4329</v>
      </c>
      <c r="N3095" s="1" t="str">
        <f t="shared" si="244"/>
        <v>04329</v>
      </c>
    </row>
    <row r="3096" spans="1:14" x14ac:dyDescent="0.3">
      <c r="A3096" s="1">
        <v>4330</v>
      </c>
      <c r="B3096" s="7" t="s">
        <v>4686</v>
      </c>
      <c r="C3096" s="12">
        <v>24270</v>
      </c>
      <c r="D3096" s="7" t="s">
        <v>4687</v>
      </c>
      <c r="E3096" s="13" t="s">
        <v>4688</v>
      </c>
      <c r="F3096" t="str">
        <f t="shared" si="240"/>
        <v>1314</v>
      </c>
      <c r="G3096" t="str">
        <f t="shared" si="241"/>
        <v>131424270Porter</v>
      </c>
      <c r="H3096" t="s">
        <v>33954</v>
      </c>
      <c r="I3096" t="s">
        <v>25379</v>
      </c>
      <c r="J3096" t="str">
        <f t="shared" si="242"/>
        <v>E:\PropInv\MF</v>
      </c>
      <c r="K3096" s="103" t="str">
        <f>HYPERLINK("E:\PropInv\MF\Porter\1314 FM_24270_Porterwood_Porter_04330","1314 FM_24270_Porterwood_Porter_04330" )</f>
        <v>1314 FM_24270_Porterwood_Porter_04330</v>
      </c>
      <c r="L3096" s="104" t="s">
        <v>22253</v>
      </c>
      <c r="M3096" s="103" t="str">
        <f t="shared" si="243"/>
        <v>http://oconnordata.com/mlink/modules/profile/index.cfm?action=profile&amp;prop_id=4330</v>
      </c>
      <c r="N3096" s="1" t="str">
        <f t="shared" si="244"/>
        <v>04330</v>
      </c>
    </row>
    <row r="3097" spans="1:14" x14ac:dyDescent="0.3">
      <c r="A3097" s="1">
        <v>4331</v>
      </c>
      <c r="B3097" s="7" t="s">
        <v>4689</v>
      </c>
      <c r="C3097" s="12">
        <v>2205</v>
      </c>
      <c r="D3097" s="7" t="s">
        <v>1391</v>
      </c>
      <c r="E3097" s="13" t="s">
        <v>4616</v>
      </c>
      <c r="F3097" t="str">
        <f t="shared" si="240"/>
        <v>Frazier</v>
      </c>
      <c r="G3097" t="str">
        <f t="shared" si="241"/>
        <v>Frazier2205Conroe</v>
      </c>
      <c r="H3097" t="s">
        <v>33955</v>
      </c>
      <c r="I3097" t="s">
        <v>25380</v>
      </c>
      <c r="J3097" t="str">
        <f t="shared" si="242"/>
        <v>E:\PropInv\MF</v>
      </c>
      <c r="K3097" s="103" t="str">
        <f>HYPERLINK("E:\PropInv\MF\Conroe\Frazier N_2205_Sun Park_Conroe_04331","Frazier N_2205_Sun Park_Conroe_04331" )</f>
        <v>Frazier N_2205_Sun Park_Conroe_04331</v>
      </c>
      <c r="L3097" s="104" t="s">
        <v>22253</v>
      </c>
      <c r="M3097" s="103" t="str">
        <f t="shared" si="243"/>
        <v>http://oconnordata.com/mlink/modules/profile/index.cfm?action=profile&amp;prop_id=4331</v>
      </c>
      <c r="N3097" s="1" t="str">
        <f t="shared" si="244"/>
        <v>04331</v>
      </c>
    </row>
    <row r="3098" spans="1:14" x14ac:dyDescent="0.3">
      <c r="A3098" s="1">
        <v>4332</v>
      </c>
      <c r="B3098" s="7" t="s">
        <v>4690</v>
      </c>
      <c r="C3098" s="12">
        <v>8008</v>
      </c>
      <c r="D3098" s="7" t="s">
        <v>4691</v>
      </c>
      <c r="E3098" s="13" t="s">
        <v>4565</v>
      </c>
      <c r="F3098" t="str">
        <f t="shared" si="240"/>
        <v>Seawall</v>
      </c>
      <c r="G3098" t="str">
        <f t="shared" si="241"/>
        <v>Seawall8008Galveston</v>
      </c>
      <c r="H3098" t="s">
        <v>33956</v>
      </c>
      <c r="I3098" t="s">
        <v>25381</v>
      </c>
      <c r="J3098" t="str">
        <f t="shared" si="242"/>
        <v>E:\PropInv\MF</v>
      </c>
      <c r="K3098" s="103" t="str">
        <f>HYPERLINK("E:\PropInv\MF\Galveston\Seawall Blvd_8008_Antigua_Galveston_04332","Seawall Blvd_8008_Antigua_Galveston_04332" )</f>
        <v>Seawall Blvd_8008_Antigua_Galveston_04332</v>
      </c>
      <c r="L3098" s="104" t="s">
        <v>22253</v>
      </c>
      <c r="M3098" s="103" t="str">
        <f t="shared" si="243"/>
        <v>http://oconnordata.com/mlink/modules/profile/index.cfm?action=profile&amp;prop_id=4332</v>
      </c>
      <c r="N3098" s="1" t="str">
        <f t="shared" si="244"/>
        <v>04332</v>
      </c>
    </row>
    <row r="3099" spans="1:14" x14ac:dyDescent="0.3">
      <c r="A3099" s="1">
        <v>4333</v>
      </c>
      <c r="B3099" s="7" t="s">
        <v>4692</v>
      </c>
      <c r="C3099" s="12">
        <v>111</v>
      </c>
      <c r="D3099" s="7" t="s">
        <v>4693</v>
      </c>
      <c r="E3099" s="13" t="s">
        <v>4297</v>
      </c>
      <c r="F3099" t="str">
        <f t="shared" si="240"/>
        <v>Skyview</v>
      </c>
      <c r="G3099" t="str">
        <f t="shared" si="241"/>
        <v>Skyview111Friendswood</v>
      </c>
      <c r="H3099" t="s">
        <v>33957</v>
      </c>
      <c r="I3099" t="s">
        <v>25382</v>
      </c>
      <c r="J3099" t="str">
        <f t="shared" si="242"/>
        <v>E:\PropInv\MF</v>
      </c>
      <c r="K3099" s="103" t="str">
        <f>HYPERLINK("E:\PropInv\MF\Friendswood\Skyview_111_Village Square_Friendswood_04333","Skyview_111_Village Square_Friendswood_04333" )</f>
        <v>Skyview_111_Village Square_Friendswood_04333</v>
      </c>
      <c r="L3099" s="104" t="s">
        <v>22253</v>
      </c>
      <c r="M3099" s="103" t="str">
        <f t="shared" si="243"/>
        <v>http://oconnordata.com/mlink/modules/profile/index.cfm?action=profile&amp;prop_id=4333</v>
      </c>
      <c r="N3099" s="1" t="str">
        <f t="shared" si="244"/>
        <v>04333</v>
      </c>
    </row>
    <row r="3100" spans="1:14" x14ac:dyDescent="0.3">
      <c r="A3100" s="1">
        <v>4334</v>
      </c>
      <c r="B3100" s="7" t="s">
        <v>4694</v>
      </c>
      <c r="C3100" s="12">
        <v>2525</v>
      </c>
      <c r="D3100" s="7" t="s">
        <v>4695</v>
      </c>
      <c r="E3100" s="13" t="s">
        <v>4563</v>
      </c>
      <c r="F3100" t="str">
        <f t="shared" si="240"/>
        <v>Saint</v>
      </c>
      <c r="G3100" t="str">
        <f t="shared" si="241"/>
        <v>Saint2525League City</v>
      </c>
      <c r="H3100" t="s">
        <v>33958</v>
      </c>
      <c r="I3100" t="s">
        <v>25383</v>
      </c>
      <c r="J3100" t="str">
        <f t="shared" si="242"/>
        <v>E:\PropInv\MF</v>
      </c>
      <c r="K3100" s="103" t="str">
        <f>HYPERLINK("E:\PropInv\MF\League City\Saint Christopher_2525_Huntcliff_League City_04334","Saint Christopher_2525_Huntcliff_League City_04334" )</f>
        <v>Saint Christopher_2525_Huntcliff_League City_04334</v>
      </c>
      <c r="L3100" s="104" t="s">
        <v>22253</v>
      </c>
      <c r="M3100" s="103" t="str">
        <f t="shared" si="243"/>
        <v>http://oconnordata.com/mlink/modules/profile/index.cfm?action=profile&amp;prop_id=4334</v>
      </c>
      <c r="N3100" s="1" t="str">
        <f t="shared" si="244"/>
        <v>04334</v>
      </c>
    </row>
    <row r="3101" spans="1:14" x14ac:dyDescent="0.3">
      <c r="A3101" s="1">
        <v>4335</v>
      </c>
      <c r="B3101" s="7" t="s">
        <v>4696</v>
      </c>
      <c r="C3101" s="12">
        <v>231</v>
      </c>
      <c r="D3101" s="7" t="s">
        <v>4697</v>
      </c>
      <c r="E3101" s="13" t="s">
        <v>4616</v>
      </c>
      <c r="F3101" t="str">
        <f t="shared" si="240"/>
        <v>45</v>
      </c>
      <c r="G3101" t="str">
        <f t="shared" si="241"/>
        <v>45231Conroe</v>
      </c>
      <c r="H3101" t="s">
        <v>33959</v>
      </c>
      <c r="I3101" t="s">
        <v>25384</v>
      </c>
      <c r="J3101" t="str">
        <f t="shared" si="242"/>
        <v>E:\PropInv\MF</v>
      </c>
      <c r="K3101" s="103" t="str">
        <f>HYPERLINK("E:\PropInv\MF\Conroe\45 IH N_231_Stone Ridge II_Conroe_04335","45 IH N_231_Stone Ridge II_Conroe_04335" )</f>
        <v>45 IH N_231_Stone Ridge II_Conroe_04335</v>
      </c>
      <c r="L3101" s="104" t="s">
        <v>22253</v>
      </c>
      <c r="M3101" s="103" t="str">
        <f t="shared" si="243"/>
        <v>http://oconnordata.com/mlink/modules/profile/index.cfm?action=profile&amp;prop_id=4335</v>
      </c>
      <c r="N3101" s="1" t="str">
        <f t="shared" si="244"/>
        <v>04335</v>
      </c>
    </row>
    <row r="3102" spans="1:14" x14ac:dyDescent="0.3">
      <c r="A3102" s="1">
        <v>4337</v>
      </c>
      <c r="B3102" s="7" t="s">
        <v>4696</v>
      </c>
      <c r="C3102" s="12">
        <v>25650</v>
      </c>
      <c r="D3102" s="7" t="s">
        <v>4698</v>
      </c>
      <c r="E3102" s="13" t="s">
        <v>1671</v>
      </c>
      <c r="F3102" t="str">
        <f t="shared" si="240"/>
        <v>45</v>
      </c>
      <c r="G3102" t="str">
        <f t="shared" si="241"/>
        <v>4525650Spring</v>
      </c>
      <c r="H3102" t="s">
        <v>33960</v>
      </c>
      <c r="I3102" t="s">
        <v>25385</v>
      </c>
      <c r="J3102" t="str">
        <f t="shared" si="242"/>
        <v>E:\PropInv\MF</v>
      </c>
      <c r="K3102" s="103" t="str">
        <f>HYPERLINK("E:\PropInv\MF\Spring\45 IH N_25650_Briarcrest_Spring_04337","45 IH N_25650_Briarcrest_Spring_04337" )</f>
        <v>45 IH N_25650_Briarcrest_Spring_04337</v>
      </c>
      <c r="L3102" s="104" t="s">
        <v>22253</v>
      </c>
      <c r="M3102" s="103" t="str">
        <f t="shared" si="243"/>
        <v>http://oconnordata.com/mlink/modules/profile/index.cfm?action=profile&amp;prop_id=4337</v>
      </c>
      <c r="N3102" s="1" t="str">
        <f t="shared" si="244"/>
        <v>04337</v>
      </c>
    </row>
    <row r="3103" spans="1:14" x14ac:dyDescent="0.3">
      <c r="A3103" s="1">
        <v>4338</v>
      </c>
      <c r="B3103" s="7" t="s">
        <v>4699</v>
      </c>
      <c r="C3103" s="12" t="s">
        <v>4700</v>
      </c>
      <c r="D3103" s="7" t="s">
        <v>4701</v>
      </c>
      <c r="E3103" s="13" t="s">
        <v>4563</v>
      </c>
      <c r="F3103" t="str">
        <f t="shared" si="240"/>
        <v>Pecan</v>
      </c>
      <c r="G3103" t="str">
        <f t="shared" si="241"/>
        <v>Pecan150-200League City</v>
      </c>
      <c r="H3103" t="s">
        <v>33961</v>
      </c>
      <c r="I3103" t="s">
        <v>25386</v>
      </c>
      <c r="J3103" t="str">
        <f t="shared" si="242"/>
        <v>E:\PropInv\MF</v>
      </c>
      <c r="K3103" s="103" t="str">
        <f>HYPERLINK("E:\PropInv\MF\League City\Pecan Forest_150-200_Pecan Forest TH_League City_04338","Pecan Forest_150-200_Pecan Forest TH_League City_04338" )</f>
        <v>Pecan Forest_150-200_Pecan Forest TH_League City_04338</v>
      </c>
      <c r="L3103" s="104" t="s">
        <v>22253</v>
      </c>
      <c r="M3103" s="103" t="str">
        <f t="shared" si="243"/>
        <v>http://oconnordata.com/mlink/modules/profile/index.cfm?action=profile&amp;prop_id=4338</v>
      </c>
      <c r="N3103" s="1" t="str">
        <f t="shared" si="244"/>
        <v>04338</v>
      </c>
    </row>
    <row r="3104" spans="1:14" x14ac:dyDescent="0.3">
      <c r="A3104" s="1">
        <v>4339</v>
      </c>
      <c r="B3104" s="7" t="s">
        <v>4702</v>
      </c>
      <c r="C3104" s="12">
        <v>4314</v>
      </c>
      <c r="D3104" s="7" t="s">
        <v>4703</v>
      </c>
      <c r="E3104" s="13" t="s">
        <v>1329</v>
      </c>
      <c r="F3104" t="str">
        <f t="shared" si="240"/>
        <v>Ave</v>
      </c>
      <c r="G3104" t="str">
        <f t="shared" si="241"/>
        <v>Ave4314Santa Fe</v>
      </c>
      <c r="H3104" t="s">
        <v>33962</v>
      </c>
      <c r="I3104" t="s">
        <v>25387</v>
      </c>
      <c r="J3104" t="str">
        <f t="shared" si="242"/>
        <v>E:\PropInv\MF</v>
      </c>
      <c r="K3104" s="103" t="str">
        <f>HYPERLINK("E:\PropInv\MF\Santa Fe\Ave .5 Q_4314_Village Manor_Santa Fe_04339","Ave .5 Q_4314_Village Manor_Santa Fe_04339" )</f>
        <v>Ave .5 Q_4314_Village Manor_Santa Fe_04339</v>
      </c>
      <c r="L3104" s="104" t="s">
        <v>22253</v>
      </c>
      <c r="M3104" s="103" t="str">
        <f t="shared" si="243"/>
        <v>http://oconnordata.com/mlink/modules/profile/index.cfm?action=profile&amp;prop_id=4339</v>
      </c>
      <c r="N3104" s="1" t="str">
        <f t="shared" si="244"/>
        <v>04339</v>
      </c>
    </row>
    <row r="3105" spans="1:14" x14ac:dyDescent="0.3">
      <c r="A3105" s="1">
        <v>4342</v>
      </c>
      <c r="B3105" s="7" t="s">
        <v>4704</v>
      </c>
      <c r="C3105" s="12">
        <v>7301</v>
      </c>
      <c r="D3105" s="7" t="s">
        <v>4192</v>
      </c>
      <c r="E3105" s="107" t="s">
        <v>4565</v>
      </c>
      <c r="F3105" t="str">
        <f t="shared" si="240"/>
        <v>Stewart</v>
      </c>
      <c r="G3105" t="str">
        <f t="shared" si="241"/>
        <v>Stewart7301Galveston</v>
      </c>
      <c r="H3105" t="s">
        <v>33963</v>
      </c>
      <c r="I3105" t="s">
        <v>25388</v>
      </c>
      <c r="J3105" t="str">
        <f t="shared" si="242"/>
        <v>E:\PropInv\MF</v>
      </c>
      <c r="K3105" s="103" t="str">
        <f>HYPERLINK("E:\PropInv\MF\Galveston\Stewart Rd_7301_The Pointe_Galveston_04342","Stewart Rd_7301_The Pointe_Galveston_04342" )</f>
        <v>Stewart Rd_7301_The Pointe_Galveston_04342</v>
      </c>
      <c r="L3105" s="104" t="s">
        <v>22253</v>
      </c>
      <c r="M3105" s="103" t="str">
        <f t="shared" si="243"/>
        <v>http://oconnordata.com/mlink/modules/profile/index.cfm?action=profile&amp;prop_id=4342</v>
      </c>
      <c r="N3105" s="1" t="str">
        <f t="shared" si="244"/>
        <v>04342</v>
      </c>
    </row>
    <row r="3106" spans="1:14" x14ac:dyDescent="0.3">
      <c r="A3106" s="1">
        <v>4343</v>
      </c>
      <c r="B3106" s="7" t="s">
        <v>4704</v>
      </c>
      <c r="C3106" s="12">
        <v>8020</v>
      </c>
      <c r="D3106" s="7" t="s">
        <v>4705</v>
      </c>
      <c r="E3106" s="13" t="s">
        <v>4565</v>
      </c>
      <c r="F3106" t="str">
        <f t="shared" si="240"/>
        <v>Stewart</v>
      </c>
      <c r="G3106" t="str">
        <f t="shared" si="241"/>
        <v>Stewart8020Galveston</v>
      </c>
      <c r="H3106" t="s">
        <v>33964</v>
      </c>
      <c r="I3106" t="s">
        <v>25389</v>
      </c>
      <c r="J3106" t="str">
        <f t="shared" si="242"/>
        <v>E:\PropInv\MF</v>
      </c>
      <c r="K3106" s="103" t="str">
        <f>HYPERLINK("E:\PropInv\MF\Galveston\Stewart Rd_8020_Gulf Wind_Galveston_04343","Stewart Rd_8020_Gulf Wind_Galveston_04343" )</f>
        <v>Stewart Rd_8020_Gulf Wind_Galveston_04343</v>
      </c>
      <c r="L3106" s="104" t="s">
        <v>22253</v>
      </c>
      <c r="M3106" s="103" t="str">
        <f t="shared" si="243"/>
        <v>http://oconnordata.com/mlink/modules/profile/index.cfm?action=profile&amp;prop_id=4343</v>
      </c>
      <c r="N3106" s="1" t="str">
        <f t="shared" si="244"/>
        <v>04343</v>
      </c>
    </row>
    <row r="3107" spans="1:14" x14ac:dyDescent="0.3">
      <c r="A3107" s="1">
        <v>4344</v>
      </c>
      <c r="B3107" s="7" t="s">
        <v>3103</v>
      </c>
      <c r="C3107" s="12">
        <v>2902</v>
      </c>
      <c r="D3107" s="7" t="s">
        <v>4706</v>
      </c>
      <c r="E3107" s="13" t="s">
        <v>4569</v>
      </c>
      <c r="F3107" t="str">
        <f t="shared" si="240"/>
        <v>Texas</v>
      </c>
      <c r="G3107" t="str">
        <f t="shared" si="241"/>
        <v>Texas2902Texas City</v>
      </c>
      <c r="H3107" t="s">
        <v>33965</v>
      </c>
      <c r="I3107" t="s">
        <v>25390</v>
      </c>
      <c r="J3107" t="str">
        <f t="shared" si="242"/>
        <v>E:\PropInv\MF</v>
      </c>
      <c r="K3107" s="103" t="str">
        <f>HYPERLINK("E:\PropInv\MF\Texas City\Texas Ave_2902_Velami_Texas City_04344","Texas Ave_2902_Velami_Texas City_04344" )</f>
        <v>Texas Ave_2902_Velami_Texas City_04344</v>
      </c>
      <c r="L3107" s="104" t="s">
        <v>22253</v>
      </c>
      <c r="M3107" s="103" t="str">
        <f t="shared" si="243"/>
        <v>http://oconnordata.com/mlink/modules/profile/index.cfm?action=profile&amp;prop_id=4344</v>
      </c>
      <c r="N3107" s="1" t="str">
        <f t="shared" si="244"/>
        <v>04344</v>
      </c>
    </row>
    <row r="3108" spans="1:14" x14ac:dyDescent="0.3">
      <c r="A3108" s="1">
        <v>4345</v>
      </c>
      <c r="B3108" s="7" t="s">
        <v>4707</v>
      </c>
      <c r="C3108" s="12">
        <v>310</v>
      </c>
      <c r="D3108" s="7" t="s">
        <v>4708</v>
      </c>
      <c r="E3108" s="13" t="s">
        <v>4563</v>
      </c>
      <c r="F3108" t="str">
        <f t="shared" si="240"/>
        <v>Waco</v>
      </c>
      <c r="G3108" t="str">
        <f t="shared" si="241"/>
        <v>Waco310League City</v>
      </c>
      <c r="H3108" t="s">
        <v>33966</v>
      </c>
      <c r="I3108" t="s">
        <v>25391</v>
      </c>
      <c r="J3108" t="str">
        <f t="shared" si="242"/>
        <v>E:\PropInv\MF</v>
      </c>
      <c r="K3108" s="103" t="str">
        <f>HYPERLINK("E:\PropInv\MF\League City\Waco_310_3rd Street Village_League City_04345","Waco_310_3rd Street Village_League City_04345" )</f>
        <v>Waco_310_3rd Street Village_League City_04345</v>
      </c>
      <c r="L3108" s="104" t="s">
        <v>22253</v>
      </c>
      <c r="M3108" s="103" t="str">
        <f t="shared" si="243"/>
        <v>http://oconnordata.com/mlink/modules/profile/index.cfm?action=profile&amp;prop_id=4345</v>
      </c>
      <c r="N3108" s="1" t="str">
        <f t="shared" si="244"/>
        <v>04345</v>
      </c>
    </row>
    <row r="3109" spans="1:14" x14ac:dyDescent="0.3">
      <c r="A3109" s="1">
        <v>4346</v>
      </c>
      <c r="B3109" s="7" t="s">
        <v>4709</v>
      </c>
      <c r="C3109" s="12">
        <v>3916</v>
      </c>
      <c r="D3109" s="7" t="s">
        <v>4710</v>
      </c>
      <c r="E3109" s="13" t="s">
        <v>4565</v>
      </c>
      <c r="F3109" t="str">
        <f t="shared" si="240"/>
        <v>Winnie</v>
      </c>
      <c r="G3109" t="str">
        <f t="shared" si="241"/>
        <v>Winnie3916Galveston</v>
      </c>
      <c r="H3109" t="s">
        <v>33967</v>
      </c>
      <c r="I3109" t="s">
        <v>25392</v>
      </c>
      <c r="J3109" t="str">
        <f t="shared" si="242"/>
        <v>E:\PropInv\MF</v>
      </c>
      <c r="K3109" s="103" t="str">
        <f>HYPERLINK("E:\PropInv\MF\Galveston\Winnie_3916_Sandpiper Cove_Galveston_04346","Winnie_3916_Sandpiper Cove_Galveston_04346" )</f>
        <v>Winnie_3916_Sandpiper Cove_Galveston_04346</v>
      </c>
      <c r="L3109" s="104" t="s">
        <v>22253</v>
      </c>
      <c r="M3109" s="103" t="str">
        <f t="shared" si="243"/>
        <v>http://oconnordata.com/mlink/modules/profile/index.cfm?action=profile&amp;prop_id=4346</v>
      </c>
      <c r="N3109" s="1" t="str">
        <f t="shared" si="244"/>
        <v>04346</v>
      </c>
    </row>
    <row r="3110" spans="1:14" x14ac:dyDescent="0.3">
      <c r="A3110" s="1">
        <v>4347</v>
      </c>
      <c r="B3110" s="7" t="s">
        <v>4711</v>
      </c>
      <c r="C3110" s="12">
        <v>8801</v>
      </c>
      <c r="D3110" s="7" t="s">
        <v>4712</v>
      </c>
      <c r="E3110" s="13" t="s">
        <v>4569</v>
      </c>
      <c r="F3110" t="str">
        <f t="shared" si="240"/>
        <v>Monticello</v>
      </c>
      <c r="G3110" t="str">
        <f t="shared" si="241"/>
        <v>Monticello8801Texas City</v>
      </c>
      <c r="H3110" t="s">
        <v>33968</v>
      </c>
      <c r="I3110" t="s">
        <v>25393</v>
      </c>
      <c r="J3110" t="str">
        <f t="shared" si="242"/>
        <v>E:\PropInv\MF</v>
      </c>
      <c r="K3110" s="103" t="str">
        <f>HYPERLINK("E:\PropInv\MF\Texas City\Monticello Dr_8801_The Breakers_Texas City_04347","Monticello Dr_8801_The Breakers_Texas City_04347" )</f>
        <v>Monticello Dr_8801_The Breakers_Texas City_04347</v>
      </c>
      <c r="L3110" s="104" t="s">
        <v>22253</v>
      </c>
      <c r="M3110" s="103" t="str">
        <f t="shared" si="243"/>
        <v>http://oconnordata.com/mlink/modules/profile/index.cfm?action=profile&amp;prop_id=4347</v>
      </c>
      <c r="N3110" s="1" t="str">
        <f t="shared" si="244"/>
        <v>04347</v>
      </c>
    </row>
    <row r="3111" spans="1:14" x14ac:dyDescent="0.3">
      <c r="A3111" s="1">
        <v>4348</v>
      </c>
      <c r="B3111" s="7" t="s">
        <v>4639</v>
      </c>
      <c r="C3111" s="12">
        <v>2405</v>
      </c>
      <c r="D3111" s="7" t="s">
        <v>4713</v>
      </c>
      <c r="E3111" s="13" t="s">
        <v>4569</v>
      </c>
      <c r="F3111" t="str">
        <f t="shared" si="240"/>
        <v>Palmer</v>
      </c>
      <c r="G3111" t="str">
        <f t="shared" si="241"/>
        <v>Palmer2405Texas City</v>
      </c>
      <c r="H3111" t="s">
        <v>33969</v>
      </c>
      <c r="I3111" t="s">
        <v>25394</v>
      </c>
      <c r="J3111" t="str">
        <f t="shared" si="242"/>
        <v>E:\PropInv\MF</v>
      </c>
      <c r="K3111" s="103" t="str">
        <f>HYPERLINK("E:\PropInv\MF\Texas City\Palmer Hwy_2405_Palmer House_Texas City_04348","Palmer Hwy_2405_Palmer House_Texas City_04348" )</f>
        <v>Palmer Hwy_2405_Palmer House_Texas City_04348</v>
      </c>
      <c r="L3111" s="104" t="s">
        <v>22253</v>
      </c>
      <c r="M3111" s="103" t="str">
        <f t="shared" si="243"/>
        <v>http://oconnordata.com/mlink/modules/profile/index.cfm?action=profile&amp;prop_id=4348</v>
      </c>
      <c r="N3111" s="1" t="str">
        <f t="shared" si="244"/>
        <v>04348</v>
      </c>
    </row>
    <row r="3112" spans="1:14" x14ac:dyDescent="0.3">
      <c r="A3112" s="1">
        <v>4349</v>
      </c>
      <c r="B3112" s="7" t="s">
        <v>4639</v>
      </c>
      <c r="C3112" s="12">
        <v>8801</v>
      </c>
      <c r="D3112" s="7" t="s">
        <v>234</v>
      </c>
      <c r="E3112" s="13" t="s">
        <v>4569</v>
      </c>
      <c r="F3112" t="str">
        <f t="shared" si="240"/>
        <v>Palmer</v>
      </c>
      <c r="G3112" t="str">
        <f t="shared" si="241"/>
        <v>Palmer8801Texas City</v>
      </c>
      <c r="H3112" t="s">
        <v>33970</v>
      </c>
      <c r="I3112" t="s">
        <v>25395</v>
      </c>
      <c r="J3112" t="str">
        <f t="shared" si="242"/>
        <v>E:\PropInv\MF</v>
      </c>
      <c r="K3112" s="103" t="str">
        <f>HYPERLINK("E:\PropInv\MF\Texas City\Palmer Hwy_8801_Lakeview_Texas City_04349","Palmer Hwy_8801_Lakeview_Texas City_04349" )</f>
        <v>Palmer Hwy_8801_Lakeview_Texas City_04349</v>
      </c>
      <c r="L3112" s="104" t="s">
        <v>22253</v>
      </c>
      <c r="M3112" s="103" t="str">
        <f t="shared" si="243"/>
        <v>http://oconnordata.com/mlink/modules/profile/index.cfm?action=profile&amp;prop_id=4349</v>
      </c>
      <c r="N3112" s="1" t="str">
        <f t="shared" si="244"/>
        <v>04349</v>
      </c>
    </row>
    <row r="3113" spans="1:14" x14ac:dyDescent="0.3">
      <c r="A3113" s="1">
        <v>4350</v>
      </c>
      <c r="B3113" s="7" t="s">
        <v>4714</v>
      </c>
      <c r="C3113" s="12">
        <v>105</v>
      </c>
      <c r="D3113" s="7" t="s">
        <v>4715</v>
      </c>
      <c r="E3113" s="13" t="s">
        <v>4297</v>
      </c>
      <c r="F3113" t="str">
        <f t="shared" si="240"/>
        <v>Stones</v>
      </c>
      <c r="G3113" t="str">
        <f t="shared" si="241"/>
        <v>Stones105Friendswood</v>
      </c>
      <c r="H3113" t="s">
        <v>33971</v>
      </c>
      <c r="I3113" t="s">
        <v>25396</v>
      </c>
      <c r="J3113" t="str">
        <f t="shared" si="242"/>
        <v>E:\PropInv\MF</v>
      </c>
      <c r="K3113" s="103" t="str">
        <f>HYPERLINK("E:\PropInv\MF\Friendswood\Stones Throw_105_Stones Throw Senior Living_Friendswood_04350","Stones Throw_105_Stones Throw Senior Living_Friendswood_04350" )</f>
        <v>Stones Throw_105_Stones Throw Senior Living_Friendswood_04350</v>
      </c>
      <c r="L3113" s="104" t="s">
        <v>22253</v>
      </c>
      <c r="M3113" s="103" t="str">
        <f t="shared" si="243"/>
        <v>http://oconnordata.com/mlink/modules/profile/index.cfm?action=profile&amp;prop_id=4350</v>
      </c>
      <c r="N3113" s="1" t="str">
        <f t="shared" si="244"/>
        <v>04350</v>
      </c>
    </row>
    <row r="3114" spans="1:14" x14ac:dyDescent="0.3">
      <c r="A3114" s="1">
        <v>4351</v>
      </c>
      <c r="B3114" s="10" t="s">
        <v>4716</v>
      </c>
      <c r="C3114" s="9">
        <v>210</v>
      </c>
      <c r="D3114" s="10" t="s">
        <v>4717</v>
      </c>
      <c r="E3114" s="11" t="s">
        <v>4565</v>
      </c>
      <c r="F3114" t="str">
        <f t="shared" si="240"/>
        <v>Strand</v>
      </c>
      <c r="G3114" t="str">
        <f t="shared" si="241"/>
        <v>Strand210Galveston</v>
      </c>
      <c r="H3114" t="s">
        <v>33972</v>
      </c>
      <c r="I3114" t="s">
        <v>25397</v>
      </c>
      <c r="J3114" t="str">
        <f t="shared" si="242"/>
        <v>E:\PropInv\MF</v>
      </c>
      <c r="K3114" s="103" t="str">
        <f>HYPERLINK("E:\PropInv\MF\Galveston\Strand Blvd_210_Villa Marina_Galveston_04351","Strand Blvd_210_Villa Marina_Galveston_04351" )</f>
        <v>Strand Blvd_210_Villa Marina_Galveston_04351</v>
      </c>
      <c r="L3114" s="104" t="s">
        <v>22253</v>
      </c>
      <c r="M3114" s="103" t="str">
        <f t="shared" si="243"/>
        <v>http://oconnordata.com/mlink/modules/profile/index.cfm?action=profile&amp;prop_id=4351</v>
      </c>
      <c r="N3114" s="1" t="str">
        <f t="shared" si="244"/>
        <v>04351</v>
      </c>
    </row>
    <row r="3115" spans="1:14" x14ac:dyDescent="0.3">
      <c r="A3115" s="1">
        <v>4352</v>
      </c>
      <c r="B3115" s="10" t="s">
        <v>3103</v>
      </c>
      <c r="C3115" s="9">
        <v>115</v>
      </c>
      <c r="D3115" s="10" t="s">
        <v>4718</v>
      </c>
      <c r="E3115" s="11" t="s">
        <v>4563</v>
      </c>
      <c r="F3115" t="str">
        <f t="shared" si="240"/>
        <v>Texas</v>
      </c>
      <c r="G3115" t="str">
        <f t="shared" si="241"/>
        <v>Texas115League City</v>
      </c>
      <c r="H3115" t="s">
        <v>33973</v>
      </c>
      <c r="I3115" t="s">
        <v>25398</v>
      </c>
      <c r="J3115" t="str">
        <f t="shared" si="242"/>
        <v>E:\PropInv\MF</v>
      </c>
      <c r="K3115" s="103" t="str">
        <f>HYPERLINK("E:\PropInv\MF\League City\Texas Ave_115_Shady Oaks_League City_04352","Texas Ave_115_Shady Oaks_League City_04352" )</f>
        <v>Texas Ave_115_Shady Oaks_League City_04352</v>
      </c>
      <c r="L3115" s="104" t="s">
        <v>22253</v>
      </c>
      <c r="M3115" s="103" t="str">
        <f t="shared" si="243"/>
        <v>http://oconnordata.com/mlink/modules/profile/index.cfm?action=profile&amp;prop_id=4352</v>
      </c>
      <c r="N3115" s="1" t="str">
        <f t="shared" si="244"/>
        <v>04352</v>
      </c>
    </row>
    <row r="3116" spans="1:14" x14ac:dyDescent="0.3">
      <c r="A3116" s="1">
        <v>4353</v>
      </c>
      <c r="B3116" s="10" t="s">
        <v>4719</v>
      </c>
      <c r="C3116" s="9">
        <v>810</v>
      </c>
      <c r="D3116" s="10" t="s">
        <v>4720</v>
      </c>
      <c r="E3116" s="11" t="s">
        <v>1671</v>
      </c>
      <c r="F3116" t="str">
        <f t="shared" si="240"/>
        <v>Rayford</v>
      </c>
      <c r="G3116" t="str">
        <f t="shared" si="241"/>
        <v>Rayford810Spring</v>
      </c>
      <c r="H3116" t="s">
        <v>33974</v>
      </c>
      <c r="I3116" t="s">
        <v>25399</v>
      </c>
      <c r="J3116" t="str">
        <f t="shared" si="242"/>
        <v>E:\PropInv\MF</v>
      </c>
      <c r="K3116" s="103" t="str">
        <f>HYPERLINK("E:\PropInv\MF\Spring\Rayford Rd_810_The Farrington_Spring_04353","Rayford Rd_810_The Farrington_Spring_04353" )</f>
        <v>Rayford Rd_810_The Farrington_Spring_04353</v>
      </c>
      <c r="L3116" s="104" t="s">
        <v>22253</v>
      </c>
      <c r="M3116" s="103" t="str">
        <f t="shared" si="243"/>
        <v>http://oconnordata.com/mlink/modules/profile/index.cfm?action=profile&amp;prop_id=4353</v>
      </c>
      <c r="N3116" s="1" t="str">
        <f t="shared" si="244"/>
        <v>04353</v>
      </c>
    </row>
    <row r="3117" spans="1:14" x14ac:dyDescent="0.3">
      <c r="A3117" s="1">
        <v>4354</v>
      </c>
      <c r="B3117" s="10" t="s">
        <v>4721</v>
      </c>
      <c r="C3117" s="9">
        <v>12000</v>
      </c>
      <c r="D3117" s="10" t="s">
        <v>4722</v>
      </c>
      <c r="E3117" s="11" t="s">
        <v>1508</v>
      </c>
      <c r="F3117" t="str">
        <f t="shared" si="240"/>
        <v>Sawmill</v>
      </c>
      <c r="G3117" t="str">
        <f t="shared" si="241"/>
        <v>Sawmill12000The Woodlands</v>
      </c>
      <c r="H3117" t="s">
        <v>33975</v>
      </c>
      <c r="I3117" t="s">
        <v>25400</v>
      </c>
      <c r="J3117" t="str">
        <f t="shared" si="242"/>
        <v>E:\PropInv\MF</v>
      </c>
      <c r="K3117" s="103" t="str">
        <f>HYPERLINK("E:\PropInv\MF\The Woodlands\Sawmill Rd_12000_Grogan's Landing_The Woodlands_04354","Sawmill Rd_12000_Grogan's Landing_The Woodlands_04354" )</f>
        <v>Sawmill Rd_12000_Grogan's Landing_The Woodlands_04354</v>
      </c>
      <c r="L3117" s="104" t="s">
        <v>22253</v>
      </c>
      <c r="M3117" s="103" t="str">
        <f t="shared" si="243"/>
        <v>http://oconnordata.com/mlink/modules/profile/index.cfm?action=profile&amp;prop_id=4354</v>
      </c>
      <c r="N3117" s="1" t="str">
        <f t="shared" si="244"/>
        <v>04354</v>
      </c>
    </row>
    <row r="3118" spans="1:14" x14ac:dyDescent="0.3">
      <c r="A3118" s="1">
        <v>4355</v>
      </c>
      <c r="B3118" s="10" t="s">
        <v>4721</v>
      </c>
      <c r="C3118" s="9">
        <v>12420</v>
      </c>
      <c r="D3118" s="10" t="s">
        <v>4723</v>
      </c>
      <c r="E3118" s="11" t="s">
        <v>1508</v>
      </c>
      <c r="F3118" t="str">
        <f t="shared" si="240"/>
        <v>Sawmill</v>
      </c>
      <c r="G3118" t="str">
        <f t="shared" si="241"/>
        <v>Sawmill12420The Woodlands</v>
      </c>
      <c r="H3118" t="s">
        <v>33976</v>
      </c>
      <c r="I3118" t="s">
        <v>25401</v>
      </c>
      <c r="J3118" t="str">
        <f t="shared" si="242"/>
        <v>E:\PropInv\MF</v>
      </c>
      <c r="K3118" s="103" t="str">
        <f>HYPERLINK("E:\PropInv\MF\The Woodlands\Sawmill Rd_12420_Fawn Ridge_The Woodlands_04355","Sawmill Rd_12420_Fawn Ridge_The Woodlands_04355" )</f>
        <v>Sawmill Rd_12420_Fawn Ridge_The Woodlands_04355</v>
      </c>
      <c r="L3118" s="104" t="s">
        <v>22253</v>
      </c>
      <c r="M3118" s="103" t="str">
        <f t="shared" si="243"/>
        <v>http://oconnordata.com/mlink/modules/profile/index.cfm?action=profile&amp;prop_id=4355</v>
      </c>
      <c r="N3118" s="1" t="str">
        <f t="shared" si="244"/>
        <v>04355</v>
      </c>
    </row>
    <row r="3119" spans="1:14" x14ac:dyDescent="0.3">
      <c r="A3119" s="1">
        <v>4356</v>
      </c>
      <c r="B3119" s="10" t="s">
        <v>4724</v>
      </c>
      <c r="C3119" s="9">
        <v>1400</v>
      </c>
      <c r="D3119" s="10" t="s">
        <v>3329</v>
      </c>
      <c r="E3119" s="11" t="s">
        <v>4616</v>
      </c>
      <c r="F3119" t="str">
        <f t="shared" si="240"/>
        <v>Frazier</v>
      </c>
      <c r="G3119" t="str">
        <f t="shared" si="241"/>
        <v>Frazier1400Conroe</v>
      </c>
      <c r="H3119" t="s">
        <v>33977</v>
      </c>
      <c r="I3119" t="s">
        <v>25402</v>
      </c>
      <c r="J3119" t="str">
        <f t="shared" si="242"/>
        <v>E:\PropInv\MF</v>
      </c>
      <c r="K3119" s="103" t="str">
        <f>HYPERLINK("E:\PropInv\MF\Conroe\Frazier S_1400_Park Village_Conroe_04356","Frazier S_1400_Park Village_Conroe_04356" )</f>
        <v>Frazier S_1400_Park Village_Conroe_04356</v>
      </c>
      <c r="L3119" s="104" t="s">
        <v>22253</v>
      </c>
      <c r="M3119" s="103" t="str">
        <f t="shared" si="243"/>
        <v>http://oconnordata.com/mlink/modules/profile/index.cfm?action=profile&amp;prop_id=4356</v>
      </c>
      <c r="N3119" s="1" t="str">
        <f t="shared" si="244"/>
        <v>04356</v>
      </c>
    </row>
    <row r="3120" spans="1:14" x14ac:dyDescent="0.3">
      <c r="A3120" s="1">
        <v>4357</v>
      </c>
      <c r="B3120" s="7" t="s">
        <v>4725</v>
      </c>
      <c r="C3120" s="12">
        <v>800</v>
      </c>
      <c r="D3120" s="7" t="s">
        <v>4726</v>
      </c>
      <c r="E3120" s="13" t="s">
        <v>4616</v>
      </c>
      <c r="F3120" t="str">
        <f t="shared" si="240"/>
        <v>Bellshire</v>
      </c>
      <c r="G3120" t="str">
        <f t="shared" si="241"/>
        <v>Bellshire800Conroe</v>
      </c>
      <c r="H3120" t="s">
        <v>33978</v>
      </c>
      <c r="I3120" t="s">
        <v>25403</v>
      </c>
      <c r="J3120" t="str">
        <f t="shared" si="242"/>
        <v>E:\PropInv\MF</v>
      </c>
      <c r="K3120" s="103" t="str">
        <f>HYPERLINK("E:\PropInv\MF\Conroe\Bellshire Dr_800_Bellshire_Conroe_04357","Bellshire Dr_800_Bellshire_Conroe_04357" )</f>
        <v>Bellshire Dr_800_Bellshire_Conroe_04357</v>
      </c>
      <c r="L3120" s="104" t="s">
        <v>22253</v>
      </c>
      <c r="M3120" s="103" t="str">
        <f t="shared" si="243"/>
        <v>http://oconnordata.com/mlink/modules/profile/index.cfm?action=profile&amp;prop_id=4357</v>
      </c>
      <c r="N3120" s="1" t="str">
        <f t="shared" si="244"/>
        <v>04357</v>
      </c>
    </row>
    <row r="3121" spans="1:14" x14ac:dyDescent="0.3">
      <c r="A3121" s="1">
        <v>4359</v>
      </c>
      <c r="B3121" s="7" t="s">
        <v>4727</v>
      </c>
      <c r="C3121" s="12" t="s">
        <v>4728</v>
      </c>
      <c r="D3121" s="7" t="s">
        <v>4729</v>
      </c>
      <c r="E3121" s="13" t="s">
        <v>1671</v>
      </c>
      <c r="F3121" t="str">
        <f t="shared" si="240"/>
        <v>Brookhaven</v>
      </c>
      <c r="G3121" t="str">
        <f t="shared" si="241"/>
        <v>Brookhaven25510-25200Spring</v>
      </c>
      <c r="H3121" t="s">
        <v>33979</v>
      </c>
      <c r="I3121" t="s">
        <v>25404</v>
      </c>
      <c r="J3121" t="str">
        <f t="shared" si="242"/>
        <v>E:\PropInv\MF</v>
      </c>
      <c r="K3121" s="103" t="str">
        <f>HYPERLINK("E:\PropInv\MF\Spring\Brookhaven_25510-25200_Imperial Chase I &amp; II_Spring_04359","Brookhaven_25510-25200_Imperial Chase I &amp; II_Spring_04359" )</f>
        <v>Brookhaven_25510-25200_Imperial Chase I &amp; II_Spring_04359</v>
      </c>
      <c r="L3121" s="104" t="s">
        <v>22253</v>
      </c>
      <c r="M3121" s="103" t="str">
        <f t="shared" si="243"/>
        <v>http://oconnordata.com/mlink/modules/profile/index.cfm?action=profile&amp;prop_id=4359</v>
      </c>
      <c r="N3121" s="1" t="str">
        <f t="shared" si="244"/>
        <v>04359</v>
      </c>
    </row>
    <row r="3122" spans="1:14" x14ac:dyDescent="0.3">
      <c r="A3122" s="97">
        <v>4360</v>
      </c>
      <c r="B3122" s="7" t="s">
        <v>4730</v>
      </c>
      <c r="C3122" s="12">
        <v>26001</v>
      </c>
      <c r="D3122" s="7" t="s">
        <v>4731</v>
      </c>
      <c r="E3122" s="13" t="s">
        <v>1671</v>
      </c>
      <c r="F3122" t="str">
        <f t="shared" si="240"/>
        <v>Budde</v>
      </c>
      <c r="G3122" t="str">
        <f t="shared" si="241"/>
        <v>Budde26001Spring</v>
      </c>
      <c r="H3122" t="s">
        <v>33980</v>
      </c>
      <c r="I3122" t="s">
        <v>25405</v>
      </c>
      <c r="J3122" t="str">
        <f t="shared" si="242"/>
        <v>E:\PropInv\MF</v>
      </c>
      <c r="K3122" s="103" t="str">
        <f>HYPERLINK("E:\PropInv\MF\Spring\Budde Rd_26001_Woodwind Village_Spring_04360","Budde Rd_26001_Woodwind Village_Spring_04360" )</f>
        <v>Budde Rd_26001_Woodwind Village_Spring_04360</v>
      </c>
      <c r="L3122" s="104" t="s">
        <v>22253</v>
      </c>
      <c r="M3122" s="103" t="str">
        <f t="shared" si="243"/>
        <v>http://oconnordata.com/mlink/modules/profile/index.cfm?action=profile&amp;prop_id=4360</v>
      </c>
      <c r="N3122" s="1" t="str">
        <f t="shared" si="244"/>
        <v>04360</v>
      </c>
    </row>
    <row r="3123" spans="1:14" x14ac:dyDescent="0.3">
      <c r="A3123" s="1">
        <v>4361</v>
      </c>
      <c r="B3123" s="7" t="s">
        <v>4732</v>
      </c>
      <c r="C3123" s="12">
        <v>808</v>
      </c>
      <c r="D3123" s="7" t="s">
        <v>4733</v>
      </c>
      <c r="E3123" s="13" t="s">
        <v>4616</v>
      </c>
      <c r="F3123" t="str">
        <f t="shared" si="240"/>
        <v>Gladstell</v>
      </c>
      <c r="G3123" t="str">
        <f t="shared" si="241"/>
        <v>Gladstell808Conroe</v>
      </c>
      <c r="H3123" t="s">
        <v>33981</v>
      </c>
      <c r="I3123" t="s">
        <v>25406</v>
      </c>
      <c r="J3123" t="str">
        <f t="shared" si="242"/>
        <v>E:\PropInv\MF</v>
      </c>
      <c r="K3123" s="103" t="str">
        <f>HYPERLINK("E:\PropInv\MF\Conroe\Gladstell_808_Redford Park_Conroe_04361","Gladstell_808_Redford Park_Conroe_04361" )</f>
        <v>Gladstell_808_Redford Park_Conroe_04361</v>
      </c>
      <c r="L3123" s="104" t="s">
        <v>22253</v>
      </c>
      <c r="M3123" s="103" t="str">
        <f t="shared" si="243"/>
        <v>http://oconnordata.com/mlink/modules/profile/index.cfm?action=profile&amp;prop_id=4361</v>
      </c>
      <c r="N3123" s="1" t="str">
        <f t="shared" si="244"/>
        <v>04361</v>
      </c>
    </row>
    <row r="3124" spans="1:14" x14ac:dyDescent="0.3">
      <c r="A3124" s="1">
        <v>4362</v>
      </c>
      <c r="B3124" s="7" t="s">
        <v>4734</v>
      </c>
      <c r="C3124" s="12">
        <v>1000</v>
      </c>
      <c r="D3124" s="7" t="s">
        <v>4735</v>
      </c>
      <c r="E3124" s="13" t="s">
        <v>4616</v>
      </c>
      <c r="F3124" t="str">
        <f t="shared" si="240"/>
        <v>Gladstell</v>
      </c>
      <c r="G3124" t="str">
        <f t="shared" si="241"/>
        <v>Gladstell1000Conroe</v>
      </c>
      <c r="H3124" t="s">
        <v>33982</v>
      </c>
      <c r="I3124" t="s">
        <v>25407</v>
      </c>
      <c r="J3124" t="str">
        <f t="shared" si="242"/>
        <v>E:\PropInv\MF</v>
      </c>
      <c r="K3124" s="103" t="str">
        <f>HYPERLINK("E:\PropInv\MF\Conroe\Gladstell Rd_1000_Gladstell Forest_Conroe_04362","Gladstell Rd_1000_Gladstell Forest_Conroe_04362" )</f>
        <v>Gladstell Rd_1000_Gladstell Forest_Conroe_04362</v>
      </c>
      <c r="L3124" s="104" t="s">
        <v>22253</v>
      </c>
      <c r="M3124" s="103" t="str">
        <f t="shared" si="243"/>
        <v>http://oconnordata.com/mlink/modules/profile/index.cfm?action=profile&amp;prop_id=4362</v>
      </c>
      <c r="N3124" s="1" t="str">
        <f t="shared" si="244"/>
        <v>04362</v>
      </c>
    </row>
    <row r="3125" spans="1:14" x14ac:dyDescent="0.3">
      <c r="A3125" s="1">
        <v>4363</v>
      </c>
      <c r="B3125" s="7" t="s">
        <v>4736</v>
      </c>
      <c r="C3125" s="12">
        <v>600</v>
      </c>
      <c r="D3125" s="7" t="s">
        <v>4737</v>
      </c>
      <c r="E3125" s="13" t="s">
        <v>4616</v>
      </c>
      <c r="F3125" t="str">
        <f t="shared" si="240"/>
        <v>Hickerson</v>
      </c>
      <c r="G3125" t="str">
        <f t="shared" si="241"/>
        <v>Hickerson600Conroe</v>
      </c>
      <c r="H3125" t="s">
        <v>33983</v>
      </c>
      <c r="I3125" t="s">
        <v>25408</v>
      </c>
      <c r="J3125" t="str">
        <f t="shared" si="242"/>
        <v>E:\PropInv\MF</v>
      </c>
      <c r="K3125" s="103" t="str">
        <f>HYPERLINK("E:\PropInv\MF\Conroe\Hickerson_600_Havenwood Place_Conroe_04363","Hickerson_600_Havenwood Place_Conroe_04363" )</f>
        <v>Hickerson_600_Havenwood Place_Conroe_04363</v>
      </c>
      <c r="L3125" s="104" t="s">
        <v>22253</v>
      </c>
      <c r="M3125" s="103" t="str">
        <f t="shared" si="243"/>
        <v>http://oconnordata.com/mlink/modules/profile/index.cfm?action=profile&amp;prop_id=4363</v>
      </c>
      <c r="N3125" s="1" t="str">
        <f t="shared" si="244"/>
        <v>04363</v>
      </c>
    </row>
    <row r="3126" spans="1:14" x14ac:dyDescent="0.3">
      <c r="A3126" s="1">
        <v>4364</v>
      </c>
      <c r="B3126" s="7" t="s">
        <v>4689</v>
      </c>
      <c r="C3126" s="12">
        <v>3030</v>
      </c>
      <c r="D3126" s="7" t="s">
        <v>3259</v>
      </c>
      <c r="E3126" s="13" t="s">
        <v>4616</v>
      </c>
      <c r="F3126" t="str">
        <f t="shared" si="240"/>
        <v>Frazier</v>
      </c>
      <c r="G3126" t="str">
        <f t="shared" si="241"/>
        <v>Frazier3030Conroe</v>
      </c>
      <c r="H3126" t="s">
        <v>33984</v>
      </c>
      <c r="I3126" t="s">
        <v>25409</v>
      </c>
      <c r="J3126" t="str">
        <f t="shared" si="242"/>
        <v>E:\PropInv\MF</v>
      </c>
      <c r="K3126" s="103" t="str">
        <f>HYPERLINK("E:\PropInv\MF\Conroe\Frazier N_3030_Creekside_Conroe_04364","Frazier N_3030_Creekside_Conroe_04364" )</f>
        <v>Frazier N_3030_Creekside_Conroe_04364</v>
      </c>
      <c r="L3126" s="104" t="s">
        <v>22253</v>
      </c>
      <c r="M3126" s="103" t="str">
        <f t="shared" si="243"/>
        <v>http://oconnordata.com/mlink/modules/profile/index.cfm?action=profile&amp;prop_id=4364</v>
      </c>
      <c r="N3126" s="1" t="str">
        <f t="shared" si="244"/>
        <v>04364</v>
      </c>
    </row>
    <row r="3127" spans="1:14" x14ac:dyDescent="0.3">
      <c r="A3127" s="97">
        <v>4365</v>
      </c>
      <c r="B3127" s="7" t="s">
        <v>4738</v>
      </c>
      <c r="C3127" s="12">
        <v>311</v>
      </c>
      <c r="D3127" s="7" t="s">
        <v>4739</v>
      </c>
      <c r="E3127" s="13" t="s">
        <v>4616</v>
      </c>
      <c r="F3127" t="str">
        <f t="shared" si="240"/>
        <v>Gladstell</v>
      </c>
      <c r="G3127" t="str">
        <f t="shared" si="241"/>
        <v>Gladstell311Conroe</v>
      </c>
      <c r="H3127" t="s">
        <v>33985</v>
      </c>
      <c r="I3127" t="s">
        <v>25410</v>
      </c>
      <c r="J3127" t="str">
        <f t="shared" si="242"/>
        <v>E:\PropInv\MF</v>
      </c>
      <c r="K3127" s="103" t="str">
        <f>HYPERLINK("E:\PropInv\MF\Conroe\Gladstell St_311_Woodcluster_Conroe_04365","Gladstell St_311_Woodcluster_Conroe_04365" )</f>
        <v>Gladstell St_311_Woodcluster_Conroe_04365</v>
      </c>
      <c r="L3127" s="104" t="s">
        <v>22253</v>
      </c>
      <c r="M3127" s="103" t="str">
        <f t="shared" si="243"/>
        <v>http://oconnordata.com/mlink/modules/profile/index.cfm?action=profile&amp;prop_id=4365</v>
      </c>
      <c r="N3127" s="1" t="str">
        <f t="shared" si="244"/>
        <v>04365</v>
      </c>
    </row>
    <row r="3128" spans="1:14" x14ac:dyDescent="0.3">
      <c r="A3128" s="1">
        <v>4366</v>
      </c>
      <c r="B3128" s="7" t="s">
        <v>4732</v>
      </c>
      <c r="C3128" s="12">
        <v>407</v>
      </c>
      <c r="D3128" s="7" t="s">
        <v>4740</v>
      </c>
      <c r="E3128" s="13" t="s">
        <v>4616</v>
      </c>
      <c r="F3128" t="str">
        <f t="shared" si="240"/>
        <v>Gladstell</v>
      </c>
      <c r="G3128" t="str">
        <f t="shared" si="241"/>
        <v>Gladstell407Conroe</v>
      </c>
      <c r="H3128" t="s">
        <v>33986</v>
      </c>
      <c r="I3128" t="s">
        <v>25411</v>
      </c>
      <c r="J3128" t="str">
        <f t="shared" si="242"/>
        <v>E:\PropInv\MF</v>
      </c>
      <c r="K3128" s="103" t="str">
        <f>HYPERLINK("E:\PropInv\MF\Conroe\Gladstell_407_Pine Ridge_Conroe_04366","Gladstell_407_Pine Ridge_Conroe_04366" )</f>
        <v>Gladstell_407_Pine Ridge_Conroe_04366</v>
      </c>
      <c r="L3128" s="104" t="s">
        <v>22253</v>
      </c>
      <c r="M3128" s="103" t="str">
        <f t="shared" si="243"/>
        <v>http://oconnordata.com/mlink/modules/profile/index.cfm?action=profile&amp;prop_id=4366</v>
      </c>
      <c r="N3128" s="1" t="str">
        <f t="shared" si="244"/>
        <v>04366</v>
      </c>
    </row>
    <row r="3129" spans="1:14" x14ac:dyDescent="0.3">
      <c r="A3129" s="1">
        <v>4367</v>
      </c>
      <c r="B3129" s="7" t="s">
        <v>4741</v>
      </c>
      <c r="C3129" s="12">
        <v>500</v>
      </c>
      <c r="D3129" s="7" t="s">
        <v>4742</v>
      </c>
      <c r="E3129" s="13" t="s">
        <v>4616</v>
      </c>
      <c r="F3129" t="str">
        <f t="shared" si="240"/>
        <v>Hickerson</v>
      </c>
      <c r="G3129" t="str">
        <f t="shared" si="241"/>
        <v>Hickerson500Conroe</v>
      </c>
      <c r="H3129" t="s">
        <v>33987</v>
      </c>
      <c r="I3129" t="s">
        <v>25412</v>
      </c>
      <c r="J3129" t="str">
        <f t="shared" si="242"/>
        <v>E:\PropInv\MF</v>
      </c>
      <c r="K3129" s="103" t="str">
        <f>HYPERLINK("E:\PropInv\MF\Conroe\Hickerson St_500_Hollow Creek_Conroe_04367","Hickerson St_500_Hollow Creek_Conroe_04367" )</f>
        <v>Hickerson St_500_Hollow Creek_Conroe_04367</v>
      </c>
      <c r="L3129" s="104" t="s">
        <v>22253</v>
      </c>
      <c r="M3129" s="103" t="str">
        <f t="shared" si="243"/>
        <v>http://oconnordata.com/mlink/modules/profile/index.cfm?action=profile&amp;prop_id=4367</v>
      </c>
      <c r="N3129" s="1" t="str">
        <f t="shared" si="244"/>
        <v>04367</v>
      </c>
    </row>
    <row r="3130" spans="1:14" x14ac:dyDescent="0.3">
      <c r="A3130" s="1">
        <v>4368</v>
      </c>
      <c r="B3130" s="7" t="s">
        <v>4630</v>
      </c>
      <c r="C3130" s="12">
        <v>6107</v>
      </c>
      <c r="D3130" s="7" t="s">
        <v>4743</v>
      </c>
      <c r="E3130" s="13" t="s">
        <v>4616</v>
      </c>
      <c r="F3130" t="str">
        <f t="shared" si="240"/>
        <v>Snug</v>
      </c>
      <c r="G3130" t="str">
        <f t="shared" si="241"/>
        <v>Snug6107Conroe</v>
      </c>
      <c r="H3130" t="s">
        <v>33988</v>
      </c>
      <c r="I3130" t="s">
        <v>25413</v>
      </c>
      <c r="J3130" t="str">
        <f t="shared" si="242"/>
        <v>E:\PropInv\MF</v>
      </c>
      <c r="K3130" s="103" t="str">
        <f>HYPERLINK("E:\PropInv\MF\Conroe\Snug Harbor_6107_Snug Harbor Condos_Conroe_04368","Snug Harbor_6107_Snug Harbor Condos_Conroe_04368" )</f>
        <v>Snug Harbor_6107_Snug Harbor Condos_Conroe_04368</v>
      </c>
      <c r="L3130" s="104" t="s">
        <v>22253</v>
      </c>
      <c r="M3130" s="103" t="str">
        <f t="shared" si="243"/>
        <v>http://oconnordata.com/mlink/modules/profile/index.cfm?action=profile&amp;prop_id=4368</v>
      </c>
      <c r="N3130" s="1" t="str">
        <f t="shared" si="244"/>
        <v>04368</v>
      </c>
    </row>
    <row r="3131" spans="1:14" x14ac:dyDescent="0.3">
      <c r="A3131" s="1">
        <v>4369</v>
      </c>
      <c r="B3131" s="7" t="s">
        <v>4744</v>
      </c>
      <c r="C3131" s="12">
        <v>8900</v>
      </c>
      <c r="D3131" s="7" t="s">
        <v>4745</v>
      </c>
      <c r="E3131" s="13" t="s">
        <v>1508</v>
      </c>
      <c r="F3131" t="str">
        <f t="shared" si="240"/>
        <v>Research</v>
      </c>
      <c r="G3131" t="str">
        <f t="shared" si="241"/>
        <v>Research8900The Woodlands</v>
      </c>
      <c r="H3131" t="s">
        <v>33989</v>
      </c>
      <c r="I3131" t="s">
        <v>25414</v>
      </c>
      <c r="J3131" t="str">
        <f t="shared" si="242"/>
        <v>E:\PropInv\MF</v>
      </c>
      <c r="K3131" s="103" t="str">
        <f>HYPERLINK("E:\PropInv\MF\The Woodlands\Research Park Dr_8900_The Park at Research Forest_The Woodlands_04369","Research Park Dr_8900_The Park at Research Forest_The Woodlands_04369" )</f>
        <v>Research Park Dr_8900_The Park at Research Forest_The Woodlands_04369</v>
      </c>
      <c r="L3131" s="104" t="s">
        <v>22253</v>
      </c>
      <c r="M3131" s="103" t="str">
        <f t="shared" si="243"/>
        <v>http://oconnordata.com/mlink/modules/profile/index.cfm?action=profile&amp;prop_id=4369</v>
      </c>
      <c r="N3131" s="1" t="str">
        <f t="shared" si="244"/>
        <v>04369</v>
      </c>
    </row>
    <row r="3132" spans="1:14" x14ac:dyDescent="0.3">
      <c r="A3132" s="1">
        <v>4370</v>
      </c>
      <c r="B3132" s="7" t="s">
        <v>4746</v>
      </c>
      <c r="C3132" s="12">
        <v>2204</v>
      </c>
      <c r="D3132" s="7" t="s">
        <v>4747</v>
      </c>
      <c r="E3132" s="13" t="s">
        <v>1508</v>
      </c>
      <c r="F3132" t="str">
        <f t="shared" si="240"/>
        <v>Riva</v>
      </c>
      <c r="G3132" t="str">
        <f t="shared" si="241"/>
        <v>Riva2204The Woodlands</v>
      </c>
      <c r="H3132" t="s">
        <v>33990</v>
      </c>
      <c r="I3132" t="s">
        <v>25415</v>
      </c>
      <c r="J3132" t="str">
        <f t="shared" si="242"/>
        <v>E:\PropInv\MF</v>
      </c>
      <c r="K3132" s="103" t="str">
        <f>HYPERLINK("E:\PropInv\MF\The Woodlands\Riva Row_2204_Boardwalk at Town Center Apts II_The Woodlands_04370","Riva Row_2204_Boardwalk at Town Center Apts II_The Woodlands_04370" )</f>
        <v>Riva Row_2204_Boardwalk at Town Center Apts II_The Woodlands_04370</v>
      </c>
      <c r="L3132" s="104" t="s">
        <v>22253</v>
      </c>
      <c r="M3132" s="103" t="str">
        <f t="shared" si="243"/>
        <v>http://oconnordata.com/mlink/modules/profile/index.cfm?action=profile&amp;prop_id=4370</v>
      </c>
      <c r="N3132" s="1" t="str">
        <f t="shared" si="244"/>
        <v>04370</v>
      </c>
    </row>
    <row r="3133" spans="1:14" x14ac:dyDescent="0.3">
      <c r="A3133" s="1">
        <v>4372</v>
      </c>
      <c r="B3133" s="7" t="s">
        <v>4748</v>
      </c>
      <c r="C3133" s="12">
        <v>333</v>
      </c>
      <c r="D3133" s="7" t="s">
        <v>4748</v>
      </c>
      <c r="E3133" s="13" t="s">
        <v>1508</v>
      </c>
      <c r="F3133" t="str">
        <f t="shared" si="240"/>
        <v>Holly</v>
      </c>
      <c r="G3133" t="str">
        <f t="shared" si="241"/>
        <v>Holly333The Woodlands</v>
      </c>
      <c r="H3133" t="s">
        <v>33991</v>
      </c>
      <c r="I3133" t="s">
        <v>25416</v>
      </c>
      <c r="J3133" t="str">
        <f t="shared" si="242"/>
        <v>E:\PropInv\MF</v>
      </c>
      <c r="K3133" s="103" t="str">
        <f>HYPERLINK("E:\PropInv\MF\The Woodlands\Holly Creek_333_Holly Creek_The Woodlands_04372","Holly Creek_333_Holly Creek_The Woodlands_04372" )</f>
        <v>Holly Creek_333_Holly Creek_The Woodlands_04372</v>
      </c>
      <c r="L3133" s="104" t="s">
        <v>22253</v>
      </c>
      <c r="M3133" s="103" t="str">
        <f t="shared" si="243"/>
        <v>http://oconnordata.com/mlink/modules/profile/index.cfm?action=profile&amp;prop_id=4372</v>
      </c>
      <c r="N3133" s="1" t="str">
        <f t="shared" si="244"/>
        <v>04372</v>
      </c>
    </row>
    <row r="3134" spans="1:14" x14ac:dyDescent="0.3">
      <c r="A3134" s="1">
        <v>4373</v>
      </c>
      <c r="B3134" s="7" t="s">
        <v>4749</v>
      </c>
      <c r="C3134" s="12">
        <v>4545</v>
      </c>
      <c r="D3134" s="7" t="s">
        <v>4750</v>
      </c>
      <c r="E3134" s="13" t="s">
        <v>1508</v>
      </c>
      <c r="F3134" t="str">
        <f t="shared" si="240"/>
        <v>Panther</v>
      </c>
      <c r="G3134" t="str">
        <f t="shared" si="241"/>
        <v>Panther4545The Woodlands</v>
      </c>
      <c r="H3134" t="s">
        <v>33992</v>
      </c>
      <c r="I3134" t="s">
        <v>25417</v>
      </c>
      <c r="J3134" t="str">
        <f t="shared" si="242"/>
        <v>E:\PropInv\MF</v>
      </c>
      <c r="K3134" s="103" t="str">
        <f>HYPERLINK("E:\PropInv\MF\The Woodlands\Panther Creek Dr S_4545_Forest View_The Woodlands_04373","Panther Creek Dr S_4545_Forest View_The Woodlands_04373" )</f>
        <v>Panther Creek Dr S_4545_Forest View_The Woodlands_04373</v>
      </c>
      <c r="L3134" s="104" t="s">
        <v>22253</v>
      </c>
      <c r="M3134" s="103" t="str">
        <f t="shared" si="243"/>
        <v>http://oconnordata.com/mlink/modules/profile/index.cfm?action=profile&amp;prop_id=4373</v>
      </c>
      <c r="N3134" s="1" t="str">
        <f t="shared" si="244"/>
        <v>04373</v>
      </c>
    </row>
    <row r="3135" spans="1:14" x14ac:dyDescent="0.3">
      <c r="A3135" s="1">
        <v>4374</v>
      </c>
      <c r="B3135" s="7" t="s">
        <v>2951</v>
      </c>
      <c r="C3135" s="12">
        <v>2020</v>
      </c>
      <c r="D3135" s="7" t="s">
        <v>4751</v>
      </c>
      <c r="E3135" s="13" t="s">
        <v>4616</v>
      </c>
      <c r="F3135" t="str">
        <f t="shared" si="240"/>
        <v>Plantation</v>
      </c>
      <c r="G3135" t="str">
        <f t="shared" si="241"/>
        <v>Plantation2020Conroe</v>
      </c>
      <c r="H3135" t="s">
        <v>33993</v>
      </c>
      <c r="I3135" t="s">
        <v>25418</v>
      </c>
      <c r="J3135" t="str">
        <f t="shared" si="242"/>
        <v>E:\PropInv\MF</v>
      </c>
      <c r="K3135" s="103" t="str">
        <f>HYPERLINK("E:\PropInv\MF\Conroe\Plantation_2020_Timbers of Pine Hollow_Conroe_04374","Plantation_2020_Timbers of Pine Hollow_Conroe_04374" )</f>
        <v>Plantation_2020_Timbers of Pine Hollow_Conroe_04374</v>
      </c>
      <c r="L3135" s="104" t="s">
        <v>22253</v>
      </c>
      <c r="M3135" s="103" t="str">
        <f t="shared" si="243"/>
        <v>http://oconnordata.com/mlink/modules/profile/index.cfm?action=profile&amp;prop_id=4374</v>
      </c>
      <c r="N3135" s="1" t="str">
        <f t="shared" si="244"/>
        <v>04374</v>
      </c>
    </row>
    <row r="3136" spans="1:14" x14ac:dyDescent="0.3">
      <c r="A3136" s="1">
        <v>4375</v>
      </c>
      <c r="B3136" s="7" t="s">
        <v>4752</v>
      </c>
      <c r="C3136" s="12">
        <v>7005</v>
      </c>
      <c r="D3136" s="7" t="s">
        <v>4753</v>
      </c>
      <c r="E3136" s="13" t="s">
        <v>4628</v>
      </c>
      <c r="F3136" t="str">
        <f t="shared" si="240"/>
        <v>Little</v>
      </c>
      <c r="G3136" t="str">
        <f t="shared" si="241"/>
        <v>Little7005Hitchcock</v>
      </c>
      <c r="H3136" t="s">
        <v>33994</v>
      </c>
      <c r="I3136" t="s">
        <v>25419</v>
      </c>
      <c r="J3136" t="str">
        <f t="shared" si="242"/>
        <v>E:\PropInv\MF</v>
      </c>
      <c r="K3136" s="103" t="str">
        <f>HYPERLINK("E:\PropInv\MF\Hitchcock\Little Bend Rd_7005_Independent Missionary Village_Hitchcock_04375","Little Bend Rd_7005_Independent Missionary Village_Hitchcock_04375" )</f>
        <v>Little Bend Rd_7005_Independent Missionary Village_Hitchcock_04375</v>
      </c>
      <c r="L3136" s="104" t="s">
        <v>22253</v>
      </c>
      <c r="M3136" s="103" t="str">
        <f t="shared" si="243"/>
        <v>http://oconnordata.com/mlink/modules/profile/index.cfm?action=profile&amp;prop_id=4375</v>
      </c>
      <c r="N3136" s="1" t="str">
        <f t="shared" si="244"/>
        <v>04375</v>
      </c>
    </row>
    <row r="3137" spans="1:14" x14ac:dyDescent="0.3">
      <c r="A3137" s="1">
        <v>4376</v>
      </c>
      <c r="B3137" s="7" t="s">
        <v>4557</v>
      </c>
      <c r="C3137" s="12">
        <v>2902</v>
      </c>
      <c r="D3137" s="7" t="s">
        <v>4754</v>
      </c>
      <c r="E3137" s="13" t="s">
        <v>4559</v>
      </c>
      <c r="F3137" t="str">
        <f t="shared" si="240"/>
        <v>Deats</v>
      </c>
      <c r="G3137" t="str">
        <f t="shared" si="241"/>
        <v>Deats2902Dickinson</v>
      </c>
      <c r="H3137" t="s">
        <v>33995</v>
      </c>
      <c r="I3137" t="s">
        <v>25420</v>
      </c>
      <c r="J3137" t="str">
        <f t="shared" si="242"/>
        <v>E:\PropInv\MF</v>
      </c>
      <c r="K3137" s="103" t="str">
        <f>HYPERLINK("E:\PropInv\MF\Dickinson\Deats Rd_2902_Church Village_Dickinson_04376","Deats Rd_2902_Church Village_Dickinson_04376" )</f>
        <v>Deats Rd_2902_Church Village_Dickinson_04376</v>
      </c>
      <c r="L3137" s="104" t="s">
        <v>22253</v>
      </c>
      <c r="M3137" s="103" t="str">
        <f t="shared" si="243"/>
        <v>http://oconnordata.com/mlink/modules/profile/index.cfm?action=profile&amp;prop_id=4376</v>
      </c>
      <c r="N3137" s="1" t="str">
        <f t="shared" si="244"/>
        <v>04376</v>
      </c>
    </row>
    <row r="3138" spans="1:14" x14ac:dyDescent="0.3">
      <c r="A3138" s="1">
        <v>4377</v>
      </c>
      <c r="B3138" s="7" t="s">
        <v>4755</v>
      </c>
      <c r="C3138" s="12">
        <v>5520</v>
      </c>
      <c r="D3138" s="7" t="s">
        <v>4756</v>
      </c>
      <c r="E3138" s="13" t="s">
        <v>1657</v>
      </c>
      <c r="F3138" t="str">
        <f t="shared" ref="F3138:F3201" si="245">IFERROR(LEFT(B3138,FIND(" ",B3138)-1),B3138)</f>
        <v>Cavalcade</v>
      </c>
      <c r="G3138" t="str">
        <f t="shared" ref="G3138:G3201" si="246">F3138&amp;C3138&amp;E3138</f>
        <v>Cavalcade5520Houston</v>
      </c>
      <c r="H3138" t="s">
        <v>33996</v>
      </c>
      <c r="I3138" t="s">
        <v>25421</v>
      </c>
      <c r="J3138" t="str">
        <f t="shared" ref="J3138:J3201" si="247">IF(L3138="TX",Folder_Path,Folder_Path&amp;"\State_"&amp;L3138)</f>
        <v>E:\PropInv\MF</v>
      </c>
      <c r="K3138" s="103" t="str">
        <f>HYPERLINK("E:\PropInv\MF\Houston\Cavalcade St_5520_Cavalcade Plaza_Houston_04377","Cavalcade St_5520_Cavalcade Plaza_Houston_04377" )</f>
        <v>Cavalcade St_5520_Cavalcade Plaza_Houston_04377</v>
      </c>
      <c r="L3138" s="104" t="s">
        <v>22253</v>
      </c>
      <c r="M3138" s="103" t="str">
        <f t="shared" ref="M3138:M3201" si="248">HYPERLINK("http://oconnordata.com/mlink/modules/profile/index.cfm?action=profile&amp;prop_id="&amp;A3138)</f>
        <v>http://oconnordata.com/mlink/modules/profile/index.cfm?action=profile&amp;prop_id=4377</v>
      </c>
      <c r="N3138" s="1" t="str">
        <f t="shared" ref="N3138:N3201" si="249">IF(LEN(A3138)=1,"0000"&amp;A3138,IF(LEN(A3138)=2,"000"&amp;A3138,IF(LEN(A3138)=3,"00"&amp;A3138,IF(LEN(A3138)=4,"0"&amp;A3138,IF(LEN(A3138)=5,IF(LEFT(A3138,1)="3",A3138+30000,A3138))))))</f>
        <v>04377</v>
      </c>
    </row>
    <row r="3139" spans="1:14" x14ac:dyDescent="0.3">
      <c r="A3139" s="1">
        <v>4378</v>
      </c>
      <c r="B3139" s="7" t="s">
        <v>4696</v>
      </c>
      <c r="C3139" s="12">
        <v>811</v>
      </c>
      <c r="D3139" s="7" t="s">
        <v>4757</v>
      </c>
      <c r="E3139" s="13" t="s">
        <v>4616</v>
      </c>
      <c r="F3139" t="str">
        <f t="shared" si="245"/>
        <v>45</v>
      </c>
      <c r="G3139" t="str">
        <f t="shared" si="246"/>
        <v>45811Conroe</v>
      </c>
      <c r="H3139" t="s">
        <v>33997</v>
      </c>
      <c r="I3139" t="s">
        <v>25422</v>
      </c>
      <c r="J3139" t="str">
        <f t="shared" si="247"/>
        <v>E:\PropInv\MF</v>
      </c>
      <c r="K3139" s="103" t="str">
        <f>HYPERLINK("E:\PropInv\MF\Conroe\45 IH N_811_Pine Wood Apts_Conroe_04378","45 IH N_811_Pine Wood Apts_Conroe_04378" )</f>
        <v>45 IH N_811_Pine Wood Apts_Conroe_04378</v>
      </c>
      <c r="L3139" s="104" t="s">
        <v>22253</v>
      </c>
      <c r="M3139" s="103" t="str">
        <f t="shared" si="248"/>
        <v>http://oconnordata.com/mlink/modules/profile/index.cfm?action=profile&amp;prop_id=4378</v>
      </c>
      <c r="N3139" s="1" t="str">
        <f t="shared" si="249"/>
        <v>04378</v>
      </c>
    </row>
    <row r="3140" spans="1:14" x14ac:dyDescent="0.3">
      <c r="A3140" s="1">
        <v>4379</v>
      </c>
      <c r="B3140" s="7" t="s">
        <v>4758</v>
      </c>
      <c r="C3140" s="12">
        <v>403</v>
      </c>
      <c r="D3140" s="7" t="s">
        <v>4759</v>
      </c>
      <c r="E3140" s="13" t="s">
        <v>4616</v>
      </c>
      <c r="F3140" t="str">
        <f t="shared" si="245"/>
        <v>Longmire</v>
      </c>
      <c r="G3140" t="str">
        <f t="shared" si="246"/>
        <v>Longmire403Conroe</v>
      </c>
      <c r="H3140" t="s">
        <v>33998</v>
      </c>
      <c r="I3140" t="s">
        <v>25423</v>
      </c>
      <c r="J3140" t="str">
        <f t="shared" si="247"/>
        <v>E:\PropInv\MF</v>
      </c>
      <c r="K3140" s="103" t="str">
        <f>HYPERLINK("E:\PropInv\MF\Conroe\Longmire_403_The Cedars_Conroe_04379","Longmire_403_The Cedars_Conroe_04379" )</f>
        <v>Longmire_403_The Cedars_Conroe_04379</v>
      </c>
      <c r="L3140" s="104" t="s">
        <v>22253</v>
      </c>
      <c r="M3140" s="103" t="str">
        <f t="shared" si="248"/>
        <v>http://oconnordata.com/mlink/modules/profile/index.cfm?action=profile&amp;prop_id=4379</v>
      </c>
      <c r="N3140" s="1" t="str">
        <f t="shared" si="249"/>
        <v>04379</v>
      </c>
    </row>
    <row r="3141" spans="1:14" x14ac:dyDescent="0.3">
      <c r="A3141" s="1">
        <v>4380</v>
      </c>
      <c r="B3141" s="7" t="s">
        <v>4760</v>
      </c>
      <c r="C3141" s="12">
        <v>1200</v>
      </c>
      <c r="D3141" s="7" t="s">
        <v>1486</v>
      </c>
      <c r="E3141" s="13" t="s">
        <v>4616</v>
      </c>
      <c r="F3141" t="str">
        <f t="shared" si="245"/>
        <v>336</v>
      </c>
      <c r="G3141" t="str">
        <f t="shared" si="246"/>
        <v>3361200Conroe</v>
      </c>
      <c r="H3141" t="s">
        <v>33999</v>
      </c>
      <c r="I3141" t="s">
        <v>25424</v>
      </c>
      <c r="J3141" t="str">
        <f t="shared" si="247"/>
        <v>E:\PropInv\MF</v>
      </c>
      <c r="K3141" s="103" t="str">
        <f>HYPERLINK("E:\PropInv\MF\Conroe\336 Loop W N_1200_Whispering Oaks_Conroe_04380","336 Loop W N_1200_Whispering Oaks_Conroe_04380" )</f>
        <v>336 Loop W N_1200_Whispering Oaks_Conroe_04380</v>
      </c>
      <c r="L3141" s="104" t="s">
        <v>22253</v>
      </c>
      <c r="M3141" s="103" t="str">
        <f t="shared" si="248"/>
        <v>http://oconnordata.com/mlink/modules/profile/index.cfm?action=profile&amp;prop_id=4380</v>
      </c>
      <c r="N3141" s="1" t="str">
        <f t="shared" si="249"/>
        <v>04380</v>
      </c>
    </row>
    <row r="3142" spans="1:14" x14ac:dyDescent="0.3">
      <c r="A3142" s="1">
        <v>4381</v>
      </c>
      <c r="B3142" s="7" t="s">
        <v>4761</v>
      </c>
      <c r="C3142" s="12">
        <v>2021</v>
      </c>
      <c r="D3142" s="7" t="s">
        <v>4762</v>
      </c>
      <c r="E3142" s="13" t="s">
        <v>4616</v>
      </c>
      <c r="F3142" t="str">
        <f t="shared" si="245"/>
        <v>Plantation</v>
      </c>
      <c r="G3142" t="str">
        <f t="shared" si="246"/>
        <v>Plantation2021Conroe</v>
      </c>
      <c r="H3142" t="s">
        <v>34000</v>
      </c>
      <c r="I3142" t="s">
        <v>25425</v>
      </c>
      <c r="J3142" t="str">
        <f t="shared" si="247"/>
        <v>E:\PropInv\MF</v>
      </c>
      <c r="K3142" s="103" t="str">
        <f>HYPERLINK("E:\PropInv\MF\Conroe\Plantation Dr_2021_Autumn Woods_Conroe_04381","Plantation Dr_2021_Autumn Woods_Conroe_04381" )</f>
        <v>Plantation Dr_2021_Autumn Woods_Conroe_04381</v>
      </c>
      <c r="L3142" s="104" t="s">
        <v>22253</v>
      </c>
      <c r="M3142" s="103" t="str">
        <f t="shared" si="248"/>
        <v>http://oconnordata.com/mlink/modules/profile/index.cfm?action=profile&amp;prop_id=4381</v>
      </c>
      <c r="N3142" s="1" t="str">
        <f t="shared" si="249"/>
        <v>04381</v>
      </c>
    </row>
    <row r="3143" spans="1:14" x14ac:dyDescent="0.3">
      <c r="A3143" s="1">
        <v>4384</v>
      </c>
      <c r="B3143" s="7" t="s">
        <v>4763</v>
      </c>
      <c r="C3143" s="12">
        <v>1481</v>
      </c>
      <c r="D3143" s="7" t="s">
        <v>1418</v>
      </c>
      <c r="E3143" s="13" t="s">
        <v>1508</v>
      </c>
      <c r="F3143" t="str">
        <f t="shared" si="245"/>
        <v>Sawdust</v>
      </c>
      <c r="G3143" t="str">
        <f t="shared" si="246"/>
        <v>Sawdust1481The Woodlands</v>
      </c>
      <c r="H3143" t="s">
        <v>34001</v>
      </c>
      <c r="I3143" t="s">
        <v>25426</v>
      </c>
      <c r="J3143" t="str">
        <f t="shared" si="247"/>
        <v>E:\PropInv\MF</v>
      </c>
      <c r="K3143" s="103" t="str">
        <f>HYPERLINK("E:\PropInv\MF\The Woodlands\Sawdust Rd_1481_Timbermill_The Woodlands_04384","Sawdust Rd_1481_Timbermill_The Woodlands_04384" )</f>
        <v>Sawdust Rd_1481_Timbermill_The Woodlands_04384</v>
      </c>
      <c r="L3143" s="104" t="s">
        <v>22253</v>
      </c>
      <c r="M3143" s="103" t="str">
        <f t="shared" si="248"/>
        <v>http://oconnordata.com/mlink/modules/profile/index.cfm?action=profile&amp;prop_id=4384</v>
      </c>
      <c r="N3143" s="1" t="str">
        <f t="shared" si="249"/>
        <v>04384</v>
      </c>
    </row>
    <row r="3144" spans="1:14" x14ac:dyDescent="0.3">
      <c r="A3144" s="97">
        <v>4385</v>
      </c>
      <c r="B3144" s="7" t="s">
        <v>4730</v>
      </c>
      <c r="C3144" s="12">
        <v>25335</v>
      </c>
      <c r="D3144" s="7" t="s">
        <v>4764</v>
      </c>
      <c r="E3144" s="13" t="s">
        <v>1671</v>
      </c>
      <c r="F3144" t="str">
        <f t="shared" si="245"/>
        <v>Budde</v>
      </c>
      <c r="G3144" t="str">
        <f t="shared" si="246"/>
        <v>Budde25335Spring</v>
      </c>
      <c r="H3144" t="s">
        <v>34002</v>
      </c>
      <c r="I3144" t="s">
        <v>25427</v>
      </c>
      <c r="J3144" t="str">
        <f t="shared" si="247"/>
        <v>E:\PropInv\MF</v>
      </c>
      <c r="K3144" s="103" t="str">
        <f>HYPERLINK("E:\PropInv\MF\Spring\Budde Rd_25335_Woodland Meadows_Spring_04385","Budde Rd_25335_Woodland Meadows_Spring_04385" )</f>
        <v>Budde Rd_25335_Woodland Meadows_Spring_04385</v>
      </c>
      <c r="L3144" s="104" t="s">
        <v>22253</v>
      </c>
      <c r="M3144" s="103" t="str">
        <f t="shared" si="248"/>
        <v>http://oconnordata.com/mlink/modules/profile/index.cfm?action=profile&amp;prop_id=4385</v>
      </c>
      <c r="N3144" s="1" t="str">
        <f t="shared" si="249"/>
        <v>04385</v>
      </c>
    </row>
    <row r="3145" spans="1:14" x14ac:dyDescent="0.3">
      <c r="A3145" s="1">
        <v>4386</v>
      </c>
      <c r="B3145" s="7" t="s">
        <v>4765</v>
      </c>
      <c r="C3145" s="12">
        <v>291</v>
      </c>
      <c r="D3145" s="7" t="s">
        <v>2593</v>
      </c>
      <c r="E3145" s="13" t="s">
        <v>4616</v>
      </c>
      <c r="F3145" t="str">
        <f t="shared" si="245"/>
        <v>Scarborough</v>
      </c>
      <c r="G3145" t="str">
        <f t="shared" si="246"/>
        <v>Scarborough291Conroe</v>
      </c>
      <c r="H3145" t="s">
        <v>34003</v>
      </c>
      <c r="I3145" t="s">
        <v>25428</v>
      </c>
      <c r="J3145" t="str">
        <f t="shared" si="247"/>
        <v>E:\PropInv\MF</v>
      </c>
      <c r="K3145" s="103" t="str">
        <f>HYPERLINK("E:\PropInv\MF\Conroe\Scarborough Dr_291_Riverwalk_Conroe_04386","Scarborough Dr_291_Riverwalk_Conroe_04386" )</f>
        <v>Scarborough Dr_291_Riverwalk_Conroe_04386</v>
      </c>
      <c r="L3145" s="104" t="s">
        <v>22253</v>
      </c>
      <c r="M3145" s="103" t="str">
        <f t="shared" si="248"/>
        <v>http://oconnordata.com/mlink/modules/profile/index.cfm?action=profile&amp;prop_id=4386</v>
      </c>
      <c r="N3145" s="1" t="str">
        <f t="shared" si="249"/>
        <v>04386</v>
      </c>
    </row>
    <row r="3146" spans="1:14" x14ac:dyDescent="0.3">
      <c r="A3146" s="1">
        <v>4387</v>
      </c>
      <c r="B3146" s="7" t="s">
        <v>4766</v>
      </c>
      <c r="C3146" s="12">
        <v>1510</v>
      </c>
      <c r="D3146" s="7" t="s">
        <v>4767</v>
      </c>
      <c r="E3146" s="13" t="s">
        <v>4616</v>
      </c>
      <c r="F3146" t="str">
        <f t="shared" si="245"/>
        <v>Oddfellow</v>
      </c>
      <c r="G3146" t="str">
        <f t="shared" si="246"/>
        <v>Oddfellow1510Conroe</v>
      </c>
      <c r="H3146" t="s">
        <v>34004</v>
      </c>
      <c r="I3146" t="s">
        <v>25429</v>
      </c>
      <c r="J3146" t="str">
        <f t="shared" si="247"/>
        <v>E:\PropInv\MF</v>
      </c>
      <c r="K3146" s="103" t="str">
        <f>HYPERLINK("E:\PropInv\MF\Conroe\Oddfellow_1510_Tanglewood_Conroe_04387","Oddfellow_1510_Tanglewood_Conroe_04387" )</f>
        <v>Oddfellow_1510_Tanglewood_Conroe_04387</v>
      </c>
      <c r="L3146" s="104" t="s">
        <v>22253</v>
      </c>
      <c r="M3146" s="103" t="str">
        <f t="shared" si="248"/>
        <v>http://oconnordata.com/mlink/modules/profile/index.cfm?action=profile&amp;prop_id=4387</v>
      </c>
      <c r="N3146" s="1" t="str">
        <f t="shared" si="249"/>
        <v>04387</v>
      </c>
    </row>
    <row r="3147" spans="1:14" x14ac:dyDescent="0.3">
      <c r="A3147" s="1">
        <v>4388</v>
      </c>
      <c r="B3147" s="7" t="s">
        <v>4749</v>
      </c>
      <c r="C3147" s="12">
        <v>4407</v>
      </c>
      <c r="D3147" s="7" t="s">
        <v>4768</v>
      </c>
      <c r="E3147" s="13" t="s">
        <v>1508</v>
      </c>
      <c r="F3147" t="str">
        <f t="shared" si="245"/>
        <v>Panther</v>
      </c>
      <c r="G3147" t="str">
        <f t="shared" si="246"/>
        <v>Panther4407The Woodlands</v>
      </c>
      <c r="H3147" t="s">
        <v>34005</v>
      </c>
      <c r="I3147" t="s">
        <v>25430</v>
      </c>
      <c r="J3147" t="str">
        <f t="shared" si="247"/>
        <v>E:\PropInv\MF</v>
      </c>
      <c r="K3147" s="103" t="str">
        <f>HYPERLINK("E:\PropInv\MF\The Woodlands\Panther Creek Dr S_4407_Copperwood I &amp; II_The Woodlands_04388","Panther Creek Dr S_4407_Copperwood I &amp; II_The Woodlands_04388" )</f>
        <v>Panther Creek Dr S_4407_Copperwood I &amp; II_The Woodlands_04388</v>
      </c>
      <c r="L3147" s="104" t="s">
        <v>22253</v>
      </c>
      <c r="M3147" s="103" t="str">
        <f t="shared" si="248"/>
        <v>http://oconnordata.com/mlink/modules/profile/index.cfm?action=profile&amp;prop_id=4388</v>
      </c>
      <c r="N3147" s="1" t="str">
        <f t="shared" si="249"/>
        <v>04388</v>
      </c>
    </row>
    <row r="3148" spans="1:14" x14ac:dyDescent="0.3">
      <c r="A3148" s="1">
        <v>4389</v>
      </c>
      <c r="B3148" s="7" t="s">
        <v>4749</v>
      </c>
      <c r="C3148" s="12">
        <v>4550</v>
      </c>
      <c r="D3148" s="7" t="s">
        <v>4769</v>
      </c>
      <c r="E3148" s="13" t="s">
        <v>1508</v>
      </c>
      <c r="F3148" t="str">
        <f t="shared" si="245"/>
        <v>Panther</v>
      </c>
      <c r="G3148" t="str">
        <f t="shared" si="246"/>
        <v>Panther4550The Woodlands</v>
      </c>
      <c r="H3148" t="s">
        <v>34006</v>
      </c>
      <c r="I3148" t="s">
        <v>25431</v>
      </c>
      <c r="J3148" t="str">
        <f t="shared" si="247"/>
        <v>E:\PropInv\MF</v>
      </c>
      <c r="K3148" s="103" t="str">
        <f>HYPERLINK("E:\PropInv\MF\The Woodlands\Panther Creek Dr S_4550_Harvestwood Apts_The Woodlands_04389","Panther Creek Dr S_4550_Harvestwood Apts_The Woodlands_04389" )</f>
        <v>Panther Creek Dr S_4550_Harvestwood Apts_The Woodlands_04389</v>
      </c>
      <c r="L3148" s="104" t="s">
        <v>22253</v>
      </c>
      <c r="M3148" s="103" t="str">
        <f t="shared" si="248"/>
        <v>http://oconnordata.com/mlink/modules/profile/index.cfm?action=profile&amp;prop_id=4389</v>
      </c>
      <c r="N3148" s="1" t="str">
        <f t="shared" si="249"/>
        <v>04389</v>
      </c>
    </row>
    <row r="3149" spans="1:14" x14ac:dyDescent="0.3">
      <c r="A3149" s="1">
        <v>4390</v>
      </c>
      <c r="B3149" s="7" t="s">
        <v>4770</v>
      </c>
      <c r="C3149" s="12">
        <v>315</v>
      </c>
      <c r="D3149" s="7" t="s">
        <v>1802</v>
      </c>
      <c r="E3149" s="13" t="s">
        <v>1508</v>
      </c>
      <c r="F3149" t="str">
        <f t="shared" si="245"/>
        <v>Valleywood</v>
      </c>
      <c r="G3149" t="str">
        <f t="shared" si="246"/>
        <v>Valleywood315The Woodlands</v>
      </c>
      <c r="H3149" t="s">
        <v>34007</v>
      </c>
      <c r="I3149" t="s">
        <v>25432</v>
      </c>
      <c r="J3149" t="str">
        <f t="shared" si="247"/>
        <v>E:\PropInv\MF</v>
      </c>
      <c r="K3149" s="103" t="str">
        <f>HYPERLINK("E:\PropInv\MF\The Woodlands\Valleywood Rd_315_Green Tree Place_The Woodlands_04390","Valleywood Rd_315_Green Tree Place_The Woodlands_04390" )</f>
        <v>Valleywood Rd_315_Green Tree Place_The Woodlands_04390</v>
      </c>
      <c r="L3149" s="104" t="s">
        <v>22253</v>
      </c>
      <c r="M3149" s="103" t="str">
        <f t="shared" si="248"/>
        <v>http://oconnordata.com/mlink/modules/profile/index.cfm?action=profile&amp;prop_id=4390</v>
      </c>
      <c r="N3149" s="1" t="str">
        <f t="shared" si="249"/>
        <v>04390</v>
      </c>
    </row>
    <row r="3150" spans="1:14" x14ac:dyDescent="0.3">
      <c r="A3150" s="1">
        <v>4391</v>
      </c>
      <c r="B3150" s="10" t="s">
        <v>4771</v>
      </c>
      <c r="C3150" s="9">
        <v>2210</v>
      </c>
      <c r="D3150" s="10" t="s">
        <v>4772</v>
      </c>
      <c r="E3150" s="11" t="s">
        <v>4616</v>
      </c>
      <c r="F3150" t="str">
        <f t="shared" si="245"/>
        <v>Westview</v>
      </c>
      <c r="G3150" t="str">
        <f t="shared" si="246"/>
        <v>Westview2210Conroe</v>
      </c>
      <c r="H3150" t="s">
        <v>34008</v>
      </c>
      <c r="I3150" t="s">
        <v>25433</v>
      </c>
      <c r="J3150" t="str">
        <f t="shared" si="247"/>
        <v>E:\PropInv\MF</v>
      </c>
      <c r="K3150" s="103" t="str">
        <f>HYPERLINK("E:\PropInv\MF\Conroe\Westview Blvd_2210_Central Park Condominiums_Conroe_04391","Westview Blvd_2210_Central Park Condominiums_Conroe_04391" )</f>
        <v>Westview Blvd_2210_Central Park Condominiums_Conroe_04391</v>
      </c>
      <c r="L3150" s="104" t="s">
        <v>22253</v>
      </c>
      <c r="M3150" s="103" t="str">
        <f t="shared" si="248"/>
        <v>http://oconnordata.com/mlink/modules/profile/index.cfm?action=profile&amp;prop_id=4391</v>
      </c>
      <c r="N3150" s="1" t="str">
        <f t="shared" si="249"/>
        <v>04391</v>
      </c>
    </row>
    <row r="3151" spans="1:14" x14ac:dyDescent="0.3">
      <c r="A3151" s="1">
        <v>4392</v>
      </c>
      <c r="B3151" s="7" t="s">
        <v>4773</v>
      </c>
      <c r="C3151" s="12">
        <v>1600</v>
      </c>
      <c r="D3151" s="7" t="s">
        <v>4774</v>
      </c>
      <c r="E3151" s="13" t="s">
        <v>4616</v>
      </c>
      <c r="F3151" t="str">
        <f t="shared" si="245"/>
        <v>River</v>
      </c>
      <c r="G3151" t="str">
        <f t="shared" si="246"/>
        <v>River1600Conroe</v>
      </c>
      <c r="H3151" t="s">
        <v>34009</v>
      </c>
      <c r="I3151" t="s">
        <v>25434</v>
      </c>
      <c r="J3151" t="str">
        <f t="shared" si="247"/>
        <v>E:\PropInv\MF</v>
      </c>
      <c r="K3151" s="103" t="str">
        <f>HYPERLINK("E:\PropInv\MF\Conroe\River Pointe Dr_1600_River Pointe_Conroe_04392","River Pointe Dr_1600_River Pointe_Conroe_04392" )</f>
        <v>River Pointe Dr_1600_River Pointe_Conroe_04392</v>
      </c>
      <c r="L3151" s="104" t="s">
        <v>22253</v>
      </c>
      <c r="M3151" s="103" t="str">
        <f t="shared" si="248"/>
        <v>http://oconnordata.com/mlink/modules/profile/index.cfm?action=profile&amp;prop_id=4392</v>
      </c>
      <c r="N3151" s="1" t="str">
        <f t="shared" si="249"/>
        <v>04392</v>
      </c>
    </row>
    <row r="3152" spans="1:14" x14ac:dyDescent="0.3">
      <c r="A3152" s="1">
        <v>4393</v>
      </c>
      <c r="B3152" s="10" t="s">
        <v>4775</v>
      </c>
      <c r="C3152" s="9">
        <v>2301</v>
      </c>
      <c r="D3152" s="10" t="s">
        <v>4776</v>
      </c>
      <c r="E3152" s="11" t="s">
        <v>1508</v>
      </c>
      <c r="F3152" t="str">
        <f t="shared" si="245"/>
        <v>Millbend</v>
      </c>
      <c r="G3152" t="str">
        <f t="shared" si="246"/>
        <v>Millbend2301The Woodlands</v>
      </c>
      <c r="H3152" t="s">
        <v>34010</v>
      </c>
      <c r="I3152" t="s">
        <v>25435</v>
      </c>
      <c r="J3152" t="str">
        <f t="shared" si="247"/>
        <v>E:\PropInv\MF</v>
      </c>
      <c r="K3152" s="103" t="str">
        <f>HYPERLINK("E:\PropInv\MF\The Woodlands\Millbend Dr S_2301_IMT Village Square_The Woodlands_04393","Millbend Dr S_2301_IMT Village Square_The Woodlands_04393" )</f>
        <v>Millbend Dr S_2301_IMT Village Square_The Woodlands_04393</v>
      </c>
      <c r="L3152" s="104" t="s">
        <v>22253</v>
      </c>
      <c r="M3152" s="103" t="str">
        <f t="shared" si="248"/>
        <v>http://oconnordata.com/mlink/modules/profile/index.cfm?action=profile&amp;prop_id=4393</v>
      </c>
      <c r="N3152" s="1" t="str">
        <f t="shared" si="249"/>
        <v>04393</v>
      </c>
    </row>
    <row r="3153" spans="1:14" x14ac:dyDescent="0.3">
      <c r="A3153" s="1">
        <v>4394</v>
      </c>
      <c r="B3153" s="7" t="s">
        <v>4777</v>
      </c>
      <c r="C3153" s="12">
        <v>2200</v>
      </c>
      <c r="D3153" s="7" t="s">
        <v>2603</v>
      </c>
      <c r="E3153" s="13" t="s">
        <v>4616</v>
      </c>
      <c r="F3153" t="str">
        <f t="shared" si="245"/>
        <v>Montgomery</v>
      </c>
      <c r="G3153" t="str">
        <f t="shared" si="246"/>
        <v>Montgomery2200Conroe</v>
      </c>
      <c r="H3153" t="s">
        <v>34011</v>
      </c>
      <c r="I3153" t="s">
        <v>25436</v>
      </c>
      <c r="J3153" t="str">
        <f t="shared" si="247"/>
        <v>E:\PropInv\MF</v>
      </c>
      <c r="K3153" s="103" t="str">
        <f>HYPERLINK("E:\PropInv\MF\Conroe\Montgomery Park_2200_Forest Creek_Conroe_04394","Montgomery Park_2200_Forest Creek_Conroe_04394" )</f>
        <v>Montgomery Park_2200_Forest Creek_Conroe_04394</v>
      </c>
      <c r="L3153" s="104" t="s">
        <v>22253</v>
      </c>
      <c r="M3153" s="103" t="str">
        <f t="shared" si="248"/>
        <v>http://oconnordata.com/mlink/modules/profile/index.cfm?action=profile&amp;prop_id=4394</v>
      </c>
      <c r="N3153" s="1" t="str">
        <f t="shared" si="249"/>
        <v>04394</v>
      </c>
    </row>
    <row r="3154" spans="1:14" x14ac:dyDescent="0.3">
      <c r="A3154" s="1">
        <v>4395</v>
      </c>
      <c r="B3154" s="7" t="s">
        <v>4777</v>
      </c>
      <c r="C3154" s="12">
        <v>2201</v>
      </c>
      <c r="D3154" s="7" t="s">
        <v>4778</v>
      </c>
      <c r="E3154" s="13" t="s">
        <v>4616</v>
      </c>
      <c r="F3154" t="str">
        <f t="shared" si="245"/>
        <v>Montgomery</v>
      </c>
      <c r="G3154" t="str">
        <f t="shared" si="246"/>
        <v>Montgomery2201Conroe</v>
      </c>
      <c r="H3154" t="s">
        <v>34012</v>
      </c>
      <c r="I3154" t="s">
        <v>25437</v>
      </c>
      <c r="J3154" t="str">
        <f t="shared" si="247"/>
        <v>E:\PropInv\MF</v>
      </c>
      <c r="K3154" s="103" t="str">
        <f>HYPERLINK("E:\PropInv\MF\Conroe\Montgomery Park_2201_Cimarron Park_Conroe_04395","Montgomery Park_2201_Cimarron Park_Conroe_04395" )</f>
        <v>Montgomery Park_2201_Cimarron Park_Conroe_04395</v>
      </c>
      <c r="L3154" s="104" t="s">
        <v>22253</v>
      </c>
      <c r="M3154" s="103" t="str">
        <f t="shared" si="248"/>
        <v>http://oconnordata.com/mlink/modules/profile/index.cfm?action=profile&amp;prop_id=4395</v>
      </c>
      <c r="N3154" s="1" t="str">
        <f t="shared" si="249"/>
        <v>04395</v>
      </c>
    </row>
    <row r="3155" spans="1:14" x14ac:dyDescent="0.3">
      <c r="A3155" s="1">
        <v>4396</v>
      </c>
      <c r="B3155" s="10" t="s">
        <v>2081</v>
      </c>
      <c r="C3155" s="9">
        <v>301</v>
      </c>
      <c r="D3155" s="10" t="s">
        <v>4779</v>
      </c>
      <c r="E3155" s="11" t="s">
        <v>1657</v>
      </c>
      <c r="F3155" t="str">
        <f t="shared" si="245"/>
        <v>Little</v>
      </c>
      <c r="G3155" t="str">
        <f t="shared" si="246"/>
        <v>Little301Houston</v>
      </c>
      <c r="H3155" t="s">
        <v>34013</v>
      </c>
      <c r="I3155" t="s">
        <v>25438</v>
      </c>
      <c r="J3155" t="str">
        <f t="shared" si="247"/>
        <v>E:\PropInv\MF</v>
      </c>
      <c r="K3155" s="103" t="str">
        <f>HYPERLINK("E:\PropInv\MF\Houston\Little York W_301_Concord at Little York_Houston_04396","Little York W_301_Concord at Little York_Houston_04396" )</f>
        <v>Little York W_301_Concord at Little York_Houston_04396</v>
      </c>
      <c r="L3155" s="104" t="s">
        <v>22253</v>
      </c>
      <c r="M3155" s="103" t="str">
        <f t="shared" si="248"/>
        <v>http://oconnordata.com/mlink/modules/profile/index.cfm?action=profile&amp;prop_id=4396</v>
      </c>
      <c r="N3155" s="1" t="str">
        <f t="shared" si="249"/>
        <v>04396</v>
      </c>
    </row>
    <row r="3156" spans="1:14" x14ac:dyDescent="0.3">
      <c r="A3156" s="1">
        <v>4397</v>
      </c>
      <c r="B3156" s="10" t="s">
        <v>4365</v>
      </c>
      <c r="C3156" s="9">
        <v>905</v>
      </c>
      <c r="D3156" s="10" t="s">
        <v>4780</v>
      </c>
      <c r="E3156" s="11" t="s">
        <v>3228</v>
      </c>
      <c r="F3156" t="str">
        <f t="shared" si="245"/>
        <v>Ave</v>
      </c>
      <c r="G3156" t="str">
        <f t="shared" si="246"/>
        <v>Ave905Freeport</v>
      </c>
      <c r="H3156" t="s">
        <v>34014</v>
      </c>
      <c r="I3156" t="s">
        <v>25439</v>
      </c>
      <c r="J3156" t="str">
        <f t="shared" si="247"/>
        <v>E:\PropInv\MF</v>
      </c>
      <c r="K3156" s="103" t="str">
        <f>HYPERLINK("E:\PropInv\MF\Freeport\Ave J N_905_Casa Quintana_Freeport_04397","Ave J N_905_Casa Quintana_Freeport_04397" )</f>
        <v>Ave J N_905_Casa Quintana_Freeport_04397</v>
      </c>
      <c r="L3156" s="104" t="s">
        <v>22253</v>
      </c>
      <c r="M3156" s="103" t="str">
        <f t="shared" si="248"/>
        <v>http://oconnordata.com/mlink/modules/profile/index.cfm?action=profile&amp;prop_id=4397</v>
      </c>
      <c r="N3156" s="1" t="str">
        <f t="shared" si="249"/>
        <v>04397</v>
      </c>
    </row>
    <row r="3157" spans="1:14" x14ac:dyDescent="0.3">
      <c r="A3157" s="1">
        <v>4398</v>
      </c>
      <c r="B3157" s="10" t="s">
        <v>4690</v>
      </c>
      <c r="C3157" s="9">
        <v>4800</v>
      </c>
      <c r="D3157" s="10" t="s">
        <v>4647</v>
      </c>
      <c r="E3157" s="11" t="s">
        <v>4565</v>
      </c>
      <c r="F3157" t="str">
        <f t="shared" si="245"/>
        <v>Seawall</v>
      </c>
      <c r="G3157" t="str">
        <f t="shared" si="246"/>
        <v>Seawall4800Galveston</v>
      </c>
      <c r="H3157" t="s">
        <v>34015</v>
      </c>
      <c r="I3157" t="s">
        <v>25440</v>
      </c>
      <c r="J3157" t="str">
        <f t="shared" si="247"/>
        <v>E:\PropInv\MF</v>
      </c>
      <c r="K3157" s="103" t="str">
        <f>HYPERLINK("E:\PropInv\MF\Galveston\Seawall Blvd_4800_Fort Crockett_Galveston_04398","Seawall Blvd_4800_Fort Crockett_Galveston_04398" )</f>
        <v>Seawall Blvd_4800_Fort Crockett_Galveston_04398</v>
      </c>
      <c r="L3157" s="104" t="s">
        <v>22253</v>
      </c>
      <c r="M3157" s="103" t="str">
        <f t="shared" si="248"/>
        <v>http://oconnordata.com/mlink/modules/profile/index.cfm?action=profile&amp;prop_id=4398</v>
      </c>
      <c r="N3157" s="1" t="str">
        <f t="shared" si="249"/>
        <v>04398</v>
      </c>
    </row>
    <row r="3158" spans="1:14" x14ac:dyDescent="0.3">
      <c r="A3158" s="1">
        <v>4400</v>
      </c>
      <c r="B3158" s="10" t="s">
        <v>4781</v>
      </c>
      <c r="C3158" s="9">
        <v>2725</v>
      </c>
      <c r="D3158" s="10" t="s">
        <v>4782</v>
      </c>
      <c r="E3158" s="11" t="s">
        <v>1657</v>
      </c>
      <c r="F3158" t="str">
        <f t="shared" si="245"/>
        <v>Reed</v>
      </c>
      <c r="G3158" t="str">
        <f t="shared" si="246"/>
        <v>Reed2725Houston</v>
      </c>
      <c r="H3158" t="s">
        <v>34016</v>
      </c>
      <c r="I3158" t="s">
        <v>25441</v>
      </c>
      <c r="J3158" t="str">
        <f t="shared" si="247"/>
        <v>E:\PropInv\MF</v>
      </c>
      <c r="K3158" s="103" t="str">
        <f>HYPERLINK("E:\PropInv\MF\Houston\Reed Rd_2725_Reed Parque TH_Houston_04400","Reed Rd_2725_Reed Parque TH_Houston_04400" )</f>
        <v>Reed Rd_2725_Reed Parque TH_Houston_04400</v>
      </c>
      <c r="L3158" s="104" t="s">
        <v>22253</v>
      </c>
      <c r="M3158" s="103" t="str">
        <f t="shared" si="248"/>
        <v>http://oconnordata.com/mlink/modules/profile/index.cfm?action=profile&amp;prop_id=4400</v>
      </c>
      <c r="N3158" s="1" t="str">
        <f t="shared" si="249"/>
        <v>04400</v>
      </c>
    </row>
    <row r="3159" spans="1:14" x14ac:dyDescent="0.3">
      <c r="A3159" s="1">
        <v>4401</v>
      </c>
      <c r="B3159" s="10" t="s">
        <v>1873</v>
      </c>
      <c r="C3159" s="9">
        <v>8301</v>
      </c>
      <c r="D3159" s="10" t="s">
        <v>4783</v>
      </c>
      <c r="E3159" s="11" t="s">
        <v>1657</v>
      </c>
      <c r="F3159" t="str">
        <f t="shared" si="245"/>
        <v>Willow</v>
      </c>
      <c r="G3159" t="str">
        <f t="shared" si="246"/>
        <v>Willow8301Houston</v>
      </c>
      <c r="H3159" t="s">
        <v>34017</v>
      </c>
      <c r="I3159" t="s">
        <v>25442</v>
      </c>
      <c r="J3159" t="str">
        <f t="shared" si="247"/>
        <v>E:\PropInv\MF</v>
      </c>
      <c r="K3159" s="103" t="str">
        <f>HYPERLINK("E:\PropInv\MF\Houston\Willow Place N_8301_Willow Green_Houston_04401","Willow Place N_8301_Willow Green_Houston_04401" )</f>
        <v>Willow Place N_8301_Willow Green_Houston_04401</v>
      </c>
      <c r="L3159" s="104" t="s">
        <v>22253</v>
      </c>
      <c r="M3159" s="103" t="str">
        <f t="shared" si="248"/>
        <v>http://oconnordata.com/mlink/modules/profile/index.cfm?action=profile&amp;prop_id=4401</v>
      </c>
      <c r="N3159" s="1" t="str">
        <f t="shared" si="249"/>
        <v>04401</v>
      </c>
    </row>
    <row r="3160" spans="1:14" x14ac:dyDescent="0.3">
      <c r="A3160" s="1">
        <v>4404</v>
      </c>
      <c r="B3160" s="10" t="s">
        <v>4784</v>
      </c>
      <c r="C3160" s="9">
        <v>7575</v>
      </c>
      <c r="D3160" s="10" t="s">
        <v>4785</v>
      </c>
      <c r="E3160" s="11" t="s">
        <v>1508</v>
      </c>
      <c r="F3160" t="str">
        <f t="shared" si="245"/>
        <v>Gosling</v>
      </c>
      <c r="G3160" t="str">
        <f t="shared" si="246"/>
        <v>Gosling7575The Woodlands</v>
      </c>
      <c r="H3160" t="s">
        <v>34018</v>
      </c>
      <c r="I3160" t="s">
        <v>25443</v>
      </c>
      <c r="J3160" t="str">
        <f t="shared" si="247"/>
        <v>E:\PropInv\MF</v>
      </c>
      <c r="K3160" s="103" t="str">
        <f>HYPERLINK("E:\PropInv\MF\The Woodlands\Gosling_7575_Alden Landing_The Woodlands_04404","Gosling_7575_Alden Landing_The Woodlands_04404" )</f>
        <v>Gosling_7575_Alden Landing_The Woodlands_04404</v>
      </c>
      <c r="L3160" s="104" t="s">
        <v>22253</v>
      </c>
      <c r="M3160" s="103" t="str">
        <f t="shared" si="248"/>
        <v>http://oconnordata.com/mlink/modules/profile/index.cfm?action=profile&amp;prop_id=4404</v>
      </c>
      <c r="N3160" s="1" t="str">
        <f t="shared" si="249"/>
        <v>04404</v>
      </c>
    </row>
    <row r="3161" spans="1:14" x14ac:dyDescent="0.3">
      <c r="A3161" s="1">
        <v>4405</v>
      </c>
      <c r="B3161" s="16" t="s">
        <v>22291</v>
      </c>
      <c r="C3161" s="9">
        <v>8787</v>
      </c>
      <c r="D3161" s="16" t="s">
        <v>4787</v>
      </c>
      <c r="E3161" s="106" t="s">
        <v>4786</v>
      </c>
      <c r="F3161" t="str">
        <f t="shared" si="245"/>
        <v>Shenandoah</v>
      </c>
      <c r="G3161" t="str">
        <f t="shared" si="246"/>
        <v>Shenandoah8787Shenandoah</v>
      </c>
      <c r="H3161" t="s">
        <v>34019</v>
      </c>
      <c r="I3161" t="s">
        <v>25444</v>
      </c>
      <c r="J3161" t="str">
        <f t="shared" si="247"/>
        <v>E:\PropInv\MF</v>
      </c>
      <c r="K3161" s="103" t="str">
        <f>HYPERLINK("E:\PropInv\MF\Shenandoah\Shenandoah Park Dr_8787_The Park at Woodmoor_Shenandoah_04405","Shenandoah Park Dr_8787_The Park at Woodmoor_Shenandoah_04405" )</f>
        <v>Shenandoah Park Dr_8787_The Park at Woodmoor_Shenandoah_04405</v>
      </c>
      <c r="L3161" s="104" t="s">
        <v>22253</v>
      </c>
      <c r="M3161" s="103" t="str">
        <f t="shared" si="248"/>
        <v>http://oconnordata.com/mlink/modules/profile/index.cfm?action=profile&amp;prop_id=4405</v>
      </c>
      <c r="N3161" s="1" t="str">
        <f t="shared" si="249"/>
        <v>04405</v>
      </c>
    </row>
    <row r="3162" spans="1:14" x14ac:dyDescent="0.3">
      <c r="A3162" s="1">
        <v>4406</v>
      </c>
      <c r="B3162" s="10" t="s">
        <v>2045</v>
      </c>
      <c r="C3162" s="9">
        <v>1515</v>
      </c>
      <c r="D3162" s="10" t="s">
        <v>4788</v>
      </c>
      <c r="E3162" s="11" t="s">
        <v>4616</v>
      </c>
      <c r="F3162" t="str">
        <f t="shared" si="245"/>
        <v>Wilson</v>
      </c>
      <c r="G3162" t="str">
        <f t="shared" si="246"/>
        <v>Wilson1515Conroe</v>
      </c>
      <c r="H3162" t="s">
        <v>34020</v>
      </c>
      <c r="I3162" t="s">
        <v>25445</v>
      </c>
      <c r="J3162" t="str">
        <f t="shared" si="247"/>
        <v>E:\PropInv\MF</v>
      </c>
      <c r="K3162" s="103" t="str">
        <f>HYPERLINK("E:\PropInv\MF\Conroe\Wilson Rd_1515_Carriage Woods_Conroe_04406","Wilson Rd_1515_Carriage Woods_Conroe_04406" )</f>
        <v>Wilson Rd_1515_Carriage Woods_Conroe_04406</v>
      </c>
      <c r="L3162" s="104" t="s">
        <v>22253</v>
      </c>
      <c r="M3162" s="103" t="str">
        <f t="shared" si="248"/>
        <v>http://oconnordata.com/mlink/modules/profile/index.cfm?action=profile&amp;prop_id=4406</v>
      </c>
      <c r="N3162" s="1" t="str">
        <f t="shared" si="249"/>
        <v>04406</v>
      </c>
    </row>
    <row r="3163" spans="1:14" x14ac:dyDescent="0.3">
      <c r="A3163" s="1">
        <v>4407</v>
      </c>
      <c r="B3163" s="10" t="s">
        <v>1821</v>
      </c>
      <c r="C3163" s="9">
        <v>938</v>
      </c>
      <c r="D3163" s="10" t="s">
        <v>4789</v>
      </c>
      <c r="E3163" s="11" t="s">
        <v>1662</v>
      </c>
      <c r="F3163" t="str">
        <f t="shared" si="245"/>
        <v>Kingwood</v>
      </c>
      <c r="G3163" t="str">
        <f t="shared" si="246"/>
        <v>Kingwood938Kingwood</v>
      </c>
      <c r="H3163" t="s">
        <v>34021</v>
      </c>
      <c r="I3163" t="s">
        <v>25446</v>
      </c>
      <c r="J3163" t="str">
        <f t="shared" si="247"/>
        <v>E:\PropInv\MF</v>
      </c>
      <c r="K3163" s="103" t="str">
        <f>HYPERLINK("E:\PropInv\MF\Kingwood\Kingwood Dr_938_The Lodge at Kingwood_Kingwood_04407","Kingwood Dr_938_The Lodge at Kingwood_Kingwood_04407" )</f>
        <v>Kingwood Dr_938_The Lodge at Kingwood_Kingwood_04407</v>
      </c>
      <c r="L3163" s="104" t="s">
        <v>22253</v>
      </c>
      <c r="M3163" s="103" t="str">
        <f t="shared" si="248"/>
        <v>http://oconnordata.com/mlink/modules/profile/index.cfm?action=profile&amp;prop_id=4407</v>
      </c>
      <c r="N3163" s="1" t="str">
        <f t="shared" si="249"/>
        <v>04407</v>
      </c>
    </row>
    <row r="3164" spans="1:14" x14ac:dyDescent="0.3">
      <c r="A3164" s="1">
        <v>4408</v>
      </c>
      <c r="B3164" s="7" t="s">
        <v>4790</v>
      </c>
      <c r="C3164" s="12">
        <v>2330</v>
      </c>
      <c r="D3164" s="7" t="s">
        <v>4791</v>
      </c>
      <c r="E3164" s="13" t="s">
        <v>4616</v>
      </c>
      <c r="F3164" t="str">
        <f t="shared" si="245"/>
        <v>Montgomery</v>
      </c>
      <c r="G3164" t="str">
        <f t="shared" si="246"/>
        <v>Montgomery2330Conroe</v>
      </c>
      <c r="H3164" t="s">
        <v>34022</v>
      </c>
      <c r="I3164" t="s">
        <v>25447</v>
      </c>
      <c r="J3164" t="str">
        <f t="shared" si="247"/>
        <v>E:\PropInv\MF</v>
      </c>
      <c r="K3164" s="103" t="str">
        <f>HYPERLINK("E:\PropInv\MF\Conroe\Montgomery Park Blvd_2330_White Oak_Conroe_04408","Montgomery Park Blvd_2330_White Oak_Conroe_04408" )</f>
        <v>Montgomery Park Blvd_2330_White Oak_Conroe_04408</v>
      </c>
      <c r="L3164" s="104" t="s">
        <v>22253</v>
      </c>
      <c r="M3164" s="103" t="str">
        <f t="shared" si="248"/>
        <v>http://oconnordata.com/mlink/modules/profile/index.cfm?action=profile&amp;prop_id=4408</v>
      </c>
      <c r="N3164" s="1" t="str">
        <f t="shared" si="249"/>
        <v>04408</v>
      </c>
    </row>
    <row r="3165" spans="1:14" x14ac:dyDescent="0.3">
      <c r="A3165" s="1">
        <v>4409</v>
      </c>
      <c r="B3165" s="7" t="s">
        <v>4792</v>
      </c>
      <c r="C3165" s="12">
        <v>3814</v>
      </c>
      <c r="D3165" s="7" t="s">
        <v>4793</v>
      </c>
      <c r="E3165" s="13" t="s">
        <v>1657</v>
      </c>
      <c r="F3165" t="str">
        <f t="shared" si="245"/>
        <v>Lyons</v>
      </c>
      <c r="G3165" t="str">
        <f t="shared" si="246"/>
        <v>Lyons3814Houston</v>
      </c>
      <c r="H3165" t="s">
        <v>34023</v>
      </c>
      <c r="I3165" t="s">
        <v>25448</v>
      </c>
      <c r="J3165" t="str">
        <f t="shared" si="247"/>
        <v>E:\PropInv\MF</v>
      </c>
      <c r="K3165" s="103" t="str">
        <f>HYPERLINK("E:\PropInv\MF\Houston\Lyons Ave_3814_Pleasant Hill Village_Houston_04409","Lyons Ave_3814_Pleasant Hill Village_Houston_04409" )</f>
        <v>Lyons Ave_3814_Pleasant Hill Village_Houston_04409</v>
      </c>
      <c r="L3165" s="104" t="s">
        <v>22253</v>
      </c>
      <c r="M3165" s="103" t="str">
        <f t="shared" si="248"/>
        <v>http://oconnordata.com/mlink/modules/profile/index.cfm?action=profile&amp;prop_id=4409</v>
      </c>
      <c r="N3165" s="1" t="str">
        <f t="shared" si="249"/>
        <v>04409</v>
      </c>
    </row>
    <row r="3166" spans="1:14" x14ac:dyDescent="0.3">
      <c r="A3166" s="1">
        <v>4410</v>
      </c>
      <c r="B3166" s="7" t="s">
        <v>2004</v>
      </c>
      <c r="C3166" s="12">
        <v>23423</v>
      </c>
      <c r="D3166" s="7" t="s">
        <v>4794</v>
      </c>
      <c r="E3166" s="13" t="s">
        <v>1662</v>
      </c>
      <c r="F3166" t="str">
        <f t="shared" si="245"/>
        <v>59</v>
      </c>
      <c r="G3166" t="str">
        <f t="shared" si="246"/>
        <v>5923423Kingwood</v>
      </c>
      <c r="H3166" t="s">
        <v>34024</v>
      </c>
      <c r="I3166" t="s">
        <v>25449</v>
      </c>
      <c r="J3166" t="str">
        <f t="shared" si="247"/>
        <v>E:\PropInv\MF</v>
      </c>
      <c r="K3166" s="103" t="str">
        <f>HYPERLINK("E:\PropInv\MF\Kingwood\59 Hwy_23423_Mallard Creek_Kingwood_04410","59 Hwy_23423_Mallard Creek_Kingwood_04410" )</f>
        <v>59 Hwy_23423_Mallard Creek_Kingwood_04410</v>
      </c>
      <c r="L3166" s="104" t="s">
        <v>22253</v>
      </c>
      <c r="M3166" s="103" t="str">
        <f t="shared" si="248"/>
        <v>http://oconnordata.com/mlink/modules/profile/index.cfm?action=profile&amp;prop_id=4410</v>
      </c>
      <c r="N3166" s="1" t="str">
        <f t="shared" si="249"/>
        <v>04410</v>
      </c>
    </row>
    <row r="3167" spans="1:14" x14ac:dyDescent="0.3">
      <c r="A3167" s="1">
        <v>4411</v>
      </c>
      <c r="B3167" s="7" t="s">
        <v>4795</v>
      </c>
      <c r="C3167" s="12">
        <v>200</v>
      </c>
      <c r="D3167" s="7" t="s">
        <v>4796</v>
      </c>
      <c r="E3167" s="13" t="s">
        <v>1662</v>
      </c>
      <c r="F3167" t="str">
        <f t="shared" si="245"/>
        <v>Kellington</v>
      </c>
      <c r="G3167" t="str">
        <f t="shared" si="246"/>
        <v>Kellington200Kingwood</v>
      </c>
      <c r="H3167" t="s">
        <v>34025</v>
      </c>
      <c r="I3167" t="s">
        <v>25450</v>
      </c>
      <c r="J3167" t="str">
        <f t="shared" si="247"/>
        <v>E:\PropInv\MF</v>
      </c>
      <c r="K3167" s="103" t="str">
        <f>HYPERLINK("E:\PropInv\MF\Kingwood\Kellington Dr_200_The Paramount at Kingwood_Kingwood_04411","Kellington Dr_200_The Paramount at Kingwood_Kingwood_04411" )</f>
        <v>Kellington Dr_200_The Paramount at Kingwood_Kingwood_04411</v>
      </c>
      <c r="L3167" s="104" t="s">
        <v>22253</v>
      </c>
      <c r="M3167" s="103" t="str">
        <f t="shared" si="248"/>
        <v>http://oconnordata.com/mlink/modules/profile/index.cfm?action=profile&amp;prop_id=4411</v>
      </c>
      <c r="N3167" s="1" t="str">
        <f t="shared" si="249"/>
        <v>04411</v>
      </c>
    </row>
    <row r="3168" spans="1:14" x14ac:dyDescent="0.3">
      <c r="A3168" s="1">
        <v>4412</v>
      </c>
      <c r="B3168" s="7" t="s">
        <v>4797</v>
      </c>
      <c r="C3168" s="12">
        <v>27600</v>
      </c>
      <c r="D3168" s="7" t="s">
        <v>4798</v>
      </c>
      <c r="E3168" s="13" t="s">
        <v>1662</v>
      </c>
      <c r="F3168" t="str">
        <f t="shared" si="245"/>
        <v>Kings</v>
      </c>
      <c r="G3168" t="str">
        <f t="shared" si="246"/>
        <v>Kings27600Kingwood</v>
      </c>
      <c r="H3168" t="s">
        <v>34026</v>
      </c>
      <c r="I3168" t="s">
        <v>25451</v>
      </c>
      <c r="J3168" t="str">
        <f t="shared" si="247"/>
        <v>E:\PropInv\MF</v>
      </c>
      <c r="K3168" s="103" t="str">
        <f>HYPERLINK("E:\PropInv\MF\Kingwood\Kings Manor Dr N_27600_The Preserve at Kingwood_Kingwood_04412","Kings Manor Dr N_27600_The Preserve at Kingwood_Kingwood_04412" )</f>
        <v>Kings Manor Dr N_27600_The Preserve at Kingwood_Kingwood_04412</v>
      </c>
      <c r="L3168" s="104" t="s">
        <v>22253</v>
      </c>
      <c r="M3168" s="103" t="str">
        <f t="shared" si="248"/>
        <v>http://oconnordata.com/mlink/modules/profile/index.cfm?action=profile&amp;prop_id=4412</v>
      </c>
      <c r="N3168" s="1" t="str">
        <f t="shared" si="249"/>
        <v>04412</v>
      </c>
    </row>
    <row r="3169" spans="1:14" x14ac:dyDescent="0.3">
      <c r="A3169" s="1">
        <v>4413</v>
      </c>
      <c r="B3169" s="7" t="s">
        <v>4799</v>
      </c>
      <c r="C3169" s="12">
        <v>455</v>
      </c>
      <c r="D3169" s="7" t="s">
        <v>4800</v>
      </c>
      <c r="E3169" s="13" t="s">
        <v>1671</v>
      </c>
      <c r="F3169" t="str">
        <f t="shared" si="245"/>
        <v>Wildwood</v>
      </c>
      <c r="G3169" t="str">
        <f t="shared" si="246"/>
        <v>Wildwood455Spring</v>
      </c>
      <c r="H3169" t="s">
        <v>34027</v>
      </c>
      <c r="I3169" t="s">
        <v>25452</v>
      </c>
      <c r="J3169" t="str">
        <f t="shared" si="247"/>
        <v>E:\PropInv\MF</v>
      </c>
      <c r="K3169" s="103" t="str">
        <f>HYPERLINK("E:\PropInv\MF\Spring\Wildwood Forest Dr_455_Wildwood Forest_Spring_04413","Wildwood Forest Dr_455_Wildwood Forest_Spring_04413" )</f>
        <v>Wildwood Forest Dr_455_Wildwood Forest_Spring_04413</v>
      </c>
      <c r="L3169" s="104" t="s">
        <v>22253</v>
      </c>
      <c r="M3169" s="103" t="str">
        <f t="shared" si="248"/>
        <v>http://oconnordata.com/mlink/modules/profile/index.cfm?action=profile&amp;prop_id=4413</v>
      </c>
      <c r="N3169" s="1" t="str">
        <f t="shared" si="249"/>
        <v>04413</v>
      </c>
    </row>
    <row r="3170" spans="1:14" x14ac:dyDescent="0.3">
      <c r="A3170" s="1">
        <v>4415</v>
      </c>
      <c r="B3170" s="7" t="s">
        <v>2045</v>
      </c>
      <c r="C3170" s="12">
        <v>1101</v>
      </c>
      <c r="D3170" s="7" t="s">
        <v>581</v>
      </c>
      <c r="E3170" s="13" t="s">
        <v>4616</v>
      </c>
      <c r="F3170" t="str">
        <f t="shared" si="245"/>
        <v>Wilson</v>
      </c>
      <c r="G3170" t="str">
        <f t="shared" si="246"/>
        <v>Wilson1101Conroe</v>
      </c>
      <c r="H3170" t="s">
        <v>34028</v>
      </c>
      <c r="I3170" t="s">
        <v>25453</v>
      </c>
      <c r="J3170" t="str">
        <f t="shared" si="247"/>
        <v>E:\PropInv\MF</v>
      </c>
      <c r="K3170" s="103" t="str">
        <f>HYPERLINK("E:\PropInv\MF\Conroe\Wilson Rd_1101_Treehouse_Conroe_04415","Wilson Rd_1101_Treehouse_Conroe_04415" )</f>
        <v>Wilson Rd_1101_Treehouse_Conroe_04415</v>
      </c>
      <c r="L3170" s="104" t="s">
        <v>22253</v>
      </c>
      <c r="M3170" s="103" t="str">
        <f t="shared" si="248"/>
        <v>http://oconnordata.com/mlink/modules/profile/index.cfm?action=profile&amp;prop_id=4415</v>
      </c>
      <c r="N3170" s="1" t="str">
        <f t="shared" si="249"/>
        <v>04415</v>
      </c>
    </row>
    <row r="3171" spans="1:14" x14ac:dyDescent="0.3">
      <c r="A3171" s="1">
        <v>4416</v>
      </c>
      <c r="B3171" s="7" t="s">
        <v>4801</v>
      </c>
      <c r="C3171" s="12">
        <v>10600</v>
      </c>
      <c r="D3171" s="7" t="s">
        <v>4802</v>
      </c>
      <c r="E3171" s="13" t="s">
        <v>1508</v>
      </c>
      <c r="F3171" t="str">
        <f t="shared" si="245"/>
        <v>Six</v>
      </c>
      <c r="G3171" t="str">
        <f t="shared" si="246"/>
        <v>Six10600The Woodlands</v>
      </c>
      <c r="H3171" t="s">
        <v>34029</v>
      </c>
      <c r="I3171" t="s">
        <v>25454</v>
      </c>
      <c r="J3171" t="str">
        <f t="shared" si="247"/>
        <v>E:\PropInv\MF</v>
      </c>
      <c r="K3171" s="103" t="str">
        <f>HYPERLINK("E:\PropInv\MF\The Woodlands\Six Pines Dr_10600_The Parkside_The Woodlands_04416","Six Pines Dr_10600_The Parkside_The Woodlands_04416" )</f>
        <v>Six Pines Dr_10600_The Parkside_The Woodlands_04416</v>
      </c>
      <c r="L3171" s="104" t="s">
        <v>22253</v>
      </c>
      <c r="M3171" s="103" t="str">
        <f t="shared" si="248"/>
        <v>http://oconnordata.com/mlink/modules/profile/index.cfm?action=profile&amp;prop_id=4416</v>
      </c>
      <c r="N3171" s="1" t="str">
        <f t="shared" si="249"/>
        <v>04416</v>
      </c>
    </row>
    <row r="3172" spans="1:14" x14ac:dyDescent="0.3">
      <c r="A3172" s="97">
        <v>4417</v>
      </c>
      <c r="B3172" s="7" t="s">
        <v>4803</v>
      </c>
      <c r="C3172" s="12">
        <v>3451</v>
      </c>
      <c r="D3172" s="7" t="s">
        <v>4804</v>
      </c>
      <c r="E3172" s="13" t="s">
        <v>1508</v>
      </c>
      <c r="F3172" t="str">
        <f t="shared" si="245"/>
        <v>Tanglebrush</v>
      </c>
      <c r="G3172" t="str">
        <f t="shared" si="246"/>
        <v>Tanglebrush3451The Woodlands</v>
      </c>
      <c r="H3172" t="s">
        <v>34030</v>
      </c>
      <c r="I3172" t="s">
        <v>25455</v>
      </c>
      <c r="J3172" t="str">
        <f t="shared" si="247"/>
        <v>E:\PropInv\MF</v>
      </c>
      <c r="K3172" s="103" t="str">
        <f>HYPERLINK("E:\PropInv\MF\The Woodlands\Tanglebrush Dr_3451_Woodglen_The Woodlands_04417","Tanglebrush Dr_3451_Woodglen_The Woodlands_04417" )</f>
        <v>Tanglebrush Dr_3451_Woodglen_The Woodlands_04417</v>
      </c>
      <c r="L3172" s="104" t="s">
        <v>22253</v>
      </c>
      <c r="M3172" s="103" t="str">
        <f t="shared" si="248"/>
        <v>http://oconnordata.com/mlink/modules/profile/index.cfm?action=profile&amp;prop_id=4417</v>
      </c>
      <c r="N3172" s="1" t="str">
        <f t="shared" si="249"/>
        <v>04417</v>
      </c>
    </row>
    <row r="3173" spans="1:14" x14ac:dyDescent="0.3">
      <c r="A3173" s="1">
        <v>4419</v>
      </c>
      <c r="B3173" s="7" t="s">
        <v>2233</v>
      </c>
      <c r="C3173" s="12">
        <v>2000</v>
      </c>
      <c r="D3173" s="7" t="s">
        <v>4805</v>
      </c>
      <c r="E3173" s="13" t="s">
        <v>2198</v>
      </c>
      <c r="F3173" t="str">
        <f t="shared" si="245"/>
        <v>Westborough</v>
      </c>
      <c r="G3173" t="str">
        <f t="shared" si="246"/>
        <v>Westborough2000Katy</v>
      </c>
      <c r="H3173" t="s">
        <v>34031</v>
      </c>
      <c r="I3173" t="s">
        <v>25456</v>
      </c>
      <c r="J3173" t="str">
        <f t="shared" si="247"/>
        <v>E:\PropInv\MF</v>
      </c>
      <c r="K3173" s="103" t="str">
        <f>HYPERLINK("E:\PropInv\MF\Katy\Westborough Dr_2000_Kenwood Club at the Park_Katy_04419","Westborough Dr_2000_Kenwood Club at the Park_Katy_04419" )</f>
        <v>Westborough Dr_2000_Kenwood Club at the Park_Katy_04419</v>
      </c>
      <c r="L3173" s="104" t="s">
        <v>22253</v>
      </c>
      <c r="M3173" s="103" t="str">
        <f t="shared" si="248"/>
        <v>http://oconnordata.com/mlink/modules/profile/index.cfm?action=profile&amp;prop_id=4419</v>
      </c>
      <c r="N3173" s="1" t="str">
        <f t="shared" si="249"/>
        <v>04419</v>
      </c>
    </row>
    <row r="3174" spans="1:14" x14ac:dyDescent="0.3">
      <c r="A3174" s="1">
        <v>4420</v>
      </c>
      <c r="B3174" s="7" t="s">
        <v>4806</v>
      </c>
      <c r="C3174" s="12">
        <v>2921</v>
      </c>
      <c r="D3174" s="7" t="s">
        <v>4807</v>
      </c>
      <c r="E3174" s="13" t="s">
        <v>1657</v>
      </c>
      <c r="F3174" t="str">
        <f t="shared" si="245"/>
        <v>Briarpark</v>
      </c>
      <c r="G3174" t="str">
        <f t="shared" si="246"/>
        <v>Briarpark2921Houston</v>
      </c>
      <c r="H3174" t="s">
        <v>34032</v>
      </c>
      <c r="I3174" t="s">
        <v>25457</v>
      </c>
      <c r="J3174" t="str">
        <f t="shared" si="247"/>
        <v>E:\PropInv\MF</v>
      </c>
      <c r="K3174" s="103" t="str">
        <f>HYPERLINK("E:\PropInv\MF\Houston\Briarpark Dr_2921_The Retreat at Westchase_Houston_04420","Briarpark Dr_2921_The Retreat at Westchase_Houston_04420" )</f>
        <v>Briarpark Dr_2921_The Retreat at Westchase_Houston_04420</v>
      </c>
      <c r="L3174" s="104" t="s">
        <v>22253</v>
      </c>
      <c r="M3174" s="103" t="str">
        <f t="shared" si="248"/>
        <v>http://oconnordata.com/mlink/modules/profile/index.cfm?action=profile&amp;prop_id=4420</v>
      </c>
      <c r="N3174" s="1" t="str">
        <f t="shared" si="249"/>
        <v>04420</v>
      </c>
    </row>
    <row r="3175" spans="1:14" x14ac:dyDescent="0.3">
      <c r="A3175" s="1">
        <v>4421</v>
      </c>
      <c r="B3175" s="7" t="s">
        <v>4808</v>
      </c>
      <c r="C3175" s="12">
        <v>610</v>
      </c>
      <c r="D3175" s="7" t="s">
        <v>4809</v>
      </c>
      <c r="E3175" s="13" t="s">
        <v>1657</v>
      </c>
      <c r="F3175" t="str">
        <f t="shared" si="245"/>
        <v>Saint</v>
      </c>
      <c r="G3175" t="str">
        <f t="shared" si="246"/>
        <v>Saint610Houston</v>
      </c>
      <c r="H3175" t="s">
        <v>34033</v>
      </c>
      <c r="I3175" t="s">
        <v>25458</v>
      </c>
      <c r="J3175" t="str">
        <f t="shared" si="247"/>
        <v>E:\PropInv\MF</v>
      </c>
      <c r="K3175" s="103" t="str">
        <f>HYPERLINK("E:\PropInv\MF\Houston\Saint Emanuel St_610_Lofts at the Ballpark_Houston_04421","Saint Emanuel St_610_Lofts at the Ballpark_Houston_04421" )</f>
        <v>Saint Emanuel St_610_Lofts at the Ballpark_Houston_04421</v>
      </c>
      <c r="L3175" s="104" t="s">
        <v>22253</v>
      </c>
      <c r="M3175" s="103" t="str">
        <f t="shared" si="248"/>
        <v>http://oconnordata.com/mlink/modules/profile/index.cfm?action=profile&amp;prop_id=4421</v>
      </c>
      <c r="N3175" s="1" t="str">
        <f t="shared" si="249"/>
        <v>04421</v>
      </c>
    </row>
    <row r="3176" spans="1:14" x14ac:dyDescent="0.3">
      <c r="A3176" s="1">
        <v>4422</v>
      </c>
      <c r="B3176" s="19" t="s">
        <v>2904</v>
      </c>
      <c r="C3176" s="18">
        <v>6800</v>
      </c>
      <c r="D3176" s="19" t="s">
        <v>4810</v>
      </c>
      <c r="E3176" s="20" t="s">
        <v>1657</v>
      </c>
      <c r="F3176" t="str">
        <f t="shared" si="245"/>
        <v>Shavelson</v>
      </c>
      <c r="G3176" t="str">
        <f t="shared" si="246"/>
        <v>Shavelson6800Houston</v>
      </c>
      <c r="H3176" t="s">
        <v>34034</v>
      </c>
      <c r="I3176" t="s">
        <v>25459</v>
      </c>
      <c r="J3176" t="str">
        <f t="shared" si="247"/>
        <v>E:\PropInv\MF</v>
      </c>
      <c r="K3176" s="103" t="str">
        <f>HYPERLINK("E:\PropInv\MF\Houston\Shavelson_6800_North Stream Manor_Houston_04422","Shavelson_6800_North Stream Manor_Houston_04422" )</f>
        <v>Shavelson_6800_North Stream Manor_Houston_04422</v>
      </c>
      <c r="L3176" s="104" t="s">
        <v>22253</v>
      </c>
      <c r="M3176" s="103" t="str">
        <f t="shared" si="248"/>
        <v>http://oconnordata.com/mlink/modules/profile/index.cfm?action=profile&amp;prop_id=4422</v>
      </c>
      <c r="N3176" s="1" t="str">
        <f t="shared" si="249"/>
        <v>04422</v>
      </c>
    </row>
    <row r="3177" spans="1:14" x14ac:dyDescent="0.3">
      <c r="A3177" s="1">
        <v>4423</v>
      </c>
      <c r="B3177" s="7" t="s">
        <v>4811</v>
      </c>
      <c r="C3177" s="12">
        <v>2400</v>
      </c>
      <c r="D3177" s="7" t="s">
        <v>1604</v>
      </c>
      <c r="E3177" s="13" t="s">
        <v>1671</v>
      </c>
      <c r="F3177" t="str">
        <f t="shared" si="245"/>
        <v>Spring</v>
      </c>
      <c r="G3177" t="str">
        <f t="shared" si="246"/>
        <v>Spring2400Spring</v>
      </c>
      <c r="H3177" t="s">
        <v>34035</v>
      </c>
      <c r="I3177" t="s">
        <v>25460</v>
      </c>
      <c r="J3177" t="str">
        <f t="shared" si="247"/>
        <v>E:\PropInv\MF</v>
      </c>
      <c r="K3177" s="103" t="str">
        <f>HYPERLINK("E:\PropInv\MF\Spring\Spring Rain_2400_The Ravinia_Spring_04423","Spring Rain_2400_The Ravinia_Spring_04423" )</f>
        <v>Spring Rain_2400_The Ravinia_Spring_04423</v>
      </c>
      <c r="L3177" s="104" t="s">
        <v>22253</v>
      </c>
      <c r="M3177" s="103" t="str">
        <f t="shared" si="248"/>
        <v>http://oconnordata.com/mlink/modules/profile/index.cfm?action=profile&amp;prop_id=4423</v>
      </c>
      <c r="N3177" s="1" t="str">
        <f t="shared" si="249"/>
        <v>04423</v>
      </c>
    </row>
    <row r="3178" spans="1:14" x14ac:dyDescent="0.3">
      <c r="A3178" s="1">
        <v>4424</v>
      </c>
      <c r="B3178" s="7" t="s">
        <v>4812</v>
      </c>
      <c r="C3178" s="12">
        <v>500</v>
      </c>
      <c r="D3178" s="7" t="s">
        <v>4813</v>
      </c>
      <c r="E3178" s="13" t="s">
        <v>1657</v>
      </c>
      <c r="F3178" t="str">
        <f t="shared" si="245"/>
        <v>Airtex</v>
      </c>
      <c r="G3178" t="str">
        <f t="shared" si="246"/>
        <v>Airtex500Houston</v>
      </c>
      <c r="H3178" t="s">
        <v>34036</v>
      </c>
      <c r="I3178" t="s">
        <v>25461</v>
      </c>
      <c r="J3178" t="str">
        <f t="shared" si="247"/>
        <v>E:\PropInv\MF</v>
      </c>
      <c r="K3178" s="103" t="str">
        <f>HYPERLINK("E:\PropInv\MF\Houston\Airtex_500_Quail Chase_Houston_04424","Airtex_500_Quail Chase_Houston_04424" )</f>
        <v>Airtex_500_Quail Chase_Houston_04424</v>
      </c>
      <c r="L3178" s="104" t="s">
        <v>22253</v>
      </c>
      <c r="M3178" s="103" t="str">
        <f t="shared" si="248"/>
        <v>http://oconnordata.com/mlink/modules/profile/index.cfm?action=profile&amp;prop_id=4424</v>
      </c>
      <c r="N3178" s="1" t="str">
        <f t="shared" si="249"/>
        <v>04424</v>
      </c>
    </row>
    <row r="3179" spans="1:14" x14ac:dyDescent="0.3">
      <c r="A3179" s="1">
        <v>4426</v>
      </c>
      <c r="B3179" s="7" t="s">
        <v>3838</v>
      </c>
      <c r="C3179" s="12">
        <v>6969</v>
      </c>
      <c r="D3179" s="7" t="s">
        <v>4814</v>
      </c>
      <c r="E3179" s="13" t="s">
        <v>1657</v>
      </c>
      <c r="F3179" t="str">
        <f t="shared" si="245"/>
        <v>Loop</v>
      </c>
      <c r="G3179" t="str">
        <f t="shared" si="246"/>
        <v>Loop6969Houston</v>
      </c>
      <c r="H3179" t="s">
        <v>34037</v>
      </c>
      <c r="I3179" t="s">
        <v>25462</v>
      </c>
      <c r="J3179" t="str">
        <f t="shared" si="247"/>
        <v>E:\PropInv\MF</v>
      </c>
      <c r="K3179" s="103" t="str">
        <f>HYPERLINK("E:\PropInv\MF\Houston\Loop E S_6969_Plum Creek TH_Houston_04426","Loop E S_6969_Plum Creek TH_Houston_04426" )</f>
        <v>Loop E S_6969_Plum Creek TH_Houston_04426</v>
      </c>
      <c r="L3179" s="104" t="s">
        <v>22253</v>
      </c>
      <c r="M3179" s="103" t="str">
        <f t="shared" si="248"/>
        <v>http://oconnordata.com/mlink/modules/profile/index.cfm?action=profile&amp;prop_id=4426</v>
      </c>
      <c r="N3179" s="1" t="str">
        <f t="shared" si="249"/>
        <v>04426</v>
      </c>
    </row>
    <row r="3180" spans="1:14" x14ac:dyDescent="0.3">
      <c r="A3180" s="1">
        <v>4427</v>
      </c>
      <c r="B3180" s="7" t="s">
        <v>4815</v>
      </c>
      <c r="C3180" s="12">
        <v>3003</v>
      </c>
      <c r="D3180" s="7" t="s">
        <v>4816</v>
      </c>
      <c r="E3180" s="13" t="s">
        <v>1657</v>
      </c>
      <c r="F3180" t="str">
        <f t="shared" si="245"/>
        <v>Memorial</v>
      </c>
      <c r="G3180" t="str">
        <f t="shared" si="246"/>
        <v>Memorial3003Houston</v>
      </c>
      <c r="H3180" t="s">
        <v>34038</v>
      </c>
      <c r="I3180" t="s">
        <v>25463</v>
      </c>
      <c r="J3180" t="str">
        <f t="shared" si="247"/>
        <v>E:\PropInv\MF</v>
      </c>
      <c r="K3180" s="103" t="str">
        <f>HYPERLINK("E:\PropInv\MF\Houston\Memorial Ct_3003_AMLI at Memorial Heights_Houston_04427","Memorial Ct_3003_AMLI at Memorial Heights_Houston_04427" )</f>
        <v>Memorial Ct_3003_AMLI at Memorial Heights_Houston_04427</v>
      </c>
      <c r="L3180" s="104" t="s">
        <v>22253</v>
      </c>
      <c r="M3180" s="103" t="str">
        <f t="shared" si="248"/>
        <v>http://oconnordata.com/mlink/modules/profile/index.cfm?action=profile&amp;prop_id=4427</v>
      </c>
      <c r="N3180" s="1" t="str">
        <f t="shared" si="249"/>
        <v>04427</v>
      </c>
    </row>
    <row r="3181" spans="1:14" x14ac:dyDescent="0.3">
      <c r="A3181" s="1">
        <v>4428</v>
      </c>
      <c r="B3181" s="7" t="s">
        <v>4817</v>
      </c>
      <c r="C3181" s="12">
        <v>616</v>
      </c>
      <c r="D3181" s="7" t="s">
        <v>4818</v>
      </c>
      <c r="E3181" s="13" t="s">
        <v>1657</v>
      </c>
      <c r="F3181" t="str">
        <f t="shared" si="245"/>
        <v>Memorial</v>
      </c>
      <c r="G3181" t="str">
        <f t="shared" si="246"/>
        <v>Memorial616Houston</v>
      </c>
      <c r="H3181" t="s">
        <v>34039</v>
      </c>
      <c r="I3181" t="s">
        <v>25464</v>
      </c>
      <c r="J3181" t="str">
        <f t="shared" si="247"/>
        <v>E:\PropInv\MF</v>
      </c>
      <c r="K3181" s="103" t="str">
        <f>HYPERLINK("E:\PropInv\MF\Houston\Memorial Heights Dr_616_The Estates at Memorial Heights_Houston_04428","Memorial Heights Dr_616_The Estates at Memorial Heights_Houston_04428" )</f>
        <v>Memorial Heights Dr_616_The Estates at Memorial Heights_Houston_04428</v>
      </c>
      <c r="L3181" s="104" t="s">
        <v>22253</v>
      </c>
      <c r="M3181" s="103" t="str">
        <f t="shared" si="248"/>
        <v>http://oconnordata.com/mlink/modules/profile/index.cfm?action=profile&amp;prop_id=4428</v>
      </c>
      <c r="N3181" s="1" t="str">
        <f t="shared" si="249"/>
        <v>04428</v>
      </c>
    </row>
    <row r="3182" spans="1:14" x14ac:dyDescent="0.3">
      <c r="A3182" s="1">
        <v>4429</v>
      </c>
      <c r="B3182" s="10" t="s">
        <v>3012</v>
      </c>
      <c r="C3182" s="9">
        <v>9955</v>
      </c>
      <c r="D3182" s="10" t="s">
        <v>4819</v>
      </c>
      <c r="E3182" s="11" t="s">
        <v>1657</v>
      </c>
      <c r="F3182" t="str">
        <f t="shared" si="245"/>
        <v>Buffalo</v>
      </c>
      <c r="G3182" t="str">
        <f t="shared" si="246"/>
        <v>Buffalo9955Houston</v>
      </c>
      <c r="H3182" t="s">
        <v>34040</v>
      </c>
      <c r="I3182" t="s">
        <v>25465</v>
      </c>
      <c r="J3182" t="str">
        <f t="shared" si="247"/>
        <v>E:\PropInv\MF</v>
      </c>
      <c r="K3182" s="103" t="str">
        <f>HYPERLINK("E:\PropInv\MF\Houston\Buffalo Spdwy_9955_Park Lakes_Houston_04429","Buffalo Spdwy_9955_Park Lakes_Houston_04429" )</f>
        <v>Buffalo Spdwy_9955_Park Lakes_Houston_04429</v>
      </c>
      <c r="L3182" s="104" t="s">
        <v>22253</v>
      </c>
      <c r="M3182" s="103" t="str">
        <f t="shared" si="248"/>
        <v>http://oconnordata.com/mlink/modules/profile/index.cfm?action=profile&amp;prop_id=4429</v>
      </c>
      <c r="N3182" s="1" t="str">
        <f t="shared" si="249"/>
        <v>04429</v>
      </c>
    </row>
    <row r="3183" spans="1:14" x14ac:dyDescent="0.3">
      <c r="A3183" s="1">
        <v>4431</v>
      </c>
      <c r="B3183" s="10" t="s">
        <v>4820</v>
      </c>
      <c r="C3183" s="9">
        <v>3500</v>
      </c>
      <c r="D3183" s="10" t="s">
        <v>3939</v>
      </c>
      <c r="E3183" s="11" t="s">
        <v>4559</v>
      </c>
      <c r="F3183" t="str">
        <f t="shared" si="245"/>
        <v>Baker</v>
      </c>
      <c r="G3183" t="str">
        <f t="shared" si="246"/>
        <v>Baker3500Dickinson</v>
      </c>
      <c r="H3183" t="s">
        <v>34041</v>
      </c>
      <c r="I3183" t="s">
        <v>25466</v>
      </c>
      <c r="J3183" t="str">
        <f t="shared" si="247"/>
        <v>E:\PropInv\MF</v>
      </c>
      <c r="K3183" s="103" t="str">
        <f>HYPERLINK("E:\PropInv\MF\Dickinson\Baker Dr_3500_Courtyard Apts_Dickinson_04431","Baker Dr_3500_Courtyard Apts_Dickinson_04431" )</f>
        <v>Baker Dr_3500_Courtyard Apts_Dickinson_04431</v>
      </c>
      <c r="L3183" s="104" t="s">
        <v>22253</v>
      </c>
      <c r="M3183" s="103" t="str">
        <f t="shared" si="248"/>
        <v>http://oconnordata.com/mlink/modules/profile/index.cfm?action=profile&amp;prop_id=4431</v>
      </c>
      <c r="N3183" s="1" t="str">
        <f t="shared" si="249"/>
        <v>04431</v>
      </c>
    </row>
    <row r="3184" spans="1:14" x14ac:dyDescent="0.3">
      <c r="A3184" s="1">
        <v>4432</v>
      </c>
      <c r="B3184" s="7" t="s">
        <v>4821</v>
      </c>
      <c r="C3184" s="12">
        <v>150</v>
      </c>
      <c r="D3184" s="7" t="s">
        <v>4822</v>
      </c>
      <c r="E3184" s="13" t="s">
        <v>1657</v>
      </c>
      <c r="F3184" t="str">
        <f t="shared" si="245"/>
        <v>Sabine</v>
      </c>
      <c r="G3184" t="str">
        <f t="shared" si="246"/>
        <v>Sabine150Houston</v>
      </c>
      <c r="H3184" t="s">
        <v>34042</v>
      </c>
      <c r="I3184" t="s">
        <v>25467</v>
      </c>
      <c r="J3184" t="str">
        <f t="shared" si="247"/>
        <v>E:\PropInv\MF</v>
      </c>
      <c r="K3184" s="103" t="str">
        <f>HYPERLINK("E:\PropInv\MF\Houston\Sabine St_150_Sabine Street Lofts_Houston_04432","Sabine St_150_Sabine Street Lofts_Houston_04432" )</f>
        <v>Sabine St_150_Sabine Street Lofts_Houston_04432</v>
      </c>
      <c r="L3184" s="104" t="s">
        <v>22253</v>
      </c>
      <c r="M3184" s="103" t="str">
        <f t="shared" si="248"/>
        <v>http://oconnordata.com/mlink/modules/profile/index.cfm?action=profile&amp;prop_id=4432</v>
      </c>
      <c r="N3184" s="1" t="str">
        <f t="shared" si="249"/>
        <v>04432</v>
      </c>
    </row>
    <row r="3185" spans="1:14" x14ac:dyDescent="0.3">
      <c r="A3185" s="1">
        <v>4433</v>
      </c>
      <c r="B3185" s="7" t="s">
        <v>2070</v>
      </c>
      <c r="C3185" s="12">
        <v>15503</v>
      </c>
      <c r="D3185" s="7" t="s">
        <v>4823</v>
      </c>
      <c r="E3185" s="13" t="s">
        <v>1657</v>
      </c>
      <c r="F3185" t="str">
        <f t="shared" si="245"/>
        <v>529</v>
      </c>
      <c r="G3185" t="str">
        <f t="shared" si="246"/>
        <v>52915503Houston</v>
      </c>
      <c r="H3185" t="s">
        <v>34043</v>
      </c>
      <c r="I3185" t="s">
        <v>25468</v>
      </c>
      <c r="J3185" t="str">
        <f t="shared" si="247"/>
        <v>E:\PropInv\MF</v>
      </c>
      <c r="K3185" s="103" t="str">
        <f>HYPERLINK("E:\PropInv\MF\Houston\529 FM_15503_The Enclave at Copperfield_Houston_04433","529 FM_15503_The Enclave at Copperfield_Houston_04433" )</f>
        <v>529 FM_15503_The Enclave at Copperfield_Houston_04433</v>
      </c>
      <c r="L3185" s="104" t="s">
        <v>22253</v>
      </c>
      <c r="M3185" s="103" t="str">
        <f t="shared" si="248"/>
        <v>http://oconnordata.com/mlink/modules/profile/index.cfm?action=profile&amp;prop_id=4433</v>
      </c>
      <c r="N3185" s="1" t="str">
        <f t="shared" si="249"/>
        <v>04433</v>
      </c>
    </row>
    <row r="3186" spans="1:14" x14ac:dyDescent="0.3">
      <c r="A3186" s="97">
        <v>4434</v>
      </c>
      <c r="B3186" s="7" t="s">
        <v>4824</v>
      </c>
      <c r="C3186" s="12">
        <v>7900</v>
      </c>
      <c r="D3186" s="7" t="s">
        <v>4825</v>
      </c>
      <c r="E3186" s="13" t="s">
        <v>1657</v>
      </c>
      <c r="F3186" t="str">
        <f t="shared" si="245"/>
        <v>Creekbend</v>
      </c>
      <c r="G3186" t="str">
        <f t="shared" si="246"/>
        <v>Creekbend7900Houston</v>
      </c>
      <c r="H3186" t="s">
        <v>34044</v>
      </c>
      <c r="I3186" t="s">
        <v>25469</v>
      </c>
      <c r="J3186" t="str">
        <f t="shared" si="247"/>
        <v>E:\PropInv\MF</v>
      </c>
      <c r="K3186" s="103" t="str">
        <f>HYPERLINK("E:\PropInv\MF\Houston\Creekbend_7900_Windsor Park_Houston_04434","Creekbend_7900_Windsor Park_Houston_04434" )</f>
        <v>Creekbend_7900_Windsor Park_Houston_04434</v>
      </c>
      <c r="L3186" s="104" t="s">
        <v>22253</v>
      </c>
      <c r="M3186" s="103" t="str">
        <f t="shared" si="248"/>
        <v>http://oconnordata.com/mlink/modules/profile/index.cfm?action=profile&amp;prop_id=4434</v>
      </c>
      <c r="N3186" s="1" t="str">
        <f t="shared" si="249"/>
        <v>04434</v>
      </c>
    </row>
    <row r="3187" spans="1:14" x14ac:dyDescent="0.3">
      <c r="A3187" s="1">
        <v>4436</v>
      </c>
      <c r="B3187" s="7" t="s">
        <v>4577</v>
      </c>
      <c r="C3187" s="12">
        <v>3102</v>
      </c>
      <c r="D3187" s="7" t="s">
        <v>4826</v>
      </c>
      <c r="E3187" s="13" t="s">
        <v>4565</v>
      </c>
      <c r="F3187" t="str">
        <f t="shared" si="245"/>
        <v>69th</v>
      </c>
      <c r="G3187" t="str">
        <f t="shared" si="246"/>
        <v>69th3102Galveston</v>
      </c>
      <c r="H3187" t="s">
        <v>34045</v>
      </c>
      <c r="I3187" t="s">
        <v>25470</v>
      </c>
      <c r="J3187" t="str">
        <f t="shared" si="247"/>
        <v>E:\PropInv\MF</v>
      </c>
      <c r="K3187" s="103" t="str">
        <f>HYPERLINK("E:\PropInv\MF\Galveston\69th St_3102_Captain's Landing_Galveston_04436","69th St_3102_Captain's Landing_Galveston_04436" )</f>
        <v>69th St_3102_Captain's Landing_Galveston_04436</v>
      </c>
      <c r="L3187" s="104" t="s">
        <v>22253</v>
      </c>
      <c r="M3187" s="103" t="str">
        <f t="shared" si="248"/>
        <v>http://oconnordata.com/mlink/modules/profile/index.cfm?action=profile&amp;prop_id=4436</v>
      </c>
      <c r="N3187" s="1" t="str">
        <f t="shared" si="249"/>
        <v>04436</v>
      </c>
    </row>
    <row r="3188" spans="1:14" x14ac:dyDescent="0.3">
      <c r="A3188" s="1">
        <v>4437</v>
      </c>
      <c r="B3188" s="7" t="s">
        <v>4827</v>
      </c>
      <c r="C3188" s="12">
        <v>600</v>
      </c>
      <c r="D3188" s="7" t="s">
        <v>4828</v>
      </c>
      <c r="E3188" s="13" t="s">
        <v>1657</v>
      </c>
      <c r="F3188" t="str">
        <f t="shared" si="245"/>
        <v>Little</v>
      </c>
      <c r="G3188" t="str">
        <f t="shared" si="246"/>
        <v>Little600Houston</v>
      </c>
      <c r="H3188" t="s">
        <v>34046</v>
      </c>
      <c r="I3188" t="s">
        <v>25471</v>
      </c>
      <c r="J3188" t="str">
        <f t="shared" si="247"/>
        <v>E:\PropInv\MF</v>
      </c>
      <c r="K3188" s="103" t="str">
        <f>HYPERLINK("E:\PropInv\MF\Houston\Little York E_600_Meadowbrook Plaza_Houston_04437","Little York E_600_Meadowbrook Plaza_Houston_04437" )</f>
        <v>Little York E_600_Meadowbrook Plaza_Houston_04437</v>
      </c>
      <c r="L3188" s="104" t="s">
        <v>22253</v>
      </c>
      <c r="M3188" s="103" t="str">
        <f t="shared" si="248"/>
        <v>http://oconnordata.com/mlink/modules/profile/index.cfm?action=profile&amp;prop_id=4437</v>
      </c>
      <c r="N3188" s="1" t="str">
        <f t="shared" si="249"/>
        <v>04437</v>
      </c>
    </row>
    <row r="3189" spans="1:14" x14ac:dyDescent="0.3">
      <c r="A3189" s="1">
        <v>4438</v>
      </c>
      <c r="B3189" s="7" t="s">
        <v>4829</v>
      </c>
      <c r="C3189" s="12">
        <v>9801</v>
      </c>
      <c r="D3189" s="7" t="s">
        <v>4266</v>
      </c>
      <c r="E3189" s="13" t="s">
        <v>4047</v>
      </c>
      <c r="F3189" t="str">
        <f t="shared" si="245"/>
        <v>Fairmont</v>
      </c>
      <c r="G3189" t="str">
        <f t="shared" si="246"/>
        <v>Fairmont9801La Porte</v>
      </c>
      <c r="H3189" t="s">
        <v>34047</v>
      </c>
      <c r="I3189" t="s">
        <v>25472</v>
      </c>
      <c r="J3189" t="str">
        <f t="shared" si="247"/>
        <v>E:\PropInv\MF</v>
      </c>
      <c r="K3189" s="103" t="str">
        <f>HYPERLINK("E:\PropInv\MF\La Porte\Fairmont Pkwy W_9801_Fairmont Oaks_La Porte_04438","Fairmont Pkwy W_9801_Fairmont Oaks_La Porte_04438" )</f>
        <v>Fairmont Pkwy W_9801_Fairmont Oaks_La Porte_04438</v>
      </c>
      <c r="L3189" s="104" t="s">
        <v>22253</v>
      </c>
      <c r="M3189" s="103" t="str">
        <f t="shared" si="248"/>
        <v>http://oconnordata.com/mlink/modules/profile/index.cfm?action=profile&amp;prop_id=4438</v>
      </c>
      <c r="N3189" s="1" t="str">
        <f t="shared" si="249"/>
        <v>04438</v>
      </c>
    </row>
    <row r="3190" spans="1:14" x14ac:dyDescent="0.3">
      <c r="A3190" s="1">
        <v>4439</v>
      </c>
      <c r="B3190" s="7" t="s">
        <v>1722</v>
      </c>
      <c r="C3190" s="12">
        <v>15330</v>
      </c>
      <c r="D3190" s="7" t="s">
        <v>4830</v>
      </c>
      <c r="E3190" s="13" t="s">
        <v>1657</v>
      </c>
      <c r="F3190" t="str">
        <f t="shared" si="245"/>
        <v>Bammel</v>
      </c>
      <c r="G3190" t="str">
        <f t="shared" si="246"/>
        <v>Bammel15330Houston</v>
      </c>
      <c r="H3190" t="s">
        <v>34048</v>
      </c>
      <c r="I3190" t="s">
        <v>25473</v>
      </c>
      <c r="J3190" t="str">
        <f t="shared" si="247"/>
        <v>E:\PropInv\MF</v>
      </c>
      <c r="K3190" s="103" t="str">
        <f>HYPERLINK("E:\PropInv\MF\Houston\Bammel Houston N_15330_The Enclave at Cornerstone_Houston_04439","Bammel Houston N_15330_The Enclave at Cornerstone_Houston_04439" )</f>
        <v>Bammel Houston N_15330_The Enclave at Cornerstone_Houston_04439</v>
      </c>
      <c r="L3190" s="104" t="s">
        <v>22253</v>
      </c>
      <c r="M3190" s="103" t="str">
        <f t="shared" si="248"/>
        <v>http://oconnordata.com/mlink/modules/profile/index.cfm?action=profile&amp;prop_id=4439</v>
      </c>
      <c r="N3190" s="1" t="str">
        <f t="shared" si="249"/>
        <v>04439</v>
      </c>
    </row>
    <row r="3191" spans="1:14" x14ac:dyDescent="0.3">
      <c r="A3191" s="1">
        <v>4440</v>
      </c>
      <c r="B3191" s="7" t="s">
        <v>1789</v>
      </c>
      <c r="C3191" s="12">
        <v>2450</v>
      </c>
      <c r="D3191" s="7" t="s">
        <v>4831</v>
      </c>
      <c r="E3191" s="13" t="s">
        <v>1657</v>
      </c>
      <c r="F3191" t="str">
        <f t="shared" si="245"/>
        <v>Aldine</v>
      </c>
      <c r="G3191" t="str">
        <f t="shared" si="246"/>
        <v>Aldine2450Houston</v>
      </c>
      <c r="H3191" t="s">
        <v>34049</v>
      </c>
      <c r="I3191" t="s">
        <v>25474</v>
      </c>
      <c r="J3191" t="str">
        <f t="shared" si="247"/>
        <v>E:\PropInv\MF</v>
      </c>
      <c r="K3191" s="103" t="str">
        <f>HYPERLINK("E:\PropInv\MF\Houston\Aldine Westfield_2450_The Shoreham_Houston_04440","Aldine Westfield_2450_The Shoreham_Houston_04440" )</f>
        <v>Aldine Westfield_2450_The Shoreham_Houston_04440</v>
      </c>
      <c r="L3191" s="104" t="s">
        <v>22253</v>
      </c>
      <c r="M3191" s="103" t="str">
        <f t="shared" si="248"/>
        <v>http://oconnordata.com/mlink/modules/profile/index.cfm?action=profile&amp;prop_id=4440</v>
      </c>
      <c r="N3191" s="1" t="str">
        <f t="shared" si="249"/>
        <v>04440</v>
      </c>
    </row>
    <row r="3192" spans="1:14" x14ac:dyDescent="0.3">
      <c r="A3192" s="1">
        <v>4441</v>
      </c>
      <c r="B3192" s="7" t="s">
        <v>1699</v>
      </c>
      <c r="C3192" s="12">
        <v>10300</v>
      </c>
      <c r="D3192" s="7" t="s">
        <v>4832</v>
      </c>
      <c r="E3192" s="13" t="s">
        <v>1657</v>
      </c>
      <c r="F3192" t="str">
        <f t="shared" si="245"/>
        <v>Cypresswood</v>
      </c>
      <c r="G3192" t="str">
        <f t="shared" si="246"/>
        <v>Cypresswood10300Houston</v>
      </c>
      <c r="H3192" t="s">
        <v>34050</v>
      </c>
      <c r="I3192" t="s">
        <v>25475</v>
      </c>
      <c r="J3192" t="str">
        <f t="shared" si="247"/>
        <v>E:\PropInv\MF</v>
      </c>
      <c r="K3192" s="103" t="str">
        <f>HYPERLINK("E:\PropInv\MF\Houston\Cypresswood Dr_10300_The Villages of Cypress Creek_Houston_04441","Cypresswood Dr_10300_The Villages of Cypress Creek_Houston_04441" )</f>
        <v>Cypresswood Dr_10300_The Villages of Cypress Creek_Houston_04441</v>
      </c>
      <c r="L3192" s="104" t="s">
        <v>22253</v>
      </c>
      <c r="M3192" s="103" t="str">
        <f t="shared" si="248"/>
        <v>http://oconnordata.com/mlink/modules/profile/index.cfm?action=profile&amp;prop_id=4441</v>
      </c>
      <c r="N3192" s="1" t="str">
        <f t="shared" si="249"/>
        <v>04441</v>
      </c>
    </row>
    <row r="3193" spans="1:14" x14ac:dyDescent="0.3">
      <c r="A3193" s="1">
        <v>4442</v>
      </c>
      <c r="B3193" s="7" t="s">
        <v>4833</v>
      </c>
      <c r="C3193" s="12">
        <v>111</v>
      </c>
      <c r="D3193" s="7" t="s">
        <v>4834</v>
      </c>
      <c r="E3193" s="13" t="s">
        <v>4442</v>
      </c>
      <c r="F3193" t="str">
        <f t="shared" si="245"/>
        <v>Loganberry</v>
      </c>
      <c r="G3193" t="str">
        <f t="shared" si="246"/>
        <v>Loganberry111Lake Jackson</v>
      </c>
      <c r="H3193" t="s">
        <v>34051</v>
      </c>
      <c r="I3193" t="s">
        <v>25476</v>
      </c>
      <c r="J3193" t="str">
        <f t="shared" si="247"/>
        <v>E:\PropInv\MF</v>
      </c>
      <c r="K3193" s="103" t="str">
        <f>HYPERLINK("E:\PropInv\MF\Lake Jackson\Loganberry_111_The Gateway at Lake Jackson_Lake Jackson_04442","Loganberry_111_The Gateway at Lake Jackson_Lake Jackson_04442" )</f>
        <v>Loganberry_111_The Gateway at Lake Jackson_Lake Jackson_04442</v>
      </c>
      <c r="L3193" s="104" t="s">
        <v>22253</v>
      </c>
      <c r="M3193" s="103" t="str">
        <f t="shared" si="248"/>
        <v>http://oconnordata.com/mlink/modules/profile/index.cfm?action=profile&amp;prop_id=4442</v>
      </c>
      <c r="N3193" s="1" t="str">
        <f t="shared" si="249"/>
        <v>04442</v>
      </c>
    </row>
    <row r="3194" spans="1:14" x14ac:dyDescent="0.3">
      <c r="A3194" s="1">
        <v>4443</v>
      </c>
      <c r="B3194" s="7" t="s">
        <v>4835</v>
      </c>
      <c r="C3194" s="12">
        <v>255</v>
      </c>
      <c r="D3194" s="7" t="s">
        <v>4424</v>
      </c>
      <c r="E3194" s="13" t="s">
        <v>4399</v>
      </c>
      <c r="F3194" t="str">
        <f t="shared" si="245"/>
        <v>Brazoswood</v>
      </c>
      <c r="G3194" t="str">
        <f t="shared" si="246"/>
        <v>Brazoswood255Clute</v>
      </c>
      <c r="H3194" t="s">
        <v>34052</v>
      </c>
      <c r="I3194" t="s">
        <v>25477</v>
      </c>
      <c r="J3194" t="str">
        <f t="shared" si="247"/>
        <v>E:\PropInv\MF</v>
      </c>
      <c r="K3194" s="103" t="str">
        <f>HYPERLINK("E:\PropInv\MF\Clute\Brazoswood E_255_Brazoswood_Clute_04443","Brazoswood E_255_Brazoswood_Clute_04443" )</f>
        <v>Brazoswood E_255_Brazoswood_Clute_04443</v>
      </c>
      <c r="L3194" s="104" t="s">
        <v>22253</v>
      </c>
      <c r="M3194" s="103" t="str">
        <f t="shared" si="248"/>
        <v>http://oconnordata.com/mlink/modules/profile/index.cfm?action=profile&amp;prop_id=4443</v>
      </c>
      <c r="N3194" s="1" t="str">
        <f t="shared" si="249"/>
        <v>04443</v>
      </c>
    </row>
    <row r="3195" spans="1:14" x14ac:dyDescent="0.3">
      <c r="A3195" s="1">
        <v>4444</v>
      </c>
      <c r="B3195" s="7" t="s">
        <v>3204</v>
      </c>
      <c r="C3195" s="12">
        <v>451</v>
      </c>
      <c r="D3195" s="7" t="s">
        <v>4836</v>
      </c>
      <c r="E3195" s="13" t="s">
        <v>1657</v>
      </c>
      <c r="F3195" t="str">
        <f t="shared" si="245"/>
        <v>Maxey</v>
      </c>
      <c r="G3195" t="str">
        <f t="shared" si="246"/>
        <v>Maxey451Houston</v>
      </c>
      <c r="H3195" t="s">
        <v>34053</v>
      </c>
      <c r="I3195" t="s">
        <v>25478</v>
      </c>
      <c r="J3195" t="str">
        <f t="shared" si="247"/>
        <v>E:\PropInv\MF</v>
      </c>
      <c r="K3195" s="103" t="str">
        <f>HYPERLINK("E:\PropInv\MF\Houston\Maxey Rd_451_The Villas on Woodforest_Houston_04444","Maxey Rd_451_The Villas on Woodforest_Houston_04444" )</f>
        <v>Maxey Rd_451_The Villas on Woodforest_Houston_04444</v>
      </c>
      <c r="L3195" s="104" t="s">
        <v>22253</v>
      </c>
      <c r="M3195" s="103" t="str">
        <f t="shared" si="248"/>
        <v>http://oconnordata.com/mlink/modules/profile/index.cfm?action=profile&amp;prop_id=4444</v>
      </c>
      <c r="N3195" s="1" t="str">
        <f t="shared" si="249"/>
        <v>04444</v>
      </c>
    </row>
    <row r="3196" spans="1:14" x14ac:dyDescent="0.3">
      <c r="A3196" s="1">
        <v>4445</v>
      </c>
      <c r="B3196" s="7" t="s">
        <v>4837</v>
      </c>
      <c r="C3196" s="12">
        <v>10990</v>
      </c>
      <c r="D3196" s="7" t="s">
        <v>4838</v>
      </c>
      <c r="E3196" s="13" t="s">
        <v>1657</v>
      </c>
      <c r="F3196" t="str">
        <f t="shared" si="245"/>
        <v>Highland</v>
      </c>
      <c r="G3196" t="str">
        <f t="shared" si="246"/>
        <v>Highland10990Houston</v>
      </c>
      <c r="H3196" t="s">
        <v>34054</v>
      </c>
      <c r="I3196" t="s">
        <v>25479</v>
      </c>
      <c r="J3196" t="str">
        <f t="shared" si="247"/>
        <v>E:\PropInv\MF</v>
      </c>
      <c r="K3196" s="103" t="str">
        <f>HYPERLINK("E:\PropInv\MF\Houston\Highland Meadow Village Dr_10990_Highland Meadow Village_Houston_04445","Highland Meadow Village Dr_10990_Highland Meadow Village_Houston_04445" )</f>
        <v>Highland Meadow Village Dr_10990_Highland Meadow Village_Houston_04445</v>
      </c>
      <c r="L3196" s="104" t="s">
        <v>22253</v>
      </c>
      <c r="M3196" s="103" t="str">
        <f t="shared" si="248"/>
        <v>http://oconnordata.com/mlink/modules/profile/index.cfm?action=profile&amp;prop_id=4445</v>
      </c>
      <c r="N3196" s="1" t="str">
        <f t="shared" si="249"/>
        <v>04445</v>
      </c>
    </row>
    <row r="3197" spans="1:14" x14ac:dyDescent="0.3">
      <c r="A3197" s="1">
        <v>4446</v>
      </c>
      <c r="B3197" s="7" t="s">
        <v>4839</v>
      </c>
      <c r="C3197" s="12">
        <v>3001</v>
      </c>
      <c r="D3197" s="7" t="s">
        <v>4840</v>
      </c>
      <c r="E3197" s="13" t="s">
        <v>3428</v>
      </c>
      <c r="F3197" t="str">
        <f t="shared" si="245"/>
        <v>Dove</v>
      </c>
      <c r="G3197" t="str">
        <f t="shared" si="246"/>
        <v>Dove3001Stafford</v>
      </c>
      <c r="H3197" t="s">
        <v>34055</v>
      </c>
      <c r="I3197" t="s">
        <v>25480</v>
      </c>
      <c r="J3197" t="str">
        <f t="shared" si="247"/>
        <v>E:\PropInv\MF</v>
      </c>
      <c r="K3197" s="103" t="str">
        <f>HYPERLINK("E:\PropInv\MF\Stafford\Dove Country Dr_3001_The Park at Fort Bend_Stafford_04446","Dove Country Dr_3001_The Park at Fort Bend_Stafford_04446" )</f>
        <v>Dove Country Dr_3001_The Park at Fort Bend_Stafford_04446</v>
      </c>
      <c r="L3197" s="104" t="s">
        <v>22253</v>
      </c>
      <c r="M3197" s="103" t="str">
        <f t="shared" si="248"/>
        <v>http://oconnordata.com/mlink/modules/profile/index.cfm?action=profile&amp;prop_id=4446</v>
      </c>
      <c r="N3197" s="1" t="str">
        <f t="shared" si="249"/>
        <v>04446</v>
      </c>
    </row>
    <row r="3198" spans="1:14" x14ac:dyDescent="0.3">
      <c r="A3198" s="1">
        <v>4447</v>
      </c>
      <c r="B3198" s="7" t="s">
        <v>4763</v>
      </c>
      <c r="C3198" s="12">
        <v>2109</v>
      </c>
      <c r="D3198" s="7" t="s">
        <v>4841</v>
      </c>
      <c r="E3198" s="13" t="s">
        <v>1508</v>
      </c>
      <c r="F3198" t="str">
        <f t="shared" si="245"/>
        <v>Sawdust</v>
      </c>
      <c r="G3198" t="str">
        <f t="shared" si="246"/>
        <v>Sawdust2109The Woodlands</v>
      </c>
      <c r="H3198" t="s">
        <v>34056</v>
      </c>
      <c r="I3198" t="s">
        <v>25481</v>
      </c>
      <c r="J3198" t="str">
        <f t="shared" si="247"/>
        <v>E:\PropInv\MF</v>
      </c>
      <c r="K3198" s="103" t="str">
        <f>HYPERLINK("E:\PropInv\MF\The Woodlands\Sawdust Rd_2109_IMT Lake Wyndemere_The Woodlands_04447","Sawdust Rd_2109_IMT Lake Wyndemere_The Woodlands_04447" )</f>
        <v>Sawdust Rd_2109_IMT Lake Wyndemere_The Woodlands_04447</v>
      </c>
      <c r="L3198" s="104" t="s">
        <v>22253</v>
      </c>
      <c r="M3198" s="103" t="str">
        <f t="shared" si="248"/>
        <v>http://oconnordata.com/mlink/modules/profile/index.cfm?action=profile&amp;prop_id=4447</v>
      </c>
      <c r="N3198" s="1" t="str">
        <f t="shared" si="249"/>
        <v>04447</v>
      </c>
    </row>
    <row r="3199" spans="1:14" x14ac:dyDescent="0.3">
      <c r="A3199" s="1">
        <v>4448</v>
      </c>
      <c r="B3199" s="7" t="s">
        <v>4842</v>
      </c>
      <c r="C3199" s="12">
        <v>10510</v>
      </c>
      <c r="D3199" s="7" t="s">
        <v>4843</v>
      </c>
      <c r="E3199" s="13" t="s">
        <v>1508</v>
      </c>
      <c r="F3199" t="str">
        <f t="shared" si="245"/>
        <v>Six</v>
      </c>
      <c r="G3199" t="str">
        <f t="shared" si="246"/>
        <v>Six10510The Woodlands</v>
      </c>
      <c r="H3199" t="s">
        <v>34057</v>
      </c>
      <c r="I3199" t="s">
        <v>25482</v>
      </c>
      <c r="J3199" t="str">
        <f t="shared" si="247"/>
        <v>E:\PropInv\MF</v>
      </c>
      <c r="K3199" s="103" t="str">
        <f>HYPERLINK("E:\PropInv\MF\The Woodlands\Six Pines Rd_10510_Tamarac Pines I &amp; II_The Woodlands_04448","Six Pines Rd_10510_Tamarac Pines I &amp; II_The Woodlands_04448" )</f>
        <v>Six Pines Rd_10510_Tamarac Pines I &amp; II_The Woodlands_04448</v>
      </c>
      <c r="L3199" s="104" t="s">
        <v>22253</v>
      </c>
      <c r="M3199" s="103" t="str">
        <f t="shared" si="248"/>
        <v>http://oconnordata.com/mlink/modules/profile/index.cfm?action=profile&amp;prop_id=4448</v>
      </c>
      <c r="N3199" s="1" t="str">
        <f t="shared" si="249"/>
        <v>04448</v>
      </c>
    </row>
    <row r="3200" spans="1:14" x14ac:dyDescent="0.3">
      <c r="A3200" s="1">
        <v>4449</v>
      </c>
      <c r="B3200" s="19" t="s">
        <v>4844</v>
      </c>
      <c r="C3200" s="18">
        <v>3216</v>
      </c>
      <c r="D3200" s="19" t="s">
        <v>4845</v>
      </c>
      <c r="E3200" s="20" t="s">
        <v>1657</v>
      </c>
      <c r="F3200" t="str">
        <f t="shared" si="245"/>
        <v>Blodgett</v>
      </c>
      <c r="G3200" t="str">
        <f t="shared" si="246"/>
        <v>Blodgett3216Houston</v>
      </c>
      <c r="H3200" t="s">
        <v>34058</v>
      </c>
      <c r="I3200" t="s">
        <v>25483</v>
      </c>
      <c r="J3200" t="str">
        <f t="shared" si="247"/>
        <v>E:\PropInv\MF</v>
      </c>
      <c r="K3200" s="103" t="str">
        <f>HYPERLINK("E:\PropInv\MF\Houston\Blodgett_3216_Richfield Manor_Houston_04449","Blodgett_3216_Richfield Manor_Houston_04449" )</f>
        <v>Blodgett_3216_Richfield Manor_Houston_04449</v>
      </c>
      <c r="L3200" s="104" t="s">
        <v>22253</v>
      </c>
      <c r="M3200" s="103" t="str">
        <f t="shared" si="248"/>
        <v>http://oconnordata.com/mlink/modules/profile/index.cfm?action=profile&amp;prop_id=4449</v>
      </c>
      <c r="N3200" s="1" t="str">
        <f t="shared" si="249"/>
        <v>04449</v>
      </c>
    </row>
    <row r="3201" spans="1:14" x14ac:dyDescent="0.3">
      <c r="A3201" s="1">
        <v>4451</v>
      </c>
      <c r="B3201" s="7" t="s">
        <v>2052</v>
      </c>
      <c r="C3201" s="12">
        <v>15001</v>
      </c>
      <c r="D3201" s="7" t="s">
        <v>4846</v>
      </c>
      <c r="E3201" s="13" t="s">
        <v>1657</v>
      </c>
      <c r="F3201" t="str">
        <f t="shared" si="245"/>
        <v>Crosswinds</v>
      </c>
      <c r="G3201" t="str">
        <f t="shared" si="246"/>
        <v>Crosswinds15001Houston</v>
      </c>
      <c r="H3201" t="s">
        <v>34059</v>
      </c>
      <c r="I3201" t="s">
        <v>25484</v>
      </c>
      <c r="J3201" t="str">
        <f t="shared" si="247"/>
        <v>E:\PropInv\MF</v>
      </c>
      <c r="K3201" s="103" t="str">
        <f>HYPERLINK("E:\PropInv\MF\Houston\Crosswinds Dr_15001_Villas in the Pines_Houston_04451","Crosswinds Dr_15001_Villas in the Pines_Houston_04451" )</f>
        <v>Crosswinds Dr_15001_Villas in the Pines_Houston_04451</v>
      </c>
      <c r="L3201" s="104" t="s">
        <v>22253</v>
      </c>
      <c r="M3201" s="103" t="str">
        <f t="shared" si="248"/>
        <v>http://oconnordata.com/mlink/modules/profile/index.cfm?action=profile&amp;prop_id=4451</v>
      </c>
      <c r="N3201" s="1" t="str">
        <f t="shared" si="249"/>
        <v>04451</v>
      </c>
    </row>
    <row r="3202" spans="1:14" x14ac:dyDescent="0.3">
      <c r="A3202" s="1">
        <v>4452</v>
      </c>
      <c r="B3202" s="7" t="s">
        <v>4847</v>
      </c>
      <c r="C3202" s="12">
        <v>5500</v>
      </c>
      <c r="D3202" s="7" t="s">
        <v>4848</v>
      </c>
      <c r="E3202" s="13" t="s">
        <v>1657</v>
      </c>
      <c r="F3202" t="str">
        <f t="shared" ref="F3202:F3265" si="250">IFERROR(LEFT(B3202,FIND(" ",B3202)-1),B3202)</f>
        <v>Sampson</v>
      </c>
      <c r="G3202" t="str">
        <f t="shared" ref="G3202:G3265" si="251">F3202&amp;C3202&amp;E3202</f>
        <v>Sampson5500Houston</v>
      </c>
      <c r="H3202" t="s">
        <v>34060</v>
      </c>
      <c r="I3202" t="s">
        <v>25485</v>
      </c>
      <c r="J3202" t="str">
        <f t="shared" ref="J3202:J3265" si="252">IF(L3202="TX",Folder_Path,Folder_Path&amp;"\State_"&amp;L3202)</f>
        <v>E:\PropInv\MF</v>
      </c>
      <c r="K3202" s="103" t="str">
        <f>HYPERLINK("E:\PropInv\MF\Houston\Sampson St_5500_Savoy_Houston_04452","Sampson St_5500_Savoy_Houston_04452" )</f>
        <v>Sampson St_5500_Savoy_Houston_04452</v>
      </c>
      <c r="L3202" s="104" t="s">
        <v>22253</v>
      </c>
      <c r="M3202" s="103" t="str">
        <f t="shared" ref="M3202:M3265" si="253">HYPERLINK("http://oconnordata.com/mlink/modules/profile/index.cfm?action=profile&amp;prop_id="&amp;A3202)</f>
        <v>http://oconnordata.com/mlink/modules/profile/index.cfm?action=profile&amp;prop_id=4452</v>
      </c>
      <c r="N3202" s="1" t="str">
        <f t="shared" ref="N3202:N3265" si="254">IF(LEN(A3202)=1,"0000"&amp;A3202,IF(LEN(A3202)=2,"000"&amp;A3202,IF(LEN(A3202)=3,"00"&amp;A3202,IF(LEN(A3202)=4,"0"&amp;A3202,IF(LEN(A3202)=5,IF(LEFT(A3202,1)="3",A3202+30000,A3202))))))</f>
        <v>04452</v>
      </c>
    </row>
    <row r="3203" spans="1:14" x14ac:dyDescent="0.3">
      <c r="A3203" s="1">
        <v>4453</v>
      </c>
      <c r="B3203" s="7" t="s">
        <v>3204</v>
      </c>
      <c r="C3203" s="12">
        <v>414</v>
      </c>
      <c r="D3203" s="7" t="s">
        <v>4849</v>
      </c>
      <c r="E3203" s="13" t="s">
        <v>1657</v>
      </c>
      <c r="F3203" t="str">
        <f t="shared" si="250"/>
        <v>Maxey</v>
      </c>
      <c r="G3203" t="str">
        <f t="shared" si="251"/>
        <v>Maxey414Houston</v>
      </c>
      <c r="H3203" t="s">
        <v>34061</v>
      </c>
      <c r="I3203" t="s">
        <v>25486</v>
      </c>
      <c r="J3203" t="str">
        <f t="shared" si="252"/>
        <v>E:\PropInv\MF</v>
      </c>
      <c r="K3203" s="103" t="str">
        <f>HYPERLINK("E:\PropInv\MF\Houston\Maxey Rd_414_Deerwood Pines_Houston_04453","Maxey Rd_414_Deerwood Pines_Houston_04453" )</f>
        <v>Maxey Rd_414_Deerwood Pines_Houston_04453</v>
      </c>
      <c r="L3203" s="104" t="s">
        <v>22253</v>
      </c>
      <c r="M3203" s="103" t="str">
        <f t="shared" si="253"/>
        <v>http://oconnordata.com/mlink/modules/profile/index.cfm?action=profile&amp;prop_id=4453</v>
      </c>
      <c r="N3203" s="1" t="str">
        <f t="shared" si="254"/>
        <v>04453</v>
      </c>
    </row>
    <row r="3204" spans="1:14" x14ac:dyDescent="0.3">
      <c r="A3204" s="1">
        <v>4454</v>
      </c>
      <c r="B3204" s="7" t="s">
        <v>4850</v>
      </c>
      <c r="C3204" s="12">
        <v>320</v>
      </c>
      <c r="D3204" s="7" t="s">
        <v>4851</v>
      </c>
      <c r="E3204" s="13" t="s">
        <v>1657</v>
      </c>
      <c r="F3204" t="str">
        <f t="shared" si="250"/>
        <v>Jackson</v>
      </c>
      <c r="G3204" t="str">
        <f t="shared" si="251"/>
        <v>Jackson320Houston</v>
      </c>
      <c r="H3204" t="s">
        <v>34062</v>
      </c>
      <c r="I3204" t="s">
        <v>25487</v>
      </c>
      <c r="J3204" t="str">
        <f t="shared" si="252"/>
        <v>E:\PropInv\MF</v>
      </c>
      <c r="K3204" s="103" t="str">
        <f>HYPERLINK("E:\PropInv\MF\Houston\Jackson Hill_320_The Jackson Hill_Houston_04454","Jackson Hill_320_The Jackson Hill_Houston_04454" )</f>
        <v>Jackson Hill_320_The Jackson Hill_Houston_04454</v>
      </c>
      <c r="L3204" s="104" t="s">
        <v>22253</v>
      </c>
      <c r="M3204" s="103" t="str">
        <f t="shared" si="253"/>
        <v>http://oconnordata.com/mlink/modules/profile/index.cfm?action=profile&amp;prop_id=4454</v>
      </c>
      <c r="N3204" s="1" t="str">
        <f t="shared" si="254"/>
        <v>04454</v>
      </c>
    </row>
    <row r="3205" spans="1:14" x14ac:dyDescent="0.3">
      <c r="A3205" s="1">
        <v>4456</v>
      </c>
      <c r="B3205" s="7" t="s">
        <v>4309</v>
      </c>
      <c r="C3205" s="12">
        <v>3102</v>
      </c>
      <c r="D3205" s="7" t="s">
        <v>4852</v>
      </c>
      <c r="E3205" s="13" t="s">
        <v>4297</v>
      </c>
      <c r="F3205" t="str">
        <f t="shared" si="250"/>
        <v>Bay</v>
      </c>
      <c r="G3205" t="str">
        <f t="shared" si="251"/>
        <v>Bay3102Friendswood</v>
      </c>
      <c r="H3205" t="s">
        <v>34063</v>
      </c>
      <c r="I3205" t="s">
        <v>25488</v>
      </c>
      <c r="J3205" t="str">
        <f t="shared" si="252"/>
        <v>E:\PropInv\MF</v>
      </c>
      <c r="K3205" s="103" t="str">
        <f>HYPERLINK("E:\PropInv\MF\Friendswood\Bay Area Blvd W_3102_The Reserve at Autumn Creek_Friendswood_04456","Bay Area Blvd W_3102_The Reserve at Autumn Creek_Friendswood_04456" )</f>
        <v>Bay Area Blvd W_3102_The Reserve at Autumn Creek_Friendswood_04456</v>
      </c>
      <c r="L3205" s="104" t="s">
        <v>22253</v>
      </c>
      <c r="M3205" s="103" t="str">
        <f t="shared" si="253"/>
        <v>http://oconnordata.com/mlink/modules/profile/index.cfm?action=profile&amp;prop_id=4456</v>
      </c>
      <c r="N3205" s="1" t="str">
        <f t="shared" si="254"/>
        <v>04456</v>
      </c>
    </row>
    <row r="3206" spans="1:14" x14ac:dyDescent="0.3">
      <c r="A3206" s="1">
        <v>4457</v>
      </c>
      <c r="B3206" s="7" t="s">
        <v>4853</v>
      </c>
      <c r="C3206" s="12">
        <v>2505</v>
      </c>
      <c r="D3206" s="7" t="s">
        <v>4854</v>
      </c>
      <c r="E3206" s="13" t="s">
        <v>1657</v>
      </c>
      <c r="F3206" t="str">
        <f t="shared" si="250"/>
        <v>Washington</v>
      </c>
      <c r="G3206" t="str">
        <f t="shared" si="251"/>
        <v>Washington2505Houston</v>
      </c>
      <c r="H3206" t="s">
        <v>34064</v>
      </c>
      <c r="I3206" t="s">
        <v>25489</v>
      </c>
      <c r="J3206" t="str">
        <f t="shared" si="252"/>
        <v>E:\PropInv\MF</v>
      </c>
      <c r="K3206" s="103" t="str">
        <f>HYPERLINK("E:\PropInv\MF\Houston\Washington Ave_2505_Washington Courtyards Apts_Houston_04457","Washington Ave_2505_Washington Courtyards Apts_Houston_04457" )</f>
        <v>Washington Ave_2505_Washington Courtyards Apts_Houston_04457</v>
      </c>
      <c r="L3206" s="104" t="s">
        <v>22253</v>
      </c>
      <c r="M3206" s="103" t="str">
        <f t="shared" si="253"/>
        <v>http://oconnordata.com/mlink/modules/profile/index.cfm?action=profile&amp;prop_id=4457</v>
      </c>
      <c r="N3206" s="1" t="str">
        <f t="shared" si="254"/>
        <v>04457</v>
      </c>
    </row>
    <row r="3207" spans="1:14" x14ac:dyDescent="0.3">
      <c r="A3207" s="1">
        <v>4458</v>
      </c>
      <c r="B3207" s="10" t="s">
        <v>4472</v>
      </c>
      <c r="C3207" s="9">
        <v>504</v>
      </c>
      <c r="D3207" s="10" t="s">
        <v>4855</v>
      </c>
      <c r="E3207" s="11" t="s">
        <v>4442</v>
      </c>
      <c r="F3207" t="str">
        <f t="shared" si="250"/>
        <v>332</v>
      </c>
      <c r="G3207" t="str">
        <f t="shared" si="251"/>
        <v>332504Lake Jackson</v>
      </c>
      <c r="H3207" t="s">
        <v>34065</v>
      </c>
      <c r="I3207" t="s">
        <v>25490</v>
      </c>
      <c r="J3207" t="str">
        <f t="shared" si="252"/>
        <v>E:\PropInv\MF</v>
      </c>
      <c r="K3207" s="103" t="str">
        <f>HYPERLINK("E:\PropInv\MF\Lake Jackson\332 Hwy W_504_The Villages of Lake Jackson_Lake Jackson_04458","332 Hwy W_504_The Villages of Lake Jackson_Lake Jackson_04458" )</f>
        <v>332 Hwy W_504_The Villages of Lake Jackson_Lake Jackson_04458</v>
      </c>
      <c r="L3207" s="104" t="s">
        <v>22253</v>
      </c>
      <c r="M3207" s="103" t="str">
        <f t="shared" si="253"/>
        <v>http://oconnordata.com/mlink/modules/profile/index.cfm?action=profile&amp;prop_id=4458</v>
      </c>
      <c r="N3207" s="1" t="str">
        <f t="shared" si="254"/>
        <v>04458</v>
      </c>
    </row>
    <row r="3208" spans="1:14" x14ac:dyDescent="0.3">
      <c r="A3208" s="1">
        <v>4459</v>
      </c>
      <c r="B3208" s="10" t="s">
        <v>4856</v>
      </c>
      <c r="C3208" s="9">
        <v>18551</v>
      </c>
      <c r="D3208" s="10" t="s">
        <v>4857</v>
      </c>
      <c r="E3208" s="11" t="s">
        <v>1763</v>
      </c>
      <c r="F3208" t="str">
        <f t="shared" si="250"/>
        <v>Timber</v>
      </c>
      <c r="G3208" t="str">
        <f t="shared" si="251"/>
        <v>Timber18551Humble</v>
      </c>
      <c r="H3208" t="s">
        <v>34066</v>
      </c>
      <c r="I3208" t="s">
        <v>25491</v>
      </c>
      <c r="J3208" t="str">
        <f t="shared" si="252"/>
        <v>E:\PropInv\MF</v>
      </c>
      <c r="K3208" s="103" t="str">
        <f>HYPERLINK("E:\PropInv\MF\Humble\Timber Forest Dr_18551_Timberlakes at Atascocita_Humble_04459","Timber Forest Dr_18551_Timberlakes at Atascocita_Humble_04459" )</f>
        <v>Timber Forest Dr_18551_Timberlakes at Atascocita_Humble_04459</v>
      </c>
      <c r="L3208" s="104" t="s">
        <v>22253</v>
      </c>
      <c r="M3208" s="103" t="str">
        <f t="shared" si="253"/>
        <v>http://oconnordata.com/mlink/modules/profile/index.cfm?action=profile&amp;prop_id=4459</v>
      </c>
      <c r="N3208" s="1" t="str">
        <f t="shared" si="254"/>
        <v>04459</v>
      </c>
    </row>
    <row r="3209" spans="1:14" x14ac:dyDescent="0.3">
      <c r="A3209" s="1">
        <v>4460</v>
      </c>
      <c r="B3209" s="10" t="s">
        <v>2537</v>
      </c>
      <c r="C3209" s="9">
        <v>9603</v>
      </c>
      <c r="D3209" s="10" t="s">
        <v>4858</v>
      </c>
      <c r="E3209" s="11" t="s">
        <v>1657</v>
      </c>
      <c r="F3209" t="str">
        <f t="shared" si="250"/>
        <v>Homestead</v>
      </c>
      <c r="G3209" t="str">
        <f t="shared" si="251"/>
        <v>Homestead9603Houston</v>
      </c>
      <c r="H3209" t="s">
        <v>34067</v>
      </c>
      <c r="I3209" t="s">
        <v>25492</v>
      </c>
      <c r="J3209" t="str">
        <f t="shared" si="252"/>
        <v>E:\PropInv\MF</v>
      </c>
      <c r="K3209" s="103" t="str">
        <f>HYPERLINK("E:\PropInv\MF\Houston\Homestead_9603_Swiss Village on the Park II_Houston_04460","Homestead_9603_Swiss Village on the Park II_Houston_04460" )</f>
        <v>Homestead_9603_Swiss Village on the Park II_Houston_04460</v>
      </c>
      <c r="L3209" s="104" t="s">
        <v>22253</v>
      </c>
      <c r="M3209" s="103" t="str">
        <f t="shared" si="253"/>
        <v>http://oconnordata.com/mlink/modules/profile/index.cfm?action=profile&amp;prop_id=4460</v>
      </c>
      <c r="N3209" s="1" t="str">
        <f t="shared" si="254"/>
        <v>04460</v>
      </c>
    </row>
    <row r="3210" spans="1:14" x14ac:dyDescent="0.3">
      <c r="A3210" s="1">
        <v>4461</v>
      </c>
      <c r="B3210" s="10" t="s">
        <v>4859</v>
      </c>
      <c r="C3210" s="9">
        <v>19800</v>
      </c>
      <c r="D3210" s="10" t="s">
        <v>4860</v>
      </c>
      <c r="E3210" s="11" t="s">
        <v>1763</v>
      </c>
      <c r="F3210" t="str">
        <f t="shared" si="250"/>
        <v>Atascocita</v>
      </c>
      <c r="G3210" t="str">
        <f t="shared" si="251"/>
        <v>Atascocita19800Humble</v>
      </c>
      <c r="H3210" t="s">
        <v>34068</v>
      </c>
      <c r="I3210" t="s">
        <v>25493</v>
      </c>
      <c r="J3210" t="str">
        <f t="shared" si="252"/>
        <v>E:\PropInv\MF</v>
      </c>
      <c r="K3210" s="103" t="str">
        <f>HYPERLINK("E:\PropInv\MF\Humble\Atascocita Shores_19800_Lakeshore Villas_Humble_04461","Atascocita Shores_19800_Lakeshore Villas_Humble_04461" )</f>
        <v>Atascocita Shores_19800_Lakeshore Villas_Humble_04461</v>
      </c>
      <c r="L3210" s="104" t="s">
        <v>22253</v>
      </c>
      <c r="M3210" s="103" t="str">
        <f t="shared" si="253"/>
        <v>http://oconnordata.com/mlink/modules/profile/index.cfm?action=profile&amp;prop_id=4461</v>
      </c>
      <c r="N3210" s="1" t="str">
        <f t="shared" si="254"/>
        <v>04461</v>
      </c>
    </row>
    <row r="3211" spans="1:14" x14ac:dyDescent="0.3">
      <c r="A3211" s="1">
        <v>4462</v>
      </c>
      <c r="B3211" s="10" t="s">
        <v>4861</v>
      </c>
      <c r="C3211" s="9">
        <v>23200</v>
      </c>
      <c r="D3211" s="10" t="s">
        <v>4862</v>
      </c>
      <c r="E3211" s="11" t="s">
        <v>1662</v>
      </c>
      <c r="F3211" t="str">
        <f t="shared" si="250"/>
        <v>Forest</v>
      </c>
      <c r="G3211" t="str">
        <f t="shared" si="251"/>
        <v>Forest23200Kingwood</v>
      </c>
      <c r="H3211" t="s">
        <v>34069</v>
      </c>
      <c r="I3211" t="s">
        <v>25494</v>
      </c>
      <c r="J3211" t="str">
        <f t="shared" si="252"/>
        <v>E:\PropInv\MF</v>
      </c>
      <c r="K3211" s="103" t="str">
        <f>HYPERLINK("E:\PropInv\MF\Kingwood\Forest Dr N_23200_Bala Woods at Kingwood_Kingwood_04462","Forest Dr N_23200_Bala Woods at Kingwood_Kingwood_04462" )</f>
        <v>Forest Dr N_23200_Bala Woods at Kingwood_Kingwood_04462</v>
      </c>
      <c r="L3211" s="104" t="s">
        <v>22253</v>
      </c>
      <c r="M3211" s="103" t="str">
        <f t="shared" si="253"/>
        <v>http://oconnordata.com/mlink/modules/profile/index.cfm?action=profile&amp;prop_id=4462</v>
      </c>
      <c r="N3211" s="1" t="str">
        <f t="shared" si="254"/>
        <v>04462</v>
      </c>
    </row>
    <row r="3212" spans="1:14" x14ac:dyDescent="0.3">
      <c r="A3212" s="97">
        <v>4463</v>
      </c>
      <c r="B3212" s="7" t="s">
        <v>4763</v>
      </c>
      <c r="C3212" s="12">
        <v>1475</v>
      </c>
      <c r="D3212" s="7" t="s">
        <v>4863</v>
      </c>
      <c r="E3212" s="13" t="s">
        <v>1671</v>
      </c>
      <c r="F3212" t="str">
        <f t="shared" si="250"/>
        <v>Sawdust</v>
      </c>
      <c r="G3212" t="str">
        <f t="shared" si="251"/>
        <v>Sawdust1475Spring</v>
      </c>
      <c r="H3212" t="s">
        <v>34070</v>
      </c>
      <c r="I3212" t="s">
        <v>25495</v>
      </c>
      <c r="J3212" t="str">
        <f t="shared" si="252"/>
        <v>E:\PropInv\MF</v>
      </c>
      <c r="K3212" s="103" t="str">
        <f>HYPERLINK("E:\PropInv\MF\Spring\Sawdust Rd_1475_Woodridge Park_Spring_04463","Sawdust Rd_1475_Woodridge Park_Spring_04463" )</f>
        <v>Sawdust Rd_1475_Woodridge Park_Spring_04463</v>
      </c>
      <c r="L3212" s="104" t="s">
        <v>22253</v>
      </c>
      <c r="M3212" s="103" t="str">
        <f t="shared" si="253"/>
        <v>http://oconnordata.com/mlink/modules/profile/index.cfm?action=profile&amp;prop_id=4463</v>
      </c>
      <c r="N3212" s="1" t="str">
        <f t="shared" si="254"/>
        <v>04463</v>
      </c>
    </row>
    <row r="3213" spans="1:14" x14ac:dyDescent="0.3">
      <c r="A3213" s="1">
        <v>4467</v>
      </c>
      <c r="B3213" s="7" t="s">
        <v>4864</v>
      </c>
      <c r="C3213" s="12">
        <v>9393</v>
      </c>
      <c r="D3213" s="7" t="s">
        <v>4865</v>
      </c>
      <c r="E3213" s="13" t="s">
        <v>1657</v>
      </c>
      <c r="F3213" t="str">
        <f t="shared" si="250"/>
        <v>Tidwell</v>
      </c>
      <c r="G3213" t="str">
        <f t="shared" si="251"/>
        <v>Tidwell9393Houston</v>
      </c>
      <c r="H3213" t="s">
        <v>34071</v>
      </c>
      <c r="I3213" t="s">
        <v>25496</v>
      </c>
      <c r="J3213" t="str">
        <f t="shared" si="252"/>
        <v>E:\PropInv\MF</v>
      </c>
      <c r="K3213" s="103" t="str">
        <f>HYPERLINK("E:\PropInv\MF\Houston\Tidwell Rd_9393_Lakecrest Village_Houston_04467","Tidwell Rd_9393_Lakecrest Village_Houston_04467" )</f>
        <v>Tidwell Rd_9393_Lakecrest Village_Houston_04467</v>
      </c>
      <c r="L3213" s="104" t="s">
        <v>22253</v>
      </c>
      <c r="M3213" s="103" t="str">
        <f t="shared" si="253"/>
        <v>http://oconnordata.com/mlink/modules/profile/index.cfm?action=profile&amp;prop_id=4467</v>
      </c>
      <c r="N3213" s="1" t="str">
        <f t="shared" si="254"/>
        <v>04467</v>
      </c>
    </row>
    <row r="3214" spans="1:14" x14ac:dyDescent="0.3">
      <c r="A3214" s="1">
        <v>4468</v>
      </c>
      <c r="B3214" s="7" t="s">
        <v>3801</v>
      </c>
      <c r="C3214" s="12">
        <v>5514</v>
      </c>
      <c r="D3214" s="7" t="s">
        <v>4866</v>
      </c>
      <c r="E3214" s="13" t="s">
        <v>1657</v>
      </c>
      <c r="F3214" t="str">
        <f t="shared" si="250"/>
        <v>Griggs</v>
      </c>
      <c r="G3214" t="str">
        <f t="shared" si="251"/>
        <v>Griggs5514Houston</v>
      </c>
      <c r="H3214" t="s">
        <v>34072</v>
      </c>
      <c r="I3214" t="s">
        <v>25497</v>
      </c>
      <c r="J3214" t="str">
        <f t="shared" si="252"/>
        <v>E:\PropInv\MF</v>
      </c>
      <c r="K3214" s="103" t="str">
        <f>HYPERLINK("E:\PropInv\MF\Houston\Griggs Rd_5514_Skyview at Palm Center_Houston_04468","Griggs Rd_5514_Skyview at Palm Center_Houston_04468" )</f>
        <v>Griggs Rd_5514_Skyview at Palm Center_Houston_04468</v>
      </c>
      <c r="L3214" s="104" t="s">
        <v>22253</v>
      </c>
      <c r="M3214" s="103" t="str">
        <f t="shared" si="253"/>
        <v>http://oconnordata.com/mlink/modules/profile/index.cfm?action=profile&amp;prop_id=4468</v>
      </c>
      <c r="N3214" s="1" t="str">
        <f t="shared" si="254"/>
        <v>04468</v>
      </c>
    </row>
    <row r="3215" spans="1:14" x14ac:dyDescent="0.3">
      <c r="A3215" s="1">
        <v>4469</v>
      </c>
      <c r="B3215" s="7" t="s">
        <v>4867</v>
      </c>
      <c r="C3215" s="12">
        <v>701</v>
      </c>
      <c r="D3215" s="7" t="s">
        <v>4868</v>
      </c>
      <c r="E3215" s="13" t="s">
        <v>1657</v>
      </c>
      <c r="F3215" t="str">
        <f t="shared" si="250"/>
        <v>TC</v>
      </c>
      <c r="G3215" t="str">
        <f t="shared" si="251"/>
        <v>TC701Houston</v>
      </c>
      <c r="H3215" t="s">
        <v>34073</v>
      </c>
      <c r="I3215" t="s">
        <v>25498</v>
      </c>
      <c r="J3215" t="str">
        <f t="shared" si="252"/>
        <v>E:\PropInv\MF</v>
      </c>
      <c r="K3215" s="103" t="str">
        <f>HYPERLINK("E:\PropInv\MF\Houston\TC Jester Blvd_701_Stonewood_Houston_04469","TC Jester Blvd_701_Stonewood_Houston_04469" )</f>
        <v>TC Jester Blvd_701_Stonewood_Houston_04469</v>
      </c>
      <c r="L3215" s="104" t="s">
        <v>22253</v>
      </c>
      <c r="M3215" s="103" t="str">
        <f t="shared" si="253"/>
        <v>http://oconnordata.com/mlink/modules/profile/index.cfm?action=profile&amp;prop_id=4469</v>
      </c>
      <c r="N3215" s="1" t="str">
        <f t="shared" si="254"/>
        <v>04469</v>
      </c>
    </row>
    <row r="3216" spans="1:14" x14ac:dyDescent="0.3">
      <c r="A3216" s="1">
        <v>4470</v>
      </c>
      <c r="B3216" s="7" t="s">
        <v>885</v>
      </c>
      <c r="C3216" s="12">
        <v>4899</v>
      </c>
      <c r="D3216" s="7" t="s">
        <v>4869</v>
      </c>
      <c r="E3216" s="13" t="s">
        <v>1657</v>
      </c>
      <c r="F3216" t="str">
        <f t="shared" si="250"/>
        <v>Montrose</v>
      </c>
      <c r="G3216" t="str">
        <f t="shared" si="251"/>
        <v>Montrose4899Houston</v>
      </c>
      <c r="H3216" t="s">
        <v>34074</v>
      </c>
      <c r="I3216" t="s">
        <v>25499</v>
      </c>
      <c r="J3216" t="str">
        <f t="shared" si="252"/>
        <v>E:\PropInv\MF</v>
      </c>
      <c r="K3216" s="103" t="str">
        <f>HYPERLINK("E:\PropInv\MF\Houston\Montrose_4899_The Museum Tower_Houston_04470","Montrose_4899_The Museum Tower_Houston_04470" )</f>
        <v>Montrose_4899_The Museum Tower_Houston_04470</v>
      </c>
      <c r="L3216" s="104" t="s">
        <v>22253</v>
      </c>
      <c r="M3216" s="103" t="str">
        <f t="shared" si="253"/>
        <v>http://oconnordata.com/mlink/modules/profile/index.cfm?action=profile&amp;prop_id=4470</v>
      </c>
      <c r="N3216" s="1" t="str">
        <f t="shared" si="254"/>
        <v>04470</v>
      </c>
    </row>
    <row r="3217" spans="1:14" x14ac:dyDescent="0.3">
      <c r="A3217" s="97">
        <v>4471</v>
      </c>
      <c r="B3217" s="7" t="s">
        <v>4870</v>
      </c>
      <c r="C3217" s="12">
        <v>12411</v>
      </c>
      <c r="D3217" s="7" t="s">
        <v>4871</v>
      </c>
      <c r="E3217" s="13" t="s">
        <v>1657</v>
      </c>
      <c r="F3217" t="str">
        <f t="shared" si="250"/>
        <v>Wood</v>
      </c>
      <c r="G3217" t="str">
        <f t="shared" si="251"/>
        <v>Wood12411Houston</v>
      </c>
      <c r="H3217" t="s">
        <v>34075</v>
      </c>
      <c r="I3217" t="s">
        <v>25500</v>
      </c>
      <c r="J3217" t="str">
        <f t="shared" si="252"/>
        <v>E:\PropInv\MF</v>
      </c>
      <c r="K3217" s="103" t="str">
        <f>HYPERLINK("E:\PropInv\MF\Houston\Wood Forest Dr_12411_Wood Forest Chase_Houston_04471","Wood Forest Dr_12411_Wood Forest Chase_Houston_04471" )</f>
        <v>Wood Forest Dr_12411_Wood Forest Chase_Houston_04471</v>
      </c>
      <c r="L3217" s="104" t="s">
        <v>22253</v>
      </c>
      <c r="M3217" s="103" t="str">
        <f t="shared" si="253"/>
        <v>http://oconnordata.com/mlink/modules/profile/index.cfm?action=profile&amp;prop_id=4471</v>
      </c>
      <c r="N3217" s="1" t="str">
        <f t="shared" si="254"/>
        <v>04471</v>
      </c>
    </row>
    <row r="3218" spans="1:14" x14ac:dyDescent="0.3">
      <c r="A3218" s="1">
        <v>4472</v>
      </c>
      <c r="B3218" s="7" t="s">
        <v>1923</v>
      </c>
      <c r="C3218" s="12">
        <v>832</v>
      </c>
      <c r="D3218" s="7" t="s">
        <v>4872</v>
      </c>
      <c r="E3218" s="13" t="s">
        <v>1657</v>
      </c>
      <c r="F3218" t="str">
        <f t="shared" si="250"/>
        <v>Greens</v>
      </c>
      <c r="G3218" t="str">
        <f t="shared" si="251"/>
        <v>Greens832Houston</v>
      </c>
      <c r="H3218" t="s">
        <v>34076</v>
      </c>
      <c r="I3218" t="s">
        <v>25501</v>
      </c>
      <c r="J3218" t="str">
        <f t="shared" si="252"/>
        <v>E:\PropInv\MF</v>
      </c>
      <c r="K3218" s="103" t="str">
        <f>HYPERLINK("E:\PropInv\MF\Houston\Greens Rd W_832_Columbia Greens_Houston_04472","Greens Rd W_832_Columbia Greens_Houston_04472" )</f>
        <v>Greens Rd W_832_Columbia Greens_Houston_04472</v>
      </c>
      <c r="L3218" s="104" t="s">
        <v>22253</v>
      </c>
      <c r="M3218" s="103" t="str">
        <f t="shared" si="253"/>
        <v>http://oconnordata.com/mlink/modules/profile/index.cfm?action=profile&amp;prop_id=4472</v>
      </c>
      <c r="N3218" s="1" t="str">
        <f t="shared" si="254"/>
        <v>04472</v>
      </c>
    </row>
    <row r="3219" spans="1:14" x14ac:dyDescent="0.3">
      <c r="A3219" s="97">
        <v>4473</v>
      </c>
      <c r="B3219" s="7" t="s">
        <v>4873</v>
      </c>
      <c r="C3219" s="12">
        <v>11111</v>
      </c>
      <c r="D3219" s="7" t="s">
        <v>4874</v>
      </c>
      <c r="E3219" s="13" t="s">
        <v>1657</v>
      </c>
      <c r="F3219" t="str">
        <f t="shared" si="250"/>
        <v>Montgomery</v>
      </c>
      <c r="G3219" t="str">
        <f t="shared" si="251"/>
        <v>Montgomery11111Houston</v>
      </c>
      <c r="H3219" t="s">
        <v>34077</v>
      </c>
      <c r="I3219" t="s">
        <v>25502</v>
      </c>
      <c r="J3219" t="str">
        <f t="shared" si="252"/>
        <v>E:\PropInv\MF</v>
      </c>
      <c r="K3219" s="103" t="str">
        <f>HYPERLINK("E:\PropInv\MF\Houston\Montgomery Rd W_11111_Woodglen Village_Houston_04473","Montgomery Rd W_11111_Woodglen Village_Houston_04473" )</f>
        <v>Montgomery Rd W_11111_Woodglen Village_Houston_04473</v>
      </c>
      <c r="L3219" s="104" t="s">
        <v>22253</v>
      </c>
      <c r="M3219" s="103" t="str">
        <f t="shared" si="253"/>
        <v>http://oconnordata.com/mlink/modules/profile/index.cfm?action=profile&amp;prop_id=4473</v>
      </c>
      <c r="N3219" s="1" t="str">
        <f t="shared" si="254"/>
        <v>04473</v>
      </c>
    </row>
    <row r="3220" spans="1:14" x14ac:dyDescent="0.3">
      <c r="A3220" s="1">
        <v>4475</v>
      </c>
      <c r="B3220" s="7" t="s">
        <v>4032</v>
      </c>
      <c r="C3220" s="12">
        <v>15015</v>
      </c>
      <c r="D3220" s="7" t="s">
        <v>4875</v>
      </c>
      <c r="E3220" s="13" t="s">
        <v>4484</v>
      </c>
      <c r="F3220" t="str">
        <f t="shared" si="250"/>
        <v>Airport</v>
      </c>
      <c r="G3220" t="str">
        <f t="shared" si="251"/>
        <v>Airport15015Sugar Land</v>
      </c>
      <c r="H3220" t="s">
        <v>34078</v>
      </c>
      <c r="I3220" t="s">
        <v>25503</v>
      </c>
      <c r="J3220" t="str">
        <f t="shared" si="252"/>
        <v>E:\PropInv\MF</v>
      </c>
      <c r="K3220" s="103" t="str">
        <f>HYPERLINK("E:\PropInv\MF\Sugar Land\Airport Blvd W_15015_The Enclave at Woodbridge_Sugar Land_04475","Airport Blvd W_15015_The Enclave at Woodbridge_Sugar Land_04475" )</f>
        <v>Airport Blvd W_15015_The Enclave at Woodbridge_Sugar Land_04475</v>
      </c>
      <c r="L3220" s="104" t="s">
        <v>22253</v>
      </c>
      <c r="M3220" s="103" t="str">
        <f t="shared" si="253"/>
        <v>http://oconnordata.com/mlink/modules/profile/index.cfm?action=profile&amp;prop_id=4475</v>
      </c>
      <c r="N3220" s="1" t="str">
        <f t="shared" si="254"/>
        <v>04475</v>
      </c>
    </row>
    <row r="3221" spans="1:14" x14ac:dyDescent="0.3">
      <c r="A3221" s="1">
        <v>4477</v>
      </c>
      <c r="B3221" s="7" t="s">
        <v>2794</v>
      </c>
      <c r="C3221" s="12">
        <v>3411</v>
      </c>
      <c r="D3221" s="7" t="s">
        <v>4876</v>
      </c>
      <c r="E3221" s="13" t="s">
        <v>1657</v>
      </c>
      <c r="F3221" t="str">
        <f t="shared" si="250"/>
        <v>Walnut</v>
      </c>
      <c r="G3221" t="str">
        <f t="shared" si="251"/>
        <v>Walnut3411Houston</v>
      </c>
      <c r="H3221" t="s">
        <v>34079</v>
      </c>
      <c r="I3221" t="s">
        <v>25504</v>
      </c>
      <c r="J3221" t="str">
        <f t="shared" si="252"/>
        <v>E:\PropInv\MF</v>
      </c>
      <c r="K3221" s="103" t="str">
        <f>HYPERLINK("E:\PropInv\MF\Houston\Walnut Bend_3411_The Residence at Westchase_Houston_04477","Walnut Bend_3411_The Residence at Westchase_Houston_04477" )</f>
        <v>Walnut Bend_3411_The Residence at Westchase_Houston_04477</v>
      </c>
      <c r="L3221" s="104" t="s">
        <v>22253</v>
      </c>
      <c r="M3221" s="103" t="str">
        <f t="shared" si="253"/>
        <v>http://oconnordata.com/mlink/modules/profile/index.cfm?action=profile&amp;prop_id=4477</v>
      </c>
      <c r="N3221" s="1" t="str">
        <f t="shared" si="254"/>
        <v>04477</v>
      </c>
    </row>
    <row r="3222" spans="1:14" x14ac:dyDescent="0.3">
      <c r="A3222" s="1">
        <v>4478</v>
      </c>
      <c r="B3222" s="7" t="s">
        <v>4551</v>
      </c>
      <c r="C3222" s="12">
        <v>2425</v>
      </c>
      <c r="D3222" s="7" t="s">
        <v>4877</v>
      </c>
      <c r="E3222" s="13" t="s">
        <v>2198</v>
      </c>
      <c r="F3222" t="str">
        <f t="shared" si="250"/>
        <v>Katy</v>
      </c>
      <c r="G3222" t="str">
        <f t="shared" si="251"/>
        <v>Katy2425Katy</v>
      </c>
      <c r="H3222" t="s">
        <v>34080</v>
      </c>
      <c r="I3222" t="s">
        <v>25505</v>
      </c>
      <c r="J3222" t="str">
        <f t="shared" si="252"/>
        <v>E:\PropInv\MF</v>
      </c>
      <c r="K3222" s="103" t="str">
        <f>HYPERLINK("E:\PropInv\MF\Katy\Katy Flewellen_2425_Willow Lake I_Katy_04478","Katy Flewellen_2425_Willow Lake I_Katy_04478" )</f>
        <v>Katy Flewellen_2425_Willow Lake I_Katy_04478</v>
      </c>
      <c r="L3222" s="104" t="s">
        <v>22253</v>
      </c>
      <c r="M3222" s="103" t="str">
        <f t="shared" si="253"/>
        <v>http://oconnordata.com/mlink/modules/profile/index.cfm?action=profile&amp;prop_id=4478</v>
      </c>
      <c r="N3222" s="1" t="str">
        <f t="shared" si="254"/>
        <v>04478</v>
      </c>
    </row>
    <row r="3223" spans="1:14" x14ac:dyDescent="0.3">
      <c r="A3223" s="1">
        <v>4479</v>
      </c>
      <c r="B3223" s="7" t="s">
        <v>3143</v>
      </c>
      <c r="C3223" s="12">
        <v>4001</v>
      </c>
      <c r="D3223" s="7" t="s">
        <v>4878</v>
      </c>
      <c r="E3223" s="13" t="s">
        <v>1657</v>
      </c>
      <c r="F3223" t="str">
        <f t="shared" si="250"/>
        <v>Fannin</v>
      </c>
      <c r="G3223" t="str">
        <f t="shared" si="251"/>
        <v>Fannin4001Houston</v>
      </c>
      <c r="H3223" t="s">
        <v>34081</v>
      </c>
      <c r="I3223" t="s">
        <v>25506</v>
      </c>
      <c r="J3223" t="str">
        <f t="shared" si="252"/>
        <v>E:\PropInv\MF</v>
      </c>
      <c r="K3223" s="103" t="str">
        <f>HYPERLINK("E:\PropInv\MF\Houston\Fannin_4001_Ventana at Midtown_Houston_04479","Fannin_4001_Ventana at Midtown_Houston_04479" )</f>
        <v>Fannin_4001_Ventana at Midtown_Houston_04479</v>
      </c>
      <c r="L3223" s="104" t="s">
        <v>22253</v>
      </c>
      <c r="M3223" s="103" t="str">
        <f t="shared" si="253"/>
        <v>http://oconnordata.com/mlink/modules/profile/index.cfm?action=profile&amp;prop_id=4479</v>
      </c>
      <c r="N3223" s="1" t="str">
        <f t="shared" si="254"/>
        <v>04479</v>
      </c>
    </row>
    <row r="3224" spans="1:14" x14ac:dyDescent="0.3">
      <c r="A3224" s="1">
        <v>4480</v>
      </c>
      <c r="B3224" s="7" t="s">
        <v>1699</v>
      </c>
      <c r="C3224" s="12">
        <v>9717</v>
      </c>
      <c r="D3224" s="7" t="s">
        <v>4879</v>
      </c>
      <c r="E3224" s="13" t="s">
        <v>1657</v>
      </c>
      <c r="F3224" t="str">
        <f t="shared" si="250"/>
        <v>Cypresswood</v>
      </c>
      <c r="G3224" t="str">
        <f t="shared" si="251"/>
        <v>Cypresswood9717Houston</v>
      </c>
      <c r="H3224" t="s">
        <v>34082</v>
      </c>
      <c r="I3224" t="s">
        <v>25507</v>
      </c>
      <c r="J3224" t="str">
        <f t="shared" si="252"/>
        <v>E:\PropInv\MF</v>
      </c>
      <c r="K3224" s="103" t="str">
        <f>HYPERLINK("E:\PropInv\MF\Houston\Cypresswood Dr_9717_Chasewood_Houston_04480","Cypresswood Dr_9717_Chasewood_Houston_04480" )</f>
        <v>Cypresswood Dr_9717_Chasewood_Houston_04480</v>
      </c>
      <c r="L3224" s="104" t="s">
        <v>22253</v>
      </c>
      <c r="M3224" s="103" t="str">
        <f t="shared" si="253"/>
        <v>http://oconnordata.com/mlink/modules/profile/index.cfm?action=profile&amp;prop_id=4480</v>
      </c>
      <c r="N3224" s="1" t="str">
        <f t="shared" si="254"/>
        <v>04480</v>
      </c>
    </row>
    <row r="3225" spans="1:14" x14ac:dyDescent="0.3">
      <c r="A3225" s="1">
        <v>4481</v>
      </c>
      <c r="B3225" s="7" t="s">
        <v>4880</v>
      </c>
      <c r="C3225" s="12">
        <v>13504</v>
      </c>
      <c r="D3225" s="7" t="s">
        <v>4881</v>
      </c>
      <c r="E3225" s="13" t="s">
        <v>1657</v>
      </c>
      <c r="F3225" t="str">
        <f t="shared" si="250"/>
        <v>Schroeder</v>
      </c>
      <c r="G3225" t="str">
        <f t="shared" si="251"/>
        <v>Schroeder13504Houston</v>
      </c>
      <c r="H3225" t="s">
        <v>34083</v>
      </c>
      <c r="I3225" t="s">
        <v>25508</v>
      </c>
      <c r="J3225" t="str">
        <f t="shared" si="252"/>
        <v>E:\PropInv\MF</v>
      </c>
      <c r="K3225" s="103" t="str">
        <f>HYPERLINK("E:\PropInv\MF\Houston\Schroeder Rd_13504_The Club at Stablechase_Houston_04481","Schroeder Rd_13504_The Club at Stablechase_Houston_04481" )</f>
        <v>Schroeder Rd_13504_The Club at Stablechase_Houston_04481</v>
      </c>
      <c r="L3225" s="104" t="s">
        <v>22253</v>
      </c>
      <c r="M3225" s="103" t="str">
        <f t="shared" si="253"/>
        <v>http://oconnordata.com/mlink/modules/profile/index.cfm?action=profile&amp;prop_id=4481</v>
      </c>
      <c r="N3225" s="1" t="str">
        <f t="shared" si="254"/>
        <v>04481</v>
      </c>
    </row>
    <row r="3226" spans="1:14" x14ac:dyDescent="0.3">
      <c r="A3226" s="1">
        <v>4482</v>
      </c>
      <c r="B3226" s="7" t="s">
        <v>1669</v>
      </c>
      <c r="C3226" s="12">
        <v>7103</v>
      </c>
      <c r="D3226" s="7" t="s">
        <v>4882</v>
      </c>
      <c r="E3226" s="13" t="s">
        <v>1671</v>
      </c>
      <c r="F3226" t="str">
        <f t="shared" si="250"/>
        <v>Oakwood</v>
      </c>
      <c r="G3226" t="str">
        <f t="shared" si="251"/>
        <v>Oakwood7103Spring</v>
      </c>
      <c r="H3226" t="s">
        <v>34084</v>
      </c>
      <c r="I3226" t="s">
        <v>25509</v>
      </c>
      <c r="J3226" t="str">
        <f t="shared" si="252"/>
        <v>E:\PropInv\MF</v>
      </c>
      <c r="K3226" s="103" t="str">
        <f>HYPERLINK("E:\PropInv\MF\Spring\Oakwood Glen Blvd_7103_Spring Oaks II_Spring_04482","Oakwood Glen Blvd_7103_Spring Oaks II_Spring_04482" )</f>
        <v>Oakwood Glen Blvd_7103_Spring Oaks II_Spring_04482</v>
      </c>
      <c r="L3226" s="104" t="s">
        <v>22253</v>
      </c>
      <c r="M3226" s="103" t="str">
        <f t="shared" si="253"/>
        <v>http://oconnordata.com/mlink/modules/profile/index.cfm?action=profile&amp;prop_id=4482</v>
      </c>
      <c r="N3226" s="1" t="str">
        <f t="shared" si="254"/>
        <v>04482</v>
      </c>
    </row>
    <row r="3227" spans="1:14" x14ac:dyDescent="0.3">
      <c r="A3227" s="1">
        <v>4483</v>
      </c>
      <c r="B3227" s="7" t="s">
        <v>1875</v>
      </c>
      <c r="C3227" s="12">
        <v>2431</v>
      </c>
      <c r="D3227" s="7" t="s">
        <v>4883</v>
      </c>
      <c r="E3227" s="13" t="s">
        <v>1657</v>
      </c>
      <c r="F3227" t="str">
        <f t="shared" si="250"/>
        <v>1960</v>
      </c>
      <c r="G3227" t="str">
        <f t="shared" si="251"/>
        <v>19602431Houston</v>
      </c>
      <c r="H3227" t="s">
        <v>34085</v>
      </c>
      <c r="I3227" t="s">
        <v>25510</v>
      </c>
      <c r="J3227" t="str">
        <f t="shared" si="252"/>
        <v>E:\PropInv\MF</v>
      </c>
      <c r="K3227" s="103" t="str">
        <f>HYPERLINK("E:\PropInv\MF\Houston\1960 FM W_2431_The Gallery at Champions_Houston_04483","1960 FM W_2431_The Gallery at Champions_Houston_04483" )</f>
        <v>1960 FM W_2431_The Gallery at Champions_Houston_04483</v>
      </c>
      <c r="L3227" s="104" t="s">
        <v>22253</v>
      </c>
      <c r="M3227" s="103" t="str">
        <f t="shared" si="253"/>
        <v>http://oconnordata.com/mlink/modules/profile/index.cfm?action=profile&amp;prop_id=4483</v>
      </c>
      <c r="N3227" s="1" t="str">
        <f t="shared" si="254"/>
        <v>04483</v>
      </c>
    </row>
    <row r="3228" spans="1:14" x14ac:dyDescent="0.3">
      <c r="A3228" s="1">
        <v>4484</v>
      </c>
      <c r="B3228" s="7" t="s">
        <v>1732</v>
      </c>
      <c r="C3228" s="12">
        <v>2331</v>
      </c>
      <c r="D3228" s="7" t="s">
        <v>4884</v>
      </c>
      <c r="E3228" s="13" t="s">
        <v>1657</v>
      </c>
      <c r="F3228" t="str">
        <f t="shared" si="250"/>
        <v>Bammelwood</v>
      </c>
      <c r="G3228" t="str">
        <f t="shared" si="251"/>
        <v>Bammelwood2331Houston</v>
      </c>
      <c r="H3228" t="s">
        <v>34086</v>
      </c>
      <c r="I3228" t="s">
        <v>25511</v>
      </c>
      <c r="J3228" t="str">
        <f t="shared" si="252"/>
        <v>E:\PropInv\MF</v>
      </c>
      <c r="K3228" s="103" t="str">
        <f>HYPERLINK("E:\PropInv\MF\Houston\Bammelwood Dr_2331_Cypress Ridge_Houston_04484","Bammelwood Dr_2331_Cypress Ridge_Houston_04484" )</f>
        <v>Bammelwood Dr_2331_Cypress Ridge_Houston_04484</v>
      </c>
      <c r="L3228" s="104" t="s">
        <v>22253</v>
      </c>
      <c r="M3228" s="103" t="str">
        <f t="shared" si="253"/>
        <v>http://oconnordata.com/mlink/modules/profile/index.cfm?action=profile&amp;prop_id=4484</v>
      </c>
      <c r="N3228" s="1" t="str">
        <f t="shared" si="254"/>
        <v>04484</v>
      </c>
    </row>
    <row r="3229" spans="1:14" x14ac:dyDescent="0.3">
      <c r="A3229" s="1">
        <v>4485</v>
      </c>
      <c r="B3229" s="7" t="s">
        <v>4885</v>
      </c>
      <c r="C3229" s="12">
        <v>300</v>
      </c>
      <c r="D3229" s="7" t="s">
        <v>4886</v>
      </c>
      <c r="E3229" s="13" t="s">
        <v>1657</v>
      </c>
      <c r="F3229" t="str">
        <f t="shared" si="250"/>
        <v>Woerner</v>
      </c>
      <c r="G3229" t="str">
        <f t="shared" si="251"/>
        <v>Woerner300Houston</v>
      </c>
      <c r="H3229" t="s">
        <v>34087</v>
      </c>
      <c r="I3229" t="s">
        <v>25512</v>
      </c>
      <c r="J3229" t="str">
        <f t="shared" si="252"/>
        <v>E:\PropInv\MF</v>
      </c>
      <c r="K3229" s="103" t="str">
        <f>HYPERLINK("E:\PropInv\MF\Houston\Woerner Rd_300_Lakebridge II_Houston_04485","Woerner Rd_300_Lakebridge II_Houston_04485" )</f>
        <v>Woerner Rd_300_Lakebridge II_Houston_04485</v>
      </c>
      <c r="L3229" s="104" t="s">
        <v>22253</v>
      </c>
      <c r="M3229" s="103" t="str">
        <f t="shared" si="253"/>
        <v>http://oconnordata.com/mlink/modules/profile/index.cfm?action=profile&amp;prop_id=4485</v>
      </c>
      <c r="N3229" s="1" t="str">
        <f t="shared" si="254"/>
        <v>04485</v>
      </c>
    </row>
    <row r="3230" spans="1:14" x14ac:dyDescent="0.3">
      <c r="A3230" s="1">
        <v>4486</v>
      </c>
      <c r="B3230" s="7" t="s">
        <v>4887</v>
      </c>
      <c r="C3230" s="12">
        <v>17100</v>
      </c>
      <c r="D3230" s="7" t="s">
        <v>4888</v>
      </c>
      <c r="E3230" s="13" t="s">
        <v>1657</v>
      </c>
      <c r="F3230" t="str">
        <f t="shared" si="250"/>
        <v>Rolling</v>
      </c>
      <c r="G3230" t="str">
        <f t="shared" si="251"/>
        <v>Rolling17100Houston</v>
      </c>
      <c r="H3230" t="s">
        <v>34088</v>
      </c>
      <c r="I3230" t="s">
        <v>25513</v>
      </c>
      <c r="J3230" t="str">
        <f t="shared" si="252"/>
        <v>E:\PropInv\MF</v>
      </c>
      <c r="K3230" s="103" t="str">
        <f>HYPERLINK("E:\PropInv\MF\Houston\Rolling Creek_17100_The Palms on Rolling Creek_Houston_04486","Rolling Creek_17100_The Palms on Rolling Creek_Houston_04486" )</f>
        <v>Rolling Creek_17100_The Palms on Rolling Creek_Houston_04486</v>
      </c>
      <c r="L3230" s="104" t="s">
        <v>22253</v>
      </c>
      <c r="M3230" s="103" t="str">
        <f t="shared" si="253"/>
        <v>http://oconnordata.com/mlink/modules/profile/index.cfm?action=profile&amp;prop_id=4486</v>
      </c>
      <c r="N3230" s="1" t="str">
        <f t="shared" si="254"/>
        <v>04486</v>
      </c>
    </row>
    <row r="3231" spans="1:14" x14ac:dyDescent="0.3">
      <c r="A3231" s="1">
        <v>4490</v>
      </c>
      <c r="B3231" s="7" t="s">
        <v>4889</v>
      </c>
      <c r="C3231" s="12">
        <v>915</v>
      </c>
      <c r="D3231" s="7" t="s">
        <v>4890</v>
      </c>
      <c r="E3231" s="13" t="s">
        <v>4428</v>
      </c>
      <c r="F3231" t="str">
        <f t="shared" si="250"/>
        <v>Cole</v>
      </c>
      <c r="G3231" t="str">
        <f t="shared" si="251"/>
        <v>Cole915Rosenberg</v>
      </c>
      <c r="H3231" t="s">
        <v>34089</v>
      </c>
      <c r="I3231" t="s">
        <v>25514</v>
      </c>
      <c r="J3231" t="str">
        <f t="shared" si="252"/>
        <v>E:\PropInv\MF</v>
      </c>
      <c r="K3231" s="103" t="str">
        <f>HYPERLINK("E:\PropInv\MF\Rosenberg\Cole Ave_915_Falcon Pointe_Rosenberg_04490","Cole Ave_915_Falcon Pointe_Rosenberg_04490" )</f>
        <v>Cole Ave_915_Falcon Pointe_Rosenberg_04490</v>
      </c>
      <c r="L3231" s="104" t="s">
        <v>22253</v>
      </c>
      <c r="M3231" s="103" t="str">
        <f t="shared" si="253"/>
        <v>http://oconnordata.com/mlink/modules/profile/index.cfm?action=profile&amp;prop_id=4490</v>
      </c>
      <c r="N3231" s="1" t="str">
        <f t="shared" si="254"/>
        <v>04490</v>
      </c>
    </row>
    <row r="3232" spans="1:14" x14ac:dyDescent="0.3">
      <c r="A3232" s="1">
        <v>4491</v>
      </c>
      <c r="B3232" s="7" t="s">
        <v>4792</v>
      </c>
      <c r="C3232" s="12">
        <v>3730</v>
      </c>
      <c r="D3232" s="7" t="s">
        <v>4891</v>
      </c>
      <c r="E3232" s="13" t="s">
        <v>1657</v>
      </c>
      <c r="F3232" t="str">
        <f t="shared" si="250"/>
        <v>Lyons</v>
      </c>
      <c r="G3232" t="str">
        <f t="shared" si="251"/>
        <v>Lyons3730Houston</v>
      </c>
      <c r="H3232" t="s">
        <v>34090</v>
      </c>
      <c r="I3232" t="s">
        <v>25515</v>
      </c>
      <c r="J3232" t="str">
        <f t="shared" si="252"/>
        <v>E:\PropInv\MF</v>
      </c>
      <c r="K3232" s="103" t="str">
        <f>HYPERLINK("E:\PropInv\MF\Houston\Lyons Ave_3730_Britons Place_Houston_04491","Lyons Ave_3730_Britons Place_Houston_04491" )</f>
        <v>Lyons Ave_3730_Britons Place_Houston_04491</v>
      </c>
      <c r="L3232" s="104" t="s">
        <v>22253</v>
      </c>
      <c r="M3232" s="103" t="str">
        <f t="shared" si="253"/>
        <v>http://oconnordata.com/mlink/modules/profile/index.cfm?action=profile&amp;prop_id=4491</v>
      </c>
      <c r="N3232" s="1" t="str">
        <f t="shared" si="254"/>
        <v>04491</v>
      </c>
    </row>
    <row r="3233" spans="1:14" x14ac:dyDescent="0.3">
      <c r="A3233" s="1">
        <v>4494</v>
      </c>
      <c r="B3233" s="7" t="s">
        <v>3830</v>
      </c>
      <c r="C3233" s="12">
        <v>8306</v>
      </c>
      <c r="D3233" s="7" t="s">
        <v>4892</v>
      </c>
      <c r="E3233" s="13" t="s">
        <v>1657</v>
      </c>
      <c r="F3233" t="str">
        <f t="shared" si="250"/>
        <v>Gulf</v>
      </c>
      <c r="G3233" t="str">
        <f t="shared" si="251"/>
        <v>Gulf8306Houston</v>
      </c>
      <c r="H3233" t="s">
        <v>34091</v>
      </c>
      <c r="I3233" t="s">
        <v>25516</v>
      </c>
      <c r="J3233" t="str">
        <f t="shared" si="252"/>
        <v>E:\PropInv\MF</v>
      </c>
      <c r="K3233" s="103" t="str">
        <f>HYPERLINK("E:\PropInv\MF\Houston\Gulf Fwy_8306_Gulfway_Houston_04494","Gulf Fwy_8306_Gulfway_Houston_04494" )</f>
        <v>Gulf Fwy_8306_Gulfway_Houston_04494</v>
      </c>
      <c r="L3233" s="104" t="s">
        <v>22253</v>
      </c>
      <c r="M3233" s="103" t="str">
        <f t="shared" si="253"/>
        <v>http://oconnordata.com/mlink/modules/profile/index.cfm?action=profile&amp;prop_id=4494</v>
      </c>
      <c r="N3233" s="1" t="str">
        <f t="shared" si="254"/>
        <v>04494</v>
      </c>
    </row>
    <row r="3234" spans="1:14" x14ac:dyDescent="0.3">
      <c r="A3234" s="1">
        <v>4497</v>
      </c>
      <c r="B3234" s="7" t="s">
        <v>4893</v>
      </c>
      <c r="C3234" s="12">
        <v>711</v>
      </c>
      <c r="D3234" s="7" t="s">
        <v>4894</v>
      </c>
      <c r="E3234" s="13" t="s">
        <v>1657</v>
      </c>
      <c r="F3234" t="str">
        <f t="shared" si="250"/>
        <v>William</v>
      </c>
      <c r="G3234" t="str">
        <f t="shared" si="251"/>
        <v>William711Houston</v>
      </c>
      <c r="H3234" t="s">
        <v>34092</v>
      </c>
      <c r="I3234" t="s">
        <v>25517</v>
      </c>
      <c r="J3234" t="str">
        <f t="shared" si="252"/>
        <v>E:\PropInv\MF</v>
      </c>
      <c r="K3234" s="103" t="str">
        <f>HYPERLINK("E:\PropInv\MF\Houston\William_711_Dakota Lofts_Houston_04497","William_711_Dakota Lofts_Houston_04497" )</f>
        <v>William_711_Dakota Lofts_Houston_04497</v>
      </c>
      <c r="L3234" s="104" t="s">
        <v>22253</v>
      </c>
      <c r="M3234" s="103" t="str">
        <f t="shared" si="253"/>
        <v>http://oconnordata.com/mlink/modules/profile/index.cfm?action=profile&amp;prop_id=4497</v>
      </c>
      <c r="N3234" s="1" t="str">
        <f t="shared" si="254"/>
        <v>04497</v>
      </c>
    </row>
    <row r="3235" spans="1:14" x14ac:dyDescent="0.3">
      <c r="A3235" s="1">
        <v>4511</v>
      </c>
      <c r="B3235" s="7" t="s">
        <v>1223</v>
      </c>
      <c r="C3235" s="12">
        <v>925</v>
      </c>
      <c r="D3235" s="7" t="s">
        <v>4895</v>
      </c>
      <c r="E3235" s="13" t="s">
        <v>2609</v>
      </c>
      <c r="F3235" t="str">
        <f t="shared" si="250"/>
        <v>Northwood</v>
      </c>
      <c r="G3235" t="str">
        <f t="shared" si="251"/>
        <v>Northwood925Baytown</v>
      </c>
      <c r="H3235" t="s">
        <v>34093</v>
      </c>
      <c r="I3235" t="s">
        <v>25518</v>
      </c>
      <c r="J3235" t="str">
        <f t="shared" si="252"/>
        <v>E:\PropInv\MF</v>
      </c>
      <c r="K3235" s="103" t="str">
        <f>HYPERLINK("E:\PropInv\MF\Baytown\Northwood_925_Avalon Bay_Baytown_04511","Northwood_925_Avalon Bay_Baytown_04511" )</f>
        <v>Northwood_925_Avalon Bay_Baytown_04511</v>
      </c>
      <c r="L3235" s="104" t="s">
        <v>22253</v>
      </c>
      <c r="M3235" s="103" t="str">
        <f t="shared" si="253"/>
        <v>http://oconnordata.com/mlink/modules/profile/index.cfm?action=profile&amp;prop_id=4511</v>
      </c>
      <c r="N3235" s="1" t="str">
        <f t="shared" si="254"/>
        <v>04511</v>
      </c>
    </row>
    <row r="3236" spans="1:14" x14ac:dyDescent="0.3">
      <c r="A3236" s="1">
        <v>4513</v>
      </c>
      <c r="B3236" s="7" t="s">
        <v>4896</v>
      </c>
      <c r="C3236" s="12" t="s">
        <v>4897</v>
      </c>
      <c r="D3236" s="7" t="s">
        <v>4898</v>
      </c>
      <c r="E3236" s="13" t="s">
        <v>1657</v>
      </c>
      <c r="F3236" t="str">
        <f t="shared" si="250"/>
        <v>Greenway</v>
      </c>
      <c r="G3236" t="str">
        <f t="shared" si="251"/>
        <v>Greenway14-15Houston</v>
      </c>
      <c r="H3236" t="s">
        <v>34094</v>
      </c>
      <c r="I3236" t="s">
        <v>25519</v>
      </c>
      <c r="J3236" t="str">
        <f t="shared" si="252"/>
        <v>E:\PropInv\MF</v>
      </c>
      <c r="K3236" s="103" t="str">
        <f>HYPERLINK("E:\PropInv\MF\Houston\Greenway Plaza_14-15_Greenway II_Houston_04513","Greenway Plaza_14-15_Greenway II_Houston_04513" )</f>
        <v>Greenway Plaza_14-15_Greenway II_Houston_04513</v>
      </c>
      <c r="L3236" s="104" t="s">
        <v>22253</v>
      </c>
      <c r="M3236" s="103" t="str">
        <f t="shared" si="253"/>
        <v>http://oconnordata.com/mlink/modules/profile/index.cfm?action=profile&amp;prop_id=4513</v>
      </c>
      <c r="N3236" s="1" t="str">
        <f t="shared" si="254"/>
        <v>04513</v>
      </c>
    </row>
    <row r="3237" spans="1:14" x14ac:dyDescent="0.3">
      <c r="A3237" s="1">
        <v>4514</v>
      </c>
      <c r="B3237" s="7" t="s">
        <v>3451</v>
      </c>
      <c r="C3237" s="12">
        <v>10909</v>
      </c>
      <c r="D3237" s="7" t="s">
        <v>4899</v>
      </c>
      <c r="E3237" s="13" t="s">
        <v>1657</v>
      </c>
      <c r="F3237" t="str">
        <f t="shared" si="250"/>
        <v>Fondren</v>
      </c>
      <c r="G3237" t="str">
        <f t="shared" si="251"/>
        <v>Fondren10909Houston</v>
      </c>
      <c r="H3237" t="s">
        <v>34095</v>
      </c>
      <c r="I3237" t="s">
        <v>25520</v>
      </c>
      <c r="J3237" t="str">
        <f t="shared" si="252"/>
        <v>E:\PropInv\MF</v>
      </c>
      <c r="K3237" s="103" t="str">
        <f>HYPERLINK("E:\PropInv\MF\Houston\Fondren_10909_Goldberg Towers I &amp; II_Houston_04514","Fondren_10909_Goldberg Towers I &amp; II_Houston_04514" )</f>
        <v>Fondren_10909_Goldberg Towers I &amp; II_Houston_04514</v>
      </c>
      <c r="L3237" s="104" t="s">
        <v>22253</v>
      </c>
      <c r="M3237" s="103" t="str">
        <f t="shared" si="253"/>
        <v>http://oconnordata.com/mlink/modules/profile/index.cfm?action=profile&amp;prop_id=4514</v>
      </c>
      <c r="N3237" s="1" t="str">
        <f t="shared" si="254"/>
        <v>04514</v>
      </c>
    </row>
    <row r="3238" spans="1:14" x14ac:dyDescent="0.3">
      <c r="A3238" s="1">
        <v>4517</v>
      </c>
      <c r="B3238" s="7" t="s">
        <v>2740</v>
      </c>
      <c r="C3238" s="12">
        <v>2211</v>
      </c>
      <c r="D3238" s="7" t="s">
        <v>4900</v>
      </c>
      <c r="E3238" s="13" t="s">
        <v>1657</v>
      </c>
      <c r="F3238" t="str">
        <f t="shared" si="250"/>
        <v>Kirkwood</v>
      </c>
      <c r="G3238" t="str">
        <f t="shared" si="251"/>
        <v>Kirkwood2211Houston</v>
      </c>
      <c r="H3238" t="s">
        <v>34096</v>
      </c>
      <c r="I3238" t="s">
        <v>25521</v>
      </c>
      <c r="J3238" t="str">
        <f t="shared" si="252"/>
        <v>E:\PropInv\MF</v>
      </c>
      <c r="K3238" s="103" t="str">
        <f>HYPERLINK("E:\PropInv\MF\Houston\Kirkwood S_2211_Lakeside Green Condo Apts_Houston_04517","Kirkwood S_2211_Lakeside Green Condo Apts_Houston_04517" )</f>
        <v>Kirkwood S_2211_Lakeside Green Condo Apts_Houston_04517</v>
      </c>
      <c r="L3238" s="104" t="s">
        <v>22253</v>
      </c>
      <c r="M3238" s="103" t="str">
        <f t="shared" si="253"/>
        <v>http://oconnordata.com/mlink/modules/profile/index.cfm?action=profile&amp;prop_id=4517</v>
      </c>
      <c r="N3238" s="1" t="str">
        <f t="shared" si="254"/>
        <v>04517</v>
      </c>
    </row>
    <row r="3239" spans="1:14" x14ac:dyDescent="0.3">
      <c r="A3239" s="1">
        <v>4518</v>
      </c>
      <c r="B3239" s="7" t="s">
        <v>2113</v>
      </c>
      <c r="C3239" s="12">
        <v>5454</v>
      </c>
      <c r="D3239" s="7" t="s">
        <v>4901</v>
      </c>
      <c r="E3239" s="13" t="s">
        <v>1657</v>
      </c>
      <c r="F3239" t="str">
        <f t="shared" si="250"/>
        <v>Gulf</v>
      </c>
      <c r="G3239" t="str">
        <f t="shared" si="251"/>
        <v>Gulf5454Houston</v>
      </c>
      <c r="H3239" t="s">
        <v>34097</v>
      </c>
      <c r="I3239" t="s">
        <v>25522</v>
      </c>
      <c r="J3239" t="str">
        <f t="shared" si="252"/>
        <v>E:\PropInv\MF</v>
      </c>
      <c r="K3239" s="103" t="str">
        <f>HYPERLINK("E:\PropInv\MF\Houston\Gulf Bank W_5454_Avery Park III_Houston_04518","Gulf Bank W_5454_Avery Park III_Houston_04518" )</f>
        <v>Gulf Bank W_5454_Avery Park III_Houston_04518</v>
      </c>
      <c r="L3239" s="104" t="s">
        <v>22253</v>
      </c>
      <c r="M3239" s="103" t="str">
        <f t="shared" si="253"/>
        <v>http://oconnordata.com/mlink/modules/profile/index.cfm?action=profile&amp;prop_id=4518</v>
      </c>
      <c r="N3239" s="1" t="str">
        <f t="shared" si="254"/>
        <v>04518</v>
      </c>
    </row>
    <row r="3240" spans="1:14" x14ac:dyDescent="0.3">
      <c r="A3240" s="1">
        <v>4519</v>
      </c>
      <c r="B3240" s="7" t="s">
        <v>4902</v>
      </c>
      <c r="C3240" s="35" t="s">
        <v>4903</v>
      </c>
      <c r="D3240" s="7" t="s">
        <v>4904</v>
      </c>
      <c r="E3240" s="25" t="s">
        <v>1657</v>
      </c>
      <c r="F3240" t="str">
        <f t="shared" si="250"/>
        <v>Bohnhof</v>
      </c>
      <c r="G3240" t="str">
        <f t="shared" si="251"/>
        <v>Bohnhof16303-16330Houston</v>
      </c>
      <c r="H3240" t="s">
        <v>34098</v>
      </c>
      <c r="I3240" t="s">
        <v>25523</v>
      </c>
      <c r="J3240" t="str">
        <f t="shared" si="252"/>
        <v>E:\PropInv\MF</v>
      </c>
      <c r="K3240" s="103" t="str">
        <f>HYPERLINK("E:\PropInv\MF\Houston\Bohnhof Strasse St_16303-16330_Aspen Forest_Houston_04519","Bohnhof Strasse St_16303-16330_Aspen Forest_Houston_04519" )</f>
        <v>Bohnhof Strasse St_16303-16330_Aspen Forest_Houston_04519</v>
      </c>
      <c r="L3240" s="104" t="s">
        <v>22253</v>
      </c>
      <c r="M3240" s="103" t="str">
        <f t="shared" si="253"/>
        <v>http://oconnordata.com/mlink/modules/profile/index.cfm?action=profile&amp;prop_id=4519</v>
      </c>
      <c r="N3240" s="1" t="str">
        <f t="shared" si="254"/>
        <v>04519</v>
      </c>
    </row>
    <row r="3241" spans="1:14" x14ac:dyDescent="0.3">
      <c r="A3241" s="1">
        <v>4520</v>
      </c>
      <c r="B3241" s="7" t="s">
        <v>3371</v>
      </c>
      <c r="C3241" s="12">
        <v>7101</v>
      </c>
      <c r="D3241" s="7" t="s">
        <v>4905</v>
      </c>
      <c r="E3241" s="13" t="s">
        <v>1657</v>
      </c>
      <c r="F3241" t="str">
        <f t="shared" si="250"/>
        <v>Beechnut</v>
      </c>
      <c r="G3241" t="str">
        <f t="shared" si="251"/>
        <v>Beechnut7101Houston</v>
      </c>
      <c r="H3241" t="s">
        <v>34099</v>
      </c>
      <c r="I3241" t="s">
        <v>25524</v>
      </c>
      <c r="J3241" t="str">
        <f t="shared" si="252"/>
        <v>E:\PropInv\MF</v>
      </c>
      <c r="K3241" s="103" t="str">
        <f>HYPERLINK("E:\PropInv\MF\Houston\Beechnut_7101_University_Houston_04520","Beechnut_7101_University_Houston_04520" )</f>
        <v>Beechnut_7101_University_Houston_04520</v>
      </c>
      <c r="L3241" s="104" t="s">
        <v>22253</v>
      </c>
      <c r="M3241" s="103" t="str">
        <f t="shared" si="253"/>
        <v>http://oconnordata.com/mlink/modules/profile/index.cfm?action=profile&amp;prop_id=4520</v>
      </c>
      <c r="N3241" s="1" t="str">
        <f t="shared" si="254"/>
        <v>04520</v>
      </c>
    </row>
    <row r="3242" spans="1:14" x14ac:dyDescent="0.3">
      <c r="A3242" s="1">
        <v>4521</v>
      </c>
      <c r="B3242" s="7" t="s">
        <v>4279</v>
      </c>
      <c r="C3242" s="12">
        <v>2600</v>
      </c>
      <c r="D3242" s="7" t="s">
        <v>4906</v>
      </c>
      <c r="E3242" s="13" t="s">
        <v>1657</v>
      </c>
      <c r="F3242" t="str">
        <f t="shared" si="250"/>
        <v>Bay</v>
      </c>
      <c r="G3242" t="str">
        <f t="shared" si="251"/>
        <v>Bay2600Houston</v>
      </c>
      <c r="H3242" t="s">
        <v>34100</v>
      </c>
      <c r="I3242" t="s">
        <v>25525</v>
      </c>
      <c r="J3242" t="str">
        <f t="shared" si="252"/>
        <v>E:\PropInv\MF</v>
      </c>
      <c r="K3242" s="103" t="str">
        <f>HYPERLINK("E:\PropInv\MF\Houston\Bay Area Blvd_2600_University Forest_Houston_04521","Bay Area Blvd_2600_University Forest_Houston_04521" )</f>
        <v>Bay Area Blvd_2600_University Forest_Houston_04521</v>
      </c>
      <c r="L3242" s="104" t="s">
        <v>22253</v>
      </c>
      <c r="M3242" s="103" t="str">
        <f t="shared" si="253"/>
        <v>http://oconnordata.com/mlink/modules/profile/index.cfm?action=profile&amp;prop_id=4521</v>
      </c>
      <c r="N3242" s="1" t="str">
        <f t="shared" si="254"/>
        <v>04521</v>
      </c>
    </row>
    <row r="3243" spans="1:14" x14ac:dyDescent="0.3">
      <c r="A3243" s="1">
        <v>4522</v>
      </c>
      <c r="B3243" s="7" t="s">
        <v>3803</v>
      </c>
      <c r="C3243" s="12">
        <v>7900</v>
      </c>
      <c r="D3243" s="7" t="s">
        <v>4907</v>
      </c>
      <c r="E3243" s="13" t="s">
        <v>1657</v>
      </c>
      <c r="F3243" t="str">
        <f t="shared" si="250"/>
        <v>Cambridge</v>
      </c>
      <c r="G3243" t="str">
        <f t="shared" si="251"/>
        <v>Cambridge7900Houston</v>
      </c>
      <c r="H3243" t="s">
        <v>34101</v>
      </c>
      <c r="I3243" t="s">
        <v>25526</v>
      </c>
      <c r="J3243" t="str">
        <f t="shared" si="252"/>
        <v>E:\PropInv\MF</v>
      </c>
      <c r="K3243" s="103" t="str">
        <f>HYPERLINK("E:\PropInv\MF\Houston\Cambridge_7900_University Housing_Houston_04522","Cambridge_7900_University Housing_Houston_04522" )</f>
        <v>Cambridge_7900_University Housing_Houston_04522</v>
      </c>
      <c r="L3243" s="104" t="s">
        <v>22253</v>
      </c>
      <c r="M3243" s="103" t="str">
        <f t="shared" si="253"/>
        <v>http://oconnordata.com/mlink/modules/profile/index.cfm?action=profile&amp;prop_id=4522</v>
      </c>
      <c r="N3243" s="1" t="str">
        <f t="shared" si="254"/>
        <v>04522</v>
      </c>
    </row>
    <row r="3244" spans="1:14" x14ac:dyDescent="0.3">
      <c r="A3244" s="1">
        <v>4524</v>
      </c>
      <c r="B3244" s="7" t="s">
        <v>4908</v>
      </c>
      <c r="C3244" s="12">
        <v>7500</v>
      </c>
      <c r="D3244" s="7" t="s">
        <v>4909</v>
      </c>
      <c r="E3244" s="13" t="s">
        <v>4569</v>
      </c>
      <c r="F3244" t="str">
        <f t="shared" si="250"/>
        <v>Emmett</v>
      </c>
      <c r="G3244" t="str">
        <f t="shared" si="251"/>
        <v>Emmett7500Texas City</v>
      </c>
      <c r="H3244" t="s">
        <v>34102</v>
      </c>
      <c r="I3244" t="s">
        <v>25527</v>
      </c>
      <c r="J3244" t="str">
        <f t="shared" si="252"/>
        <v>E:\PropInv\MF</v>
      </c>
      <c r="K3244" s="103" t="str">
        <f>HYPERLINK("E:\PropInv\MF\Texas City\Emmett F Lowery Expwy_7500_The Retreat at Texas City_Texas City_04524","Emmett F Lowery Expwy_7500_The Retreat at Texas City_Texas City_04524" )</f>
        <v>Emmett F Lowery Expwy_7500_The Retreat at Texas City_Texas City_04524</v>
      </c>
      <c r="L3244" s="104" t="s">
        <v>22253</v>
      </c>
      <c r="M3244" s="103" t="str">
        <f t="shared" si="253"/>
        <v>http://oconnordata.com/mlink/modules/profile/index.cfm?action=profile&amp;prop_id=4524</v>
      </c>
      <c r="N3244" s="1" t="str">
        <f t="shared" si="254"/>
        <v>04524</v>
      </c>
    </row>
    <row r="3245" spans="1:14" x14ac:dyDescent="0.3">
      <c r="A3245" s="1">
        <v>4526</v>
      </c>
      <c r="B3245" s="7" t="s">
        <v>3116</v>
      </c>
      <c r="C3245" s="12">
        <v>2305</v>
      </c>
      <c r="D3245" s="7" t="s">
        <v>4910</v>
      </c>
      <c r="E3245" s="13" t="s">
        <v>4559</v>
      </c>
      <c r="F3245" t="str">
        <f t="shared" si="250"/>
        <v>Caroline</v>
      </c>
      <c r="G3245" t="str">
        <f t="shared" si="251"/>
        <v>Caroline2305Dickinson</v>
      </c>
      <c r="H3245" t="s">
        <v>34103</v>
      </c>
      <c r="I3245" t="s">
        <v>25528</v>
      </c>
      <c r="J3245" t="str">
        <f t="shared" si="252"/>
        <v>E:\PropInv\MF</v>
      </c>
      <c r="K3245" s="103" t="str">
        <f>HYPERLINK("E:\PropInv\MF\Dickinson\Caroline_2305_Green River TH_Dickinson_04526","Caroline_2305_Green River TH_Dickinson_04526" )</f>
        <v>Caroline_2305_Green River TH_Dickinson_04526</v>
      </c>
      <c r="L3245" s="104" t="s">
        <v>22253</v>
      </c>
      <c r="M3245" s="103" t="str">
        <f t="shared" si="253"/>
        <v>http://oconnordata.com/mlink/modules/profile/index.cfm?action=profile&amp;prop_id=4526</v>
      </c>
      <c r="N3245" s="1" t="str">
        <f t="shared" si="254"/>
        <v>04526</v>
      </c>
    </row>
    <row r="3246" spans="1:14" x14ac:dyDescent="0.3">
      <c r="A3246" s="1">
        <v>4527</v>
      </c>
      <c r="B3246" s="7" t="s">
        <v>4911</v>
      </c>
      <c r="C3246" s="12">
        <v>811</v>
      </c>
      <c r="D3246" s="7" t="s">
        <v>4912</v>
      </c>
      <c r="E3246" s="13" t="s">
        <v>4462</v>
      </c>
      <c r="F3246" t="str">
        <f t="shared" si="250"/>
        <v>Cloyd</v>
      </c>
      <c r="G3246" t="str">
        <f t="shared" si="251"/>
        <v>Cloyd811Magnolia</v>
      </c>
      <c r="H3246" t="s">
        <v>34104</v>
      </c>
      <c r="I3246" t="s">
        <v>25529</v>
      </c>
      <c r="J3246" t="str">
        <f t="shared" si="252"/>
        <v>E:\PropInv\MF</v>
      </c>
      <c r="K3246" s="103" t="str">
        <f>HYPERLINK("E:\PropInv\MF\Magnolia\Cloyd Dr_811_The Park at Walkers Landing_Magnolia_04527","Cloyd Dr_811_The Park at Walkers Landing_Magnolia_04527" )</f>
        <v>Cloyd Dr_811_The Park at Walkers Landing_Magnolia_04527</v>
      </c>
      <c r="L3246" s="104" t="s">
        <v>22253</v>
      </c>
      <c r="M3246" s="103" t="str">
        <f t="shared" si="253"/>
        <v>http://oconnordata.com/mlink/modules/profile/index.cfm?action=profile&amp;prop_id=4527</v>
      </c>
      <c r="N3246" s="1" t="str">
        <f t="shared" si="254"/>
        <v>04527</v>
      </c>
    </row>
    <row r="3247" spans="1:14" x14ac:dyDescent="0.3">
      <c r="A3247" s="1">
        <v>4528</v>
      </c>
      <c r="B3247" s="7" t="s">
        <v>4913</v>
      </c>
      <c r="C3247" s="12">
        <v>18823</v>
      </c>
      <c r="D3247" s="7" t="s">
        <v>4914</v>
      </c>
      <c r="E3247" s="13" t="s">
        <v>4462</v>
      </c>
      <c r="F3247" t="str">
        <f t="shared" si="250"/>
        <v>Grand</v>
      </c>
      <c r="G3247" t="str">
        <f t="shared" si="251"/>
        <v>Grand18823Magnolia</v>
      </c>
      <c r="H3247" t="s">
        <v>34105</v>
      </c>
      <c r="I3247" t="s">
        <v>25530</v>
      </c>
      <c r="J3247" t="str">
        <f t="shared" si="252"/>
        <v>E:\PropInv\MF</v>
      </c>
      <c r="K3247" s="103" t="str">
        <f>HYPERLINK("E:\PropInv\MF\Magnolia\Grand Oaks Blvd_18823_Grand Oaks Rental Homes_Magnolia_04528","Grand Oaks Blvd_18823_Grand Oaks Rental Homes_Magnolia_04528" )</f>
        <v>Grand Oaks Blvd_18823_Grand Oaks Rental Homes_Magnolia_04528</v>
      </c>
      <c r="L3247" s="104" t="s">
        <v>22253</v>
      </c>
      <c r="M3247" s="103" t="str">
        <f t="shared" si="253"/>
        <v>http://oconnordata.com/mlink/modules/profile/index.cfm?action=profile&amp;prop_id=4528</v>
      </c>
      <c r="N3247" s="1" t="str">
        <f t="shared" si="254"/>
        <v>04528</v>
      </c>
    </row>
    <row r="3248" spans="1:14" x14ac:dyDescent="0.3">
      <c r="A3248" s="1">
        <v>4530</v>
      </c>
      <c r="B3248" s="7" t="s">
        <v>4292</v>
      </c>
      <c r="C3248" s="12">
        <v>265</v>
      </c>
      <c r="D3248" s="7" t="s">
        <v>4915</v>
      </c>
      <c r="E3248" s="13" t="s">
        <v>4249</v>
      </c>
      <c r="F3248" t="str">
        <f t="shared" si="250"/>
        <v>El</v>
      </c>
      <c r="G3248" t="str">
        <f t="shared" si="251"/>
        <v>El265Webster</v>
      </c>
      <c r="H3248" t="s">
        <v>34106</v>
      </c>
      <c r="I3248" t="s">
        <v>25531</v>
      </c>
      <c r="J3248" t="str">
        <f t="shared" si="252"/>
        <v>E:\PropInv\MF</v>
      </c>
      <c r="K3248" s="103" t="str">
        <f>HYPERLINK("E:\PropInv\MF\Webster\El Dorado Blvd_265_The Lodge on El Dorado_Webster_04530","El Dorado Blvd_265_The Lodge on El Dorado_Webster_04530" )</f>
        <v>El Dorado Blvd_265_The Lodge on El Dorado_Webster_04530</v>
      </c>
      <c r="L3248" s="104" t="s">
        <v>22253</v>
      </c>
      <c r="M3248" s="103" t="str">
        <f t="shared" si="253"/>
        <v>http://oconnordata.com/mlink/modules/profile/index.cfm?action=profile&amp;prop_id=4530</v>
      </c>
      <c r="N3248" s="1" t="str">
        <f t="shared" si="254"/>
        <v>04530</v>
      </c>
    </row>
    <row r="3249" spans="1:14" x14ac:dyDescent="0.3">
      <c r="A3249" s="1">
        <v>4532</v>
      </c>
      <c r="B3249" s="7" t="s">
        <v>2305</v>
      </c>
      <c r="C3249" s="12">
        <v>9239</v>
      </c>
      <c r="D3249" s="7" t="s">
        <v>4916</v>
      </c>
      <c r="E3249" s="13" t="s">
        <v>1657</v>
      </c>
      <c r="F3249" t="str">
        <f t="shared" si="250"/>
        <v>Long</v>
      </c>
      <c r="G3249" t="str">
        <f t="shared" si="251"/>
        <v>Long9239Houston</v>
      </c>
      <c r="H3249" t="s">
        <v>34107</v>
      </c>
      <c r="I3249" t="s">
        <v>25532</v>
      </c>
      <c r="J3249" t="str">
        <f t="shared" si="252"/>
        <v>E:\PropInv\MF</v>
      </c>
      <c r="K3249" s="103" t="str">
        <f>HYPERLINK("E:\PropInv\MF\Houston\Long Point_9239_The Pines at Long Point_Houston_04532","Long Point_9239_The Pines at Long Point_Houston_04532" )</f>
        <v>Long Point_9239_The Pines at Long Point_Houston_04532</v>
      </c>
      <c r="L3249" s="104" t="s">
        <v>22253</v>
      </c>
      <c r="M3249" s="103" t="str">
        <f t="shared" si="253"/>
        <v>http://oconnordata.com/mlink/modules/profile/index.cfm?action=profile&amp;prop_id=4532</v>
      </c>
      <c r="N3249" s="1" t="str">
        <f t="shared" si="254"/>
        <v>04532</v>
      </c>
    </row>
    <row r="3250" spans="1:14" x14ac:dyDescent="0.3">
      <c r="A3250" s="1">
        <v>4535</v>
      </c>
      <c r="B3250" s="7" t="s">
        <v>2952</v>
      </c>
      <c r="C3250" s="12">
        <v>2380</v>
      </c>
      <c r="D3250" s="7" t="s">
        <v>4917</v>
      </c>
      <c r="E3250" s="13" t="s">
        <v>1657</v>
      </c>
      <c r="F3250" t="str">
        <f t="shared" si="250"/>
        <v>Bering</v>
      </c>
      <c r="G3250" t="str">
        <f t="shared" si="251"/>
        <v>Bering2380Houston</v>
      </c>
      <c r="H3250" t="s">
        <v>34108</v>
      </c>
      <c r="I3250" t="s">
        <v>25533</v>
      </c>
      <c r="J3250" t="str">
        <f t="shared" si="252"/>
        <v>E:\PropInv\MF</v>
      </c>
      <c r="K3250" s="103" t="str">
        <f>HYPERLINK("E:\PropInv\MF\Houston\Bering_2380_Miramar TH_Houston_04535","Bering_2380_Miramar TH_Houston_04535" )</f>
        <v>Bering_2380_Miramar TH_Houston_04535</v>
      </c>
      <c r="L3250" s="104" t="s">
        <v>22253</v>
      </c>
      <c r="M3250" s="103" t="str">
        <f t="shared" si="253"/>
        <v>http://oconnordata.com/mlink/modules/profile/index.cfm?action=profile&amp;prop_id=4535</v>
      </c>
      <c r="N3250" s="1" t="str">
        <f t="shared" si="254"/>
        <v>04535</v>
      </c>
    </row>
    <row r="3251" spans="1:14" x14ac:dyDescent="0.3">
      <c r="A3251" s="1">
        <v>4542</v>
      </c>
      <c r="B3251" s="7" t="s">
        <v>2592</v>
      </c>
      <c r="C3251" s="12">
        <v>333</v>
      </c>
      <c r="D3251" s="7" t="s">
        <v>4918</v>
      </c>
      <c r="E3251" s="13" t="s">
        <v>1657</v>
      </c>
      <c r="F3251" t="str">
        <f t="shared" si="250"/>
        <v>Normandy</v>
      </c>
      <c r="G3251" t="str">
        <f t="shared" si="251"/>
        <v>Normandy333Houston</v>
      </c>
      <c r="H3251" t="s">
        <v>34109</v>
      </c>
      <c r="I3251" t="s">
        <v>25534</v>
      </c>
      <c r="J3251" t="str">
        <f t="shared" si="252"/>
        <v>E:\PropInv\MF</v>
      </c>
      <c r="K3251" s="103" t="str">
        <f>HYPERLINK("E:\PropInv\MF\Houston\Normandy_333_Chateaux Normandie_Houston_04542","Normandy_333_Chateaux Normandie_Houston_04542" )</f>
        <v>Normandy_333_Chateaux Normandie_Houston_04542</v>
      </c>
      <c r="L3251" s="104" t="s">
        <v>22253</v>
      </c>
      <c r="M3251" s="103" t="str">
        <f t="shared" si="253"/>
        <v>http://oconnordata.com/mlink/modules/profile/index.cfm?action=profile&amp;prop_id=4542</v>
      </c>
      <c r="N3251" s="1" t="str">
        <f t="shared" si="254"/>
        <v>04542</v>
      </c>
    </row>
    <row r="3252" spans="1:14" x14ac:dyDescent="0.3">
      <c r="A3252" s="1">
        <v>4543</v>
      </c>
      <c r="B3252" s="7" t="s">
        <v>4919</v>
      </c>
      <c r="C3252" s="12">
        <v>10111</v>
      </c>
      <c r="D3252" s="7" t="s">
        <v>4920</v>
      </c>
      <c r="E3252" s="13" t="s">
        <v>1657</v>
      </c>
      <c r="F3252" t="str">
        <f t="shared" si="250"/>
        <v>Charterwood</v>
      </c>
      <c r="G3252" t="str">
        <f t="shared" si="251"/>
        <v>Charterwood10111Houston</v>
      </c>
      <c r="H3252" t="s">
        <v>34110</v>
      </c>
      <c r="I3252" t="s">
        <v>25535</v>
      </c>
      <c r="J3252" t="str">
        <f t="shared" si="252"/>
        <v>E:\PropInv\MF</v>
      </c>
      <c r="K3252" s="103" t="str">
        <f>HYPERLINK("E:\PropInv\MF\Houston\Charterwood Dr_10111_Tivoli Apts_Houston_04543","Charterwood Dr_10111_Tivoli Apts_Houston_04543" )</f>
        <v>Charterwood Dr_10111_Tivoli Apts_Houston_04543</v>
      </c>
      <c r="L3252" s="104" t="s">
        <v>22253</v>
      </c>
      <c r="M3252" s="103" t="str">
        <f t="shared" si="253"/>
        <v>http://oconnordata.com/mlink/modules/profile/index.cfm?action=profile&amp;prop_id=4543</v>
      </c>
      <c r="N3252" s="1" t="str">
        <f t="shared" si="254"/>
        <v>04543</v>
      </c>
    </row>
    <row r="3253" spans="1:14" x14ac:dyDescent="0.3">
      <c r="A3253" s="1">
        <v>4544</v>
      </c>
      <c r="B3253" s="7" t="s">
        <v>4921</v>
      </c>
      <c r="C3253" s="12">
        <v>1111</v>
      </c>
      <c r="D3253" s="7" t="s">
        <v>2497</v>
      </c>
      <c r="E3253" s="13" t="s">
        <v>1657</v>
      </c>
      <c r="F3253" t="str">
        <f t="shared" si="250"/>
        <v>Post</v>
      </c>
      <c r="G3253" t="str">
        <f t="shared" si="251"/>
        <v>Post1111Houston</v>
      </c>
      <c r="H3253" t="s">
        <v>34111</v>
      </c>
      <c r="I3253" t="s">
        <v>25536</v>
      </c>
      <c r="J3253" t="str">
        <f t="shared" si="252"/>
        <v>E:\PropInv\MF</v>
      </c>
      <c r="K3253" s="103" t="str">
        <f>HYPERLINK("E:\PropInv\MF\Houston\Post Oak Blvd_1111_NF_Houston_04544","Post Oak Blvd_1111_NF_Houston_04544" )</f>
        <v>Post Oak Blvd_1111_NF_Houston_04544</v>
      </c>
      <c r="L3253" s="104" t="s">
        <v>22253</v>
      </c>
      <c r="M3253" s="103" t="str">
        <f t="shared" si="253"/>
        <v>http://oconnordata.com/mlink/modules/profile/index.cfm?action=profile&amp;prop_id=4544</v>
      </c>
      <c r="N3253" s="1" t="str">
        <f t="shared" si="254"/>
        <v>04544</v>
      </c>
    </row>
    <row r="3254" spans="1:14" x14ac:dyDescent="0.3">
      <c r="A3254" s="1">
        <v>4548</v>
      </c>
      <c r="B3254" s="7" t="s">
        <v>4922</v>
      </c>
      <c r="C3254" s="12">
        <v>529</v>
      </c>
      <c r="D3254" s="7" t="s">
        <v>4923</v>
      </c>
      <c r="E3254" s="13" t="s">
        <v>4924</v>
      </c>
      <c r="F3254" t="str">
        <f t="shared" si="250"/>
        <v>Village</v>
      </c>
      <c r="G3254" t="str">
        <f t="shared" si="251"/>
        <v>Village529Brookshire</v>
      </c>
      <c r="H3254" t="s">
        <v>34112</v>
      </c>
      <c r="I3254" t="s">
        <v>25537</v>
      </c>
      <c r="J3254" t="str">
        <f t="shared" si="252"/>
        <v>E:\PropInv\MF</v>
      </c>
      <c r="K3254" s="103" t="str">
        <f>HYPERLINK("E:\PropInv\MF\Brookshire\Village Way_529_Brookshire Village_Brookshire_04548","Village Way_529_Brookshire Village_Brookshire_04548" )</f>
        <v>Village Way_529_Brookshire Village_Brookshire_04548</v>
      </c>
      <c r="L3254" s="104" t="s">
        <v>22253</v>
      </c>
      <c r="M3254" s="103" t="str">
        <f t="shared" si="253"/>
        <v>http://oconnordata.com/mlink/modules/profile/index.cfm?action=profile&amp;prop_id=4548</v>
      </c>
      <c r="N3254" s="1" t="str">
        <f t="shared" si="254"/>
        <v>04548</v>
      </c>
    </row>
    <row r="3255" spans="1:14" x14ac:dyDescent="0.3">
      <c r="A3255" s="1">
        <v>4549</v>
      </c>
      <c r="B3255" s="7" t="s">
        <v>4186</v>
      </c>
      <c r="C3255" s="12">
        <v>4542</v>
      </c>
      <c r="D3255" s="7" t="s">
        <v>4925</v>
      </c>
      <c r="E3255" s="13" t="s">
        <v>3924</v>
      </c>
      <c r="F3255" t="str">
        <f t="shared" si="250"/>
        <v>Vista</v>
      </c>
      <c r="G3255" t="str">
        <f t="shared" si="251"/>
        <v>Vista4542Pasadena</v>
      </c>
      <c r="H3255" t="s">
        <v>34113</v>
      </c>
      <c r="I3255" t="s">
        <v>25538</v>
      </c>
      <c r="J3255" t="str">
        <f t="shared" si="252"/>
        <v>E:\PropInv\MF</v>
      </c>
      <c r="K3255" s="103" t="str">
        <f>HYPERLINK("E:\PropInv\MF\Pasadena\Vista_4542_Buena Vista TH_Pasadena_04549","Vista_4542_Buena Vista TH_Pasadena_04549" )</f>
        <v>Vista_4542_Buena Vista TH_Pasadena_04549</v>
      </c>
      <c r="L3255" s="104" t="s">
        <v>22253</v>
      </c>
      <c r="M3255" s="103" t="str">
        <f t="shared" si="253"/>
        <v>http://oconnordata.com/mlink/modules/profile/index.cfm?action=profile&amp;prop_id=4549</v>
      </c>
      <c r="N3255" s="1" t="str">
        <f t="shared" si="254"/>
        <v>04549</v>
      </c>
    </row>
    <row r="3256" spans="1:14" x14ac:dyDescent="0.3">
      <c r="A3256" s="1">
        <v>4551</v>
      </c>
      <c r="B3256" s="7" t="s">
        <v>4510</v>
      </c>
      <c r="C3256" s="12">
        <v>4719</v>
      </c>
      <c r="D3256" s="7" t="s">
        <v>4926</v>
      </c>
      <c r="E3256" s="13" t="s">
        <v>4428</v>
      </c>
      <c r="F3256" t="str">
        <f t="shared" si="250"/>
        <v>Reading</v>
      </c>
      <c r="G3256" t="str">
        <f t="shared" si="251"/>
        <v>Reading4719Rosenberg</v>
      </c>
      <c r="H3256" t="s">
        <v>34114</v>
      </c>
      <c r="I3256" t="s">
        <v>25539</v>
      </c>
      <c r="J3256" t="str">
        <f t="shared" si="252"/>
        <v>E:\PropInv\MF</v>
      </c>
      <c r="K3256" s="103" t="str">
        <f>HYPERLINK("E:\PropInv\MF\Rosenberg\Reading Rd_4719_Briarstone_Rosenberg_04551","Reading Rd_4719_Briarstone_Rosenberg_04551" )</f>
        <v>Reading Rd_4719_Briarstone_Rosenberg_04551</v>
      </c>
      <c r="L3256" s="104" t="s">
        <v>22253</v>
      </c>
      <c r="M3256" s="103" t="str">
        <f t="shared" si="253"/>
        <v>http://oconnordata.com/mlink/modules/profile/index.cfm?action=profile&amp;prop_id=4551</v>
      </c>
      <c r="N3256" s="1" t="str">
        <f t="shared" si="254"/>
        <v>04551</v>
      </c>
    </row>
    <row r="3257" spans="1:14" x14ac:dyDescent="0.3">
      <c r="A3257" s="1">
        <v>4553</v>
      </c>
      <c r="B3257" s="7" t="s">
        <v>4927</v>
      </c>
      <c r="C3257" s="12">
        <v>2812</v>
      </c>
      <c r="D3257" s="7" t="s">
        <v>4928</v>
      </c>
      <c r="E3257" s="13" t="s">
        <v>1671</v>
      </c>
      <c r="F3257" t="str">
        <f t="shared" si="250"/>
        <v>C</v>
      </c>
      <c r="G3257" t="str">
        <f t="shared" si="251"/>
        <v>C2812Spring</v>
      </c>
      <c r="H3257" t="s">
        <v>34115</v>
      </c>
      <c r="I3257" t="s">
        <v>25540</v>
      </c>
      <c r="J3257" t="str">
        <f t="shared" si="252"/>
        <v>E:\PropInv\MF</v>
      </c>
      <c r="K3257" s="103" t="str">
        <f>HYPERLINK("E:\PropInv\MF\Spring\C Trailing Vine Dr_2812_Trailing Vine Place_Spring_04553","C Trailing Vine Dr_2812_Trailing Vine Place_Spring_04553" )</f>
        <v>C Trailing Vine Dr_2812_Trailing Vine Place_Spring_04553</v>
      </c>
      <c r="L3257" s="104" t="s">
        <v>22253</v>
      </c>
      <c r="M3257" s="103" t="str">
        <f t="shared" si="253"/>
        <v>http://oconnordata.com/mlink/modules/profile/index.cfm?action=profile&amp;prop_id=4553</v>
      </c>
      <c r="N3257" s="1" t="str">
        <f t="shared" si="254"/>
        <v>04553</v>
      </c>
    </row>
    <row r="3258" spans="1:14" x14ac:dyDescent="0.3">
      <c r="A3258" s="1">
        <v>4555</v>
      </c>
      <c r="B3258" s="7" t="s">
        <v>4929</v>
      </c>
      <c r="C3258" s="12">
        <v>7440</v>
      </c>
      <c r="D3258" s="7" t="s">
        <v>4930</v>
      </c>
      <c r="E3258" s="13" t="s">
        <v>4628</v>
      </c>
      <c r="F3258" t="str">
        <f t="shared" si="250"/>
        <v>6</v>
      </c>
      <c r="G3258" t="str">
        <f t="shared" si="251"/>
        <v>67440Hitchcock</v>
      </c>
      <c r="H3258" t="s">
        <v>34116</v>
      </c>
      <c r="I3258" t="s">
        <v>25541</v>
      </c>
      <c r="J3258" t="str">
        <f t="shared" si="252"/>
        <v>E:\PropInv\MF</v>
      </c>
      <c r="K3258" s="103" t="str">
        <f>HYPERLINK("E:\PropInv\MF\Hitchcock\6 Hwy_7440_Oaks of Hitchcock_Hitchcock_04555","6 Hwy_7440_Oaks of Hitchcock_Hitchcock_04555" )</f>
        <v>6 Hwy_7440_Oaks of Hitchcock_Hitchcock_04555</v>
      </c>
      <c r="L3258" s="104" t="s">
        <v>22253</v>
      </c>
      <c r="M3258" s="103" t="str">
        <f t="shared" si="253"/>
        <v>http://oconnordata.com/mlink/modules/profile/index.cfm?action=profile&amp;prop_id=4555</v>
      </c>
      <c r="N3258" s="1" t="str">
        <f t="shared" si="254"/>
        <v>04555</v>
      </c>
    </row>
    <row r="3259" spans="1:14" x14ac:dyDescent="0.3">
      <c r="A3259" s="1">
        <v>4556</v>
      </c>
      <c r="B3259" s="7" t="s">
        <v>4931</v>
      </c>
      <c r="C3259" s="12">
        <v>127</v>
      </c>
      <c r="D3259" s="19" t="s">
        <v>4932</v>
      </c>
      <c r="E3259" s="13" t="s">
        <v>4442</v>
      </c>
      <c r="F3259" t="str">
        <f t="shared" si="250"/>
        <v>Plantation</v>
      </c>
      <c r="G3259" t="str">
        <f t="shared" si="251"/>
        <v>Plantation127Lake Jackson</v>
      </c>
      <c r="H3259" t="s">
        <v>34117</v>
      </c>
      <c r="I3259" t="s">
        <v>25542</v>
      </c>
      <c r="J3259" t="str">
        <f t="shared" si="252"/>
        <v>E:\PropInv\MF</v>
      </c>
      <c r="K3259" s="103" t="str">
        <f>HYPERLINK("E:\PropInv\MF\Lake Jackson\Plantation W_127_Oaks of Flagridge_Lake Jackson_04556","Plantation W_127_Oaks of Flagridge_Lake Jackson_04556" )</f>
        <v>Plantation W_127_Oaks of Flagridge_Lake Jackson_04556</v>
      </c>
      <c r="L3259" s="104" t="s">
        <v>22253</v>
      </c>
      <c r="M3259" s="103" t="str">
        <f t="shared" si="253"/>
        <v>http://oconnordata.com/mlink/modules/profile/index.cfm?action=profile&amp;prop_id=4556</v>
      </c>
      <c r="N3259" s="1" t="str">
        <f t="shared" si="254"/>
        <v>04556</v>
      </c>
    </row>
    <row r="3260" spans="1:14" x14ac:dyDescent="0.3">
      <c r="A3260" s="1">
        <v>4559</v>
      </c>
      <c r="B3260" s="7" t="s">
        <v>4933</v>
      </c>
      <c r="C3260" s="12">
        <v>105</v>
      </c>
      <c r="D3260" s="7" t="s">
        <v>4934</v>
      </c>
      <c r="E3260" s="13" t="s">
        <v>4442</v>
      </c>
      <c r="F3260" t="str">
        <f t="shared" si="250"/>
        <v>Any</v>
      </c>
      <c r="G3260" t="str">
        <f t="shared" si="251"/>
        <v>Any105Lake Jackson</v>
      </c>
      <c r="H3260" t="s">
        <v>34118</v>
      </c>
      <c r="I3260" t="s">
        <v>25543</v>
      </c>
      <c r="J3260" t="str">
        <f t="shared" si="252"/>
        <v>E:\PropInv\MF</v>
      </c>
      <c r="K3260" s="103" t="str">
        <f>HYPERLINK("E:\PropInv\MF\Lake Jackson\Any Way St_105_Oyster Creek_Lake Jackson_04559","Any Way St_105_Oyster Creek_Lake Jackson_04559" )</f>
        <v>Any Way St_105_Oyster Creek_Lake Jackson_04559</v>
      </c>
      <c r="L3260" s="104" t="s">
        <v>22253</v>
      </c>
      <c r="M3260" s="103" t="str">
        <f t="shared" si="253"/>
        <v>http://oconnordata.com/mlink/modules/profile/index.cfm?action=profile&amp;prop_id=4559</v>
      </c>
      <c r="N3260" s="1" t="str">
        <f t="shared" si="254"/>
        <v>04559</v>
      </c>
    </row>
    <row r="3261" spans="1:14" x14ac:dyDescent="0.3">
      <c r="A3261" s="1">
        <v>4560</v>
      </c>
      <c r="B3261" s="7" t="s">
        <v>4935</v>
      </c>
      <c r="C3261" s="12">
        <v>1051</v>
      </c>
      <c r="D3261" s="7" t="s">
        <v>4936</v>
      </c>
      <c r="E3261" s="13" t="s">
        <v>4654</v>
      </c>
      <c r="F3261" t="str">
        <f t="shared" si="250"/>
        <v>1266</v>
      </c>
      <c r="G3261" t="str">
        <f t="shared" si="251"/>
        <v>12661051Kemah</v>
      </c>
      <c r="H3261" t="s">
        <v>34119</v>
      </c>
      <c r="I3261" t="s">
        <v>25544</v>
      </c>
      <c r="J3261" t="str">
        <f t="shared" si="252"/>
        <v>E:\PropInv\MF</v>
      </c>
      <c r="K3261" s="103" t="str">
        <f>HYPERLINK("E:\PropInv\MF\Kemah\1266 FM_1051_Lake Haven_Kemah_04560","1266 FM_1051_Lake Haven_Kemah_04560" )</f>
        <v>1266 FM_1051_Lake Haven_Kemah_04560</v>
      </c>
      <c r="L3261" s="104" t="s">
        <v>22253</v>
      </c>
      <c r="M3261" s="103" t="str">
        <f t="shared" si="253"/>
        <v>http://oconnordata.com/mlink/modules/profile/index.cfm?action=profile&amp;prop_id=4560</v>
      </c>
      <c r="N3261" s="1" t="str">
        <f t="shared" si="254"/>
        <v>04560</v>
      </c>
    </row>
    <row r="3262" spans="1:14" x14ac:dyDescent="0.3">
      <c r="A3262" s="1">
        <v>4561</v>
      </c>
      <c r="B3262" s="7" t="s">
        <v>4937</v>
      </c>
      <c r="C3262" s="12">
        <v>440</v>
      </c>
      <c r="D3262" s="7" t="s">
        <v>4938</v>
      </c>
      <c r="E3262" s="13" t="s">
        <v>4442</v>
      </c>
      <c r="F3262" t="str">
        <f t="shared" si="250"/>
        <v>332</v>
      </c>
      <c r="G3262" t="str">
        <f t="shared" si="251"/>
        <v>332440Lake Jackson</v>
      </c>
      <c r="H3262" t="s">
        <v>34120</v>
      </c>
      <c r="I3262" t="s">
        <v>25545</v>
      </c>
      <c r="J3262" t="str">
        <f t="shared" si="252"/>
        <v>E:\PropInv\MF</v>
      </c>
      <c r="K3262" s="103" t="str">
        <f>HYPERLINK("E:\PropInv\MF\Lake Jackson\332 Hwy_440_The Palms Of Lake Jackson_Lake Jackson_04561","332 Hwy_440_The Palms Of Lake Jackson_Lake Jackson_04561" )</f>
        <v>332 Hwy_440_The Palms Of Lake Jackson_Lake Jackson_04561</v>
      </c>
      <c r="L3262" s="104" t="s">
        <v>22253</v>
      </c>
      <c r="M3262" s="103" t="str">
        <f t="shared" si="253"/>
        <v>http://oconnordata.com/mlink/modules/profile/index.cfm?action=profile&amp;prop_id=4561</v>
      </c>
      <c r="N3262" s="1" t="str">
        <f t="shared" si="254"/>
        <v>04561</v>
      </c>
    </row>
    <row r="3263" spans="1:14" x14ac:dyDescent="0.3">
      <c r="A3263" s="1">
        <v>4563</v>
      </c>
      <c r="B3263" s="7" t="s">
        <v>4566</v>
      </c>
      <c r="C3263" s="12">
        <v>3102</v>
      </c>
      <c r="D3263" s="7" t="s">
        <v>4939</v>
      </c>
      <c r="E3263" s="13" t="s">
        <v>4565</v>
      </c>
      <c r="F3263" t="str">
        <f t="shared" si="250"/>
        <v>Cove</v>
      </c>
      <c r="G3263" t="str">
        <f t="shared" si="251"/>
        <v>Cove3102Galveston</v>
      </c>
      <c r="H3263" t="s">
        <v>34121</v>
      </c>
      <c r="I3263" t="s">
        <v>25546</v>
      </c>
      <c r="J3263" t="str">
        <f t="shared" si="252"/>
        <v>E:\PropInv\MF</v>
      </c>
      <c r="K3263" s="103" t="str">
        <f>HYPERLINK("E:\PropInv\MF\Galveston\Cove View Blvd_3102_Lakeside at Campeche_Galveston_04563","Cove View Blvd_3102_Lakeside at Campeche_Galveston_04563" )</f>
        <v>Cove View Blvd_3102_Lakeside at Campeche_Galveston_04563</v>
      </c>
      <c r="L3263" s="104" t="s">
        <v>22253</v>
      </c>
      <c r="M3263" s="103" t="str">
        <f t="shared" si="253"/>
        <v>http://oconnordata.com/mlink/modules/profile/index.cfm?action=profile&amp;prop_id=4563</v>
      </c>
      <c r="N3263" s="1" t="str">
        <f t="shared" si="254"/>
        <v>04563</v>
      </c>
    </row>
    <row r="3264" spans="1:14" x14ac:dyDescent="0.3">
      <c r="A3264" s="1">
        <v>4564</v>
      </c>
      <c r="B3264" s="7" t="s">
        <v>2652</v>
      </c>
      <c r="C3264" s="12">
        <v>7100</v>
      </c>
      <c r="D3264" s="7" t="s">
        <v>4940</v>
      </c>
      <c r="E3264" s="13" t="s">
        <v>1657</v>
      </c>
      <c r="F3264" t="str">
        <f t="shared" si="250"/>
        <v>Eldridge</v>
      </c>
      <c r="G3264" t="str">
        <f t="shared" si="251"/>
        <v>Eldridge7100Houston</v>
      </c>
      <c r="H3264" t="s">
        <v>34122</v>
      </c>
      <c r="I3264" t="s">
        <v>25547</v>
      </c>
      <c r="J3264" t="str">
        <f t="shared" si="252"/>
        <v>E:\PropInv\MF</v>
      </c>
      <c r="K3264" s="103" t="str">
        <f>HYPERLINK("E:\PropInv\MF\Houston\Eldridge_7100_Georgian TH_Houston_04564","Eldridge_7100_Georgian TH_Houston_04564" )</f>
        <v>Eldridge_7100_Georgian TH_Houston_04564</v>
      </c>
      <c r="L3264" s="104" t="s">
        <v>22253</v>
      </c>
      <c r="M3264" s="103" t="str">
        <f t="shared" si="253"/>
        <v>http://oconnordata.com/mlink/modules/profile/index.cfm?action=profile&amp;prop_id=4564</v>
      </c>
      <c r="N3264" s="1" t="str">
        <f t="shared" si="254"/>
        <v>04564</v>
      </c>
    </row>
    <row r="3265" spans="1:14" x14ac:dyDescent="0.3">
      <c r="A3265" s="1">
        <v>4570</v>
      </c>
      <c r="B3265" s="7" t="s">
        <v>4941</v>
      </c>
      <c r="C3265" s="12">
        <v>110</v>
      </c>
      <c r="D3265" s="7" t="s">
        <v>4942</v>
      </c>
      <c r="E3265" s="13" t="s">
        <v>4297</v>
      </c>
      <c r="F3265" t="str">
        <f t="shared" si="250"/>
        <v>Dunbar</v>
      </c>
      <c r="G3265" t="str">
        <f t="shared" si="251"/>
        <v>Dunbar110Friendswood</v>
      </c>
      <c r="H3265" t="s">
        <v>34123</v>
      </c>
      <c r="I3265" t="s">
        <v>25548</v>
      </c>
      <c r="J3265" t="str">
        <f t="shared" si="252"/>
        <v>E:\PropInv\MF</v>
      </c>
      <c r="K3265" s="103" t="str">
        <f>HYPERLINK("E:\PropInv\MF\Friendswood\Dunbar Estates_110_Bedford_Friendswood_04570","Dunbar Estates_110_Bedford_Friendswood_04570" )</f>
        <v>Dunbar Estates_110_Bedford_Friendswood_04570</v>
      </c>
      <c r="L3265" s="104" t="s">
        <v>22253</v>
      </c>
      <c r="M3265" s="103" t="str">
        <f t="shared" si="253"/>
        <v>http://oconnordata.com/mlink/modules/profile/index.cfm?action=profile&amp;prop_id=4570</v>
      </c>
      <c r="N3265" s="1" t="str">
        <f t="shared" si="254"/>
        <v>04570</v>
      </c>
    </row>
    <row r="3266" spans="1:14" x14ac:dyDescent="0.3">
      <c r="A3266" s="1">
        <v>4573</v>
      </c>
      <c r="B3266" s="7" t="s">
        <v>1223</v>
      </c>
      <c r="C3266" s="12">
        <v>811</v>
      </c>
      <c r="D3266" s="7" t="s">
        <v>4943</v>
      </c>
      <c r="E3266" s="13" t="s">
        <v>2609</v>
      </c>
      <c r="F3266" t="str">
        <f t="shared" ref="F3266:F3329" si="255">IFERROR(LEFT(B3266,FIND(" ",B3266)-1),B3266)</f>
        <v>Northwood</v>
      </c>
      <c r="G3266" t="str">
        <f t="shared" ref="G3266:G3329" si="256">F3266&amp;C3266&amp;E3266</f>
        <v>Northwood811Baytown</v>
      </c>
      <c r="H3266" t="s">
        <v>34124</v>
      </c>
      <c r="I3266" t="s">
        <v>25549</v>
      </c>
      <c r="J3266" t="str">
        <f t="shared" ref="J3266:J3329" si="257">IF(L3266="TX",Folder_Path,Folder_Path&amp;"\State_"&amp;L3266)</f>
        <v>E:\PropInv\MF</v>
      </c>
      <c r="K3266" s="103" t="str">
        <f>HYPERLINK("E:\PropInv\MF\Baytown\Northwood_811_Bay Pointe_Baytown_04573","Northwood_811_Bay Pointe_Baytown_04573" )</f>
        <v>Northwood_811_Bay Pointe_Baytown_04573</v>
      </c>
      <c r="L3266" s="104" t="s">
        <v>22253</v>
      </c>
      <c r="M3266" s="103" t="str">
        <f t="shared" ref="M3266:M3329" si="258">HYPERLINK("http://oconnordata.com/mlink/modules/profile/index.cfm?action=profile&amp;prop_id="&amp;A3266)</f>
        <v>http://oconnordata.com/mlink/modules/profile/index.cfm?action=profile&amp;prop_id=4573</v>
      </c>
      <c r="N3266" s="1" t="str">
        <f t="shared" ref="N3266:N3329" si="259">IF(LEN(A3266)=1,"0000"&amp;A3266,IF(LEN(A3266)=2,"000"&amp;A3266,IF(LEN(A3266)=3,"00"&amp;A3266,IF(LEN(A3266)=4,"0"&amp;A3266,IF(LEN(A3266)=5,IF(LEFT(A3266,1)="3",A3266+30000,A3266))))))</f>
        <v>04573</v>
      </c>
    </row>
    <row r="3267" spans="1:14" x14ac:dyDescent="0.3">
      <c r="A3267" s="1">
        <v>4574</v>
      </c>
      <c r="B3267" s="7" t="s">
        <v>4944</v>
      </c>
      <c r="C3267" s="12">
        <v>402</v>
      </c>
      <c r="D3267" s="7" t="s">
        <v>4945</v>
      </c>
      <c r="E3267" s="13" t="s">
        <v>2675</v>
      </c>
      <c r="F3267" t="str">
        <f t="shared" si="255"/>
        <v>11th</v>
      </c>
      <c r="G3267" t="str">
        <f t="shared" si="256"/>
        <v>11th402Richmond</v>
      </c>
      <c r="H3267" t="s">
        <v>34125</v>
      </c>
      <c r="I3267" t="s">
        <v>25550</v>
      </c>
      <c r="J3267" t="str">
        <f t="shared" si="257"/>
        <v>E:\PropInv\MF</v>
      </c>
      <c r="K3267" s="103" t="str">
        <f>HYPERLINK("E:\PropInv\MF\Richmond\11th St S_402_Richmond House_Richmond_04574","11th St S_402_Richmond House_Richmond_04574" )</f>
        <v>11th St S_402_Richmond House_Richmond_04574</v>
      </c>
      <c r="L3267" s="104" t="s">
        <v>22253</v>
      </c>
      <c r="M3267" s="103" t="str">
        <f t="shared" si="258"/>
        <v>http://oconnordata.com/mlink/modules/profile/index.cfm?action=profile&amp;prop_id=4574</v>
      </c>
      <c r="N3267" s="1" t="str">
        <f t="shared" si="259"/>
        <v>04574</v>
      </c>
    </row>
    <row r="3268" spans="1:14" x14ac:dyDescent="0.3">
      <c r="A3268" s="1">
        <v>4576</v>
      </c>
      <c r="B3268" s="7" t="s">
        <v>2800</v>
      </c>
      <c r="C3268" s="12">
        <v>12600</v>
      </c>
      <c r="D3268" s="7" t="s">
        <v>4946</v>
      </c>
      <c r="E3268" s="13" t="s">
        <v>1657</v>
      </c>
      <c r="F3268" t="str">
        <f t="shared" si="255"/>
        <v>Gessner</v>
      </c>
      <c r="G3268" t="str">
        <f t="shared" si="256"/>
        <v>Gessner12600Houston</v>
      </c>
      <c r="H3268" t="s">
        <v>34126</v>
      </c>
      <c r="I3268" t="s">
        <v>25551</v>
      </c>
      <c r="J3268" t="str">
        <f t="shared" si="257"/>
        <v>E:\PropInv\MF</v>
      </c>
      <c r="K3268" s="103" t="str">
        <f>HYPERLINK("E:\PropInv\MF\Houston\Gessner S_12600_Victoria Condos_Houston_04576","Gessner S_12600_Victoria Condos_Houston_04576" )</f>
        <v>Gessner S_12600_Victoria Condos_Houston_04576</v>
      </c>
      <c r="L3268" s="104" t="s">
        <v>22253</v>
      </c>
      <c r="M3268" s="103" t="str">
        <f t="shared" si="258"/>
        <v>http://oconnordata.com/mlink/modules/profile/index.cfm?action=profile&amp;prop_id=4576</v>
      </c>
      <c r="N3268" s="1" t="str">
        <f t="shared" si="259"/>
        <v>04576</v>
      </c>
    </row>
    <row r="3269" spans="1:14" x14ac:dyDescent="0.3">
      <c r="A3269" s="1">
        <v>4577</v>
      </c>
      <c r="B3269" s="7" t="s">
        <v>4947</v>
      </c>
      <c r="C3269" s="12">
        <v>7402</v>
      </c>
      <c r="D3269" s="7" t="s">
        <v>4948</v>
      </c>
      <c r="E3269" s="13" t="s">
        <v>1657</v>
      </c>
      <c r="F3269" t="str">
        <f t="shared" si="255"/>
        <v>Alabonson</v>
      </c>
      <c r="G3269" t="str">
        <f t="shared" si="256"/>
        <v>Alabonson7402Houston</v>
      </c>
      <c r="H3269" t="s">
        <v>34127</v>
      </c>
      <c r="I3269" t="s">
        <v>25552</v>
      </c>
      <c r="J3269" t="str">
        <f t="shared" si="257"/>
        <v>E:\PropInv\MF</v>
      </c>
      <c r="K3269" s="103" t="str">
        <f>HYPERLINK("E:\PropInv\MF\Houston\Alabonson_7402_Inwood Pines_Houston_04577","Alabonson_7402_Inwood Pines_Houston_04577" )</f>
        <v>Alabonson_7402_Inwood Pines_Houston_04577</v>
      </c>
      <c r="L3269" s="104" t="s">
        <v>22253</v>
      </c>
      <c r="M3269" s="103" t="str">
        <f t="shared" si="258"/>
        <v>http://oconnordata.com/mlink/modules/profile/index.cfm?action=profile&amp;prop_id=4577</v>
      </c>
      <c r="N3269" s="1" t="str">
        <f t="shared" si="259"/>
        <v>04577</v>
      </c>
    </row>
    <row r="3270" spans="1:14" x14ac:dyDescent="0.3">
      <c r="A3270" s="1">
        <v>4578</v>
      </c>
      <c r="B3270" s="7" t="s">
        <v>4929</v>
      </c>
      <c r="C3270" s="12">
        <v>7410</v>
      </c>
      <c r="D3270" s="7" t="s">
        <v>668</v>
      </c>
      <c r="E3270" s="13" t="s">
        <v>4628</v>
      </c>
      <c r="F3270" t="str">
        <f t="shared" si="255"/>
        <v>6</v>
      </c>
      <c r="G3270" t="str">
        <f t="shared" si="256"/>
        <v>67410Hitchcock</v>
      </c>
      <c r="H3270" t="s">
        <v>34128</v>
      </c>
      <c r="I3270" t="s">
        <v>25553</v>
      </c>
      <c r="J3270" t="str">
        <f t="shared" si="257"/>
        <v>E:\PropInv\MF</v>
      </c>
      <c r="K3270" s="103" t="str">
        <f>HYPERLINK("E:\PropInv\MF\Hitchcock\6 Hwy_7410_Bent Oaks_Hitchcock_04578","6 Hwy_7410_Bent Oaks_Hitchcock_04578" )</f>
        <v>6 Hwy_7410_Bent Oaks_Hitchcock_04578</v>
      </c>
      <c r="L3270" s="104" t="s">
        <v>22253</v>
      </c>
      <c r="M3270" s="103" t="str">
        <f t="shared" si="258"/>
        <v>http://oconnordata.com/mlink/modules/profile/index.cfm?action=profile&amp;prop_id=4578</v>
      </c>
      <c r="N3270" s="1" t="str">
        <f t="shared" si="259"/>
        <v>04578</v>
      </c>
    </row>
    <row r="3271" spans="1:14" x14ac:dyDescent="0.3">
      <c r="A3271" s="1">
        <v>4580</v>
      </c>
      <c r="B3271" s="7" t="s">
        <v>4949</v>
      </c>
      <c r="C3271" s="12">
        <v>1100</v>
      </c>
      <c r="D3271" s="7" t="s">
        <v>4950</v>
      </c>
      <c r="E3271" s="13" t="s">
        <v>1646</v>
      </c>
      <c r="F3271" t="str">
        <f t="shared" si="255"/>
        <v>Cherry</v>
      </c>
      <c r="G3271" t="str">
        <f t="shared" si="256"/>
        <v>Cherry1100Tomball</v>
      </c>
      <c r="H3271" t="s">
        <v>34129</v>
      </c>
      <c r="I3271" t="s">
        <v>25554</v>
      </c>
      <c r="J3271" t="str">
        <f t="shared" si="257"/>
        <v>E:\PropInv\MF</v>
      </c>
      <c r="K3271" s="103" t="str">
        <f>HYPERLINK("E:\PropInv\MF\Tomball\Cherry S_1100_Dartford Square_Tomball_04580","Cherry S_1100_Dartford Square_Tomball_04580" )</f>
        <v>Cherry S_1100_Dartford Square_Tomball_04580</v>
      </c>
      <c r="L3271" s="104" t="s">
        <v>22253</v>
      </c>
      <c r="M3271" s="103" t="str">
        <f t="shared" si="258"/>
        <v>http://oconnordata.com/mlink/modules/profile/index.cfm?action=profile&amp;prop_id=4580</v>
      </c>
      <c r="N3271" s="1" t="str">
        <f t="shared" si="259"/>
        <v>04580</v>
      </c>
    </row>
    <row r="3272" spans="1:14" x14ac:dyDescent="0.3">
      <c r="A3272" s="97">
        <v>4582</v>
      </c>
      <c r="B3272" s="7" t="s">
        <v>4951</v>
      </c>
      <c r="C3272" s="12">
        <v>2801</v>
      </c>
      <c r="D3272" s="7" t="s">
        <v>4952</v>
      </c>
      <c r="E3272" s="13" t="s">
        <v>4569</v>
      </c>
      <c r="F3272" t="str">
        <f t="shared" si="255"/>
        <v>2004</v>
      </c>
      <c r="G3272" t="str">
        <f t="shared" si="256"/>
        <v>20042801Texas City</v>
      </c>
      <c r="H3272" t="s">
        <v>34130</v>
      </c>
      <c r="I3272" t="s">
        <v>25555</v>
      </c>
      <c r="J3272" t="str">
        <f t="shared" si="257"/>
        <v>E:\PropInv\MF</v>
      </c>
      <c r="K3272" s="103" t="str">
        <f>HYPERLINK("E:\PropInv\MF\Texas City\2004 FM_2801_Windsor Estates I_Texas City_04582","2004 FM_2801_Windsor Estates I_Texas City_04582" )</f>
        <v>2004 FM_2801_Windsor Estates I_Texas City_04582</v>
      </c>
      <c r="L3272" s="104" t="s">
        <v>22253</v>
      </c>
      <c r="M3272" s="103" t="str">
        <f t="shared" si="258"/>
        <v>http://oconnordata.com/mlink/modules/profile/index.cfm?action=profile&amp;prop_id=4582</v>
      </c>
      <c r="N3272" s="1" t="str">
        <f t="shared" si="259"/>
        <v>04582</v>
      </c>
    </row>
    <row r="3273" spans="1:14" x14ac:dyDescent="0.3">
      <c r="A3273" s="1">
        <v>4584</v>
      </c>
      <c r="B3273" s="7" t="s">
        <v>4953</v>
      </c>
      <c r="C3273" s="12">
        <v>619</v>
      </c>
      <c r="D3273" s="7" t="s">
        <v>4954</v>
      </c>
      <c r="E3273" s="13" t="s">
        <v>2609</v>
      </c>
      <c r="F3273" t="str">
        <f t="shared" si="255"/>
        <v>Rollingbrook</v>
      </c>
      <c r="G3273" t="str">
        <f t="shared" si="256"/>
        <v>Rollingbrook619Baytown</v>
      </c>
      <c r="H3273" t="s">
        <v>34131</v>
      </c>
      <c r="I3273" t="s">
        <v>25556</v>
      </c>
      <c r="J3273" t="str">
        <f t="shared" si="257"/>
        <v>E:\PropInv\MF</v>
      </c>
      <c r="K3273" s="103" t="str">
        <f>HYPERLINK("E:\PropInv\MF\Baytown\Rollingbrook Dr_619_Stonebrook I_Baytown_04584","Rollingbrook Dr_619_Stonebrook I_Baytown_04584" )</f>
        <v>Rollingbrook Dr_619_Stonebrook I_Baytown_04584</v>
      </c>
      <c r="L3273" s="104" t="s">
        <v>22253</v>
      </c>
      <c r="M3273" s="103" t="str">
        <f t="shared" si="258"/>
        <v>http://oconnordata.com/mlink/modules/profile/index.cfm?action=profile&amp;prop_id=4584</v>
      </c>
      <c r="N3273" s="1" t="str">
        <f t="shared" si="259"/>
        <v>04584</v>
      </c>
    </row>
    <row r="3274" spans="1:14" x14ac:dyDescent="0.3">
      <c r="A3274" s="1">
        <v>4585</v>
      </c>
      <c r="B3274" s="7" t="s">
        <v>4955</v>
      </c>
      <c r="C3274" s="12">
        <v>702</v>
      </c>
      <c r="D3274" s="7" t="s">
        <v>4446</v>
      </c>
      <c r="E3274" s="13" t="s">
        <v>4402</v>
      </c>
      <c r="F3274" t="str">
        <f t="shared" si="255"/>
        <v>Adoue</v>
      </c>
      <c r="G3274" t="str">
        <f t="shared" si="256"/>
        <v>Adoue702Alvin</v>
      </c>
      <c r="H3274" t="s">
        <v>34132</v>
      </c>
      <c r="I3274" t="s">
        <v>25557</v>
      </c>
      <c r="J3274" t="str">
        <f t="shared" si="257"/>
        <v>E:\PropInv\MF</v>
      </c>
      <c r="K3274" s="103" t="str">
        <f>HYPERLINK("E:\PropInv\MF\Alvin\Adoue W_702_Royal Oaks_Alvin_04585","Adoue W_702_Royal Oaks_Alvin_04585" )</f>
        <v>Adoue W_702_Royal Oaks_Alvin_04585</v>
      </c>
      <c r="L3274" s="104" t="s">
        <v>22253</v>
      </c>
      <c r="M3274" s="103" t="str">
        <f t="shared" si="258"/>
        <v>http://oconnordata.com/mlink/modules/profile/index.cfm?action=profile&amp;prop_id=4585</v>
      </c>
      <c r="N3274" s="1" t="str">
        <f t="shared" si="259"/>
        <v>04585</v>
      </c>
    </row>
    <row r="3275" spans="1:14" x14ac:dyDescent="0.3">
      <c r="A3275" s="1">
        <v>4586</v>
      </c>
      <c r="B3275" s="7" t="s">
        <v>4956</v>
      </c>
      <c r="C3275" s="12">
        <v>1002</v>
      </c>
      <c r="D3275" s="7" t="s">
        <v>4957</v>
      </c>
      <c r="E3275" s="13" t="s">
        <v>1763</v>
      </c>
      <c r="F3275" t="str">
        <f t="shared" si="255"/>
        <v>Memorial</v>
      </c>
      <c r="G3275" t="str">
        <f t="shared" si="256"/>
        <v>Memorial1002Humble</v>
      </c>
      <c r="H3275" t="s">
        <v>34133</v>
      </c>
      <c r="I3275" t="s">
        <v>25558</v>
      </c>
      <c r="J3275" t="str">
        <f t="shared" si="257"/>
        <v>E:\PropInv\MF</v>
      </c>
      <c r="K3275" s="103" t="str">
        <f>HYPERLINK("E:\PropInv\MF\Humble\Memorial Glen_1002_Barrington Court_Humble_04586","Memorial Glen_1002_Barrington Court_Humble_04586" )</f>
        <v>Memorial Glen_1002_Barrington Court_Humble_04586</v>
      </c>
      <c r="L3275" s="104" t="s">
        <v>22253</v>
      </c>
      <c r="M3275" s="103" t="str">
        <f t="shared" si="258"/>
        <v>http://oconnordata.com/mlink/modules/profile/index.cfm?action=profile&amp;prop_id=4586</v>
      </c>
      <c r="N3275" s="1" t="str">
        <f t="shared" si="259"/>
        <v>04586</v>
      </c>
    </row>
    <row r="3276" spans="1:14" x14ac:dyDescent="0.3">
      <c r="A3276" s="1">
        <v>4587</v>
      </c>
      <c r="B3276" s="7" t="s">
        <v>4064</v>
      </c>
      <c r="C3276" s="12">
        <v>225</v>
      </c>
      <c r="D3276" s="7" t="s">
        <v>4958</v>
      </c>
      <c r="E3276" s="13" t="s">
        <v>4038</v>
      </c>
      <c r="F3276" t="str">
        <f t="shared" si="255"/>
        <v>X</v>
      </c>
      <c r="G3276" t="str">
        <f t="shared" si="256"/>
        <v>X225Deer Park</v>
      </c>
      <c r="H3276" t="s">
        <v>34134</v>
      </c>
      <c r="I3276" t="s">
        <v>25559</v>
      </c>
      <c r="J3276" t="str">
        <f t="shared" si="257"/>
        <v>E:\PropInv\MF</v>
      </c>
      <c r="K3276" s="103" t="str">
        <f>HYPERLINK("E:\PropInv\MF\Deer Park\X St E_225_Town Plaza_Deer Park_04587","X St E_225_Town Plaza_Deer Park_04587" )</f>
        <v>X St E_225_Town Plaza_Deer Park_04587</v>
      </c>
      <c r="L3276" s="104" t="s">
        <v>22253</v>
      </c>
      <c r="M3276" s="103" t="str">
        <f t="shared" si="258"/>
        <v>http://oconnordata.com/mlink/modules/profile/index.cfm?action=profile&amp;prop_id=4587</v>
      </c>
      <c r="N3276" s="1" t="str">
        <f t="shared" si="259"/>
        <v>04587</v>
      </c>
    </row>
    <row r="3277" spans="1:14" x14ac:dyDescent="0.3">
      <c r="A3277" s="1">
        <v>4588</v>
      </c>
      <c r="B3277" s="7" t="s">
        <v>2128</v>
      </c>
      <c r="C3277" s="12">
        <v>11111</v>
      </c>
      <c r="D3277" s="7" t="s">
        <v>4959</v>
      </c>
      <c r="E3277" s="13" t="s">
        <v>1657</v>
      </c>
      <c r="F3277" t="str">
        <f t="shared" si="255"/>
        <v>Pleasant</v>
      </c>
      <c r="G3277" t="str">
        <f t="shared" si="256"/>
        <v>Pleasant11111Houston</v>
      </c>
      <c r="H3277" t="s">
        <v>34135</v>
      </c>
      <c r="I3277" t="s">
        <v>25560</v>
      </c>
      <c r="J3277" t="str">
        <f t="shared" si="257"/>
        <v>E:\PropInv\MF</v>
      </c>
      <c r="K3277" s="103" t="str">
        <f>HYPERLINK("E:\PropInv\MF\Houston\Pleasant Colony_11111_The Promenade Jersey Village I_Houston_04588","Pleasant Colony_11111_The Promenade Jersey Village I_Houston_04588" )</f>
        <v>Pleasant Colony_11111_The Promenade Jersey Village I_Houston_04588</v>
      </c>
      <c r="L3277" s="104" t="s">
        <v>22253</v>
      </c>
      <c r="M3277" s="103" t="str">
        <f t="shared" si="258"/>
        <v>http://oconnordata.com/mlink/modules/profile/index.cfm?action=profile&amp;prop_id=4588</v>
      </c>
      <c r="N3277" s="1" t="str">
        <f t="shared" si="259"/>
        <v>04588</v>
      </c>
    </row>
    <row r="3278" spans="1:14" x14ac:dyDescent="0.3">
      <c r="A3278" s="1">
        <v>4589</v>
      </c>
      <c r="B3278" s="7" t="s">
        <v>2254</v>
      </c>
      <c r="C3278" s="12">
        <v>8800</v>
      </c>
      <c r="D3278" s="7" t="s">
        <v>4960</v>
      </c>
      <c r="E3278" s="13" t="s">
        <v>1657</v>
      </c>
      <c r="F3278" t="str">
        <f t="shared" si="255"/>
        <v>Kempwood</v>
      </c>
      <c r="G3278" t="str">
        <f t="shared" si="256"/>
        <v>Kempwood8800Houston</v>
      </c>
      <c r="H3278" t="s">
        <v>34136</v>
      </c>
      <c r="I3278" t="s">
        <v>25561</v>
      </c>
      <c r="J3278" t="str">
        <f t="shared" si="257"/>
        <v>E:\PropInv\MF</v>
      </c>
      <c r="K3278" s="103" t="str">
        <f>HYPERLINK("E:\PropInv\MF\Houston\Kempwood_8800_Kempwood TH_Houston_04589","Kempwood_8800_Kempwood TH_Houston_04589" )</f>
        <v>Kempwood_8800_Kempwood TH_Houston_04589</v>
      </c>
      <c r="L3278" s="104" t="s">
        <v>22253</v>
      </c>
      <c r="M3278" s="103" t="str">
        <f t="shared" si="258"/>
        <v>http://oconnordata.com/mlink/modules/profile/index.cfm?action=profile&amp;prop_id=4589</v>
      </c>
      <c r="N3278" s="1" t="str">
        <f t="shared" si="259"/>
        <v>04589</v>
      </c>
    </row>
    <row r="3279" spans="1:14" x14ac:dyDescent="0.3">
      <c r="A3279" s="1">
        <v>4590</v>
      </c>
      <c r="B3279" s="19" t="s">
        <v>4961</v>
      </c>
      <c r="C3279" s="18">
        <v>2828</v>
      </c>
      <c r="D3279" s="19" t="s">
        <v>4962</v>
      </c>
      <c r="E3279" s="20" t="s">
        <v>4565</v>
      </c>
      <c r="F3279" t="str">
        <f t="shared" si="255"/>
        <v>61st</v>
      </c>
      <c r="G3279" t="str">
        <f t="shared" si="256"/>
        <v>61st2828Galveston</v>
      </c>
      <c r="H3279" t="s">
        <v>34137</v>
      </c>
      <c r="I3279" t="s">
        <v>25562</v>
      </c>
      <c r="J3279" t="str">
        <f t="shared" si="257"/>
        <v>E:\PropInv\MF</v>
      </c>
      <c r="K3279" s="103" t="str">
        <f>HYPERLINK("E:\PropInv\MF\Galveston\61st St_2828_Somerset Retirement Village_Galveston_04590","61st St_2828_Somerset Retirement Village_Galveston_04590" )</f>
        <v>61st St_2828_Somerset Retirement Village_Galveston_04590</v>
      </c>
      <c r="L3279" s="104" t="s">
        <v>22253</v>
      </c>
      <c r="M3279" s="103" t="str">
        <f t="shared" si="258"/>
        <v>http://oconnordata.com/mlink/modules/profile/index.cfm?action=profile&amp;prop_id=4590</v>
      </c>
      <c r="N3279" s="1" t="str">
        <f t="shared" si="259"/>
        <v>04590</v>
      </c>
    </row>
    <row r="3280" spans="1:14" x14ac:dyDescent="0.3">
      <c r="A3280" s="1">
        <v>4592</v>
      </c>
      <c r="B3280" s="7" t="s">
        <v>4963</v>
      </c>
      <c r="C3280" s="12">
        <v>4444</v>
      </c>
      <c r="D3280" s="7" t="s">
        <v>4964</v>
      </c>
      <c r="E3280" s="13" t="s">
        <v>1657</v>
      </c>
      <c r="F3280" t="str">
        <f t="shared" si="255"/>
        <v>Cullen</v>
      </c>
      <c r="G3280" t="str">
        <f t="shared" si="256"/>
        <v>Cullen4444Houston</v>
      </c>
      <c r="H3280" t="s">
        <v>34138</v>
      </c>
      <c r="I3280" t="s">
        <v>25563</v>
      </c>
      <c r="J3280" t="str">
        <f t="shared" si="257"/>
        <v>E:\PropInv\MF</v>
      </c>
      <c r="K3280" s="103" t="str">
        <f>HYPERLINK("E:\PropInv\MF\Houston\Cullen_4444_Cambridge Oaks_Houston_04592","Cullen_4444_Cambridge Oaks_Houston_04592" )</f>
        <v>Cullen_4444_Cambridge Oaks_Houston_04592</v>
      </c>
      <c r="L3280" s="104" t="s">
        <v>22253</v>
      </c>
      <c r="M3280" s="103" t="str">
        <f t="shared" si="258"/>
        <v>http://oconnordata.com/mlink/modules/profile/index.cfm?action=profile&amp;prop_id=4592</v>
      </c>
      <c r="N3280" s="1" t="str">
        <f t="shared" si="259"/>
        <v>04592</v>
      </c>
    </row>
    <row r="3281" spans="1:14" x14ac:dyDescent="0.3">
      <c r="A3281" s="1">
        <v>4594</v>
      </c>
      <c r="B3281" s="7" t="s">
        <v>4965</v>
      </c>
      <c r="C3281" s="12">
        <v>6869</v>
      </c>
      <c r="D3281" s="7" t="s">
        <v>4966</v>
      </c>
      <c r="E3281" s="13" t="s">
        <v>1657</v>
      </c>
      <c r="F3281" t="str">
        <f t="shared" si="255"/>
        <v>Arto</v>
      </c>
      <c r="G3281" t="str">
        <f t="shared" si="256"/>
        <v>Arto6869Houston</v>
      </c>
      <c r="H3281" t="s">
        <v>34139</v>
      </c>
      <c r="I3281" t="s">
        <v>25564</v>
      </c>
      <c r="J3281" t="str">
        <f t="shared" si="257"/>
        <v>E:\PropInv\MF</v>
      </c>
      <c r="K3281" s="103" t="str">
        <f>HYPERLINK("E:\PropInv\MF\Houston\Arto_6869_Timber Crossing_Houston_04594","Arto_6869_Timber Crossing_Houston_04594" )</f>
        <v>Arto_6869_Timber Crossing_Houston_04594</v>
      </c>
      <c r="L3281" s="104" t="s">
        <v>22253</v>
      </c>
      <c r="M3281" s="103" t="str">
        <f t="shared" si="258"/>
        <v>http://oconnordata.com/mlink/modules/profile/index.cfm?action=profile&amp;prop_id=4594</v>
      </c>
      <c r="N3281" s="1" t="str">
        <f t="shared" si="259"/>
        <v>04594</v>
      </c>
    </row>
    <row r="3282" spans="1:14" x14ac:dyDescent="0.3">
      <c r="A3282" s="1">
        <v>4595</v>
      </c>
      <c r="B3282" s="7" t="s">
        <v>1937</v>
      </c>
      <c r="C3282" s="12">
        <v>5900</v>
      </c>
      <c r="D3282" s="7" t="s">
        <v>4967</v>
      </c>
      <c r="E3282" s="13" t="s">
        <v>1763</v>
      </c>
      <c r="F3282" t="str">
        <f t="shared" si="255"/>
        <v>Greens</v>
      </c>
      <c r="G3282" t="str">
        <f t="shared" si="256"/>
        <v>Greens5900Humble</v>
      </c>
      <c r="H3282" t="s">
        <v>34140</v>
      </c>
      <c r="I3282" t="s">
        <v>25565</v>
      </c>
      <c r="J3282" t="str">
        <f t="shared" si="257"/>
        <v>E:\PropInv\MF</v>
      </c>
      <c r="K3282" s="103" t="str">
        <f>HYPERLINK("E:\PropInv\MF\Humble\Greens Rd_5900_Timber Point_Humble_04595","Greens Rd_5900_Timber Point_Humble_04595" )</f>
        <v>Greens Rd_5900_Timber Point_Humble_04595</v>
      </c>
      <c r="L3282" s="104" t="s">
        <v>22253</v>
      </c>
      <c r="M3282" s="103" t="str">
        <f t="shared" si="258"/>
        <v>http://oconnordata.com/mlink/modules/profile/index.cfm?action=profile&amp;prop_id=4595</v>
      </c>
      <c r="N3282" s="1" t="str">
        <f t="shared" si="259"/>
        <v>04595</v>
      </c>
    </row>
    <row r="3283" spans="1:14" x14ac:dyDescent="0.3">
      <c r="A3283" s="1">
        <v>4596</v>
      </c>
      <c r="B3283" s="7" t="s">
        <v>2815</v>
      </c>
      <c r="C3283" s="12">
        <v>2501</v>
      </c>
      <c r="D3283" s="7" t="s">
        <v>4968</v>
      </c>
      <c r="E3283" s="13" t="s">
        <v>1657</v>
      </c>
      <c r="F3283" t="str">
        <f t="shared" si="255"/>
        <v>Westerland</v>
      </c>
      <c r="G3283" t="str">
        <f t="shared" si="256"/>
        <v>Westerland2501Houston</v>
      </c>
      <c r="H3283" t="s">
        <v>34141</v>
      </c>
      <c r="I3283" t="s">
        <v>25566</v>
      </c>
      <c r="J3283" t="str">
        <f t="shared" si="257"/>
        <v>E:\PropInv\MF</v>
      </c>
      <c r="K3283" s="103" t="str">
        <f>HYPERLINK("E:\PropInv\MF\Houston\Westerland_2501_Treemont_Houston_04596","Westerland_2501_Treemont_Houston_04596" )</f>
        <v>Westerland_2501_Treemont_Houston_04596</v>
      </c>
      <c r="L3283" s="104" t="s">
        <v>22253</v>
      </c>
      <c r="M3283" s="103" t="str">
        <f t="shared" si="258"/>
        <v>http://oconnordata.com/mlink/modules/profile/index.cfm?action=profile&amp;prop_id=4596</v>
      </c>
      <c r="N3283" s="1" t="str">
        <f t="shared" si="259"/>
        <v>04596</v>
      </c>
    </row>
    <row r="3284" spans="1:14" x14ac:dyDescent="0.3">
      <c r="A3284" s="1">
        <v>4599</v>
      </c>
      <c r="B3284" s="7" t="s">
        <v>4969</v>
      </c>
      <c r="C3284" s="12">
        <v>623</v>
      </c>
      <c r="D3284" s="7" t="s">
        <v>4970</v>
      </c>
      <c r="E3284" s="13" t="s">
        <v>4249</v>
      </c>
      <c r="F3284" t="str">
        <f t="shared" si="255"/>
        <v>Barringer</v>
      </c>
      <c r="G3284" t="str">
        <f t="shared" si="256"/>
        <v>Barringer623Webster</v>
      </c>
      <c r="H3284" t="s">
        <v>34142</v>
      </c>
      <c r="I3284" t="s">
        <v>25567</v>
      </c>
      <c r="J3284" t="str">
        <f t="shared" si="257"/>
        <v>E:\PropInv\MF</v>
      </c>
      <c r="K3284" s="103" t="str">
        <f>HYPERLINK("E:\PropInv\MF\Webster\Barringer Ln_623_Clear Lake Condominiums_Webster_04599","Barringer Ln_623_Clear Lake Condominiums_Webster_04599" )</f>
        <v>Barringer Ln_623_Clear Lake Condominiums_Webster_04599</v>
      </c>
      <c r="L3284" s="104" t="s">
        <v>22253</v>
      </c>
      <c r="M3284" s="103" t="str">
        <f t="shared" si="258"/>
        <v>http://oconnordata.com/mlink/modules/profile/index.cfm?action=profile&amp;prop_id=4599</v>
      </c>
      <c r="N3284" s="1" t="str">
        <f t="shared" si="259"/>
        <v>04599</v>
      </c>
    </row>
    <row r="3285" spans="1:14" x14ac:dyDescent="0.3">
      <c r="A3285" s="1">
        <v>4600</v>
      </c>
      <c r="B3285" s="7" t="s">
        <v>566</v>
      </c>
      <c r="C3285" s="12">
        <v>7400</v>
      </c>
      <c r="D3285" s="7" t="s">
        <v>4971</v>
      </c>
      <c r="E3285" s="13" t="s">
        <v>1657</v>
      </c>
      <c r="F3285" t="str">
        <f t="shared" si="255"/>
        <v>Clarewood</v>
      </c>
      <c r="G3285" t="str">
        <f t="shared" si="256"/>
        <v>Clarewood7400Houston</v>
      </c>
      <c r="H3285" t="s">
        <v>34143</v>
      </c>
      <c r="I3285" t="s">
        <v>25568</v>
      </c>
      <c r="J3285" t="str">
        <f t="shared" si="257"/>
        <v>E:\PropInv\MF</v>
      </c>
      <c r="K3285" s="103" t="str">
        <f>HYPERLINK("E:\PropInv\MF\Houston\Clarewood_7400_Clarewood House Retirement Community_Houston_04600","Clarewood_7400_Clarewood House Retirement Community_Houston_04600" )</f>
        <v>Clarewood_7400_Clarewood House Retirement Community_Houston_04600</v>
      </c>
      <c r="L3285" s="104" t="s">
        <v>22253</v>
      </c>
      <c r="M3285" s="103" t="str">
        <f t="shared" si="258"/>
        <v>http://oconnordata.com/mlink/modules/profile/index.cfm?action=profile&amp;prop_id=4600</v>
      </c>
      <c r="N3285" s="1" t="str">
        <f t="shared" si="259"/>
        <v>04600</v>
      </c>
    </row>
    <row r="3286" spans="1:14" x14ac:dyDescent="0.3">
      <c r="A3286" s="1">
        <v>4601</v>
      </c>
      <c r="B3286" s="7" t="s">
        <v>4972</v>
      </c>
      <c r="C3286" s="12">
        <v>2800</v>
      </c>
      <c r="D3286" s="7" t="s">
        <v>4973</v>
      </c>
      <c r="E3286" s="13" t="s">
        <v>4369</v>
      </c>
      <c r="F3286" t="str">
        <f t="shared" si="255"/>
        <v>Tranquility</v>
      </c>
      <c r="G3286" t="str">
        <f t="shared" si="256"/>
        <v>Tranquility2800Pearland</v>
      </c>
      <c r="H3286" t="s">
        <v>34144</v>
      </c>
      <c r="I3286" t="s">
        <v>25569</v>
      </c>
      <c r="J3286" t="str">
        <f t="shared" si="257"/>
        <v>E:\PropInv\MF</v>
      </c>
      <c r="K3286" s="103" t="str">
        <f>HYPERLINK("E:\PropInv\MF\Pearland\Tranquility Lake Blvd_2800_The Club at Tranquility Lake_Pearland_04601","Tranquility Lake Blvd_2800_The Club at Tranquility Lake_Pearland_04601" )</f>
        <v>Tranquility Lake Blvd_2800_The Club at Tranquility Lake_Pearland_04601</v>
      </c>
      <c r="L3286" s="104" t="s">
        <v>22253</v>
      </c>
      <c r="M3286" s="103" t="str">
        <f t="shared" si="258"/>
        <v>http://oconnordata.com/mlink/modules/profile/index.cfm?action=profile&amp;prop_id=4601</v>
      </c>
      <c r="N3286" s="1" t="str">
        <f t="shared" si="259"/>
        <v>04601</v>
      </c>
    </row>
    <row r="3287" spans="1:14" x14ac:dyDescent="0.3">
      <c r="A3287" s="1">
        <v>4602</v>
      </c>
      <c r="B3287" s="7" t="s">
        <v>4974</v>
      </c>
      <c r="C3287" s="12">
        <v>10800</v>
      </c>
      <c r="D3287" s="7" t="s">
        <v>4975</v>
      </c>
      <c r="E3287" s="13" t="s">
        <v>1657</v>
      </c>
      <c r="F3287" t="str">
        <f t="shared" si="255"/>
        <v>Kippway</v>
      </c>
      <c r="G3287" t="str">
        <f t="shared" si="256"/>
        <v>Kippway10800Houston</v>
      </c>
      <c r="H3287" t="s">
        <v>34145</v>
      </c>
      <c r="I3287" t="s">
        <v>25570</v>
      </c>
      <c r="J3287" t="str">
        <f t="shared" si="257"/>
        <v>E:\PropInv\MF</v>
      </c>
      <c r="K3287" s="103" t="str">
        <f>HYPERLINK("E:\PropInv\MF\Houston\Kippway_10800_Collingham Park_Houston_04602","Kippway_10800_Collingham Park_Houston_04602" )</f>
        <v>Kippway_10800_Collingham Park_Houston_04602</v>
      </c>
      <c r="L3287" s="104" t="s">
        <v>22253</v>
      </c>
      <c r="M3287" s="103" t="str">
        <f t="shared" si="258"/>
        <v>http://oconnordata.com/mlink/modules/profile/index.cfm?action=profile&amp;prop_id=4602</v>
      </c>
      <c r="N3287" s="1" t="str">
        <f t="shared" si="259"/>
        <v>04602</v>
      </c>
    </row>
    <row r="3288" spans="1:14" x14ac:dyDescent="0.3">
      <c r="A3288" s="1">
        <v>4604</v>
      </c>
      <c r="B3288" s="7" t="s">
        <v>4976</v>
      </c>
      <c r="C3288" s="12">
        <v>7609</v>
      </c>
      <c r="D3288" s="7" t="s">
        <v>4977</v>
      </c>
      <c r="E3288" s="13" t="s">
        <v>1657</v>
      </c>
      <c r="F3288" t="str">
        <f t="shared" si="255"/>
        <v>.5</v>
      </c>
      <c r="G3288" t="str">
        <f t="shared" si="256"/>
        <v>.57609Houston</v>
      </c>
      <c r="H3288" t="s">
        <v>34146</v>
      </c>
      <c r="I3288" t="s">
        <v>25571</v>
      </c>
      <c r="J3288" t="str">
        <f t="shared" si="257"/>
        <v>E:\PropInv\MF</v>
      </c>
      <c r="K3288" s="103" t="str">
        <f>HYPERLINK("E:\PropInv\MF\Houston\.5 Fallbrook_7609_Willowood Gardens_Houston_04604",".5 Fallbrook_7609_Willowood Gardens_Houston_04604" )</f>
        <v>.5 Fallbrook_7609_Willowood Gardens_Houston_04604</v>
      </c>
      <c r="L3288" s="104" t="s">
        <v>22253</v>
      </c>
      <c r="M3288" s="103" t="str">
        <f t="shared" si="258"/>
        <v>http://oconnordata.com/mlink/modules/profile/index.cfm?action=profile&amp;prop_id=4604</v>
      </c>
      <c r="N3288" s="1" t="str">
        <f t="shared" si="259"/>
        <v>04604</v>
      </c>
    </row>
    <row r="3289" spans="1:14" x14ac:dyDescent="0.3">
      <c r="A3289" s="1">
        <v>4605</v>
      </c>
      <c r="B3289" s="7" t="s">
        <v>4509</v>
      </c>
      <c r="C3289" s="12">
        <v>1316</v>
      </c>
      <c r="D3289" s="7" t="s">
        <v>4978</v>
      </c>
      <c r="E3289" s="13" t="s">
        <v>4428</v>
      </c>
      <c r="F3289" t="str">
        <f t="shared" si="255"/>
        <v>Radio</v>
      </c>
      <c r="G3289" t="str">
        <f t="shared" si="256"/>
        <v>Radio1316Rosenberg</v>
      </c>
      <c r="H3289" t="s">
        <v>34147</v>
      </c>
      <c r="I3289" t="s">
        <v>25572</v>
      </c>
      <c r="J3289" t="str">
        <f t="shared" si="257"/>
        <v>E:\PropInv\MF</v>
      </c>
      <c r="K3289" s="103" t="str">
        <f>HYPERLINK("E:\PropInv\MF\Rosenberg\Radio Ln_1316_Williamsburg_Rosenberg_04605","Radio Ln_1316_Williamsburg_Rosenberg_04605" )</f>
        <v>Radio Ln_1316_Williamsburg_Rosenberg_04605</v>
      </c>
      <c r="L3289" s="104" t="s">
        <v>22253</v>
      </c>
      <c r="M3289" s="103" t="str">
        <f t="shared" si="258"/>
        <v>http://oconnordata.com/mlink/modules/profile/index.cfm?action=profile&amp;prop_id=4605</v>
      </c>
      <c r="N3289" s="1" t="str">
        <f t="shared" si="259"/>
        <v>04605</v>
      </c>
    </row>
    <row r="3290" spans="1:14" x14ac:dyDescent="0.3">
      <c r="A3290" s="1">
        <v>4609</v>
      </c>
      <c r="B3290" s="7" t="s">
        <v>4979</v>
      </c>
      <c r="C3290" s="12">
        <v>4601</v>
      </c>
      <c r="D3290" s="7" t="s">
        <v>4980</v>
      </c>
      <c r="E3290" s="13" t="s">
        <v>2609</v>
      </c>
      <c r="F3290" t="str">
        <f t="shared" si="255"/>
        <v>Village</v>
      </c>
      <c r="G3290" t="str">
        <f t="shared" si="256"/>
        <v>Village4601Baytown</v>
      </c>
      <c r="H3290" t="s">
        <v>34148</v>
      </c>
      <c r="I3290" t="s">
        <v>25573</v>
      </c>
      <c r="J3290" t="str">
        <f t="shared" si="257"/>
        <v>E:\PropInv\MF</v>
      </c>
      <c r="K3290" s="103" t="str">
        <f>HYPERLINK("E:\PropInv\MF\Baytown\Village Ln_4601_The Village_Baytown_04609","Village Ln_4601_The Village_Baytown_04609" )</f>
        <v>Village Ln_4601_The Village_Baytown_04609</v>
      </c>
      <c r="L3290" s="104" t="s">
        <v>22253</v>
      </c>
      <c r="M3290" s="103" t="str">
        <f t="shared" si="258"/>
        <v>http://oconnordata.com/mlink/modules/profile/index.cfm?action=profile&amp;prop_id=4609</v>
      </c>
      <c r="N3290" s="1" t="str">
        <f t="shared" si="259"/>
        <v>04609</v>
      </c>
    </row>
    <row r="3291" spans="1:14" x14ac:dyDescent="0.3">
      <c r="A3291" s="1">
        <v>4610</v>
      </c>
      <c r="B3291" s="7" t="s">
        <v>2310</v>
      </c>
      <c r="C3291" s="12">
        <v>1350</v>
      </c>
      <c r="D3291" s="7" t="s">
        <v>4981</v>
      </c>
      <c r="E3291" s="13" t="s">
        <v>1657</v>
      </c>
      <c r="F3291" t="str">
        <f t="shared" si="255"/>
        <v>Witte</v>
      </c>
      <c r="G3291" t="str">
        <f t="shared" si="256"/>
        <v>Witte1350Houston</v>
      </c>
      <c r="H3291" t="s">
        <v>34149</v>
      </c>
      <c r="I3291" t="s">
        <v>25574</v>
      </c>
      <c r="J3291" t="str">
        <f t="shared" si="257"/>
        <v>E:\PropInv\MF</v>
      </c>
      <c r="K3291" s="103" t="str">
        <f>HYPERLINK("E:\PropInv\MF\Houston\Witte_1350_La Plaza_Houston_04610","Witte_1350_La Plaza_Houston_04610" )</f>
        <v>Witte_1350_La Plaza_Houston_04610</v>
      </c>
      <c r="L3291" s="104" t="s">
        <v>22253</v>
      </c>
      <c r="M3291" s="103" t="str">
        <f t="shared" si="258"/>
        <v>http://oconnordata.com/mlink/modules/profile/index.cfm?action=profile&amp;prop_id=4610</v>
      </c>
      <c r="N3291" s="1" t="str">
        <f t="shared" si="259"/>
        <v>04610</v>
      </c>
    </row>
    <row r="3292" spans="1:14" x14ac:dyDescent="0.3">
      <c r="A3292" s="97">
        <v>4613</v>
      </c>
      <c r="B3292" s="7" t="s">
        <v>1878</v>
      </c>
      <c r="C3292" s="12">
        <v>1311</v>
      </c>
      <c r="D3292" s="7" t="s">
        <v>4982</v>
      </c>
      <c r="E3292" s="13" t="s">
        <v>1657</v>
      </c>
      <c r="F3292" t="str">
        <f t="shared" si="255"/>
        <v>Antoine</v>
      </c>
      <c r="G3292" t="str">
        <f t="shared" si="256"/>
        <v>Antoine1311Houston</v>
      </c>
      <c r="H3292" t="s">
        <v>34150</v>
      </c>
      <c r="I3292" t="s">
        <v>25575</v>
      </c>
      <c r="J3292" t="str">
        <f t="shared" si="257"/>
        <v>E:\PropInv\MF</v>
      </c>
      <c r="K3292" s="103" t="str">
        <f>HYPERLINK("E:\PropInv\MF\Houston\Antoine_1311_Woodvine Park Condos_Houston_04613","Antoine_1311_Woodvine Park Condos_Houston_04613" )</f>
        <v>Antoine_1311_Woodvine Park Condos_Houston_04613</v>
      </c>
      <c r="L3292" s="104" t="s">
        <v>22253</v>
      </c>
      <c r="M3292" s="103" t="str">
        <f t="shared" si="258"/>
        <v>http://oconnordata.com/mlink/modules/profile/index.cfm?action=profile&amp;prop_id=4613</v>
      </c>
      <c r="N3292" s="1" t="str">
        <f t="shared" si="259"/>
        <v>04613</v>
      </c>
    </row>
    <row r="3293" spans="1:14" x14ac:dyDescent="0.3">
      <c r="A3293" s="1">
        <v>4616</v>
      </c>
      <c r="B3293" s="7" t="s">
        <v>4690</v>
      </c>
      <c r="C3293" s="12">
        <v>7820</v>
      </c>
      <c r="D3293" s="7" t="s">
        <v>4983</v>
      </c>
      <c r="E3293" s="13" t="s">
        <v>4565</v>
      </c>
      <c r="F3293" t="str">
        <f t="shared" si="255"/>
        <v>Seawall</v>
      </c>
      <c r="G3293" t="str">
        <f t="shared" si="256"/>
        <v>Seawall7820Galveston</v>
      </c>
      <c r="H3293" t="s">
        <v>34151</v>
      </c>
      <c r="I3293" t="s">
        <v>25576</v>
      </c>
      <c r="J3293" t="str">
        <f t="shared" si="257"/>
        <v>E:\PropInv\MF</v>
      </c>
      <c r="K3293" s="103" t="str">
        <f>HYPERLINK("E:\PropInv\MF\Galveston\Seawall Blvd_7820_The OceanFront_Galveston_04616","Seawall Blvd_7820_The OceanFront_Galveston_04616" )</f>
        <v>Seawall Blvd_7820_The OceanFront_Galveston_04616</v>
      </c>
      <c r="L3293" s="104" t="s">
        <v>22253</v>
      </c>
      <c r="M3293" s="103" t="str">
        <f t="shared" si="258"/>
        <v>http://oconnordata.com/mlink/modules/profile/index.cfm?action=profile&amp;prop_id=4616</v>
      </c>
      <c r="N3293" s="1" t="str">
        <f t="shared" si="259"/>
        <v>04616</v>
      </c>
    </row>
    <row r="3294" spans="1:14" x14ac:dyDescent="0.3">
      <c r="A3294" s="1">
        <v>4617</v>
      </c>
      <c r="B3294" s="7" t="s">
        <v>4690</v>
      </c>
      <c r="C3294" s="12">
        <v>8100</v>
      </c>
      <c r="D3294" s="7" t="s">
        <v>2123</v>
      </c>
      <c r="E3294" s="13" t="s">
        <v>4565</v>
      </c>
      <c r="F3294" t="str">
        <f t="shared" si="255"/>
        <v>Seawall</v>
      </c>
      <c r="G3294" t="str">
        <f t="shared" si="256"/>
        <v>Seawall8100Galveston</v>
      </c>
      <c r="H3294" t="s">
        <v>34152</v>
      </c>
      <c r="I3294" t="s">
        <v>25577</v>
      </c>
      <c r="J3294" t="str">
        <f t="shared" si="257"/>
        <v>E:\PropInv\MF</v>
      </c>
      <c r="K3294" s="103" t="str">
        <f>HYPERLINK("E:\PropInv\MF\Galveston\Seawall Blvd_8100_The Seasons_Galveston_04617","Seawall Blvd_8100_The Seasons_Galveston_04617" )</f>
        <v>Seawall Blvd_8100_The Seasons_Galveston_04617</v>
      </c>
      <c r="L3294" s="104" t="s">
        <v>22253</v>
      </c>
      <c r="M3294" s="103" t="str">
        <f t="shared" si="258"/>
        <v>http://oconnordata.com/mlink/modules/profile/index.cfm?action=profile&amp;prop_id=4617</v>
      </c>
      <c r="N3294" s="1" t="str">
        <f t="shared" si="259"/>
        <v>04617</v>
      </c>
    </row>
    <row r="3295" spans="1:14" x14ac:dyDescent="0.3">
      <c r="A3295" s="1">
        <v>4618</v>
      </c>
      <c r="B3295" s="7" t="s">
        <v>2713</v>
      </c>
      <c r="C3295" s="12">
        <v>10759</v>
      </c>
      <c r="D3295" s="7" t="s">
        <v>4984</v>
      </c>
      <c r="E3295" s="13" t="s">
        <v>1657</v>
      </c>
      <c r="F3295" t="str">
        <f t="shared" si="255"/>
        <v>Katy</v>
      </c>
      <c r="G3295" t="str">
        <f t="shared" si="256"/>
        <v>Katy10759Houston</v>
      </c>
      <c r="H3295" t="s">
        <v>34153</v>
      </c>
      <c r="I3295" t="s">
        <v>25578</v>
      </c>
      <c r="J3295" t="str">
        <f t="shared" si="257"/>
        <v>E:\PropInv\MF</v>
      </c>
      <c r="K3295" s="103" t="str">
        <f>HYPERLINK("E:\PropInv\MF\Houston\Katy Fwy_10759_Skylane West_Houston_04618","Katy Fwy_10759_Skylane West_Houston_04618" )</f>
        <v>Katy Fwy_10759_Skylane West_Houston_04618</v>
      </c>
      <c r="L3295" s="104" t="s">
        <v>22253</v>
      </c>
      <c r="M3295" s="103" t="str">
        <f t="shared" si="258"/>
        <v>http://oconnordata.com/mlink/modules/profile/index.cfm?action=profile&amp;prop_id=4618</v>
      </c>
      <c r="N3295" s="1" t="str">
        <f t="shared" si="259"/>
        <v>04618</v>
      </c>
    </row>
    <row r="3296" spans="1:14" x14ac:dyDescent="0.3">
      <c r="A3296" s="1">
        <v>4620</v>
      </c>
      <c r="B3296" s="7" t="s">
        <v>4985</v>
      </c>
      <c r="C3296" s="12">
        <v>4901</v>
      </c>
      <c r="D3296" s="7" t="s">
        <v>4986</v>
      </c>
      <c r="E3296" s="13" t="s">
        <v>4987</v>
      </c>
      <c r="F3296" t="str">
        <f t="shared" si="255"/>
        <v>Misty</v>
      </c>
      <c r="G3296" t="str">
        <f t="shared" si="256"/>
        <v>Misty4901Bay City</v>
      </c>
      <c r="H3296" t="s">
        <v>34154</v>
      </c>
      <c r="I3296" t="s">
        <v>25579</v>
      </c>
      <c r="J3296" t="str">
        <f t="shared" si="257"/>
        <v>E:\PropInv\MF</v>
      </c>
      <c r="K3296" s="103" t="str">
        <f>HYPERLINK("E:\PropInv\MF\Bay City\Misty Ln_4901_Meadow Chase_Bay City_04620","Misty Ln_4901_Meadow Chase_Bay City_04620" )</f>
        <v>Misty Ln_4901_Meadow Chase_Bay City_04620</v>
      </c>
      <c r="L3296" s="104" t="s">
        <v>22253</v>
      </c>
      <c r="M3296" s="103" t="str">
        <f t="shared" si="258"/>
        <v>http://oconnordata.com/mlink/modules/profile/index.cfm?action=profile&amp;prop_id=4620</v>
      </c>
      <c r="N3296" s="1" t="str">
        <f t="shared" si="259"/>
        <v>04620</v>
      </c>
    </row>
    <row r="3297" spans="1:14" x14ac:dyDescent="0.3">
      <c r="A3297" s="1">
        <v>4621</v>
      </c>
      <c r="B3297" s="7" t="s">
        <v>4988</v>
      </c>
      <c r="C3297" s="12" t="s">
        <v>4989</v>
      </c>
      <c r="D3297" s="7" t="s">
        <v>4990</v>
      </c>
      <c r="E3297" s="13" t="s">
        <v>1646</v>
      </c>
      <c r="F3297" t="str">
        <f t="shared" si="255"/>
        <v>Carrell</v>
      </c>
      <c r="G3297" t="str">
        <f t="shared" si="256"/>
        <v>Carrell750 &amp; 820Tomball</v>
      </c>
      <c r="H3297" t="s">
        <v>34155</v>
      </c>
      <c r="I3297" t="s">
        <v>25580</v>
      </c>
      <c r="J3297" t="str">
        <f t="shared" si="257"/>
        <v>E:\PropInv\MF</v>
      </c>
      <c r="K3297" s="103" t="str">
        <f>HYPERLINK("E:\PropInv\MF\Tomball\Carrell St E_750 &amp; 820_Mid-Towne I &amp; II_Tomball_04621","Carrell St E_750 &amp; 820_Mid-Towne I &amp; II_Tomball_04621" )</f>
        <v>Carrell St E_750 &amp; 820_Mid-Towne I &amp; II_Tomball_04621</v>
      </c>
      <c r="L3297" s="104" t="s">
        <v>22253</v>
      </c>
      <c r="M3297" s="103" t="str">
        <f t="shared" si="258"/>
        <v>http://oconnordata.com/mlink/modules/profile/index.cfm?action=profile&amp;prop_id=4621</v>
      </c>
      <c r="N3297" s="1" t="str">
        <f t="shared" si="259"/>
        <v>04621</v>
      </c>
    </row>
    <row r="3298" spans="1:14" x14ac:dyDescent="0.3">
      <c r="A3298" s="1">
        <v>4624</v>
      </c>
      <c r="B3298" s="7" t="s">
        <v>4991</v>
      </c>
      <c r="C3298" s="12">
        <v>11851</v>
      </c>
      <c r="D3298" s="7" t="s">
        <v>4992</v>
      </c>
      <c r="E3298" s="13" t="s">
        <v>842</v>
      </c>
      <c r="F3298" t="str">
        <f t="shared" si="255"/>
        <v>Belair</v>
      </c>
      <c r="G3298" t="str">
        <f t="shared" si="256"/>
        <v>Belair11851San Antonio</v>
      </c>
      <c r="H3298" t="s">
        <v>34156</v>
      </c>
      <c r="I3298" t="s">
        <v>25581</v>
      </c>
      <c r="J3298" t="str">
        <f t="shared" si="257"/>
        <v>E:\PropInv\MF</v>
      </c>
      <c r="K3298" s="103" t="str">
        <f>HYPERLINK("E:\PropInv\MF\San Antonio\Belair Dr_11851_Summercreek_San Antonio_04624","Belair Dr_11851_Summercreek_San Antonio_04624" )</f>
        <v>Belair Dr_11851_Summercreek_San Antonio_04624</v>
      </c>
      <c r="L3298" s="104" t="s">
        <v>22253</v>
      </c>
      <c r="M3298" s="103" t="str">
        <f t="shared" si="258"/>
        <v>http://oconnordata.com/mlink/modules/profile/index.cfm?action=profile&amp;prop_id=4624</v>
      </c>
      <c r="N3298" s="1" t="str">
        <f t="shared" si="259"/>
        <v>04624</v>
      </c>
    </row>
    <row r="3299" spans="1:14" x14ac:dyDescent="0.3">
      <c r="A3299" s="1">
        <v>4626</v>
      </c>
      <c r="B3299" s="7" t="s">
        <v>1027</v>
      </c>
      <c r="C3299" s="12">
        <v>5518</v>
      </c>
      <c r="D3299" s="7" t="s">
        <v>4993</v>
      </c>
      <c r="E3299" s="13" t="s">
        <v>842</v>
      </c>
      <c r="F3299" t="str">
        <f t="shared" si="255"/>
        <v>Culebra</v>
      </c>
      <c r="G3299" t="str">
        <f t="shared" si="256"/>
        <v>Culebra5518San Antonio</v>
      </c>
      <c r="H3299" t="s">
        <v>34157</v>
      </c>
      <c r="I3299" t="s">
        <v>25582</v>
      </c>
      <c r="J3299" t="str">
        <f t="shared" si="257"/>
        <v>E:\PropInv\MF</v>
      </c>
      <c r="K3299" s="103" t="str">
        <f>HYPERLINK("E:\PropInv\MF\San Antonio\Culebra Rd_5518_Monticello Manor_San Antonio_04626","Culebra Rd_5518_Monticello Manor_San Antonio_04626" )</f>
        <v>Culebra Rd_5518_Monticello Manor_San Antonio_04626</v>
      </c>
      <c r="L3299" s="104" t="s">
        <v>22253</v>
      </c>
      <c r="M3299" s="103" t="str">
        <f t="shared" si="258"/>
        <v>http://oconnordata.com/mlink/modules/profile/index.cfm?action=profile&amp;prop_id=4626</v>
      </c>
      <c r="N3299" s="1" t="str">
        <f t="shared" si="259"/>
        <v>04626</v>
      </c>
    </row>
    <row r="3300" spans="1:14" x14ac:dyDescent="0.3">
      <c r="A3300" s="1">
        <v>13056</v>
      </c>
      <c r="B3300" s="7" t="s">
        <v>4994</v>
      </c>
      <c r="C3300" s="12">
        <v>1900</v>
      </c>
      <c r="D3300" s="7" t="s">
        <v>4995</v>
      </c>
      <c r="E3300" s="13" t="s">
        <v>4996</v>
      </c>
      <c r="F3300" t="str">
        <f t="shared" si="255"/>
        <v>Elm</v>
      </c>
      <c r="G3300" t="str">
        <f t="shared" si="256"/>
        <v>Elm1900Dallas</v>
      </c>
      <c r="H3300" t="s">
        <v>34158</v>
      </c>
      <c r="I3300" t="s">
        <v>25583</v>
      </c>
      <c r="J3300" t="str">
        <f t="shared" si="257"/>
        <v>E:\PropInv\MF</v>
      </c>
      <c r="K3300" s="103" t="str">
        <f>HYPERLINK("E:\PropInv\MF\Dallas\Elm St_1900_1900 Elm_Dallas_13056","Elm St_1900_1900 Elm_Dallas_13056" )</f>
        <v>Elm St_1900_1900 Elm_Dallas_13056</v>
      </c>
      <c r="L3300" s="104" t="s">
        <v>22253</v>
      </c>
      <c r="M3300" s="103" t="str">
        <f t="shared" si="258"/>
        <v>http://oconnordata.com/mlink/modules/profile/index.cfm?action=profile&amp;prop_id=13056</v>
      </c>
      <c r="N3300" s="1">
        <f t="shared" si="259"/>
        <v>13056</v>
      </c>
    </row>
    <row r="3301" spans="1:14" x14ac:dyDescent="0.3">
      <c r="A3301" s="1">
        <v>13060</v>
      </c>
      <c r="B3301" s="7" t="s">
        <v>4997</v>
      </c>
      <c r="C3301" s="12">
        <v>4242</v>
      </c>
      <c r="D3301" s="7" t="s">
        <v>4998</v>
      </c>
      <c r="E3301" s="13" t="s">
        <v>4996</v>
      </c>
      <c r="F3301" t="str">
        <f t="shared" si="255"/>
        <v>Cedar</v>
      </c>
      <c r="G3301" t="str">
        <f t="shared" si="256"/>
        <v>Cedar4242Dallas</v>
      </c>
      <c r="H3301" t="s">
        <v>34159</v>
      </c>
      <c r="I3301" t="s">
        <v>25584</v>
      </c>
      <c r="J3301" t="str">
        <f t="shared" si="257"/>
        <v>E:\PropInv\MF</v>
      </c>
      <c r="K3301" s="103" t="str">
        <f>HYPERLINK("E:\PropInv\MF\Dallas\Cedar Springs_4242_4242 Cedar Springs (Demolished)_Dallas_13060","Cedar Springs_4242_4242 Cedar Springs (Demolished)_Dallas_13060" )</f>
        <v>Cedar Springs_4242_4242 Cedar Springs (Demolished)_Dallas_13060</v>
      </c>
      <c r="L3301" s="104" t="s">
        <v>22253</v>
      </c>
      <c r="M3301" s="103" t="str">
        <f t="shared" si="258"/>
        <v>http://oconnordata.com/mlink/modules/profile/index.cfm?action=profile&amp;prop_id=13060</v>
      </c>
      <c r="N3301" s="1">
        <f t="shared" si="259"/>
        <v>13060</v>
      </c>
    </row>
    <row r="3302" spans="1:14" x14ac:dyDescent="0.3">
      <c r="A3302" s="1">
        <v>13072</v>
      </c>
      <c r="B3302" s="7" t="s">
        <v>4999</v>
      </c>
      <c r="C3302" s="12">
        <v>2525</v>
      </c>
      <c r="D3302" s="7" t="s">
        <v>5000</v>
      </c>
      <c r="E3302" s="13" t="s">
        <v>4996</v>
      </c>
      <c r="F3302" t="str">
        <f t="shared" si="255"/>
        <v>Worthington</v>
      </c>
      <c r="G3302" t="str">
        <f t="shared" si="256"/>
        <v>Worthington2525Dallas</v>
      </c>
      <c r="H3302" t="s">
        <v>34160</v>
      </c>
      <c r="I3302" t="s">
        <v>25585</v>
      </c>
      <c r="J3302" t="str">
        <f t="shared" si="257"/>
        <v>E:\PropInv\MF</v>
      </c>
      <c r="K3302" s="103" t="str">
        <f>HYPERLINK("E:\PropInv\MF\Dallas\Worthington_2525_Post Abbey_Dallas_13072","Worthington_2525_Post Abbey_Dallas_13072" )</f>
        <v>Worthington_2525_Post Abbey_Dallas_13072</v>
      </c>
      <c r="L3302" s="104" t="s">
        <v>22253</v>
      </c>
      <c r="M3302" s="103" t="str">
        <f t="shared" si="258"/>
        <v>http://oconnordata.com/mlink/modules/profile/index.cfm?action=profile&amp;prop_id=13072</v>
      </c>
      <c r="N3302" s="1">
        <f t="shared" si="259"/>
        <v>13072</v>
      </c>
    </row>
    <row r="3303" spans="1:14" x14ac:dyDescent="0.3">
      <c r="A3303" s="1">
        <v>13075</v>
      </c>
      <c r="B3303" s="7" t="s">
        <v>5001</v>
      </c>
      <c r="C3303" s="12">
        <v>2700</v>
      </c>
      <c r="D3303" s="7" t="s">
        <v>5002</v>
      </c>
      <c r="E3303" s="13" t="s">
        <v>4996</v>
      </c>
      <c r="F3303" t="str">
        <f t="shared" si="255"/>
        <v>Canton</v>
      </c>
      <c r="G3303" t="str">
        <f t="shared" si="256"/>
        <v>Canton2700Dallas</v>
      </c>
      <c r="H3303" t="s">
        <v>34161</v>
      </c>
      <c r="I3303" t="s">
        <v>25586</v>
      </c>
      <c r="J3303" t="str">
        <f t="shared" si="257"/>
        <v>E:\PropInv\MF</v>
      </c>
      <c r="K3303" s="103" t="str">
        <f>HYPERLINK("E:\PropInv\MF\Dallas\Canton_2700_Adam Hats Downtown Lofts_Dallas_13075","Canton_2700_Adam Hats Downtown Lofts_Dallas_13075" )</f>
        <v>Canton_2700_Adam Hats Downtown Lofts_Dallas_13075</v>
      </c>
      <c r="L3303" s="104" t="s">
        <v>22253</v>
      </c>
      <c r="M3303" s="103" t="str">
        <f t="shared" si="258"/>
        <v>http://oconnordata.com/mlink/modules/profile/index.cfm?action=profile&amp;prop_id=13075</v>
      </c>
      <c r="N3303" s="1">
        <f t="shared" si="259"/>
        <v>13075</v>
      </c>
    </row>
    <row r="3304" spans="1:14" x14ac:dyDescent="0.3">
      <c r="A3304" s="1">
        <v>13076</v>
      </c>
      <c r="B3304" s="7" t="s">
        <v>5003</v>
      </c>
      <c r="C3304" s="12">
        <v>5009</v>
      </c>
      <c r="D3304" s="7" t="s">
        <v>5004</v>
      </c>
      <c r="E3304" s="13" t="s">
        <v>5005</v>
      </c>
      <c r="F3304" t="str">
        <f t="shared" si="255"/>
        <v>Addison</v>
      </c>
      <c r="G3304" t="str">
        <f t="shared" si="256"/>
        <v>Addison5009Addison</v>
      </c>
      <c r="H3304" t="s">
        <v>34162</v>
      </c>
      <c r="I3304" t="s">
        <v>25587</v>
      </c>
      <c r="J3304" t="str">
        <f t="shared" si="257"/>
        <v>E:\PropInv\MF</v>
      </c>
      <c r="K3304" s="103" t="str">
        <f>HYPERLINK("E:\PropInv\MF\Addison\Addison Cir_5009_Post Addison Circle_Addison_13076","Addison Cir_5009_Post Addison Circle_Addison_13076" )</f>
        <v>Addison Cir_5009_Post Addison Circle_Addison_13076</v>
      </c>
      <c r="L3304" s="104" t="s">
        <v>22253</v>
      </c>
      <c r="M3304" s="103" t="str">
        <f t="shared" si="258"/>
        <v>http://oconnordata.com/mlink/modules/profile/index.cfm?action=profile&amp;prop_id=13076</v>
      </c>
      <c r="N3304" s="1">
        <f t="shared" si="259"/>
        <v>13076</v>
      </c>
    </row>
    <row r="3305" spans="1:14" x14ac:dyDescent="0.3">
      <c r="A3305" s="1">
        <v>13077</v>
      </c>
      <c r="B3305" s="7" t="s">
        <v>5006</v>
      </c>
      <c r="C3305" s="12">
        <v>4010</v>
      </c>
      <c r="D3305" s="7" t="s">
        <v>5007</v>
      </c>
      <c r="E3305" s="13" t="s">
        <v>5005</v>
      </c>
      <c r="F3305" t="str">
        <f t="shared" si="255"/>
        <v>Brookhaven</v>
      </c>
      <c r="G3305" t="str">
        <f t="shared" si="256"/>
        <v>Brookhaven4010Addison</v>
      </c>
      <c r="H3305" t="s">
        <v>34163</v>
      </c>
      <c r="I3305" t="s">
        <v>25588</v>
      </c>
      <c r="J3305" t="str">
        <f t="shared" si="257"/>
        <v>E:\PropInv\MF</v>
      </c>
      <c r="K3305" s="103" t="str">
        <f>HYPERLINK("E:\PropInv\MF\Addison\Brookhaven Club Dr_4010_Addison of Brookhaven (Demolished)_Addison_13077","Brookhaven Club Dr_4010_Addison of Brookhaven (Demolished)_Addison_13077" )</f>
        <v>Brookhaven Club Dr_4010_Addison of Brookhaven (Demolished)_Addison_13077</v>
      </c>
      <c r="L3305" s="104" t="s">
        <v>22253</v>
      </c>
      <c r="M3305" s="103" t="str">
        <f t="shared" si="258"/>
        <v>http://oconnordata.com/mlink/modules/profile/index.cfm?action=profile&amp;prop_id=13077</v>
      </c>
      <c r="N3305" s="1">
        <f t="shared" si="259"/>
        <v>13077</v>
      </c>
    </row>
    <row r="3306" spans="1:14" x14ac:dyDescent="0.3">
      <c r="A3306" s="1">
        <v>13078</v>
      </c>
      <c r="B3306" s="7" t="s">
        <v>5008</v>
      </c>
      <c r="C3306" s="12">
        <v>700</v>
      </c>
      <c r="D3306" s="7" t="s">
        <v>848</v>
      </c>
      <c r="E3306" s="13" t="s">
        <v>5009</v>
      </c>
      <c r="F3306" t="str">
        <f t="shared" si="255"/>
        <v>18th</v>
      </c>
      <c r="G3306" t="str">
        <f t="shared" si="256"/>
        <v>18th700Plano</v>
      </c>
      <c r="H3306" t="s">
        <v>34164</v>
      </c>
      <c r="I3306" t="s">
        <v>25589</v>
      </c>
      <c r="J3306" t="str">
        <f t="shared" si="257"/>
        <v>E:\PropInv\MF</v>
      </c>
      <c r="K3306" s="103" t="str">
        <f>HYPERLINK("E:\PropInv\MF\Plano\18th St E_700_Alta Vista_Plano_13078","18th St E_700_Alta Vista_Plano_13078" )</f>
        <v>18th St E_700_Alta Vista_Plano_13078</v>
      </c>
      <c r="L3306" s="104" t="s">
        <v>22253</v>
      </c>
      <c r="M3306" s="103" t="str">
        <f t="shared" si="258"/>
        <v>http://oconnordata.com/mlink/modules/profile/index.cfm?action=profile&amp;prop_id=13078</v>
      </c>
      <c r="N3306" s="1">
        <f t="shared" si="259"/>
        <v>13078</v>
      </c>
    </row>
    <row r="3307" spans="1:14" x14ac:dyDescent="0.3">
      <c r="A3307" s="1">
        <v>13079</v>
      </c>
      <c r="B3307" s="7" t="s">
        <v>5010</v>
      </c>
      <c r="C3307" s="12">
        <v>4400</v>
      </c>
      <c r="D3307" s="7" t="s">
        <v>5011</v>
      </c>
      <c r="E3307" s="13" t="s">
        <v>5012</v>
      </c>
      <c r="F3307" t="str">
        <f t="shared" si="255"/>
        <v>Ambassador</v>
      </c>
      <c r="G3307" t="str">
        <f t="shared" si="256"/>
        <v>Ambassador4400Balch Springs</v>
      </c>
      <c r="H3307" t="s">
        <v>34165</v>
      </c>
      <c r="I3307" t="s">
        <v>25590</v>
      </c>
      <c r="J3307" t="str">
        <f t="shared" si="257"/>
        <v>E:\PropInv\MF</v>
      </c>
      <c r="K3307" s="103" t="str">
        <f>HYPERLINK("E:\PropInv\MF\Balch Springs\Ambassador Way_4400_Ambassador_Balch Springs_13079","Ambassador Way_4400_Ambassador_Balch Springs_13079" )</f>
        <v>Ambassador Way_4400_Ambassador_Balch Springs_13079</v>
      </c>
      <c r="L3307" s="104" t="s">
        <v>22253</v>
      </c>
      <c r="M3307" s="103" t="str">
        <f t="shared" si="258"/>
        <v>http://oconnordata.com/mlink/modules/profile/index.cfm?action=profile&amp;prop_id=13079</v>
      </c>
      <c r="N3307" s="1">
        <f t="shared" si="259"/>
        <v>13079</v>
      </c>
    </row>
    <row r="3308" spans="1:14" x14ac:dyDescent="0.3">
      <c r="A3308" s="1">
        <v>13080</v>
      </c>
      <c r="B3308" s="7" t="s">
        <v>5013</v>
      </c>
      <c r="C3308" s="12">
        <v>511</v>
      </c>
      <c r="D3308" s="7" t="s">
        <v>5011</v>
      </c>
      <c r="E3308" s="13" t="s">
        <v>5014</v>
      </c>
      <c r="F3308" t="str">
        <f t="shared" si="255"/>
        <v>Tierney</v>
      </c>
      <c r="G3308" t="str">
        <f t="shared" si="256"/>
        <v>Tierney511Fort Worth</v>
      </c>
      <c r="H3308" t="s">
        <v>34166</v>
      </c>
      <c r="I3308" t="s">
        <v>25591</v>
      </c>
      <c r="J3308" t="str">
        <f t="shared" si="257"/>
        <v>E:\PropInv\MF</v>
      </c>
      <c r="K3308" s="103" t="str">
        <f>HYPERLINK("E:\PropInv\MF\Fort Worth\Tierney_511_Ambassador_Fort Worth_13080","Tierney_511_Ambassador_Fort Worth_13080" )</f>
        <v>Tierney_511_Ambassador_Fort Worth_13080</v>
      </c>
      <c r="L3308" s="104" t="s">
        <v>22253</v>
      </c>
      <c r="M3308" s="103" t="str">
        <f t="shared" si="258"/>
        <v>http://oconnordata.com/mlink/modules/profile/index.cfm?action=profile&amp;prop_id=13080</v>
      </c>
      <c r="N3308" s="1">
        <f t="shared" si="259"/>
        <v>13080</v>
      </c>
    </row>
    <row r="3309" spans="1:14" x14ac:dyDescent="0.3">
      <c r="A3309" s="1">
        <v>13081</v>
      </c>
      <c r="B3309" s="7" t="s">
        <v>5015</v>
      </c>
      <c r="C3309" s="12">
        <v>8542</v>
      </c>
      <c r="D3309" s="7" t="s">
        <v>5016</v>
      </c>
      <c r="E3309" s="13" t="s">
        <v>4996</v>
      </c>
      <c r="F3309" t="str">
        <f t="shared" si="255"/>
        <v>Spring</v>
      </c>
      <c r="G3309" t="str">
        <f t="shared" si="256"/>
        <v>Spring8542Dallas</v>
      </c>
      <c r="H3309" t="s">
        <v>34167</v>
      </c>
      <c r="I3309" t="s">
        <v>25592</v>
      </c>
      <c r="J3309" t="str">
        <f t="shared" si="257"/>
        <v>E:\PropInv\MF</v>
      </c>
      <c r="K3309" s="103" t="str">
        <f>HYPERLINK("E:\PropInv\MF\Dallas\Spring Valley_8542_Amber Dawn_Dallas_13081","Spring Valley_8542_Amber Dawn_Dallas_13081" )</f>
        <v>Spring Valley_8542_Amber Dawn_Dallas_13081</v>
      </c>
      <c r="L3309" s="104" t="s">
        <v>22253</v>
      </c>
      <c r="M3309" s="103" t="str">
        <f t="shared" si="258"/>
        <v>http://oconnordata.com/mlink/modules/profile/index.cfm?action=profile&amp;prop_id=13081</v>
      </c>
      <c r="N3309" s="1">
        <f t="shared" si="259"/>
        <v>13081</v>
      </c>
    </row>
    <row r="3310" spans="1:14" x14ac:dyDescent="0.3">
      <c r="A3310" s="1">
        <v>13083</v>
      </c>
      <c r="B3310" s="7" t="s">
        <v>5017</v>
      </c>
      <c r="C3310" s="12">
        <v>2735</v>
      </c>
      <c r="D3310" s="7" t="s">
        <v>5018</v>
      </c>
      <c r="E3310" s="13" t="s">
        <v>5019</v>
      </c>
      <c r="F3310" t="str">
        <f t="shared" si="255"/>
        <v>Garland</v>
      </c>
      <c r="G3310" t="str">
        <f t="shared" si="256"/>
        <v>Garland2735Garland</v>
      </c>
      <c r="H3310" t="s">
        <v>34168</v>
      </c>
      <c r="I3310" t="s">
        <v>25593</v>
      </c>
      <c r="J3310" t="str">
        <f t="shared" si="257"/>
        <v>E:\PropInv\MF</v>
      </c>
      <c r="K3310" s="103" t="str">
        <f>HYPERLINK("E:\PropInv\MF\Garland\Garland Ave N_2735_Amberly Village TH_Garland_13083","Garland Ave N_2735_Amberly Village TH_Garland_13083" )</f>
        <v>Garland Ave N_2735_Amberly Village TH_Garland_13083</v>
      </c>
      <c r="L3310" s="104" t="s">
        <v>22253</v>
      </c>
      <c r="M3310" s="103" t="str">
        <f t="shared" si="258"/>
        <v>http://oconnordata.com/mlink/modules/profile/index.cfm?action=profile&amp;prop_id=13083</v>
      </c>
      <c r="N3310" s="1">
        <f t="shared" si="259"/>
        <v>13083</v>
      </c>
    </row>
    <row r="3311" spans="1:14" x14ac:dyDescent="0.3">
      <c r="A3311" s="1">
        <v>13084</v>
      </c>
      <c r="B3311" s="7" t="s">
        <v>5020</v>
      </c>
      <c r="C3311" s="12">
        <v>2400</v>
      </c>
      <c r="D3311" s="7" t="s">
        <v>5021</v>
      </c>
      <c r="E3311" s="13" t="s">
        <v>4996</v>
      </c>
      <c r="F3311" t="str">
        <f t="shared" si="255"/>
        <v>Ervay</v>
      </c>
      <c r="G3311" t="str">
        <f t="shared" si="256"/>
        <v>Ervay2400Dallas</v>
      </c>
      <c r="H3311" t="s">
        <v>34169</v>
      </c>
      <c r="I3311" t="s">
        <v>25594</v>
      </c>
      <c r="J3311" t="str">
        <f t="shared" si="257"/>
        <v>E:\PropInv\MF</v>
      </c>
      <c r="K3311" s="103" t="str">
        <f>HYPERLINK("E:\PropInv\MF\Dallas\Ervay St S_2400_American Beauty Mill Lofts_Dallas_13084","Ervay St S_2400_American Beauty Mill Lofts_Dallas_13084" )</f>
        <v>Ervay St S_2400_American Beauty Mill Lofts_Dallas_13084</v>
      </c>
      <c r="L3311" s="104" t="s">
        <v>22253</v>
      </c>
      <c r="M3311" s="103" t="str">
        <f t="shared" si="258"/>
        <v>http://oconnordata.com/mlink/modules/profile/index.cfm?action=profile&amp;prop_id=13084</v>
      </c>
      <c r="N3311" s="1">
        <f t="shared" si="259"/>
        <v>13084</v>
      </c>
    </row>
    <row r="3312" spans="1:14" x14ac:dyDescent="0.3">
      <c r="A3312" s="1">
        <v>13085</v>
      </c>
      <c r="B3312" s="7" t="s">
        <v>5022</v>
      </c>
      <c r="C3312" s="12">
        <v>3711</v>
      </c>
      <c r="D3312" s="7" t="s">
        <v>5023</v>
      </c>
      <c r="E3312" s="13" t="s">
        <v>4996</v>
      </c>
      <c r="F3312" t="str">
        <f t="shared" si="255"/>
        <v>Dilido</v>
      </c>
      <c r="G3312" t="str">
        <f t="shared" si="256"/>
        <v>Dilido3711Dallas</v>
      </c>
      <c r="H3312" t="s">
        <v>34170</v>
      </c>
      <c r="I3312" t="s">
        <v>25595</v>
      </c>
      <c r="J3312" t="str">
        <f t="shared" si="257"/>
        <v>E:\PropInv\MF</v>
      </c>
      <c r="K3312" s="103" t="str">
        <f>HYPERLINK("E:\PropInv\MF\Dallas\Dilido_3711_La Ventana_Dallas_13085","Dilido_3711_La Ventana_Dallas_13085" )</f>
        <v>Dilido_3711_La Ventana_Dallas_13085</v>
      </c>
      <c r="L3312" s="104" t="s">
        <v>22253</v>
      </c>
      <c r="M3312" s="103" t="str">
        <f t="shared" si="258"/>
        <v>http://oconnordata.com/mlink/modules/profile/index.cfm?action=profile&amp;prop_id=13085</v>
      </c>
      <c r="N3312" s="1">
        <f t="shared" si="259"/>
        <v>13085</v>
      </c>
    </row>
    <row r="3313" spans="1:14" x14ac:dyDescent="0.3">
      <c r="A3313" s="1">
        <v>13086</v>
      </c>
      <c r="B3313" s="7" t="s">
        <v>5024</v>
      </c>
      <c r="C3313" s="12">
        <v>4662</v>
      </c>
      <c r="D3313" s="7" t="s">
        <v>5025</v>
      </c>
      <c r="E3313" s="13" t="s">
        <v>4996</v>
      </c>
      <c r="F3313" t="str">
        <f t="shared" si="255"/>
        <v>Amesbury</v>
      </c>
      <c r="G3313" t="str">
        <f t="shared" si="256"/>
        <v>Amesbury4662Dallas</v>
      </c>
      <c r="H3313" t="s">
        <v>34171</v>
      </c>
      <c r="I3313" t="s">
        <v>25596</v>
      </c>
      <c r="J3313" t="str">
        <f t="shared" si="257"/>
        <v>E:\PropInv\MF</v>
      </c>
      <c r="K3313" s="103" t="str">
        <f>HYPERLINK("E:\PropInv\MF\Dallas\Amesbury Dr_4662_Amesbury Parc_Dallas_13086","Amesbury Dr_4662_Amesbury Parc_Dallas_13086" )</f>
        <v>Amesbury Dr_4662_Amesbury Parc_Dallas_13086</v>
      </c>
      <c r="L3313" s="104" t="s">
        <v>22253</v>
      </c>
      <c r="M3313" s="103" t="str">
        <f t="shared" si="258"/>
        <v>http://oconnordata.com/mlink/modules/profile/index.cfm?action=profile&amp;prop_id=13086</v>
      </c>
      <c r="N3313" s="1">
        <f t="shared" si="259"/>
        <v>13086</v>
      </c>
    </row>
    <row r="3314" spans="1:14" x14ac:dyDescent="0.3">
      <c r="A3314" s="1">
        <v>13088</v>
      </c>
      <c r="B3314" s="7" t="s">
        <v>5024</v>
      </c>
      <c r="C3314" s="12">
        <v>5020</v>
      </c>
      <c r="D3314" s="7" t="s">
        <v>5026</v>
      </c>
      <c r="E3314" s="13" t="s">
        <v>4996</v>
      </c>
      <c r="F3314" t="str">
        <f t="shared" si="255"/>
        <v>Amesbury</v>
      </c>
      <c r="G3314" t="str">
        <f t="shared" si="256"/>
        <v>Amesbury5020Dallas</v>
      </c>
      <c r="H3314" t="s">
        <v>34172</v>
      </c>
      <c r="I3314" t="s">
        <v>25597</v>
      </c>
      <c r="J3314" t="str">
        <f t="shared" si="257"/>
        <v>E:\PropInv\MF</v>
      </c>
      <c r="K3314" s="103" t="str">
        <f>HYPERLINK("E:\PropInv\MF\Dallas\Amesbury Dr_5020_Amesbury TH_Dallas_13088","Amesbury Dr_5020_Amesbury TH_Dallas_13088" )</f>
        <v>Amesbury Dr_5020_Amesbury TH_Dallas_13088</v>
      </c>
      <c r="L3314" s="104" t="s">
        <v>22253</v>
      </c>
      <c r="M3314" s="103" t="str">
        <f t="shared" si="258"/>
        <v>http://oconnordata.com/mlink/modules/profile/index.cfm?action=profile&amp;prop_id=13088</v>
      </c>
      <c r="N3314" s="1">
        <f t="shared" si="259"/>
        <v>13088</v>
      </c>
    </row>
    <row r="3315" spans="1:14" x14ac:dyDescent="0.3">
      <c r="A3315" s="1">
        <v>13089</v>
      </c>
      <c r="B3315" s="7" t="s">
        <v>5027</v>
      </c>
      <c r="C3315" s="12">
        <v>3901</v>
      </c>
      <c r="D3315" s="7" t="s">
        <v>5028</v>
      </c>
      <c r="E3315" s="13" t="s">
        <v>4996</v>
      </c>
      <c r="F3315" t="str">
        <f t="shared" si="255"/>
        <v>Accent</v>
      </c>
      <c r="G3315" t="str">
        <f t="shared" si="256"/>
        <v>Accent3901Dallas</v>
      </c>
      <c r="H3315" t="s">
        <v>34173</v>
      </c>
      <c r="I3315" t="s">
        <v>25598</v>
      </c>
      <c r="J3315" t="str">
        <f t="shared" si="257"/>
        <v>E:\PropInv\MF</v>
      </c>
      <c r="K3315" s="103" t="str">
        <f>HYPERLINK("E:\PropInv\MF\Dallas\Accent Dr_3901_Bellagio at Bent Tree I &amp; II_Dallas_13089","Accent Dr_3901_Bellagio at Bent Tree I &amp; II_Dallas_13089" )</f>
        <v>Accent Dr_3901_Bellagio at Bent Tree I &amp; II_Dallas_13089</v>
      </c>
      <c r="L3315" s="104" t="s">
        <v>22253</v>
      </c>
      <c r="M3315" s="103" t="str">
        <f t="shared" si="258"/>
        <v>http://oconnordata.com/mlink/modules/profile/index.cfm?action=profile&amp;prop_id=13089</v>
      </c>
      <c r="N3315" s="1">
        <f t="shared" si="259"/>
        <v>13089</v>
      </c>
    </row>
    <row r="3316" spans="1:14" x14ac:dyDescent="0.3">
      <c r="A3316" s="1">
        <v>13090</v>
      </c>
      <c r="B3316" s="7" t="s">
        <v>5029</v>
      </c>
      <c r="C3316" s="12">
        <v>4701</v>
      </c>
      <c r="D3316" s="7" t="s">
        <v>5030</v>
      </c>
      <c r="E3316" s="13" t="s">
        <v>5009</v>
      </c>
      <c r="F3316" t="str">
        <f t="shared" si="255"/>
        <v>Preston</v>
      </c>
      <c r="G3316" t="str">
        <f t="shared" si="256"/>
        <v>Preston4701Plano</v>
      </c>
      <c r="H3316" t="s">
        <v>34174</v>
      </c>
      <c r="I3316" t="s">
        <v>25599</v>
      </c>
      <c r="J3316" t="str">
        <f t="shared" si="257"/>
        <v>E:\PropInv\MF</v>
      </c>
      <c r="K3316" s="103" t="str">
        <f>HYPERLINK("E:\PropInv\MF\Plano\Preston Park Blvd_4701_Archstone Preston Park_Plano_13090","Preston Park Blvd_4701_Archstone Preston Park_Plano_13090" )</f>
        <v>Preston Park Blvd_4701_Archstone Preston Park_Plano_13090</v>
      </c>
      <c r="L3316" s="104" t="s">
        <v>22253</v>
      </c>
      <c r="M3316" s="103" t="str">
        <f t="shared" si="258"/>
        <v>http://oconnordata.com/mlink/modules/profile/index.cfm?action=profile&amp;prop_id=13090</v>
      </c>
      <c r="N3316" s="1">
        <f t="shared" si="259"/>
        <v>13090</v>
      </c>
    </row>
    <row r="3317" spans="1:14" x14ac:dyDescent="0.3">
      <c r="A3317" s="1">
        <v>13091</v>
      </c>
      <c r="B3317" s="7" t="s">
        <v>5031</v>
      </c>
      <c r="C3317" s="12">
        <v>4250</v>
      </c>
      <c r="D3317" s="7" t="s">
        <v>5032</v>
      </c>
      <c r="E3317" s="13" t="s">
        <v>3328</v>
      </c>
      <c r="F3317" t="str">
        <f t="shared" si="255"/>
        <v>Renner</v>
      </c>
      <c r="G3317" t="str">
        <f t="shared" si="256"/>
        <v>Renner4250Richardson</v>
      </c>
      <c r="H3317" t="s">
        <v>34175</v>
      </c>
      <c r="I3317" t="s">
        <v>25600</v>
      </c>
      <c r="J3317" t="str">
        <f t="shared" si="257"/>
        <v>E:\PropInv\MF</v>
      </c>
      <c r="K3317" s="103" t="str">
        <f>HYPERLINK("E:\PropInv\MF\Richardson\Renner Rd E_4250_Breckinridge Point_Richardson_13091","Renner Rd E_4250_Breckinridge Point_Richardson_13091" )</f>
        <v>Renner Rd E_4250_Breckinridge Point_Richardson_13091</v>
      </c>
      <c r="L3317" s="104" t="s">
        <v>22253</v>
      </c>
      <c r="M3317" s="103" t="str">
        <f t="shared" si="258"/>
        <v>http://oconnordata.com/mlink/modules/profile/index.cfm?action=profile&amp;prop_id=13091</v>
      </c>
      <c r="N3317" s="1">
        <f t="shared" si="259"/>
        <v>13091</v>
      </c>
    </row>
    <row r="3318" spans="1:14" x14ac:dyDescent="0.3">
      <c r="A3318" s="1">
        <v>13092</v>
      </c>
      <c r="B3318" s="7" t="s">
        <v>5033</v>
      </c>
      <c r="C3318" s="12">
        <v>600</v>
      </c>
      <c r="D3318" s="7" t="s">
        <v>5034</v>
      </c>
      <c r="E3318" s="13" t="s">
        <v>5009</v>
      </c>
      <c r="F3318" t="str">
        <f t="shared" si="255"/>
        <v>Legacy</v>
      </c>
      <c r="G3318" t="str">
        <f t="shared" si="256"/>
        <v>Legacy600Plano</v>
      </c>
      <c r="H3318" t="s">
        <v>34176</v>
      </c>
      <c r="I3318" t="s">
        <v>25601</v>
      </c>
      <c r="J3318" t="str">
        <f t="shared" si="257"/>
        <v>E:\PropInv\MF</v>
      </c>
      <c r="K3318" s="103" t="str">
        <f>HYPERLINK("E:\PropInv\MF\Plano\Legacy_600_Villas at Chase Oaks_Plano_13092","Legacy_600_Villas at Chase Oaks_Plano_13092" )</f>
        <v>Legacy_600_Villas at Chase Oaks_Plano_13092</v>
      </c>
      <c r="L3318" s="104" t="s">
        <v>22253</v>
      </c>
      <c r="M3318" s="103" t="str">
        <f t="shared" si="258"/>
        <v>http://oconnordata.com/mlink/modules/profile/index.cfm?action=profile&amp;prop_id=13092</v>
      </c>
      <c r="N3318" s="1">
        <f t="shared" si="259"/>
        <v>13092</v>
      </c>
    </row>
    <row r="3319" spans="1:14" x14ac:dyDescent="0.3">
      <c r="A3319" s="1">
        <v>13093</v>
      </c>
      <c r="B3319" s="7" t="s">
        <v>5035</v>
      </c>
      <c r="C3319" s="12">
        <v>4640</v>
      </c>
      <c r="D3319" s="7" t="s">
        <v>5036</v>
      </c>
      <c r="E3319" s="13" t="s">
        <v>5009</v>
      </c>
      <c r="F3319" t="str">
        <f t="shared" si="255"/>
        <v>Hedgecoxe</v>
      </c>
      <c r="G3319" t="str">
        <f t="shared" si="256"/>
        <v>Hedgecoxe4640Plano</v>
      </c>
      <c r="H3319" t="s">
        <v>34177</v>
      </c>
      <c r="I3319" t="s">
        <v>25602</v>
      </c>
      <c r="J3319" t="str">
        <f t="shared" si="257"/>
        <v>E:\PropInv\MF</v>
      </c>
      <c r="K3319" s="103" t="str">
        <f>HYPERLINK("E:\PropInv\MF\Plano\Hedgecoxe_4640_AMLI at Deerfield_Plano_13093","Hedgecoxe_4640_AMLI at Deerfield_Plano_13093" )</f>
        <v>Hedgecoxe_4640_AMLI at Deerfield_Plano_13093</v>
      </c>
      <c r="L3319" s="104" t="s">
        <v>22253</v>
      </c>
      <c r="M3319" s="103" t="str">
        <f t="shared" si="258"/>
        <v>http://oconnordata.com/mlink/modules/profile/index.cfm?action=profile&amp;prop_id=13093</v>
      </c>
      <c r="N3319" s="1">
        <f t="shared" si="259"/>
        <v>13093</v>
      </c>
    </row>
    <row r="3320" spans="1:14" x14ac:dyDescent="0.3">
      <c r="A3320" s="1">
        <v>13095</v>
      </c>
      <c r="B3320" s="7" t="s">
        <v>5037</v>
      </c>
      <c r="C3320" s="12">
        <v>18949</v>
      </c>
      <c r="D3320" s="7" t="s">
        <v>5038</v>
      </c>
      <c r="E3320" s="13" t="s">
        <v>4996</v>
      </c>
      <c r="F3320" t="str">
        <f t="shared" si="255"/>
        <v>Marsh</v>
      </c>
      <c r="G3320" t="str">
        <f t="shared" si="256"/>
        <v>Marsh18949Dallas</v>
      </c>
      <c r="H3320" t="s">
        <v>34178</v>
      </c>
      <c r="I3320" t="s">
        <v>25603</v>
      </c>
      <c r="J3320" t="str">
        <f t="shared" si="257"/>
        <v>E:\PropInv\MF</v>
      </c>
      <c r="K3320" s="103" t="str">
        <f>HYPERLINK("E:\PropInv\MF\Dallas\Marsh Ln_18949_Nantucket Landing_Dallas_13095","Marsh Ln_18949_Nantucket Landing_Dallas_13095" )</f>
        <v>Marsh Ln_18949_Nantucket Landing_Dallas_13095</v>
      </c>
      <c r="L3320" s="104" t="s">
        <v>22253</v>
      </c>
      <c r="M3320" s="103" t="str">
        <f t="shared" si="258"/>
        <v>http://oconnordata.com/mlink/modules/profile/index.cfm?action=profile&amp;prop_id=13095</v>
      </c>
      <c r="N3320" s="1">
        <f t="shared" si="259"/>
        <v>13095</v>
      </c>
    </row>
    <row r="3321" spans="1:14" x14ac:dyDescent="0.3">
      <c r="A3321" s="1">
        <v>13097</v>
      </c>
      <c r="B3321" s="7" t="s">
        <v>1577</v>
      </c>
      <c r="C3321" s="12">
        <v>1111</v>
      </c>
      <c r="D3321" s="7" t="s">
        <v>5039</v>
      </c>
      <c r="E3321" s="13" t="s">
        <v>5040</v>
      </c>
      <c r="F3321" t="str">
        <f t="shared" si="255"/>
        <v>Lexington</v>
      </c>
      <c r="G3321" t="str">
        <f t="shared" si="256"/>
        <v>Lexington1111Flower Mound</v>
      </c>
      <c r="H3321" t="s">
        <v>34179</v>
      </c>
      <c r="I3321" t="s">
        <v>25604</v>
      </c>
      <c r="J3321" t="str">
        <f t="shared" si="257"/>
        <v>E:\PropInv\MF</v>
      </c>
      <c r="K3321" s="103" t="str">
        <f>HYPERLINK("E:\PropInv\MF\Flower Mound\Lexington Ave_1111_Archstone Lexington_Flower Mound_13097","Lexington Ave_1111_Archstone Lexington_Flower Mound_13097" )</f>
        <v>Lexington Ave_1111_Archstone Lexington_Flower Mound_13097</v>
      </c>
      <c r="L3321" s="104" t="s">
        <v>22253</v>
      </c>
      <c r="M3321" s="103" t="str">
        <f t="shared" si="258"/>
        <v>http://oconnordata.com/mlink/modules/profile/index.cfm?action=profile&amp;prop_id=13097</v>
      </c>
      <c r="N3321" s="1">
        <f t="shared" si="259"/>
        <v>13097</v>
      </c>
    </row>
    <row r="3322" spans="1:14" x14ac:dyDescent="0.3">
      <c r="A3322" s="1">
        <v>13098</v>
      </c>
      <c r="B3322" s="7" t="s">
        <v>5041</v>
      </c>
      <c r="C3322" s="12">
        <v>6530</v>
      </c>
      <c r="D3322" s="7" t="s">
        <v>5042</v>
      </c>
      <c r="E3322" s="13" t="s">
        <v>5043</v>
      </c>
      <c r="F3322" t="str">
        <f t="shared" si="255"/>
        <v>Virginia</v>
      </c>
      <c r="G3322" t="str">
        <f t="shared" si="256"/>
        <v>Virginia6530McKinney</v>
      </c>
      <c r="H3322" t="s">
        <v>34180</v>
      </c>
      <c r="I3322" t="s">
        <v>25605</v>
      </c>
      <c r="J3322" t="str">
        <f t="shared" si="257"/>
        <v>E:\PropInv\MF</v>
      </c>
      <c r="K3322" s="103" t="str">
        <f>HYPERLINK("E:\PropInv\MF\McKinney\Virginia Pkwy_6530_The Venue at Stonebridge Ranch_McKinney_13098","Virginia Pkwy_6530_The Venue at Stonebridge Ranch_McKinney_13098" )</f>
        <v>Virginia Pkwy_6530_The Venue at Stonebridge Ranch_McKinney_13098</v>
      </c>
      <c r="L3322" s="104" t="s">
        <v>22253</v>
      </c>
      <c r="M3322" s="103" t="str">
        <f t="shared" si="258"/>
        <v>http://oconnordata.com/mlink/modules/profile/index.cfm?action=profile&amp;prop_id=13098</v>
      </c>
      <c r="N3322" s="1">
        <f t="shared" si="259"/>
        <v>13098</v>
      </c>
    </row>
    <row r="3323" spans="1:14" x14ac:dyDescent="0.3">
      <c r="A3323" s="1">
        <v>13099</v>
      </c>
      <c r="B3323" s="7" t="s">
        <v>5044</v>
      </c>
      <c r="C3323" s="12">
        <v>430</v>
      </c>
      <c r="D3323" s="7" t="s">
        <v>5045</v>
      </c>
      <c r="E3323" s="13" t="s">
        <v>5046</v>
      </c>
      <c r="F3323" t="str">
        <f t="shared" si="255"/>
        <v>Red</v>
      </c>
      <c r="G3323" t="str">
        <f t="shared" si="256"/>
        <v>Red430Irving</v>
      </c>
      <c r="H3323" t="s">
        <v>34181</v>
      </c>
      <c r="I3323" t="s">
        <v>25606</v>
      </c>
      <c r="J3323" t="str">
        <f t="shared" si="257"/>
        <v>E:\PropInv\MF</v>
      </c>
      <c r="K3323" s="103" t="str">
        <f>HYPERLINK("E:\PropInv\MF\Irving\Red River Trl_430_Gardens of Valley Ranch_Irving_13099","Red River Trl_430_Gardens of Valley Ranch_Irving_13099" )</f>
        <v>Red River Trl_430_Gardens of Valley Ranch_Irving_13099</v>
      </c>
      <c r="L3323" s="104" t="s">
        <v>22253</v>
      </c>
      <c r="M3323" s="103" t="str">
        <f t="shared" si="258"/>
        <v>http://oconnordata.com/mlink/modules/profile/index.cfm?action=profile&amp;prop_id=13099</v>
      </c>
      <c r="N3323" s="1">
        <f t="shared" si="259"/>
        <v>13099</v>
      </c>
    </row>
    <row r="3324" spans="1:14" x14ac:dyDescent="0.3">
      <c r="A3324" s="1">
        <v>13100</v>
      </c>
      <c r="B3324" s="7" t="s">
        <v>5047</v>
      </c>
      <c r="C3324" s="12">
        <v>3847</v>
      </c>
      <c r="D3324" s="7" t="s">
        <v>5048</v>
      </c>
      <c r="E3324" s="13" t="s">
        <v>4996</v>
      </c>
      <c r="F3324" t="str">
        <f t="shared" si="255"/>
        <v>Timberglen</v>
      </c>
      <c r="G3324" t="str">
        <f t="shared" si="256"/>
        <v>Timberglen3847Dallas</v>
      </c>
      <c r="H3324" t="s">
        <v>34182</v>
      </c>
      <c r="I3324" t="s">
        <v>25607</v>
      </c>
      <c r="J3324" t="str">
        <f t="shared" si="257"/>
        <v>E:\PropInv\MF</v>
      </c>
      <c r="K3324" s="103" t="str">
        <f>HYPERLINK("E:\PropInv\MF\Dallas\Timberglen_3847_Triden Village Apts_Dallas_13100","Timberglen_3847_Triden Village Apts_Dallas_13100" )</f>
        <v>Timberglen_3847_Triden Village Apts_Dallas_13100</v>
      </c>
      <c r="L3324" s="104" t="s">
        <v>22253</v>
      </c>
      <c r="M3324" s="103" t="str">
        <f t="shared" si="258"/>
        <v>http://oconnordata.com/mlink/modules/profile/index.cfm?action=profile&amp;prop_id=13100</v>
      </c>
      <c r="N3324" s="1">
        <f t="shared" si="259"/>
        <v>13100</v>
      </c>
    </row>
    <row r="3325" spans="1:14" x14ac:dyDescent="0.3">
      <c r="A3325" s="1">
        <v>13102</v>
      </c>
      <c r="B3325" s="7" t="s">
        <v>5049</v>
      </c>
      <c r="C3325" s="12">
        <v>3653</v>
      </c>
      <c r="D3325" s="7" t="s">
        <v>5050</v>
      </c>
      <c r="E3325" s="13" t="s">
        <v>4996</v>
      </c>
      <c r="F3325" t="str">
        <f t="shared" si="255"/>
        <v>Briargrove</v>
      </c>
      <c r="G3325" t="str">
        <f t="shared" si="256"/>
        <v>Briargrove3653Dallas</v>
      </c>
      <c r="H3325" t="s">
        <v>34183</v>
      </c>
      <c r="I3325" t="s">
        <v>25608</v>
      </c>
      <c r="J3325" t="str">
        <f t="shared" si="257"/>
        <v>E:\PropInv\MF</v>
      </c>
      <c r="K3325" s="103" t="str">
        <f>HYPERLINK("E:\PropInv\MF\Dallas\Briargrove Ln_3653_Andalusian Gate_Dallas_13102","Briargrove Ln_3653_Andalusian Gate_Dallas_13102" )</f>
        <v>Briargrove Ln_3653_Andalusian Gate_Dallas_13102</v>
      </c>
      <c r="L3325" s="104" t="s">
        <v>22253</v>
      </c>
      <c r="M3325" s="103" t="str">
        <f t="shared" si="258"/>
        <v>http://oconnordata.com/mlink/modules/profile/index.cfm?action=profile&amp;prop_id=13102</v>
      </c>
      <c r="N3325" s="1">
        <f t="shared" si="259"/>
        <v>13102</v>
      </c>
    </row>
    <row r="3326" spans="1:14" x14ac:dyDescent="0.3">
      <c r="A3326" s="1">
        <v>13103</v>
      </c>
      <c r="B3326" s="7" t="s">
        <v>1472</v>
      </c>
      <c r="C3326" s="12">
        <v>3005</v>
      </c>
      <c r="D3326" s="7" t="s">
        <v>5051</v>
      </c>
      <c r="E3326" s="13" t="s">
        <v>5046</v>
      </c>
      <c r="F3326" t="str">
        <f t="shared" si="255"/>
        <v>Walnut</v>
      </c>
      <c r="G3326" t="str">
        <f t="shared" si="256"/>
        <v>Walnut3005Irving</v>
      </c>
      <c r="H3326" t="s">
        <v>34184</v>
      </c>
      <c r="I3326" t="s">
        <v>25609</v>
      </c>
      <c r="J3326" t="str">
        <f t="shared" si="257"/>
        <v>E:\PropInv\MF</v>
      </c>
      <c r="K3326" s="103" t="str">
        <f>HYPERLINK("E:\PropInv\MF\Irving\Walnut Hill_3005_The Apple_Irving_13103","Walnut Hill_3005_The Apple_Irving_13103" )</f>
        <v>Walnut Hill_3005_The Apple_Irving_13103</v>
      </c>
      <c r="L3326" s="104" t="s">
        <v>22253</v>
      </c>
      <c r="M3326" s="103" t="str">
        <f t="shared" si="258"/>
        <v>http://oconnordata.com/mlink/modules/profile/index.cfm?action=profile&amp;prop_id=13103</v>
      </c>
      <c r="N3326" s="1">
        <f t="shared" si="259"/>
        <v>13103</v>
      </c>
    </row>
    <row r="3327" spans="1:14" x14ac:dyDescent="0.3">
      <c r="A3327" s="1">
        <v>13104</v>
      </c>
      <c r="B3327" s="7" t="s">
        <v>5052</v>
      </c>
      <c r="C3327" s="12">
        <v>9874</v>
      </c>
      <c r="D3327" s="7" t="s">
        <v>5053</v>
      </c>
      <c r="E3327" s="13" t="s">
        <v>4996</v>
      </c>
      <c r="F3327" t="str">
        <f t="shared" si="255"/>
        <v>Dale</v>
      </c>
      <c r="G3327" t="str">
        <f t="shared" si="256"/>
        <v>Dale9874Dallas</v>
      </c>
      <c r="H3327" t="s">
        <v>34185</v>
      </c>
      <c r="I3327" t="s">
        <v>25610</v>
      </c>
      <c r="J3327" t="str">
        <f t="shared" si="257"/>
        <v>E:\PropInv\MF</v>
      </c>
      <c r="K3327" s="103" t="str">
        <f>HYPERLINK("E:\PropInv\MF\Dallas\Dale Crest Dr_9874_Gage Place_Dallas_13104","Dale Crest Dr_9874_Gage Place_Dallas_13104" )</f>
        <v>Dale Crest Dr_9874_Gage Place_Dallas_13104</v>
      </c>
      <c r="L3327" s="104" t="s">
        <v>22253</v>
      </c>
      <c r="M3327" s="103" t="str">
        <f t="shared" si="258"/>
        <v>http://oconnordata.com/mlink/modules/profile/index.cfm?action=profile&amp;prop_id=13104</v>
      </c>
      <c r="N3327" s="1">
        <f t="shared" si="259"/>
        <v>13104</v>
      </c>
    </row>
    <row r="3328" spans="1:14" x14ac:dyDescent="0.3">
      <c r="A3328" s="1">
        <v>13105</v>
      </c>
      <c r="B3328" s="21" t="s">
        <v>686</v>
      </c>
      <c r="C3328" s="12">
        <v>396</v>
      </c>
      <c r="D3328" s="7" t="s">
        <v>5054</v>
      </c>
      <c r="E3328" s="13" t="s">
        <v>5055</v>
      </c>
      <c r="F3328" t="str">
        <f t="shared" si="255"/>
        <v>SW</v>
      </c>
      <c r="G3328" t="str">
        <f t="shared" si="256"/>
        <v>SW396Lewisville</v>
      </c>
      <c r="H3328" t="s">
        <v>34186</v>
      </c>
      <c r="I3328" t="s">
        <v>25611</v>
      </c>
      <c r="J3328" t="str">
        <f t="shared" si="257"/>
        <v>E:\PropInv\MF</v>
      </c>
      <c r="K3328" s="103" t="str">
        <f>HYPERLINK("E:\PropInv\MF\Lewisville\SW Pkwy_396_Arbor Creek_Lewisville_13105","SW Pkwy_396_Arbor Creek_Lewisville_13105" )</f>
        <v>SW Pkwy_396_Arbor Creek_Lewisville_13105</v>
      </c>
      <c r="L3328" s="104" t="s">
        <v>22253</v>
      </c>
      <c r="M3328" s="103" t="str">
        <f t="shared" si="258"/>
        <v>http://oconnordata.com/mlink/modules/profile/index.cfm?action=profile&amp;prop_id=13105</v>
      </c>
      <c r="N3328" s="1">
        <f t="shared" si="259"/>
        <v>13105</v>
      </c>
    </row>
    <row r="3329" spans="1:14" x14ac:dyDescent="0.3">
      <c r="A3329" s="1">
        <v>13106</v>
      </c>
      <c r="B3329" s="7" t="s">
        <v>5056</v>
      </c>
      <c r="C3329" s="12">
        <v>411</v>
      </c>
      <c r="D3329" s="7" t="s">
        <v>5057</v>
      </c>
      <c r="E3329" s="13" t="s">
        <v>3328</v>
      </c>
      <c r="F3329" t="str">
        <f t="shared" si="255"/>
        <v>Buckingham</v>
      </c>
      <c r="G3329" t="str">
        <f t="shared" si="256"/>
        <v>Buckingham411Richardson</v>
      </c>
      <c r="H3329" t="s">
        <v>34187</v>
      </c>
      <c r="I3329" t="s">
        <v>25612</v>
      </c>
      <c r="J3329" t="str">
        <f t="shared" si="257"/>
        <v>E:\PropInv\MF</v>
      </c>
      <c r="K3329" s="103" t="str">
        <f>HYPERLINK("E:\PropInv\MF\Richardson\Buckingham Rd E_411_Arboretum Estates_Richardson_13106","Buckingham Rd E_411_Arboretum Estates_Richardson_13106" )</f>
        <v>Buckingham Rd E_411_Arboretum Estates_Richardson_13106</v>
      </c>
      <c r="L3329" s="104" t="s">
        <v>22253</v>
      </c>
      <c r="M3329" s="103" t="str">
        <f t="shared" si="258"/>
        <v>http://oconnordata.com/mlink/modules/profile/index.cfm?action=profile&amp;prop_id=13106</v>
      </c>
      <c r="N3329" s="1">
        <f t="shared" si="259"/>
        <v>13106</v>
      </c>
    </row>
    <row r="3330" spans="1:14" x14ac:dyDescent="0.3">
      <c r="A3330" s="1">
        <v>13107</v>
      </c>
      <c r="B3330" s="7" t="s">
        <v>5058</v>
      </c>
      <c r="C3330" s="12">
        <v>2240</v>
      </c>
      <c r="D3330" s="7" t="s">
        <v>5059</v>
      </c>
      <c r="E3330" s="13" t="s">
        <v>5060</v>
      </c>
      <c r="F3330" t="str">
        <f t="shared" ref="F3330:F3393" si="260">IFERROR(LEFT(B3330,FIND(" ",B3330)-1),B3330)</f>
        <v>Trinity</v>
      </c>
      <c r="G3330" t="str">
        <f t="shared" ref="G3330:G3393" si="261">F3330&amp;C3330&amp;E3330</f>
        <v>Trinity2240Carrollton</v>
      </c>
      <c r="H3330" t="s">
        <v>34188</v>
      </c>
      <c r="I3330" t="s">
        <v>25613</v>
      </c>
      <c r="J3330" t="str">
        <f t="shared" ref="J3330:J3393" si="262">IF(L3330="TX",Folder_Path,Folder_Path&amp;"\State_"&amp;L3330)</f>
        <v>E:\PropInv\MF</v>
      </c>
      <c r="K3330" s="103" t="str">
        <f>HYPERLINK("E:\PropInv\MF\Carrollton\Trinity Mills E_2240_The Arbors of Carrollton_Carrollton_13107","Trinity Mills E_2240_The Arbors of Carrollton_Carrollton_13107" )</f>
        <v>Trinity Mills E_2240_The Arbors of Carrollton_Carrollton_13107</v>
      </c>
      <c r="L3330" s="104" t="s">
        <v>22253</v>
      </c>
      <c r="M3330" s="103" t="str">
        <f t="shared" ref="M3330:M3393" si="263">HYPERLINK("http://oconnordata.com/mlink/modules/profile/index.cfm?action=profile&amp;prop_id="&amp;A3330)</f>
        <v>http://oconnordata.com/mlink/modules/profile/index.cfm?action=profile&amp;prop_id=13107</v>
      </c>
      <c r="N3330" s="1">
        <f t="shared" ref="N3330:N3393" si="264">IF(LEN(A3330)=1,"0000"&amp;A3330,IF(LEN(A3330)=2,"000"&amp;A3330,IF(LEN(A3330)=3,"00"&amp;A3330,IF(LEN(A3330)=4,"0"&amp;A3330,IF(LEN(A3330)=5,IF(LEFT(A3330,1)="3",A3330+30000,A3330))))))</f>
        <v>13107</v>
      </c>
    </row>
    <row r="3331" spans="1:14" x14ac:dyDescent="0.3">
      <c r="A3331" s="1">
        <v>13109</v>
      </c>
      <c r="B3331" s="7" t="s">
        <v>3138</v>
      </c>
      <c r="C3331" s="12">
        <v>1000</v>
      </c>
      <c r="D3331" s="7" t="s">
        <v>5061</v>
      </c>
      <c r="E3331" s="13" t="s">
        <v>5046</v>
      </c>
      <c r="F3331" t="str">
        <f t="shared" si="260"/>
        <v>San</v>
      </c>
      <c r="G3331" t="str">
        <f t="shared" si="261"/>
        <v>San1000Irving</v>
      </c>
      <c r="H3331" t="s">
        <v>34189</v>
      </c>
      <c r="I3331" t="s">
        <v>25614</v>
      </c>
      <c r="J3331" t="str">
        <f t="shared" si="262"/>
        <v>E:\PropInv\MF</v>
      </c>
      <c r="K3331" s="103" t="str">
        <f>HYPERLINK("E:\PropInv\MF\Irving\San Jacinto_1000_Arbors of Las Colinas_Irving_13109","San Jacinto_1000_Arbors of Las Colinas_Irving_13109" )</f>
        <v>San Jacinto_1000_Arbors of Las Colinas_Irving_13109</v>
      </c>
      <c r="L3331" s="104" t="s">
        <v>22253</v>
      </c>
      <c r="M3331" s="103" t="str">
        <f t="shared" si="263"/>
        <v>http://oconnordata.com/mlink/modules/profile/index.cfm?action=profile&amp;prop_id=13109</v>
      </c>
      <c r="N3331" s="1">
        <f t="shared" si="264"/>
        <v>13109</v>
      </c>
    </row>
    <row r="3332" spans="1:14" x14ac:dyDescent="0.3">
      <c r="A3332" s="1">
        <v>13110</v>
      </c>
      <c r="B3332" s="7" t="s">
        <v>5062</v>
      </c>
      <c r="C3332" s="12">
        <v>6500</v>
      </c>
      <c r="D3332" s="7" t="s">
        <v>5063</v>
      </c>
      <c r="E3332" s="13" t="s">
        <v>4996</v>
      </c>
      <c r="F3332" t="str">
        <f t="shared" si="260"/>
        <v>Cockrell</v>
      </c>
      <c r="G3332" t="str">
        <f t="shared" si="261"/>
        <v>Cockrell6500Dallas</v>
      </c>
      <c r="H3332" t="s">
        <v>34190</v>
      </c>
      <c r="I3332" t="s">
        <v>25615</v>
      </c>
      <c r="J3332" t="str">
        <f t="shared" si="262"/>
        <v>E:\PropInv\MF</v>
      </c>
      <c r="K3332" s="103" t="str">
        <f>HYPERLINK("E:\PropInv\MF\Dallas\Cockrell Hill S_6500_Arborstone_Dallas_13110","Cockrell Hill S_6500_Arborstone_Dallas_13110" )</f>
        <v>Cockrell Hill S_6500_Arborstone_Dallas_13110</v>
      </c>
      <c r="L3332" s="104" t="s">
        <v>22253</v>
      </c>
      <c r="M3332" s="103" t="str">
        <f t="shared" si="263"/>
        <v>http://oconnordata.com/mlink/modules/profile/index.cfm?action=profile&amp;prop_id=13110</v>
      </c>
      <c r="N3332" s="1">
        <f t="shared" si="264"/>
        <v>13110</v>
      </c>
    </row>
    <row r="3333" spans="1:14" x14ac:dyDescent="0.3">
      <c r="A3333" s="1">
        <v>13111</v>
      </c>
      <c r="B3333" s="7" t="s">
        <v>5064</v>
      </c>
      <c r="C3333" s="12">
        <v>6909</v>
      </c>
      <c r="D3333" s="7" t="s">
        <v>5065</v>
      </c>
      <c r="E3333" s="13" t="s">
        <v>5009</v>
      </c>
      <c r="F3333" t="str">
        <f t="shared" si="260"/>
        <v>Custer</v>
      </c>
      <c r="G3333" t="str">
        <f t="shared" si="261"/>
        <v>Custer6909Plano</v>
      </c>
      <c r="H3333" t="s">
        <v>34191</v>
      </c>
      <c r="I3333" t="s">
        <v>25616</v>
      </c>
      <c r="J3333" t="str">
        <f t="shared" si="262"/>
        <v>E:\PropInv\MF</v>
      </c>
      <c r="K3333" s="103" t="str">
        <f>HYPERLINK("E:\PropInv\MF\Plano\Custer Rd_6909_Archstone Legacy_Plano_13111","Custer Rd_6909_Archstone Legacy_Plano_13111" )</f>
        <v>Custer Rd_6909_Archstone Legacy_Plano_13111</v>
      </c>
      <c r="L3333" s="104" t="s">
        <v>22253</v>
      </c>
      <c r="M3333" s="103" t="str">
        <f t="shared" si="263"/>
        <v>http://oconnordata.com/mlink/modules/profile/index.cfm?action=profile&amp;prop_id=13111</v>
      </c>
      <c r="N3333" s="1">
        <f t="shared" si="264"/>
        <v>13111</v>
      </c>
    </row>
    <row r="3334" spans="1:14" x14ac:dyDescent="0.3">
      <c r="A3334" s="1">
        <v>13112</v>
      </c>
      <c r="B3334" s="7" t="s">
        <v>5066</v>
      </c>
      <c r="C3334" s="12">
        <v>2401</v>
      </c>
      <c r="D3334" s="7" t="s">
        <v>5067</v>
      </c>
      <c r="E3334" s="13" t="s">
        <v>5009</v>
      </c>
      <c r="F3334" t="str">
        <f t="shared" si="260"/>
        <v>Spring</v>
      </c>
      <c r="G3334" t="str">
        <f t="shared" si="261"/>
        <v>Spring2401Plano</v>
      </c>
      <c r="H3334" t="s">
        <v>34192</v>
      </c>
      <c r="I3334" t="s">
        <v>25617</v>
      </c>
      <c r="J3334" t="str">
        <f t="shared" si="262"/>
        <v>E:\PropInv\MF</v>
      </c>
      <c r="K3334" s="103" t="str">
        <f>HYPERLINK("E:\PropInv\MF\Plano\Spring Creek_2401_The Park on Spring Creek_Plano_13112","Spring Creek_2401_The Park on Spring Creek_Plano_13112" )</f>
        <v>Spring Creek_2401_The Park on Spring Creek_Plano_13112</v>
      </c>
      <c r="L3334" s="104" t="s">
        <v>22253</v>
      </c>
      <c r="M3334" s="103" t="str">
        <f t="shared" si="263"/>
        <v>http://oconnordata.com/mlink/modules/profile/index.cfm?action=profile&amp;prop_id=13112</v>
      </c>
      <c r="N3334" s="1">
        <f t="shared" si="264"/>
        <v>13112</v>
      </c>
    </row>
    <row r="3335" spans="1:14" x14ac:dyDescent="0.3">
      <c r="A3335" s="1">
        <v>13113</v>
      </c>
      <c r="B3335" s="7" t="s">
        <v>5068</v>
      </c>
      <c r="C3335" s="12">
        <v>3721</v>
      </c>
      <c r="D3335" s="7" t="s">
        <v>5069</v>
      </c>
      <c r="E3335" s="13" t="s">
        <v>4996</v>
      </c>
      <c r="F3335" t="str">
        <f t="shared" si="260"/>
        <v>Hall</v>
      </c>
      <c r="G3335" t="str">
        <f t="shared" si="261"/>
        <v>Hall3721Dallas</v>
      </c>
      <c r="H3335" t="s">
        <v>34193</v>
      </c>
      <c r="I3335" t="s">
        <v>25618</v>
      </c>
      <c r="J3335" t="str">
        <f t="shared" si="262"/>
        <v>E:\PropInv\MF</v>
      </c>
      <c r="K3335" s="103" t="str">
        <f>HYPERLINK("E:\PropInv\MF\Dallas\Hall St N_3721_The Argyle_Dallas_13113","Hall St N_3721_The Argyle_Dallas_13113" )</f>
        <v>Hall St N_3721_The Argyle_Dallas_13113</v>
      </c>
      <c r="L3335" s="104" t="s">
        <v>22253</v>
      </c>
      <c r="M3335" s="103" t="str">
        <f t="shared" si="263"/>
        <v>http://oconnordata.com/mlink/modules/profile/index.cfm?action=profile&amp;prop_id=13113</v>
      </c>
      <c r="N3335" s="1">
        <f t="shared" si="264"/>
        <v>13113</v>
      </c>
    </row>
    <row r="3336" spans="1:14" x14ac:dyDescent="0.3">
      <c r="A3336" s="1">
        <v>13114</v>
      </c>
      <c r="B3336" s="7" t="s">
        <v>5070</v>
      </c>
      <c r="C3336" s="12">
        <v>9855</v>
      </c>
      <c r="D3336" s="7" t="s">
        <v>5071</v>
      </c>
      <c r="E3336" s="13" t="s">
        <v>4996</v>
      </c>
      <c r="F3336" t="str">
        <f t="shared" si="260"/>
        <v>Shadow</v>
      </c>
      <c r="G3336" t="str">
        <f t="shared" si="261"/>
        <v>Shadow9855Dallas</v>
      </c>
      <c r="H3336" t="s">
        <v>34194</v>
      </c>
      <c r="I3336" t="s">
        <v>25619</v>
      </c>
      <c r="J3336" t="str">
        <f t="shared" si="262"/>
        <v>E:\PropInv\MF</v>
      </c>
      <c r="K3336" s="103" t="str">
        <f>HYPERLINK("E:\PropInv\MF\Dallas\Shadow Way_9855_The Madeline_Dallas_13114","Shadow Way_9855_The Madeline_Dallas_13114" )</f>
        <v>Shadow Way_9855_The Madeline_Dallas_13114</v>
      </c>
      <c r="L3336" s="104" t="s">
        <v>22253</v>
      </c>
      <c r="M3336" s="103" t="str">
        <f t="shared" si="263"/>
        <v>http://oconnordata.com/mlink/modules/profile/index.cfm?action=profile&amp;prop_id=13114</v>
      </c>
      <c r="N3336" s="1">
        <f t="shared" si="264"/>
        <v>13114</v>
      </c>
    </row>
    <row r="3337" spans="1:14" x14ac:dyDescent="0.3">
      <c r="A3337" s="1">
        <v>13116</v>
      </c>
      <c r="B3337" s="7" t="s">
        <v>5072</v>
      </c>
      <c r="C3337" s="12">
        <v>155</v>
      </c>
      <c r="D3337" s="7" t="s">
        <v>5073</v>
      </c>
      <c r="E3337" s="13" t="s">
        <v>5074</v>
      </c>
      <c r="F3337" t="str">
        <f t="shared" si="260"/>
        <v>Overly</v>
      </c>
      <c r="G3337" t="str">
        <f t="shared" si="261"/>
        <v>Overly155Lake Dallas</v>
      </c>
      <c r="H3337" t="s">
        <v>34195</v>
      </c>
      <c r="I3337" t="s">
        <v>25620</v>
      </c>
      <c r="J3337" t="str">
        <f t="shared" si="262"/>
        <v>E:\PropInv\MF</v>
      </c>
      <c r="K3337" s="103" t="str">
        <f>HYPERLINK("E:\PropInv\MF\Lake Dallas\Overly Dr W_155_Ashleye Village_Lake Dallas_13116","Overly Dr W_155_Ashleye Village_Lake Dallas_13116" )</f>
        <v>Overly Dr W_155_Ashleye Village_Lake Dallas_13116</v>
      </c>
      <c r="L3337" s="104" t="s">
        <v>22253</v>
      </c>
      <c r="M3337" s="103" t="str">
        <f t="shared" si="263"/>
        <v>http://oconnordata.com/mlink/modules/profile/index.cfm?action=profile&amp;prop_id=13116</v>
      </c>
      <c r="N3337" s="1">
        <f t="shared" si="264"/>
        <v>13116</v>
      </c>
    </row>
    <row r="3338" spans="1:14" x14ac:dyDescent="0.3">
      <c r="A3338" s="1">
        <v>13117</v>
      </c>
      <c r="B3338" s="7" t="s">
        <v>5075</v>
      </c>
      <c r="C3338" s="12">
        <v>2403</v>
      </c>
      <c r="D3338" s="7" t="s">
        <v>2664</v>
      </c>
      <c r="E3338" s="13" t="s">
        <v>5076</v>
      </c>
      <c r="F3338" t="str">
        <f t="shared" si="260"/>
        <v>303</v>
      </c>
      <c r="G3338" t="str">
        <f t="shared" si="261"/>
        <v>3032403Grand Prairie</v>
      </c>
      <c r="H3338" t="s">
        <v>34196</v>
      </c>
      <c r="I3338" t="s">
        <v>25621</v>
      </c>
      <c r="J3338" t="str">
        <f t="shared" si="262"/>
        <v>E:\PropInv\MF</v>
      </c>
      <c r="K3338" s="103" t="str">
        <f>HYPERLINK("E:\PropInv\MF\Grand Prairie\303 Hwy W_2403_Ashton Park_Grand Prairie_13117","303 Hwy W_2403_Ashton Park_Grand Prairie_13117" )</f>
        <v>303 Hwy W_2403_Ashton Park_Grand Prairie_13117</v>
      </c>
      <c r="L3338" s="104" t="s">
        <v>22253</v>
      </c>
      <c r="M3338" s="103" t="str">
        <f t="shared" si="263"/>
        <v>http://oconnordata.com/mlink/modules/profile/index.cfm?action=profile&amp;prop_id=13117</v>
      </c>
      <c r="N3338" s="1">
        <f t="shared" si="264"/>
        <v>13117</v>
      </c>
    </row>
    <row r="3339" spans="1:14" x14ac:dyDescent="0.3">
      <c r="A3339" s="1">
        <v>13118</v>
      </c>
      <c r="B3339" s="7" t="s">
        <v>5077</v>
      </c>
      <c r="C3339" s="12">
        <v>7070</v>
      </c>
      <c r="D3339" s="7" t="s">
        <v>5078</v>
      </c>
      <c r="E3339" s="13" t="s">
        <v>4996</v>
      </c>
      <c r="F3339" t="str">
        <f t="shared" si="260"/>
        <v>Skillman</v>
      </c>
      <c r="G3339" t="str">
        <f t="shared" si="261"/>
        <v>Skillman7070Dallas</v>
      </c>
      <c r="H3339" t="s">
        <v>34197</v>
      </c>
      <c r="I3339" t="s">
        <v>25622</v>
      </c>
      <c r="J3339" t="str">
        <f t="shared" si="262"/>
        <v>E:\PropInv\MF</v>
      </c>
      <c r="K3339" s="103" t="str">
        <f>HYPERLINK("E:\PropInv\MF\Dallas\Skillman_7070_Bella Palms I_Dallas_13118","Skillman_7070_Bella Palms I_Dallas_13118" )</f>
        <v>Skillman_7070_Bella Palms I_Dallas_13118</v>
      </c>
      <c r="L3339" s="104" t="s">
        <v>22253</v>
      </c>
      <c r="M3339" s="103" t="str">
        <f t="shared" si="263"/>
        <v>http://oconnordata.com/mlink/modules/profile/index.cfm?action=profile&amp;prop_id=13118</v>
      </c>
      <c r="N3339" s="1">
        <f t="shared" si="264"/>
        <v>13118</v>
      </c>
    </row>
    <row r="3340" spans="1:14" x14ac:dyDescent="0.3">
      <c r="A3340" s="1">
        <v>13119</v>
      </c>
      <c r="B3340" s="7" t="s">
        <v>5077</v>
      </c>
      <c r="C3340" s="12">
        <v>7120</v>
      </c>
      <c r="D3340" s="7" t="s">
        <v>5079</v>
      </c>
      <c r="E3340" s="13" t="s">
        <v>4996</v>
      </c>
      <c r="F3340" t="str">
        <f t="shared" si="260"/>
        <v>Skillman</v>
      </c>
      <c r="G3340" t="str">
        <f t="shared" si="261"/>
        <v>Skillman7120Dallas</v>
      </c>
      <c r="H3340" t="s">
        <v>34198</v>
      </c>
      <c r="I3340" t="s">
        <v>25623</v>
      </c>
      <c r="J3340" t="str">
        <f t="shared" si="262"/>
        <v>E:\PropInv\MF</v>
      </c>
      <c r="K3340" s="103" t="str">
        <f>HYPERLINK("E:\PropInv\MF\Dallas\Skillman_7120_Bella Palms II_Dallas_13119","Skillman_7120_Bella Palms II_Dallas_13119" )</f>
        <v>Skillman_7120_Bella Palms II_Dallas_13119</v>
      </c>
      <c r="L3340" s="104" t="s">
        <v>22253</v>
      </c>
      <c r="M3340" s="103" t="str">
        <f t="shared" si="263"/>
        <v>http://oconnordata.com/mlink/modules/profile/index.cfm?action=profile&amp;prop_id=13119</v>
      </c>
      <c r="N3340" s="1">
        <f t="shared" si="264"/>
        <v>13119</v>
      </c>
    </row>
    <row r="3341" spans="1:14" x14ac:dyDescent="0.3">
      <c r="A3341" s="1">
        <v>13120</v>
      </c>
      <c r="B3341" s="7" t="s">
        <v>5080</v>
      </c>
      <c r="C3341" s="12">
        <v>11760</v>
      </c>
      <c r="D3341" s="7" t="s">
        <v>870</v>
      </c>
      <c r="E3341" s="13" t="s">
        <v>4996</v>
      </c>
      <c r="F3341" t="str">
        <f t="shared" si="260"/>
        <v>Ferguson</v>
      </c>
      <c r="G3341" t="str">
        <f t="shared" si="261"/>
        <v>Ferguson11760Dallas</v>
      </c>
      <c r="H3341" t="s">
        <v>34199</v>
      </c>
      <c r="I3341" t="s">
        <v>25624</v>
      </c>
      <c r="J3341" t="str">
        <f t="shared" si="262"/>
        <v>E:\PropInv\MF</v>
      </c>
      <c r="K3341" s="103" t="str">
        <f>HYPERLINK("E:\PropInv\MF\Dallas\Ferguson Rd_11760_Aspen Chase_Dallas_13120","Ferguson Rd_11760_Aspen Chase_Dallas_13120" )</f>
        <v>Ferguson Rd_11760_Aspen Chase_Dallas_13120</v>
      </c>
      <c r="L3341" s="104" t="s">
        <v>22253</v>
      </c>
      <c r="M3341" s="103" t="str">
        <f t="shared" si="263"/>
        <v>http://oconnordata.com/mlink/modules/profile/index.cfm?action=profile&amp;prop_id=13120</v>
      </c>
      <c r="N3341" s="1">
        <f t="shared" si="264"/>
        <v>13120</v>
      </c>
    </row>
    <row r="3342" spans="1:14" x14ac:dyDescent="0.3">
      <c r="A3342" s="1">
        <v>13121</v>
      </c>
      <c r="B3342" s="7" t="s">
        <v>5081</v>
      </c>
      <c r="C3342" s="12">
        <v>1600</v>
      </c>
      <c r="D3342" s="7" t="s">
        <v>5082</v>
      </c>
      <c r="E3342" s="13" t="s">
        <v>5009</v>
      </c>
      <c r="F3342" t="str">
        <f t="shared" si="260"/>
        <v>Amelia</v>
      </c>
      <c r="G3342" t="str">
        <f t="shared" si="261"/>
        <v>Amelia1600Plano</v>
      </c>
      <c r="H3342" t="s">
        <v>34200</v>
      </c>
      <c r="I3342" t="s">
        <v>25625</v>
      </c>
      <c r="J3342" t="str">
        <f t="shared" si="262"/>
        <v>E:\PropInv\MF</v>
      </c>
      <c r="K3342" s="103" t="str">
        <f>HYPERLINK("E:\PropInv\MF\Plano\Amelia Ct_1600_Aspen Court_Plano_13121","Amelia Ct_1600_Aspen Court_Plano_13121" )</f>
        <v>Amelia Ct_1600_Aspen Court_Plano_13121</v>
      </c>
      <c r="L3342" s="104" t="s">
        <v>22253</v>
      </c>
      <c r="M3342" s="103" t="str">
        <f t="shared" si="263"/>
        <v>http://oconnordata.com/mlink/modules/profile/index.cfm?action=profile&amp;prop_id=13121</v>
      </c>
      <c r="N3342" s="1">
        <f t="shared" si="264"/>
        <v>13121</v>
      </c>
    </row>
    <row r="3343" spans="1:14" x14ac:dyDescent="0.3">
      <c r="A3343" s="1">
        <v>13122</v>
      </c>
      <c r="B3343" s="7" t="s">
        <v>5083</v>
      </c>
      <c r="C3343" s="12">
        <v>11661</v>
      </c>
      <c r="D3343" s="7" t="s">
        <v>5084</v>
      </c>
      <c r="E3343" s="13" t="s">
        <v>4996</v>
      </c>
      <c r="F3343" t="str">
        <f t="shared" si="260"/>
        <v>Dennis</v>
      </c>
      <c r="G3343" t="str">
        <f t="shared" si="261"/>
        <v>Dennis11661Dallas</v>
      </c>
      <c r="H3343" t="s">
        <v>34201</v>
      </c>
      <c r="I3343" t="s">
        <v>25626</v>
      </c>
      <c r="J3343" t="str">
        <f t="shared" si="262"/>
        <v>E:\PropInv\MF</v>
      </c>
      <c r="K3343" s="103" t="str">
        <f>HYPERLINK("E:\PropInv\MF\Dallas\Dennis_11661_Aventerra_Dallas_13122","Dennis_11661_Aventerra_Dallas_13122" )</f>
        <v>Dennis_11661_Aventerra_Dallas_13122</v>
      </c>
      <c r="L3343" s="104" t="s">
        <v>22253</v>
      </c>
      <c r="M3343" s="103" t="str">
        <f t="shared" si="263"/>
        <v>http://oconnordata.com/mlink/modules/profile/index.cfm?action=profile&amp;prop_id=13122</v>
      </c>
      <c r="N3343" s="1">
        <f t="shared" si="264"/>
        <v>13122</v>
      </c>
    </row>
    <row r="3344" spans="1:14" x14ac:dyDescent="0.3">
      <c r="A3344" s="1">
        <v>13123</v>
      </c>
      <c r="B3344" s="7" t="s">
        <v>5015</v>
      </c>
      <c r="C3344" s="12">
        <v>5636</v>
      </c>
      <c r="D3344" s="7" t="s">
        <v>5085</v>
      </c>
      <c r="E3344" s="13" t="s">
        <v>4996</v>
      </c>
      <c r="F3344" t="str">
        <f t="shared" si="260"/>
        <v>Spring</v>
      </c>
      <c r="G3344" t="str">
        <f t="shared" si="261"/>
        <v>Spring5636Dallas</v>
      </c>
      <c r="H3344" t="s">
        <v>34202</v>
      </c>
      <c r="I3344" t="s">
        <v>25627</v>
      </c>
      <c r="J3344" t="str">
        <f t="shared" si="262"/>
        <v>E:\PropInv\MF</v>
      </c>
      <c r="K3344" s="103" t="str">
        <f>HYPERLINK("E:\PropInv\MF\Dallas\Spring Valley_5636_The Astoria_Dallas_13123","Spring Valley_5636_The Astoria_Dallas_13123" )</f>
        <v>Spring Valley_5636_The Astoria_Dallas_13123</v>
      </c>
      <c r="L3344" s="104" t="s">
        <v>22253</v>
      </c>
      <c r="M3344" s="103" t="str">
        <f t="shared" si="263"/>
        <v>http://oconnordata.com/mlink/modules/profile/index.cfm?action=profile&amp;prop_id=13123</v>
      </c>
      <c r="N3344" s="1">
        <f t="shared" si="264"/>
        <v>13123</v>
      </c>
    </row>
    <row r="3345" spans="1:14" x14ac:dyDescent="0.3">
      <c r="A3345" s="1">
        <v>13124</v>
      </c>
      <c r="B3345" s="7" t="s">
        <v>5086</v>
      </c>
      <c r="C3345" s="12">
        <v>5800</v>
      </c>
      <c r="D3345" s="7" t="s">
        <v>5087</v>
      </c>
      <c r="E3345" s="13" t="s">
        <v>5088</v>
      </c>
      <c r="F3345" t="str">
        <f t="shared" si="260"/>
        <v>NW</v>
      </c>
      <c r="G3345" t="str">
        <f t="shared" si="261"/>
        <v>NW5800Mesquite</v>
      </c>
      <c r="H3345" t="s">
        <v>34203</v>
      </c>
      <c r="I3345" t="s">
        <v>25628</v>
      </c>
      <c r="J3345" t="str">
        <f t="shared" si="262"/>
        <v>E:\PropInv\MF</v>
      </c>
      <c r="K3345" s="103" t="str">
        <f>HYPERLINK("E:\PropInv\MF\Mesquite\NW Dr_5800_Audubon Park_Mesquite_13124","NW Dr_5800_Audubon Park_Mesquite_13124" )</f>
        <v>NW Dr_5800_Audubon Park_Mesquite_13124</v>
      </c>
      <c r="L3345" s="104" t="s">
        <v>22253</v>
      </c>
      <c r="M3345" s="103" t="str">
        <f t="shared" si="263"/>
        <v>http://oconnordata.com/mlink/modules/profile/index.cfm?action=profile&amp;prop_id=13124</v>
      </c>
      <c r="N3345" s="1">
        <f t="shared" si="264"/>
        <v>13124</v>
      </c>
    </row>
    <row r="3346" spans="1:14" x14ac:dyDescent="0.3">
      <c r="A3346" s="1">
        <v>13125</v>
      </c>
      <c r="B3346" s="7" t="s">
        <v>5089</v>
      </c>
      <c r="C3346" s="12">
        <v>2808</v>
      </c>
      <c r="D3346" s="7" t="s">
        <v>5090</v>
      </c>
      <c r="E3346" s="13" t="s">
        <v>4996</v>
      </c>
      <c r="F3346" t="str">
        <f t="shared" si="260"/>
        <v>Saint</v>
      </c>
      <c r="G3346" t="str">
        <f t="shared" si="261"/>
        <v>Saint2808Dallas</v>
      </c>
      <c r="H3346" t="s">
        <v>34204</v>
      </c>
      <c r="I3346" t="s">
        <v>25629</v>
      </c>
      <c r="J3346" t="str">
        <f t="shared" si="262"/>
        <v>E:\PropInv\MF</v>
      </c>
      <c r="K3346" s="103" t="str">
        <f>HYPERLINK("E:\PropInv\MF\Dallas\Saint Augustine N_2808_Casa Linda_Dallas_13125","Saint Augustine N_2808_Casa Linda_Dallas_13125" )</f>
        <v>Saint Augustine N_2808_Casa Linda_Dallas_13125</v>
      </c>
      <c r="L3346" s="104" t="s">
        <v>22253</v>
      </c>
      <c r="M3346" s="103" t="str">
        <f t="shared" si="263"/>
        <v>http://oconnordata.com/mlink/modules/profile/index.cfm?action=profile&amp;prop_id=13125</v>
      </c>
      <c r="N3346" s="1">
        <f t="shared" si="264"/>
        <v>13125</v>
      </c>
    </row>
    <row r="3347" spans="1:14" x14ac:dyDescent="0.3">
      <c r="A3347" s="1">
        <v>13126</v>
      </c>
      <c r="B3347" s="7" t="s">
        <v>5091</v>
      </c>
      <c r="C3347" s="12">
        <v>7070</v>
      </c>
      <c r="D3347" s="7" t="s">
        <v>5092</v>
      </c>
      <c r="E3347" s="13" t="s">
        <v>4996</v>
      </c>
      <c r="F3347" t="str">
        <f t="shared" si="260"/>
        <v>Camp</v>
      </c>
      <c r="G3347" t="str">
        <f t="shared" si="261"/>
        <v>Camp7070Dallas</v>
      </c>
      <c r="H3347" t="s">
        <v>34205</v>
      </c>
      <c r="I3347" t="s">
        <v>25630</v>
      </c>
      <c r="J3347" t="str">
        <f t="shared" si="262"/>
        <v>E:\PropInv\MF</v>
      </c>
      <c r="K3347" s="103" t="str">
        <f>HYPERLINK("E:\PropInv\MF\Dallas\Camp Wisdom W_7070_Austin Bluff_Dallas_13126","Camp Wisdom W_7070_Austin Bluff_Dallas_13126" )</f>
        <v>Camp Wisdom W_7070_Austin Bluff_Dallas_13126</v>
      </c>
      <c r="L3347" s="104" t="s">
        <v>22253</v>
      </c>
      <c r="M3347" s="103" t="str">
        <f t="shared" si="263"/>
        <v>http://oconnordata.com/mlink/modules/profile/index.cfm?action=profile&amp;prop_id=13126</v>
      </c>
      <c r="N3347" s="1">
        <f t="shared" si="264"/>
        <v>13126</v>
      </c>
    </row>
    <row r="3348" spans="1:14" x14ac:dyDescent="0.3">
      <c r="A3348" s="1">
        <v>13128</v>
      </c>
      <c r="B3348" s="7" t="s">
        <v>5093</v>
      </c>
      <c r="C3348" s="12">
        <v>1679</v>
      </c>
      <c r="D3348" s="7" t="s">
        <v>5094</v>
      </c>
      <c r="E3348" s="13" t="s">
        <v>5055</v>
      </c>
      <c r="F3348" t="str">
        <f t="shared" si="260"/>
        <v>123</v>
      </c>
      <c r="G3348" t="str">
        <f t="shared" si="261"/>
        <v>1231679Lewisville</v>
      </c>
      <c r="H3348" t="s">
        <v>34206</v>
      </c>
      <c r="I3348" t="s">
        <v>25631</v>
      </c>
      <c r="J3348" t="str">
        <f t="shared" si="262"/>
        <v>E:\PropInv\MF</v>
      </c>
      <c r="K3348" s="103" t="str">
        <f>HYPERLINK("E:\PropInv\MF\Lewisville\123 Hwy S_1679_Autumn Breeze_Lewisville_13128","123 Hwy S_1679_Autumn Breeze_Lewisville_13128" )</f>
        <v>123 Hwy S_1679_Autumn Breeze_Lewisville_13128</v>
      </c>
      <c r="L3348" s="104" t="s">
        <v>22253</v>
      </c>
      <c r="M3348" s="103" t="str">
        <f t="shared" si="263"/>
        <v>http://oconnordata.com/mlink/modules/profile/index.cfm?action=profile&amp;prop_id=13128</v>
      </c>
      <c r="N3348" s="1">
        <f t="shared" si="264"/>
        <v>13128</v>
      </c>
    </row>
    <row r="3349" spans="1:14" x14ac:dyDescent="0.3">
      <c r="A3349" s="1">
        <v>13130</v>
      </c>
      <c r="B3349" s="7" t="s">
        <v>5095</v>
      </c>
      <c r="C3349" s="12">
        <v>4600</v>
      </c>
      <c r="D3349" s="7" t="s">
        <v>804</v>
      </c>
      <c r="E3349" s="13" t="s">
        <v>5060</v>
      </c>
      <c r="F3349" t="str">
        <f t="shared" si="260"/>
        <v>Josey</v>
      </c>
      <c r="G3349" t="str">
        <f t="shared" si="261"/>
        <v>Josey4600Carrollton</v>
      </c>
      <c r="H3349" t="s">
        <v>34207</v>
      </c>
      <c r="I3349" t="s">
        <v>25632</v>
      </c>
      <c r="J3349" t="str">
        <f t="shared" si="262"/>
        <v>E:\PropInv\MF</v>
      </c>
      <c r="K3349" s="103" t="str">
        <f>HYPERLINK("E:\PropInv\MF\Carrollton\Josey Ln_4600_Autumn Chase_Carrollton_13130","Josey Ln_4600_Autumn Chase_Carrollton_13130" )</f>
        <v>Josey Ln_4600_Autumn Chase_Carrollton_13130</v>
      </c>
      <c r="L3349" s="104" t="s">
        <v>22253</v>
      </c>
      <c r="M3349" s="103" t="str">
        <f t="shared" si="263"/>
        <v>http://oconnordata.com/mlink/modules/profile/index.cfm?action=profile&amp;prop_id=13130</v>
      </c>
      <c r="N3349" s="1">
        <f t="shared" si="264"/>
        <v>13130</v>
      </c>
    </row>
    <row r="3350" spans="1:14" x14ac:dyDescent="0.3">
      <c r="A3350" s="1">
        <v>13131</v>
      </c>
      <c r="B3350" s="7" t="s">
        <v>5096</v>
      </c>
      <c r="C3350" s="12">
        <v>3401</v>
      </c>
      <c r="D3350" s="7" t="s">
        <v>3271</v>
      </c>
      <c r="E3350" s="13" t="s">
        <v>5097</v>
      </c>
      <c r="F3350" t="str">
        <f t="shared" si="260"/>
        <v>Joyce</v>
      </c>
      <c r="G3350" t="str">
        <f t="shared" si="261"/>
        <v>Joyce3401Denton</v>
      </c>
      <c r="H3350" t="s">
        <v>34208</v>
      </c>
      <c r="I3350" t="s">
        <v>25633</v>
      </c>
      <c r="J3350" t="str">
        <f t="shared" si="262"/>
        <v>E:\PropInv\MF</v>
      </c>
      <c r="K3350" s="103" t="str">
        <f>HYPERLINK("E:\PropInv\MF\Denton\Joyce Ln_3401_Autumn Ridge_Denton_13131","Joyce Ln_3401_Autumn Ridge_Denton_13131" )</f>
        <v>Joyce Ln_3401_Autumn Ridge_Denton_13131</v>
      </c>
      <c r="L3350" s="104" t="s">
        <v>22253</v>
      </c>
      <c r="M3350" s="103" t="str">
        <f t="shared" si="263"/>
        <v>http://oconnordata.com/mlink/modules/profile/index.cfm?action=profile&amp;prop_id=13131</v>
      </c>
      <c r="N3350" s="1">
        <f t="shared" si="264"/>
        <v>13131</v>
      </c>
    </row>
    <row r="3351" spans="1:14" x14ac:dyDescent="0.3">
      <c r="A3351" s="1">
        <v>13132</v>
      </c>
      <c r="B3351" s="7" t="s">
        <v>5098</v>
      </c>
      <c r="C3351" s="12">
        <v>1925</v>
      </c>
      <c r="D3351" s="7" t="s">
        <v>574</v>
      </c>
      <c r="E3351" s="13" t="s">
        <v>4996</v>
      </c>
      <c r="F3351" t="str">
        <f t="shared" si="260"/>
        <v>Moser</v>
      </c>
      <c r="G3351" t="str">
        <f t="shared" si="261"/>
        <v>Moser1925Dallas</v>
      </c>
      <c r="H3351" t="s">
        <v>34209</v>
      </c>
      <c r="I3351" t="s">
        <v>25634</v>
      </c>
      <c r="J3351" t="str">
        <f t="shared" si="262"/>
        <v>E:\PropInv\MF</v>
      </c>
      <c r="K3351" s="103" t="str">
        <f>HYPERLINK("E:\PropInv\MF\Dallas\Moser Ave_1925_Avalon_Dallas_13132","Moser Ave_1925_Avalon_Dallas_13132" )</f>
        <v>Moser Ave_1925_Avalon_Dallas_13132</v>
      </c>
      <c r="L3351" s="104" t="s">
        <v>22253</v>
      </c>
      <c r="M3351" s="103" t="str">
        <f t="shared" si="263"/>
        <v>http://oconnordata.com/mlink/modules/profile/index.cfm?action=profile&amp;prop_id=13132</v>
      </c>
      <c r="N3351" s="1">
        <f t="shared" si="264"/>
        <v>13132</v>
      </c>
    </row>
    <row r="3352" spans="1:14" x14ac:dyDescent="0.3">
      <c r="A3352" s="1">
        <v>13133</v>
      </c>
      <c r="B3352" s="7" t="s">
        <v>5033</v>
      </c>
      <c r="C3352" s="12">
        <v>801</v>
      </c>
      <c r="D3352" s="7" t="s">
        <v>5099</v>
      </c>
      <c r="E3352" s="13" t="s">
        <v>5009</v>
      </c>
      <c r="F3352" t="str">
        <f t="shared" si="260"/>
        <v>Legacy</v>
      </c>
      <c r="G3352" t="str">
        <f t="shared" si="261"/>
        <v>Legacy801Plano</v>
      </c>
      <c r="H3352" t="s">
        <v>34210</v>
      </c>
      <c r="I3352" t="s">
        <v>25635</v>
      </c>
      <c r="J3352" t="str">
        <f t="shared" si="262"/>
        <v>E:\PropInv\MF</v>
      </c>
      <c r="K3352" s="103" t="str">
        <f>HYPERLINK("E:\PropInv\MF\Plano\Legacy_801_Avalon at Chase Oaks_Plano_13133","Legacy_801_Avalon at Chase Oaks_Plano_13133" )</f>
        <v>Legacy_801_Avalon at Chase Oaks_Plano_13133</v>
      </c>
      <c r="L3352" s="104" t="s">
        <v>22253</v>
      </c>
      <c r="M3352" s="103" t="str">
        <f t="shared" si="263"/>
        <v>http://oconnordata.com/mlink/modules/profile/index.cfm?action=profile&amp;prop_id=13133</v>
      </c>
      <c r="N3352" s="1">
        <f t="shared" si="264"/>
        <v>13133</v>
      </c>
    </row>
    <row r="3353" spans="1:14" x14ac:dyDescent="0.3">
      <c r="A3353" s="1">
        <v>13134</v>
      </c>
      <c r="B3353" s="7" t="s">
        <v>3983</v>
      </c>
      <c r="C3353" s="12">
        <v>6820</v>
      </c>
      <c r="D3353" s="7" t="s">
        <v>5100</v>
      </c>
      <c r="E3353" s="13" t="s">
        <v>5009</v>
      </c>
      <c r="F3353" t="str">
        <f t="shared" si="260"/>
        <v>Preston</v>
      </c>
      <c r="G3353" t="str">
        <f t="shared" si="261"/>
        <v>Preston6820Plano</v>
      </c>
      <c r="H3353" t="s">
        <v>34211</v>
      </c>
      <c r="I3353" t="s">
        <v>25636</v>
      </c>
      <c r="J3353" t="str">
        <f t="shared" si="262"/>
        <v>E:\PropInv\MF</v>
      </c>
      <c r="K3353" s="103" t="str">
        <f>HYPERLINK("E:\PropInv\MF\Plano\Preston Rd_6820_Bell Preston_Plano_13134","Preston Rd_6820_Bell Preston_Plano_13134" )</f>
        <v>Preston Rd_6820_Bell Preston_Plano_13134</v>
      </c>
      <c r="L3353" s="104" t="s">
        <v>22253</v>
      </c>
      <c r="M3353" s="103" t="str">
        <f t="shared" si="263"/>
        <v>http://oconnordata.com/mlink/modules/profile/index.cfm?action=profile&amp;prop_id=13134</v>
      </c>
      <c r="N3353" s="1">
        <f t="shared" si="264"/>
        <v>13134</v>
      </c>
    </row>
    <row r="3354" spans="1:14" x14ac:dyDescent="0.3">
      <c r="A3354" s="1">
        <v>13135</v>
      </c>
      <c r="B3354" s="7" t="s">
        <v>5101</v>
      </c>
      <c r="C3354" s="12">
        <v>2501</v>
      </c>
      <c r="D3354" s="7" t="s">
        <v>5102</v>
      </c>
      <c r="E3354" s="13" t="s">
        <v>4996</v>
      </c>
      <c r="F3354" t="str">
        <f t="shared" si="260"/>
        <v>Webb</v>
      </c>
      <c r="G3354" t="str">
        <f t="shared" si="261"/>
        <v>Webb2501Dallas</v>
      </c>
      <c r="H3354" t="s">
        <v>34212</v>
      </c>
      <c r="I3354" t="s">
        <v>25637</v>
      </c>
      <c r="J3354" t="str">
        <f t="shared" si="262"/>
        <v>E:\PropInv\MF</v>
      </c>
      <c r="K3354" s="103" t="str">
        <f>HYPERLINK("E:\PropInv\MF\Dallas\Webb Chapel Extension_2501_Bachman Oaks_Dallas_13135","Webb Chapel Extension_2501_Bachman Oaks_Dallas_13135" )</f>
        <v>Webb Chapel Extension_2501_Bachman Oaks_Dallas_13135</v>
      </c>
      <c r="L3354" s="104" t="s">
        <v>22253</v>
      </c>
      <c r="M3354" s="103" t="str">
        <f t="shared" si="263"/>
        <v>http://oconnordata.com/mlink/modules/profile/index.cfm?action=profile&amp;prop_id=13135</v>
      </c>
      <c r="N3354" s="1">
        <f t="shared" si="264"/>
        <v>13135</v>
      </c>
    </row>
    <row r="3355" spans="1:14" x14ac:dyDescent="0.3">
      <c r="A3355" s="1">
        <v>13138</v>
      </c>
      <c r="B3355" s="7" t="s">
        <v>4820</v>
      </c>
      <c r="C3355" s="12">
        <v>1809</v>
      </c>
      <c r="D3355" s="7" t="s">
        <v>5103</v>
      </c>
      <c r="E3355" s="13" t="s">
        <v>5088</v>
      </c>
      <c r="F3355" t="str">
        <f t="shared" si="260"/>
        <v>Baker</v>
      </c>
      <c r="G3355" t="str">
        <f t="shared" si="261"/>
        <v>Baker1809Mesquite</v>
      </c>
      <c r="H3355" t="s">
        <v>34213</v>
      </c>
      <c r="I3355" t="s">
        <v>25638</v>
      </c>
      <c r="J3355" t="str">
        <f t="shared" si="262"/>
        <v>E:\PropInv\MF</v>
      </c>
      <c r="K3355" s="103" t="str">
        <f>HYPERLINK("E:\PropInv\MF\Mesquite\Baker Dr_1809_Baker Square_Mesquite_13138","Baker Dr_1809_Baker Square_Mesquite_13138" )</f>
        <v>Baker Dr_1809_Baker Square_Mesquite_13138</v>
      </c>
      <c r="L3355" s="104" t="s">
        <v>22253</v>
      </c>
      <c r="M3355" s="103" t="str">
        <f t="shared" si="263"/>
        <v>http://oconnordata.com/mlink/modules/profile/index.cfm?action=profile&amp;prop_id=13138</v>
      </c>
      <c r="N3355" s="1">
        <f t="shared" si="264"/>
        <v>13138</v>
      </c>
    </row>
    <row r="3356" spans="1:14" x14ac:dyDescent="0.3">
      <c r="A3356" s="1">
        <v>13139</v>
      </c>
      <c r="B3356" s="7" t="s">
        <v>5037</v>
      </c>
      <c r="C3356" s="12">
        <v>2116</v>
      </c>
      <c r="D3356" s="7" t="s">
        <v>5104</v>
      </c>
      <c r="E3356" s="13" t="s">
        <v>5060</v>
      </c>
      <c r="F3356" t="str">
        <f t="shared" si="260"/>
        <v>Marsh</v>
      </c>
      <c r="G3356" t="str">
        <f t="shared" si="261"/>
        <v>Marsh2116Carrollton</v>
      </c>
      <c r="H3356" t="s">
        <v>34214</v>
      </c>
      <c r="I3356" t="s">
        <v>25639</v>
      </c>
      <c r="J3356" t="str">
        <f t="shared" si="262"/>
        <v>E:\PropInv\MF</v>
      </c>
      <c r="K3356" s="103" t="str">
        <f>HYPERLINK("E:\PropInv\MF\Carrollton\Marsh Ln_2116_Ballantrae Springs_Carrollton_13139","Marsh Ln_2116_Ballantrae Springs_Carrollton_13139" )</f>
        <v>Marsh Ln_2116_Ballantrae Springs_Carrollton_13139</v>
      </c>
      <c r="L3356" s="104" t="s">
        <v>22253</v>
      </c>
      <c r="M3356" s="103" t="str">
        <f t="shared" si="263"/>
        <v>http://oconnordata.com/mlink/modules/profile/index.cfm?action=profile&amp;prop_id=13139</v>
      </c>
      <c r="N3356" s="1">
        <f t="shared" si="264"/>
        <v>13139</v>
      </c>
    </row>
    <row r="3357" spans="1:14" x14ac:dyDescent="0.3">
      <c r="A3357" s="1">
        <v>13140</v>
      </c>
      <c r="B3357" s="7" t="s">
        <v>5105</v>
      </c>
      <c r="C3357" s="12">
        <v>2801</v>
      </c>
      <c r="D3357" s="7" t="s">
        <v>5106</v>
      </c>
      <c r="E3357" s="13" t="s">
        <v>5055</v>
      </c>
      <c r="F3357" t="str">
        <f t="shared" si="260"/>
        <v>Denton</v>
      </c>
      <c r="G3357" t="str">
        <f t="shared" si="261"/>
        <v>Denton2801Lewisville</v>
      </c>
      <c r="H3357" t="s">
        <v>34215</v>
      </c>
      <c r="I3357" t="s">
        <v>25640</v>
      </c>
      <c r="J3357" t="str">
        <f t="shared" si="262"/>
        <v>E:\PropInv\MF</v>
      </c>
      <c r="K3357" s="103" t="str">
        <f>HYPERLINK("E:\PropInv\MF\Lewisville\Denton Tap Rd_2801_Ballantyne_Lewisville_13140","Denton Tap Rd_2801_Ballantyne_Lewisville_13140" )</f>
        <v>Denton Tap Rd_2801_Ballantyne_Lewisville_13140</v>
      </c>
      <c r="L3357" s="104" t="s">
        <v>22253</v>
      </c>
      <c r="M3357" s="103" t="str">
        <f t="shared" si="263"/>
        <v>http://oconnordata.com/mlink/modules/profile/index.cfm?action=profile&amp;prop_id=13140</v>
      </c>
      <c r="N3357" s="1">
        <f t="shared" si="264"/>
        <v>13140</v>
      </c>
    </row>
    <row r="3358" spans="1:14" x14ac:dyDescent="0.3">
      <c r="A3358" s="1">
        <v>13141</v>
      </c>
      <c r="B3358" s="7" t="s">
        <v>5107</v>
      </c>
      <c r="C3358" s="12">
        <v>8117</v>
      </c>
      <c r="D3358" s="7" t="s">
        <v>5108</v>
      </c>
      <c r="E3358" s="13" t="s">
        <v>4996</v>
      </c>
      <c r="F3358" t="str">
        <f t="shared" si="260"/>
        <v>Barclay</v>
      </c>
      <c r="G3358" t="str">
        <f t="shared" si="261"/>
        <v>Barclay8117Dallas</v>
      </c>
      <c r="H3358" t="s">
        <v>34216</v>
      </c>
      <c r="I3358" t="s">
        <v>25641</v>
      </c>
      <c r="J3358" t="str">
        <f t="shared" si="262"/>
        <v>E:\PropInv\MF</v>
      </c>
      <c r="K3358" s="103" t="str">
        <f>HYPERLINK("E:\PropInv\MF\Dallas\Barclay St_8117_Villas Del Rey_Dallas_13141","Barclay St_8117_Villas Del Rey_Dallas_13141" )</f>
        <v>Barclay St_8117_Villas Del Rey_Dallas_13141</v>
      </c>
      <c r="L3358" s="104" t="s">
        <v>22253</v>
      </c>
      <c r="M3358" s="103" t="str">
        <f t="shared" si="263"/>
        <v>http://oconnordata.com/mlink/modules/profile/index.cfm?action=profile&amp;prop_id=13141</v>
      </c>
      <c r="N3358" s="1">
        <f t="shared" si="264"/>
        <v>13141</v>
      </c>
    </row>
    <row r="3359" spans="1:14" x14ac:dyDescent="0.3">
      <c r="A3359" s="1">
        <v>13142</v>
      </c>
      <c r="B3359" s="7" t="s">
        <v>5109</v>
      </c>
      <c r="C3359" s="12">
        <v>2101</v>
      </c>
      <c r="D3359" s="7" t="s">
        <v>5110</v>
      </c>
      <c r="E3359" s="13" t="s">
        <v>5088</v>
      </c>
      <c r="F3359" t="str">
        <f t="shared" si="260"/>
        <v>80</v>
      </c>
      <c r="G3359" t="str">
        <f t="shared" si="261"/>
        <v>802101Mesquite</v>
      </c>
      <c r="H3359" t="s">
        <v>34217</v>
      </c>
      <c r="I3359" t="s">
        <v>25642</v>
      </c>
      <c r="J3359" t="str">
        <f t="shared" si="262"/>
        <v>E:\PropInv\MF</v>
      </c>
      <c r="K3359" s="103" t="str">
        <f>HYPERLINK("E:\PropInv\MF\Mesquite\80 US Hwy E_2101_The Barons_Mesquite_13142","80 US Hwy E_2101_The Barons_Mesquite_13142" )</f>
        <v>80 US Hwy E_2101_The Barons_Mesquite_13142</v>
      </c>
      <c r="L3359" s="104" t="s">
        <v>22253</v>
      </c>
      <c r="M3359" s="103" t="str">
        <f t="shared" si="263"/>
        <v>http://oconnordata.com/mlink/modules/profile/index.cfm?action=profile&amp;prop_id=13142</v>
      </c>
      <c r="N3359" s="1">
        <f t="shared" si="264"/>
        <v>13142</v>
      </c>
    </row>
    <row r="3360" spans="1:14" x14ac:dyDescent="0.3">
      <c r="A3360" s="1">
        <v>13143</v>
      </c>
      <c r="B3360" s="7" t="s">
        <v>5111</v>
      </c>
      <c r="C3360" s="12">
        <v>2770</v>
      </c>
      <c r="D3360" s="7" t="s">
        <v>2651</v>
      </c>
      <c r="E3360" s="13" t="s">
        <v>5076</v>
      </c>
      <c r="F3360" t="str">
        <f t="shared" si="260"/>
        <v>Bardin</v>
      </c>
      <c r="G3360" t="str">
        <f t="shared" si="261"/>
        <v>Bardin2770Grand Prairie</v>
      </c>
      <c r="H3360" t="s">
        <v>34218</v>
      </c>
      <c r="I3360" t="s">
        <v>25643</v>
      </c>
      <c r="J3360" t="str">
        <f t="shared" si="262"/>
        <v>E:\PropInv\MF</v>
      </c>
      <c r="K3360" s="103" t="str">
        <f>HYPERLINK("E:\PropInv\MF\Grand Prairie\Bardin_2770_Sheffield Square_Grand Prairie_13143","Bardin_2770_Sheffield Square_Grand Prairie_13143" )</f>
        <v>Bardin_2770_Sheffield Square_Grand Prairie_13143</v>
      </c>
      <c r="L3360" s="104" t="s">
        <v>22253</v>
      </c>
      <c r="M3360" s="103" t="str">
        <f t="shared" si="263"/>
        <v>http://oconnordata.com/mlink/modules/profile/index.cfm?action=profile&amp;prop_id=13143</v>
      </c>
      <c r="N3360" s="1">
        <f t="shared" si="264"/>
        <v>13143</v>
      </c>
    </row>
    <row r="3361" spans="1:14" x14ac:dyDescent="0.3">
      <c r="A3361" s="1">
        <v>13144</v>
      </c>
      <c r="B3361" s="7" t="s">
        <v>5112</v>
      </c>
      <c r="C3361" s="12">
        <v>6109</v>
      </c>
      <c r="D3361" s="7" t="s">
        <v>5112</v>
      </c>
      <c r="E3361" s="13" t="s">
        <v>5019</v>
      </c>
      <c r="F3361" t="str">
        <f t="shared" si="260"/>
        <v>Bay</v>
      </c>
      <c r="G3361" t="str">
        <f t="shared" si="261"/>
        <v>Bay6109Garland</v>
      </c>
      <c r="H3361" t="s">
        <v>34219</v>
      </c>
      <c r="I3361" t="s">
        <v>25644</v>
      </c>
      <c r="J3361" t="str">
        <f t="shared" si="262"/>
        <v>E:\PropInv\MF</v>
      </c>
      <c r="K3361" s="103" t="str">
        <f>HYPERLINK("E:\PropInv\MF\Garland\Bay Island_6109_Bay Island_Garland_13144","Bay Island_6109_Bay Island_Garland_13144" )</f>
        <v>Bay Island_6109_Bay Island_Garland_13144</v>
      </c>
      <c r="L3361" s="104" t="s">
        <v>22253</v>
      </c>
      <c r="M3361" s="103" t="str">
        <f t="shared" si="263"/>
        <v>http://oconnordata.com/mlink/modules/profile/index.cfm?action=profile&amp;prop_id=13144</v>
      </c>
      <c r="N3361" s="1">
        <f t="shared" si="264"/>
        <v>13144</v>
      </c>
    </row>
    <row r="3362" spans="1:14" x14ac:dyDescent="0.3">
      <c r="A3362" s="1">
        <v>13145</v>
      </c>
      <c r="B3362" s="7" t="s">
        <v>5113</v>
      </c>
      <c r="C3362" s="12">
        <v>2101</v>
      </c>
      <c r="D3362" s="7" t="s">
        <v>5114</v>
      </c>
      <c r="E3362" s="13" t="s">
        <v>5055</v>
      </c>
      <c r="F3362" t="str">
        <f t="shared" si="260"/>
        <v>Lakeview</v>
      </c>
      <c r="G3362" t="str">
        <f t="shared" si="261"/>
        <v>Lakeview2101Lewisville</v>
      </c>
      <c r="H3362" t="s">
        <v>34220</v>
      </c>
      <c r="I3362" t="s">
        <v>25645</v>
      </c>
      <c r="J3362" t="str">
        <f t="shared" si="262"/>
        <v>E:\PropInv\MF</v>
      </c>
      <c r="K3362" s="103" t="str">
        <f>HYPERLINK("E:\PropInv\MF\Lewisville\Lakeview Cir_2101_Bayshore Village_Lewisville_13145","Lakeview Cir_2101_Bayshore Village_Lewisville_13145" )</f>
        <v>Lakeview Cir_2101_Bayshore Village_Lewisville_13145</v>
      </c>
      <c r="L3362" s="104" t="s">
        <v>22253</v>
      </c>
      <c r="M3362" s="103" t="str">
        <f t="shared" si="263"/>
        <v>http://oconnordata.com/mlink/modules/profile/index.cfm?action=profile&amp;prop_id=13145</v>
      </c>
      <c r="N3362" s="1">
        <f t="shared" si="264"/>
        <v>13145</v>
      </c>
    </row>
    <row r="3363" spans="1:14" x14ac:dyDescent="0.3">
      <c r="A3363" s="1">
        <v>13146</v>
      </c>
      <c r="B3363" s="7" t="s">
        <v>5115</v>
      </c>
      <c r="C3363" s="12">
        <v>3353</v>
      </c>
      <c r="D3363" s="7" t="s">
        <v>3787</v>
      </c>
      <c r="E3363" s="13" t="s">
        <v>4996</v>
      </c>
      <c r="F3363" t="str">
        <f t="shared" si="260"/>
        <v>Lombardy</v>
      </c>
      <c r="G3363" t="str">
        <f t="shared" si="261"/>
        <v>Lombardy3353Dallas</v>
      </c>
      <c r="H3363" t="s">
        <v>34221</v>
      </c>
      <c r="I3363" t="s">
        <v>25646</v>
      </c>
      <c r="J3363" t="str">
        <f t="shared" si="262"/>
        <v>E:\PropInv\MF</v>
      </c>
      <c r="K3363" s="103" t="str">
        <f>HYPERLINK("E:\PropInv\MF\Dallas\Lombardy Ln_3353_Bayou Bend_Dallas_13146","Lombardy Ln_3353_Bayou Bend_Dallas_13146" )</f>
        <v>Lombardy Ln_3353_Bayou Bend_Dallas_13146</v>
      </c>
      <c r="L3363" s="104" t="s">
        <v>22253</v>
      </c>
      <c r="M3363" s="103" t="str">
        <f t="shared" si="263"/>
        <v>http://oconnordata.com/mlink/modules/profile/index.cfm?action=profile&amp;prop_id=13146</v>
      </c>
      <c r="N3363" s="1">
        <f t="shared" si="264"/>
        <v>13146</v>
      </c>
    </row>
    <row r="3364" spans="1:14" x14ac:dyDescent="0.3">
      <c r="A3364" s="1">
        <v>13147</v>
      </c>
      <c r="B3364" s="7" t="s">
        <v>5116</v>
      </c>
      <c r="C3364" s="12">
        <v>9959</v>
      </c>
      <c r="D3364" s="7" t="s">
        <v>3586</v>
      </c>
      <c r="E3364" s="13" t="s">
        <v>4996</v>
      </c>
      <c r="F3364" t="str">
        <f t="shared" si="260"/>
        <v>Adleta</v>
      </c>
      <c r="G3364" t="str">
        <f t="shared" si="261"/>
        <v>Adleta9959Dallas</v>
      </c>
      <c r="H3364" t="s">
        <v>34222</v>
      </c>
      <c r="I3364" t="s">
        <v>25647</v>
      </c>
      <c r="J3364" t="str">
        <f t="shared" si="262"/>
        <v>E:\PropInv\MF</v>
      </c>
      <c r="K3364" s="103" t="str">
        <f>HYPERLINK("E:\PropInv\MF\Dallas\Adleta Blvd_9959_Beacon Hill_Dallas_13147","Adleta Blvd_9959_Beacon Hill_Dallas_13147" )</f>
        <v>Adleta Blvd_9959_Beacon Hill_Dallas_13147</v>
      </c>
      <c r="L3364" s="104" t="s">
        <v>22253</v>
      </c>
      <c r="M3364" s="103" t="str">
        <f t="shared" si="263"/>
        <v>http://oconnordata.com/mlink/modules/profile/index.cfm?action=profile&amp;prop_id=13147</v>
      </c>
      <c r="N3364" s="1">
        <f t="shared" si="264"/>
        <v>13147</v>
      </c>
    </row>
    <row r="3365" spans="1:14" x14ac:dyDescent="0.3">
      <c r="A3365" s="1">
        <v>13148</v>
      </c>
      <c r="B3365" s="7" t="s">
        <v>5064</v>
      </c>
      <c r="C3365" s="12">
        <v>800</v>
      </c>
      <c r="D3365" s="7" t="s">
        <v>5117</v>
      </c>
      <c r="E3365" s="13" t="s">
        <v>3328</v>
      </c>
      <c r="F3365" t="str">
        <f t="shared" si="260"/>
        <v>Custer</v>
      </c>
      <c r="G3365" t="str">
        <f t="shared" si="261"/>
        <v>Custer800Richardson</v>
      </c>
      <c r="H3365" t="s">
        <v>34223</v>
      </c>
      <c r="I3365" t="s">
        <v>25648</v>
      </c>
      <c r="J3365" t="str">
        <f t="shared" si="262"/>
        <v>E:\PropInv\MF</v>
      </c>
      <c r="K3365" s="103" t="str">
        <f>HYPERLINK("E:\PropInv\MF\Richardson\Custer Rd_800_Belle Grove at Custer_Richardson_13148","Custer Rd_800_Belle Grove at Custer_Richardson_13148" )</f>
        <v>Custer Rd_800_Belle Grove at Custer_Richardson_13148</v>
      </c>
      <c r="L3365" s="104" t="s">
        <v>22253</v>
      </c>
      <c r="M3365" s="103" t="str">
        <f t="shared" si="263"/>
        <v>http://oconnordata.com/mlink/modules/profile/index.cfm?action=profile&amp;prop_id=13148</v>
      </c>
      <c r="N3365" s="1">
        <f t="shared" si="264"/>
        <v>13148</v>
      </c>
    </row>
    <row r="3366" spans="1:14" x14ac:dyDescent="0.3">
      <c r="A3366" s="1">
        <v>13149</v>
      </c>
      <c r="B3366" s="7" t="s">
        <v>5118</v>
      </c>
      <c r="C3366" s="12">
        <v>6202</v>
      </c>
      <c r="D3366" s="7" t="s">
        <v>5119</v>
      </c>
      <c r="E3366" s="13" t="s">
        <v>5019</v>
      </c>
      <c r="F3366" t="str">
        <f t="shared" si="260"/>
        <v>Duck</v>
      </c>
      <c r="G3366" t="str">
        <f t="shared" si="261"/>
        <v>Duck6202Garland</v>
      </c>
      <c r="H3366" t="s">
        <v>34224</v>
      </c>
      <c r="I3366" t="s">
        <v>25649</v>
      </c>
      <c r="J3366" t="str">
        <f t="shared" si="262"/>
        <v>E:\PropInv\MF</v>
      </c>
      <c r="K3366" s="103" t="str">
        <f>HYPERLINK("E:\PropInv\MF\Garland\Duck Creek Dr_6202_The Belmont at Duck Creek_Garland_13149","Duck Creek Dr_6202_The Belmont at Duck Creek_Garland_13149" )</f>
        <v>Duck Creek Dr_6202_The Belmont at Duck Creek_Garland_13149</v>
      </c>
      <c r="L3366" s="104" t="s">
        <v>22253</v>
      </c>
      <c r="M3366" s="103" t="str">
        <f t="shared" si="263"/>
        <v>http://oconnordata.com/mlink/modules/profile/index.cfm?action=profile&amp;prop_id=13149</v>
      </c>
      <c r="N3366" s="1">
        <f t="shared" si="264"/>
        <v>13149</v>
      </c>
    </row>
    <row r="3367" spans="1:14" x14ac:dyDescent="0.3">
      <c r="A3367" s="1">
        <v>13150</v>
      </c>
      <c r="B3367" s="7" t="s">
        <v>5120</v>
      </c>
      <c r="C3367" s="12">
        <v>3424</v>
      </c>
      <c r="D3367" s="7" t="s">
        <v>5121</v>
      </c>
      <c r="E3367" s="13" t="s">
        <v>5046</v>
      </c>
      <c r="F3367" t="str">
        <f t="shared" si="260"/>
        <v>Country</v>
      </c>
      <c r="G3367" t="str">
        <f t="shared" si="261"/>
        <v>Country3424Irving</v>
      </c>
      <c r="H3367" t="s">
        <v>34225</v>
      </c>
      <c r="I3367" t="s">
        <v>25650</v>
      </c>
      <c r="J3367" t="str">
        <f t="shared" si="262"/>
        <v>E:\PropInv\MF</v>
      </c>
      <c r="K3367" s="103" t="str">
        <f>HYPERLINK("E:\PropInv\MF\Irving\Country Club W_3424_Benchmark_Irving_13150","Country Club W_3424_Benchmark_Irving_13150" )</f>
        <v>Country Club W_3424_Benchmark_Irving_13150</v>
      </c>
      <c r="L3367" s="104" t="s">
        <v>22253</v>
      </c>
      <c r="M3367" s="103" t="str">
        <f t="shared" si="263"/>
        <v>http://oconnordata.com/mlink/modules/profile/index.cfm?action=profile&amp;prop_id=13150</v>
      </c>
      <c r="N3367" s="1">
        <f t="shared" si="264"/>
        <v>13150</v>
      </c>
    </row>
    <row r="3368" spans="1:14" x14ac:dyDescent="0.3">
      <c r="A3368" s="1">
        <v>13151</v>
      </c>
      <c r="B3368" s="7" t="s">
        <v>5122</v>
      </c>
      <c r="C3368" s="12">
        <v>5454</v>
      </c>
      <c r="D3368" s="7" t="s">
        <v>5123</v>
      </c>
      <c r="E3368" s="13" t="s">
        <v>4996</v>
      </c>
      <c r="F3368" t="str">
        <f t="shared" si="260"/>
        <v>Amesbury</v>
      </c>
      <c r="G3368" t="str">
        <f t="shared" si="261"/>
        <v>Amesbury5454Dallas</v>
      </c>
      <c r="H3368" t="s">
        <v>34226</v>
      </c>
      <c r="I3368" t="s">
        <v>25651</v>
      </c>
      <c r="J3368" t="str">
        <f t="shared" si="262"/>
        <v>E:\PropInv\MF</v>
      </c>
      <c r="K3368" s="103" t="str">
        <f>HYPERLINK("E:\PropInv\MF\Dallas\Amesbury_5454_The Bend-Bend East_Dallas_13151","Amesbury_5454_The Bend-Bend East_Dallas_13151" )</f>
        <v>Amesbury_5454_The Bend-Bend East_Dallas_13151</v>
      </c>
      <c r="L3368" s="104" t="s">
        <v>22253</v>
      </c>
      <c r="M3368" s="103" t="str">
        <f t="shared" si="263"/>
        <v>http://oconnordata.com/mlink/modules/profile/index.cfm?action=profile&amp;prop_id=13151</v>
      </c>
      <c r="N3368" s="1">
        <f t="shared" si="264"/>
        <v>13151</v>
      </c>
    </row>
    <row r="3369" spans="1:14" x14ac:dyDescent="0.3">
      <c r="A3369" s="1">
        <v>13152</v>
      </c>
      <c r="B3369" s="7" t="s">
        <v>5124</v>
      </c>
      <c r="C3369" s="12">
        <v>2223</v>
      </c>
      <c r="D3369" s="7" t="s">
        <v>5125</v>
      </c>
      <c r="E3369" s="13" t="s">
        <v>4996</v>
      </c>
      <c r="F3369" t="str">
        <f t="shared" si="260"/>
        <v>Bennett</v>
      </c>
      <c r="G3369" t="str">
        <f t="shared" si="261"/>
        <v>Bennett2223Dallas</v>
      </c>
      <c r="H3369" t="s">
        <v>34227</v>
      </c>
      <c r="I3369" t="s">
        <v>25652</v>
      </c>
      <c r="J3369" t="str">
        <f t="shared" si="262"/>
        <v>E:\PropInv\MF</v>
      </c>
      <c r="K3369" s="103" t="str">
        <f>HYPERLINK("E:\PropInv\MF\Dallas\Bennett_2223_Bennett Place_Dallas_13152","Bennett_2223_Bennett Place_Dallas_13152" )</f>
        <v>Bennett_2223_Bennett Place_Dallas_13152</v>
      </c>
      <c r="L3369" s="104" t="s">
        <v>22253</v>
      </c>
      <c r="M3369" s="103" t="str">
        <f t="shared" si="263"/>
        <v>http://oconnordata.com/mlink/modules/profile/index.cfm?action=profile&amp;prop_id=13152</v>
      </c>
      <c r="N3369" s="1">
        <f t="shared" si="264"/>
        <v>13152</v>
      </c>
    </row>
    <row r="3370" spans="1:14" x14ac:dyDescent="0.3">
      <c r="A3370" s="1">
        <v>13153</v>
      </c>
      <c r="B3370" s="7" t="s">
        <v>5126</v>
      </c>
      <c r="C3370" s="12">
        <v>760</v>
      </c>
      <c r="D3370" s="7" t="s">
        <v>5127</v>
      </c>
      <c r="E3370" s="13" t="s">
        <v>5055</v>
      </c>
      <c r="F3370" t="str">
        <f t="shared" si="260"/>
        <v>Edmonds</v>
      </c>
      <c r="G3370" t="str">
        <f t="shared" si="261"/>
        <v>Edmonds760Lewisville</v>
      </c>
      <c r="H3370" t="s">
        <v>34228</v>
      </c>
      <c r="I3370" t="s">
        <v>25653</v>
      </c>
      <c r="J3370" t="str">
        <f t="shared" si="262"/>
        <v>E:\PropInv\MF</v>
      </c>
      <c r="K3370" s="103" t="str">
        <f>HYPERLINK("E:\PropInv\MF\Lewisville\Edmonds Ln_760_Bent Creek_Lewisville_13153","Edmonds Ln_760_Bent Creek_Lewisville_13153" )</f>
        <v>Edmonds Ln_760_Bent Creek_Lewisville_13153</v>
      </c>
      <c r="L3370" s="104" t="s">
        <v>22253</v>
      </c>
      <c r="M3370" s="103" t="str">
        <f t="shared" si="263"/>
        <v>http://oconnordata.com/mlink/modules/profile/index.cfm?action=profile&amp;prop_id=13153</v>
      </c>
      <c r="N3370" s="1">
        <f t="shared" si="264"/>
        <v>13153</v>
      </c>
    </row>
    <row r="3371" spans="1:14" x14ac:dyDescent="0.3">
      <c r="A3371" s="1">
        <v>13154</v>
      </c>
      <c r="B3371" s="7" t="s">
        <v>5128</v>
      </c>
      <c r="C3371" s="12">
        <v>123</v>
      </c>
      <c r="D3371" s="7" t="s">
        <v>5127</v>
      </c>
      <c r="E3371" s="13" t="s">
        <v>5043</v>
      </c>
      <c r="F3371" t="str">
        <f t="shared" si="260"/>
        <v>Wilson</v>
      </c>
      <c r="G3371" t="str">
        <f t="shared" si="261"/>
        <v>Wilson123McKinney</v>
      </c>
      <c r="H3371" t="s">
        <v>34229</v>
      </c>
      <c r="I3371" t="s">
        <v>25654</v>
      </c>
      <c r="J3371" t="str">
        <f t="shared" si="262"/>
        <v>E:\PropInv\MF</v>
      </c>
      <c r="K3371" s="103" t="str">
        <f>HYPERLINK("E:\PropInv\MF\McKinney\Wilson Creek Blvd_123_Bent Creek_McKinney_13154","Wilson Creek Blvd_123_Bent Creek_McKinney_13154" )</f>
        <v>Wilson Creek Blvd_123_Bent Creek_McKinney_13154</v>
      </c>
      <c r="L3371" s="104" t="s">
        <v>22253</v>
      </c>
      <c r="M3371" s="103" t="str">
        <f t="shared" si="263"/>
        <v>http://oconnordata.com/mlink/modules/profile/index.cfm?action=profile&amp;prop_id=13154</v>
      </c>
      <c r="N3371" s="1">
        <f t="shared" si="264"/>
        <v>13154</v>
      </c>
    </row>
    <row r="3372" spans="1:14" x14ac:dyDescent="0.3">
      <c r="A3372" s="1">
        <v>13155</v>
      </c>
      <c r="B3372" s="7" t="s">
        <v>5129</v>
      </c>
      <c r="C3372" s="12">
        <v>9750</v>
      </c>
      <c r="D3372" s="7" t="s">
        <v>5130</v>
      </c>
      <c r="E3372" s="13" t="s">
        <v>4996</v>
      </c>
      <c r="F3372" t="str">
        <f t="shared" si="260"/>
        <v>Forest</v>
      </c>
      <c r="G3372" t="str">
        <f t="shared" si="261"/>
        <v>Forest9750Dallas</v>
      </c>
      <c r="H3372" t="s">
        <v>34230</v>
      </c>
      <c r="I3372" t="s">
        <v>25655</v>
      </c>
      <c r="J3372" t="str">
        <f t="shared" si="262"/>
        <v>E:\PropInv\MF</v>
      </c>
      <c r="K3372" s="103" t="str">
        <f>HYPERLINK("E:\PropInv\MF\Dallas\Forest Ln_9750_Lake Highlands Landing_Dallas_13155","Forest Ln_9750_Lake Highlands Landing_Dallas_13155" )</f>
        <v>Forest Ln_9750_Lake Highlands Landing_Dallas_13155</v>
      </c>
      <c r="L3372" s="104" t="s">
        <v>22253</v>
      </c>
      <c r="M3372" s="103" t="str">
        <f t="shared" si="263"/>
        <v>http://oconnordata.com/mlink/modules/profile/index.cfm?action=profile&amp;prop_id=13155</v>
      </c>
      <c r="N3372" s="1">
        <f t="shared" si="264"/>
        <v>13155</v>
      </c>
    </row>
    <row r="3373" spans="1:14" x14ac:dyDescent="0.3">
      <c r="A3373" s="1">
        <v>13156</v>
      </c>
      <c r="B3373" s="7" t="s">
        <v>5131</v>
      </c>
      <c r="C3373" s="12">
        <v>4820</v>
      </c>
      <c r="D3373" s="7" t="s">
        <v>5132</v>
      </c>
      <c r="E3373" s="13" t="s">
        <v>5005</v>
      </c>
      <c r="F3373" t="str">
        <f t="shared" si="260"/>
        <v>Westgrove</v>
      </c>
      <c r="G3373" t="str">
        <f t="shared" si="261"/>
        <v>Westgrove4820Addison</v>
      </c>
      <c r="H3373" t="s">
        <v>34231</v>
      </c>
      <c r="I3373" t="s">
        <v>25656</v>
      </c>
      <c r="J3373" t="str">
        <f t="shared" si="262"/>
        <v>E:\PropInv\MF</v>
      </c>
      <c r="K3373" s="103" t="str">
        <f>HYPERLINK("E:\PropInv\MF\Addison\Westgrove_4820_Bent Tree Brooks_Addison_13156","Westgrove_4820_Bent Tree Brooks_Addison_13156" )</f>
        <v>Westgrove_4820_Bent Tree Brooks_Addison_13156</v>
      </c>
      <c r="L3373" s="104" t="s">
        <v>22253</v>
      </c>
      <c r="M3373" s="103" t="str">
        <f t="shared" si="263"/>
        <v>http://oconnordata.com/mlink/modules/profile/index.cfm?action=profile&amp;prop_id=13156</v>
      </c>
      <c r="N3373" s="1">
        <f t="shared" si="264"/>
        <v>13156</v>
      </c>
    </row>
    <row r="3374" spans="1:14" x14ac:dyDescent="0.3">
      <c r="A3374" s="1">
        <v>13157</v>
      </c>
      <c r="B3374" s="7" t="s">
        <v>5133</v>
      </c>
      <c r="C3374" s="12">
        <v>16400</v>
      </c>
      <c r="D3374" s="7" t="s">
        <v>5134</v>
      </c>
      <c r="E3374" s="13" t="s">
        <v>5005</v>
      </c>
      <c r="F3374" t="str">
        <f t="shared" si="260"/>
        <v>Ledgemont</v>
      </c>
      <c r="G3374" t="str">
        <f t="shared" si="261"/>
        <v>Ledgemont16400Addison</v>
      </c>
      <c r="H3374" t="s">
        <v>34232</v>
      </c>
      <c r="I3374" t="s">
        <v>25657</v>
      </c>
      <c r="J3374" t="str">
        <f t="shared" si="262"/>
        <v>E:\PropInv\MF</v>
      </c>
      <c r="K3374" s="103" t="str">
        <f>HYPERLINK("E:\PropInv\MF\Addison\Ledgemont_16400_Bent Tree Fountains_Addison_13157","Ledgemont_16400_Bent Tree Fountains_Addison_13157" )</f>
        <v>Ledgemont_16400_Bent Tree Fountains_Addison_13157</v>
      </c>
      <c r="L3374" s="104" t="s">
        <v>22253</v>
      </c>
      <c r="M3374" s="103" t="str">
        <f t="shared" si="263"/>
        <v>http://oconnordata.com/mlink/modules/profile/index.cfm?action=profile&amp;prop_id=13157</v>
      </c>
      <c r="N3374" s="1">
        <f t="shared" si="264"/>
        <v>13157</v>
      </c>
    </row>
    <row r="3375" spans="1:14" x14ac:dyDescent="0.3">
      <c r="A3375" s="1">
        <v>13158</v>
      </c>
      <c r="B3375" s="7" t="s">
        <v>5131</v>
      </c>
      <c r="C3375" s="12">
        <v>4815</v>
      </c>
      <c r="D3375" s="7" t="s">
        <v>5135</v>
      </c>
      <c r="E3375" s="13" t="s">
        <v>5005</v>
      </c>
      <c r="F3375" t="str">
        <f t="shared" si="260"/>
        <v>Westgrove</v>
      </c>
      <c r="G3375" t="str">
        <f t="shared" si="261"/>
        <v>Westgrove4815Addison</v>
      </c>
      <c r="H3375" t="s">
        <v>34233</v>
      </c>
      <c r="I3375" t="s">
        <v>25658</v>
      </c>
      <c r="J3375" t="str">
        <f t="shared" si="262"/>
        <v>E:\PropInv\MF</v>
      </c>
      <c r="K3375" s="103" t="str">
        <f>HYPERLINK("E:\PropInv\MF\Addison\Westgrove_4815_Bent Tree Oaks_Addison_13158","Westgrove_4815_Bent Tree Oaks_Addison_13158" )</f>
        <v>Westgrove_4815_Bent Tree Oaks_Addison_13158</v>
      </c>
      <c r="L3375" s="104" t="s">
        <v>22253</v>
      </c>
      <c r="M3375" s="103" t="str">
        <f t="shared" si="263"/>
        <v>http://oconnordata.com/mlink/modules/profile/index.cfm?action=profile&amp;prop_id=13158</v>
      </c>
      <c r="N3375" s="1">
        <f t="shared" si="264"/>
        <v>13158</v>
      </c>
    </row>
    <row r="3376" spans="1:14" x14ac:dyDescent="0.3">
      <c r="A3376" s="1">
        <v>13161</v>
      </c>
      <c r="B3376" s="7" t="s">
        <v>5133</v>
      </c>
      <c r="C3376" s="12">
        <v>16300</v>
      </c>
      <c r="D3376" s="7" t="s">
        <v>5136</v>
      </c>
      <c r="E3376" s="13" t="s">
        <v>5005</v>
      </c>
      <c r="F3376" t="str">
        <f t="shared" si="260"/>
        <v>Ledgemont</v>
      </c>
      <c r="G3376" t="str">
        <f t="shared" si="261"/>
        <v>Ledgemont16300Addison</v>
      </c>
      <c r="H3376" t="s">
        <v>34234</v>
      </c>
      <c r="I3376" t="s">
        <v>25659</v>
      </c>
      <c r="J3376" t="str">
        <f t="shared" si="262"/>
        <v>E:\PropInv\MF</v>
      </c>
      <c r="K3376" s="103" t="str">
        <f>HYPERLINK("E:\PropInv\MF\Addison\Ledgemont_16300_Bent Tree Trails_Addison_13161","Ledgemont_16300_Bent Tree Trails_Addison_13161" )</f>
        <v>Ledgemont_16300_Bent Tree Trails_Addison_13161</v>
      </c>
      <c r="L3376" s="104" t="s">
        <v>22253</v>
      </c>
      <c r="M3376" s="103" t="str">
        <f t="shared" si="263"/>
        <v>http://oconnordata.com/mlink/modules/profile/index.cfm?action=profile&amp;prop_id=13161</v>
      </c>
      <c r="N3376" s="1">
        <f t="shared" si="264"/>
        <v>13161</v>
      </c>
    </row>
    <row r="3377" spans="1:14" x14ac:dyDescent="0.3">
      <c r="A3377" s="1">
        <v>13162</v>
      </c>
      <c r="B3377" s="7" t="s">
        <v>2181</v>
      </c>
      <c r="C3377" s="12">
        <v>5945</v>
      </c>
      <c r="D3377" s="7" t="s">
        <v>5137</v>
      </c>
      <c r="E3377" s="13" t="s">
        <v>5009</v>
      </c>
      <c r="F3377" t="str">
        <f t="shared" si="260"/>
        <v>Parker</v>
      </c>
      <c r="G3377" t="str">
        <f t="shared" si="261"/>
        <v>Parker5945Plano</v>
      </c>
      <c r="H3377" t="s">
        <v>34235</v>
      </c>
      <c r="I3377" t="s">
        <v>25660</v>
      </c>
      <c r="J3377" t="str">
        <f t="shared" si="262"/>
        <v>E:\PropInv\MF</v>
      </c>
      <c r="K3377" s="103" t="str">
        <f>HYPERLINK("E:\PropInv\MF\Plano\Parker Rd W_5945_Bentley Place at Willow Bend_Plano_13162","Parker Rd W_5945_Bentley Place at Willow Bend_Plano_13162" )</f>
        <v>Parker Rd W_5945_Bentley Place at Willow Bend_Plano_13162</v>
      </c>
      <c r="L3377" s="104" t="s">
        <v>22253</v>
      </c>
      <c r="M3377" s="103" t="str">
        <f t="shared" si="263"/>
        <v>http://oconnordata.com/mlink/modules/profile/index.cfm?action=profile&amp;prop_id=13162</v>
      </c>
      <c r="N3377" s="1">
        <f t="shared" si="264"/>
        <v>13162</v>
      </c>
    </row>
    <row r="3378" spans="1:14" x14ac:dyDescent="0.3">
      <c r="A3378" s="1">
        <v>13163</v>
      </c>
      <c r="B3378" s="7" t="s">
        <v>5138</v>
      </c>
      <c r="C3378" s="12">
        <v>205</v>
      </c>
      <c r="D3378" s="7" t="s">
        <v>5139</v>
      </c>
      <c r="E3378" s="13" t="s">
        <v>5140</v>
      </c>
      <c r="F3378" t="str">
        <f t="shared" si="260"/>
        <v>Benton</v>
      </c>
      <c r="G3378" t="str">
        <f t="shared" si="261"/>
        <v>Benton205Allen</v>
      </c>
      <c r="H3378" t="s">
        <v>34236</v>
      </c>
      <c r="I3378" t="s">
        <v>25661</v>
      </c>
      <c r="J3378" t="str">
        <f t="shared" si="262"/>
        <v>E:\PropInv\MF</v>
      </c>
      <c r="K3378" s="103" t="str">
        <f>HYPERLINK("E:\PropInv\MF\Allen\Benton Dr_205_Benton Pointe_Allen_13163","Benton Dr_205_Benton Pointe_Allen_13163" )</f>
        <v>Benton Dr_205_Benton Pointe_Allen_13163</v>
      </c>
      <c r="L3378" s="104" t="s">
        <v>22253</v>
      </c>
      <c r="M3378" s="103" t="str">
        <f t="shared" si="263"/>
        <v>http://oconnordata.com/mlink/modules/profile/index.cfm?action=profile&amp;prop_id=13163</v>
      </c>
      <c r="N3378" s="1">
        <f t="shared" si="264"/>
        <v>13163</v>
      </c>
    </row>
    <row r="3379" spans="1:14" x14ac:dyDescent="0.3">
      <c r="A3379" s="1">
        <v>13164</v>
      </c>
      <c r="B3379" s="7" t="s">
        <v>5141</v>
      </c>
      <c r="C3379" s="12">
        <v>5704</v>
      </c>
      <c r="D3379" s="7" t="s">
        <v>5142</v>
      </c>
      <c r="E3379" s="13" t="s">
        <v>4996</v>
      </c>
      <c r="F3379" t="str">
        <f t="shared" si="260"/>
        <v>Spring</v>
      </c>
      <c r="G3379" t="str">
        <f t="shared" si="261"/>
        <v>Spring5704Dallas</v>
      </c>
      <c r="H3379" t="s">
        <v>34237</v>
      </c>
      <c r="I3379" t="s">
        <v>25662</v>
      </c>
      <c r="J3379" t="str">
        <f t="shared" si="262"/>
        <v>E:\PropInv\MF</v>
      </c>
      <c r="K3379" s="103" t="str">
        <f>HYPERLINK("E:\PropInv\MF\Dallas\Spring Valley Rd_5704_Arbor Springs_Dallas_13164","Spring Valley Rd_5704_Arbor Springs_Dallas_13164" )</f>
        <v>Spring Valley Rd_5704_Arbor Springs_Dallas_13164</v>
      </c>
      <c r="L3379" s="104" t="s">
        <v>22253</v>
      </c>
      <c r="M3379" s="103" t="str">
        <f t="shared" si="263"/>
        <v>http://oconnordata.com/mlink/modules/profile/index.cfm?action=profile&amp;prop_id=13164</v>
      </c>
      <c r="N3379" s="1">
        <f t="shared" si="264"/>
        <v>13164</v>
      </c>
    </row>
    <row r="3380" spans="1:14" x14ac:dyDescent="0.3">
      <c r="A3380" s="1">
        <v>13165</v>
      </c>
      <c r="B3380" s="7" t="s">
        <v>5143</v>
      </c>
      <c r="C3380" s="12">
        <v>7950</v>
      </c>
      <c r="D3380" s="7" t="s">
        <v>5144</v>
      </c>
      <c r="E3380" s="13" t="s">
        <v>4996</v>
      </c>
      <c r="F3380" t="str">
        <f t="shared" si="260"/>
        <v>Cliffbrook</v>
      </c>
      <c r="G3380" t="str">
        <f t="shared" si="261"/>
        <v>Cliffbrook7950Dallas</v>
      </c>
      <c r="H3380" t="s">
        <v>34238</v>
      </c>
      <c r="I3380" t="s">
        <v>25663</v>
      </c>
      <c r="J3380" t="str">
        <f t="shared" si="262"/>
        <v>E:\PropInv\MF</v>
      </c>
      <c r="K3380" s="103" t="str">
        <f>HYPERLINK("E:\PropInv\MF\Dallas\Cliffbrook_7950_Berkshire Square_Dallas_13165","Cliffbrook_7950_Berkshire Square_Dallas_13165" )</f>
        <v>Cliffbrook_7950_Berkshire Square_Dallas_13165</v>
      </c>
      <c r="L3380" s="104" t="s">
        <v>22253</v>
      </c>
      <c r="M3380" s="103" t="str">
        <f t="shared" si="263"/>
        <v>http://oconnordata.com/mlink/modules/profile/index.cfm?action=profile&amp;prop_id=13165</v>
      </c>
      <c r="N3380" s="1">
        <f t="shared" si="264"/>
        <v>13165</v>
      </c>
    </row>
    <row r="3381" spans="1:14" x14ac:dyDescent="0.3">
      <c r="A3381" s="1">
        <v>13166</v>
      </c>
      <c r="B3381" s="7" t="s">
        <v>5037</v>
      </c>
      <c r="C3381" s="12">
        <v>14600</v>
      </c>
      <c r="D3381" s="7" t="s">
        <v>5145</v>
      </c>
      <c r="E3381" s="13" t="s">
        <v>5005</v>
      </c>
      <c r="F3381" t="str">
        <f t="shared" si="260"/>
        <v>Marsh</v>
      </c>
      <c r="G3381" t="str">
        <f t="shared" si="261"/>
        <v>Marsh14600Addison</v>
      </c>
      <c r="H3381" t="s">
        <v>34239</v>
      </c>
      <c r="I3381" t="s">
        <v>25664</v>
      </c>
      <c r="J3381" t="str">
        <f t="shared" si="262"/>
        <v>E:\PropInv\MF</v>
      </c>
      <c r="K3381" s="103" t="str">
        <f>HYPERLINK("E:\PropInv\MF\Addison\Marsh Ln_14600_Addison Park_Addison_13166","Marsh Ln_14600_Addison Park_Addison_13166" )</f>
        <v>Marsh Ln_14600_Addison Park_Addison_13166</v>
      </c>
      <c r="L3381" s="104" t="s">
        <v>22253</v>
      </c>
      <c r="M3381" s="103" t="str">
        <f t="shared" si="263"/>
        <v>http://oconnordata.com/mlink/modules/profile/index.cfm?action=profile&amp;prop_id=13166</v>
      </c>
      <c r="N3381" s="1">
        <f t="shared" si="264"/>
        <v>13166</v>
      </c>
    </row>
    <row r="3382" spans="1:14" x14ac:dyDescent="0.3">
      <c r="A3382" s="1">
        <v>13167</v>
      </c>
      <c r="B3382" s="7" t="s">
        <v>5146</v>
      </c>
      <c r="C3382" s="12">
        <v>5225</v>
      </c>
      <c r="D3382" s="7" t="s">
        <v>5147</v>
      </c>
      <c r="E3382" s="13" t="s">
        <v>4996</v>
      </c>
      <c r="F3382" t="str">
        <f t="shared" si="260"/>
        <v>Verde</v>
      </c>
      <c r="G3382" t="str">
        <f t="shared" si="261"/>
        <v>Verde5225Dallas</v>
      </c>
      <c r="H3382" t="s">
        <v>34240</v>
      </c>
      <c r="I3382" t="s">
        <v>25665</v>
      </c>
      <c r="J3382" t="str">
        <f t="shared" si="262"/>
        <v>E:\PropInv\MF</v>
      </c>
      <c r="K3382" s="103" t="str">
        <f>HYPERLINK("E:\PropInv\MF\Dallas\Verde Valley_5225_Biltmore_Dallas_13167","Verde Valley_5225_Biltmore_Dallas_13167" )</f>
        <v>Verde Valley_5225_Biltmore_Dallas_13167</v>
      </c>
      <c r="L3382" s="104" t="s">
        <v>22253</v>
      </c>
      <c r="M3382" s="103" t="str">
        <f t="shared" si="263"/>
        <v>http://oconnordata.com/mlink/modules/profile/index.cfm?action=profile&amp;prop_id=13167</v>
      </c>
      <c r="N3382" s="1">
        <f t="shared" si="264"/>
        <v>13167</v>
      </c>
    </row>
    <row r="3383" spans="1:14" x14ac:dyDescent="0.3">
      <c r="A3383" s="1">
        <v>13168</v>
      </c>
      <c r="B3383" s="7" t="s">
        <v>5148</v>
      </c>
      <c r="C3383" s="12">
        <v>6251</v>
      </c>
      <c r="D3383" s="7" t="s">
        <v>5147</v>
      </c>
      <c r="E3383" s="13" t="s">
        <v>4996</v>
      </c>
      <c r="F3383" t="str">
        <f t="shared" si="260"/>
        <v>Melody</v>
      </c>
      <c r="G3383" t="str">
        <f t="shared" si="261"/>
        <v>Melody6251Dallas</v>
      </c>
      <c r="H3383" t="s">
        <v>34241</v>
      </c>
      <c r="I3383" t="s">
        <v>25666</v>
      </c>
      <c r="J3383" t="str">
        <f t="shared" si="262"/>
        <v>E:\PropInv\MF</v>
      </c>
      <c r="K3383" s="103" t="str">
        <f>HYPERLINK("E:\PropInv\MF\Dallas\Melody Ln_6251_Biltmore_Dallas_13168","Melody Ln_6251_Biltmore_Dallas_13168" )</f>
        <v>Melody Ln_6251_Biltmore_Dallas_13168</v>
      </c>
      <c r="L3383" s="104" t="s">
        <v>22253</v>
      </c>
      <c r="M3383" s="103" t="str">
        <f t="shared" si="263"/>
        <v>http://oconnordata.com/mlink/modules/profile/index.cfm?action=profile&amp;prop_id=13168</v>
      </c>
      <c r="N3383" s="1">
        <f t="shared" si="264"/>
        <v>13168</v>
      </c>
    </row>
    <row r="3384" spans="1:14" x14ac:dyDescent="0.3">
      <c r="A3384" s="1">
        <v>13170</v>
      </c>
      <c r="B3384" s="7" t="s">
        <v>5149</v>
      </c>
      <c r="C3384" s="12">
        <v>7510</v>
      </c>
      <c r="D3384" s="7" t="s">
        <v>5150</v>
      </c>
      <c r="E3384" s="13" t="s">
        <v>4996</v>
      </c>
      <c r="F3384" t="str">
        <f t="shared" si="260"/>
        <v>Grand</v>
      </c>
      <c r="G3384" t="str">
        <f t="shared" si="261"/>
        <v>Grand7510Dallas</v>
      </c>
      <c r="H3384" t="s">
        <v>34242</v>
      </c>
      <c r="I3384" t="s">
        <v>25667</v>
      </c>
      <c r="J3384" t="str">
        <f t="shared" si="262"/>
        <v>E:\PropInv\MF</v>
      </c>
      <c r="K3384" s="103" t="str">
        <f>HYPERLINK("E:\PropInv\MF\Dallas\Grand Ave E_7510_The Bluffs of Lakewood_Dallas_13170","Grand Ave E_7510_The Bluffs of Lakewood_Dallas_13170" )</f>
        <v>Grand Ave E_7510_The Bluffs of Lakewood_Dallas_13170</v>
      </c>
      <c r="L3384" s="104" t="s">
        <v>22253</v>
      </c>
      <c r="M3384" s="103" t="str">
        <f t="shared" si="263"/>
        <v>http://oconnordata.com/mlink/modules/profile/index.cfm?action=profile&amp;prop_id=13170</v>
      </c>
      <c r="N3384" s="1">
        <f t="shared" si="264"/>
        <v>13170</v>
      </c>
    </row>
    <row r="3385" spans="1:14" x14ac:dyDescent="0.3">
      <c r="A3385" s="1">
        <v>13171</v>
      </c>
      <c r="B3385" s="7" t="s">
        <v>5151</v>
      </c>
      <c r="C3385" s="12">
        <v>3602</v>
      </c>
      <c r="D3385" s="7" t="s">
        <v>5152</v>
      </c>
      <c r="E3385" s="13" t="s">
        <v>4996</v>
      </c>
      <c r="F3385" t="str">
        <f t="shared" si="260"/>
        <v>Bolivar</v>
      </c>
      <c r="G3385" t="str">
        <f t="shared" si="261"/>
        <v>Bolivar3602Dallas</v>
      </c>
      <c r="H3385" t="s">
        <v>34243</v>
      </c>
      <c r="I3385" t="s">
        <v>25668</v>
      </c>
      <c r="J3385" t="str">
        <f t="shared" si="262"/>
        <v>E:\PropInv\MF</v>
      </c>
      <c r="K3385" s="103" t="str">
        <f>HYPERLINK("E:\PropInv\MF\Dallas\Bolivar_3602_Boliver Square_Dallas_13171","Bolivar_3602_Boliver Square_Dallas_13171" )</f>
        <v>Bolivar_3602_Boliver Square_Dallas_13171</v>
      </c>
      <c r="L3385" s="104" t="s">
        <v>22253</v>
      </c>
      <c r="M3385" s="103" t="str">
        <f t="shared" si="263"/>
        <v>http://oconnordata.com/mlink/modules/profile/index.cfm?action=profile&amp;prop_id=13171</v>
      </c>
      <c r="N3385" s="1">
        <f t="shared" si="264"/>
        <v>13171</v>
      </c>
    </row>
    <row r="3386" spans="1:14" x14ac:dyDescent="0.3">
      <c r="A3386" s="1">
        <v>13172</v>
      </c>
      <c r="B3386" s="7" t="s">
        <v>5153</v>
      </c>
      <c r="C3386" s="12">
        <v>6337</v>
      </c>
      <c r="D3386" s="7" t="s">
        <v>5154</v>
      </c>
      <c r="E3386" s="13" t="s">
        <v>5019</v>
      </c>
      <c r="F3386" t="str">
        <f t="shared" si="260"/>
        <v>Duck</v>
      </c>
      <c r="G3386" t="str">
        <f t="shared" si="261"/>
        <v>Duck6337Garland</v>
      </c>
      <c r="H3386" t="s">
        <v>34244</v>
      </c>
      <c r="I3386" t="s">
        <v>25669</v>
      </c>
      <c r="J3386" t="str">
        <f t="shared" si="262"/>
        <v>E:\PropInv\MF</v>
      </c>
      <c r="K3386" s="103" t="str">
        <f>HYPERLINK("E:\PropInv\MF\Garland\Duck Creek_6337_The Boulders_Garland_13172","Duck Creek_6337_The Boulders_Garland_13172" )</f>
        <v>Duck Creek_6337_The Boulders_Garland_13172</v>
      </c>
      <c r="L3386" s="104" t="s">
        <v>22253</v>
      </c>
      <c r="M3386" s="103" t="str">
        <f t="shared" si="263"/>
        <v>http://oconnordata.com/mlink/modules/profile/index.cfm?action=profile&amp;prop_id=13172</v>
      </c>
      <c r="N3386" s="1">
        <f t="shared" si="264"/>
        <v>13172</v>
      </c>
    </row>
    <row r="3387" spans="1:14" x14ac:dyDescent="0.3">
      <c r="A3387" s="1">
        <v>13174</v>
      </c>
      <c r="B3387" s="7" t="s">
        <v>5155</v>
      </c>
      <c r="C3387" s="12">
        <v>1233</v>
      </c>
      <c r="D3387" s="7" t="s">
        <v>5156</v>
      </c>
      <c r="E3387" s="13" t="s">
        <v>5019</v>
      </c>
      <c r="F3387" t="str">
        <f t="shared" si="260"/>
        <v>Castle</v>
      </c>
      <c r="G3387" t="str">
        <f t="shared" si="261"/>
        <v>Castle1233Garland</v>
      </c>
      <c r="H3387" t="s">
        <v>34245</v>
      </c>
      <c r="I3387" t="s">
        <v>25670</v>
      </c>
      <c r="J3387" t="str">
        <f t="shared" si="262"/>
        <v>E:\PropInv\MF</v>
      </c>
      <c r="K3387" s="103" t="str">
        <f>HYPERLINK("E:\PropInv\MF\Garland\Castle Dr_1233_Bradfield Place_Garland_13174","Castle Dr_1233_Bradfield Place_Garland_13174" )</f>
        <v>Castle Dr_1233_Bradfield Place_Garland_13174</v>
      </c>
      <c r="L3387" s="104" t="s">
        <v>22253</v>
      </c>
      <c r="M3387" s="103" t="str">
        <f t="shared" si="263"/>
        <v>http://oconnordata.com/mlink/modules/profile/index.cfm?action=profile&amp;prop_id=13174</v>
      </c>
      <c r="N3387" s="1">
        <f t="shared" si="264"/>
        <v>13174</v>
      </c>
    </row>
    <row r="3388" spans="1:14" x14ac:dyDescent="0.3">
      <c r="A3388" s="1">
        <v>13177</v>
      </c>
      <c r="B3388" s="7" t="s">
        <v>5157</v>
      </c>
      <c r="C3388" s="12">
        <v>506</v>
      </c>
      <c r="D3388" s="7" t="s">
        <v>4698</v>
      </c>
      <c r="E3388" s="13" t="s">
        <v>5046</v>
      </c>
      <c r="F3388" t="str">
        <f t="shared" si="260"/>
        <v>Rogers</v>
      </c>
      <c r="G3388" t="str">
        <f t="shared" si="261"/>
        <v>Rogers506Irving</v>
      </c>
      <c r="H3388" t="s">
        <v>34246</v>
      </c>
      <c r="I3388" t="s">
        <v>25671</v>
      </c>
      <c r="J3388" t="str">
        <f t="shared" si="262"/>
        <v>E:\PropInv\MF</v>
      </c>
      <c r="K3388" s="103" t="str">
        <f>HYPERLINK("E:\PropInv\MF\Irving\Rogers N_506_Briarcrest_Irving_13177","Rogers N_506_Briarcrest_Irving_13177" )</f>
        <v>Rogers N_506_Briarcrest_Irving_13177</v>
      </c>
      <c r="L3388" s="104" t="s">
        <v>22253</v>
      </c>
      <c r="M3388" s="103" t="str">
        <f t="shared" si="263"/>
        <v>http://oconnordata.com/mlink/modules/profile/index.cfm?action=profile&amp;prop_id=13177</v>
      </c>
      <c r="N3388" s="1">
        <f t="shared" si="264"/>
        <v>13177</v>
      </c>
    </row>
    <row r="3389" spans="1:14" x14ac:dyDescent="0.3">
      <c r="A3389" s="1">
        <v>13178</v>
      </c>
      <c r="B3389" s="7" t="s">
        <v>5158</v>
      </c>
      <c r="C3389" s="12">
        <v>1802</v>
      </c>
      <c r="D3389" s="7" t="s">
        <v>5159</v>
      </c>
      <c r="E3389" s="13" t="s">
        <v>5019</v>
      </c>
      <c r="F3389" t="str">
        <f t="shared" si="260"/>
        <v>Apollo</v>
      </c>
      <c r="G3389" t="str">
        <f t="shared" si="261"/>
        <v>Apollo1802Garland</v>
      </c>
      <c r="H3389" t="s">
        <v>34247</v>
      </c>
      <c r="I3389" t="s">
        <v>25672</v>
      </c>
      <c r="J3389" t="str">
        <f t="shared" si="262"/>
        <v>E:\PropInv\MF</v>
      </c>
      <c r="K3389" s="103" t="str">
        <f>HYPERLINK("E:\PropInv\MF\Garland\Apollo Rd_1802_Mission Spring Creek_Garland_13178","Apollo Rd_1802_Mission Spring Creek_Garland_13178" )</f>
        <v>Apollo Rd_1802_Mission Spring Creek_Garland_13178</v>
      </c>
      <c r="L3389" s="104" t="s">
        <v>22253</v>
      </c>
      <c r="M3389" s="103" t="str">
        <f t="shared" si="263"/>
        <v>http://oconnordata.com/mlink/modules/profile/index.cfm?action=profile&amp;prop_id=13178</v>
      </c>
      <c r="N3389" s="1">
        <f t="shared" si="264"/>
        <v>13178</v>
      </c>
    </row>
    <row r="3390" spans="1:14" x14ac:dyDescent="0.3">
      <c r="A3390" s="1">
        <v>13179</v>
      </c>
      <c r="B3390" s="7" t="s">
        <v>5160</v>
      </c>
      <c r="C3390" s="12">
        <v>1110</v>
      </c>
      <c r="D3390" s="7" t="s">
        <v>5161</v>
      </c>
      <c r="E3390" s="13" t="s">
        <v>5060</v>
      </c>
      <c r="F3390" t="str">
        <f t="shared" si="260"/>
        <v>Branch</v>
      </c>
      <c r="G3390" t="str">
        <f t="shared" si="261"/>
        <v>Branch1110Carrollton</v>
      </c>
      <c r="H3390" t="s">
        <v>34248</v>
      </c>
      <c r="I3390" t="s">
        <v>25673</v>
      </c>
      <c r="J3390" t="str">
        <f t="shared" si="262"/>
        <v>E:\PropInv\MF</v>
      </c>
      <c r="K3390" s="103" t="str">
        <f>HYPERLINK("E:\PropInv\MF\Carrollton\Branch Hollow_1110_Branch Hollow TH_Carrollton_13179","Branch Hollow_1110_Branch Hollow TH_Carrollton_13179" )</f>
        <v>Branch Hollow_1110_Branch Hollow TH_Carrollton_13179</v>
      </c>
      <c r="L3390" s="104" t="s">
        <v>22253</v>
      </c>
      <c r="M3390" s="103" t="str">
        <f t="shared" si="263"/>
        <v>http://oconnordata.com/mlink/modules/profile/index.cfm?action=profile&amp;prop_id=13179</v>
      </c>
      <c r="N3390" s="1">
        <f t="shared" si="264"/>
        <v>13179</v>
      </c>
    </row>
    <row r="3391" spans="1:14" x14ac:dyDescent="0.3">
      <c r="A3391" s="1">
        <v>13180</v>
      </c>
      <c r="B3391" s="7" t="s">
        <v>5162</v>
      </c>
      <c r="C3391" s="12">
        <v>901</v>
      </c>
      <c r="D3391" s="7" t="s">
        <v>5163</v>
      </c>
      <c r="E3391" s="13" t="s">
        <v>5019</v>
      </c>
      <c r="F3391" t="str">
        <f t="shared" si="260"/>
        <v>Brand</v>
      </c>
      <c r="G3391" t="str">
        <f t="shared" si="261"/>
        <v>Brand901Garland</v>
      </c>
      <c r="H3391" t="s">
        <v>34249</v>
      </c>
      <c r="I3391" t="s">
        <v>25674</v>
      </c>
      <c r="J3391" t="str">
        <f t="shared" si="262"/>
        <v>E:\PropInv\MF</v>
      </c>
      <c r="K3391" s="103" t="str">
        <f>HYPERLINK("E:\PropInv\MF\Garland\Brand Rd_901_Brandon Walk_Garland_13180","Brand Rd_901_Brandon Walk_Garland_13180" )</f>
        <v>Brand Rd_901_Brandon Walk_Garland_13180</v>
      </c>
      <c r="L3391" s="104" t="s">
        <v>22253</v>
      </c>
      <c r="M3391" s="103" t="str">
        <f t="shared" si="263"/>
        <v>http://oconnordata.com/mlink/modules/profile/index.cfm?action=profile&amp;prop_id=13180</v>
      </c>
      <c r="N3391" s="1">
        <f t="shared" si="264"/>
        <v>13180</v>
      </c>
    </row>
    <row r="3392" spans="1:14" x14ac:dyDescent="0.3">
      <c r="A3392" s="1">
        <v>13181</v>
      </c>
      <c r="B3392" s="7" t="s">
        <v>5164</v>
      </c>
      <c r="C3392" s="12">
        <v>4341</v>
      </c>
      <c r="D3392" s="7" t="s">
        <v>5165</v>
      </c>
      <c r="E3392" s="13" t="s">
        <v>4996</v>
      </c>
      <c r="F3392" t="str">
        <f t="shared" si="260"/>
        <v>Horizon</v>
      </c>
      <c r="G3392" t="str">
        <f t="shared" si="261"/>
        <v>Horizon4341Dallas</v>
      </c>
      <c r="H3392" t="s">
        <v>34250</v>
      </c>
      <c r="I3392" t="s">
        <v>25675</v>
      </c>
      <c r="J3392" t="str">
        <f t="shared" si="262"/>
        <v>E:\PropInv\MF</v>
      </c>
      <c r="K3392" s="103" t="str">
        <f>HYPERLINK("E:\PropInv\MF\Dallas\Horizon Pkwy N_4341_The Brazos_Dallas_13181","Horizon Pkwy N_4341_The Brazos_Dallas_13181" )</f>
        <v>Horizon Pkwy N_4341_The Brazos_Dallas_13181</v>
      </c>
      <c r="L3392" s="104" t="s">
        <v>22253</v>
      </c>
      <c r="M3392" s="103" t="str">
        <f t="shared" si="263"/>
        <v>http://oconnordata.com/mlink/modules/profile/index.cfm?action=profile&amp;prop_id=13181</v>
      </c>
      <c r="N3392" s="1">
        <f t="shared" si="264"/>
        <v>13181</v>
      </c>
    </row>
    <row r="3393" spans="1:14" x14ac:dyDescent="0.3">
      <c r="A3393" s="1">
        <v>13182</v>
      </c>
      <c r="B3393" s="7" t="s">
        <v>5166</v>
      </c>
      <c r="C3393" s="12">
        <v>1515</v>
      </c>
      <c r="D3393" s="7" t="s">
        <v>5167</v>
      </c>
      <c r="E3393" s="13" t="s">
        <v>5009</v>
      </c>
      <c r="F3393" t="str">
        <f t="shared" si="260"/>
        <v>Rio</v>
      </c>
      <c r="G3393" t="str">
        <f t="shared" si="261"/>
        <v>Rio1515Plano</v>
      </c>
      <c r="H3393" t="s">
        <v>34251</v>
      </c>
      <c r="I3393" t="s">
        <v>25676</v>
      </c>
      <c r="J3393" t="str">
        <f t="shared" si="262"/>
        <v>E:\PropInv\MF</v>
      </c>
      <c r="K3393" s="103" t="str">
        <f>HYPERLINK("E:\PropInv\MF\Plano\Rio Grande_1515_The Brentdale_Plano_13182","Rio Grande_1515_The Brentdale_Plano_13182" )</f>
        <v>Rio Grande_1515_The Brentdale_Plano_13182</v>
      </c>
      <c r="L3393" s="104" t="s">
        <v>22253</v>
      </c>
      <c r="M3393" s="103" t="str">
        <f t="shared" si="263"/>
        <v>http://oconnordata.com/mlink/modules/profile/index.cfm?action=profile&amp;prop_id=13182</v>
      </c>
      <c r="N3393" s="1">
        <f t="shared" si="264"/>
        <v>13182</v>
      </c>
    </row>
    <row r="3394" spans="1:14" x14ac:dyDescent="0.3">
      <c r="A3394" s="1">
        <v>13183</v>
      </c>
      <c r="B3394" s="7" t="s">
        <v>5168</v>
      </c>
      <c r="C3394" s="12">
        <v>5454</v>
      </c>
      <c r="D3394" s="7" t="s">
        <v>5169</v>
      </c>
      <c r="E3394" s="13" t="s">
        <v>4996</v>
      </c>
      <c r="F3394" t="str">
        <f t="shared" ref="F3394:F3457" si="265">IFERROR(LEFT(B3394,FIND(" ",B3394)-1),B3394)</f>
        <v>Peterson</v>
      </c>
      <c r="G3394" t="str">
        <f t="shared" ref="G3394:G3457" si="266">F3394&amp;C3394&amp;E3394</f>
        <v>Peterson5454Dallas</v>
      </c>
      <c r="H3394" t="s">
        <v>34252</v>
      </c>
      <c r="I3394" t="s">
        <v>25677</v>
      </c>
      <c r="J3394" t="str">
        <f t="shared" ref="J3394:J3457" si="267">IF(L3394="TX",Folder_Path,Folder_Path&amp;"\State_"&amp;L3394)</f>
        <v>E:\PropInv\MF</v>
      </c>
      <c r="K3394" s="103" t="str">
        <f>HYPERLINK("E:\PropInv\MF\Dallas\Peterson_5454_The Arts Apts at Midtown_Dallas_13183","Peterson_5454_The Arts Apts at Midtown_Dallas_13183" )</f>
        <v>Peterson_5454_The Arts Apts at Midtown_Dallas_13183</v>
      </c>
      <c r="L3394" s="104" t="s">
        <v>22253</v>
      </c>
      <c r="M3394" s="103" t="str">
        <f t="shared" ref="M3394:M3457" si="268">HYPERLINK("http://oconnordata.com/mlink/modules/profile/index.cfm?action=profile&amp;prop_id="&amp;A3394)</f>
        <v>http://oconnordata.com/mlink/modules/profile/index.cfm?action=profile&amp;prop_id=13183</v>
      </c>
      <c r="N3394" s="1">
        <f t="shared" ref="N3394:N3457" si="269">IF(LEN(A3394)=1,"0000"&amp;A3394,IF(LEN(A3394)=2,"000"&amp;A3394,IF(LEN(A3394)=3,"00"&amp;A3394,IF(LEN(A3394)=4,"0"&amp;A3394,IF(LEN(A3394)=5,IF(LEFT(A3394,1)="3",A3394+30000,A3394))))))</f>
        <v>13183</v>
      </c>
    </row>
    <row r="3395" spans="1:14" x14ac:dyDescent="0.3">
      <c r="A3395" s="1">
        <v>13184</v>
      </c>
      <c r="B3395" s="7" t="s">
        <v>5170</v>
      </c>
      <c r="C3395" s="12">
        <v>1330</v>
      </c>
      <c r="D3395" s="7" t="s">
        <v>4698</v>
      </c>
      <c r="E3395" s="13" t="s">
        <v>5060</v>
      </c>
      <c r="F3395" t="str">
        <f t="shared" si="265"/>
        <v>Macarthur</v>
      </c>
      <c r="G3395" t="str">
        <f t="shared" si="266"/>
        <v>Macarthur1330Carrollton</v>
      </c>
      <c r="H3395" t="s">
        <v>34253</v>
      </c>
      <c r="I3395" t="s">
        <v>25678</v>
      </c>
      <c r="J3395" t="str">
        <f t="shared" si="267"/>
        <v>E:\PropInv\MF</v>
      </c>
      <c r="K3395" s="103" t="str">
        <f>HYPERLINK("E:\PropInv\MF\Carrollton\Macarthur_1330_Briarcrest_Carrollton_13184","Macarthur_1330_Briarcrest_Carrollton_13184" )</f>
        <v>Macarthur_1330_Briarcrest_Carrollton_13184</v>
      </c>
      <c r="L3395" s="104" t="s">
        <v>22253</v>
      </c>
      <c r="M3395" s="103" t="str">
        <f t="shared" si="268"/>
        <v>http://oconnordata.com/mlink/modules/profile/index.cfm?action=profile&amp;prop_id=13184</v>
      </c>
      <c r="N3395" s="1">
        <f t="shared" si="269"/>
        <v>13184</v>
      </c>
    </row>
    <row r="3396" spans="1:14" x14ac:dyDescent="0.3">
      <c r="A3396" s="1">
        <v>13185</v>
      </c>
      <c r="B3396" s="7" t="s">
        <v>5171</v>
      </c>
      <c r="C3396" s="12">
        <v>3939</v>
      </c>
      <c r="D3396" s="7" t="s">
        <v>5172</v>
      </c>
      <c r="E3396" s="13" t="s">
        <v>4996</v>
      </c>
      <c r="F3396" t="str">
        <f t="shared" si="265"/>
        <v>Briargrove</v>
      </c>
      <c r="G3396" t="str">
        <f t="shared" si="266"/>
        <v>Briargrove3939Dallas</v>
      </c>
      <c r="H3396" t="s">
        <v>34254</v>
      </c>
      <c r="I3396" t="s">
        <v>25679</v>
      </c>
      <c r="J3396" t="str">
        <f t="shared" si="267"/>
        <v>E:\PropInv\MF</v>
      </c>
      <c r="K3396" s="103" t="str">
        <f>HYPERLINK("E:\PropInv\MF\Dallas\Briargrove_3939_Briargrove At Vail_Dallas_13185","Briargrove_3939_Briargrove At Vail_Dallas_13185" )</f>
        <v>Briargrove_3939_Briargrove At Vail_Dallas_13185</v>
      </c>
      <c r="L3396" s="104" t="s">
        <v>22253</v>
      </c>
      <c r="M3396" s="103" t="str">
        <f t="shared" si="268"/>
        <v>http://oconnordata.com/mlink/modules/profile/index.cfm?action=profile&amp;prop_id=13185</v>
      </c>
      <c r="N3396" s="1">
        <f t="shared" si="269"/>
        <v>13185</v>
      </c>
    </row>
    <row r="3397" spans="1:14" x14ac:dyDescent="0.3">
      <c r="A3397" s="1">
        <v>13186</v>
      </c>
      <c r="B3397" s="7" t="s">
        <v>5173</v>
      </c>
      <c r="C3397" s="12">
        <v>5440</v>
      </c>
      <c r="D3397" s="7" t="s">
        <v>5174</v>
      </c>
      <c r="E3397" s="13" t="s">
        <v>4996</v>
      </c>
      <c r="F3397" t="str">
        <f t="shared" si="265"/>
        <v>Jim</v>
      </c>
      <c r="G3397" t="str">
        <f t="shared" si="266"/>
        <v>Jim5440Dallas</v>
      </c>
      <c r="H3397" t="s">
        <v>34255</v>
      </c>
      <c r="I3397" t="s">
        <v>25680</v>
      </c>
      <c r="J3397" t="str">
        <f t="shared" si="267"/>
        <v>E:\PropInv\MF</v>
      </c>
      <c r="K3397" s="103" t="str">
        <f>HYPERLINK("E:\PropInv\MF\Dallas\Jim Miller_5440_Bridgeport_Dallas_13186","Jim Miller_5440_Bridgeport_Dallas_13186" )</f>
        <v>Jim Miller_5440_Bridgeport_Dallas_13186</v>
      </c>
      <c r="L3397" s="104" t="s">
        <v>22253</v>
      </c>
      <c r="M3397" s="103" t="str">
        <f t="shared" si="268"/>
        <v>http://oconnordata.com/mlink/modules/profile/index.cfm?action=profile&amp;prop_id=13186</v>
      </c>
      <c r="N3397" s="1">
        <f t="shared" si="269"/>
        <v>13186</v>
      </c>
    </row>
    <row r="3398" spans="1:14" x14ac:dyDescent="0.3">
      <c r="A3398" s="1">
        <v>13187</v>
      </c>
      <c r="B3398" s="7" t="s">
        <v>5175</v>
      </c>
      <c r="C3398" s="12">
        <v>4111</v>
      </c>
      <c r="D3398" s="7" t="s">
        <v>5174</v>
      </c>
      <c r="E3398" s="13" t="s">
        <v>5046</v>
      </c>
      <c r="F3398" t="str">
        <f t="shared" si="265"/>
        <v>Polaris</v>
      </c>
      <c r="G3398" t="str">
        <f t="shared" si="266"/>
        <v>Polaris4111Irving</v>
      </c>
      <c r="H3398" t="s">
        <v>34256</v>
      </c>
      <c r="I3398" t="s">
        <v>25681</v>
      </c>
      <c r="J3398" t="str">
        <f t="shared" si="267"/>
        <v>E:\PropInv\MF</v>
      </c>
      <c r="K3398" s="103" t="str">
        <f>HYPERLINK("E:\PropInv\MF\Irving\Polaris_4111_Bridgeport_Irving_13187","Polaris_4111_Bridgeport_Irving_13187" )</f>
        <v>Polaris_4111_Bridgeport_Irving_13187</v>
      </c>
      <c r="L3398" s="104" t="s">
        <v>22253</v>
      </c>
      <c r="M3398" s="103" t="str">
        <f t="shared" si="268"/>
        <v>http://oconnordata.com/mlink/modules/profile/index.cfm?action=profile&amp;prop_id=13187</v>
      </c>
      <c r="N3398" s="1">
        <f t="shared" si="269"/>
        <v>13187</v>
      </c>
    </row>
    <row r="3399" spans="1:14" x14ac:dyDescent="0.3">
      <c r="A3399" s="1">
        <v>13188</v>
      </c>
      <c r="B3399" s="7" t="s">
        <v>3343</v>
      </c>
      <c r="C3399" s="12">
        <v>357</v>
      </c>
      <c r="D3399" s="7" t="s">
        <v>5176</v>
      </c>
      <c r="E3399" s="13" t="s">
        <v>5055</v>
      </c>
      <c r="F3399" t="str">
        <f t="shared" si="265"/>
        <v>Corporate</v>
      </c>
      <c r="G3399" t="str">
        <f t="shared" si="266"/>
        <v>Corporate357Lewisville</v>
      </c>
      <c r="H3399" t="s">
        <v>34257</v>
      </c>
      <c r="I3399" t="s">
        <v>25682</v>
      </c>
      <c r="J3399" t="str">
        <f t="shared" si="267"/>
        <v>E:\PropInv\MF</v>
      </c>
      <c r="K3399" s="103" t="str">
        <f>HYPERLINK("E:\PropInv\MF\Lewisville\Corporate_357_Brighton Place_Lewisville_13188","Corporate_357_Brighton Place_Lewisville_13188" )</f>
        <v>Corporate_357_Brighton Place_Lewisville_13188</v>
      </c>
      <c r="L3399" s="104" t="s">
        <v>22253</v>
      </c>
      <c r="M3399" s="103" t="str">
        <f t="shared" si="268"/>
        <v>http://oconnordata.com/mlink/modules/profile/index.cfm?action=profile&amp;prop_id=13188</v>
      </c>
      <c r="N3399" s="1">
        <f t="shared" si="269"/>
        <v>13188</v>
      </c>
    </row>
    <row r="3400" spans="1:14" x14ac:dyDescent="0.3">
      <c r="A3400" s="1">
        <v>13189</v>
      </c>
      <c r="B3400" s="7" t="s">
        <v>5177</v>
      </c>
      <c r="C3400" s="12">
        <v>2600</v>
      </c>
      <c r="D3400" s="7" t="s">
        <v>5178</v>
      </c>
      <c r="E3400" s="13" t="s">
        <v>5009</v>
      </c>
      <c r="F3400" t="str">
        <f t="shared" si="265"/>
        <v>Preston</v>
      </c>
      <c r="G3400" t="str">
        <f t="shared" si="266"/>
        <v>Preston2600Plano</v>
      </c>
      <c r="H3400" t="s">
        <v>34258</v>
      </c>
      <c r="I3400" t="s">
        <v>25683</v>
      </c>
      <c r="J3400" t="str">
        <f t="shared" si="267"/>
        <v>E:\PropInv\MF</v>
      </c>
      <c r="K3400" s="103" t="str">
        <f>HYPERLINK("E:\PropInv\MF\Plano\Preston_2600_Cottages of Tulane_Plano_13189","Preston_2600_Cottages of Tulane_Plano_13189" )</f>
        <v>Preston_2600_Cottages of Tulane_Plano_13189</v>
      </c>
      <c r="L3400" s="104" t="s">
        <v>22253</v>
      </c>
      <c r="M3400" s="103" t="str">
        <f t="shared" si="268"/>
        <v>http://oconnordata.com/mlink/modules/profile/index.cfm?action=profile&amp;prop_id=13189</v>
      </c>
      <c r="N3400" s="1">
        <f t="shared" si="269"/>
        <v>13189</v>
      </c>
    </row>
    <row r="3401" spans="1:14" x14ac:dyDescent="0.3">
      <c r="A3401" s="1">
        <v>13190</v>
      </c>
      <c r="B3401" s="7" t="s">
        <v>2568</v>
      </c>
      <c r="C3401" s="12">
        <v>4777</v>
      </c>
      <c r="D3401" s="7" t="s">
        <v>5179</v>
      </c>
      <c r="E3401" s="13" t="s">
        <v>5180</v>
      </c>
      <c r="F3401" t="str">
        <f t="shared" si="265"/>
        <v>Memorial</v>
      </c>
      <c r="G3401" t="str">
        <f t="shared" si="266"/>
        <v>Memorial4777The Colony</v>
      </c>
      <c r="H3401" t="s">
        <v>34259</v>
      </c>
      <c r="I3401" t="s">
        <v>25684</v>
      </c>
      <c r="J3401" t="str">
        <f t="shared" si="267"/>
        <v>E:\PropInv\MF</v>
      </c>
      <c r="K3401" s="103" t="str">
        <f>HYPERLINK("E:\PropInv\MF\The Colony\Memorial Dr_4777_Bristol Oaks_The Colony_13190","Memorial Dr_4777_Bristol Oaks_The Colony_13190" )</f>
        <v>Memorial Dr_4777_Bristol Oaks_The Colony_13190</v>
      </c>
      <c r="L3401" s="104" t="s">
        <v>22253</v>
      </c>
      <c r="M3401" s="103" t="str">
        <f t="shared" si="268"/>
        <v>http://oconnordata.com/mlink/modules/profile/index.cfm?action=profile&amp;prop_id=13190</v>
      </c>
      <c r="N3401" s="1">
        <f t="shared" si="269"/>
        <v>13190</v>
      </c>
    </row>
    <row r="3402" spans="1:14" x14ac:dyDescent="0.3">
      <c r="A3402" s="1">
        <v>13191</v>
      </c>
      <c r="B3402" s="7" t="s">
        <v>5181</v>
      </c>
      <c r="C3402" s="12">
        <v>1720</v>
      </c>
      <c r="D3402" s="7" t="s">
        <v>72</v>
      </c>
      <c r="E3402" s="13" t="s">
        <v>4996</v>
      </c>
      <c r="F3402" t="str">
        <f t="shared" si="265"/>
        <v>John</v>
      </c>
      <c r="G3402" t="str">
        <f t="shared" si="266"/>
        <v>John1720Dallas</v>
      </c>
      <c r="H3402" t="s">
        <v>34260</v>
      </c>
      <c r="I3402" t="s">
        <v>25685</v>
      </c>
      <c r="J3402" t="str">
        <f t="shared" si="267"/>
        <v>E:\PropInv\MF</v>
      </c>
      <c r="K3402" s="103" t="str">
        <f>HYPERLINK("E:\PropInv\MF\Dallas\John Rd W_1720_Bristol Square_Dallas_13191","John Rd W_1720_Bristol Square_Dallas_13191" )</f>
        <v>John Rd W_1720_Bristol Square_Dallas_13191</v>
      </c>
      <c r="L3402" s="104" t="s">
        <v>22253</v>
      </c>
      <c r="M3402" s="103" t="str">
        <f t="shared" si="268"/>
        <v>http://oconnordata.com/mlink/modules/profile/index.cfm?action=profile&amp;prop_id=13191</v>
      </c>
      <c r="N3402" s="1">
        <f t="shared" si="269"/>
        <v>13191</v>
      </c>
    </row>
    <row r="3403" spans="1:14" x14ac:dyDescent="0.3">
      <c r="A3403" s="1">
        <v>13192</v>
      </c>
      <c r="B3403" s="7" t="s">
        <v>5182</v>
      </c>
      <c r="C3403" s="12">
        <v>14222</v>
      </c>
      <c r="D3403" s="7" t="s">
        <v>5183</v>
      </c>
      <c r="E3403" s="13" t="s">
        <v>4996</v>
      </c>
      <c r="F3403" t="str">
        <f t="shared" si="265"/>
        <v>Dallas</v>
      </c>
      <c r="G3403" t="str">
        <f t="shared" si="266"/>
        <v>Dallas14222Dallas</v>
      </c>
      <c r="H3403" t="s">
        <v>34261</v>
      </c>
      <c r="I3403" t="s">
        <v>25686</v>
      </c>
      <c r="J3403" t="str">
        <f t="shared" si="267"/>
        <v>E:\PropInv\MF</v>
      </c>
      <c r="K3403" s="103" t="str">
        <f>HYPERLINK("E:\PropInv\MF\Dallas\Dallas Pkwy_14222_Brittany Park_Dallas_13192","Dallas Pkwy_14222_Brittany Park_Dallas_13192" )</f>
        <v>Dallas Pkwy_14222_Brittany Park_Dallas_13192</v>
      </c>
      <c r="L3403" s="104" t="s">
        <v>22253</v>
      </c>
      <c r="M3403" s="103" t="str">
        <f t="shared" si="268"/>
        <v>http://oconnordata.com/mlink/modules/profile/index.cfm?action=profile&amp;prop_id=13192</v>
      </c>
      <c r="N3403" s="1">
        <f t="shared" si="269"/>
        <v>13192</v>
      </c>
    </row>
    <row r="3404" spans="1:14" x14ac:dyDescent="0.3">
      <c r="A3404" s="1">
        <v>13193</v>
      </c>
      <c r="B3404" s="7" t="s">
        <v>5184</v>
      </c>
      <c r="C3404" s="12">
        <v>3900</v>
      </c>
      <c r="D3404" s="7" t="s">
        <v>321</v>
      </c>
      <c r="E3404" s="13" t="s">
        <v>4996</v>
      </c>
      <c r="F3404" t="str">
        <f t="shared" si="265"/>
        <v>Investor</v>
      </c>
      <c r="G3404" t="str">
        <f t="shared" si="266"/>
        <v>Investor3900Dallas</v>
      </c>
      <c r="H3404" t="s">
        <v>34262</v>
      </c>
      <c r="I3404" t="s">
        <v>25687</v>
      </c>
      <c r="J3404" t="str">
        <f t="shared" si="267"/>
        <v>E:\PropInv\MF</v>
      </c>
      <c r="K3404" s="103" t="str">
        <f>HYPERLINK("E:\PropInv\MF\Dallas\Investor Dr_3900_Broadmoor_Dallas_13193","Investor Dr_3900_Broadmoor_Dallas_13193" )</f>
        <v>Investor Dr_3900_Broadmoor_Dallas_13193</v>
      </c>
      <c r="L3404" s="104" t="s">
        <v>22253</v>
      </c>
      <c r="M3404" s="103" t="str">
        <f t="shared" si="268"/>
        <v>http://oconnordata.com/mlink/modules/profile/index.cfm?action=profile&amp;prop_id=13193</v>
      </c>
      <c r="N3404" s="1">
        <f t="shared" si="269"/>
        <v>13193</v>
      </c>
    </row>
    <row r="3405" spans="1:14" x14ac:dyDescent="0.3">
      <c r="A3405" s="1">
        <v>13194</v>
      </c>
      <c r="B3405" s="7" t="s">
        <v>5120</v>
      </c>
      <c r="C3405" s="12">
        <v>3200</v>
      </c>
      <c r="D3405" s="7" t="s">
        <v>5185</v>
      </c>
      <c r="E3405" s="13" t="s">
        <v>5046</v>
      </c>
      <c r="F3405" t="str">
        <f t="shared" si="265"/>
        <v>Country</v>
      </c>
      <c r="G3405" t="str">
        <f t="shared" si="266"/>
        <v>Country3200Irving</v>
      </c>
      <c r="H3405" t="s">
        <v>34263</v>
      </c>
      <c r="I3405" t="s">
        <v>25688</v>
      </c>
      <c r="J3405" t="str">
        <f t="shared" si="267"/>
        <v>E:\PropInv\MF</v>
      </c>
      <c r="K3405" s="103" t="str">
        <f>HYPERLINK("E:\PropInv\MF\Irving\Country Club W_3200_Broadmoor Place_Irving_13194","Country Club W_3200_Broadmoor Place_Irving_13194" )</f>
        <v>Country Club W_3200_Broadmoor Place_Irving_13194</v>
      </c>
      <c r="L3405" s="104" t="s">
        <v>22253</v>
      </c>
      <c r="M3405" s="103" t="str">
        <f t="shared" si="268"/>
        <v>http://oconnordata.com/mlink/modules/profile/index.cfm?action=profile&amp;prop_id=13194</v>
      </c>
      <c r="N3405" s="1">
        <f t="shared" si="269"/>
        <v>13194</v>
      </c>
    </row>
    <row r="3406" spans="1:14" x14ac:dyDescent="0.3">
      <c r="A3406" s="1">
        <v>13195</v>
      </c>
      <c r="B3406" s="7" t="s">
        <v>5186</v>
      </c>
      <c r="C3406" s="12">
        <v>5015</v>
      </c>
      <c r="D3406" s="7" t="s">
        <v>5187</v>
      </c>
      <c r="E3406" s="13" t="s">
        <v>5046</v>
      </c>
      <c r="F3406" t="str">
        <f t="shared" si="265"/>
        <v>Courtside</v>
      </c>
      <c r="G3406" t="str">
        <f t="shared" si="266"/>
        <v>Courtside5015Irving</v>
      </c>
      <c r="H3406" t="s">
        <v>34264</v>
      </c>
      <c r="I3406" t="s">
        <v>25689</v>
      </c>
      <c r="J3406" t="str">
        <f t="shared" si="267"/>
        <v>E:\PropInv\MF</v>
      </c>
      <c r="K3406" s="103" t="str">
        <f>HYPERLINK("E:\PropInv\MF\Irving\Courtside_5015_Broadmoor Villas_Irving_13195","Courtside_5015_Broadmoor Villas_Irving_13195" )</f>
        <v>Courtside_5015_Broadmoor Villas_Irving_13195</v>
      </c>
      <c r="L3406" s="104" t="s">
        <v>22253</v>
      </c>
      <c r="M3406" s="103" t="str">
        <f t="shared" si="268"/>
        <v>http://oconnordata.com/mlink/modules/profile/index.cfm?action=profile&amp;prop_id=13195</v>
      </c>
      <c r="N3406" s="1">
        <f t="shared" si="269"/>
        <v>13195</v>
      </c>
    </row>
    <row r="3407" spans="1:14" x14ac:dyDescent="0.3">
      <c r="A3407" s="1">
        <v>13196</v>
      </c>
      <c r="B3407" s="7" t="s">
        <v>5188</v>
      </c>
      <c r="C3407" s="12">
        <v>5118</v>
      </c>
      <c r="D3407" s="7" t="s">
        <v>919</v>
      </c>
      <c r="E3407" s="13" t="s">
        <v>5019</v>
      </c>
      <c r="F3407" t="str">
        <f t="shared" si="265"/>
        <v>Broadway</v>
      </c>
      <c r="G3407" t="str">
        <f t="shared" si="266"/>
        <v>Broadway5118Garland</v>
      </c>
      <c r="H3407" t="s">
        <v>34265</v>
      </c>
      <c r="I3407" t="s">
        <v>25690</v>
      </c>
      <c r="J3407" t="str">
        <f t="shared" si="267"/>
        <v>E:\PropInv\MF</v>
      </c>
      <c r="K3407" s="103" t="str">
        <f>HYPERLINK("E:\PropInv\MF\Garland\Broadway Blvd_5118_Broadway_Garland_13196","Broadway Blvd_5118_Broadway_Garland_13196" )</f>
        <v>Broadway Blvd_5118_Broadway_Garland_13196</v>
      </c>
      <c r="L3407" s="104" t="s">
        <v>22253</v>
      </c>
      <c r="M3407" s="103" t="str">
        <f t="shared" si="268"/>
        <v>http://oconnordata.com/mlink/modules/profile/index.cfm?action=profile&amp;prop_id=13196</v>
      </c>
      <c r="N3407" s="1">
        <f t="shared" si="269"/>
        <v>13196</v>
      </c>
    </row>
    <row r="3408" spans="1:14" x14ac:dyDescent="0.3">
      <c r="A3408" s="1">
        <v>13197</v>
      </c>
      <c r="B3408" s="7" t="s">
        <v>5189</v>
      </c>
      <c r="C3408" s="12">
        <v>802</v>
      </c>
      <c r="D3408" s="7" t="s">
        <v>5190</v>
      </c>
      <c r="E3408" s="13" t="s">
        <v>5019</v>
      </c>
      <c r="F3408" t="str">
        <f t="shared" si="265"/>
        <v>Broadway</v>
      </c>
      <c r="G3408" t="str">
        <f t="shared" si="266"/>
        <v>Broadway802Garland</v>
      </c>
      <c r="H3408" t="s">
        <v>34266</v>
      </c>
      <c r="I3408" t="s">
        <v>25691</v>
      </c>
      <c r="J3408" t="str">
        <f t="shared" si="267"/>
        <v>E:\PropInv\MF</v>
      </c>
      <c r="K3408" s="103" t="str">
        <f>HYPERLINK("E:\PropInv\MF\Garland\Broadway Commons_802_The Arts Apts at Broadway Commons II_Garland_13197","Broadway Commons_802_The Arts Apts at Broadway Commons II_Garland_13197" )</f>
        <v>Broadway Commons_802_The Arts Apts at Broadway Commons II_Garland_13197</v>
      </c>
      <c r="L3408" s="104" t="s">
        <v>22253</v>
      </c>
      <c r="M3408" s="103" t="str">
        <f t="shared" si="268"/>
        <v>http://oconnordata.com/mlink/modules/profile/index.cfm?action=profile&amp;prop_id=13197</v>
      </c>
      <c r="N3408" s="1">
        <f t="shared" si="269"/>
        <v>13197</v>
      </c>
    </row>
    <row r="3409" spans="1:14" x14ac:dyDescent="0.3">
      <c r="A3409" s="1">
        <v>13198</v>
      </c>
      <c r="B3409" s="7" t="s">
        <v>5191</v>
      </c>
      <c r="C3409" s="12">
        <v>9827</v>
      </c>
      <c r="D3409" s="7" t="s">
        <v>5192</v>
      </c>
      <c r="E3409" s="13" t="s">
        <v>4996</v>
      </c>
      <c r="F3409" t="str">
        <f t="shared" si="265"/>
        <v>Brockbank</v>
      </c>
      <c r="G3409" t="str">
        <f t="shared" si="266"/>
        <v>Brockbank9827Dallas</v>
      </c>
      <c r="H3409" t="s">
        <v>34267</v>
      </c>
      <c r="I3409" t="s">
        <v>25692</v>
      </c>
      <c r="J3409" t="str">
        <f t="shared" si="267"/>
        <v>E:\PropInv\MF</v>
      </c>
      <c r="K3409" s="103" t="str">
        <f>HYPERLINK("E:\PropInv\MF\Dallas\Brockbank Dr_9827_Brockbank_Dallas_13198","Brockbank Dr_9827_Brockbank_Dallas_13198" )</f>
        <v>Brockbank Dr_9827_Brockbank_Dallas_13198</v>
      </c>
      <c r="L3409" s="104" t="s">
        <v>22253</v>
      </c>
      <c r="M3409" s="103" t="str">
        <f t="shared" si="268"/>
        <v>http://oconnordata.com/mlink/modules/profile/index.cfm?action=profile&amp;prop_id=13198</v>
      </c>
      <c r="N3409" s="1">
        <f t="shared" si="269"/>
        <v>13198</v>
      </c>
    </row>
    <row r="3410" spans="1:14" x14ac:dyDescent="0.3">
      <c r="A3410" s="1">
        <v>13199</v>
      </c>
      <c r="B3410" s="7" t="s">
        <v>5193</v>
      </c>
      <c r="C3410" s="12">
        <v>1431</v>
      </c>
      <c r="D3410" s="7" t="s">
        <v>5194</v>
      </c>
      <c r="E3410" s="13" t="s">
        <v>5195</v>
      </c>
      <c r="F3410" t="str">
        <f t="shared" si="265"/>
        <v>David</v>
      </c>
      <c r="G3410" t="str">
        <f t="shared" si="266"/>
        <v>David1431Desoto</v>
      </c>
      <c r="H3410" t="s">
        <v>34268</v>
      </c>
      <c r="I3410" t="s">
        <v>25693</v>
      </c>
      <c r="J3410" t="str">
        <f t="shared" si="267"/>
        <v>E:\PropInv\MF</v>
      </c>
      <c r="K3410" s="103" t="str">
        <f>HYPERLINK("E:\PropInv\MF\Desoto\David Ave_1431_Brook Hollow_Desoto_13199","David Ave_1431_Brook Hollow_Desoto_13199" )</f>
        <v>David Ave_1431_Brook Hollow_Desoto_13199</v>
      </c>
      <c r="L3410" s="104" t="s">
        <v>22253</v>
      </c>
      <c r="M3410" s="103" t="str">
        <f t="shared" si="268"/>
        <v>http://oconnordata.com/mlink/modules/profile/index.cfm?action=profile&amp;prop_id=13199</v>
      </c>
      <c r="N3410" s="1">
        <f t="shared" si="269"/>
        <v>13199</v>
      </c>
    </row>
    <row r="3411" spans="1:14" x14ac:dyDescent="0.3">
      <c r="A3411" s="1">
        <v>13200</v>
      </c>
      <c r="B3411" s="7" t="s">
        <v>5077</v>
      </c>
      <c r="C3411" s="12">
        <v>8303</v>
      </c>
      <c r="D3411" s="7" t="s">
        <v>5196</v>
      </c>
      <c r="E3411" s="13" t="s">
        <v>4996</v>
      </c>
      <c r="F3411" t="str">
        <f t="shared" si="265"/>
        <v>Skillman</v>
      </c>
      <c r="G3411" t="str">
        <f t="shared" si="266"/>
        <v>Skillman8303Dallas</v>
      </c>
      <c r="H3411" t="s">
        <v>34269</v>
      </c>
      <c r="I3411" t="s">
        <v>25694</v>
      </c>
      <c r="J3411" t="str">
        <f t="shared" si="267"/>
        <v>E:\PropInv\MF</v>
      </c>
      <c r="K3411" s="103" t="str">
        <f>HYPERLINK("E:\PropInv\MF\Dallas\Skillman_8303_Castle Rock_Dallas_13200","Skillman_8303_Castle Rock_Dallas_13200" )</f>
        <v>Skillman_8303_Castle Rock_Dallas_13200</v>
      </c>
      <c r="L3411" s="104" t="s">
        <v>22253</v>
      </c>
      <c r="M3411" s="103" t="str">
        <f t="shared" si="268"/>
        <v>http://oconnordata.com/mlink/modules/profile/index.cfm?action=profile&amp;prop_id=13200</v>
      </c>
      <c r="N3411" s="1">
        <f t="shared" si="269"/>
        <v>13200</v>
      </c>
    </row>
    <row r="3412" spans="1:14" x14ac:dyDescent="0.3">
      <c r="A3412" s="1">
        <v>13202</v>
      </c>
      <c r="B3412" s="7" t="s">
        <v>5197</v>
      </c>
      <c r="C3412" s="12">
        <v>4060</v>
      </c>
      <c r="D3412" s="7" t="s">
        <v>1703</v>
      </c>
      <c r="E3412" s="13" t="s">
        <v>4996</v>
      </c>
      <c r="F3412" t="str">
        <f t="shared" si="265"/>
        <v>Preferred</v>
      </c>
      <c r="G3412" t="str">
        <f t="shared" si="266"/>
        <v>Preferred4060Dallas</v>
      </c>
      <c r="H3412" t="s">
        <v>34270</v>
      </c>
      <c r="I3412" t="s">
        <v>25695</v>
      </c>
      <c r="J3412" t="str">
        <f t="shared" si="267"/>
        <v>E:\PropInv\MF</v>
      </c>
      <c r="K3412" s="103" t="str">
        <f>HYPERLINK("E:\PropInv\MF\Dallas\Preferred Rd_4060_Brookfield_Dallas_13202","Preferred Rd_4060_Brookfield_Dallas_13202" )</f>
        <v>Preferred Rd_4060_Brookfield_Dallas_13202</v>
      </c>
      <c r="L3412" s="104" t="s">
        <v>22253</v>
      </c>
      <c r="M3412" s="103" t="str">
        <f t="shared" si="268"/>
        <v>http://oconnordata.com/mlink/modules/profile/index.cfm?action=profile&amp;prop_id=13202</v>
      </c>
      <c r="N3412" s="1">
        <f t="shared" si="269"/>
        <v>13202</v>
      </c>
    </row>
    <row r="3413" spans="1:14" x14ac:dyDescent="0.3">
      <c r="A3413" s="1">
        <v>13203</v>
      </c>
      <c r="B3413" s="7" t="s">
        <v>5037</v>
      </c>
      <c r="C3413" s="12">
        <v>14833</v>
      </c>
      <c r="D3413" s="7" t="s">
        <v>4727</v>
      </c>
      <c r="E3413" s="13" t="s">
        <v>5198</v>
      </c>
      <c r="F3413" t="str">
        <f t="shared" si="265"/>
        <v>Marsh</v>
      </c>
      <c r="G3413" t="str">
        <f t="shared" si="266"/>
        <v>Marsh14833Farmers Branch</v>
      </c>
      <c r="H3413" t="s">
        <v>34271</v>
      </c>
      <c r="I3413" t="s">
        <v>25696</v>
      </c>
      <c r="J3413" t="str">
        <f t="shared" si="267"/>
        <v>E:\PropInv\MF</v>
      </c>
      <c r="K3413" s="103" t="str">
        <f>HYPERLINK("E:\PropInv\MF\Farmers Branch\Marsh Ln_14833_Brookhaven_Farmers Branch_13203","Marsh Ln_14833_Brookhaven_Farmers Branch_13203" )</f>
        <v>Marsh Ln_14833_Brookhaven_Farmers Branch_13203</v>
      </c>
      <c r="L3413" s="104" t="s">
        <v>22253</v>
      </c>
      <c r="M3413" s="103" t="str">
        <f t="shared" si="268"/>
        <v>http://oconnordata.com/mlink/modules/profile/index.cfm?action=profile&amp;prop_id=13203</v>
      </c>
      <c r="N3413" s="1">
        <f t="shared" si="269"/>
        <v>13203</v>
      </c>
    </row>
    <row r="3414" spans="1:14" x14ac:dyDescent="0.3">
      <c r="A3414" s="1">
        <v>13204</v>
      </c>
      <c r="B3414" s="7" t="s">
        <v>5006</v>
      </c>
      <c r="C3414" s="12">
        <v>3767</v>
      </c>
      <c r="D3414" s="7" t="s">
        <v>5199</v>
      </c>
      <c r="E3414" s="13" t="s">
        <v>5005</v>
      </c>
      <c r="F3414" t="str">
        <f t="shared" si="265"/>
        <v>Brookhaven</v>
      </c>
      <c r="G3414" t="str">
        <f t="shared" si="266"/>
        <v>Brookhaven3767Addison</v>
      </c>
      <c r="H3414" t="s">
        <v>34272</v>
      </c>
      <c r="I3414" t="s">
        <v>25697</v>
      </c>
      <c r="J3414" t="str">
        <f t="shared" si="267"/>
        <v>E:\PropInv\MF</v>
      </c>
      <c r="K3414" s="103" t="str">
        <f>HYPERLINK("E:\PropInv\MF\Addison\Brookhaven Club Dr_3767_Brooks (Demolished)_Addison_13204","Brookhaven Club Dr_3767_Brooks (Demolished)_Addison_13204" )</f>
        <v>Brookhaven Club Dr_3767_Brooks (Demolished)_Addison_13204</v>
      </c>
      <c r="L3414" s="104" t="s">
        <v>22253</v>
      </c>
      <c r="M3414" s="103" t="str">
        <f t="shared" si="268"/>
        <v>http://oconnordata.com/mlink/modules/profile/index.cfm?action=profile&amp;prop_id=13204</v>
      </c>
      <c r="N3414" s="1">
        <f t="shared" si="269"/>
        <v>13204</v>
      </c>
    </row>
    <row r="3415" spans="1:14" x14ac:dyDescent="0.3">
      <c r="A3415" s="1">
        <v>13205</v>
      </c>
      <c r="B3415" s="7" t="s">
        <v>5177</v>
      </c>
      <c r="C3415" s="12">
        <v>7200</v>
      </c>
      <c r="D3415" s="7" t="s">
        <v>5200</v>
      </c>
      <c r="E3415" s="13" t="s">
        <v>5009</v>
      </c>
      <c r="F3415" t="str">
        <f t="shared" si="265"/>
        <v>Preston</v>
      </c>
      <c r="G3415" t="str">
        <f t="shared" si="266"/>
        <v>Preston7200Plano</v>
      </c>
      <c r="H3415" t="s">
        <v>34273</v>
      </c>
      <c r="I3415" t="s">
        <v>25698</v>
      </c>
      <c r="J3415" t="str">
        <f t="shared" si="267"/>
        <v>E:\PropInv\MF</v>
      </c>
      <c r="K3415" s="103" t="str">
        <f>HYPERLINK("E:\PropInv\MF\Plano\Preston_7200_The Brooks on Preston_Plano_13205","Preston_7200_The Brooks on Preston_Plano_13205" )</f>
        <v>Preston_7200_The Brooks on Preston_Plano_13205</v>
      </c>
      <c r="L3415" s="104" t="s">
        <v>22253</v>
      </c>
      <c r="M3415" s="103" t="str">
        <f t="shared" si="268"/>
        <v>http://oconnordata.com/mlink/modules/profile/index.cfm?action=profile&amp;prop_id=13205</v>
      </c>
      <c r="N3415" s="1">
        <f t="shared" si="269"/>
        <v>13205</v>
      </c>
    </row>
    <row r="3416" spans="1:14" x14ac:dyDescent="0.3">
      <c r="A3416" s="1">
        <v>13206</v>
      </c>
      <c r="B3416" s="10" t="s">
        <v>5201</v>
      </c>
      <c r="C3416" s="9">
        <v>9857</v>
      </c>
      <c r="D3416" s="10" t="s">
        <v>5202</v>
      </c>
      <c r="E3416" s="11" t="s">
        <v>4996</v>
      </c>
      <c r="F3416" t="str">
        <f t="shared" si="265"/>
        <v>Audelia</v>
      </c>
      <c r="G3416" t="str">
        <f t="shared" si="266"/>
        <v>Audelia9857Dallas</v>
      </c>
      <c r="H3416" t="s">
        <v>34274</v>
      </c>
      <c r="I3416" t="s">
        <v>25699</v>
      </c>
      <c r="J3416" t="str">
        <f t="shared" si="267"/>
        <v>E:\PropInv\MF</v>
      </c>
      <c r="K3416" s="103" t="str">
        <f>HYPERLINK("E:\PropInv\MF\Dallas\Audelia Rd_9857_The Brookshire_Dallas_13206","Audelia Rd_9857_The Brookshire_Dallas_13206" )</f>
        <v>Audelia Rd_9857_The Brookshire_Dallas_13206</v>
      </c>
      <c r="L3416" s="104" t="s">
        <v>22253</v>
      </c>
      <c r="M3416" s="103" t="str">
        <f t="shared" si="268"/>
        <v>http://oconnordata.com/mlink/modules/profile/index.cfm?action=profile&amp;prop_id=13206</v>
      </c>
      <c r="N3416" s="1">
        <f t="shared" si="269"/>
        <v>13206</v>
      </c>
    </row>
    <row r="3417" spans="1:14" x14ac:dyDescent="0.3">
      <c r="A3417" s="1">
        <v>13207</v>
      </c>
      <c r="B3417" s="7" t="s">
        <v>5203</v>
      </c>
      <c r="C3417" s="12">
        <v>3600</v>
      </c>
      <c r="D3417" s="7" t="s">
        <v>5204</v>
      </c>
      <c r="E3417" s="13" t="s">
        <v>5046</v>
      </c>
      <c r="F3417" t="str">
        <f t="shared" si="265"/>
        <v>Block</v>
      </c>
      <c r="G3417" t="str">
        <f t="shared" si="266"/>
        <v>Block3600Irving</v>
      </c>
      <c r="H3417" t="s">
        <v>34275</v>
      </c>
      <c r="I3417" t="s">
        <v>25700</v>
      </c>
      <c r="J3417" t="str">
        <f t="shared" si="267"/>
        <v>E:\PropInv\MF</v>
      </c>
      <c r="K3417" s="103" t="str">
        <f>HYPERLINK("E:\PropInv\MF\Irving\Block Dr_3600_Brookstone_Irving_13207","Block Dr_3600_Brookstone_Irving_13207" )</f>
        <v>Block Dr_3600_Brookstone_Irving_13207</v>
      </c>
      <c r="L3417" s="104" t="s">
        <v>22253</v>
      </c>
      <c r="M3417" s="103" t="str">
        <f t="shared" si="268"/>
        <v>http://oconnordata.com/mlink/modules/profile/index.cfm?action=profile&amp;prop_id=13207</v>
      </c>
      <c r="N3417" s="1">
        <f t="shared" si="269"/>
        <v>13207</v>
      </c>
    </row>
    <row r="3418" spans="1:14" x14ac:dyDescent="0.3">
      <c r="A3418" s="1">
        <v>13208</v>
      </c>
      <c r="B3418" s="7" t="s">
        <v>5205</v>
      </c>
      <c r="C3418" s="12">
        <v>1306</v>
      </c>
      <c r="D3418" s="7" t="s">
        <v>5206</v>
      </c>
      <c r="E3418" s="13" t="s">
        <v>4996</v>
      </c>
      <c r="F3418" t="str">
        <f t="shared" si="265"/>
        <v>Plymouth</v>
      </c>
      <c r="G3418" t="str">
        <f t="shared" si="266"/>
        <v>Plymouth1306Dallas</v>
      </c>
      <c r="H3418" t="s">
        <v>34276</v>
      </c>
      <c r="I3418" t="s">
        <v>25701</v>
      </c>
      <c r="J3418" t="str">
        <f t="shared" si="267"/>
        <v>E:\PropInv\MF</v>
      </c>
      <c r="K3418" s="103" t="str">
        <f>HYPERLINK("E:\PropInv\MF\Dallas\Plymouth Rd N_1306_The Greens of Kessler Park_Dallas_13208","Plymouth Rd N_1306_The Greens of Kessler Park_Dallas_13208" )</f>
        <v>Plymouth Rd N_1306_The Greens of Kessler Park_Dallas_13208</v>
      </c>
      <c r="L3418" s="104" t="s">
        <v>22253</v>
      </c>
      <c r="M3418" s="103" t="str">
        <f t="shared" si="268"/>
        <v>http://oconnordata.com/mlink/modules/profile/index.cfm?action=profile&amp;prop_id=13208</v>
      </c>
      <c r="N3418" s="1">
        <f t="shared" si="269"/>
        <v>13208</v>
      </c>
    </row>
    <row r="3419" spans="1:14" x14ac:dyDescent="0.3">
      <c r="A3419" s="1">
        <v>13210</v>
      </c>
      <c r="B3419" s="10" t="s">
        <v>5207</v>
      </c>
      <c r="C3419" s="9">
        <v>9901</v>
      </c>
      <c r="D3419" s="10" t="s">
        <v>5208</v>
      </c>
      <c r="E3419" s="11" t="s">
        <v>4996</v>
      </c>
      <c r="F3419" t="str">
        <f t="shared" si="265"/>
        <v>Bruton</v>
      </c>
      <c r="G3419" t="str">
        <f t="shared" si="266"/>
        <v>Bruton9901Dallas</v>
      </c>
      <c r="H3419" t="s">
        <v>34277</v>
      </c>
      <c r="I3419" t="s">
        <v>25702</v>
      </c>
      <c r="J3419" t="str">
        <f t="shared" si="267"/>
        <v>E:\PropInv\MF</v>
      </c>
      <c r="K3419" s="103" t="str">
        <f>HYPERLINK("E:\PropInv\MF\Dallas\Bruton Rd_9901_Mira Flores_Dallas_13210","Bruton Rd_9901_Mira Flores_Dallas_13210" )</f>
        <v>Bruton Rd_9901_Mira Flores_Dallas_13210</v>
      </c>
      <c r="L3419" s="104" t="s">
        <v>22253</v>
      </c>
      <c r="M3419" s="103" t="str">
        <f t="shared" si="268"/>
        <v>http://oconnordata.com/mlink/modules/profile/index.cfm?action=profile&amp;prop_id=13210</v>
      </c>
      <c r="N3419" s="1">
        <f t="shared" si="269"/>
        <v>13210</v>
      </c>
    </row>
    <row r="3420" spans="1:14" x14ac:dyDescent="0.3">
      <c r="A3420" s="1">
        <v>13211</v>
      </c>
      <c r="B3420" s="7" t="s">
        <v>5181</v>
      </c>
      <c r="C3420" s="12">
        <v>1810</v>
      </c>
      <c r="D3420" s="7" t="s">
        <v>5209</v>
      </c>
      <c r="E3420" s="13" t="s">
        <v>4996</v>
      </c>
      <c r="F3420" t="str">
        <f t="shared" si="265"/>
        <v>John</v>
      </c>
      <c r="G3420" t="str">
        <f t="shared" si="266"/>
        <v>John1810Dallas</v>
      </c>
      <c r="H3420" t="s">
        <v>34278</v>
      </c>
      <c r="I3420" t="s">
        <v>25703</v>
      </c>
      <c r="J3420" t="str">
        <f t="shared" si="267"/>
        <v>E:\PropInv\MF</v>
      </c>
      <c r="K3420" s="103" t="str">
        <f>HYPERLINK("E:\PropInv\MF\Dallas\John Rd W_1810_Buckner Village_Dallas_13211","John Rd W_1810_Buckner Village_Dallas_13211" )</f>
        <v>John Rd W_1810_Buckner Village_Dallas_13211</v>
      </c>
      <c r="L3420" s="104" t="s">
        <v>22253</v>
      </c>
      <c r="M3420" s="103" t="str">
        <f t="shared" si="268"/>
        <v>http://oconnordata.com/mlink/modules/profile/index.cfm?action=profile&amp;prop_id=13211</v>
      </c>
      <c r="N3420" s="1">
        <f t="shared" si="269"/>
        <v>13211</v>
      </c>
    </row>
    <row r="3421" spans="1:14" x14ac:dyDescent="0.3">
      <c r="A3421" s="1">
        <v>13213</v>
      </c>
      <c r="B3421" s="7" t="s">
        <v>5037</v>
      </c>
      <c r="C3421" s="12">
        <v>11911</v>
      </c>
      <c r="D3421" s="7" t="s">
        <v>5210</v>
      </c>
      <c r="E3421" s="13" t="s">
        <v>4996</v>
      </c>
      <c r="F3421" t="str">
        <f t="shared" si="265"/>
        <v>Marsh</v>
      </c>
      <c r="G3421" t="str">
        <f t="shared" si="266"/>
        <v>Marsh11911Dallas</v>
      </c>
      <c r="H3421" t="s">
        <v>34279</v>
      </c>
      <c r="I3421" t="s">
        <v>25704</v>
      </c>
      <c r="J3421" t="str">
        <f t="shared" si="267"/>
        <v>E:\PropInv\MF</v>
      </c>
      <c r="K3421" s="103" t="str">
        <f>HYPERLINK("E:\PropInv\MF\Dallas\Marsh Ln_11911_Burgundy_Dallas_13213","Marsh Ln_11911_Burgundy_Dallas_13213" )</f>
        <v>Marsh Ln_11911_Burgundy_Dallas_13213</v>
      </c>
      <c r="L3421" s="104" t="s">
        <v>22253</v>
      </c>
      <c r="M3421" s="103" t="str">
        <f t="shared" si="268"/>
        <v>http://oconnordata.com/mlink/modules/profile/index.cfm?action=profile&amp;prop_id=13213</v>
      </c>
      <c r="N3421" s="1">
        <f t="shared" si="269"/>
        <v>13213</v>
      </c>
    </row>
    <row r="3422" spans="1:14" x14ac:dyDescent="0.3">
      <c r="A3422" s="1">
        <v>13214</v>
      </c>
      <c r="B3422" s="7" t="s">
        <v>5211</v>
      </c>
      <c r="C3422" s="12">
        <v>385</v>
      </c>
      <c r="D3422" s="7" t="s">
        <v>5212</v>
      </c>
      <c r="E3422" s="13" t="s">
        <v>5046</v>
      </c>
      <c r="F3422" t="str">
        <f t="shared" si="265"/>
        <v>Las</v>
      </c>
      <c r="G3422" t="str">
        <f t="shared" si="266"/>
        <v>Las385Irving</v>
      </c>
      <c r="H3422" t="s">
        <v>34280</v>
      </c>
      <c r="I3422" t="s">
        <v>25705</v>
      </c>
      <c r="J3422" t="str">
        <f t="shared" si="267"/>
        <v>E:\PropInv\MF</v>
      </c>
      <c r="K3422" s="103" t="str">
        <f>HYPERLINK("E:\PropInv\MF\Irving\Las Colinas Blvd E_385_Cabochon at Las Colinas I_Irving_13214","Las Colinas Blvd E_385_Cabochon at Las Colinas I_Irving_13214" )</f>
        <v>Las Colinas Blvd E_385_Cabochon at Las Colinas I_Irving_13214</v>
      </c>
      <c r="L3422" s="104" t="s">
        <v>22253</v>
      </c>
      <c r="M3422" s="103" t="str">
        <f t="shared" si="268"/>
        <v>http://oconnordata.com/mlink/modules/profile/index.cfm?action=profile&amp;prop_id=13214</v>
      </c>
      <c r="N3422" s="1">
        <f t="shared" si="269"/>
        <v>13214</v>
      </c>
    </row>
    <row r="3423" spans="1:14" x14ac:dyDescent="0.3">
      <c r="A3423" s="1">
        <v>13216</v>
      </c>
      <c r="B3423" s="7" t="s">
        <v>5211</v>
      </c>
      <c r="C3423" s="12">
        <v>385</v>
      </c>
      <c r="D3423" s="7" t="s">
        <v>5213</v>
      </c>
      <c r="E3423" s="13" t="s">
        <v>5046</v>
      </c>
      <c r="F3423" t="str">
        <f t="shared" si="265"/>
        <v>Las</v>
      </c>
      <c r="G3423" t="str">
        <f t="shared" si="266"/>
        <v>Las385Irving</v>
      </c>
      <c r="H3423" t="s">
        <v>34281</v>
      </c>
      <c r="I3423" t="s">
        <v>25706</v>
      </c>
      <c r="J3423" t="str">
        <f t="shared" si="267"/>
        <v>E:\PropInv\MF</v>
      </c>
      <c r="K3423" s="103" t="str">
        <f>HYPERLINK("E:\PropInv\MF\Irving\Las Colinas Blvd E_385_Cabochon at Las Colinas II_Irving_13216","Las Colinas Blvd E_385_Cabochon at Las Colinas II_Irving_13216" )</f>
        <v>Las Colinas Blvd E_385_Cabochon at Las Colinas II_Irving_13216</v>
      </c>
      <c r="L3423" s="104" t="s">
        <v>22253</v>
      </c>
      <c r="M3423" s="103" t="str">
        <f t="shared" si="268"/>
        <v>http://oconnordata.com/mlink/modules/profile/index.cfm?action=profile&amp;prop_id=13216</v>
      </c>
      <c r="N3423" s="1">
        <f t="shared" si="269"/>
        <v>13216</v>
      </c>
    </row>
    <row r="3424" spans="1:14" x14ac:dyDescent="0.3">
      <c r="A3424" s="1">
        <v>13217</v>
      </c>
      <c r="B3424" s="7" t="s">
        <v>5214</v>
      </c>
      <c r="C3424" s="12">
        <v>6706</v>
      </c>
      <c r="D3424" s="7" t="s">
        <v>5215</v>
      </c>
      <c r="E3424" s="13" t="s">
        <v>4996</v>
      </c>
      <c r="F3424" t="str">
        <f t="shared" si="265"/>
        <v>Eastridge</v>
      </c>
      <c r="G3424" t="str">
        <f t="shared" si="266"/>
        <v>Eastridge6706Dallas</v>
      </c>
      <c r="H3424" t="s">
        <v>34282</v>
      </c>
      <c r="I3424" t="s">
        <v>25707</v>
      </c>
      <c r="J3424" t="str">
        <f t="shared" si="267"/>
        <v>E:\PropInv\MF</v>
      </c>
      <c r="K3424" s="103" t="str">
        <f>HYPERLINK("E:\PropInv\MF\Dallas\Eastridge_6706_Calais-Slopes Condos_Dallas_13217","Eastridge_6706_Calais-Slopes Condos_Dallas_13217" )</f>
        <v>Eastridge_6706_Calais-Slopes Condos_Dallas_13217</v>
      </c>
      <c r="L3424" s="104" t="s">
        <v>22253</v>
      </c>
      <c r="M3424" s="103" t="str">
        <f t="shared" si="268"/>
        <v>http://oconnordata.com/mlink/modules/profile/index.cfm?action=profile&amp;prop_id=13217</v>
      </c>
      <c r="N3424" s="1">
        <f t="shared" si="269"/>
        <v>13217</v>
      </c>
    </row>
    <row r="3425" spans="1:14" x14ac:dyDescent="0.3">
      <c r="A3425" s="1">
        <v>13218</v>
      </c>
      <c r="B3425" s="10" t="s">
        <v>5216</v>
      </c>
      <c r="C3425" s="9">
        <v>5959</v>
      </c>
      <c r="D3425" s="10" t="s">
        <v>3803</v>
      </c>
      <c r="E3425" s="11" t="s">
        <v>4996</v>
      </c>
      <c r="F3425" t="str">
        <f t="shared" si="265"/>
        <v>NW</v>
      </c>
      <c r="G3425" t="str">
        <f t="shared" si="266"/>
        <v>NW5959Dallas</v>
      </c>
      <c r="H3425" t="s">
        <v>34283</v>
      </c>
      <c r="I3425" t="s">
        <v>25708</v>
      </c>
      <c r="J3425" t="str">
        <f t="shared" si="267"/>
        <v>E:\PropInv\MF</v>
      </c>
      <c r="K3425" s="103" t="str">
        <f>HYPERLINK("E:\PropInv\MF\Dallas\NW Hwy E_5959_Cambridge_Dallas_13218","NW Hwy E_5959_Cambridge_Dallas_13218" )</f>
        <v>NW Hwy E_5959_Cambridge_Dallas_13218</v>
      </c>
      <c r="L3425" s="104" t="s">
        <v>22253</v>
      </c>
      <c r="M3425" s="103" t="str">
        <f t="shared" si="268"/>
        <v>http://oconnordata.com/mlink/modules/profile/index.cfm?action=profile&amp;prop_id=13218</v>
      </c>
      <c r="N3425" s="1">
        <f t="shared" si="269"/>
        <v>13218</v>
      </c>
    </row>
    <row r="3426" spans="1:14" x14ac:dyDescent="0.3">
      <c r="A3426" s="1">
        <v>13219</v>
      </c>
      <c r="B3426" s="10" t="s">
        <v>5217</v>
      </c>
      <c r="C3426" s="9">
        <v>1402</v>
      </c>
      <c r="D3426" s="10" t="s">
        <v>4141</v>
      </c>
      <c r="E3426" s="11" t="s">
        <v>5055</v>
      </c>
      <c r="F3426" t="str">
        <f t="shared" si="265"/>
        <v>Valley</v>
      </c>
      <c r="G3426" t="str">
        <f t="shared" si="266"/>
        <v>Valley1402Lewisville</v>
      </c>
      <c r="H3426" t="s">
        <v>34284</v>
      </c>
      <c r="I3426" t="s">
        <v>25709</v>
      </c>
      <c r="J3426" t="str">
        <f t="shared" si="267"/>
        <v>E:\PropInv\MF</v>
      </c>
      <c r="K3426" s="103" t="str">
        <f>HYPERLINK("E:\PropInv\MF\Lewisville\Valley Pkwy N_1402_Cambridge Village_Lewisville_13219","Valley Pkwy N_1402_Cambridge Village_Lewisville_13219" )</f>
        <v>Valley Pkwy N_1402_Cambridge Village_Lewisville_13219</v>
      </c>
      <c r="L3426" s="104" t="s">
        <v>22253</v>
      </c>
      <c r="M3426" s="103" t="str">
        <f t="shared" si="268"/>
        <v>http://oconnordata.com/mlink/modules/profile/index.cfm?action=profile&amp;prop_id=13219</v>
      </c>
      <c r="N3426" s="1">
        <f t="shared" si="269"/>
        <v>13219</v>
      </c>
    </row>
    <row r="3427" spans="1:14" x14ac:dyDescent="0.3">
      <c r="A3427" s="1">
        <v>13220</v>
      </c>
      <c r="B3427" s="10" t="s">
        <v>5001</v>
      </c>
      <c r="C3427" s="9">
        <v>2210</v>
      </c>
      <c r="D3427" s="10" t="s">
        <v>5218</v>
      </c>
      <c r="E3427" s="11" t="s">
        <v>4996</v>
      </c>
      <c r="F3427" t="str">
        <f t="shared" si="265"/>
        <v>Canton</v>
      </c>
      <c r="G3427" t="str">
        <f t="shared" si="266"/>
        <v>Canton2210Dallas</v>
      </c>
      <c r="H3427" t="s">
        <v>34285</v>
      </c>
      <c r="I3427" t="s">
        <v>25710</v>
      </c>
      <c r="J3427" t="str">
        <f t="shared" si="267"/>
        <v>E:\PropInv\MF</v>
      </c>
      <c r="K3427" s="103" t="str">
        <f>HYPERLINK("E:\PropInv\MF\Dallas\Canton_2210_Camden Farmers Market I_Dallas_13220","Canton_2210_Camden Farmers Market I_Dallas_13220" )</f>
        <v>Canton_2210_Camden Farmers Market I_Dallas_13220</v>
      </c>
      <c r="L3427" s="104" t="s">
        <v>22253</v>
      </c>
      <c r="M3427" s="103" t="str">
        <f t="shared" si="268"/>
        <v>http://oconnordata.com/mlink/modules/profile/index.cfm?action=profile&amp;prop_id=13220</v>
      </c>
      <c r="N3427" s="1">
        <f t="shared" si="269"/>
        <v>13220</v>
      </c>
    </row>
    <row r="3428" spans="1:14" x14ac:dyDescent="0.3">
      <c r="A3428" s="1">
        <v>13221</v>
      </c>
      <c r="B3428" s="10" t="s">
        <v>5219</v>
      </c>
      <c r="C3428" s="9">
        <v>4280</v>
      </c>
      <c r="D3428" s="10" t="s">
        <v>5220</v>
      </c>
      <c r="E3428" s="11" t="s">
        <v>4996</v>
      </c>
      <c r="F3428" t="str">
        <f t="shared" si="265"/>
        <v>Trinity</v>
      </c>
      <c r="G3428" t="str">
        <f t="shared" si="266"/>
        <v>Trinity4280Dallas</v>
      </c>
      <c r="H3428" t="s">
        <v>34286</v>
      </c>
      <c r="I3428" t="s">
        <v>25711</v>
      </c>
      <c r="J3428" t="str">
        <f t="shared" si="267"/>
        <v>E:\PropInv\MF</v>
      </c>
      <c r="K3428" s="103" t="str">
        <f>HYPERLINK("E:\PropInv\MF\Dallas\Trinity Mills_4280_Camden Garden_Dallas_13221","Trinity Mills_4280_Camden Garden_Dallas_13221" )</f>
        <v>Trinity Mills_4280_Camden Garden_Dallas_13221</v>
      </c>
      <c r="L3428" s="104" t="s">
        <v>22253</v>
      </c>
      <c r="M3428" s="103" t="str">
        <f t="shared" si="268"/>
        <v>http://oconnordata.com/mlink/modules/profile/index.cfm?action=profile&amp;prop_id=13221</v>
      </c>
      <c r="N3428" s="1">
        <f t="shared" si="269"/>
        <v>13221</v>
      </c>
    </row>
    <row r="3429" spans="1:14" x14ac:dyDescent="0.3">
      <c r="A3429" s="1">
        <v>13222</v>
      </c>
      <c r="B3429" s="10" t="s">
        <v>5221</v>
      </c>
      <c r="C3429" s="9">
        <v>1212</v>
      </c>
      <c r="D3429" s="10" t="s">
        <v>5222</v>
      </c>
      <c r="E3429" s="11" t="s">
        <v>3328</v>
      </c>
      <c r="F3429" t="str">
        <f t="shared" si="265"/>
        <v>Hampshire</v>
      </c>
      <c r="G3429" t="str">
        <f t="shared" si="266"/>
        <v>Hampshire1212Richardson</v>
      </c>
      <c r="H3429" t="s">
        <v>34287</v>
      </c>
      <c r="I3429" t="s">
        <v>25712</v>
      </c>
      <c r="J3429" t="str">
        <f t="shared" si="267"/>
        <v>E:\PropInv\MF</v>
      </c>
      <c r="K3429" s="103" t="str">
        <f>HYPERLINK("E:\PropInv\MF\Richardson\Hampshire_1212_Camelot_Richardson_13222","Hampshire_1212_Camelot_Richardson_13222" )</f>
        <v>Hampshire_1212_Camelot_Richardson_13222</v>
      </c>
      <c r="L3429" s="104" t="s">
        <v>22253</v>
      </c>
      <c r="M3429" s="103" t="str">
        <f t="shared" si="268"/>
        <v>http://oconnordata.com/mlink/modules/profile/index.cfm?action=profile&amp;prop_id=13222</v>
      </c>
      <c r="N3429" s="1">
        <f t="shared" si="269"/>
        <v>13222</v>
      </c>
    </row>
    <row r="3430" spans="1:14" x14ac:dyDescent="0.3">
      <c r="A3430" s="1">
        <v>13223</v>
      </c>
      <c r="B3430" s="10" t="s">
        <v>5223</v>
      </c>
      <c r="C3430" s="9">
        <v>4200</v>
      </c>
      <c r="D3430" s="10" t="s">
        <v>5224</v>
      </c>
      <c r="E3430" s="11" t="s">
        <v>5088</v>
      </c>
      <c r="F3430" t="str">
        <f t="shared" si="265"/>
        <v>80</v>
      </c>
      <c r="G3430" t="str">
        <f t="shared" si="266"/>
        <v>804200Mesquite</v>
      </c>
      <c r="H3430" t="s">
        <v>34288</v>
      </c>
      <c r="I3430" t="s">
        <v>25713</v>
      </c>
      <c r="J3430" t="str">
        <f t="shared" si="267"/>
        <v>E:\PropInv\MF</v>
      </c>
      <c r="K3430" s="103" t="str">
        <f>HYPERLINK("E:\PropInv\MF\Mesquite\80 Hwy E_4200_Camelot Village_Mesquite_13223","80 Hwy E_4200_Camelot Village_Mesquite_13223" )</f>
        <v>80 Hwy E_4200_Camelot Village_Mesquite_13223</v>
      </c>
      <c r="L3430" s="104" t="s">
        <v>22253</v>
      </c>
      <c r="M3430" s="103" t="str">
        <f t="shared" si="268"/>
        <v>http://oconnordata.com/mlink/modules/profile/index.cfm?action=profile&amp;prop_id=13223</v>
      </c>
      <c r="N3430" s="1">
        <f t="shared" si="269"/>
        <v>13223</v>
      </c>
    </row>
    <row r="3431" spans="1:14" x14ac:dyDescent="0.3">
      <c r="A3431" s="1">
        <v>13224</v>
      </c>
      <c r="B3431" s="10" t="s">
        <v>5225</v>
      </c>
      <c r="C3431" s="9" t="s">
        <v>5226</v>
      </c>
      <c r="D3431" s="10" t="s">
        <v>5227</v>
      </c>
      <c r="E3431" s="11" t="s">
        <v>5228</v>
      </c>
      <c r="F3431" t="str">
        <f t="shared" si="265"/>
        <v>Acton</v>
      </c>
      <c r="G3431" t="str">
        <f t="shared" si="266"/>
        <v>Acton1402 &amp; 1407Duncanville</v>
      </c>
      <c r="H3431" t="s">
        <v>34289</v>
      </c>
      <c r="I3431" t="s">
        <v>25714</v>
      </c>
      <c r="J3431" t="str">
        <f t="shared" si="267"/>
        <v>E:\PropInv\MF</v>
      </c>
      <c r="K3431" s="103" t="str">
        <f>HYPERLINK("E:\PropInv\MF\Duncanville\Acton Ave &amp; Candlelight Ave_1402 &amp; 1407_Candlelight Park_Duncanville_13224","Acton Ave &amp; Candlelight Ave_1402 &amp; 1407_Candlelight Park_Duncanville_13224" )</f>
        <v>Acton Ave &amp; Candlelight Ave_1402 &amp; 1407_Candlelight Park_Duncanville_13224</v>
      </c>
      <c r="L3431" s="104" t="s">
        <v>22253</v>
      </c>
      <c r="M3431" s="103" t="str">
        <f t="shared" si="268"/>
        <v>http://oconnordata.com/mlink/modules/profile/index.cfm?action=profile&amp;prop_id=13224</v>
      </c>
      <c r="N3431" s="1">
        <f t="shared" si="269"/>
        <v>13224</v>
      </c>
    </row>
    <row r="3432" spans="1:14" x14ac:dyDescent="0.3">
      <c r="A3432" s="1">
        <v>13225</v>
      </c>
      <c r="B3432" s="10" t="s">
        <v>5031</v>
      </c>
      <c r="C3432" s="9">
        <v>2600</v>
      </c>
      <c r="D3432" s="10" t="s">
        <v>5229</v>
      </c>
      <c r="E3432" s="11" t="s">
        <v>3328</v>
      </c>
      <c r="F3432" t="str">
        <f t="shared" si="265"/>
        <v>Renner</v>
      </c>
      <c r="G3432" t="str">
        <f t="shared" si="266"/>
        <v>Renner2600Richardson</v>
      </c>
      <c r="H3432" t="s">
        <v>34290</v>
      </c>
      <c r="I3432" t="s">
        <v>25715</v>
      </c>
      <c r="J3432" t="str">
        <f t="shared" si="267"/>
        <v>E:\PropInv\MF</v>
      </c>
      <c r="K3432" s="103" t="str">
        <f>HYPERLINK("E:\PropInv\MF\Richardson\Renner Rd E_2600_Canterbury Courts_Richardson_13225","Renner Rd E_2600_Canterbury Courts_Richardson_13225" )</f>
        <v>Renner Rd E_2600_Canterbury Courts_Richardson_13225</v>
      </c>
      <c r="L3432" s="104" t="s">
        <v>22253</v>
      </c>
      <c r="M3432" s="103" t="str">
        <f t="shared" si="268"/>
        <v>http://oconnordata.com/mlink/modules/profile/index.cfm?action=profile&amp;prop_id=13225</v>
      </c>
      <c r="N3432" s="1">
        <f t="shared" si="269"/>
        <v>13225</v>
      </c>
    </row>
    <row r="3433" spans="1:14" x14ac:dyDescent="0.3">
      <c r="A3433" s="1">
        <v>13226</v>
      </c>
      <c r="B3433" s="10" t="s">
        <v>2103</v>
      </c>
      <c r="C3433" s="9">
        <v>10951</v>
      </c>
      <c r="D3433" s="10" t="s">
        <v>88</v>
      </c>
      <c r="E3433" s="11" t="s">
        <v>4996</v>
      </c>
      <c r="F3433" t="str">
        <f t="shared" si="265"/>
        <v>Stone</v>
      </c>
      <c r="G3433" t="str">
        <f t="shared" si="266"/>
        <v>Stone10951Dallas</v>
      </c>
      <c r="H3433" t="s">
        <v>34291</v>
      </c>
      <c r="I3433" t="s">
        <v>25716</v>
      </c>
      <c r="J3433" t="str">
        <f t="shared" si="267"/>
        <v>E:\PropInv\MF</v>
      </c>
      <c r="K3433" s="103" t="str">
        <f>HYPERLINK("E:\PropInv\MF\Dallas\Stone Canyon_10951_Canyon Creek_Dallas_13226","Stone Canyon_10951_Canyon Creek_Dallas_13226" )</f>
        <v>Stone Canyon_10951_Canyon Creek_Dallas_13226</v>
      </c>
      <c r="L3433" s="104" t="s">
        <v>22253</v>
      </c>
      <c r="M3433" s="103" t="str">
        <f t="shared" si="268"/>
        <v>http://oconnordata.com/mlink/modules/profile/index.cfm?action=profile&amp;prop_id=13226</v>
      </c>
      <c r="N3433" s="1">
        <f t="shared" si="269"/>
        <v>13226</v>
      </c>
    </row>
    <row r="3434" spans="1:14" x14ac:dyDescent="0.3">
      <c r="A3434" s="1">
        <v>13227</v>
      </c>
      <c r="B3434" s="10" t="s">
        <v>581</v>
      </c>
      <c r="C3434" s="9">
        <v>7910</v>
      </c>
      <c r="D3434" s="10" t="s">
        <v>5230</v>
      </c>
      <c r="E3434" s="11" t="s">
        <v>4996</v>
      </c>
      <c r="F3434" t="str">
        <f t="shared" si="265"/>
        <v>Treehouse</v>
      </c>
      <c r="G3434" t="str">
        <f t="shared" si="266"/>
        <v>Treehouse7910Dallas</v>
      </c>
      <c r="H3434" t="s">
        <v>34292</v>
      </c>
      <c r="I3434" t="s">
        <v>25717</v>
      </c>
      <c r="J3434" t="str">
        <f t="shared" si="267"/>
        <v>E:\PropInv\MF</v>
      </c>
      <c r="K3434" s="103" t="str">
        <f>HYPERLINK("E:\PropInv\MF\Dallas\Treehouse_7910_Canyon Falls_Dallas_13227","Treehouse_7910_Canyon Falls_Dallas_13227" )</f>
        <v>Treehouse_7910_Canyon Falls_Dallas_13227</v>
      </c>
      <c r="L3434" s="104" t="s">
        <v>22253</v>
      </c>
      <c r="M3434" s="103" t="str">
        <f t="shared" si="268"/>
        <v>http://oconnordata.com/mlink/modules/profile/index.cfm?action=profile&amp;prop_id=13227</v>
      </c>
      <c r="N3434" s="1">
        <f t="shared" si="269"/>
        <v>13227</v>
      </c>
    </row>
    <row r="3435" spans="1:14" x14ac:dyDescent="0.3">
      <c r="A3435" s="1">
        <v>13229</v>
      </c>
      <c r="B3435" s="10" t="s">
        <v>5231</v>
      </c>
      <c r="C3435" s="9">
        <v>2222</v>
      </c>
      <c r="D3435" s="10" t="s">
        <v>5232</v>
      </c>
      <c r="E3435" s="11" t="s">
        <v>4996</v>
      </c>
      <c r="F3435" t="str">
        <f t="shared" si="265"/>
        <v>Graycliff</v>
      </c>
      <c r="G3435" t="str">
        <f t="shared" si="266"/>
        <v>Graycliff2222Dallas</v>
      </c>
      <c r="H3435" t="s">
        <v>34293</v>
      </c>
      <c r="I3435" t="s">
        <v>25718</v>
      </c>
      <c r="J3435" t="str">
        <f t="shared" si="267"/>
        <v>E:\PropInv\MF</v>
      </c>
      <c r="K3435" s="103" t="str">
        <f>HYPERLINK("E:\PropInv\MF\Dallas\Graycliff_2222_The Villas Of White Rock_Dallas_13229","Graycliff_2222_The Villas Of White Rock_Dallas_13229" )</f>
        <v>Graycliff_2222_The Villas Of White Rock_Dallas_13229</v>
      </c>
      <c r="L3435" s="104" t="s">
        <v>22253</v>
      </c>
      <c r="M3435" s="103" t="str">
        <f t="shared" si="268"/>
        <v>http://oconnordata.com/mlink/modules/profile/index.cfm?action=profile&amp;prop_id=13229</v>
      </c>
      <c r="N3435" s="1">
        <f t="shared" si="269"/>
        <v>13229</v>
      </c>
    </row>
    <row r="3436" spans="1:14" x14ac:dyDescent="0.3">
      <c r="A3436" s="1">
        <v>13230</v>
      </c>
      <c r="B3436" s="10" t="s">
        <v>5233</v>
      </c>
      <c r="C3436" s="9">
        <v>8209</v>
      </c>
      <c r="D3436" s="10" t="s">
        <v>938</v>
      </c>
      <c r="E3436" s="11" t="s">
        <v>4996</v>
      </c>
      <c r="F3436" t="str">
        <f t="shared" si="265"/>
        <v>Meadow</v>
      </c>
      <c r="G3436" t="str">
        <f t="shared" si="266"/>
        <v>Meadow8209Dallas</v>
      </c>
      <c r="H3436" t="s">
        <v>34294</v>
      </c>
      <c r="I3436" t="s">
        <v>25719</v>
      </c>
      <c r="J3436" t="str">
        <f t="shared" si="267"/>
        <v>E:\PropInv\MF</v>
      </c>
      <c r="K3436" s="103" t="str">
        <f>HYPERLINK("E:\PropInv\MF\Dallas\Meadow Rd_8209_Canyon Point_Dallas_13230","Meadow Rd_8209_Canyon Point_Dallas_13230" )</f>
        <v>Meadow Rd_8209_Canyon Point_Dallas_13230</v>
      </c>
      <c r="L3436" s="104" t="s">
        <v>22253</v>
      </c>
      <c r="M3436" s="103" t="str">
        <f t="shared" si="268"/>
        <v>http://oconnordata.com/mlink/modules/profile/index.cfm?action=profile&amp;prop_id=13230</v>
      </c>
      <c r="N3436" s="1">
        <f t="shared" si="269"/>
        <v>13230</v>
      </c>
    </row>
    <row r="3437" spans="1:14" x14ac:dyDescent="0.3">
      <c r="A3437" s="1">
        <v>13231</v>
      </c>
      <c r="B3437" s="10" t="s">
        <v>5234</v>
      </c>
      <c r="C3437" s="9">
        <v>1000</v>
      </c>
      <c r="D3437" s="10" t="s">
        <v>5235</v>
      </c>
      <c r="E3437" s="11" t="s">
        <v>5236</v>
      </c>
      <c r="F3437" t="str">
        <f t="shared" si="265"/>
        <v>Yellow</v>
      </c>
      <c r="G3437" t="str">
        <f t="shared" si="266"/>
        <v>Yellow1000Rockwall</v>
      </c>
      <c r="H3437" t="s">
        <v>34295</v>
      </c>
      <c r="I3437" t="s">
        <v>25720</v>
      </c>
      <c r="J3437" t="str">
        <f t="shared" si="267"/>
        <v>E:\PropInv\MF</v>
      </c>
      <c r="K3437" s="103" t="str">
        <f>HYPERLINK("E:\PropInv\MF\Rockwall\Yellow Jacket Ln_1000_Canyon Ridge_Rockwall_13231","Yellow Jacket Ln_1000_Canyon Ridge_Rockwall_13231" )</f>
        <v>Yellow Jacket Ln_1000_Canyon Ridge_Rockwall_13231</v>
      </c>
      <c r="L3437" s="104" t="s">
        <v>22253</v>
      </c>
      <c r="M3437" s="103" t="str">
        <f t="shared" si="268"/>
        <v>http://oconnordata.com/mlink/modules/profile/index.cfm?action=profile&amp;prop_id=13231</v>
      </c>
      <c r="N3437" s="1">
        <f t="shared" si="269"/>
        <v>13231</v>
      </c>
    </row>
    <row r="3438" spans="1:14" x14ac:dyDescent="0.3">
      <c r="A3438" s="1">
        <v>13234</v>
      </c>
      <c r="B3438" s="10" t="s">
        <v>5068</v>
      </c>
      <c r="C3438" s="9">
        <v>3140</v>
      </c>
      <c r="D3438" s="10" t="s">
        <v>5237</v>
      </c>
      <c r="E3438" s="11" t="s">
        <v>4996</v>
      </c>
      <c r="F3438" t="str">
        <f t="shared" si="265"/>
        <v>Hall</v>
      </c>
      <c r="G3438" t="str">
        <f t="shared" si="266"/>
        <v>Hall3140Dallas</v>
      </c>
      <c r="H3438" t="s">
        <v>34296</v>
      </c>
      <c r="I3438" t="s">
        <v>25721</v>
      </c>
      <c r="J3438" t="str">
        <f t="shared" si="267"/>
        <v>E:\PropInv\MF</v>
      </c>
      <c r="K3438" s="103" t="str">
        <f>HYPERLINK("E:\PropInv\MF\Dallas\Hall St N_3140_Carlisle on the Katy Trail_Dallas_13234","Hall St N_3140_Carlisle on the Katy Trail_Dallas_13234" )</f>
        <v>Hall St N_3140_Carlisle on the Katy Trail_Dallas_13234</v>
      </c>
      <c r="L3438" s="104" t="s">
        <v>22253</v>
      </c>
      <c r="M3438" s="103" t="str">
        <f t="shared" si="268"/>
        <v>http://oconnordata.com/mlink/modules/profile/index.cfm?action=profile&amp;prop_id=13234</v>
      </c>
      <c r="N3438" s="1">
        <f t="shared" si="269"/>
        <v>13234</v>
      </c>
    </row>
    <row r="3439" spans="1:14" x14ac:dyDescent="0.3">
      <c r="A3439" s="1">
        <v>13235</v>
      </c>
      <c r="B3439" s="10" t="s">
        <v>5238</v>
      </c>
      <c r="C3439" s="9">
        <v>13323</v>
      </c>
      <c r="D3439" s="10" t="s">
        <v>5239</v>
      </c>
      <c r="E3439" s="11" t="s">
        <v>4996</v>
      </c>
      <c r="F3439" t="str">
        <f t="shared" si="265"/>
        <v>Maham</v>
      </c>
      <c r="G3439" t="str">
        <f t="shared" si="266"/>
        <v>Maham13323Dallas</v>
      </c>
      <c r="H3439" t="s">
        <v>34297</v>
      </c>
      <c r="I3439" t="s">
        <v>25722</v>
      </c>
      <c r="J3439" t="str">
        <f t="shared" si="267"/>
        <v>E:\PropInv\MF</v>
      </c>
      <c r="K3439" s="103" t="str">
        <f>HYPERLINK("E:\PropInv\MF\Dallas\Maham_13323_Carlton Court I &amp; II_Dallas_13235","Maham_13323_Carlton Court I &amp; II_Dallas_13235" )</f>
        <v>Maham_13323_Carlton Court I &amp; II_Dallas_13235</v>
      </c>
      <c r="L3439" s="104" t="s">
        <v>22253</v>
      </c>
      <c r="M3439" s="103" t="str">
        <f t="shared" si="268"/>
        <v>http://oconnordata.com/mlink/modules/profile/index.cfm?action=profile&amp;prop_id=13235</v>
      </c>
      <c r="N3439" s="1">
        <f t="shared" si="269"/>
        <v>13235</v>
      </c>
    </row>
    <row r="3440" spans="1:14" x14ac:dyDescent="0.3">
      <c r="A3440" s="1">
        <v>13236</v>
      </c>
      <c r="B3440" s="10" t="s">
        <v>5240</v>
      </c>
      <c r="C3440" s="9">
        <v>4312</v>
      </c>
      <c r="D3440" s="10" t="s">
        <v>5241</v>
      </c>
      <c r="E3440" s="11" t="s">
        <v>4996</v>
      </c>
      <c r="F3440" t="str">
        <f t="shared" si="265"/>
        <v>Carpenter</v>
      </c>
      <c r="G3440" t="str">
        <f t="shared" si="266"/>
        <v>Carpenter4312Dallas</v>
      </c>
      <c r="H3440" t="s">
        <v>34298</v>
      </c>
      <c r="I3440" t="s">
        <v>25723</v>
      </c>
      <c r="J3440" t="str">
        <f t="shared" si="267"/>
        <v>E:\PropInv\MF</v>
      </c>
      <c r="K3440" s="103" t="str">
        <f>HYPERLINK("E:\PropInv\MF\Dallas\Carpenter Ave_4312_Carpenter Cove_Dallas_13236","Carpenter Ave_4312_Carpenter Cove_Dallas_13236" )</f>
        <v>Carpenter Ave_4312_Carpenter Cove_Dallas_13236</v>
      </c>
      <c r="L3440" s="104" t="s">
        <v>22253</v>
      </c>
      <c r="M3440" s="103" t="str">
        <f t="shared" si="268"/>
        <v>http://oconnordata.com/mlink/modules/profile/index.cfm?action=profile&amp;prop_id=13236</v>
      </c>
      <c r="N3440" s="1">
        <f t="shared" si="269"/>
        <v>13236</v>
      </c>
    </row>
    <row r="3441" spans="1:14" x14ac:dyDescent="0.3">
      <c r="A3441" s="1">
        <v>13237</v>
      </c>
      <c r="B3441" s="10" t="s">
        <v>5242</v>
      </c>
      <c r="C3441" s="9">
        <v>3421</v>
      </c>
      <c r="D3441" s="10" t="s">
        <v>5243</v>
      </c>
      <c r="E3441" s="11" t="s">
        <v>5088</v>
      </c>
      <c r="F3441" t="str">
        <f t="shared" si="265"/>
        <v>80</v>
      </c>
      <c r="G3441" t="str">
        <f t="shared" si="266"/>
        <v>803421Mesquite</v>
      </c>
      <c r="H3441" t="s">
        <v>34299</v>
      </c>
      <c r="I3441" t="s">
        <v>25724</v>
      </c>
      <c r="J3441" t="str">
        <f t="shared" si="267"/>
        <v>E:\PropInv\MF</v>
      </c>
      <c r="K3441" s="103" t="str">
        <f>HYPERLINK("E:\PropInv\MF\Mesquite\80 Hwy 1-A E_3421_Carrera Run_Mesquite_13237","80 Hwy 1-A E_3421_Carrera Run_Mesquite_13237" )</f>
        <v>80 Hwy 1-A E_3421_Carrera Run_Mesquite_13237</v>
      </c>
      <c r="L3441" s="104" t="s">
        <v>22253</v>
      </c>
      <c r="M3441" s="103" t="str">
        <f t="shared" si="268"/>
        <v>http://oconnordata.com/mlink/modules/profile/index.cfm?action=profile&amp;prop_id=13237</v>
      </c>
      <c r="N3441" s="1">
        <f t="shared" si="269"/>
        <v>13237</v>
      </c>
    </row>
    <row r="3442" spans="1:14" x14ac:dyDescent="0.3">
      <c r="A3442" s="1">
        <v>13238</v>
      </c>
      <c r="B3442" s="10" t="s">
        <v>5177</v>
      </c>
      <c r="C3442" s="9">
        <v>14827</v>
      </c>
      <c r="D3442" s="10" t="s">
        <v>5244</v>
      </c>
      <c r="E3442" s="11" t="s">
        <v>4996</v>
      </c>
      <c r="F3442" t="str">
        <f t="shared" si="265"/>
        <v>Preston</v>
      </c>
      <c r="G3442" t="str">
        <f t="shared" si="266"/>
        <v>Preston14827Dallas</v>
      </c>
      <c r="H3442" t="s">
        <v>34300</v>
      </c>
      <c r="I3442" t="s">
        <v>25725</v>
      </c>
      <c r="J3442" t="str">
        <f t="shared" si="267"/>
        <v>E:\PropInv\MF</v>
      </c>
      <c r="K3442" s="103" t="str">
        <f>HYPERLINK("E:\PropInv\MF\Dallas\Preston_14827_Carriage Homes of Signature Place_Dallas_13238","Preston_14827_Carriage Homes of Signature Place_Dallas_13238" )</f>
        <v>Preston_14827_Carriage Homes of Signature Place_Dallas_13238</v>
      </c>
      <c r="L3442" s="104" t="s">
        <v>22253</v>
      </c>
      <c r="M3442" s="103" t="str">
        <f t="shared" si="268"/>
        <v>http://oconnordata.com/mlink/modules/profile/index.cfm?action=profile&amp;prop_id=13238</v>
      </c>
      <c r="N3442" s="1">
        <f t="shared" si="269"/>
        <v>13238</v>
      </c>
    </row>
    <row r="3443" spans="1:14" x14ac:dyDescent="0.3">
      <c r="A3443" s="1">
        <v>13240</v>
      </c>
      <c r="B3443" s="10" t="s">
        <v>5245</v>
      </c>
      <c r="C3443" s="9">
        <v>3001</v>
      </c>
      <c r="D3443" s="10" t="s">
        <v>5246</v>
      </c>
      <c r="E3443" s="11" t="s">
        <v>5009</v>
      </c>
      <c r="F3443" t="str">
        <f t="shared" si="265"/>
        <v>Communications</v>
      </c>
      <c r="G3443" t="str">
        <f t="shared" si="266"/>
        <v>Communications3001Plano</v>
      </c>
      <c r="H3443" t="s">
        <v>34301</v>
      </c>
      <c r="I3443" t="s">
        <v>25726</v>
      </c>
      <c r="J3443" t="str">
        <f t="shared" si="267"/>
        <v>E:\PropInv\MF</v>
      </c>
      <c r="K3443" s="103" t="str">
        <f>HYPERLINK("E:\PropInv\MF\Plano\Communications Pkwy_3001_Carrington Park_Plano_13240","Communications Pkwy_3001_Carrington Park_Plano_13240" )</f>
        <v>Communications Pkwy_3001_Carrington Park_Plano_13240</v>
      </c>
      <c r="L3443" s="104" t="s">
        <v>22253</v>
      </c>
      <c r="M3443" s="103" t="str">
        <f t="shared" si="268"/>
        <v>http://oconnordata.com/mlink/modules/profile/index.cfm?action=profile&amp;prop_id=13240</v>
      </c>
      <c r="N3443" s="1">
        <f t="shared" si="269"/>
        <v>13240</v>
      </c>
    </row>
    <row r="3444" spans="1:14" x14ac:dyDescent="0.3">
      <c r="A3444" s="1">
        <v>13242</v>
      </c>
      <c r="B3444" s="10" t="s">
        <v>5247</v>
      </c>
      <c r="C3444" s="9">
        <v>18211</v>
      </c>
      <c r="D3444" s="10" t="s">
        <v>5248</v>
      </c>
      <c r="E3444" s="11" t="s">
        <v>4996</v>
      </c>
      <c r="F3444" t="str">
        <f t="shared" si="265"/>
        <v>Kelly</v>
      </c>
      <c r="G3444" t="str">
        <f t="shared" si="266"/>
        <v>Kelly18211Dallas</v>
      </c>
      <c r="H3444" t="s">
        <v>34302</v>
      </c>
      <c r="I3444" t="s">
        <v>25727</v>
      </c>
      <c r="J3444" t="str">
        <f t="shared" si="267"/>
        <v>E:\PropInv\MF</v>
      </c>
      <c r="K3444" s="103" t="str">
        <f>HYPERLINK("E:\PropInv\MF\Dallas\Kelly Blvd_18211_Carrollton Park_Dallas_13242","Kelly Blvd_18211_Carrollton Park_Dallas_13242" )</f>
        <v>Kelly Blvd_18211_Carrollton Park_Dallas_13242</v>
      </c>
      <c r="L3444" s="104" t="s">
        <v>22253</v>
      </c>
      <c r="M3444" s="103" t="str">
        <f t="shared" si="268"/>
        <v>http://oconnordata.com/mlink/modules/profile/index.cfm?action=profile&amp;prop_id=13242</v>
      </c>
      <c r="N3444" s="1">
        <f t="shared" si="269"/>
        <v>13242</v>
      </c>
    </row>
    <row r="3445" spans="1:14" x14ac:dyDescent="0.3">
      <c r="A3445" s="1">
        <v>13243</v>
      </c>
      <c r="B3445" s="10" t="s">
        <v>5249</v>
      </c>
      <c r="C3445" s="9">
        <v>1125</v>
      </c>
      <c r="D3445" s="10" t="s">
        <v>5250</v>
      </c>
      <c r="E3445" s="11" t="s">
        <v>5088</v>
      </c>
      <c r="F3445" t="str">
        <f t="shared" si="265"/>
        <v>Hillcrest</v>
      </c>
      <c r="G3445" t="str">
        <f t="shared" si="266"/>
        <v>Hillcrest1125Mesquite</v>
      </c>
      <c r="H3445" t="s">
        <v>34303</v>
      </c>
      <c r="I3445" t="s">
        <v>25728</v>
      </c>
      <c r="J3445" t="str">
        <f t="shared" si="267"/>
        <v>E:\PropInv\MF</v>
      </c>
      <c r="K3445" s="103" t="str">
        <f>HYPERLINK("E:\PropInv\MF\Mesquite\Hillcrest St_1125_Casa Claire_Mesquite_13243","Hillcrest St_1125_Casa Claire_Mesquite_13243" )</f>
        <v>Hillcrest St_1125_Casa Claire_Mesquite_13243</v>
      </c>
      <c r="L3445" s="104" t="s">
        <v>22253</v>
      </c>
      <c r="M3445" s="103" t="str">
        <f t="shared" si="268"/>
        <v>http://oconnordata.com/mlink/modules/profile/index.cfm?action=profile&amp;prop_id=13243</v>
      </c>
      <c r="N3445" s="1">
        <f t="shared" si="269"/>
        <v>13243</v>
      </c>
    </row>
    <row r="3446" spans="1:14" x14ac:dyDescent="0.3">
      <c r="A3446" s="1">
        <v>13244</v>
      </c>
      <c r="B3446" s="10" t="s">
        <v>5251</v>
      </c>
      <c r="C3446" s="9">
        <v>100</v>
      </c>
      <c r="D3446" s="10" t="s">
        <v>5252</v>
      </c>
      <c r="E3446" s="11" t="s">
        <v>4996</v>
      </c>
      <c r="F3446" t="str">
        <f t="shared" si="265"/>
        <v>Randolph</v>
      </c>
      <c r="G3446" t="str">
        <f t="shared" si="266"/>
        <v>Randolph100Dallas</v>
      </c>
      <c r="H3446" t="s">
        <v>34304</v>
      </c>
      <c r="I3446" t="s">
        <v>25729</v>
      </c>
      <c r="J3446" t="str">
        <f t="shared" si="267"/>
        <v>E:\PropInv\MF</v>
      </c>
      <c r="K3446" s="103" t="str">
        <f>HYPERLINK("E:\PropInv\MF\Dallas\Randolph Dr N_100_Casa de Loma_Dallas_13244","Randolph Dr N_100_Casa de Loma_Dallas_13244" )</f>
        <v>Randolph Dr N_100_Casa de Loma_Dallas_13244</v>
      </c>
      <c r="L3446" s="104" t="s">
        <v>22253</v>
      </c>
      <c r="M3446" s="103" t="str">
        <f t="shared" si="268"/>
        <v>http://oconnordata.com/mlink/modules/profile/index.cfm?action=profile&amp;prop_id=13244</v>
      </c>
      <c r="N3446" s="1">
        <f t="shared" si="269"/>
        <v>13244</v>
      </c>
    </row>
    <row r="3447" spans="1:14" x14ac:dyDescent="0.3">
      <c r="A3447" s="1">
        <v>13245</v>
      </c>
      <c r="B3447" s="10" t="s">
        <v>5253</v>
      </c>
      <c r="C3447" s="9">
        <v>500</v>
      </c>
      <c r="D3447" s="10" t="s">
        <v>5254</v>
      </c>
      <c r="E3447" s="11" t="s">
        <v>5046</v>
      </c>
      <c r="F3447" t="str">
        <f t="shared" si="265"/>
        <v>Santa</v>
      </c>
      <c r="G3447" t="str">
        <f t="shared" si="266"/>
        <v>Santa500Irving</v>
      </c>
      <c r="H3447" t="s">
        <v>34305</v>
      </c>
      <c r="I3447" t="s">
        <v>25730</v>
      </c>
      <c r="J3447" t="str">
        <f t="shared" si="267"/>
        <v>E:\PropInv\MF</v>
      </c>
      <c r="K3447" s="103" t="str">
        <f>HYPERLINK("E:\PropInv\MF\Irving\Santa Fe Trl_500_Casa Valley_Irving_13245","Santa Fe Trl_500_Casa Valley_Irving_13245" )</f>
        <v>Santa Fe Trl_500_Casa Valley_Irving_13245</v>
      </c>
      <c r="L3447" s="104" t="s">
        <v>22253</v>
      </c>
      <c r="M3447" s="103" t="str">
        <f t="shared" si="268"/>
        <v>http://oconnordata.com/mlink/modules/profile/index.cfm?action=profile&amp;prop_id=13245</v>
      </c>
      <c r="N3447" s="1">
        <f t="shared" si="269"/>
        <v>13245</v>
      </c>
    </row>
    <row r="3448" spans="1:14" x14ac:dyDescent="0.3">
      <c r="A3448" s="1">
        <v>13246</v>
      </c>
      <c r="B3448" s="10" t="s">
        <v>5255</v>
      </c>
      <c r="C3448" s="9">
        <v>2125</v>
      </c>
      <c r="D3448" s="10" t="s">
        <v>5256</v>
      </c>
      <c r="E3448" s="11" t="s">
        <v>4996</v>
      </c>
      <c r="F3448" t="str">
        <f t="shared" si="265"/>
        <v>Oates</v>
      </c>
      <c r="G3448" t="str">
        <f t="shared" si="266"/>
        <v>Oates2125Dallas</v>
      </c>
      <c r="H3448" t="s">
        <v>34306</v>
      </c>
      <c r="I3448" t="s">
        <v>25731</v>
      </c>
      <c r="J3448" t="str">
        <f t="shared" si="267"/>
        <v>E:\PropInv\MF</v>
      </c>
      <c r="K3448" s="103" t="str">
        <f>HYPERLINK("E:\PropInv\MF\Dallas\Oates_2125_Casa View_Dallas_13246","Oates_2125_Casa View_Dallas_13246" )</f>
        <v>Oates_2125_Casa View_Dallas_13246</v>
      </c>
      <c r="L3448" s="104" t="s">
        <v>22253</v>
      </c>
      <c r="M3448" s="103" t="str">
        <f t="shared" si="268"/>
        <v>http://oconnordata.com/mlink/modules/profile/index.cfm?action=profile&amp;prop_id=13246</v>
      </c>
      <c r="N3448" s="1">
        <f t="shared" si="269"/>
        <v>13246</v>
      </c>
    </row>
    <row r="3449" spans="1:14" x14ac:dyDescent="0.3">
      <c r="A3449" s="1">
        <v>13247</v>
      </c>
      <c r="B3449" s="10" t="s">
        <v>4997</v>
      </c>
      <c r="C3449" s="9">
        <v>5115</v>
      </c>
      <c r="D3449" s="10" t="s">
        <v>5257</v>
      </c>
      <c r="E3449" s="11" t="s">
        <v>4996</v>
      </c>
      <c r="F3449" t="str">
        <f t="shared" si="265"/>
        <v>Cedar</v>
      </c>
      <c r="G3449" t="str">
        <f t="shared" si="266"/>
        <v>Cedar5115Dallas</v>
      </c>
      <c r="H3449" t="s">
        <v>34307</v>
      </c>
      <c r="I3449" t="s">
        <v>25732</v>
      </c>
      <c r="J3449" t="str">
        <f t="shared" si="267"/>
        <v>E:\PropInv\MF</v>
      </c>
      <c r="K3449" s="103" t="str">
        <f>HYPERLINK("E:\PropInv\MF\Dallas\Cedar Springs_5115_Castillian_Dallas_13247","Cedar Springs_5115_Castillian_Dallas_13247" )</f>
        <v>Cedar Springs_5115_Castillian_Dallas_13247</v>
      </c>
      <c r="L3449" s="104" t="s">
        <v>22253</v>
      </c>
      <c r="M3449" s="103" t="str">
        <f t="shared" si="268"/>
        <v>http://oconnordata.com/mlink/modules/profile/index.cfm?action=profile&amp;prop_id=13247</v>
      </c>
      <c r="N3449" s="1">
        <f t="shared" si="269"/>
        <v>13247</v>
      </c>
    </row>
    <row r="3450" spans="1:14" x14ac:dyDescent="0.3">
      <c r="A3450" s="1">
        <v>13248</v>
      </c>
      <c r="B3450" s="10" t="s">
        <v>5155</v>
      </c>
      <c r="C3450" s="9">
        <v>2057</v>
      </c>
      <c r="D3450" s="10" t="s">
        <v>5258</v>
      </c>
      <c r="E3450" s="11" t="s">
        <v>5019</v>
      </c>
      <c r="F3450" t="str">
        <f t="shared" si="265"/>
        <v>Castle</v>
      </c>
      <c r="G3450" t="str">
        <f t="shared" si="266"/>
        <v>Castle2057Garland</v>
      </c>
      <c r="H3450" t="s">
        <v>34308</v>
      </c>
      <c r="I3450" t="s">
        <v>25733</v>
      </c>
      <c r="J3450" t="str">
        <f t="shared" si="267"/>
        <v>E:\PropInv\MF</v>
      </c>
      <c r="K3450" s="103" t="str">
        <f>HYPERLINK("E:\PropInv\MF\Garland\Castle Dr_2057_Castle Cove_Garland_13248","Castle Dr_2057_Castle Cove_Garland_13248" )</f>
        <v>Castle Dr_2057_Castle Cove_Garland_13248</v>
      </c>
      <c r="L3450" s="104" t="s">
        <v>22253</v>
      </c>
      <c r="M3450" s="103" t="str">
        <f t="shared" si="268"/>
        <v>http://oconnordata.com/mlink/modules/profile/index.cfm?action=profile&amp;prop_id=13248</v>
      </c>
      <c r="N3450" s="1">
        <f t="shared" si="269"/>
        <v>13248</v>
      </c>
    </row>
    <row r="3451" spans="1:14" x14ac:dyDescent="0.3">
      <c r="A3451" s="1">
        <v>13250</v>
      </c>
      <c r="B3451" s="10" t="s">
        <v>5259</v>
      </c>
      <c r="C3451" s="9">
        <v>2457</v>
      </c>
      <c r="D3451" s="10" t="s">
        <v>5260</v>
      </c>
      <c r="E3451" s="11" t="s">
        <v>5088</v>
      </c>
      <c r="F3451" t="str">
        <f t="shared" si="265"/>
        <v>80</v>
      </c>
      <c r="G3451" t="str">
        <f t="shared" si="266"/>
        <v>802457Mesquite</v>
      </c>
      <c r="H3451" t="s">
        <v>34309</v>
      </c>
      <c r="I3451" t="s">
        <v>25734</v>
      </c>
      <c r="J3451" t="str">
        <f t="shared" si="267"/>
        <v>E:\PropInv\MF</v>
      </c>
      <c r="K3451" s="103" t="str">
        <f>HYPERLINK("E:\PropInv\MF\Mesquite\80 Hwy #146 E_2457_Castle Loma_Mesquite_13250","80 Hwy #146 E_2457_Castle Loma_Mesquite_13250" )</f>
        <v>80 Hwy #146 E_2457_Castle Loma_Mesquite_13250</v>
      </c>
      <c r="L3451" s="104" t="s">
        <v>22253</v>
      </c>
      <c r="M3451" s="103" t="str">
        <f t="shared" si="268"/>
        <v>http://oconnordata.com/mlink/modules/profile/index.cfm?action=profile&amp;prop_id=13250</v>
      </c>
      <c r="N3451" s="1">
        <f t="shared" si="269"/>
        <v>13250</v>
      </c>
    </row>
    <row r="3452" spans="1:14" x14ac:dyDescent="0.3">
      <c r="A3452" s="1">
        <v>13251</v>
      </c>
      <c r="B3452" s="10" t="s">
        <v>3300</v>
      </c>
      <c r="C3452" s="9">
        <v>998</v>
      </c>
      <c r="D3452" s="10" t="s">
        <v>5261</v>
      </c>
      <c r="E3452" s="11" t="s">
        <v>5055</v>
      </c>
      <c r="F3452" t="str">
        <f t="shared" si="265"/>
        <v>Bellaire</v>
      </c>
      <c r="G3452" t="str">
        <f t="shared" si="266"/>
        <v>Bellaire998Lewisville</v>
      </c>
      <c r="H3452" t="s">
        <v>34310</v>
      </c>
      <c r="I3452" t="s">
        <v>25735</v>
      </c>
      <c r="J3452" t="str">
        <f t="shared" si="267"/>
        <v>E:\PropInv\MF</v>
      </c>
      <c r="K3452" s="103" t="str">
        <f>HYPERLINK("E:\PropInv\MF\Lewisville\Bellaire Blvd_998_Catalina at Bellaire_Lewisville_13251","Bellaire Blvd_998_Catalina at Bellaire_Lewisville_13251" )</f>
        <v>Bellaire Blvd_998_Catalina at Bellaire_Lewisville_13251</v>
      </c>
      <c r="L3452" s="104" t="s">
        <v>22253</v>
      </c>
      <c r="M3452" s="103" t="str">
        <f t="shared" si="268"/>
        <v>http://oconnordata.com/mlink/modules/profile/index.cfm?action=profile&amp;prop_id=13251</v>
      </c>
      <c r="N3452" s="1">
        <f t="shared" si="269"/>
        <v>13251</v>
      </c>
    </row>
    <row r="3453" spans="1:14" x14ac:dyDescent="0.3">
      <c r="A3453" s="1">
        <v>13253</v>
      </c>
      <c r="B3453" s="10" t="s">
        <v>5262</v>
      </c>
      <c r="C3453" s="9">
        <v>600</v>
      </c>
      <c r="D3453" s="10" t="s">
        <v>5263</v>
      </c>
      <c r="E3453" s="11" t="s">
        <v>5043</v>
      </c>
      <c r="F3453" t="str">
        <f t="shared" si="265"/>
        <v>Graves</v>
      </c>
      <c r="G3453" t="str">
        <f t="shared" si="266"/>
        <v>Graves600McKinney</v>
      </c>
      <c r="H3453" t="s">
        <v>34311</v>
      </c>
      <c r="I3453" t="s">
        <v>25736</v>
      </c>
      <c r="J3453" t="str">
        <f t="shared" si="267"/>
        <v>E:\PropInv\MF</v>
      </c>
      <c r="K3453" s="103" t="str">
        <f>HYPERLINK("E:\PropInv\MF\McKinney\Graves St S_600_Cedar Creek Village_McKinney_13253","Graves St S_600_Cedar Creek Village_McKinney_13253" )</f>
        <v>Graves St S_600_Cedar Creek Village_McKinney_13253</v>
      </c>
      <c r="L3453" s="104" t="s">
        <v>22253</v>
      </c>
      <c r="M3453" s="103" t="str">
        <f t="shared" si="268"/>
        <v>http://oconnordata.com/mlink/modules/profile/index.cfm?action=profile&amp;prop_id=13253</v>
      </c>
      <c r="N3453" s="1">
        <f t="shared" si="269"/>
        <v>13253</v>
      </c>
    </row>
    <row r="3454" spans="1:14" x14ac:dyDescent="0.3">
      <c r="A3454" s="1">
        <v>13254</v>
      </c>
      <c r="B3454" s="10" t="s">
        <v>5264</v>
      </c>
      <c r="C3454" s="9">
        <v>6363</v>
      </c>
      <c r="D3454" s="10" t="s">
        <v>3625</v>
      </c>
      <c r="E3454" s="11" t="s">
        <v>4996</v>
      </c>
      <c r="F3454" t="str">
        <f t="shared" si="265"/>
        <v>Camp</v>
      </c>
      <c r="G3454" t="str">
        <f t="shared" si="266"/>
        <v>Camp6363Dallas</v>
      </c>
      <c r="H3454" t="s">
        <v>34312</v>
      </c>
      <c r="I3454" t="s">
        <v>25737</v>
      </c>
      <c r="J3454" t="str">
        <f t="shared" si="267"/>
        <v>E:\PropInv\MF</v>
      </c>
      <c r="K3454" s="103" t="str">
        <f>HYPERLINK("E:\PropInv\MF\Dallas\Camp Wisdom Rd W_6363_Cedar Glen_Dallas_13254","Camp Wisdom Rd W_6363_Cedar Glen_Dallas_13254" )</f>
        <v>Camp Wisdom Rd W_6363_Cedar Glen_Dallas_13254</v>
      </c>
      <c r="L3454" s="104" t="s">
        <v>22253</v>
      </c>
      <c r="M3454" s="103" t="str">
        <f t="shared" si="268"/>
        <v>http://oconnordata.com/mlink/modules/profile/index.cfm?action=profile&amp;prop_id=13254</v>
      </c>
      <c r="N3454" s="1">
        <f t="shared" si="269"/>
        <v>13254</v>
      </c>
    </row>
    <row r="3455" spans="1:14" x14ac:dyDescent="0.3">
      <c r="A3455" s="1">
        <v>13255</v>
      </c>
      <c r="B3455" s="10" t="s">
        <v>5265</v>
      </c>
      <c r="C3455" s="9">
        <v>2106</v>
      </c>
      <c r="D3455" s="10" t="s">
        <v>5266</v>
      </c>
      <c r="E3455" s="11" t="s">
        <v>5267</v>
      </c>
      <c r="F3455" t="str">
        <f t="shared" si="265"/>
        <v>175</v>
      </c>
      <c r="G3455" t="str">
        <f t="shared" si="266"/>
        <v>1752106Seagoville</v>
      </c>
      <c r="H3455" t="s">
        <v>34313</v>
      </c>
      <c r="I3455" t="s">
        <v>25738</v>
      </c>
      <c r="J3455" t="str">
        <f t="shared" si="267"/>
        <v>E:\PropInv\MF</v>
      </c>
      <c r="K3455" s="103" t="str">
        <f>HYPERLINK("E:\PropInv\MF\Seagoville\175 US Hwy N_2106_Cedar Point_Seagoville_13255","175 US Hwy N_2106_Cedar Point_Seagoville_13255" )</f>
        <v>175 US Hwy N_2106_Cedar Point_Seagoville_13255</v>
      </c>
      <c r="L3455" s="104" t="s">
        <v>22253</v>
      </c>
      <c r="M3455" s="103" t="str">
        <f t="shared" si="268"/>
        <v>http://oconnordata.com/mlink/modules/profile/index.cfm?action=profile&amp;prop_id=13255</v>
      </c>
      <c r="N3455" s="1">
        <f t="shared" si="269"/>
        <v>13255</v>
      </c>
    </row>
    <row r="3456" spans="1:14" x14ac:dyDescent="0.3">
      <c r="A3456" s="1">
        <v>13256</v>
      </c>
      <c r="B3456" s="10" t="s">
        <v>4997</v>
      </c>
      <c r="C3456" s="9">
        <v>4411</v>
      </c>
      <c r="D3456" s="10" t="s">
        <v>5266</v>
      </c>
      <c r="E3456" s="11" t="s">
        <v>4996</v>
      </c>
      <c r="F3456" t="str">
        <f t="shared" si="265"/>
        <v>Cedar</v>
      </c>
      <c r="G3456" t="str">
        <f t="shared" si="266"/>
        <v>Cedar4411Dallas</v>
      </c>
      <c r="H3456" t="s">
        <v>34314</v>
      </c>
      <c r="I3456" t="s">
        <v>25739</v>
      </c>
      <c r="J3456" t="str">
        <f t="shared" si="267"/>
        <v>E:\PropInv\MF</v>
      </c>
      <c r="K3456" s="103" t="str">
        <f>HYPERLINK("E:\PropInv\MF\Dallas\Cedar Springs_4411_Cedar Point_Dallas_13256","Cedar Springs_4411_Cedar Point_Dallas_13256" )</f>
        <v>Cedar Springs_4411_Cedar Point_Dallas_13256</v>
      </c>
      <c r="L3456" s="104" t="s">
        <v>22253</v>
      </c>
      <c r="M3456" s="103" t="str">
        <f t="shared" si="268"/>
        <v>http://oconnordata.com/mlink/modules/profile/index.cfm?action=profile&amp;prop_id=13256</v>
      </c>
      <c r="N3456" s="1">
        <f t="shared" si="269"/>
        <v>13256</v>
      </c>
    </row>
    <row r="3457" spans="1:14" x14ac:dyDescent="0.3">
      <c r="A3457" s="1">
        <v>13258</v>
      </c>
      <c r="B3457" s="7" t="s">
        <v>5268</v>
      </c>
      <c r="C3457" s="12">
        <v>3750</v>
      </c>
      <c r="D3457" s="7" t="s">
        <v>5269</v>
      </c>
      <c r="E3457" s="13" t="s">
        <v>4996</v>
      </c>
      <c r="F3457" t="str">
        <f t="shared" si="265"/>
        <v>Rosemeade</v>
      </c>
      <c r="G3457" t="str">
        <f t="shared" si="266"/>
        <v>Rosemeade3750Dallas</v>
      </c>
      <c r="H3457" t="s">
        <v>34315</v>
      </c>
      <c r="I3457" t="s">
        <v>25740</v>
      </c>
      <c r="J3457" t="str">
        <f t="shared" si="267"/>
        <v>E:\PropInv\MF</v>
      </c>
      <c r="K3457" s="103" t="str">
        <f>HYPERLINK("E:\PropInv\MF\Dallas\Rosemeade Pkwy_3750_Cedarbrook_Dallas_13258","Rosemeade Pkwy_3750_Cedarbrook_Dallas_13258" )</f>
        <v>Rosemeade Pkwy_3750_Cedarbrook_Dallas_13258</v>
      </c>
      <c r="L3457" s="104" t="s">
        <v>22253</v>
      </c>
      <c r="M3457" s="103" t="str">
        <f t="shared" si="268"/>
        <v>http://oconnordata.com/mlink/modules/profile/index.cfm?action=profile&amp;prop_id=13258</v>
      </c>
      <c r="N3457" s="1">
        <f t="shared" si="269"/>
        <v>13258</v>
      </c>
    </row>
    <row r="3458" spans="1:14" x14ac:dyDescent="0.3">
      <c r="A3458" s="1">
        <v>13259</v>
      </c>
      <c r="B3458" s="7" t="s">
        <v>5270</v>
      </c>
      <c r="C3458" s="12">
        <v>3754</v>
      </c>
      <c r="D3458" s="7" t="s">
        <v>5271</v>
      </c>
      <c r="E3458" s="13" t="s">
        <v>5019</v>
      </c>
      <c r="F3458" t="str">
        <f t="shared" ref="F3458:F3521" si="270">IFERROR(LEFT(B3458,FIND(" ",B3458)-1),B3458)</f>
        <v>Buckingham</v>
      </c>
      <c r="G3458" t="str">
        <f t="shared" ref="G3458:G3521" si="271">F3458&amp;C3458&amp;E3458</f>
        <v>Buckingham3754Garland</v>
      </c>
      <c r="H3458" t="s">
        <v>34316</v>
      </c>
      <c r="I3458" t="s">
        <v>25741</v>
      </c>
      <c r="J3458" t="str">
        <f t="shared" ref="J3458:J3521" si="272">IF(L3458="TX",Folder_Path,Folder_Path&amp;"\State_"&amp;L3458)</f>
        <v>E:\PropInv\MF</v>
      </c>
      <c r="K3458" s="103" t="str">
        <f>HYPERLINK("E:\PropInv\MF\Garland\Buckingham W_3754_Cedars_Garland_13259","Buckingham W_3754_Cedars_Garland_13259" )</f>
        <v>Buckingham W_3754_Cedars_Garland_13259</v>
      </c>
      <c r="L3458" s="104" t="s">
        <v>22253</v>
      </c>
      <c r="M3458" s="103" t="str">
        <f t="shared" ref="M3458:M3521" si="273">HYPERLINK("http://oconnordata.com/mlink/modules/profile/index.cfm?action=profile&amp;prop_id="&amp;A3458)</f>
        <v>http://oconnordata.com/mlink/modules/profile/index.cfm?action=profile&amp;prop_id=13259</v>
      </c>
      <c r="N3458" s="1">
        <f t="shared" ref="N3458:N3521" si="274">IF(LEN(A3458)=1,"0000"&amp;A3458,IF(LEN(A3458)=2,"000"&amp;A3458,IF(LEN(A3458)=3,"00"&amp;A3458,IF(LEN(A3458)=4,"0"&amp;A3458,IF(LEN(A3458)=5,IF(LEFT(A3458,1)="3",A3458+30000,A3458))))))</f>
        <v>13259</v>
      </c>
    </row>
    <row r="3459" spans="1:14" x14ac:dyDescent="0.3">
      <c r="A3459" s="1">
        <v>13261</v>
      </c>
      <c r="B3459" s="7" t="s">
        <v>5272</v>
      </c>
      <c r="C3459" s="12">
        <v>700</v>
      </c>
      <c r="D3459" s="7" t="s">
        <v>5273</v>
      </c>
      <c r="E3459" s="13" t="s">
        <v>5228</v>
      </c>
      <c r="F3459" t="str">
        <f t="shared" si="270"/>
        <v>Center</v>
      </c>
      <c r="G3459" t="str">
        <f t="shared" si="271"/>
        <v>Center700Duncanville</v>
      </c>
      <c r="H3459" t="s">
        <v>34317</v>
      </c>
      <c r="I3459" t="s">
        <v>25742</v>
      </c>
      <c r="J3459" t="str">
        <f t="shared" si="272"/>
        <v>E:\PropInv\MF</v>
      </c>
      <c r="K3459" s="103" t="str">
        <f>HYPERLINK("E:\PropInv\MF\Duncanville\Center W_700_Center Ridge_Duncanville_13261","Center W_700_Center Ridge_Duncanville_13261" )</f>
        <v>Center W_700_Center Ridge_Duncanville_13261</v>
      </c>
      <c r="L3459" s="104" t="s">
        <v>22253</v>
      </c>
      <c r="M3459" s="103" t="str">
        <f t="shared" si="273"/>
        <v>http://oconnordata.com/mlink/modules/profile/index.cfm?action=profile&amp;prop_id=13261</v>
      </c>
      <c r="N3459" s="1">
        <f t="shared" si="274"/>
        <v>13261</v>
      </c>
    </row>
    <row r="3460" spans="1:14" x14ac:dyDescent="0.3">
      <c r="A3460" s="1">
        <v>13262</v>
      </c>
      <c r="B3460" s="10" t="s">
        <v>5129</v>
      </c>
      <c r="C3460" s="9">
        <v>9637</v>
      </c>
      <c r="D3460" s="10" t="s">
        <v>5274</v>
      </c>
      <c r="E3460" s="11" t="s">
        <v>4996</v>
      </c>
      <c r="F3460" t="str">
        <f t="shared" si="270"/>
        <v>Forest</v>
      </c>
      <c r="G3460" t="str">
        <f t="shared" si="271"/>
        <v>Forest9637Dallas</v>
      </c>
      <c r="H3460" t="s">
        <v>34318</v>
      </c>
      <c r="I3460" t="s">
        <v>25743</v>
      </c>
      <c r="J3460" t="str">
        <f t="shared" si="272"/>
        <v>E:\PropInv\MF</v>
      </c>
      <c r="K3460" s="103" t="str">
        <f>HYPERLINK("E:\PropInv\MF\Dallas\Forest Ln_9637_Chimney Hill_Dallas_13262","Forest Ln_9637_Chimney Hill_Dallas_13262" )</f>
        <v>Forest Ln_9637_Chimney Hill_Dallas_13262</v>
      </c>
      <c r="L3460" s="104" t="s">
        <v>22253</v>
      </c>
      <c r="M3460" s="103" t="str">
        <f t="shared" si="273"/>
        <v>http://oconnordata.com/mlink/modules/profile/index.cfm?action=profile&amp;prop_id=13262</v>
      </c>
      <c r="N3460" s="1">
        <f t="shared" si="274"/>
        <v>13262</v>
      </c>
    </row>
    <row r="3461" spans="1:14" x14ac:dyDescent="0.3">
      <c r="A3461" s="1">
        <v>13263</v>
      </c>
      <c r="B3461" s="7" t="s">
        <v>5275</v>
      </c>
      <c r="C3461" s="12">
        <v>1800</v>
      </c>
      <c r="D3461" s="7" t="s">
        <v>5276</v>
      </c>
      <c r="E3461" s="13" t="s">
        <v>5009</v>
      </c>
      <c r="F3461" t="str">
        <f t="shared" si="270"/>
        <v>Spring</v>
      </c>
      <c r="G3461" t="str">
        <f t="shared" si="271"/>
        <v>Spring1800Plano</v>
      </c>
      <c r="H3461" t="s">
        <v>34319</v>
      </c>
      <c r="I3461" t="s">
        <v>25744</v>
      </c>
      <c r="J3461" t="str">
        <f t="shared" si="272"/>
        <v>E:\PropInv\MF</v>
      </c>
      <c r="K3461" s="103" t="str">
        <f>HYPERLINK("E:\PropInv\MF\Plano\Spring Creek Pkwy E_1800_The Giovanna_Plano_13263","Spring Creek Pkwy E_1800_The Giovanna_Plano_13263" )</f>
        <v>Spring Creek Pkwy E_1800_The Giovanna_Plano_13263</v>
      </c>
      <c r="L3461" s="104" t="s">
        <v>22253</v>
      </c>
      <c r="M3461" s="103" t="str">
        <f t="shared" si="273"/>
        <v>http://oconnordata.com/mlink/modules/profile/index.cfm?action=profile&amp;prop_id=13263</v>
      </c>
      <c r="N3461" s="1">
        <f t="shared" si="274"/>
        <v>13263</v>
      </c>
    </row>
    <row r="3462" spans="1:14" x14ac:dyDescent="0.3">
      <c r="A3462" s="1">
        <v>13264</v>
      </c>
      <c r="B3462" s="7" t="s">
        <v>5277</v>
      </c>
      <c r="C3462" s="12">
        <v>2626</v>
      </c>
      <c r="D3462" s="7" t="s">
        <v>5278</v>
      </c>
      <c r="E3462" s="13" t="s">
        <v>4996</v>
      </c>
      <c r="F3462" t="str">
        <f t="shared" si="270"/>
        <v>Frankford</v>
      </c>
      <c r="G3462" t="str">
        <f t="shared" si="271"/>
        <v>Frankford2626Dallas</v>
      </c>
      <c r="H3462" t="s">
        <v>34320</v>
      </c>
      <c r="I3462" t="s">
        <v>25745</v>
      </c>
      <c r="J3462" t="str">
        <f t="shared" si="272"/>
        <v>E:\PropInv\MF</v>
      </c>
      <c r="K3462" s="103" t="str">
        <f>HYPERLINK("E:\PropInv\MF\Dallas\Frankford_2626_Centerpoint_Dallas_13264","Frankford_2626_Centerpoint_Dallas_13264" )</f>
        <v>Frankford_2626_Centerpoint_Dallas_13264</v>
      </c>
      <c r="L3462" s="104" t="s">
        <v>22253</v>
      </c>
      <c r="M3462" s="103" t="str">
        <f t="shared" si="273"/>
        <v>http://oconnordata.com/mlink/modules/profile/index.cfm?action=profile&amp;prop_id=13264</v>
      </c>
      <c r="N3462" s="1">
        <f t="shared" si="274"/>
        <v>13264</v>
      </c>
    </row>
    <row r="3463" spans="1:14" x14ac:dyDescent="0.3">
      <c r="A3463" s="1">
        <v>13265</v>
      </c>
      <c r="B3463" s="7" t="s">
        <v>5279</v>
      </c>
      <c r="C3463" s="12">
        <v>834</v>
      </c>
      <c r="D3463" s="7" t="s">
        <v>5280</v>
      </c>
      <c r="E3463" s="13" t="s">
        <v>5019</v>
      </c>
      <c r="F3463" t="str">
        <f t="shared" si="270"/>
        <v>Centerville</v>
      </c>
      <c r="G3463" t="str">
        <f t="shared" si="271"/>
        <v>Centerville834Garland</v>
      </c>
      <c r="H3463" t="s">
        <v>34321</v>
      </c>
      <c r="I3463" t="s">
        <v>25746</v>
      </c>
      <c r="J3463" t="str">
        <f t="shared" si="272"/>
        <v>E:\PropInv\MF</v>
      </c>
      <c r="K3463" s="103" t="str">
        <f>HYPERLINK("E:\PropInv\MF\Garland\Centerville Rd W_834_Centerville Crossing_Garland_13265","Centerville Rd W_834_Centerville Crossing_Garland_13265" )</f>
        <v>Centerville Rd W_834_Centerville Crossing_Garland_13265</v>
      </c>
      <c r="L3463" s="104" t="s">
        <v>22253</v>
      </c>
      <c r="M3463" s="103" t="str">
        <f t="shared" si="273"/>
        <v>http://oconnordata.com/mlink/modules/profile/index.cfm?action=profile&amp;prop_id=13265</v>
      </c>
      <c r="N3463" s="1">
        <f t="shared" si="274"/>
        <v>13265</v>
      </c>
    </row>
    <row r="3464" spans="1:14" x14ac:dyDescent="0.3">
      <c r="A3464" s="1">
        <v>13266</v>
      </c>
      <c r="B3464" s="7" t="s">
        <v>5153</v>
      </c>
      <c r="C3464" s="12">
        <v>4266</v>
      </c>
      <c r="D3464" s="7" t="s">
        <v>5281</v>
      </c>
      <c r="E3464" s="13" t="s">
        <v>5019</v>
      </c>
      <c r="F3464" t="str">
        <f t="shared" si="270"/>
        <v>Duck</v>
      </c>
      <c r="G3464" t="str">
        <f t="shared" si="271"/>
        <v>Duck4266Garland</v>
      </c>
      <c r="H3464" t="s">
        <v>34322</v>
      </c>
      <c r="I3464" t="s">
        <v>25747</v>
      </c>
      <c r="J3464" t="str">
        <f t="shared" si="272"/>
        <v>E:\PropInv\MF</v>
      </c>
      <c r="K3464" s="103" t="str">
        <f>HYPERLINK("E:\PropInv\MF\Garland\Duck Creek_4266_Centerville Pointe_Garland_13266","Duck Creek_4266_Centerville Pointe_Garland_13266" )</f>
        <v>Duck Creek_4266_Centerville Pointe_Garland_13266</v>
      </c>
      <c r="L3464" s="104" t="s">
        <v>22253</v>
      </c>
      <c r="M3464" s="103" t="str">
        <f t="shared" si="273"/>
        <v>http://oconnordata.com/mlink/modules/profile/index.cfm?action=profile&amp;prop_id=13266</v>
      </c>
      <c r="N3464" s="1">
        <f t="shared" si="274"/>
        <v>13266</v>
      </c>
    </row>
    <row r="3465" spans="1:14" x14ac:dyDescent="0.3">
      <c r="A3465" s="1">
        <v>13268</v>
      </c>
      <c r="B3465" s="7" t="s">
        <v>5282</v>
      </c>
      <c r="C3465" s="12">
        <v>4386</v>
      </c>
      <c r="D3465" s="7" t="s">
        <v>5283</v>
      </c>
      <c r="E3465" s="13" t="s">
        <v>5019</v>
      </c>
      <c r="F3465" t="str">
        <f t="shared" si="270"/>
        <v>Lawrence</v>
      </c>
      <c r="G3465" t="str">
        <f t="shared" si="271"/>
        <v>Lawrence4386Garland</v>
      </c>
      <c r="H3465" t="s">
        <v>34323</v>
      </c>
      <c r="I3465" t="s">
        <v>25748</v>
      </c>
      <c r="J3465" t="str">
        <f t="shared" si="272"/>
        <v>E:\PropInv\MF</v>
      </c>
      <c r="K3465" s="103" t="str">
        <f>HYPERLINK("E:\PropInv\MF\Garland\Lawrence Dr_4386_Centron I &amp; II_Garland_13268","Lawrence Dr_4386_Centron I &amp; II_Garland_13268" )</f>
        <v>Lawrence Dr_4386_Centron I &amp; II_Garland_13268</v>
      </c>
      <c r="L3465" s="104" t="s">
        <v>22253</v>
      </c>
      <c r="M3465" s="103" t="str">
        <f t="shared" si="273"/>
        <v>http://oconnordata.com/mlink/modules/profile/index.cfm?action=profile&amp;prop_id=13268</v>
      </c>
      <c r="N3465" s="1">
        <f t="shared" si="274"/>
        <v>13268</v>
      </c>
    </row>
    <row r="3466" spans="1:14" x14ac:dyDescent="0.3">
      <c r="A3466" s="1">
        <v>13270</v>
      </c>
      <c r="B3466" s="7" t="s">
        <v>5284</v>
      </c>
      <c r="C3466" s="12">
        <v>4912</v>
      </c>
      <c r="D3466" s="7" t="s">
        <v>5285</v>
      </c>
      <c r="E3466" s="13" t="s">
        <v>4996</v>
      </c>
      <c r="F3466" t="str">
        <f t="shared" si="270"/>
        <v>Haverwood</v>
      </c>
      <c r="G3466" t="str">
        <f t="shared" si="271"/>
        <v>Haverwood4912Dallas</v>
      </c>
      <c r="H3466" t="s">
        <v>34324</v>
      </c>
      <c r="I3466" t="s">
        <v>25749</v>
      </c>
      <c r="J3466" t="str">
        <f t="shared" si="272"/>
        <v>E:\PropInv\MF</v>
      </c>
      <c r="K3466" s="103" t="str">
        <f>HYPERLINK("E:\PropInv\MF\Dallas\Haverwood_4912_Champions of North Dallas_Dallas_13270","Haverwood_4912_Champions of North Dallas_Dallas_13270" )</f>
        <v>Haverwood_4912_Champions of North Dallas_Dallas_13270</v>
      </c>
      <c r="L3466" s="104" t="s">
        <v>22253</v>
      </c>
      <c r="M3466" s="103" t="str">
        <f t="shared" si="273"/>
        <v>http://oconnordata.com/mlink/modules/profile/index.cfm?action=profile&amp;prop_id=13270</v>
      </c>
      <c r="N3466" s="1">
        <f t="shared" si="274"/>
        <v>13270</v>
      </c>
    </row>
    <row r="3467" spans="1:14" x14ac:dyDescent="0.3">
      <c r="A3467" s="1">
        <v>13271</v>
      </c>
      <c r="B3467" s="7" t="s">
        <v>5286</v>
      </c>
      <c r="C3467" s="12">
        <v>10201</v>
      </c>
      <c r="D3467" s="7" t="s">
        <v>5287</v>
      </c>
      <c r="E3467" s="13" t="s">
        <v>5046</v>
      </c>
      <c r="F3467" t="str">
        <f t="shared" si="270"/>
        <v>MacArthur</v>
      </c>
      <c r="G3467" t="str">
        <f t="shared" si="271"/>
        <v>MacArthur10201Irving</v>
      </c>
      <c r="H3467" t="s">
        <v>34325</v>
      </c>
      <c r="I3467" t="s">
        <v>25750</v>
      </c>
      <c r="J3467" t="str">
        <f t="shared" si="272"/>
        <v>E:\PropInv\MF</v>
      </c>
      <c r="K3467" s="103" t="str">
        <f>HYPERLINK("E:\PropInv\MF\Irving\MacArthur Blvd N_10201_The Champions of Valley Ranch_Irving_13271","MacArthur Blvd N_10201_The Champions of Valley Ranch_Irving_13271" )</f>
        <v>MacArthur Blvd N_10201_The Champions of Valley Ranch_Irving_13271</v>
      </c>
      <c r="L3467" s="104" t="s">
        <v>22253</v>
      </c>
      <c r="M3467" s="103" t="str">
        <f t="shared" si="273"/>
        <v>http://oconnordata.com/mlink/modules/profile/index.cfm?action=profile&amp;prop_id=13271</v>
      </c>
      <c r="N3467" s="1">
        <f t="shared" si="274"/>
        <v>13271</v>
      </c>
    </row>
    <row r="3468" spans="1:14" x14ac:dyDescent="0.3">
      <c r="A3468" s="1">
        <v>13272</v>
      </c>
      <c r="B3468" s="7" t="s">
        <v>5288</v>
      </c>
      <c r="C3468" s="12">
        <v>300</v>
      </c>
      <c r="D3468" s="7" t="s">
        <v>5289</v>
      </c>
      <c r="E3468" s="13" t="s">
        <v>5055</v>
      </c>
      <c r="F3468" t="str">
        <f t="shared" si="270"/>
        <v>3040</v>
      </c>
      <c r="G3468" t="str">
        <f t="shared" si="271"/>
        <v>3040300Lewisville</v>
      </c>
      <c r="H3468" t="s">
        <v>34326</v>
      </c>
      <c r="I3468" t="s">
        <v>25751</v>
      </c>
      <c r="J3468" t="str">
        <f t="shared" si="272"/>
        <v>E:\PropInv\MF</v>
      </c>
      <c r="K3468" s="103" t="str">
        <f>HYPERLINK("E:\PropInv\MF\Lewisville\3040 FM_300_Chapel Hill II_Lewisville_13272","3040 FM_300_Chapel Hill II_Lewisville_13272" )</f>
        <v>3040 FM_300_Chapel Hill II_Lewisville_13272</v>
      </c>
      <c r="L3468" s="104" t="s">
        <v>22253</v>
      </c>
      <c r="M3468" s="103" t="str">
        <f t="shared" si="273"/>
        <v>http://oconnordata.com/mlink/modules/profile/index.cfm?action=profile&amp;prop_id=13272</v>
      </c>
      <c r="N3468" s="1">
        <f t="shared" si="274"/>
        <v>13272</v>
      </c>
    </row>
    <row r="3469" spans="1:14" x14ac:dyDescent="0.3">
      <c r="A3469" s="1">
        <v>13273</v>
      </c>
      <c r="B3469" s="10" t="s">
        <v>5290</v>
      </c>
      <c r="C3469" s="9">
        <v>300</v>
      </c>
      <c r="D3469" s="10" t="s">
        <v>5291</v>
      </c>
      <c r="E3469" s="11" t="s">
        <v>5055</v>
      </c>
      <c r="F3469" t="str">
        <f t="shared" si="270"/>
        <v>Roundgrove</v>
      </c>
      <c r="G3469" t="str">
        <f t="shared" si="271"/>
        <v>Roundgrove300Lewisville</v>
      </c>
      <c r="H3469" t="s">
        <v>34327</v>
      </c>
      <c r="I3469" t="s">
        <v>25752</v>
      </c>
      <c r="J3469" t="str">
        <f t="shared" si="272"/>
        <v>E:\PropInv\MF</v>
      </c>
      <c r="K3469" s="103" t="str">
        <f>HYPERLINK("E:\PropInv\MF\Lewisville\Roundgrove Rd E_300_Chapel Hill I_Lewisville_13273","Roundgrove Rd E_300_Chapel Hill I_Lewisville_13273" )</f>
        <v>Roundgrove Rd E_300_Chapel Hill I_Lewisville_13273</v>
      </c>
      <c r="L3469" s="104" t="s">
        <v>22253</v>
      </c>
      <c r="M3469" s="103" t="str">
        <f t="shared" si="273"/>
        <v>http://oconnordata.com/mlink/modules/profile/index.cfm?action=profile&amp;prop_id=13273</v>
      </c>
      <c r="N3469" s="1">
        <f t="shared" si="274"/>
        <v>13273</v>
      </c>
    </row>
    <row r="3470" spans="1:14" x14ac:dyDescent="0.3">
      <c r="A3470" s="1">
        <v>13274</v>
      </c>
      <c r="B3470" s="10" t="s">
        <v>5292</v>
      </c>
      <c r="C3470" s="9">
        <v>275</v>
      </c>
      <c r="D3470" s="10" t="s">
        <v>5293</v>
      </c>
      <c r="E3470" s="11" t="s">
        <v>5055</v>
      </c>
      <c r="F3470" t="str">
        <f t="shared" si="270"/>
        <v>Vista</v>
      </c>
      <c r="G3470" t="str">
        <f t="shared" si="271"/>
        <v>Vista275Lewisville</v>
      </c>
      <c r="H3470" t="s">
        <v>34328</v>
      </c>
      <c r="I3470" t="s">
        <v>25753</v>
      </c>
      <c r="J3470" t="str">
        <f t="shared" si="272"/>
        <v>E:\PropInv\MF</v>
      </c>
      <c r="K3470" s="103" t="str">
        <f>HYPERLINK("E:\PropInv\MF\Lewisville\Vista Ridge Mall Dr_275_Chapel Hill III_Lewisville_13274","Vista Ridge Mall Dr_275_Chapel Hill III_Lewisville_13274" )</f>
        <v>Vista Ridge Mall Dr_275_Chapel Hill III_Lewisville_13274</v>
      </c>
      <c r="L3470" s="104" t="s">
        <v>22253</v>
      </c>
      <c r="M3470" s="103" t="str">
        <f t="shared" si="273"/>
        <v>http://oconnordata.com/mlink/modules/profile/index.cfm?action=profile&amp;prop_id=13274</v>
      </c>
      <c r="N3470" s="1">
        <f t="shared" si="274"/>
        <v>13274</v>
      </c>
    </row>
    <row r="3471" spans="1:14" x14ac:dyDescent="0.3">
      <c r="A3471" s="1">
        <v>13275</v>
      </c>
      <c r="B3471" s="10" t="s">
        <v>1484</v>
      </c>
      <c r="C3471" s="9">
        <v>3701</v>
      </c>
      <c r="D3471" s="10" t="s">
        <v>5294</v>
      </c>
      <c r="E3471" s="11" t="s">
        <v>5046</v>
      </c>
      <c r="F3471" t="str">
        <f t="shared" si="270"/>
        <v>O'Connor</v>
      </c>
      <c r="G3471" t="str">
        <f t="shared" si="271"/>
        <v>O'Connor3701Irving</v>
      </c>
      <c r="H3471" t="s">
        <v>34329</v>
      </c>
      <c r="I3471" t="s">
        <v>25754</v>
      </c>
      <c r="J3471" t="str">
        <f t="shared" si="272"/>
        <v>E:\PropInv\MF</v>
      </c>
      <c r="K3471" s="103" t="str">
        <f>HYPERLINK("E:\PropInv\MF\Irving\O'Connor Rd_3701_Chaparral Creek_Irving_13275","O'Connor Rd_3701_Chaparral Creek_Irving_13275" )</f>
        <v>O'Connor Rd_3701_Chaparral Creek_Irving_13275</v>
      </c>
      <c r="L3471" s="104" t="s">
        <v>22253</v>
      </c>
      <c r="M3471" s="103" t="str">
        <f t="shared" si="273"/>
        <v>http://oconnordata.com/mlink/modules/profile/index.cfm?action=profile&amp;prop_id=13275</v>
      </c>
      <c r="N3471" s="1">
        <f t="shared" si="274"/>
        <v>13275</v>
      </c>
    </row>
    <row r="3472" spans="1:14" x14ac:dyDescent="0.3">
      <c r="A3472" s="1">
        <v>13276</v>
      </c>
      <c r="B3472" s="7" t="s">
        <v>2103</v>
      </c>
      <c r="C3472" s="12">
        <v>10931</v>
      </c>
      <c r="D3472" s="7" t="s">
        <v>5295</v>
      </c>
      <c r="E3472" s="13" t="s">
        <v>4996</v>
      </c>
      <c r="F3472" t="str">
        <f t="shared" si="270"/>
        <v>Stone</v>
      </c>
      <c r="G3472" t="str">
        <f t="shared" si="271"/>
        <v>Stone10931Dallas</v>
      </c>
      <c r="H3472" t="s">
        <v>34330</v>
      </c>
      <c r="I3472" t="s">
        <v>25755</v>
      </c>
      <c r="J3472" t="str">
        <f t="shared" si="272"/>
        <v>E:\PropInv\MF</v>
      </c>
      <c r="K3472" s="103" t="str">
        <f>HYPERLINK("E:\PropInv\MF\Dallas\Stone Canyon_10931_Chase Crossing_Dallas_13276","Stone Canyon_10931_Chase Crossing_Dallas_13276" )</f>
        <v>Stone Canyon_10931_Chase Crossing_Dallas_13276</v>
      </c>
      <c r="L3472" s="104" t="s">
        <v>22253</v>
      </c>
      <c r="M3472" s="103" t="str">
        <f t="shared" si="273"/>
        <v>http://oconnordata.com/mlink/modules/profile/index.cfm?action=profile&amp;prop_id=13276</v>
      </c>
      <c r="N3472" s="1">
        <f t="shared" si="274"/>
        <v>13276</v>
      </c>
    </row>
    <row r="3473" spans="1:14" x14ac:dyDescent="0.3">
      <c r="A3473" s="1">
        <v>13277</v>
      </c>
      <c r="B3473" s="10" t="s">
        <v>5122</v>
      </c>
      <c r="C3473" s="9">
        <v>5657</v>
      </c>
      <c r="D3473" s="10" t="s">
        <v>5296</v>
      </c>
      <c r="E3473" s="11" t="s">
        <v>4996</v>
      </c>
      <c r="F3473" t="str">
        <f t="shared" si="270"/>
        <v>Amesbury</v>
      </c>
      <c r="G3473" t="str">
        <f t="shared" si="271"/>
        <v>Amesbury5657Dallas</v>
      </c>
      <c r="H3473" t="s">
        <v>34331</v>
      </c>
      <c r="I3473" t="s">
        <v>25756</v>
      </c>
      <c r="J3473" t="str">
        <f t="shared" si="272"/>
        <v>E:\PropInv\MF</v>
      </c>
      <c r="K3473" s="103" t="str">
        <f>HYPERLINK("E:\PropInv\MF\Dallas\Amesbury_5657_The Chase_Dallas_13277","Amesbury_5657_The Chase_Dallas_13277" )</f>
        <v>Amesbury_5657_The Chase_Dallas_13277</v>
      </c>
      <c r="L3473" s="104" t="s">
        <v>22253</v>
      </c>
      <c r="M3473" s="103" t="str">
        <f t="shared" si="273"/>
        <v>http://oconnordata.com/mlink/modules/profile/index.cfm?action=profile&amp;prop_id=13277</v>
      </c>
      <c r="N3473" s="1">
        <f t="shared" si="274"/>
        <v>13277</v>
      </c>
    </row>
    <row r="3474" spans="1:14" x14ac:dyDescent="0.3">
      <c r="A3474" s="1">
        <v>13279</v>
      </c>
      <c r="B3474" s="10" t="s">
        <v>5297</v>
      </c>
      <c r="C3474" s="9">
        <v>2900</v>
      </c>
      <c r="D3474" s="10" t="s">
        <v>5298</v>
      </c>
      <c r="E3474" s="11" t="s">
        <v>4996</v>
      </c>
      <c r="F3474" t="str">
        <f t="shared" si="270"/>
        <v>Dilido</v>
      </c>
      <c r="G3474" t="str">
        <f t="shared" si="271"/>
        <v>Dilido2900Dallas</v>
      </c>
      <c r="H3474" t="s">
        <v>34332</v>
      </c>
      <c r="I3474" t="s">
        <v>25757</v>
      </c>
      <c r="J3474" t="str">
        <f t="shared" si="272"/>
        <v>E:\PropInv\MF</v>
      </c>
      <c r="K3474" s="103" t="str">
        <f>HYPERLINK("E:\PropInv\MF\Dallas\Dilido Rd_2900_Bella Vista Pointe_Dallas_13279","Dilido Rd_2900_Bella Vista Pointe_Dallas_13279" )</f>
        <v>Dilido Rd_2900_Bella Vista Pointe_Dallas_13279</v>
      </c>
      <c r="L3474" s="104" t="s">
        <v>22253</v>
      </c>
      <c r="M3474" s="103" t="str">
        <f t="shared" si="273"/>
        <v>http://oconnordata.com/mlink/modules/profile/index.cfm?action=profile&amp;prop_id=13279</v>
      </c>
      <c r="N3474" s="1">
        <f t="shared" si="274"/>
        <v>13279</v>
      </c>
    </row>
    <row r="3475" spans="1:14" x14ac:dyDescent="0.3">
      <c r="A3475" s="1">
        <v>13280</v>
      </c>
      <c r="B3475" s="10" t="s">
        <v>5299</v>
      </c>
      <c r="C3475" s="9">
        <v>3100</v>
      </c>
      <c r="D3475" s="10" t="s">
        <v>3991</v>
      </c>
      <c r="E3475" s="11" t="s">
        <v>5019</v>
      </c>
      <c r="F3475" t="str">
        <f t="shared" si="270"/>
        <v>Walnut</v>
      </c>
      <c r="G3475" t="str">
        <f t="shared" si="271"/>
        <v>Walnut3100Garland</v>
      </c>
      <c r="H3475" t="s">
        <v>34333</v>
      </c>
      <c r="I3475" t="s">
        <v>25758</v>
      </c>
      <c r="J3475" t="str">
        <f t="shared" si="272"/>
        <v>E:\PropInv\MF</v>
      </c>
      <c r="K3475" s="103" t="str">
        <f>HYPERLINK("E:\PropInv\MF\Garland\Walnut St W_3100_Cherrybrook_Garland_13280","Walnut St W_3100_Cherrybrook_Garland_13280" )</f>
        <v>Walnut St W_3100_Cherrybrook_Garland_13280</v>
      </c>
      <c r="L3475" s="104" t="s">
        <v>22253</v>
      </c>
      <c r="M3475" s="103" t="str">
        <f t="shared" si="273"/>
        <v>http://oconnordata.com/mlink/modules/profile/index.cfm?action=profile&amp;prop_id=13280</v>
      </c>
      <c r="N3475" s="1">
        <f t="shared" si="274"/>
        <v>13280</v>
      </c>
    </row>
    <row r="3476" spans="1:14" x14ac:dyDescent="0.3">
      <c r="A3476" s="1">
        <v>13281</v>
      </c>
      <c r="B3476" s="7" t="s">
        <v>5300</v>
      </c>
      <c r="C3476" s="12">
        <v>11620</v>
      </c>
      <c r="D3476" s="7" t="s">
        <v>106</v>
      </c>
      <c r="E3476" s="13" t="s">
        <v>4996</v>
      </c>
      <c r="F3476" t="str">
        <f t="shared" si="270"/>
        <v>Audelia</v>
      </c>
      <c r="G3476" t="str">
        <f t="shared" si="271"/>
        <v>Audelia11620Dallas</v>
      </c>
      <c r="H3476" t="s">
        <v>34334</v>
      </c>
      <c r="I3476" t="s">
        <v>25759</v>
      </c>
      <c r="J3476" t="str">
        <f t="shared" si="272"/>
        <v>E:\PropInv\MF</v>
      </c>
      <c r="K3476" s="103" t="str">
        <f>HYPERLINK("E:\PropInv\MF\Dallas\Audelia_11620_Chesapeake_Dallas_13281","Audelia_11620_Chesapeake_Dallas_13281" )</f>
        <v>Audelia_11620_Chesapeake_Dallas_13281</v>
      </c>
      <c r="L3476" s="104" t="s">
        <v>22253</v>
      </c>
      <c r="M3476" s="103" t="str">
        <f t="shared" si="273"/>
        <v>http://oconnordata.com/mlink/modules/profile/index.cfm?action=profile&amp;prop_id=13281</v>
      </c>
      <c r="N3476" s="1">
        <f t="shared" si="274"/>
        <v>13281</v>
      </c>
    </row>
    <row r="3477" spans="1:14" x14ac:dyDescent="0.3">
      <c r="A3477" s="1">
        <v>13282</v>
      </c>
      <c r="B3477" s="7" t="s">
        <v>5301</v>
      </c>
      <c r="C3477" s="12">
        <v>11363</v>
      </c>
      <c r="D3477" s="7" t="s">
        <v>5302</v>
      </c>
      <c r="E3477" s="13" t="s">
        <v>4996</v>
      </c>
      <c r="F3477" t="str">
        <f t="shared" si="270"/>
        <v>Amanda</v>
      </c>
      <c r="G3477" t="str">
        <f t="shared" si="271"/>
        <v>Amanda11363Dallas</v>
      </c>
      <c r="H3477" t="s">
        <v>34335</v>
      </c>
      <c r="I3477" t="s">
        <v>25760</v>
      </c>
      <c r="J3477" t="str">
        <f t="shared" si="272"/>
        <v>E:\PropInv\MF</v>
      </c>
      <c r="K3477" s="103" t="str">
        <f>HYPERLINK("E:\PropInv\MF\Dallas\Amanda_11363_Villa Vista_Dallas_13282","Amanda_11363_Villa Vista_Dallas_13282" )</f>
        <v>Amanda_11363_Villa Vista_Dallas_13282</v>
      </c>
      <c r="L3477" s="104" t="s">
        <v>22253</v>
      </c>
      <c r="M3477" s="103" t="str">
        <f t="shared" si="273"/>
        <v>http://oconnordata.com/mlink/modules/profile/index.cfm?action=profile&amp;prop_id=13282</v>
      </c>
      <c r="N3477" s="1">
        <f t="shared" si="274"/>
        <v>13282</v>
      </c>
    </row>
    <row r="3478" spans="1:14" x14ac:dyDescent="0.3">
      <c r="A3478" s="1">
        <v>13283</v>
      </c>
      <c r="B3478" s="10" t="s">
        <v>5303</v>
      </c>
      <c r="C3478" s="9">
        <v>1001</v>
      </c>
      <c r="D3478" s="10" t="s">
        <v>5304</v>
      </c>
      <c r="E3478" s="11" t="s">
        <v>5009</v>
      </c>
      <c r="F3478" t="str">
        <f t="shared" si="270"/>
        <v>Park</v>
      </c>
      <c r="G3478" t="str">
        <f t="shared" si="271"/>
        <v>Park1001Plano</v>
      </c>
      <c r="H3478" t="s">
        <v>34336</v>
      </c>
      <c r="I3478" t="s">
        <v>25761</v>
      </c>
      <c r="J3478" t="str">
        <f t="shared" si="272"/>
        <v>E:\PropInv\MF</v>
      </c>
      <c r="K3478" s="103" t="str">
        <f>HYPERLINK("E:\PropInv\MF\Plano\Park Blvd_1001_Chisholm Place Condos_Plano_13283","Park Blvd_1001_Chisholm Place Condos_Plano_13283" )</f>
        <v>Park Blvd_1001_Chisholm Place Condos_Plano_13283</v>
      </c>
      <c r="L3478" s="104" t="s">
        <v>22253</v>
      </c>
      <c r="M3478" s="103" t="str">
        <f t="shared" si="273"/>
        <v>http://oconnordata.com/mlink/modules/profile/index.cfm?action=profile&amp;prop_id=13283</v>
      </c>
      <c r="N3478" s="1">
        <f t="shared" si="274"/>
        <v>13283</v>
      </c>
    </row>
    <row r="3479" spans="1:14" x14ac:dyDescent="0.3">
      <c r="A3479" s="1">
        <v>13284</v>
      </c>
      <c r="B3479" s="7" t="s">
        <v>5305</v>
      </c>
      <c r="C3479" s="12">
        <v>1900</v>
      </c>
      <c r="D3479" s="7" t="s">
        <v>5306</v>
      </c>
      <c r="E3479" s="13" t="s">
        <v>5046</v>
      </c>
      <c r="F3479" t="str">
        <f t="shared" si="270"/>
        <v>Carl</v>
      </c>
      <c r="G3479" t="str">
        <f t="shared" si="271"/>
        <v>Carl1900Irving</v>
      </c>
      <c r="H3479" t="s">
        <v>34337</v>
      </c>
      <c r="I3479" t="s">
        <v>25762</v>
      </c>
      <c r="J3479" t="str">
        <f t="shared" si="272"/>
        <v>E:\PropInv\MF</v>
      </c>
      <c r="K3479" s="103" t="str">
        <f>HYPERLINK("E:\PropInv\MF\Irving\Carl Rd_1900_Village at the Crossroads_Irving_13284","Carl Rd_1900_Village at the Crossroads_Irving_13284" )</f>
        <v>Carl Rd_1900_Village at the Crossroads_Irving_13284</v>
      </c>
      <c r="L3479" s="104" t="s">
        <v>22253</v>
      </c>
      <c r="M3479" s="103" t="str">
        <f t="shared" si="273"/>
        <v>http://oconnordata.com/mlink/modules/profile/index.cfm?action=profile&amp;prop_id=13284</v>
      </c>
      <c r="N3479" s="1">
        <f t="shared" si="274"/>
        <v>13284</v>
      </c>
    </row>
    <row r="3480" spans="1:14" x14ac:dyDescent="0.3">
      <c r="A3480" s="1">
        <v>13285</v>
      </c>
      <c r="B3480" s="7" t="s">
        <v>5307</v>
      </c>
      <c r="C3480" s="12">
        <v>1701</v>
      </c>
      <c r="D3480" s="7" t="s">
        <v>5308</v>
      </c>
      <c r="E3480" s="13" t="s">
        <v>5046</v>
      </c>
      <c r="F3480" t="str">
        <f t="shared" si="270"/>
        <v>Brittain</v>
      </c>
      <c r="G3480" t="str">
        <f t="shared" si="271"/>
        <v>Brittain1701Irving</v>
      </c>
      <c r="H3480" t="s">
        <v>34338</v>
      </c>
      <c r="I3480" t="s">
        <v>25763</v>
      </c>
      <c r="J3480" t="str">
        <f t="shared" si="272"/>
        <v>E:\PropInv\MF</v>
      </c>
      <c r="K3480" s="103" t="str">
        <f>HYPERLINK("E:\PropInv\MF\Irving\Brittain N_1701_Chivas West_Irving_13285","Brittain N_1701_Chivas West_Irving_13285" )</f>
        <v>Brittain N_1701_Chivas West_Irving_13285</v>
      </c>
      <c r="L3480" s="104" t="s">
        <v>22253</v>
      </c>
      <c r="M3480" s="103" t="str">
        <f t="shared" si="273"/>
        <v>http://oconnordata.com/mlink/modules/profile/index.cfm?action=profile&amp;prop_id=13285</v>
      </c>
      <c r="N3480" s="1">
        <f t="shared" si="274"/>
        <v>13285</v>
      </c>
    </row>
    <row r="3481" spans="1:14" x14ac:dyDescent="0.3">
      <c r="A3481" s="1">
        <v>13286</v>
      </c>
      <c r="B3481" s="7" t="s">
        <v>5309</v>
      </c>
      <c r="C3481" s="12">
        <v>7601</v>
      </c>
      <c r="D3481" s="7" t="s">
        <v>5310</v>
      </c>
      <c r="E3481" s="13" t="s">
        <v>4996</v>
      </c>
      <c r="F3481" t="str">
        <f t="shared" si="270"/>
        <v>Churchill</v>
      </c>
      <c r="G3481" t="str">
        <f t="shared" si="271"/>
        <v>Churchill7601Dallas</v>
      </c>
      <c r="H3481" t="s">
        <v>34339</v>
      </c>
      <c r="I3481" t="s">
        <v>25764</v>
      </c>
      <c r="J3481" t="str">
        <f t="shared" si="272"/>
        <v>E:\PropInv\MF</v>
      </c>
      <c r="K3481" s="103" t="str">
        <f>HYPERLINK("E:\PropInv\MF\Dallas\Churchill Way_7601_Churchill On The Park_Dallas_13286","Churchill Way_7601_Churchill On The Park_Dallas_13286" )</f>
        <v>Churchill Way_7601_Churchill On The Park_Dallas_13286</v>
      </c>
      <c r="L3481" s="104" t="s">
        <v>22253</v>
      </c>
      <c r="M3481" s="103" t="str">
        <f t="shared" si="273"/>
        <v>http://oconnordata.com/mlink/modules/profile/index.cfm?action=profile&amp;prop_id=13286</v>
      </c>
      <c r="N3481" s="1">
        <f t="shared" si="274"/>
        <v>13286</v>
      </c>
    </row>
    <row r="3482" spans="1:14" x14ac:dyDescent="0.3">
      <c r="A3482" s="1">
        <v>13287</v>
      </c>
      <c r="B3482" s="7" t="s">
        <v>5189</v>
      </c>
      <c r="C3482" s="12">
        <v>637</v>
      </c>
      <c r="D3482" s="7" t="s">
        <v>5311</v>
      </c>
      <c r="E3482" s="13" t="s">
        <v>5019</v>
      </c>
      <c r="F3482" t="str">
        <f t="shared" si="270"/>
        <v>Broadway</v>
      </c>
      <c r="G3482" t="str">
        <f t="shared" si="271"/>
        <v>Broadway637Garland</v>
      </c>
      <c r="H3482" t="s">
        <v>34340</v>
      </c>
      <c r="I3482" t="s">
        <v>25765</v>
      </c>
      <c r="J3482" t="str">
        <f t="shared" si="272"/>
        <v>E:\PropInv\MF</v>
      </c>
      <c r="K3482" s="103" t="str">
        <f>HYPERLINK("E:\PropInv\MF\Garland\Broadway Commons_637_The Arts Apts at Broadway Commons I_Garland_13287","Broadway Commons_637_The Arts Apts at Broadway Commons I_Garland_13287" )</f>
        <v>Broadway Commons_637_The Arts Apts at Broadway Commons I_Garland_13287</v>
      </c>
      <c r="L3482" s="104" t="s">
        <v>22253</v>
      </c>
      <c r="M3482" s="103" t="str">
        <f t="shared" si="273"/>
        <v>http://oconnordata.com/mlink/modules/profile/index.cfm?action=profile&amp;prop_id=13287</v>
      </c>
      <c r="N3482" s="1">
        <f t="shared" si="274"/>
        <v>13287</v>
      </c>
    </row>
    <row r="3483" spans="1:14" x14ac:dyDescent="0.3">
      <c r="A3483" s="1">
        <v>13289</v>
      </c>
      <c r="B3483" s="7" t="s">
        <v>5312</v>
      </c>
      <c r="C3483" s="12">
        <v>5800</v>
      </c>
      <c r="D3483" s="7" t="s">
        <v>5313</v>
      </c>
      <c r="E3483" s="13" t="s">
        <v>4996</v>
      </c>
      <c r="F3483" t="str">
        <f t="shared" si="270"/>
        <v>Prestonview</v>
      </c>
      <c r="G3483" t="str">
        <f t="shared" si="271"/>
        <v>Prestonview5800Dallas</v>
      </c>
      <c r="H3483" t="s">
        <v>34341</v>
      </c>
      <c r="I3483" t="s">
        <v>25766</v>
      </c>
      <c r="J3483" t="str">
        <f t="shared" si="272"/>
        <v>E:\PropInv\MF</v>
      </c>
      <c r="K3483" s="103" t="str">
        <f>HYPERLINK("E:\PropInv\MF\Dallas\Prestonview Blvd_5800_Regal Court_Dallas_13289","Prestonview Blvd_5800_Regal Court_Dallas_13289" )</f>
        <v>Prestonview Blvd_5800_Regal Court_Dallas_13289</v>
      </c>
      <c r="L3483" s="104" t="s">
        <v>22253</v>
      </c>
      <c r="M3483" s="103" t="str">
        <f t="shared" si="273"/>
        <v>http://oconnordata.com/mlink/modules/profile/index.cfm?action=profile&amp;prop_id=13289</v>
      </c>
      <c r="N3483" s="1">
        <f t="shared" si="274"/>
        <v>13289</v>
      </c>
    </row>
    <row r="3484" spans="1:14" x14ac:dyDescent="0.3">
      <c r="A3484" s="1">
        <v>13291</v>
      </c>
      <c r="B3484" s="7" t="s">
        <v>5314</v>
      </c>
      <c r="C3484" s="12">
        <v>18809</v>
      </c>
      <c r="D3484" s="7" t="s">
        <v>5315</v>
      </c>
      <c r="E3484" s="13" t="s">
        <v>4996</v>
      </c>
      <c r="F3484" t="str">
        <f t="shared" si="270"/>
        <v>Lina</v>
      </c>
      <c r="G3484" t="str">
        <f t="shared" si="271"/>
        <v>Lina18809Dallas</v>
      </c>
      <c r="H3484" t="s">
        <v>34342</v>
      </c>
      <c r="I3484" t="s">
        <v>25767</v>
      </c>
      <c r="J3484" t="str">
        <f t="shared" si="272"/>
        <v>E:\PropInv\MF</v>
      </c>
      <c r="K3484" s="103" t="str">
        <f>HYPERLINK("E:\PropInv\MF\Dallas\Lina St_18809_City Limits_Dallas_13291","Lina St_18809_City Limits_Dallas_13291" )</f>
        <v>Lina St_18809_City Limits_Dallas_13291</v>
      </c>
      <c r="L3484" s="104" t="s">
        <v>22253</v>
      </c>
      <c r="M3484" s="103" t="str">
        <f t="shared" si="273"/>
        <v>http://oconnordata.com/mlink/modules/profile/index.cfm?action=profile&amp;prop_id=13291</v>
      </c>
      <c r="N3484" s="1">
        <f t="shared" si="274"/>
        <v>13291</v>
      </c>
    </row>
    <row r="3485" spans="1:14" x14ac:dyDescent="0.3">
      <c r="A3485" s="1">
        <v>13292</v>
      </c>
      <c r="B3485" s="7" t="s">
        <v>5316</v>
      </c>
      <c r="C3485" s="12">
        <v>2355</v>
      </c>
      <c r="D3485" s="7" t="s">
        <v>5317</v>
      </c>
      <c r="E3485" s="13" t="s">
        <v>5076</v>
      </c>
      <c r="F3485" t="str">
        <f t="shared" si="270"/>
        <v>360</v>
      </c>
      <c r="G3485" t="str">
        <f t="shared" si="271"/>
        <v>3602355Grand Prairie</v>
      </c>
      <c r="H3485" t="s">
        <v>34343</v>
      </c>
      <c r="I3485" t="s">
        <v>25768</v>
      </c>
      <c r="J3485" t="str">
        <f t="shared" si="272"/>
        <v>E:\PropInv\MF</v>
      </c>
      <c r="K3485" s="103" t="str">
        <f>HYPERLINK("E:\PropInv\MF\Grand Prairie\360 Hwy N_2355_The Clairborne_Grand Prairie_13292","360 Hwy N_2355_The Clairborne_Grand Prairie_13292" )</f>
        <v>360 Hwy N_2355_The Clairborne_Grand Prairie_13292</v>
      </c>
      <c r="L3485" s="104" t="s">
        <v>22253</v>
      </c>
      <c r="M3485" s="103" t="str">
        <f t="shared" si="273"/>
        <v>http://oconnordata.com/mlink/modules/profile/index.cfm?action=profile&amp;prop_id=13292</v>
      </c>
      <c r="N3485" s="1">
        <f t="shared" si="274"/>
        <v>13292</v>
      </c>
    </row>
    <row r="3486" spans="1:14" x14ac:dyDescent="0.3">
      <c r="A3486" s="1">
        <v>13293</v>
      </c>
      <c r="B3486" s="7" t="s">
        <v>5318</v>
      </c>
      <c r="C3486" s="12">
        <v>2472</v>
      </c>
      <c r="D3486" s="7" t="s">
        <v>5319</v>
      </c>
      <c r="E3486" s="13" t="s">
        <v>4996</v>
      </c>
      <c r="F3486" t="str">
        <f t="shared" si="270"/>
        <v>Highland</v>
      </c>
      <c r="G3486" t="str">
        <f t="shared" si="271"/>
        <v>Highland2472Dallas</v>
      </c>
      <c r="H3486" t="s">
        <v>34344</v>
      </c>
      <c r="I3486" t="s">
        <v>25769</v>
      </c>
      <c r="J3486" t="str">
        <f t="shared" si="272"/>
        <v>E:\PropInv\MF</v>
      </c>
      <c r="K3486" s="103" t="str">
        <f>HYPERLINK("E:\PropInv\MF\Dallas\Highland Rd_2472_Claremont_Dallas_13293","Highland Rd_2472_Claremont_Dallas_13293" )</f>
        <v>Highland Rd_2472_Claremont_Dallas_13293</v>
      </c>
      <c r="L3486" s="104" t="s">
        <v>22253</v>
      </c>
      <c r="M3486" s="103" t="str">
        <f t="shared" si="273"/>
        <v>http://oconnordata.com/mlink/modules/profile/index.cfm?action=profile&amp;prop_id=13293</v>
      </c>
      <c r="N3486" s="1">
        <f t="shared" si="274"/>
        <v>13293</v>
      </c>
    </row>
    <row r="3487" spans="1:14" x14ac:dyDescent="0.3">
      <c r="A3487" s="1">
        <v>13294</v>
      </c>
      <c r="B3487" s="7" t="s">
        <v>5320</v>
      </c>
      <c r="C3487" s="12">
        <v>3800</v>
      </c>
      <c r="D3487" s="7" t="s">
        <v>5321</v>
      </c>
      <c r="E3487" s="13" t="s">
        <v>5046</v>
      </c>
      <c r="F3487" t="str">
        <f t="shared" si="270"/>
        <v>Beltline</v>
      </c>
      <c r="G3487" t="str">
        <f t="shared" si="271"/>
        <v>Beltline3800Irving</v>
      </c>
      <c r="H3487" t="s">
        <v>34345</v>
      </c>
      <c r="I3487" t="s">
        <v>25770</v>
      </c>
      <c r="J3487" t="str">
        <f t="shared" si="272"/>
        <v>E:\PropInv\MF</v>
      </c>
      <c r="K3487" s="103" t="str">
        <f>HYPERLINK("E:\PropInv\MF\Irving\Beltline Rd N_3800_Clarendon_Irving_13294","Beltline Rd N_3800_Clarendon_Irving_13294" )</f>
        <v>Beltline Rd N_3800_Clarendon_Irving_13294</v>
      </c>
      <c r="L3487" s="104" t="s">
        <v>22253</v>
      </c>
      <c r="M3487" s="103" t="str">
        <f t="shared" si="273"/>
        <v>http://oconnordata.com/mlink/modules/profile/index.cfm?action=profile&amp;prop_id=13294</v>
      </c>
      <c r="N3487" s="1">
        <f t="shared" si="274"/>
        <v>13294</v>
      </c>
    </row>
    <row r="3488" spans="1:14" x14ac:dyDescent="0.3">
      <c r="A3488" s="1">
        <v>13295</v>
      </c>
      <c r="B3488" s="7" t="s">
        <v>5322</v>
      </c>
      <c r="C3488" s="12">
        <v>8350</v>
      </c>
      <c r="D3488" s="7" t="s">
        <v>5323</v>
      </c>
      <c r="E3488" s="13" t="s">
        <v>4996</v>
      </c>
      <c r="F3488" t="str">
        <f t="shared" si="270"/>
        <v>Park</v>
      </c>
      <c r="G3488" t="str">
        <f t="shared" si="271"/>
        <v>Park8350Dallas</v>
      </c>
      <c r="H3488" t="s">
        <v>34346</v>
      </c>
      <c r="I3488" t="s">
        <v>25771</v>
      </c>
      <c r="J3488" t="str">
        <f t="shared" si="272"/>
        <v>E:\PropInv\MF</v>
      </c>
      <c r="K3488" s="103" t="str">
        <f>HYPERLINK("E:\PropInv\MF\Dallas\Park Ln_8350_Claridge Pointe_Dallas_13295","Park Ln_8350_Claridge Pointe_Dallas_13295" )</f>
        <v>Park Ln_8350_Claridge Pointe_Dallas_13295</v>
      </c>
      <c r="L3488" s="104" t="s">
        <v>22253</v>
      </c>
      <c r="M3488" s="103" t="str">
        <f t="shared" si="273"/>
        <v>http://oconnordata.com/mlink/modules/profile/index.cfm?action=profile&amp;prop_id=13295</v>
      </c>
      <c r="N3488" s="1">
        <f t="shared" si="274"/>
        <v>13295</v>
      </c>
    </row>
    <row r="3489" spans="1:14" x14ac:dyDescent="0.3">
      <c r="A3489" s="1">
        <v>13296</v>
      </c>
      <c r="B3489" s="10" t="s">
        <v>5324</v>
      </c>
      <c r="C3489" s="9">
        <v>2955</v>
      </c>
      <c r="D3489" s="10" t="s">
        <v>5325</v>
      </c>
      <c r="E3489" s="11" t="s">
        <v>5076</v>
      </c>
      <c r="F3489" t="str">
        <f t="shared" si="270"/>
        <v>Alouette</v>
      </c>
      <c r="G3489" t="str">
        <f t="shared" si="271"/>
        <v>Alouette2955Grand Prairie</v>
      </c>
      <c r="H3489" t="s">
        <v>34347</v>
      </c>
      <c r="I3489" t="s">
        <v>25772</v>
      </c>
      <c r="J3489" t="str">
        <f t="shared" si="272"/>
        <v>E:\PropInv\MF</v>
      </c>
      <c r="K3489" s="103" t="str">
        <f>HYPERLINK("E:\PropInv\MF\Grand Prairie\Alouette Dr_2955_Clayton Pointe_Grand Prairie_13296","Alouette Dr_2955_Clayton Pointe_Grand Prairie_13296" )</f>
        <v>Alouette Dr_2955_Clayton Pointe_Grand Prairie_13296</v>
      </c>
      <c r="L3489" s="104" t="s">
        <v>22253</v>
      </c>
      <c r="M3489" s="103" t="str">
        <f t="shared" si="273"/>
        <v>http://oconnordata.com/mlink/modules/profile/index.cfm?action=profile&amp;prop_id=13296</v>
      </c>
      <c r="N3489" s="1">
        <f t="shared" si="274"/>
        <v>13296</v>
      </c>
    </row>
    <row r="3490" spans="1:14" x14ac:dyDescent="0.3">
      <c r="A3490" s="1">
        <v>13297</v>
      </c>
      <c r="B3490" s="10" t="s">
        <v>5326</v>
      </c>
      <c r="C3490" s="9">
        <v>4000</v>
      </c>
      <c r="D3490" s="10" t="s">
        <v>5327</v>
      </c>
      <c r="E3490" s="11" t="s">
        <v>3328</v>
      </c>
      <c r="F3490" t="str">
        <f t="shared" si="270"/>
        <v>Renner</v>
      </c>
      <c r="G3490" t="str">
        <f t="shared" si="271"/>
        <v>Renner4000Richardson</v>
      </c>
      <c r="H3490" t="s">
        <v>34348</v>
      </c>
      <c r="I3490" t="s">
        <v>25773</v>
      </c>
      <c r="J3490" t="str">
        <f t="shared" si="272"/>
        <v>E:\PropInv\MF</v>
      </c>
      <c r="K3490" s="103" t="str">
        <f>HYPERLINK("E:\PropInv\MF\Richardson\Renner Rd_4000_Clearwater Creek_Richardson_13297","Renner Rd_4000_Clearwater Creek_Richardson_13297" )</f>
        <v>Renner Rd_4000_Clearwater Creek_Richardson_13297</v>
      </c>
      <c r="L3490" s="104" t="s">
        <v>22253</v>
      </c>
      <c r="M3490" s="103" t="str">
        <f t="shared" si="273"/>
        <v>http://oconnordata.com/mlink/modules/profile/index.cfm?action=profile&amp;prop_id=13297</v>
      </c>
      <c r="N3490" s="1">
        <f t="shared" si="274"/>
        <v>13297</v>
      </c>
    </row>
    <row r="3491" spans="1:14" x14ac:dyDescent="0.3">
      <c r="A3491" s="1">
        <v>13298</v>
      </c>
      <c r="B3491" s="7" t="s">
        <v>5328</v>
      </c>
      <c r="C3491" s="12">
        <v>220</v>
      </c>
      <c r="D3491" s="7" t="s">
        <v>5329</v>
      </c>
      <c r="E3491" s="13" t="s">
        <v>4996</v>
      </c>
      <c r="F3491" t="str">
        <f t="shared" si="270"/>
        <v>Overton</v>
      </c>
      <c r="G3491" t="str">
        <f t="shared" si="271"/>
        <v>Overton220Dallas</v>
      </c>
      <c r="H3491" t="s">
        <v>34349</v>
      </c>
      <c r="I3491" t="s">
        <v>25774</v>
      </c>
      <c r="J3491" t="str">
        <f t="shared" si="272"/>
        <v>E:\PropInv\MF</v>
      </c>
      <c r="K3491" s="103" t="str">
        <f>HYPERLINK("E:\PropInv\MF\Dallas\Overton E_220_Cliff Park Village_Dallas_13298","Overton E_220_Cliff Park Village_Dallas_13298" )</f>
        <v>Overton E_220_Cliff Park Village_Dallas_13298</v>
      </c>
      <c r="L3491" s="104" t="s">
        <v>22253</v>
      </c>
      <c r="M3491" s="103" t="str">
        <f t="shared" si="273"/>
        <v>http://oconnordata.com/mlink/modules/profile/index.cfm?action=profile&amp;prop_id=13298</v>
      </c>
      <c r="N3491" s="1">
        <f t="shared" si="274"/>
        <v>13298</v>
      </c>
    </row>
    <row r="3492" spans="1:14" x14ac:dyDescent="0.3">
      <c r="A3492" s="1">
        <v>13299</v>
      </c>
      <c r="B3492" s="7" t="s">
        <v>5330</v>
      </c>
      <c r="C3492" s="12">
        <v>7965</v>
      </c>
      <c r="D3492" s="7" t="s">
        <v>5331</v>
      </c>
      <c r="E3492" s="13" t="s">
        <v>4996</v>
      </c>
      <c r="F3492" t="str">
        <f t="shared" si="270"/>
        <v>Cliffbrook</v>
      </c>
      <c r="G3492" t="str">
        <f t="shared" si="271"/>
        <v>Cliffbrook7965Dallas</v>
      </c>
      <c r="H3492" t="s">
        <v>34350</v>
      </c>
      <c r="I3492" t="s">
        <v>25775</v>
      </c>
      <c r="J3492" t="str">
        <f t="shared" si="272"/>
        <v>E:\PropInv\MF</v>
      </c>
      <c r="K3492" s="103" t="str">
        <f>HYPERLINK("E:\PropInv\MF\Dallas\Cliffbrook Dr #108_7965_Cliffbrook Condos_Dallas_13299","Cliffbrook Dr #108_7965_Cliffbrook Condos_Dallas_13299" )</f>
        <v>Cliffbrook Dr #108_7965_Cliffbrook Condos_Dallas_13299</v>
      </c>
      <c r="L3492" s="104" t="s">
        <v>22253</v>
      </c>
      <c r="M3492" s="103" t="str">
        <f t="shared" si="273"/>
        <v>http://oconnordata.com/mlink/modules/profile/index.cfm?action=profile&amp;prop_id=13299</v>
      </c>
      <c r="N3492" s="1">
        <f t="shared" si="274"/>
        <v>13299</v>
      </c>
    </row>
    <row r="3493" spans="1:14" x14ac:dyDescent="0.3">
      <c r="A3493" s="1">
        <v>13300</v>
      </c>
      <c r="B3493" s="7" t="s">
        <v>5332</v>
      </c>
      <c r="C3493" s="12">
        <v>8820</v>
      </c>
      <c r="D3493" s="7" t="s">
        <v>5333</v>
      </c>
      <c r="E3493" s="13" t="s">
        <v>4996</v>
      </c>
      <c r="F3493" t="str">
        <f t="shared" si="270"/>
        <v>Southwestern</v>
      </c>
      <c r="G3493" t="str">
        <f t="shared" si="271"/>
        <v>Southwestern8820Dallas</v>
      </c>
      <c r="H3493" t="s">
        <v>34351</v>
      </c>
      <c r="I3493" t="s">
        <v>25776</v>
      </c>
      <c r="J3493" t="str">
        <f t="shared" si="272"/>
        <v>E:\PropInv\MF</v>
      </c>
      <c r="K3493" s="103" t="str">
        <f>HYPERLINK("E:\PropInv\MF\Dallas\Southwestern_8820_The Cliffs_Dallas_13300","Southwestern_8820_The Cliffs_Dallas_13300" )</f>
        <v>Southwestern_8820_The Cliffs_Dallas_13300</v>
      </c>
      <c r="L3493" s="104" t="s">
        <v>22253</v>
      </c>
      <c r="M3493" s="103" t="str">
        <f t="shared" si="273"/>
        <v>http://oconnordata.com/mlink/modules/profile/index.cfm?action=profile&amp;prop_id=13300</v>
      </c>
      <c r="N3493" s="1">
        <f t="shared" si="274"/>
        <v>13300</v>
      </c>
    </row>
    <row r="3494" spans="1:14" x14ac:dyDescent="0.3">
      <c r="A3494" s="1">
        <v>13301</v>
      </c>
      <c r="B3494" s="7" t="s">
        <v>5334</v>
      </c>
      <c r="C3494" s="12">
        <v>1300</v>
      </c>
      <c r="D3494" s="7" t="s">
        <v>5335</v>
      </c>
      <c r="E3494" s="13" t="s">
        <v>5043</v>
      </c>
      <c r="F3494" t="str">
        <f t="shared" si="270"/>
        <v>Eldorado</v>
      </c>
      <c r="G3494" t="str">
        <f t="shared" si="271"/>
        <v>Eldorado1300McKinney</v>
      </c>
      <c r="H3494" t="s">
        <v>34352</v>
      </c>
      <c r="I3494" t="s">
        <v>25777</v>
      </c>
      <c r="J3494" t="str">
        <f t="shared" si="272"/>
        <v>E:\PropInv\MF</v>
      </c>
      <c r="K3494" s="103" t="str">
        <f>HYPERLINK("E:\PropInv\MF\McKinney\Eldorado Pkwy_1300_Cliffs of Eldorado_McKinney_13301","Eldorado Pkwy_1300_Cliffs of Eldorado_McKinney_13301" )</f>
        <v>Eldorado Pkwy_1300_Cliffs of Eldorado_McKinney_13301</v>
      </c>
      <c r="L3494" s="104" t="s">
        <v>22253</v>
      </c>
      <c r="M3494" s="103" t="str">
        <f t="shared" si="273"/>
        <v>http://oconnordata.com/mlink/modules/profile/index.cfm?action=profile&amp;prop_id=13301</v>
      </c>
      <c r="N3494" s="1">
        <f t="shared" si="274"/>
        <v>13301</v>
      </c>
    </row>
    <row r="3495" spans="1:14" x14ac:dyDescent="0.3">
      <c r="A3495" s="1">
        <v>13302</v>
      </c>
      <c r="B3495" s="7" t="s">
        <v>5006</v>
      </c>
      <c r="C3495" s="12">
        <v>4015</v>
      </c>
      <c r="D3495" s="7" t="s">
        <v>5336</v>
      </c>
      <c r="E3495" s="13" t="s">
        <v>5005</v>
      </c>
      <c r="F3495" t="str">
        <f t="shared" si="270"/>
        <v>Brookhaven</v>
      </c>
      <c r="G3495" t="str">
        <f t="shared" si="271"/>
        <v>Brookhaven4015Addison</v>
      </c>
      <c r="H3495" t="s">
        <v>34353</v>
      </c>
      <c r="I3495" t="s">
        <v>25778</v>
      </c>
      <c r="J3495" t="str">
        <f t="shared" si="272"/>
        <v>E:\PropInv\MF</v>
      </c>
      <c r="K3495" s="103" t="str">
        <f>HYPERLINK("E:\PropInv\MF\Addison\Brookhaven Club Dr_4015_Brookhaven Village South-Clipper Pointe_Addison_13302","Brookhaven Club Dr_4015_Brookhaven Village South-Clipper Pointe_Addison_13302" )</f>
        <v>Brookhaven Club Dr_4015_Brookhaven Village South-Clipper Pointe_Addison_13302</v>
      </c>
      <c r="L3495" s="104" t="s">
        <v>22253</v>
      </c>
      <c r="M3495" s="103" t="str">
        <f t="shared" si="273"/>
        <v>http://oconnordata.com/mlink/modules/profile/index.cfm?action=profile&amp;prop_id=13302</v>
      </c>
      <c r="N3495" s="1">
        <f t="shared" si="274"/>
        <v>13302</v>
      </c>
    </row>
    <row r="3496" spans="1:14" x14ac:dyDescent="0.3">
      <c r="A3496" s="1">
        <v>13303</v>
      </c>
      <c r="B3496" s="7" t="s">
        <v>5101</v>
      </c>
      <c r="C3496" s="12">
        <v>3333</v>
      </c>
      <c r="D3496" s="7" t="s">
        <v>5337</v>
      </c>
      <c r="E3496" s="13" t="s">
        <v>4996</v>
      </c>
      <c r="F3496" t="str">
        <f t="shared" si="270"/>
        <v>Webb</v>
      </c>
      <c r="G3496" t="str">
        <f t="shared" si="271"/>
        <v>Webb3333Dallas</v>
      </c>
      <c r="H3496" t="s">
        <v>34354</v>
      </c>
      <c r="I3496" t="s">
        <v>14800</v>
      </c>
      <c r="J3496" t="str">
        <f t="shared" si="272"/>
        <v>E:\PropInv\MF</v>
      </c>
      <c r="K3496" s="103" t="str">
        <f>HYPERLINK("E:\PropInv\MF\Dallas\Webb Chapel Extension_3333_Clubview Gardens_Dallas_13303","Webb Chapel Extension_3333_Clubview Gardens_Dallas_13303" )</f>
        <v>Webb Chapel Extension_3333_Clubview Gardens_Dallas_13303</v>
      </c>
      <c r="L3496" s="104" t="s">
        <v>22253</v>
      </c>
      <c r="M3496" s="103" t="str">
        <f t="shared" si="273"/>
        <v>http://oconnordata.com/mlink/modules/profile/index.cfm?action=profile&amp;prop_id=13303</v>
      </c>
      <c r="N3496" s="1">
        <f t="shared" si="274"/>
        <v>13303</v>
      </c>
    </row>
    <row r="3497" spans="1:14" x14ac:dyDescent="0.3">
      <c r="A3497" s="1">
        <v>13304</v>
      </c>
      <c r="B3497" s="7" t="s">
        <v>5338</v>
      </c>
      <c r="C3497" s="12">
        <v>10830</v>
      </c>
      <c r="D3497" s="7" t="s">
        <v>5339</v>
      </c>
      <c r="E3497" s="13" t="s">
        <v>4996</v>
      </c>
      <c r="F3497" t="str">
        <f t="shared" si="270"/>
        <v>Stone</v>
      </c>
      <c r="G3497" t="str">
        <f t="shared" si="271"/>
        <v>Stone10830Dallas</v>
      </c>
      <c r="H3497" t="s">
        <v>34355</v>
      </c>
      <c r="I3497" t="s">
        <v>25779</v>
      </c>
      <c r="J3497" t="str">
        <f t="shared" si="272"/>
        <v>E:\PropInv\MF</v>
      </c>
      <c r="K3497" s="103" t="str">
        <f>HYPERLINK("E:\PropInv\MF\Dallas\Stone Canyon Rd_10830_Avondale Parc_Dallas_13304","Stone Canyon Rd_10830_Avondale Parc_Dallas_13304" )</f>
        <v>Stone Canyon Rd_10830_Avondale Parc_Dallas_13304</v>
      </c>
      <c r="L3497" s="104" t="s">
        <v>22253</v>
      </c>
      <c r="M3497" s="103" t="str">
        <f t="shared" si="273"/>
        <v>http://oconnordata.com/mlink/modules/profile/index.cfm?action=profile&amp;prop_id=13304</v>
      </c>
      <c r="N3497" s="1">
        <f t="shared" si="274"/>
        <v>13304</v>
      </c>
    </row>
    <row r="3498" spans="1:14" x14ac:dyDescent="0.3">
      <c r="A3498" s="1">
        <v>13305</v>
      </c>
      <c r="B3498" s="7" t="s">
        <v>5340</v>
      </c>
      <c r="C3498" s="12">
        <v>3130</v>
      </c>
      <c r="D3498" s="7" t="s">
        <v>5341</v>
      </c>
      <c r="E3498" s="13" t="s">
        <v>5009</v>
      </c>
      <c r="F3498" t="str">
        <f t="shared" si="270"/>
        <v>Devonshire</v>
      </c>
      <c r="G3498" t="str">
        <f t="shared" si="271"/>
        <v>Devonshire3130Plano</v>
      </c>
      <c r="H3498" t="s">
        <v>34356</v>
      </c>
      <c r="I3498" t="s">
        <v>25780</v>
      </c>
      <c r="J3498" t="str">
        <f t="shared" si="272"/>
        <v>E:\PropInv\MF</v>
      </c>
      <c r="K3498" s="103" t="str">
        <f>HYPERLINK("E:\PropInv\MF\Plano\Devonshire_3130_Cobblestone Condo Apts_Plano_13305","Devonshire_3130_Cobblestone Condo Apts_Plano_13305" )</f>
        <v>Devonshire_3130_Cobblestone Condo Apts_Plano_13305</v>
      </c>
      <c r="L3498" s="104" t="s">
        <v>22253</v>
      </c>
      <c r="M3498" s="103" t="str">
        <f t="shared" si="273"/>
        <v>http://oconnordata.com/mlink/modules/profile/index.cfm?action=profile&amp;prop_id=13305</v>
      </c>
      <c r="N3498" s="1">
        <f t="shared" si="274"/>
        <v>13305</v>
      </c>
    </row>
    <row r="3499" spans="1:14" x14ac:dyDescent="0.3">
      <c r="A3499" s="1">
        <v>13306</v>
      </c>
      <c r="B3499" s="7" t="s">
        <v>4889</v>
      </c>
      <c r="C3499" s="12">
        <v>3304</v>
      </c>
      <c r="D3499" s="7" t="s">
        <v>5342</v>
      </c>
      <c r="E3499" s="13" t="s">
        <v>4996</v>
      </c>
      <c r="F3499" t="str">
        <f t="shared" si="270"/>
        <v>Cole</v>
      </c>
      <c r="G3499" t="str">
        <f t="shared" si="271"/>
        <v>Cole3304Dallas</v>
      </c>
      <c r="H3499" t="s">
        <v>34357</v>
      </c>
      <c r="I3499" t="s">
        <v>25781</v>
      </c>
      <c r="J3499" t="str">
        <f t="shared" si="272"/>
        <v>E:\PropInv\MF</v>
      </c>
      <c r="K3499" s="103" t="str">
        <f>HYPERLINK("E:\PropInv\MF\Dallas\Cole Ave_3304_Post Cole's Corner_Dallas_13306","Cole Ave_3304_Post Cole's Corner_Dallas_13306" )</f>
        <v>Cole Ave_3304_Post Cole's Corner_Dallas_13306</v>
      </c>
      <c r="L3499" s="104" t="s">
        <v>22253</v>
      </c>
      <c r="M3499" s="103" t="str">
        <f t="shared" si="273"/>
        <v>http://oconnordata.com/mlink/modules/profile/index.cfm?action=profile&amp;prop_id=13306</v>
      </c>
      <c r="N3499" s="1">
        <f t="shared" si="274"/>
        <v>13306</v>
      </c>
    </row>
    <row r="3500" spans="1:14" x14ac:dyDescent="0.3">
      <c r="A3500" s="1">
        <v>13307</v>
      </c>
      <c r="B3500" s="7" t="s">
        <v>5343</v>
      </c>
      <c r="C3500" s="12">
        <v>4300</v>
      </c>
      <c r="D3500" s="7" t="s">
        <v>5344</v>
      </c>
      <c r="E3500" s="13" t="s">
        <v>5046</v>
      </c>
      <c r="F3500" t="str">
        <f t="shared" si="270"/>
        <v>Rainier</v>
      </c>
      <c r="G3500" t="str">
        <f t="shared" si="271"/>
        <v>Rainier4300Irving</v>
      </c>
      <c r="H3500" t="s">
        <v>34358</v>
      </c>
      <c r="I3500" t="s">
        <v>25782</v>
      </c>
      <c r="J3500" t="str">
        <f t="shared" si="272"/>
        <v>E:\PropInv\MF</v>
      </c>
      <c r="K3500" s="103" t="str">
        <f>HYPERLINK("E:\PropInv\MF\Irving\Rainier_4300_Colinas Pointe_Irving_13307","Rainier_4300_Colinas Pointe_Irving_13307" )</f>
        <v>Rainier_4300_Colinas Pointe_Irving_13307</v>
      </c>
      <c r="L3500" s="104" t="s">
        <v>22253</v>
      </c>
      <c r="M3500" s="103" t="str">
        <f t="shared" si="273"/>
        <v>http://oconnordata.com/mlink/modules/profile/index.cfm?action=profile&amp;prop_id=13307</v>
      </c>
      <c r="N3500" s="1">
        <f t="shared" si="274"/>
        <v>13307</v>
      </c>
    </row>
    <row r="3501" spans="1:14" x14ac:dyDescent="0.3">
      <c r="A3501" s="1">
        <v>13308</v>
      </c>
      <c r="B3501" s="7" t="s">
        <v>5345</v>
      </c>
      <c r="C3501" s="12">
        <v>1809</v>
      </c>
      <c r="D3501" s="7" t="s">
        <v>5346</v>
      </c>
      <c r="E3501" s="13" t="s">
        <v>5009</v>
      </c>
      <c r="F3501" t="str">
        <f t="shared" si="270"/>
        <v>G</v>
      </c>
      <c r="G3501" t="str">
        <f t="shared" si="271"/>
        <v>G1809Plano</v>
      </c>
      <c r="H3501" t="s">
        <v>34359</v>
      </c>
      <c r="I3501" t="s">
        <v>25783</v>
      </c>
      <c r="J3501" t="str">
        <f t="shared" si="272"/>
        <v>E:\PropInv\MF</v>
      </c>
      <c r="K3501" s="103" t="str">
        <f>HYPERLINK("E:\PropInv\MF\Plano\G Ave_1809_Collin Park_Plano_13308","G Ave_1809_Collin Park_Plano_13308" )</f>
        <v>G Ave_1809_Collin Park_Plano_13308</v>
      </c>
      <c r="L3501" s="104" t="s">
        <v>22253</v>
      </c>
      <c r="M3501" s="103" t="str">
        <f t="shared" si="273"/>
        <v>http://oconnordata.com/mlink/modules/profile/index.cfm?action=profile&amp;prop_id=13308</v>
      </c>
      <c r="N3501" s="1">
        <f t="shared" si="274"/>
        <v>13308</v>
      </c>
    </row>
    <row r="3502" spans="1:14" x14ac:dyDescent="0.3">
      <c r="A3502" s="1">
        <v>13311</v>
      </c>
      <c r="B3502" s="7" t="s">
        <v>5347</v>
      </c>
      <c r="C3502" s="12">
        <v>2525</v>
      </c>
      <c r="D3502" s="7" t="s">
        <v>5348</v>
      </c>
      <c r="E3502" s="13" t="s">
        <v>5195</v>
      </c>
      <c r="F3502" t="str">
        <f t="shared" si="270"/>
        <v>Bolton</v>
      </c>
      <c r="G3502" t="str">
        <f t="shared" si="271"/>
        <v>Bolton2525Desoto</v>
      </c>
      <c r="H3502" t="s">
        <v>34360</v>
      </c>
      <c r="I3502" t="s">
        <v>25784</v>
      </c>
      <c r="J3502" t="str">
        <f t="shared" si="272"/>
        <v>E:\PropInv\MF</v>
      </c>
      <c r="K3502" s="103" t="str">
        <f>HYPERLINK("E:\PropInv\MF\Desoto\Bolton Boone Dr_2525_Colonies_Desoto_13311","Bolton Boone Dr_2525_Colonies_Desoto_13311" )</f>
        <v>Bolton Boone Dr_2525_Colonies_Desoto_13311</v>
      </c>
      <c r="L3502" s="104" t="s">
        <v>22253</v>
      </c>
      <c r="M3502" s="103" t="str">
        <f t="shared" si="273"/>
        <v>http://oconnordata.com/mlink/modules/profile/index.cfm?action=profile&amp;prop_id=13311</v>
      </c>
      <c r="N3502" s="1">
        <f t="shared" si="274"/>
        <v>13311</v>
      </c>
    </row>
    <row r="3503" spans="1:14" x14ac:dyDescent="0.3">
      <c r="A3503" s="1">
        <v>13312</v>
      </c>
      <c r="B3503" s="7" t="s">
        <v>5349</v>
      </c>
      <c r="C3503" s="12">
        <v>2815</v>
      </c>
      <c r="D3503" s="7" t="s">
        <v>1067</v>
      </c>
      <c r="E3503" s="13" t="s">
        <v>5076</v>
      </c>
      <c r="F3503" t="str">
        <f t="shared" si="270"/>
        <v>Osler</v>
      </c>
      <c r="G3503" t="str">
        <f t="shared" si="271"/>
        <v>Osler2815Grand Prairie</v>
      </c>
      <c r="H3503" t="s">
        <v>34361</v>
      </c>
      <c r="I3503" t="s">
        <v>25785</v>
      </c>
      <c r="J3503" t="str">
        <f t="shared" si="272"/>
        <v>E:\PropInv\MF</v>
      </c>
      <c r="K3503" s="103" t="str">
        <f>HYPERLINK("E:\PropInv\MF\Grand Prairie\Osler Dr_2815_Colonnade_Grand Prairie_13312","Osler Dr_2815_Colonnade_Grand Prairie_13312" )</f>
        <v>Osler Dr_2815_Colonnade_Grand Prairie_13312</v>
      </c>
      <c r="L3503" s="104" t="s">
        <v>22253</v>
      </c>
      <c r="M3503" s="103" t="str">
        <f t="shared" si="273"/>
        <v>http://oconnordata.com/mlink/modules/profile/index.cfm?action=profile&amp;prop_id=13312</v>
      </c>
      <c r="N3503" s="1">
        <f t="shared" si="274"/>
        <v>13312</v>
      </c>
    </row>
    <row r="3504" spans="1:14" x14ac:dyDescent="0.3">
      <c r="A3504" s="1">
        <v>13313</v>
      </c>
      <c r="B3504" s="7" t="s">
        <v>5350</v>
      </c>
      <c r="C3504" s="12">
        <v>1100</v>
      </c>
      <c r="D3504" s="7" t="s">
        <v>5351</v>
      </c>
      <c r="E3504" s="13" t="s">
        <v>5009</v>
      </c>
      <c r="F3504" t="str">
        <f t="shared" si="270"/>
        <v>Meredith</v>
      </c>
      <c r="G3504" t="str">
        <f t="shared" si="271"/>
        <v>Meredith1100Plano</v>
      </c>
      <c r="H3504" t="s">
        <v>34362</v>
      </c>
      <c r="I3504" t="s">
        <v>25786</v>
      </c>
      <c r="J3504" t="str">
        <f t="shared" si="272"/>
        <v>E:\PropInv\MF</v>
      </c>
      <c r="K3504" s="103" t="str">
        <f>HYPERLINK("E:\PropInv\MF\Plano\Meredith_1100_Colonnade at Willow Bend_Plano_13313","Meredith_1100_Colonnade at Willow Bend_Plano_13313" )</f>
        <v>Meredith_1100_Colonnade at Willow Bend_Plano_13313</v>
      </c>
      <c r="L3504" s="104" t="s">
        <v>22253</v>
      </c>
      <c r="M3504" s="103" t="str">
        <f t="shared" si="273"/>
        <v>http://oconnordata.com/mlink/modules/profile/index.cfm?action=profile&amp;prop_id=13313</v>
      </c>
      <c r="N3504" s="1">
        <f t="shared" si="274"/>
        <v>13313</v>
      </c>
    </row>
    <row r="3505" spans="1:14" x14ac:dyDescent="0.3">
      <c r="A3505" s="1">
        <v>13314</v>
      </c>
      <c r="B3505" s="7" t="s">
        <v>5352</v>
      </c>
      <c r="C3505" s="12">
        <v>3321</v>
      </c>
      <c r="D3505" s="7" t="s">
        <v>5353</v>
      </c>
      <c r="E3505" s="13" t="s">
        <v>5046</v>
      </c>
      <c r="F3505" t="str">
        <f t="shared" si="270"/>
        <v>Coker</v>
      </c>
      <c r="G3505" t="str">
        <f t="shared" si="271"/>
        <v>Coker3321Irving</v>
      </c>
      <c r="H3505" t="s">
        <v>34363</v>
      </c>
      <c r="I3505" t="s">
        <v>25787</v>
      </c>
      <c r="J3505" t="str">
        <f t="shared" si="272"/>
        <v>E:\PropInv\MF</v>
      </c>
      <c r="K3505" s="103" t="str">
        <f>HYPERLINK("E:\PropInv\MF\Irving\Coker_3321_Colony_Irving_13314","Coker_3321_Colony_Irving_13314" )</f>
        <v>Coker_3321_Colony_Irving_13314</v>
      </c>
      <c r="L3505" s="104" t="s">
        <v>22253</v>
      </c>
      <c r="M3505" s="103" t="str">
        <f t="shared" si="273"/>
        <v>http://oconnordata.com/mlink/modules/profile/index.cfm?action=profile&amp;prop_id=13314</v>
      </c>
      <c r="N3505" s="1">
        <f t="shared" si="274"/>
        <v>13314</v>
      </c>
    </row>
    <row r="3506" spans="1:14" x14ac:dyDescent="0.3">
      <c r="A3506" s="1">
        <v>13315</v>
      </c>
      <c r="B3506" s="7" t="s">
        <v>5354</v>
      </c>
      <c r="C3506" s="12">
        <v>2242</v>
      </c>
      <c r="D3506" s="7" t="s">
        <v>5355</v>
      </c>
      <c r="E3506" s="13" t="s">
        <v>4996</v>
      </c>
      <c r="F3506" t="str">
        <f t="shared" si="270"/>
        <v>Fort</v>
      </c>
      <c r="G3506" t="str">
        <f t="shared" si="271"/>
        <v>Fort2242Dallas</v>
      </c>
      <c r="H3506" t="s">
        <v>34364</v>
      </c>
      <c r="I3506" t="s">
        <v>25788</v>
      </c>
      <c r="J3506" t="str">
        <f t="shared" si="272"/>
        <v>E:\PropInv\MF</v>
      </c>
      <c r="K3506" s="103" t="str">
        <f>HYPERLINK("E:\PropInv\MF\Dallas\Fort Worth Ave_2242_Colorado Place (demolished)_Dallas_13315","Fort Worth Ave_2242_Colorado Place (demolished)_Dallas_13315" )</f>
        <v>Fort Worth Ave_2242_Colorado Place (demolished)_Dallas_13315</v>
      </c>
      <c r="L3506" s="104" t="s">
        <v>22253</v>
      </c>
      <c r="M3506" s="103" t="str">
        <f t="shared" si="273"/>
        <v>http://oconnordata.com/mlink/modules/profile/index.cfm?action=profile&amp;prop_id=13315</v>
      </c>
      <c r="N3506" s="1">
        <f t="shared" si="274"/>
        <v>13315</v>
      </c>
    </row>
    <row r="3507" spans="1:14" x14ac:dyDescent="0.3">
      <c r="A3507" s="1">
        <v>13316</v>
      </c>
      <c r="B3507" s="7" t="s">
        <v>5356</v>
      </c>
      <c r="C3507" s="12">
        <v>7550</v>
      </c>
      <c r="D3507" s="7" t="s">
        <v>5357</v>
      </c>
      <c r="E3507" s="13" t="s">
        <v>4996</v>
      </c>
      <c r="F3507" t="str">
        <f t="shared" si="270"/>
        <v>Cliff</v>
      </c>
      <c r="G3507" t="str">
        <f t="shared" si="271"/>
        <v>Cliff7550Dallas</v>
      </c>
      <c r="H3507" t="s">
        <v>34365</v>
      </c>
      <c r="I3507" t="s">
        <v>25789</v>
      </c>
      <c r="J3507" t="str">
        <f t="shared" si="272"/>
        <v>E:\PropInv\MF</v>
      </c>
      <c r="K3507" s="103" t="str">
        <f>HYPERLINK("E:\PropInv\MF\Dallas\Cliff Creek Crossings_7550_Mandalay Palms II_Dallas_13316","Cliff Creek Crossings_7550_Mandalay Palms II_Dallas_13316" )</f>
        <v>Cliff Creek Crossings_7550_Mandalay Palms II_Dallas_13316</v>
      </c>
      <c r="L3507" s="104" t="s">
        <v>22253</v>
      </c>
      <c r="M3507" s="103" t="str">
        <f t="shared" si="273"/>
        <v>http://oconnordata.com/mlink/modules/profile/index.cfm?action=profile&amp;prop_id=13316</v>
      </c>
      <c r="N3507" s="1">
        <f t="shared" si="274"/>
        <v>13316</v>
      </c>
    </row>
    <row r="3508" spans="1:14" x14ac:dyDescent="0.3">
      <c r="A3508" s="1">
        <v>13318</v>
      </c>
      <c r="B3508" s="7" t="s">
        <v>5358</v>
      </c>
      <c r="C3508" s="12">
        <v>2821</v>
      </c>
      <c r="D3508" s="7" t="s">
        <v>5359</v>
      </c>
      <c r="E3508" s="13" t="s">
        <v>4996</v>
      </c>
      <c r="F3508" t="str">
        <f t="shared" si="270"/>
        <v>Carlisle</v>
      </c>
      <c r="G3508" t="str">
        <f t="shared" si="271"/>
        <v>Carlisle2821Dallas</v>
      </c>
      <c r="H3508" t="s">
        <v>34366</v>
      </c>
      <c r="I3508" t="s">
        <v>25790</v>
      </c>
      <c r="J3508" t="str">
        <f t="shared" si="272"/>
        <v>E:\PropInv\MF</v>
      </c>
      <c r="K3508" s="103" t="str">
        <f>HYPERLINK("E:\PropInv\MF\Dallas\Carlisle St_2821_Gables on Katy Trail_Dallas_13318","Carlisle St_2821_Gables on Katy Trail_Dallas_13318" )</f>
        <v>Carlisle St_2821_Gables on Katy Trail_Dallas_13318</v>
      </c>
      <c r="L3508" s="104" t="s">
        <v>22253</v>
      </c>
      <c r="M3508" s="103" t="str">
        <f t="shared" si="273"/>
        <v>http://oconnordata.com/mlink/modules/profile/index.cfm?action=profile&amp;prop_id=13318</v>
      </c>
      <c r="N3508" s="1">
        <f t="shared" si="274"/>
        <v>13318</v>
      </c>
    </row>
    <row r="3509" spans="1:14" x14ac:dyDescent="0.3">
      <c r="A3509" s="1">
        <v>13319</v>
      </c>
      <c r="B3509" s="7" t="s">
        <v>5360</v>
      </c>
      <c r="C3509" s="12">
        <v>9941</v>
      </c>
      <c r="D3509" s="7" t="s">
        <v>5361</v>
      </c>
      <c r="E3509" s="13" t="s">
        <v>4996</v>
      </c>
      <c r="F3509" t="str">
        <f t="shared" si="270"/>
        <v>Whitehurst</v>
      </c>
      <c r="G3509" t="str">
        <f t="shared" si="271"/>
        <v>Whitehurst9941Dallas</v>
      </c>
      <c r="H3509" t="s">
        <v>34367</v>
      </c>
      <c r="I3509" t="s">
        <v>25791</v>
      </c>
      <c r="J3509" t="str">
        <f t="shared" si="272"/>
        <v>E:\PropInv\MF</v>
      </c>
      <c r="K3509" s="103" t="str">
        <f>HYPERLINK("E:\PropInv\MF\Dallas\Whitehurst_9941_The Park On Whitehurst_Dallas_13319","Whitehurst_9941_The Park On Whitehurst_Dallas_13319" )</f>
        <v>Whitehurst_9941_The Park On Whitehurst_Dallas_13319</v>
      </c>
      <c r="L3509" s="104" t="s">
        <v>22253</v>
      </c>
      <c r="M3509" s="103" t="str">
        <f t="shared" si="273"/>
        <v>http://oconnordata.com/mlink/modules/profile/index.cfm?action=profile&amp;prop_id=13319</v>
      </c>
      <c r="N3509" s="1">
        <f t="shared" si="274"/>
        <v>13319</v>
      </c>
    </row>
    <row r="3510" spans="1:14" x14ac:dyDescent="0.3">
      <c r="A3510" s="1">
        <v>13320</v>
      </c>
      <c r="B3510" s="7" t="s">
        <v>5362</v>
      </c>
      <c r="C3510" s="12">
        <v>3210</v>
      </c>
      <c r="D3510" s="7" t="s">
        <v>5363</v>
      </c>
      <c r="E3510" s="13" t="s">
        <v>4996</v>
      </c>
      <c r="F3510" t="str">
        <f t="shared" si="270"/>
        <v>Carlisle</v>
      </c>
      <c r="G3510" t="str">
        <f t="shared" si="271"/>
        <v>Carlisle3210Dallas</v>
      </c>
      <c r="H3510" t="s">
        <v>34368</v>
      </c>
      <c r="I3510" t="s">
        <v>25792</v>
      </c>
      <c r="J3510" t="str">
        <f t="shared" si="272"/>
        <v>E:\PropInv\MF</v>
      </c>
      <c r="K3510" s="103" t="str">
        <f>HYPERLINK("E:\PropInv\MF\Dallas\Carlisle_3210_Constantine_Dallas_13320","Carlisle_3210_Constantine_Dallas_13320" )</f>
        <v>Carlisle_3210_Constantine_Dallas_13320</v>
      </c>
      <c r="L3510" s="104" t="s">
        <v>22253</v>
      </c>
      <c r="M3510" s="103" t="str">
        <f t="shared" si="273"/>
        <v>http://oconnordata.com/mlink/modules/profile/index.cfm?action=profile&amp;prop_id=13320</v>
      </c>
      <c r="N3510" s="1">
        <f t="shared" si="274"/>
        <v>13320</v>
      </c>
    </row>
    <row r="3511" spans="1:14" x14ac:dyDescent="0.3">
      <c r="A3511" s="1">
        <v>13321</v>
      </c>
      <c r="B3511" s="7" t="s">
        <v>5364</v>
      </c>
      <c r="C3511" s="12">
        <v>13450</v>
      </c>
      <c r="D3511" s="7" t="s">
        <v>2359</v>
      </c>
      <c r="E3511" s="13" t="s">
        <v>4996</v>
      </c>
      <c r="F3511" t="str">
        <f t="shared" si="270"/>
        <v>Maham</v>
      </c>
      <c r="G3511" t="str">
        <f t="shared" si="271"/>
        <v>Maham13450Dallas</v>
      </c>
      <c r="H3511" t="s">
        <v>34369</v>
      </c>
      <c r="I3511" t="s">
        <v>25793</v>
      </c>
      <c r="J3511" t="str">
        <f t="shared" si="272"/>
        <v>E:\PropInv\MF</v>
      </c>
      <c r="K3511" s="103" t="str">
        <f>HYPERLINK("E:\PropInv\MF\Dallas\Maham Rd_13450_Linda Vista_Dallas_13321","Maham Rd_13450_Linda Vista_Dallas_13321" )</f>
        <v>Maham Rd_13450_Linda Vista_Dallas_13321</v>
      </c>
      <c r="L3511" s="104" t="s">
        <v>22253</v>
      </c>
      <c r="M3511" s="103" t="str">
        <f t="shared" si="273"/>
        <v>http://oconnordata.com/mlink/modules/profile/index.cfm?action=profile&amp;prop_id=13321</v>
      </c>
      <c r="N3511" s="1">
        <f t="shared" si="274"/>
        <v>13321</v>
      </c>
    </row>
    <row r="3512" spans="1:14" x14ac:dyDescent="0.3">
      <c r="A3512" s="1">
        <v>13323</v>
      </c>
      <c r="B3512" s="7" t="s">
        <v>5365</v>
      </c>
      <c r="C3512" s="12">
        <v>6310</v>
      </c>
      <c r="D3512" s="7" t="s">
        <v>5366</v>
      </c>
      <c r="E3512" s="13" t="s">
        <v>4996</v>
      </c>
      <c r="F3512" t="str">
        <f t="shared" si="270"/>
        <v>Shady</v>
      </c>
      <c r="G3512" t="str">
        <f t="shared" si="271"/>
        <v>Shady6310Dallas</v>
      </c>
      <c r="H3512" t="s">
        <v>34370</v>
      </c>
      <c r="I3512" t="s">
        <v>25794</v>
      </c>
      <c r="J3512" t="str">
        <f t="shared" si="272"/>
        <v>E:\PropInv\MF</v>
      </c>
      <c r="K3512" s="103" t="str">
        <f>HYPERLINK("E:\PropInv\MF\Dallas\Shady Brook_6310_The Corners_Dallas_13323","Shady Brook_6310_The Corners_Dallas_13323" )</f>
        <v>Shady Brook_6310_The Corners_Dallas_13323</v>
      </c>
      <c r="L3512" s="104" t="s">
        <v>22253</v>
      </c>
      <c r="M3512" s="103" t="str">
        <f t="shared" si="273"/>
        <v>http://oconnordata.com/mlink/modules/profile/index.cfm?action=profile&amp;prop_id=13323</v>
      </c>
      <c r="N3512" s="1">
        <f t="shared" si="274"/>
        <v>13323</v>
      </c>
    </row>
    <row r="3513" spans="1:14" x14ac:dyDescent="0.3">
      <c r="A3513" s="1">
        <v>13324</v>
      </c>
      <c r="B3513" s="7" t="s">
        <v>5367</v>
      </c>
      <c r="C3513" s="12">
        <v>210</v>
      </c>
      <c r="D3513" s="7" t="s">
        <v>5366</v>
      </c>
      <c r="E3513" s="13" t="s">
        <v>5195</v>
      </c>
      <c r="F3513" t="str">
        <f t="shared" si="270"/>
        <v>Wintergreen</v>
      </c>
      <c r="G3513" t="str">
        <f t="shared" si="271"/>
        <v>Wintergreen210Desoto</v>
      </c>
      <c r="H3513" t="s">
        <v>34371</v>
      </c>
      <c r="I3513" t="s">
        <v>25795</v>
      </c>
      <c r="J3513" t="str">
        <f t="shared" si="272"/>
        <v>E:\PropInv\MF</v>
      </c>
      <c r="K3513" s="103" t="str">
        <f>HYPERLINK("E:\PropInv\MF\Desoto\Wintergreen E_210_The Corners_Desoto_13324","Wintergreen E_210_The Corners_Desoto_13324" )</f>
        <v>Wintergreen E_210_The Corners_Desoto_13324</v>
      </c>
      <c r="L3513" s="104" t="s">
        <v>22253</v>
      </c>
      <c r="M3513" s="103" t="str">
        <f t="shared" si="273"/>
        <v>http://oconnordata.com/mlink/modules/profile/index.cfm?action=profile&amp;prop_id=13324</v>
      </c>
      <c r="N3513" s="1">
        <f t="shared" si="274"/>
        <v>13324</v>
      </c>
    </row>
    <row r="3514" spans="1:14" x14ac:dyDescent="0.3">
      <c r="A3514" s="1">
        <v>13325</v>
      </c>
      <c r="B3514" s="7" t="s">
        <v>5365</v>
      </c>
      <c r="C3514" s="12">
        <v>6310</v>
      </c>
      <c r="D3514" s="7" t="s">
        <v>5368</v>
      </c>
      <c r="E3514" s="13" t="s">
        <v>4996</v>
      </c>
      <c r="F3514" t="str">
        <f t="shared" si="270"/>
        <v>Shady</v>
      </c>
      <c r="G3514" t="str">
        <f t="shared" si="271"/>
        <v>Shady6310Dallas</v>
      </c>
      <c r="H3514" t="s">
        <v>34372</v>
      </c>
      <c r="I3514" t="s">
        <v>25796</v>
      </c>
      <c r="J3514" t="str">
        <f t="shared" si="272"/>
        <v>E:\PropInv\MF</v>
      </c>
      <c r="K3514" s="103" t="str">
        <f>HYPERLINK("E:\PropInv\MF\Dallas\Shady Brook_6310_The Corners East_Dallas_13325","Shady Brook_6310_The Corners East_Dallas_13325" )</f>
        <v>Shady Brook_6310_The Corners East_Dallas_13325</v>
      </c>
      <c r="L3514" s="104" t="s">
        <v>22253</v>
      </c>
      <c r="M3514" s="103" t="str">
        <f t="shared" si="273"/>
        <v>http://oconnordata.com/mlink/modules/profile/index.cfm?action=profile&amp;prop_id=13325</v>
      </c>
      <c r="N3514" s="1">
        <f t="shared" si="274"/>
        <v>13325</v>
      </c>
    </row>
    <row r="3515" spans="1:14" x14ac:dyDescent="0.3">
      <c r="A3515" s="1">
        <v>13326</v>
      </c>
      <c r="B3515" s="7" t="s">
        <v>5369</v>
      </c>
      <c r="C3515" s="12">
        <v>3950</v>
      </c>
      <c r="D3515" s="7" t="s">
        <v>5370</v>
      </c>
      <c r="E3515" s="13" t="s">
        <v>5198</v>
      </c>
      <c r="F3515" t="str">
        <f t="shared" si="270"/>
        <v>Spring</v>
      </c>
      <c r="G3515" t="str">
        <f t="shared" si="271"/>
        <v>Spring3950Farmers Branch</v>
      </c>
      <c r="H3515" t="s">
        <v>34373</v>
      </c>
      <c r="I3515" t="s">
        <v>25797</v>
      </c>
      <c r="J3515" t="str">
        <f t="shared" si="272"/>
        <v>E:\PropInv\MF</v>
      </c>
      <c r="K3515" s="103" t="str">
        <f>HYPERLINK("E:\PropInv\MF\Farmers Branch\Spring Valley Dr_3950_Lakeview at Parkside_Farmers Branch_13326","Spring Valley Dr_3950_Lakeview at Parkside_Farmers Branch_13326" )</f>
        <v>Spring Valley Dr_3950_Lakeview at Parkside_Farmers Branch_13326</v>
      </c>
      <c r="L3515" s="104" t="s">
        <v>22253</v>
      </c>
      <c r="M3515" s="103" t="str">
        <f t="shared" si="273"/>
        <v>http://oconnordata.com/mlink/modules/profile/index.cfm?action=profile&amp;prop_id=13326</v>
      </c>
      <c r="N3515" s="1">
        <f t="shared" si="274"/>
        <v>13326</v>
      </c>
    </row>
    <row r="3516" spans="1:14" x14ac:dyDescent="0.3">
      <c r="A3516" s="1">
        <v>13327</v>
      </c>
      <c r="B3516" s="7" t="s">
        <v>5371</v>
      </c>
      <c r="C3516" s="12">
        <v>301</v>
      </c>
      <c r="D3516" s="7" t="s">
        <v>5372</v>
      </c>
      <c r="E3516" s="13" t="s">
        <v>5140</v>
      </c>
      <c r="F3516" t="str">
        <f t="shared" si="270"/>
        <v>Greenville</v>
      </c>
      <c r="G3516" t="str">
        <f t="shared" si="271"/>
        <v>Greenville301Allen</v>
      </c>
      <c r="H3516" t="s">
        <v>34374</v>
      </c>
      <c r="I3516" t="s">
        <v>25798</v>
      </c>
      <c r="J3516" t="str">
        <f t="shared" si="272"/>
        <v>E:\PropInv\MF</v>
      </c>
      <c r="K3516" s="103" t="str">
        <f>HYPERLINK("E:\PropInv\MF\Allen\Greenville Ave N_301_Cottonwood Creek_Allen_13327","Greenville Ave N_301_Cottonwood Creek_Allen_13327" )</f>
        <v>Greenville Ave N_301_Cottonwood Creek_Allen_13327</v>
      </c>
      <c r="L3516" s="104" t="s">
        <v>22253</v>
      </c>
      <c r="M3516" s="103" t="str">
        <f t="shared" si="273"/>
        <v>http://oconnordata.com/mlink/modules/profile/index.cfm?action=profile&amp;prop_id=13327</v>
      </c>
      <c r="N3516" s="1">
        <f t="shared" si="274"/>
        <v>13327</v>
      </c>
    </row>
    <row r="3517" spans="1:14" x14ac:dyDescent="0.3">
      <c r="A3517" s="1">
        <v>13328</v>
      </c>
      <c r="B3517" s="7" t="s">
        <v>5373</v>
      </c>
      <c r="C3517" s="12">
        <v>1705</v>
      </c>
      <c r="D3517" s="7" t="s">
        <v>5374</v>
      </c>
      <c r="E3517" s="13" t="s">
        <v>5060</v>
      </c>
      <c r="F3517" t="str">
        <f t="shared" si="270"/>
        <v>Metrocrest</v>
      </c>
      <c r="G3517" t="str">
        <f t="shared" si="271"/>
        <v>Metrocrest1705Carrollton</v>
      </c>
      <c r="H3517" t="s">
        <v>34375</v>
      </c>
      <c r="I3517" t="s">
        <v>25799</v>
      </c>
      <c r="J3517" t="str">
        <f t="shared" si="272"/>
        <v>E:\PropInv\MF</v>
      </c>
      <c r="K3517" s="103" t="str">
        <f>HYPERLINK("E:\PropInv\MF\Carrollton\Metrocrest_1705_Country Club_Carrollton_13328","Metrocrest_1705_Country Club_Carrollton_13328" )</f>
        <v>Metrocrest_1705_Country Club_Carrollton_13328</v>
      </c>
      <c r="L3517" s="104" t="s">
        <v>22253</v>
      </c>
      <c r="M3517" s="103" t="str">
        <f t="shared" si="273"/>
        <v>http://oconnordata.com/mlink/modules/profile/index.cfm?action=profile&amp;prop_id=13328</v>
      </c>
      <c r="N3517" s="1">
        <f t="shared" si="274"/>
        <v>13328</v>
      </c>
    </row>
    <row r="3518" spans="1:14" x14ac:dyDescent="0.3">
      <c r="A3518" s="1">
        <v>13329</v>
      </c>
      <c r="B3518" s="7" t="s">
        <v>5375</v>
      </c>
      <c r="C3518" s="12">
        <v>1701</v>
      </c>
      <c r="D3518" s="7" t="s">
        <v>5376</v>
      </c>
      <c r="E3518" s="13" t="s">
        <v>5019</v>
      </c>
      <c r="F3518" t="str">
        <f t="shared" si="270"/>
        <v>Centerville</v>
      </c>
      <c r="G3518" t="str">
        <f t="shared" si="271"/>
        <v>Centerville1701Garland</v>
      </c>
      <c r="H3518" t="s">
        <v>34376</v>
      </c>
      <c r="I3518" t="s">
        <v>25800</v>
      </c>
      <c r="J3518" t="str">
        <f t="shared" si="272"/>
        <v>E:\PropInv\MF</v>
      </c>
      <c r="K3518" s="103" t="str">
        <f>HYPERLINK("E:\PropInv\MF\Garland\Centerville E_1701_Country Club Condo Apts_Garland_13329","Centerville E_1701_Country Club Condo Apts_Garland_13329" )</f>
        <v>Centerville E_1701_Country Club Condo Apts_Garland_13329</v>
      </c>
      <c r="L3518" s="104" t="s">
        <v>22253</v>
      </c>
      <c r="M3518" s="103" t="str">
        <f t="shared" si="273"/>
        <v>http://oconnordata.com/mlink/modules/profile/index.cfm?action=profile&amp;prop_id=13329</v>
      </c>
      <c r="N3518" s="1">
        <f t="shared" si="274"/>
        <v>13329</v>
      </c>
    </row>
    <row r="3519" spans="1:14" x14ac:dyDescent="0.3">
      <c r="A3519" s="1">
        <v>13330</v>
      </c>
      <c r="B3519" s="7" t="s">
        <v>5377</v>
      </c>
      <c r="C3519" s="12">
        <v>1702</v>
      </c>
      <c r="D3519" s="7" t="s">
        <v>5378</v>
      </c>
      <c r="E3519" s="13" t="s">
        <v>5019</v>
      </c>
      <c r="F3519" t="str">
        <f t="shared" si="270"/>
        <v>Jupiter</v>
      </c>
      <c r="G3519" t="str">
        <f t="shared" si="271"/>
        <v>Jupiter1702Garland</v>
      </c>
      <c r="H3519" t="s">
        <v>34377</v>
      </c>
      <c r="I3519" t="s">
        <v>25801</v>
      </c>
      <c r="J3519" t="str">
        <f t="shared" si="272"/>
        <v>E:\PropInv\MF</v>
      </c>
      <c r="K3519" s="103" t="str">
        <f>HYPERLINK("E:\PropInv\MF\Garland\Jupiter N_1702_Creekside on the Green_Garland_13330","Jupiter N_1702_Creekside on the Green_Garland_13330" )</f>
        <v>Jupiter N_1702_Creekside on the Green_Garland_13330</v>
      </c>
      <c r="L3519" s="104" t="s">
        <v>22253</v>
      </c>
      <c r="M3519" s="103" t="str">
        <f t="shared" si="273"/>
        <v>http://oconnordata.com/mlink/modules/profile/index.cfm?action=profile&amp;prop_id=13330</v>
      </c>
      <c r="N3519" s="1">
        <f t="shared" si="274"/>
        <v>13330</v>
      </c>
    </row>
    <row r="3520" spans="1:14" x14ac:dyDescent="0.3">
      <c r="A3520" s="1">
        <v>13331</v>
      </c>
      <c r="B3520" s="7" t="s">
        <v>5379</v>
      </c>
      <c r="C3520" s="12">
        <v>3015</v>
      </c>
      <c r="D3520" s="7" t="s">
        <v>5380</v>
      </c>
      <c r="E3520" s="13" t="s">
        <v>5060</v>
      </c>
      <c r="F3520" t="str">
        <f t="shared" si="270"/>
        <v>Country</v>
      </c>
      <c r="G3520" t="str">
        <f t="shared" si="271"/>
        <v>Country3015Carrollton</v>
      </c>
      <c r="H3520" t="s">
        <v>34378</v>
      </c>
      <c r="I3520" t="s">
        <v>25802</v>
      </c>
      <c r="J3520" t="str">
        <f t="shared" si="272"/>
        <v>E:\PropInv\MF</v>
      </c>
      <c r="K3520" s="103" t="str">
        <f>HYPERLINK("E:\PropInv\MF\Carrollton\Country Sq_3015_Country Square_Carrollton_13331","Country Sq_3015_Country Square_Carrollton_13331" )</f>
        <v>Country Sq_3015_Country Square_Carrollton_13331</v>
      </c>
      <c r="L3520" s="104" t="s">
        <v>22253</v>
      </c>
      <c r="M3520" s="103" t="str">
        <f t="shared" si="273"/>
        <v>http://oconnordata.com/mlink/modules/profile/index.cfm?action=profile&amp;prop_id=13331</v>
      </c>
      <c r="N3520" s="1">
        <f t="shared" si="274"/>
        <v>13331</v>
      </c>
    </row>
    <row r="3521" spans="1:14" x14ac:dyDescent="0.3">
      <c r="A3521" s="1">
        <v>13332</v>
      </c>
      <c r="B3521" s="7" t="s">
        <v>5379</v>
      </c>
      <c r="C3521" s="12">
        <v>3430</v>
      </c>
      <c r="D3521" s="7" t="s">
        <v>5381</v>
      </c>
      <c r="E3521" s="13" t="s">
        <v>5060</v>
      </c>
      <c r="F3521" t="str">
        <f t="shared" si="270"/>
        <v>Country</v>
      </c>
      <c r="G3521" t="str">
        <f t="shared" si="271"/>
        <v>Country3430Carrollton</v>
      </c>
      <c r="H3521" t="s">
        <v>34379</v>
      </c>
      <c r="I3521" t="s">
        <v>25803</v>
      </c>
      <c r="J3521" t="str">
        <f t="shared" si="272"/>
        <v>E:\PropInv\MF</v>
      </c>
      <c r="K3521" s="103" t="str">
        <f>HYPERLINK("E:\PropInv\MF\Carrollton\Country Sq_3430_Country Trails_Carrollton_13332","Country Sq_3430_Country Trails_Carrollton_13332" )</f>
        <v>Country Sq_3430_Country Trails_Carrollton_13332</v>
      </c>
      <c r="L3521" s="104" t="s">
        <v>22253</v>
      </c>
      <c r="M3521" s="103" t="str">
        <f t="shared" si="273"/>
        <v>http://oconnordata.com/mlink/modules/profile/index.cfm?action=profile&amp;prop_id=13332</v>
      </c>
      <c r="N3521" s="1">
        <f t="shared" si="274"/>
        <v>13332</v>
      </c>
    </row>
    <row r="3522" spans="1:14" x14ac:dyDescent="0.3">
      <c r="A3522" s="1">
        <v>13333</v>
      </c>
      <c r="B3522" s="7" t="s">
        <v>5382</v>
      </c>
      <c r="C3522" s="12">
        <v>301</v>
      </c>
      <c r="D3522" s="7" t="s">
        <v>989</v>
      </c>
      <c r="E3522" s="13" t="s">
        <v>5383</v>
      </c>
      <c r="F3522" t="str">
        <f t="shared" ref="F3522:F3585" si="275">IFERROR(LEFT(B3522,FIND(" ",B3522)-1),B3522)</f>
        <v>First</v>
      </c>
      <c r="G3522" t="str">
        <f t="shared" ref="G3522:G3585" si="276">F3522&amp;C3522&amp;E3522</f>
        <v>First301Wilmer</v>
      </c>
      <c r="H3522" t="s">
        <v>34380</v>
      </c>
      <c r="I3522" t="s">
        <v>25804</v>
      </c>
      <c r="J3522" t="str">
        <f t="shared" ref="J3522:J3585" si="277">IF(L3522="TX",Folder_Path,Folder_Path&amp;"\State_"&amp;L3522)</f>
        <v>E:\PropInv\MF</v>
      </c>
      <c r="K3522" s="103" t="str">
        <f>HYPERLINK("E:\PropInv\MF\Wilmer\First St_301_Country View_Wilmer_13333","First St_301_Country View_Wilmer_13333" )</f>
        <v>First St_301_Country View_Wilmer_13333</v>
      </c>
      <c r="L3522" s="104" t="s">
        <v>22253</v>
      </c>
      <c r="M3522" s="103" t="str">
        <f t="shared" ref="M3522:M3585" si="278">HYPERLINK("http://oconnordata.com/mlink/modules/profile/index.cfm?action=profile&amp;prop_id="&amp;A3522)</f>
        <v>http://oconnordata.com/mlink/modules/profile/index.cfm?action=profile&amp;prop_id=13333</v>
      </c>
      <c r="N3522" s="1">
        <f t="shared" ref="N3522:N3585" si="279">IF(LEN(A3522)=1,"0000"&amp;A3522,IF(LEN(A3522)=2,"000"&amp;A3522,IF(LEN(A3522)=3,"00"&amp;A3522,IF(LEN(A3522)=4,"0"&amp;A3522,IF(LEN(A3522)=5,IF(LEFT(A3522,1)="3",A3522+30000,A3522))))))</f>
        <v>13333</v>
      </c>
    </row>
    <row r="3523" spans="1:14" x14ac:dyDescent="0.3">
      <c r="A3523" s="1">
        <v>13334</v>
      </c>
      <c r="B3523" s="7" t="s">
        <v>5384</v>
      </c>
      <c r="C3523" s="12">
        <v>5400</v>
      </c>
      <c r="D3523" s="7" t="s">
        <v>5385</v>
      </c>
      <c r="E3523" s="13" t="s">
        <v>4996</v>
      </c>
      <c r="F3523" t="str">
        <f t="shared" si="275"/>
        <v>Preston</v>
      </c>
      <c r="G3523" t="str">
        <f t="shared" si="276"/>
        <v>Preston5400Dallas</v>
      </c>
      <c r="H3523" t="s">
        <v>34381</v>
      </c>
      <c r="I3523" t="s">
        <v>25805</v>
      </c>
      <c r="J3523" t="str">
        <f t="shared" si="277"/>
        <v>E:\PropInv\MF</v>
      </c>
      <c r="K3523" s="103" t="str">
        <f>HYPERLINK("E:\PropInv\MF\Dallas\Preston Oaks_5400_Courts at Preston Oaks_Dallas_13334","Preston Oaks_5400_Courts at Preston Oaks_Dallas_13334" )</f>
        <v>Preston Oaks_5400_Courts at Preston Oaks_Dallas_13334</v>
      </c>
      <c r="L3523" s="104" t="s">
        <v>22253</v>
      </c>
      <c r="M3523" s="103" t="str">
        <f t="shared" si="278"/>
        <v>http://oconnordata.com/mlink/modules/profile/index.cfm?action=profile&amp;prop_id=13334</v>
      </c>
      <c r="N3523" s="1">
        <f t="shared" si="279"/>
        <v>13334</v>
      </c>
    </row>
    <row r="3524" spans="1:14" x14ac:dyDescent="0.3">
      <c r="A3524" s="1">
        <v>13335</v>
      </c>
      <c r="B3524" s="7" t="s">
        <v>5386</v>
      </c>
      <c r="C3524" s="12">
        <v>17250</v>
      </c>
      <c r="D3524" s="7" t="s">
        <v>5387</v>
      </c>
      <c r="E3524" s="13" t="s">
        <v>4996</v>
      </c>
      <c r="F3524" t="str">
        <f t="shared" si="275"/>
        <v>Knoll</v>
      </c>
      <c r="G3524" t="str">
        <f t="shared" si="276"/>
        <v>Knoll17250Dallas</v>
      </c>
      <c r="H3524" t="s">
        <v>34382</v>
      </c>
      <c r="I3524" t="s">
        <v>25806</v>
      </c>
      <c r="J3524" t="str">
        <f t="shared" si="277"/>
        <v>E:\PropInv\MF</v>
      </c>
      <c r="K3524" s="103" t="str">
        <f>HYPERLINK("E:\PropInv\MF\Dallas\Knoll Trl_17250_Courts of Bent Tree_Dallas_13335","Knoll Trl_17250_Courts of Bent Tree_Dallas_13335" )</f>
        <v>Knoll Trl_17250_Courts of Bent Tree_Dallas_13335</v>
      </c>
      <c r="L3524" s="104" t="s">
        <v>22253</v>
      </c>
      <c r="M3524" s="103" t="str">
        <f t="shared" si="278"/>
        <v>http://oconnordata.com/mlink/modules/profile/index.cfm?action=profile&amp;prop_id=13335</v>
      </c>
      <c r="N3524" s="1">
        <f t="shared" si="279"/>
        <v>13335</v>
      </c>
    </row>
    <row r="3525" spans="1:14" x14ac:dyDescent="0.3">
      <c r="A3525" s="1">
        <v>13337</v>
      </c>
      <c r="B3525" s="7" t="s">
        <v>5388</v>
      </c>
      <c r="C3525" s="12">
        <v>5050</v>
      </c>
      <c r="D3525" s="7" t="s">
        <v>5389</v>
      </c>
      <c r="E3525" s="13" t="s">
        <v>4996</v>
      </c>
      <c r="F3525" t="str">
        <f t="shared" si="275"/>
        <v>Pear</v>
      </c>
      <c r="G3525" t="str">
        <f t="shared" si="276"/>
        <v>Pear5050Dallas</v>
      </c>
      <c r="H3525" t="s">
        <v>34383</v>
      </c>
      <c r="I3525" t="s">
        <v>25807</v>
      </c>
      <c r="J3525" t="str">
        <f t="shared" si="277"/>
        <v>E:\PropInv\MF</v>
      </c>
      <c r="K3525" s="103" t="str">
        <f>HYPERLINK("E:\PropInv\MF\Dallas\Pear Ridge_5050_Crestmont Reserve_Dallas_13337","Pear Ridge_5050_Crestmont Reserve_Dallas_13337" )</f>
        <v>Pear Ridge_5050_Crestmont Reserve_Dallas_13337</v>
      </c>
      <c r="L3525" s="104" t="s">
        <v>22253</v>
      </c>
      <c r="M3525" s="103" t="str">
        <f t="shared" si="278"/>
        <v>http://oconnordata.com/mlink/modules/profile/index.cfm?action=profile&amp;prop_id=13337</v>
      </c>
      <c r="N3525" s="1">
        <f t="shared" si="279"/>
        <v>13337</v>
      </c>
    </row>
    <row r="3526" spans="1:14" x14ac:dyDescent="0.3">
      <c r="A3526" s="1">
        <v>13338</v>
      </c>
      <c r="B3526" s="7" t="s">
        <v>5390</v>
      </c>
      <c r="C3526" s="12">
        <v>2046</v>
      </c>
      <c r="D3526" s="7" t="s">
        <v>3183</v>
      </c>
      <c r="E3526" s="13" t="s">
        <v>5019</v>
      </c>
      <c r="F3526" t="str">
        <f t="shared" si="275"/>
        <v>Shiloh</v>
      </c>
      <c r="G3526" t="str">
        <f t="shared" si="276"/>
        <v>Shiloh2046Garland</v>
      </c>
      <c r="H3526" t="s">
        <v>34384</v>
      </c>
      <c r="I3526" t="s">
        <v>25808</v>
      </c>
      <c r="J3526" t="str">
        <f t="shared" si="277"/>
        <v>E:\PropInv\MF</v>
      </c>
      <c r="K3526" s="103" t="str">
        <f>HYPERLINK("E:\PropInv\MF\Garland\Shiloh Dr N_2046_Courtyard_Garland_13338","Shiloh Dr N_2046_Courtyard_Garland_13338" )</f>
        <v>Shiloh Dr N_2046_Courtyard_Garland_13338</v>
      </c>
      <c r="L3526" s="104" t="s">
        <v>22253</v>
      </c>
      <c r="M3526" s="103" t="str">
        <f t="shared" si="278"/>
        <v>http://oconnordata.com/mlink/modules/profile/index.cfm?action=profile&amp;prop_id=13338</v>
      </c>
      <c r="N3526" s="1">
        <f t="shared" si="279"/>
        <v>13338</v>
      </c>
    </row>
    <row r="3527" spans="1:14" x14ac:dyDescent="0.3">
      <c r="A3527" s="1">
        <v>13340</v>
      </c>
      <c r="B3527" s="7" t="s">
        <v>5391</v>
      </c>
      <c r="C3527" s="12">
        <v>6003</v>
      </c>
      <c r="D3527" s="7" t="s">
        <v>5392</v>
      </c>
      <c r="E3527" s="13" t="s">
        <v>4996</v>
      </c>
      <c r="F3527" t="str">
        <f t="shared" si="275"/>
        <v>Ridgecrest</v>
      </c>
      <c r="G3527" t="str">
        <f t="shared" si="276"/>
        <v>Ridgecrest6003Dallas</v>
      </c>
      <c r="H3527" t="s">
        <v>34385</v>
      </c>
      <c r="I3527" t="s">
        <v>25809</v>
      </c>
      <c r="J3527" t="str">
        <f t="shared" si="277"/>
        <v>E:\PropInv\MF</v>
      </c>
      <c r="K3527" s="103" t="str">
        <f>HYPERLINK("E:\PropInv\MF\Dallas\Ridgecrest_6003_Courtyard On Ridgecrest_Dallas_13340","Ridgecrest_6003_Courtyard On Ridgecrest_Dallas_13340" )</f>
        <v>Ridgecrest_6003_Courtyard On Ridgecrest_Dallas_13340</v>
      </c>
      <c r="L3527" s="104" t="s">
        <v>22253</v>
      </c>
      <c r="M3527" s="103" t="str">
        <f t="shared" si="278"/>
        <v>http://oconnordata.com/mlink/modules/profile/index.cfm?action=profile&amp;prop_id=13340</v>
      </c>
      <c r="N3527" s="1">
        <f t="shared" si="279"/>
        <v>13340</v>
      </c>
    </row>
    <row r="3528" spans="1:14" x14ac:dyDescent="0.3">
      <c r="A3528" s="1">
        <v>13342</v>
      </c>
      <c r="B3528" s="7" t="s">
        <v>5393</v>
      </c>
      <c r="C3528" s="12">
        <v>4654</v>
      </c>
      <c r="D3528" s="7" t="s">
        <v>5394</v>
      </c>
      <c r="E3528" s="13" t="s">
        <v>4996</v>
      </c>
      <c r="F3528" t="str">
        <f t="shared" si="275"/>
        <v>McKinney</v>
      </c>
      <c r="G3528" t="str">
        <f t="shared" si="276"/>
        <v>McKinney4654Dallas</v>
      </c>
      <c r="H3528" t="s">
        <v>34386</v>
      </c>
      <c r="I3528" t="s">
        <v>25810</v>
      </c>
      <c r="J3528" t="str">
        <f t="shared" si="277"/>
        <v>E:\PropInv\MF</v>
      </c>
      <c r="K3528" s="103" t="str">
        <f>HYPERLINK("E:\PropInv\MF\Dallas\McKinney Ave_4654_Courtyards at Knox Park_Dallas_13342","McKinney Ave_4654_Courtyards at Knox Park_Dallas_13342" )</f>
        <v>McKinney Ave_4654_Courtyards at Knox Park_Dallas_13342</v>
      </c>
      <c r="L3528" s="104" t="s">
        <v>22253</v>
      </c>
      <c r="M3528" s="103" t="str">
        <f t="shared" si="278"/>
        <v>http://oconnordata.com/mlink/modules/profile/index.cfm?action=profile&amp;prop_id=13342</v>
      </c>
      <c r="N3528" s="1">
        <f t="shared" si="279"/>
        <v>13342</v>
      </c>
    </row>
    <row r="3529" spans="1:14" x14ac:dyDescent="0.3">
      <c r="A3529" s="1">
        <v>13343</v>
      </c>
      <c r="B3529" s="7" t="s">
        <v>5395</v>
      </c>
      <c r="C3529" s="12">
        <v>1109</v>
      </c>
      <c r="D3529" s="7" t="s">
        <v>5396</v>
      </c>
      <c r="E3529" s="13" t="s">
        <v>5076</v>
      </c>
      <c r="F3529" t="str">
        <f t="shared" si="275"/>
        <v>Carrier</v>
      </c>
      <c r="G3529" t="str">
        <f t="shared" si="276"/>
        <v>Carrier1109Grand Prairie</v>
      </c>
      <c r="H3529" t="s">
        <v>34387</v>
      </c>
      <c r="I3529" t="s">
        <v>25811</v>
      </c>
      <c r="J3529" t="str">
        <f t="shared" si="277"/>
        <v>E:\PropInv\MF</v>
      </c>
      <c r="K3529" s="103" t="str">
        <f>HYPERLINK("E:\PropInv\MF\Grand Prairie\Carrier Pkwy_1109_Covington_Grand Prairie_13343","Carrier Pkwy_1109_Covington_Grand Prairie_13343" )</f>
        <v>Carrier Pkwy_1109_Covington_Grand Prairie_13343</v>
      </c>
      <c r="L3529" s="104" t="s">
        <v>22253</v>
      </c>
      <c r="M3529" s="103" t="str">
        <f t="shared" si="278"/>
        <v>http://oconnordata.com/mlink/modules/profile/index.cfm?action=profile&amp;prop_id=13343</v>
      </c>
      <c r="N3529" s="1">
        <f t="shared" si="279"/>
        <v>13343</v>
      </c>
    </row>
    <row r="3530" spans="1:14" x14ac:dyDescent="0.3">
      <c r="A3530" s="1">
        <v>13344</v>
      </c>
      <c r="B3530" s="7" t="s">
        <v>5397</v>
      </c>
      <c r="C3530" s="12">
        <v>4188</v>
      </c>
      <c r="D3530" s="7" t="s">
        <v>5398</v>
      </c>
      <c r="E3530" s="13" t="s">
        <v>5046</v>
      </c>
      <c r="F3530" t="str">
        <f t="shared" si="275"/>
        <v>Pioneer</v>
      </c>
      <c r="G3530" t="str">
        <f t="shared" si="276"/>
        <v>Pioneer4188Irving</v>
      </c>
      <c r="H3530" t="s">
        <v>34388</v>
      </c>
      <c r="I3530" t="s">
        <v>25812</v>
      </c>
      <c r="J3530" t="str">
        <f t="shared" si="277"/>
        <v>E:\PropInv\MF</v>
      </c>
      <c r="K3530" s="103" t="str">
        <f>HYPERLINK("E:\PropInv\MF\Irving\Pioneer W_4188_Covington Creek_Irving_13344","Pioneer W_4188_Covington Creek_Irving_13344" )</f>
        <v>Pioneer W_4188_Covington Creek_Irving_13344</v>
      </c>
      <c r="L3530" s="104" t="s">
        <v>22253</v>
      </c>
      <c r="M3530" s="103" t="str">
        <f t="shared" si="278"/>
        <v>http://oconnordata.com/mlink/modules/profile/index.cfm?action=profile&amp;prop_id=13344</v>
      </c>
      <c r="N3530" s="1">
        <f t="shared" si="279"/>
        <v>13344</v>
      </c>
    </row>
    <row r="3531" spans="1:14" x14ac:dyDescent="0.3">
      <c r="A3531" s="1">
        <v>13345</v>
      </c>
      <c r="B3531" s="7" t="s">
        <v>5399</v>
      </c>
      <c r="C3531" s="12">
        <v>11110</v>
      </c>
      <c r="D3531" s="7" t="s">
        <v>5400</v>
      </c>
      <c r="E3531" s="13" t="s">
        <v>4996</v>
      </c>
      <c r="F3531" t="str">
        <f t="shared" si="275"/>
        <v>Woodmeadow</v>
      </c>
      <c r="G3531" t="str">
        <f t="shared" si="276"/>
        <v>Woodmeadow11110Dallas</v>
      </c>
      <c r="H3531" t="s">
        <v>34389</v>
      </c>
      <c r="I3531" t="s">
        <v>25813</v>
      </c>
      <c r="J3531" t="str">
        <f t="shared" si="277"/>
        <v>E:\PropInv\MF</v>
      </c>
      <c r="K3531" s="103" t="str">
        <f>HYPERLINK("E:\PropInv\MF\Dallas\Woodmeadow Pkwy_11110_Creek Stone_Dallas_13345","Woodmeadow Pkwy_11110_Creek Stone_Dallas_13345" )</f>
        <v>Woodmeadow Pkwy_11110_Creek Stone_Dallas_13345</v>
      </c>
      <c r="L3531" s="104" t="s">
        <v>22253</v>
      </c>
      <c r="M3531" s="103" t="str">
        <f t="shared" si="278"/>
        <v>http://oconnordata.com/mlink/modules/profile/index.cfm?action=profile&amp;prop_id=13345</v>
      </c>
      <c r="N3531" s="1">
        <f t="shared" si="279"/>
        <v>13345</v>
      </c>
    </row>
    <row r="3532" spans="1:14" x14ac:dyDescent="0.3">
      <c r="A3532" s="1">
        <v>13347</v>
      </c>
      <c r="B3532" s="7" t="s">
        <v>5401</v>
      </c>
      <c r="C3532" s="12">
        <v>7501</v>
      </c>
      <c r="D3532" s="7" t="s">
        <v>5402</v>
      </c>
      <c r="E3532" s="13" t="s">
        <v>4996</v>
      </c>
      <c r="F3532" t="str">
        <f t="shared" si="275"/>
        <v>Chesterfield</v>
      </c>
      <c r="G3532" t="str">
        <f t="shared" si="276"/>
        <v>Chesterfield7501Dallas</v>
      </c>
      <c r="H3532" t="s">
        <v>34390</v>
      </c>
      <c r="I3532" t="s">
        <v>25814</v>
      </c>
      <c r="J3532" t="str">
        <f t="shared" si="277"/>
        <v>E:\PropInv\MF</v>
      </c>
      <c r="K3532" s="103" t="str">
        <f>HYPERLINK("E:\PropInv\MF\Dallas\Chesterfield Dr_7501_Mandalay Palms I_Dallas_13347","Chesterfield Dr_7501_Mandalay Palms I_Dallas_13347" )</f>
        <v>Chesterfield Dr_7501_Mandalay Palms I_Dallas_13347</v>
      </c>
      <c r="L3532" s="104" t="s">
        <v>22253</v>
      </c>
      <c r="M3532" s="103" t="str">
        <f t="shared" si="278"/>
        <v>http://oconnordata.com/mlink/modules/profile/index.cfm?action=profile&amp;prop_id=13347</v>
      </c>
      <c r="N3532" s="1">
        <f t="shared" si="279"/>
        <v>13347</v>
      </c>
    </row>
    <row r="3533" spans="1:14" x14ac:dyDescent="0.3">
      <c r="A3533" s="1">
        <v>13348</v>
      </c>
      <c r="B3533" s="7" t="s">
        <v>5403</v>
      </c>
      <c r="C3533" s="12">
        <v>3110</v>
      </c>
      <c r="D3533" s="7" t="s">
        <v>3259</v>
      </c>
      <c r="E3533" s="13" t="s">
        <v>5019</v>
      </c>
      <c r="F3533" t="str">
        <f t="shared" si="275"/>
        <v>Walnut</v>
      </c>
      <c r="G3533" t="str">
        <f t="shared" si="276"/>
        <v>Walnut3110Garland</v>
      </c>
      <c r="H3533" t="s">
        <v>34391</v>
      </c>
      <c r="I3533" t="s">
        <v>25815</v>
      </c>
      <c r="J3533" t="str">
        <f t="shared" si="277"/>
        <v>E:\PropInv\MF</v>
      </c>
      <c r="K3533" s="103" t="str">
        <f>HYPERLINK("E:\PropInv\MF\Garland\Walnut W_3110_Creekside_Garland_13348","Walnut W_3110_Creekside_Garland_13348" )</f>
        <v>Walnut W_3110_Creekside_Garland_13348</v>
      </c>
      <c r="L3533" s="104" t="s">
        <v>22253</v>
      </c>
      <c r="M3533" s="103" t="str">
        <f t="shared" si="278"/>
        <v>http://oconnordata.com/mlink/modules/profile/index.cfm?action=profile&amp;prop_id=13348</v>
      </c>
      <c r="N3533" s="1">
        <f t="shared" si="279"/>
        <v>13348</v>
      </c>
    </row>
    <row r="3534" spans="1:14" x14ac:dyDescent="0.3">
      <c r="A3534" s="1">
        <v>13350</v>
      </c>
      <c r="B3534" s="7" t="s">
        <v>5177</v>
      </c>
      <c r="C3534" s="12">
        <v>14255</v>
      </c>
      <c r="D3534" s="7" t="s">
        <v>5404</v>
      </c>
      <c r="E3534" s="13" t="s">
        <v>4996</v>
      </c>
      <c r="F3534" t="str">
        <f t="shared" si="275"/>
        <v>Preston</v>
      </c>
      <c r="G3534" t="str">
        <f t="shared" si="276"/>
        <v>Preston14255Dallas</v>
      </c>
      <c r="H3534" t="s">
        <v>34392</v>
      </c>
      <c r="I3534" t="s">
        <v>25816</v>
      </c>
      <c r="J3534" t="str">
        <f t="shared" si="277"/>
        <v>E:\PropInv\MF</v>
      </c>
      <c r="K3534" s="103" t="str">
        <f>HYPERLINK("E:\PropInv\MF\Dallas\Preston_14255_Creekview_Dallas_13350","Preston_14255_Creekview_Dallas_13350" )</f>
        <v>Preston_14255_Creekview_Dallas_13350</v>
      </c>
      <c r="L3534" s="104" t="s">
        <v>22253</v>
      </c>
      <c r="M3534" s="103" t="str">
        <f t="shared" si="278"/>
        <v>http://oconnordata.com/mlink/modules/profile/index.cfm?action=profile&amp;prop_id=13350</v>
      </c>
      <c r="N3534" s="1">
        <f t="shared" si="279"/>
        <v>13350</v>
      </c>
    </row>
    <row r="3535" spans="1:14" x14ac:dyDescent="0.3">
      <c r="A3535" s="1">
        <v>13351</v>
      </c>
      <c r="B3535" s="7" t="s">
        <v>5405</v>
      </c>
      <c r="C3535" s="12">
        <v>151</v>
      </c>
      <c r="D3535" s="7" t="s">
        <v>5406</v>
      </c>
      <c r="E3535" s="13" t="s">
        <v>5407</v>
      </c>
      <c r="F3535" t="str">
        <f t="shared" si="275"/>
        <v>Little</v>
      </c>
      <c r="G3535" t="str">
        <f t="shared" si="276"/>
        <v>Little151Cedar Hill</v>
      </c>
      <c r="H3535" t="s">
        <v>34393</v>
      </c>
      <c r="I3535" t="s">
        <v>25817</v>
      </c>
      <c r="J3535" t="str">
        <f t="shared" si="277"/>
        <v>E:\PropInv\MF</v>
      </c>
      <c r="K3535" s="103" t="str">
        <f>HYPERLINK("E:\PropInv\MF\Cedar Hill\Little Creek Rd_151_Little Creek Apts_Cedar Hill_13351","Little Creek Rd_151_Little Creek Apts_Cedar Hill_13351" )</f>
        <v>Little Creek Rd_151_Little Creek Apts_Cedar Hill_13351</v>
      </c>
      <c r="L3535" s="104" t="s">
        <v>22253</v>
      </c>
      <c r="M3535" s="103" t="str">
        <f t="shared" si="278"/>
        <v>http://oconnordata.com/mlink/modules/profile/index.cfm?action=profile&amp;prop_id=13351</v>
      </c>
      <c r="N3535" s="1">
        <f t="shared" si="279"/>
        <v>13351</v>
      </c>
    </row>
    <row r="3536" spans="1:14" x14ac:dyDescent="0.3">
      <c r="A3536" s="1">
        <v>13352</v>
      </c>
      <c r="B3536" s="19" t="s">
        <v>5408</v>
      </c>
      <c r="C3536" s="12">
        <v>4208</v>
      </c>
      <c r="D3536" s="7" t="s">
        <v>2363</v>
      </c>
      <c r="E3536" s="13" t="s">
        <v>5046</v>
      </c>
      <c r="F3536" t="str">
        <f t="shared" si="275"/>
        <v>Pioneer</v>
      </c>
      <c r="G3536" t="str">
        <f t="shared" si="276"/>
        <v>Pioneer4208Irving</v>
      </c>
      <c r="H3536" t="s">
        <v>34394</v>
      </c>
      <c r="I3536" t="s">
        <v>25818</v>
      </c>
      <c r="J3536" t="str">
        <f t="shared" si="277"/>
        <v>E:\PropInv\MF</v>
      </c>
      <c r="K3536" s="103" t="str">
        <f>HYPERLINK("E:\PropInv\MF\Irving\Pioneer Dr W_4208_Creekwood_Irving_13352","Pioneer Dr W_4208_Creekwood_Irving_13352" )</f>
        <v>Pioneer Dr W_4208_Creekwood_Irving_13352</v>
      </c>
      <c r="L3536" s="104" t="s">
        <v>22253</v>
      </c>
      <c r="M3536" s="103" t="str">
        <f t="shared" si="278"/>
        <v>http://oconnordata.com/mlink/modules/profile/index.cfm?action=profile&amp;prop_id=13352</v>
      </c>
      <c r="N3536" s="1">
        <f t="shared" si="279"/>
        <v>13352</v>
      </c>
    </row>
    <row r="3537" spans="1:14" x14ac:dyDescent="0.3">
      <c r="A3537" s="1">
        <v>13353</v>
      </c>
      <c r="B3537" s="7" t="s">
        <v>5409</v>
      </c>
      <c r="C3537" s="12">
        <v>485</v>
      </c>
      <c r="D3537" s="7" t="s">
        <v>5410</v>
      </c>
      <c r="E3537" s="13" t="s">
        <v>5411</v>
      </c>
      <c r="F3537" t="str">
        <f t="shared" si="275"/>
        <v>Rolling</v>
      </c>
      <c r="G3537" t="str">
        <f t="shared" si="276"/>
        <v>Rolling485Lancaster</v>
      </c>
      <c r="H3537" t="s">
        <v>34395</v>
      </c>
      <c r="I3537" t="s">
        <v>25819</v>
      </c>
      <c r="J3537" t="str">
        <f t="shared" si="277"/>
        <v>E:\PropInv\MF</v>
      </c>
      <c r="K3537" s="103" t="str">
        <f>HYPERLINK("E:\PropInv\MF\Lancaster\Rolling Hills Place_485_Creekwood Place_Lancaster_13353","Rolling Hills Place_485_Creekwood Place_Lancaster_13353" )</f>
        <v>Rolling Hills Place_485_Creekwood Place_Lancaster_13353</v>
      </c>
      <c r="L3537" s="104" t="s">
        <v>22253</v>
      </c>
      <c r="M3537" s="103" t="str">
        <f t="shared" si="278"/>
        <v>http://oconnordata.com/mlink/modules/profile/index.cfm?action=profile&amp;prop_id=13353</v>
      </c>
      <c r="N3537" s="1">
        <f t="shared" si="279"/>
        <v>13353</v>
      </c>
    </row>
    <row r="3538" spans="1:14" x14ac:dyDescent="0.3">
      <c r="A3538" s="1">
        <v>13354</v>
      </c>
      <c r="B3538" s="7" t="s">
        <v>5300</v>
      </c>
      <c r="C3538" s="12">
        <v>10928</v>
      </c>
      <c r="D3538" s="7" t="s">
        <v>5412</v>
      </c>
      <c r="E3538" s="13" t="s">
        <v>4996</v>
      </c>
      <c r="F3538" t="str">
        <f t="shared" si="275"/>
        <v>Audelia</v>
      </c>
      <c r="G3538" t="str">
        <f t="shared" si="276"/>
        <v>Audelia10928Dallas</v>
      </c>
      <c r="H3538" t="s">
        <v>34396</v>
      </c>
      <c r="I3538" t="s">
        <v>25820</v>
      </c>
      <c r="J3538" t="str">
        <f t="shared" si="277"/>
        <v>E:\PropInv\MF</v>
      </c>
      <c r="K3538" s="103" t="str">
        <f>HYPERLINK("E:\PropInv\MF\Dallas\Audelia_10928_The Azul_Dallas_13354","Audelia_10928_The Azul_Dallas_13354" )</f>
        <v>Audelia_10928_The Azul_Dallas_13354</v>
      </c>
      <c r="L3538" s="104" t="s">
        <v>22253</v>
      </c>
      <c r="M3538" s="103" t="str">
        <f t="shared" si="278"/>
        <v>http://oconnordata.com/mlink/modules/profile/index.cfm?action=profile&amp;prop_id=13354</v>
      </c>
      <c r="N3538" s="1">
        <f t="shared" si="279"/>
        <v>13354</v>
      </c>
    </row>
    <row r="3539" spans="1:14" x14ac:dyDescent="0.3">
      <c r="A3539" s="1">
        <v>13355</v>
      </c>
      <c r="B3539" s="7" t="s">
        <v>5413</v>
      </c>
      <c r="C3539" s="12">
        <v>801</v>
      </c>
      <c r="D3539" s="7" t="s">
        <v>5414</v>
      </c>
      <c r="E3539" s="13" t="s">
        <v>5055</v>
      </c>
      <c r="F3539" t="str">
        <f t="shared" si="275"/>
        <v>Hebron</v>
      </c>
      <c r="G3539" t="str">
        <f t="shared" si="276"/>
        <v>Hebron801Lewisville</v>
      </c>
      <c r="H3539" t="s">
        <v>34397</v>
      </c>
      <c r="I3539" t="s">
        <v>25821</v>
      </c>
      <c r="J3539" t="str">
        <f t="shared" si="277"/>
        <v>E:\PropInv\MF</v>
      </c>
      <c r="K3539" s="103" t="str">
        <f>HYPERLINK("E:\PropInv\MF\Lewisville\Hebron Pkwy_801_Crescent Cove at Lakepoint_Lewisville_13355","Hebron Pkwy_801_Crescent Cove at Lakepoint_Lewisville_13355" )</f>
        <v>Hebron Pkwy_801_Crescent Cove at Lakepoint_Lewisville_13355</v>
      </c>
      <c r="L3539" s="104" t="s">
        <v>22253</v>
      </c>
      <c r="M3539" s="103" t="str">
        <f t="shared" si="278"/>
        <v>http://oconnordata.com/mlink/modules/profile/index.cfm?action=profile&amp;prop_id=13355</v>
      </c>
      <c r="N3539" s="1">
        <f t="shared" si="279"/>
        <v>13355</v>
      </c>
    </row>
    <row r="3540" spans="1:14" x14ac:dyDescent="0.3">
      <c r="A3540" s="1">
        <v>13356</v>
      </c>
      <c r="B3540" s="7" t="s">
        <v>5415</v>
      </c>
      <c r="C3540" s="12">
        <v>2924</v>
      </c>
      <c r="D3540" s="7" t="s">
        <v>5416</v>
      </c>
      <c r="E3540" s="13" t="s">
        <v>4996</v>
      </c>
      <c r="F3540" t="str">
        <f t="shared" si="275"/>
        <v>Lucas</v>
      </c>
      <c r="G3540" t="str">
        <f t="shared" si="276"/>
        <v>Lucas2924Dallas</v>
      </c>
      <c r="H3540" t="s">
        <v>34398</v>
      </c>
      <c r="I3540" t="s">
        <v>25822</v>
      </c>
      <c r="J3540" t="str">
        <f t="shared" si="277"/>
        <v>E:\PropInv\MF</v>
      </c>
      <c r="K3540" s="103" t="str">
        <f>HYPERLINK("E:\PropInv\MF\Dallas\Lucas Dr_2924_Crescent View_Dallas_13356","Lucas Dr_2924_Crescent View_Dallas_13356" )</f>
        <v>Lucas Dr_2924_Crescent View_Dallas_13356</v>
      </c>
      <c r="L3540" s="104" t="s">
        <v>22253</v>
      </c>
      <c r="M3540" s="103" t="str">
        <f t="shared" si="278"/>
        <v>http://oconnordata.com/mlink/modules/profile/index.cfm?action=profile&amp;prop_id=13356</v>
      </c>
      <c r="N3540" s="1">
        <f t="shared" si="279"/>
        <v>13356</v>
      </c>
    </row>
    <row r="3541" spans="1:14" x14ac:dyDescent="0.3">
      <c r="A3541" s="1">
        <v>13357</v>
      </c>
      <c r="B3541" s="7" t="s">
        <v>5391</v>
      </c>
      <c r="C3541" s="12">
        <v>6417</v>
      </c>
      <c r="D3541" s="7" t="s">
        <v>5417</v>
      </c>
      <c r="E3541" s="13" t="s">
        <v>4996</v>
      </c>
      <c r="F3541" t="str">
        <f t="shared" si="275"/>
        <v>Ridgecrest</v>
      </c>
      <c r="G3541" t="str">
        <f t="shared" si="276"/>
        <v>Ridgecrest6417Dallas</v>
      </c>
      <c r="H3541" t="s">
        <v>34399</v>
      </c>
      <c r="I3541" t="s">
        <v>25823</v>
      </c>
      <c r="J3541" t="str">
        <f t="shared" si="277"/>
        <v>E:\PropInv\MF</v>
      </c>
      <c r="K3541" s="103" t="str">
        <f>HYPERLINK("E:\PropInv\MF\Dallas\Ridgecrest_6417_Crestridge_Dallas_13357","Ridgecrest_6417_Crestridge_Dallas_13357" )</f>
        <v>Ridgecrest_6417_Crestridge_Dallas_13357</v>
      </c>
      <c r="L3541" s="104" t="s">
        <v>22253</v>
      </c>
      <c r="M3541" s="103" t="str">
        <f t="shared" si="278"/>
        <v>http://oconnordata.com/mlink/modules/profile/index.cfm?action=profile&amp;prop_id=13357</v>
      </c>
      <c r="N3541" s="1">
        <f t="shared" si="279"/>
        <v>13357</v>
      </c>
    </row>
    <row r="3542" spans="1:14" x14ac:dyDescent="0.3">
      <c r="A3542" s="1">
        <v>13358</v>
      </c>
      <c r="B3542" s="7" t="s">
        <v>5216</v>
      </c>
      <c r="C3542" s="12">
        <v>6033</v>
      </c>
      <c r="D3542" s="7" t="s">
        <v>147</v>
      </c>
      <c r="E3542" s="13" t="s">
        <v>4996</v>
      </c>
      <c r="F3542" t="str">
        <f t="shared" si="275"/>
        <v>NW</v>
      </c>
      <c r="G3542" t="str">
        <f t="shared" si="276"/>
        <v>NW6033Dallas</v>
      </c>
      <c r="H3542" t="s">
        <v>34400</v>
      </c>
      <c r="I3542" t="s">
        <v>25824</v>
      </c>
      <c r="J3542" t="str">
        <f t="shared" si="277"/>
        <v>E:\PropInv\MF</v>
      </c>
      <c r="K3542" s="103" t="str">
        <f>HYPERLINK("E:\PropInv\MF\Dallas\NW Hwy E_6033_Cross Creek_Dallas_13358","NW Hwy E_6033_Cross Creek_Dallas_13358" )</f>
        <v>NW Hwy E_6033_Cross Creek_Dallas_13358</v>
      </c>
      <c r="L3542" s="104" t="s">
        <v>22253</v>
      </c>
      <c r="M3542" s="103" t="str">
        <f t="shared" si="278"/>
        <v>http://oconnordata.com/mlink/modules/profile/index.cfm?action=profile&amp;prop_id=13358</v>
      </c>
      <c r="N3542" s="1">
        <f t="shared" si="279"/>
        <v>13358</v>
      </c>
    </row>
    <row r="3543" spans="1:14" x14ac:dyDescent="0.3">
      <c r="A3543" s="1">
        <v>13359</v>
      </c>
      <c r="B3543" s="7" t="s">
        <v>5418</v>
      </c>
      <c r="C3543" s="12">
        <v>7401</v>
      </c>
      <c r="D3543" s="7" t="s">
        <v>147</v>
      </c>
      <c r="E3543" s="13" t="s">
        <v>5009</v>
      </c>
      <c r="F3543" t="str">
        <f t="shared" si="275"/>
        <v>Alma</v>
      </c>
      <c r="G3543" t="str">
        <f t="shared" si="276"/>
        <v>Alma7401Plano</v>
      </c>
      <c r="H3543" t="s">
        <v>34401</v>
      </c>
      <c r="I3543" t="s">
        <v>25825</v>
      </c>
      <c r="J3543" t="str">
        <f t="shared" si="277"/>
        <v>E:\PropInv\MF</v>
      </c>
      <c r="K3543" s="103" t="str">
        <f>HYPERLINK("E:\PropInv\MF\Plano\Alma_7401_Cross Creek_Plano_13359","Alma_7401_Cross Creek_Plano_13359" )</f>
        <v>Alma_7401_Cross Creek_Plano_13359</v>
      </c>
      <c r="L3543" s="104" t="s">
        <v>22253</v>
      </c>
      <c r="M3543" s="103" t="str">
        <f t="shared" si="278"/>
        <v>http://oconnordata.com/mlink/modules/profile/index.cfm?action=profile&amp;prop_id=13359</v>
      </c>
      <c r="N3543" s="1">
        <f t="shared" si="279"/>
        <v>13359</v>
      </c>
    </row>
    <row r="3544" spans="1:14" x14ac:dyDescent="0.3">
      <c r="A3544" s="1">
        <v>13360</v>
      </c>
      <c r="B3544" s="7" t="s">
        <v>5419</v>
      </c>
      <c r="C3544" s="12">
        <v>8850</v>
      </c>
      <c r="D3544" s="7" t="s">
        <v>5420</v>
      </c>
      <c r="E3544" s="13" t="s">
        <v>4996</v>
      </c>
      <c r="F3544" t="str">
        <f t="shared" si="275"/>
        <v>Fair</v>
      </c>
      <c r="G3544" t="str">
        <f t="shared" si="276"/>
        <v>Fair8850Dallas</v>
      </c>
      <c r="H3544" t="s">
        <v>34402</v>
      </c>
      <c r="I3544" t="s">
        <v>25826</v>
      </c>
      <c r="J3544" t="str">
        <f t="shared" si="277"/>
        <v>E:\PropInv\MF</v>
      </c>
      <c r="K3544" s="103" t="str">
        <f>HYPERLINK("E:\PropInv\MF\Dallas\Fair Oaks Crossing_8850_Sonora Palms_Dallas_13360","Fair Oaks Crossing_8850_Sonora Palms_Dallas_13360" )</f>
        <v>Fair Oaks Crossing_8850_Sonora Palms_Dallas_13360</v>
      </c>
      <c r="L3544" s="104" t="s">
        <v>22253</v>
      </c>
      <c r="M3544" s="103" t="str">
        <f t="shared" si="278"/>
        <v>http://oconnordata.com/mlink/modules/profile/index.cfm?action=profile&amp;prop_id=13360</v>
      </c>
      <c r="N3544" s="1">
        <f t="shared" si="279"/>
        <v>13360</v>
      </c>
    </row>
    <row r="3545" spans="1:14" x14ac:dyDescent="0.3">
      <c r="A3545" s="1">
        <v>13361</v>
      </c>
      <c r="B3545" s="7" t="s">
        <v>1472</v>
      </c>
      <c r="C3545" s="12">
        <v>2615</v>
      </c>
      <c r="D3545" s="7" t="s">
        <v>5421</v>
      </c>
      <c r="E3545" s="13" t="s">
        <v>5046</v>
      </c>
      <c r="F3545" t="str">
        <f t="shared" si="275"/>
        <v>Walnut</v>
      </c>
      <c r="G3545" t="str">
        <f t="shared" si="276"/>
        <v>Walnut2615Irving</v>
      </c>
      <c r="H3545" t="s">
        <v>34403</v>
      </c>
      <c r="I3545" t="s">
        <v>25827</v>
      </c>
      <c r="J3545" t="str">
        <f t="shared" si="277"/>
        <v>E:\PropInv\MF</v>
      </c>
      <c r="K3545" s="103" t="str">
        <f>HYPERLINK("E:\PropInv\MF\Irving\Walnut Hill_2615_Crossings on Walnut Hill_Irving_13361","Walnut Hill_2615_Crossings on Walnut Hill_Irving_13361" )</f>
        <v>Walnut Hill_2615_Crossings on Walnut Hill_Irving_13361</v>
      </c>
      <c r="L3545" s="104" t="s">
        <v>22253</v>
      </c>
      <c r="M3545" s="103" t="str">
        <f t="shared" si="278"/>
        <v>http://oconnordata.com/mlink/modules/profile/index.cfm?action=profile&amp;prop_id=13361</v>
      </c>
      <c r="N3545" s="1">
        <f t="shared" si="279"/>
        <v>13361</v>
      </c>
    </row>
    <row r="3546" spans="1:14" x14ac:dyDescent="0.3">
      <c r="A3546" s="1">
        <v>13364</v>
      </c>
      <c r="B3546" s="7" t="s">
        <v>5422</v>
      </c>
      <c r="C3546" s="12">
        <v>3718</v>
      </c>
      <c r="D3546" s="7" t="s">
        <v>116</v>
      </c>
      <c r="E3546" s="13" t="s">
        <v>5088</v>
      </c>
      <c r="F3546" t="str">
        <f t="shared" si="275"/>
        <v>Gus</v>
      </c>
      <c r="G3546" t="str">
        <f t="shared" si="276"/>
        <v>Gus3718Mesquite</v>
      </c>
      <c r="H3546" t="s">
        <v>34404</v>
      </c>
      <c r="I3546" t="s">
        <v>25828</v>
      </c>
      <c r="J3546" t="str">
        <f t="shared" si="277"/>
        <v>E:\PropInv\MF</v>
      </c>
      <c r="K3546" s="103" t="str">
        <f>HYPERLINK("E:\PropInv\MF\Mesquite\Gus Thomasson_3718_Churchill Crossing_Mesquite_13364","Gus Thomasson_3718_Churchill Crossing_Mesquite_13364" )</f>
        <v>Gus Thomasson_3718_Churchill Crossing_Mesquite_13364</v>
      </c>
      <c r="L3546" s="104" t="s">
        <v>22253</v>
      </c>
      <c r="M3546" s="103" t="str">
        <f t="shared" si="278"/>
        <v>http://oconnordata.com/mlink/modules/profile/index.cfm?action=profile&amp;prop_id=13364</v>
      </c>
      <c r="N3546" s="1">
        <f t="shared" si="279"/>
        <v>13364</v>
      </c>
    </row>
    <row r="3547" spans="1:14" x14ac:dyDescent="0.3">
      <c r="A3547" s="1">
        <v>13365</v>
      </c>
      <c r="B3547" s="7" t="s">
        <v>5423</v>
      </c>
      <c r="C3547" s="12">
        <v>3400</v>
      </c>
      <c r="D3547" s="7" t="s">
        <v>5424</v>
      </c>
      <c r="E3547" s="13" t="s">
        <v>5009</v>
      </c>
      <c r="F3547" t="str">
        <f t="shared" si="275"/>
        <v>Custer</v>
      </c>
      <c r="G3547" t="str">
        <f t="shared" si="276"/>
        <v>Custer3400Plano</v>
      </c>
      <c r="H3547" t="s">
        <v>34405</v>
      </c>
      <c r="I3547" t="s">
        <v>25829</v>
      </c>
      <c r="J3547" t="str">
        <f t="shared" si="277"/>
        <v>E:\PropInv\MF</v>
      </c>
      <c r="K3547" s="103" t="str">
        <f>HYPERLINK("E:\PropInv\MF\Plano\Custer_3400_Custer Park_Plano_13365","Custer_3400_Custer Park_Plano_13365" )</f>
        <v>Custer_3400_Custer Park_Plano_13365</v>
      </c>
      <c r="L3547" s="104" t="s">
        <v>22253</v>
      </c>
      <c r="M3547" s="103" t="str">
        <f t="shared" si="278"/>
        <v>http://oconnordata.com/mlink/modules/profile/index.cfm?action=profile&amp;prop_id=13365</v>
      </c>
      <c r="N3547" s="1">
        <f t="shared" si="279"/>
        <v>13365</v>
      </c>
    </row>
    <row r="3548" spans="1:14" x14ac:dyDescent="0.3">
      <c r="A3548" s="1">
        <v>13366</v>
      </c>
      <c r="B3548" s="7" t="s">
        <v>5425</v>
      </c>
      <c r="C3548" s="12">
        <v>1111</v>
      </c>
      <c r="D3548" s="7" t="s">
        <v>5426</v>
      </c>
      <c r="E3548" s="13" t="s">
        <v>3328</v>
      </c>
      <c r="F3548" t="str">
        <f t="shared" si="275"/>
        <v>Abrams</v>
      </c>
      <c r="G3548" t="str">
        <f t="shared" si="276"/>
        <v>Abrams1111Richardson</v>
      </c>
      <c r="H3548" t="s">
        <v>34406</v>
      </c>
      <c r="I3548" t="s">
        <v>25830</v>
      </c>
      <c r="J3548" t="str">
        <f t="shared" si="277"/>
        <v>E:\PropInv\MF</v>
      </c>
      <c r="K3548" s="103" t="str">
        <f>HYPERLINK("E:\PropInv\MF\Richardson\Abrams Rd_1111_Cutter's Point_Richardson_13366","Abrams Rd_1111_Cutter's Point_Richardson_13366" )</f>
        <v>Abrams Rd_1111_Cutter's Point_Richardson_13366</v>
      </c>
      <c r="L3548" s="104" t="s">
        <v>22253</v>
      </c>
      <c r="M3548" s="103" t="str">
        <f t="shared" si="278"/>
        <v>http://oconnordata.com/mlink/modules/profile/index.cfm?action=profile&amp;prop_id=13366</v>
      </c>
      <c r="N3548" s="1">
        <f t="shared" si="279"/>
        <v>13366</v>
      </c>
    </row>
    <row r="3549" spans="1:14" x14ac:dyDescent="0.3">
      <c r="A3549" s="1">
        <v>13368</v>
      </c>
      <c r="B3549" s="7" t="s">
        <v>5427</v>
      </c>
      <c r="C3549" s="12">
        <v>7902</v>
      </c>
      <c r="D3549" s="7" t="s">
        <v>5428</v>
      </c>
      <c r="E3549" s="13" t="s">
        <v>5046</v>
      </c>
      <c r="F3549" t="str">
        <f t="shared" si="275"/>
        <v>Macarthur</v>
      </c>
      <c r="G3549" t="str">
        <f t="shared" si="276"/>
        <v>Macarthur7902Irving</v>
      </c>
      <c r="H3549" t="s">
        <v>34407</v>
      </c>
      <c r="I3549" t="s">
        <v>25831</v>
      </c>
      <c r="J3549" t="str">
        <f t="shared" si="277"/>
        <v>E:\PropInv\MF</v>
      </c>
      <c r="K3549" s="103" t="str">
        <f>HYPERLINK("E:\PropInv\MF\Irving\Macarthur Blvd_7902_Legacy at Valley Ranch_Irving_13368","Macarthur Blvd_7902_Legacy at Valley Ranch_Irving_13368" )</f>
        <v>Macarthur Blvd_7902_Legacy at Valley Ranch_Irving_13368</v>
      </c>
      <c r="L3549" s="104" t="s">
        <v>22253</v>
      </c>
      <c r="M3549" s="103" t="str">
        <f t="shared" si="278"/>
        <v>http://oconnordata.com/mlink/modules/profile/index.cfm?action=profile&amp;prop_id=13368</v>
      </c>
      <c r="N3549" s="1">
        <f t="shared" si="279"/>
        <v>13368</v>
      </c>
    </row>
    <row r="3550" spans="1:14" x14ac:dyDescent="0.3">
      <c r="A3550" s="1">
        <v>13369</v>
      </c>
      <c r="B3550" s="7" t="s">
        <v>5429</v>
      </c>
      <c r="C3550" s="12">
        <v>2880</v>
      </c>
      <c r="D3550" s="7" t="s">
        <v>3984</v>
      </c>
      <c r="E3550" s="13" t="s">
        <v>4996</v>
      </c>
      <c r="F3550" t="str">
        <f t="shared" si="275"/>
        <v>Peavy</v>
      </c>
      <c r="G3550" t="str">
        <f t="shared" si="276"/>
        <v>Peavy2880Dallas</v>
      </c>
      <c r="H3550" t="s">
        <v>34408</v>
      </c>
      <c r="I3550" t="s">
        <v>25832</v>
      </c>
      <c r="J3550" t="str">
        <f t="shared" si="277"/>
        <v>E:\PropInv\MF</v>
      </c>
      <c r="K3550" s="103" t="str">
        <f>HYPERLINK("E:\PropInv\MF\Dallas\Peavy Rd_2880_Vista Del Sol_Dallas_13369","Peavy Rd_2880_Vista Del Sol_Dallas_13369" )</f>
        <v>Peavy Rd_2880_Vista Del Sol_Dallas_13369</v>
      </c>
      <c r="L3550" s="104" t="s">
        <v>22253</v>
      </c>
      <c r="M3550" s="103" t="str">
        <f t="shared" si="278"/>
        <v>http://oconnordata.com/mlink/modules/profile/index.cfm?action=profile&amp;prop_id=13369</v>
      </c>
      <c r="N3550" s="1">
        <f t="shared" si="279"/>
        <v>13369</v>
      </c>
    </row>
    <row r="3551" spans="1:14" x14ac:dyDescent="0.3">
      <c r="A3551" s="1">
        <v>13370</v>
      </c>
      <c r="B3551" s="7" t="s">
        <v>5314</v>
      </c>
      <c r="C3551" s="12">
        <v>18800</v>
      </c>
      <c r="D3551" s="7" t="s">
        <v>5430</v>
      </c>
      <c r="E3551" s="13" t="s">
        <v>4996</v>
      </c>
      <c r="F3551" t="str">
        <f t="shared" si="275"/>
        <v>Lina</v>
      </c>
      <c r="G3551" t="str">
        <f t="shared" si="276"/>
        <v>Lina18800Dallas</v>
      </c>
      <c r="H3551" t="s">
        <v>34409</v>
      </c>
      <c r="I3551" t="s">
        <v>25833</v>
      </c>
      <c r="J3551" t="str">
        <f t="shared" si="277"/>
        <v>E:\PropInv\MF</v>
      </c>
      <c r="K3551" s="103" t="str">
        <f>HYPERLINK("E:\PropInv\MF\Dallas\Lina St_18800_Dana Point_Dallas_13370","Lina St_18800_Dana Point_Dallas_13370" )</f>
        <v>Lina St_18800_Dana Point_Dallas_13370</v>
      </c>
      <c r="L3551" s="104" t="s">
        <v>22253</v>
      </c>
      <c r="M3551" s="103" t="str">
        <f t="shared" si="278"/>
        <v>http://oconnordata.com/mlink/modules/profile/index.cfm?action=profile&amp;prop_id=13370</v>
      </c>
      <c r="N3551" s="1">
        <f t="shared" si="279"/>
        <v>13370</v>
      </c>
    </row>
    <row r="3552" spans="1:14" x14ac:dyDescent="0.3">
      <c r="A3552" s="1">
        <v>13371</v>
      </c>
      <c r="B3552" s="7" t="s">
        <v>5182</v>
      </c>
      <c r="C3552" s="12">
        <v>14500</v>
      </c>
      <c r="D3552" s="7" t="s">
        <v>5431</v>
      </c>
      <c r="E3552" s="13" t="s">
        <v>4996</v>
      </c>
      <c r="F3552" t="str">
        <f t="shared" si="275"/>
        <v>Dallas</v>
      </c>
      <c r="G3552" t="str">
        <f t="shared" si="276"/>
        <v>Dallas14500Dallas</v>
      </c>
      <c r="H3552" t="s">
        <v>34410</v>
      </c>
      <c r="I3552" t="s">
        <v>25834</v>
      </c>
      <c r="J3552" t="str">
        <f t="shared" si="277"/>
        <v>E:\PropInv\MF</v>
      </c>
      <c r="K3552" s="103" t="str">
        <f>HYPERLINK("E:\PropInv\MF\Dallas\Dallas Pkwy_14500_Davenport I &amp; II_Dallas_13371","Dallas Pkwy_14500_Davenport I &amp; II_Dallas_13371" )</f>
        <v>Dallas Pkwy_14500_Davenport I &amp; II_Dallas_13371</v>
      </c>
      <c r="L3552" s="104" t="s">
        <v>22253</v>
      </c>
      <c r="M3552" s="103" t="str">
        <f t="shared" si="278"/>
        <v>http://oconnordata.com/mlink/modules/profile/index.cfm?action=profile&amp;prop_id=13371</v>
      </c>
      <c r="N3552" s="1">
        <f t="shared" si="279"/>
        <v>13371</v>
      </c>
    </row>
    <row r="3553" spans="1:14" x14ac:dyDescent="0.3">
      <c r="A3553" s="1">
        <v>13373</v>
      </c>
      <c r="B3553" s="7" t="s">
        <v>5432</v>
      </c>
      <c r="C3553" s="12">
        <v>1834</v>
      </c>
      <c r="D3553" s="7" t="s">
        <v>5433</v>
      </c>
      <c r="E3553" s="13" t="s">
        <v>5060</v>
      </c>
      <c r="F3553" t="str">
        <f t="shared" si="275"/>
        <v>Peters</v>
      </c>
      <c r="G3553" t="str">
        <f t="shared" si="276"/>
        <v>Peters1834Carrollton</v>
      </c>
      <c r="H3553" t="s">
        <v>34411</v>
      </c>
      <c r="I3553" t="s">
        <v>25835</v>
      </c>
      <c r="J3553" t="str">
        <f t="shared" si="277"/>
        <v>E:\PropInv\MF</v>
      </c>
      <c r="K3553" s="103" t="str">
        <f>HYPERLINK("E:\PropInv\MF\Carrollton\Peters Colony E_1834_Dawntree_Carrollton_13373","Peters Colony E_1834_Dawntree_Carrollton_13373" )</f>
        <v>Peters Colony E_1834_Dawntree_Carrollton_13373</v>
      </c>
      <c r="L3553" s="104" t="s">
        <v>22253</v>
      </c>
      <c r="M3553" s="103" t="str">
        <f t="shared" si="278"/>
        <v>http://oconnordata.com/mlink/modules/profile/index.cfm?action=profile&amp;prop_id=13373</v>
      </c>
      <c r="N3553" s="1">
        <f t="shared" si="279"/>
        <v>13373</v>
      </c>
    </row>
    <row r="3554" spans="1:14" x14ac:dyDescent="0.3">
      <c r="A3554" s="1">
        <v>13374</v>
      </c>
      <c r="B3554" s="7" t="s">
        <v>5434</v>
      </c>
      <c r="C3554" s="12">
        <v>3401</v>
      </c>
      <c r="D3554" s="7" t="s">
        <v>5435</v>
      </c>
      <c r="E3554" s="13" t="s">
        <v>4996</v>
      </c>
      <c r="F3554" t="str">
        <f t="shared" si="275"/>
        <v>Commerce</v>
      </c>
      <c r="G3554" t="str">
        <f t="shared" si="276"/>
        <v>Commerce3401Dallas</v>
      </c>
      <c r="H3554" t="s">
        <v>34412</v>
      </c>
      <c r="I3554" t="s">
        <v>25836</v>
      </c>
      <c r="J3554" t="str">
        <f t="shared" si="277"/>
        <v>E:\PropInv\MF</v>
      </c>
      <c r="K3554" s="103" t="str">
        <f>HYPERLINK("E:\PropInv\MF\Dallas\Commerce_3401_Deep Ellum Lofts_Dallas_13374","Commerce_3401_Deep Ellum Lofts_Dallas_13374" )</f>
        <v>Commerce_3401_Deep Ellum Lofts_Dallas_13374</v>
      </c>
      <c r="L3554" s="104" t="s">
        <v>22253</v>
      </c>
      <c r="M3554" s="103" t="str">
        <f t="shared" si="278"/>
        <v>http://oconnordata.com/mlink/modules/profile/index.cfm?action=profile&amp;prop_id=13374</v>
      </c>
      <c r="N3554" s="1">
        <f t="shared" si="279"/>
        <v>13374</v>
      </c>
    </row>
    <row r="3555" spans="1:14" x14ac:dyDescent="0.3">
      <c r="A3555" s="1">
        <v>13375</v>
      </c>
      <c r="B3555" s="7" t="s">
        <v>5219</v>
      </c>
      <c r="C3555" s="12">
        <v>3637</v>
      </c>
      <c r="D3555" s="7" t="s">
        <v>5436</v>
      </c>
      <c r="E3555" s="13" t="s">
        <v>4996</v>
      </c>
      <c r="F3555" t="str">
        <f t="shared" si="275"/>
        <v>Trinity</v>
      </c>
      <c r="G3555" t="str">
        <f t="shared" si="276"/>
        <v>Trinity3637Dallas</v>
      </c>
      <c r="H3555" t="s">
        <v>34413</v>
      </c>
      <c r="I3555" t="s">
        <v>25837</v>
      </c>
      <c r="J3555" t="str">
        <f t="shared" si="277"/>
        <v>E:\PropInv\MF</v>
      </c>
      <c r="K3555" s="103" t="str">
        <f>HYPERLINK("E:\PropInv\MF\Dallas\Trinity Mills_3637_Deer Run_Dallas_13375","Trinity Mills_3637_Deer Run_Dallas_13375" )</f>
        <v>Trinity Mills_3637_Deer Run_Dallas_13375</v>
      </c>
      <c r="L3555" s="104" t="s">
        <v>22253</v>
      </c>
      <c r="M3555" s="103" t="str">
        <f t="shared" si="278"/>
        <v>http://oconnordata.com/mlink/modules/profile/index.cfm?action=profile&amp;prop_id=13375</v>
      </c>
      <c r="N3555" s="1">
        <f t="shared" si="279"/>
        <v>13375</v>
      </c>
    </row>
    <row r="3556" spans="1:14" x14ac:dyDescent="0.3">
      <c r="A3556" s="1">
        <v>13376</v>
      </c>
      <c r="B3556" s="7" t="s">
        <v>5129</v>
      </c>
      <c r="C3556" s="12">
        <v>9670</v>
      </c>
      <c r="D3556" s="7" t="s">
        <v>724</v>
      </c>
      <c r="E3556" s="13" t="s">
        <v>4996</v>
      </c>
      <c r="F3556" t="str">
        <f t="shared" si="275"/>
        <v>Forest</v>
      </c>
      <c r="G3556" t="str">
        <f t="shared" si="276"/>
        <v>Forest9670Dallas</v>
      </c>
      <c r="H3556" t="s">
        <v>34414</v>
      </c>
      <c r="I3556" t="s">
        <v>25838</v>
      </c>
      <c r="J3556" t="str">
        <f t="shared" si="277"/>
        <v>E:\PropInv\MF</v>
      </c>
      <c r="K3556" s="103" t="str">
        <f>HYPERLINK("E:\PropInv\MF\Dallas\Forest Ln_9670_Deerfield_Dallas_13376","Forest Ln_9670_Deerfield_Dallas_13376" )</f>
        <v>Forest Ln_9670_Deerfield_Dallas_13376</v>
      </c>
      <c r="L3556" s="104" t="s">
        <v>22253</v>
      </c>
      <c r="M3556" s="103" t="str">
        <f t="shared" si="278"/>
        <v>http://oconnordata.com/mlink/modules/profile/index.cfm?action=profile&amp;prop_id=13376</v>
      </c>
      <c r="N3556" s="1">
        <f t="shared" si="279"/>
        <v>13376</v>
      </c>
    </row>
    <row r="3557" spans="1:14" x14ac:dyDescent="0.3">
      <c r="A3557" s="1">
        <v>13377</v>
      </c>
      <c r="B3557" s="7" t="s">
        <v>5148</v>
      </c>
      <c r="C3557" s="12">
        <v>6467</v>
      </c>
      <c r="D3557" s="7" t="s">
        <v>5437</v>
      </c>
      <c r="E3557" s="13" t="s">
        <v>4996</v>
      </c>
      <c r="F3557" t="str">
        <f t="shared" si="275"/>
        <v>Melody</v>
      </c>
      <c r="G3557" t="str">
        <f t="shared" si="276"/>
        <v>Melody6467Dallas</v>
      </c>
      <c r="H3557" t="s">
        <v>34415</v>
      </c>
      <c r="I3557" t="s">
        <v>25839</v>
      </c>
      <c r="J3557" t="str">
        <f t="shared" si="277"/>
        <v>E:\PropInv\MF</v>
      </c>
      <c r="K3557" s="103" t="str">
        <f>HYPERLINK("E:\PropInv\MF\Dallas\Melody Ln_6467_CityScape_Dallas_13377","Melody Ln_6467_CityScape_Dallas_13377" )</f>
        <v>Melody Ln_6467_CityScape_Dallas_13377</v>
      </c>
      <c r="L3557" s="104" t="s">
        <v>22253</v>
      </c>
      <c r="M3557" s="103" t="str">
        <f t="shared" si="278"/>
        <v>http://oconnordata.com/mlink/modules/profile/index.cfm?action=profile&amp;prop_id=13377</v>
      </c>
      <c r="N3557" s="1">
        <f t="shared" si="279"/>
        <v>13377</v>
      </c>
    </row>
    <row r="3558" spans="1:14" x14ac:dyDescent="0.3">
      <c r="A3558" s="1">
        <v>13378</v>
      </c>
      <c r="B3558" s="7" t="s">
        <v>5438</v>
      </c>
      <c r="C3558" s="12">
        <v>606</v>
      </c>
      <c r="D3558" s="7" t="s">
        <v>5439</v>
      </c>
      <c r="E3558" s="13" t="s">
        <v>5076</v>
      </c>
      <c r="F3558" t="str">
        <f t="shared" si="275"/>
        <v>Safari</v>
      </c>
      <c r="G3558" t="str">
        <f t="shared" si="276"/>
        <v>Safari606Grand Prairie</v>
      </c>
      <c r="H3558" t="s">
        <v>34416</v>
      </c>
      <c r="I3558" t="s">
        <v>25840</v>
      </c>
      <c r="J3558" t="str">
        <f t="shared" si="277"/>
        <v>E:\PropInv\MF</v>
      </c>
      <c r="K3558" s="103" t="str">
        <f>HYPERLINK("E:\PropInv\MF\Grand Prairie\Safari W_606_Derby Park_Grand Prairie_13378","Safari W_606_Derby Park_Grand Prairie_13378" )</f>
        <v>Safari W_606_Derby Park_Grand Prairie_13378</v>
      </c>
      <c r="L3558" s="104" t="s">
        <v>22253</v>
      </c>
      <c r="M3558" s="103" t="str">
        <f t="shared" si="278"/>
        <v>http://oconnordata.com/mlink/modules/profile/index.cfm?action=profile&amp;prop_id=13378</v>
      </c>
      <c r="N3558" s="1">
        <f t="shared" si="279"/>
        <v>13378</v>
      </c>
    </row>
    <row r="3559" spans="1:14" x14ac:dyDescent="0.3">
      <c r="A3559" s="1">
        <v>13379</v>
      </c>
      <c r="B3559" s="7" t="s">
        <v>5440</v>
      </c>
      <c r="C3559" s="12">
        <v>3402</v>
      </c>
      <c r="D3559" s="7" t="s">
        <v>5441</v>
      </c>
      <c r="E3559" s="13" t="s">
        <v>4996</v>
      </c>
      <c r="F3559" t="str">
        <f t="shared" si="275"/>
        <v>Buckner</v>
      </c>
      <c r="G3559" t="str">
        <f t="shared" si="276"/>
        <v>Buckner3402Dallas</v>
      </c>
      <c r="H3559" t="s">
        <v>34417</v>
      </c>
      <c r="I3559" t="s">
        <v>25841</v>
      </c>
      <c r="J3559" t="str">
        <f t="shared" si="277"/>
        <v>E:\PropInv\MF</v>
      </c>
      <c r="K3559" s="103" t="str">
        <f>HYPERLINK("E:\PropInv\MF\Dallas\Buckner S_3402_Bella Vista Creek_Dallas_13379","Buckner S_3402_Bella Vista Creek_Dallas_13379" )</f>
        <v>Buckner S_3402_Bella Vista Creek_Dallas_13379</v>
      </c>
      <c r="L3559" s="104" t="s">
        <v>22253</v>
      </c>
      <c r="M3559" s="103" t="str">
        <f t="shared" si="278"/>
        <v>http://oconnordata.com/mlink/modules/profile/index.cfm?action=profile&amp;prop_id=13379</v>
      </c>
      <c r="N3559" s="1">
        <f t="shared" si="279"/>
        <v>13379</v>
      </c>
    </row>
    <row r="3560" spans="1:14" x14ac:dyDescent="0.3">
      <c r="A3560" s="1">
        <v>13380</v>
      </c>
      <c r="B3560" s="7" t="s">
        <v>5442</v>
      </c>
      <c r="C3560" s="12">
        <v>8039</v>
      </c>
      <c r="D3560" s="7" t="s">
        <v>5443</v>
      </c>
      <c r="E3560" s="13" t="s">
        <v>4996</v>
      </c>
      <c r="F3560" t="str">
        <f t="shared" si="275"/>
        <v>Chariot</v>
      </c>
      <c r="G3560" t="str">
        <f t="shared" si="276"/>
        <v>Chariot8039Dallas</v>
      </c>
      <c r="H3560" t="s">
        <v>34418</v>
      </c>
      <c r="I3560" t="s">
        <v>25842</v>
      </c>
      <c r="J3560" t="str">
        <f t="shared" si="277"/>
        <v>E:\PropInv\MF</v>
      </c>
      <c r="K3560" s="103" t="str">
        <f>HYPERLINK("E:\PropInv\MF\Dallas\Chariot Dr_8039_Solana Ridge_Dallas_13380","Chariot Dr_8039_Solana Ridge_Dallas_13380" )</f>
        <v>Chariot Dr_8039_Solana Ridge_Dallas_13380</v>
      </c>
      <c r="L3560" s="104" t="s">
        <v>22253</v>
      </c>
      <c r="M3560" s="103" t="str">
        <f t="shared" si="278"/>
        <v>http://oconnordata.com/mlink/modules/profile/index.cfm?action=profile&amp;prop_id=13380</v>
      </c>
      <c r="N3560" s="1">
        <f t="shared" si="279"/>
        <v>13380</v>
      </c>
    </row>
    <row r="3561" spans="1:14" x14ac:dyDescent="0.3">
      <c r="A3561" s="1">
        <v>13381</v>
      </c>
      <c r="B3561" s="7" t="s">
        <v>5444</v>
      </c>
      <c r="C3561" s="12">
        <v>6400</v>
      </c>
      <c r="D3561" s="7" t="s">
        <v>5445</v>
      </c>
      <c r="E3561" s="13" t="s">
        <v>5009</v>
      </c>
      <c r="F3561" t="str">
        <f t="shared" si="275"/>
        <v>Windcrest</v>
      </c>
      <c r="G3561" t="str">
        <f t="shared" si="276"/>
        <v>Windcrest6400Plano</v>
      </c>
      <c r="H3561" t="s">
        <v>34419</v>
      </c>
      <c r="I3561" t="s">
        <v>25843</v>
      </c>
      <c r="J3561" t="str">
        <f t="shared" si="277"/>
        <v>E:\PropInv\MF</v>
      </c>
      <c r="K3561" s="103" t="str">
        <f>HYPERLINK("E:\PropInv\MF\Plano\Windcrest Dr_6400_The Domaine_Plano_13381","Windcrest Dr_6400_The Domaine_Plano_13381" )</f>
        <v>Windcrest Dr_6400_The Domaine_Plano_13381</v>
      </c>
      <c r="L3561" s="104" t="s">
        <v>22253</v>
      </c>
      <c r="M3561" s="103" t="str">
        <f t="shared" si="278"/>
        <v>http://oconnordata.com/mlink/modules/profile/index.cfm?action=profile&amp;prop_id=13381</v>
      </c>
      <c r="N3561" s="1">
        <f t="shared" si="279"/>
        <v>13381</v>
      </c>
    </row>
    <row r="3562" spans="1:14" x14ac:dyDescent="0.3">
      <c r="A3562" s="1">
        <v>13382</v>
      </c>
      <c r="B3562" s="10" t="s">
        <v>5446</v>
      </c>
      <c r="C3562" s="9">
        <v>13740</v>
      </c>
      <c r="D3562" s="10" t="s">
        <v>5447</v>
      </c>
      <c r="E3562" s="11" t="s">
        <v>4996</v>
      </c>
      <c r="F3562" t="str">
        <f t="shared" si="275"/>
        <v>Montfort</v>
      </c>
      <c r="G3562" t="str">
        <f t="shared" si="276"/>
        <v>Montfort13740Dallas</v>
      </c>
      <c r="H3562" t="s">
        <v>34420</v>
      </c>
      <c r="I3562" t="s">
        <v>25844</v>
      </c>
      <c r="J3562" t="str">
        <f t="shared" si="277"/>
        <v>E:\PropInv\MF</v>
      </c>
      <c r="K3562" s="103" t="str">
        <f>HYPERLINK("E:\PropInv\MF\Dallas\Montfort_13740_Doral_Dallas_13382","Montfort_13740_Doral_Dallas_13382" )</f>
        <v>Montfort_13740_Doral_Dallas_13382</v>
      </c>
      <c r="L3562" s="104" t="s">
        <v>22253</v>
      </c>
      <c r="M3562" s="103" t="str">
        <f t="shared" si="278"/>
        <v>http://oconnordata.com/mlink/modules/profile/index.cfm?action=profile&amp;prop_id=13382</v>
      </c>
      <c r="N3562" s="1">
        <f t="shared" si="279"/>
        <v>13382</v>
      </c>
    </row>
    <row r="3563" spans="1:14" x14ac:dyDescent="0.3">
      <c r="A3563" s="1">
        <v>13383</v>
      </c>
      <c r="B3563" s="10" t="s">
        <v>5015</v>
      </c>
      <c r="C3563" s="9">
        <v>5300</v>
      </c>
      <c r="D3563" s="10" t="s">
        <v>5448</v>
      </c>
      <c r="E3563" s="11" t="s">
        <v>4996</v>
      </c>
      <c r="F3563" t="str">
        <f t="shared" si="275"/>
        <v>Spring</v>
      </c>
      <c r="G3563" t="str">
        <f t="shared" si="276"/>
        <v>Spring5300Dallas</v>
      </c>
      <c r="H3563" t="s">
        <v>34421</v>
      </c>
      <c r="I3563" t="s">
        <v>25845</v>
      </c>
      <c r="J3563" t="str">
        <f t="shared" si="277"/>
        <v>E:\PropInv\MF</v>
      </c>
      <c r="K3563" s="103" t="str">
        <f>HYPERLINK("E:\PropInv\MF\Dallas\Spring Valley_5300_Dorchester_Dallas_13383","Spring Valley_5300_Dorchester_Dallas_13383" )</f>
        <v>Spring Valley_5300_Dorchester_Dallas_13383</v>
      </c>
      <c r="L3563" s="104" t="s">
        <v>22253</v>
      </c>
      <c r="M3563" s="103" t="str">
        <f t="shared" si="278"/>
        <v>http://oconnordata.com/mlink/modules/profile/index.cfm?action=profile&amp;prop_id=13383</v>
      </c>
      <c r="N3563" s="1">
        <f t="shared" si="279"/>
        <v>13383</v>
      </c>
    </row>
    <row r="3564" spans="1:14" x14ac:dyDescent="0.3">
      <c r="A3564" s="1">
        <v>13384</v>
      </c>
      <c r="B3564" s="10" t="s">
        <v>5449</v>
      </c>
      <c r="C3564" s="9">
        <v>540</v>
      </c>
      <c r="D3564" s="10" t="s">
        <v>5450</v>
      </c>
      <c r="E3564" s="11" t="s">
        <v>5140</v>
      </c>
      <c r="F3564" t="str">
        <f t="shared" si="275"/>
        <v>Bethany</v>
      </c>
      <c r="G3564" t="str">
        <f t="shared" si="276"/>
        <v>Bethany540Allen</v>
      </c>
      <c r="H3564" t="s">
        <v>34422</v>
      </c>
      <c r="I3564" t="s">
        <v>25846</v>
      </c>
      <c r="J3564" t="str">
        <f t="shared" si="277"/>
        <v>E:\PropInv\MF</v>
      </c>
      <c r="K3564" s="103" t="str">
        <f>HYPERLINK("E:\PropInv\MF\Allen\Bethany Dr #102 E_540_Dove Hollow_Allen_13384","Bethany Dr #102 E_540_Dove Hollow_Allen_13384" )</f>
        <v>Bethany Dr #102 E_540_Dove Hollow_Allen_13384</v>
      </c>
      <c r="L3564" s="104" t="s">
        <v>22253</v>
      </c>
      <c r="M3564" s="103" t="str">
        <f t="shared" si="278"/>
        <v>http://oconnordata.com/mlink/modules/profile/index.cfm?action=profile&amp;prop_id=13384</v>
      </c>
      <c r="N3564" s="1">
        <f t="shared" si="279"/>
        <v>13384</v>
      </c>
    </row>
    <row r="3565" spans="1:14" x14ac:dyDescent="0.3">
      <c r="A3565" s="1">
        <v>13387</v>
      </c>
      <c r="B3565" s="7" t="s">
        <v>5451</v>
      </c>
      <c r="C3565" s="12">
        <v>18959</v>
      </c>
      <c r="D3565" s="7" t="s">
        <v>5452</v>
      </c>
      <c r="E3565" s="13" t="s">
        <v>4996</v>
      </c>
      <c r="F3565" t="str">
        <f t="shared" si="275"/>
        <v>Lina</v>
      </c>
      <c r="G3565" t="str">
        <f t="shared" si="276"/>
        <v>Lina18959Dallas</v>
      </c>
      <c r="H3565" t="s">
        <v>34423</v>
      </c>
      <c r="I3565" t="s">
        <v>25847</v>
      </c>
      <c r="J3565" t="str">
        <f t="shared" si="277"/>
        <v>E:\PropInv\MF</v>
      </c>
      <c r="K3565" s="103" t="str">
        <f>HYPERLINK("E:\PropInv\MF\Dallas\Lina_18959_Eagle Creek_Dallas_13387","Lina_18959_Eagle Creek_Dallas_13387" )</f>
        <v>Lina_18959_Eagle Creek_Dallas_13387</v>
      </c>
      <c r="L3565" s="104" t="s">
        <v>22253</v>
      </c>
      <c r="M3565" s="103" t="str">
        <f t="shared" si="278"/>
        <v>http://oconnordata.com/mlink/modules/profile/index.cfm?action=profile&amp;prop_id=13387</v>
      </c>
      <c r="N3565" s="1">
        <f t="shared" si="279"/>
        <v>13387</v>
      </c>
    </row>
    <row r="3566" spans="1:14" x14ac:dyDescent="0.3">
      <c r="A3566" s="1">
        <v>13388</v>
      </c>
      <c r="B3566" s="10" t="s">
        <v>5453</v>
      </c>
      <c r="C3566" s="9">
        <v>4013</v>
      </c>
      <c r="D3566" s="10" t="s">
        <v>2065</v>
      </c>
      <c r="E3566" s="11" t="s">
        <v>5046</v>
      </c>
      <c r="F3566" t="str">
        <f t="shared" si="275"/>
        <v>Northgate</v>
      </c>
      <c r="G3566" t="str">
        <f t="shared" si="276"/>
        <v>Northgate4013Irving</v>
      </c>
      <c r="H3566" t="s">
        <v>34424</v>
      </c>
      <c r="I3566" t="s">
        <v>25848</v>
      </c>
      <c r="J3566" t="str">
        <f t="shared" si="277"/>
        <v>E:\PropInv\MF</v>
      </c>
      <c r="K3566" s="103" t="str">
        <f>HYPERLINK("E:\PropInv\MF\Irving\Northgate Dr W_4013_Eagle Crest_Irving_13388","Northgate Dr W_4013_Eagle Crest_Irving_13388" )</f>
        <v>Northgate Dr W_4013_Eagle Crest_Irving_13388</v>
      </c>
      <c r="L3566" s="104" t="s">
        <v>22253</v>
      </c>
      <c r="M3566" s="103" t="str">
        <f t="shared" si="278"/>
        <v>http://oconnordata.com/mlink/modules/profile/index.cfm?action=profile&amp;prop_id=13388</v>
      </c>
      <c r="N3566" s="1">
        <f t="shared" si="279"/>
        <v>13388</v>
      </c>
    </row>
    <row r="3567" spans="1:14" x14ac:dyDescent="0.3">
      <c r="A3567" s="1">
        <v>13389</v>
      </c>
      <c r="B3567" s="7" t="s">
        <v>5454</v>
      </c>
      <c r="C3567" s="12">
        <v>238</v>
      </c>
      <c r="D3567" s="7" t="s">
        <v>5455</v>
      </c>
      <c r="E3567" s="13" t="s">
        <v>5019</v>
      </c>
      <c r="F3567" t="str">
        <f t="shared" si="275"/>
        <v>Oates</v>
      </c>
      <c r="G3567" t="str">
        <f t="shared" si="276"/>
        <v>Oates238Garland</v>
      </c>
      <c r="H3567" t="s">
        <v>34425</v>
      </c>
      <c r="I3567" t="s">
        <v>25849</v>
      </c>
      <c r="J3567" t="str">
        <f t="shared" si="277"/>
        <v>E:\PropInv\MF</v>
      </c>
      <c r="K3567" s="103" t="str">
        <f>HYPERLINK("E:\PropInv\MF\Garland\Oates Rd E_238_Eagle's Landing_Garland_13389","Oates Rd E_238_Eagle's Landing_Garland_13389" )</f>
        <v>Oates Rd E_238_Eagle's Landing_Garland_13389</v>
      </c>
      <c r="L3567" s="104" t="s">
        <v>22253</v>
      </c>
      <c r="M3567" s="103" t="str">
        <f t="shared" si="278"/>
        <v>http://oconnordata.com/mlink/modules/profile/index.cfm?action=profile&amp;prop_id=13389</v>
      </c>
      <c r="N3567" s="1">
        <f t="shared" si="279"/>
        <v>13389</v>
      </c>
    </row>
    <row r="3568" spans="1:14" x14ac:dyDescent="0.3">
      <c r="A3568" s="1">
        <v>13390</v>
      </c>
      <c r="B3568" s="7" t="s">
        <v>5456</v>
      </c>
      <c r="C3568" s="12">
        <v>4047</v>
      </c>
      <c r="D3568" s="7" t="s">
        <v>5457</v>
      </c>
      <c r="E3568" s="13" t="s">
        <v>5088</v>
      </c>
      <c r="F3568" t="str">
        <f t="shared" si="275"/>
        <v>Childress</v>
      </c>
      <c r="G3568" t="str">
        <f t="shared" si="276"/>
        <v>Childress4047Mesquite</v>
      </c>
      <c r="H3568" t="s">
        <v>34426</v>
      </c>
      <c r="I3568" t="s">
        <v>25850</v>
      </c>
      <c r="J3568" t="str">
        <f t="shared" si="277"/>
        <v>E:\PropInv\MF</v>
      </c>
      <c r="K3568" s="103" t="str">
        <f>HYPERLINK("E:\PropInv\MF\Mesquite\Childress_4047_Eastpoint_Mesquite_13390","Childress_4047_Eastpoint_Mesquite_13390" )</f>
        <v>Childress_4047_Eastpoint_Mesquite_13390</v>
      </c>
      <c r="L3568" s="104" t="s">
        <v>22253</v>
      </c>
      <c r="M3568" s="103" t="str">
        <f t="shared" si="278"/>
        <v>http://oconnordata.com/mlink/modules/profile/index.cfm?action=profile&amp;prop_id=13390</v>
      </c>
      <c r="N3568" s="1">
        <f t="shared" si="279"/>
        <v>13390</v>
      </c>
    </row>
    <row r="3569" spans="1:14" x14ac:dyDescent="0.3">
      <c r="A3569" s="1">
        <v>13391</v>
      </c>
      <c r="B3569" s="7" t="s">
        <v>5458</v>
      </c>
      <c r="C3569" s="12">
        <v>5140</v>
      </c>
      <c r="D3569" s="7" t="s">
        <v>5459</v>
      </c>
      <c r="E3569" s="13" t="s">
        <v>4996</v>
      </c>
      <c r="F3569" t="str">
        <f t="shared" si="275"/>
        <v>Willis</v>
      </c>
      <c r="G3569" t="str">
        <f t="shared" si="276"/>
        <v>Willis5140Dallas</v>
      </c>
      <c r="H3569" t="s">
        <v>34427</v>
      </c>
      <c r="I3569" t="s">
        <v>25851</v>
      </c>
      <c r="J3569" t="str">
        <f t="shared" si="277"/>
        <v>E:\PropInv\MF</v>
      </c>
      <c r="K3569" s="103" t="str">
        <f>HYPERLINK("E:\PropInv\MF\Dallas\Willis_5140_Eastbridge_Dallas_13391","Willis_5140_Eastbridge_Dallas_13391" )</f>
        <v>Willis_5140_Eastbridge_Dallas_13391</v>
      </c>
      <c r="L3569" s="104" t="s">
        <v>22253</v>
      </c>
      <c r="M3569" s="103" t="str">
        <f t="shared" si="278"/>
        <v>http://oconnordata.com/mlink/modules/profile/index.cfm?action=profile&amp;prop_id=13391</v>
      </c>
      <c r="N3569" s="1">
        <f t="shared" si="279"/>
        <v>13391</v>
      </c>
    </row>
    <row r="3570" spans="1:14" x14ac:dyDescent="0.3">
      <c r="A3570" s="1">
        <v>13392</v>
      </c>
      <c r="B3570" s="7" t="s">
        <v>5181</v>
      </c>
      <c r="C3570" s="12">
        <v>2626</v>
      </c>
      <c r="D3570" s="7" t="s">
        <v>5460</v>
      </c>
      <c r="E3570" s="13" t="s">
        <v>5088</v>
      </c>
      <c r="F3570" t="str">
        <f t="shared" si="275"/>
        <v>John</v>
      </c>
      <c r="G3570" t="str">
        <f t="shared" si="276"/>
        <v>John2626Mesquite</v>
      </c>
      <c r="H3570" t="s">
        <v>34428</v>
      </c>
      <c r="I3570" t="s">
        <v>25852</v>
      </c>
      <c r="J3570" t="str">
        <f t="shared" si="277"/>
        <v>E:\PropInv\MF</v>
      </c>
      <c r="K3570" s="103" t="str">
        <f>HYPERLINK("E:\PropInv\MF\Mesquite\John Rd W_2626_Eastfield Plaza_Mesquite_13392","John Rd W_2626_Eastfield Plaza_Mesquite_13392" )</f>
        <v>John Rd W_2626_Eastfield Plaza_Mesquite_13392</v>
      </c>
      <c r="L3570" s="104" t="s">
        <v>22253</v>
      </c>
      <c r="M3570" s="103" t="str">
        <f t="shared" si="278"/>
        <v>http://oconnordata.com/mlink/modules/profile/index.cfm?action=profile&amp;prop_id=13392</v>
      </c>
      <c r="N3570" s="1">
        <f t="shared" si="279"/>
        <v>13392</v>
      </c>
    </row>
    <row r="3571" spans="1:14" x14ac:dyDescent="0.3">
      <c r="A3571" s="1">
        <v>13393</v>
      </c>
      <c r="B3571" s="7" t="s">
        <v>5461</v>
      </c>
      <c r="C3571" s="12">
        <v>8405</v>
      </c>
      <c r="D3571" s="7" t="s">
        <v>5462</v>
      </c>
      <c r="E3571" s="13" t="s">
        <v>4996</v>
      </c>
      <c r="F3571" t="str">
        <f t="shared" si="275"/>
        <v>La</v>
      </c>
      <c r="G3571" t="str">
        <f t="shared" si="276"/>
        <v>La8405Dallas</v>
      </c>
      <c r="H3571" t="s">
        <v>34429</v>
      </c>
      <c r="I3571" t="s">
        <v>25853</v>
      </c>
      <c r="J3571" t="str">
        <f t="shared" si="277"/>
        <v>E:\PropInv\MF</v>
      </c>
      <c r="K3571" s="103" t="str">
        <f>HYPERLINK("E:\PropInv\MF\Dallas\La Prada Dr E_8405_Eastfield Village_Dallas_13393","La Prada Dr E_8405_Eastfield Village_Dallas_13393" )</f>
        <v>La Prada Dr E_8405_Eastfield Village_Dallas_13393</v>
      </c>
      <c r="L3571" s="104" t="s">
        <v>22253</v>
      </c>
      <c r="M3571" s="103" t="str">
        <f t="shared" si="278"/>
        <v>http://oconnordata.com/mlink/modules/profile/index.cfm?action=profile&amp;prop_id=13393</v>
      </c>
      <c r="N3571" s="1">
        <f t="shared" si="279"/>
        <v>13393</v>
      </c>
    </row>
    <row r="3572" spans="1:14" x14ac:dyDescent="0.3">
      <c r="A3572" s="1">
        <v>13395</v>
      </c>
      <c r="B3572" s="7" t="s">
        <v>5463</v>
      </c>
      <c r="C3572" s="12">
        <v>1404</v>
      </c>
      <c r="D3572" s="7" t="s">
        <v>5464</v>
      </c>
      <c r="E3572" s="13" t="s">
        <v>5009</v>
      </c>
      <c r="F3572" t="str">
        <f t="shared" si="275"/>
        <v>Vontress</v>
      </c>
      <c r="G3572" t="str">
        <f t="shared" si="276"/>
        <v>Vontress1404Plano</v>
      </c>
      <c r="H3572" t="s">
        <v>34430</v>
      </c>
      <c r="I3572" t="s">
        <v>25854</v>
      </c>
      <c r="J3572" t="str">
        <f t="shared" si="277"/>
        <v>E:\PropInv\MF</v>
      </c>
      <c r="K3572" s="103" t="str">
        <f>HYPERLINK("E:\PropInv\MF\Plano\Vontress Dr_1404_Eastside Village I &amp; II_Plano_13395","Vontress Dr_1404_Eastside Village I &amp; II_Plano_13395" )</f>
        <v>Vontress Dr_1404_Eastside Village I &amp; II_Plano_13395</v>
      </c>
      <c r="L3572" s="104" t="s">
        <v>22253</v>
      </c>
      <c r="M3572" s="103" t="str">
        <f t="shared" si="278"/>
        <v>http://oconnordata.com/mlink/modules/profile/index.cfm?action=profile&amp;prop_id=13395</v>
      </c>
      <c r="N3572" s="1">
        <f t="shared" si="279"/>
        <v>13395</v>
      </c>
    </row>
    <row r="3573" spans="1:14" x14ac:dyDescent="0.3">
      <c r="A3573" s="1">
        <v>13396</v>
      </c>
      <c r="B3573" s="7" t="s">
        <v>5465</v>
      </c>
      <c r="C3573" s="9">
        <v>5900</v>
      </c>
      <c r="D3573" s="10" t="s">
        <v>5466</v>
      </c>
      <c r="E3573" s="11" t="s">
        <v>5009</v>
      </c>
      <c r="F3573" t="str">
        <f t="shared" si="275"/>
        <v>Baywater</v>
      </c>
      <c r="G3573" t="str">
        <f t="shared" si="276"/>
        <v>Baywater5900Plano</v>
      </c>
      <c r="H3573" t="s">
        <v>34431</v>
      </c>
      <c r="I3573" t="s">
        <v>25855</v>
      </c>
      <c r="J3573" t="str">
        <f t="shared" si="277"/>
        <v>E:\PropInv\MF</v>
      </c>
      <c r="K3573" s="103" t="str">
        <f>HYPERLINK("E:\PropInv\MF\Plano\Baywater_5900_Heritage at Lakeside_Plano_13396","Baywater_5900_Heritage at Lakeside_Plano_13396" )</f>
        <v>Baywater_5900_Heritage at Lakeside_Plano_13396</v>
      </c>
      <c r="L3573" s="104" t="s">
        <v>22253</v>
      </c>
      <c r="M3573" s="103" t="str">
        <f t="shared" si="278"/>
        <v>http://oconnordata.com/mlink/modules/profile/index.cfm?action=profile&amp;prop_id=13396</v>
      </c>
      <c r="N3573" s="1">
        <f t="shared" si="279"/>
        <v>13396</v>
      </c>
    </row>
    <row r="3574" spans="1:14" x14ac:dyDescent="0.3">
      <c r="A3574" s="1">
        <v>13398</v>
      </c>
      <c r="B3574" s="7" t="s">
        <v>5277</v>
      </c>
      <c r="C3574" s="9">
        <v>1721</v>
      </c>
      <c r="D3574" s="10" t="s">
        <v>5467</v>
      </c>
      <c r="E3574" s="11" t="s">
        <v>5060</v>
      </c>
      <c r="F3574" t="str">
        <f t="shared" si="275"/>
        <v>Frankford</v>
      </c>
      <c r="G3574" t="str">
        <f t="shared" si="276"/>
        <v>Frankford1721Carrollton</v>
      </c>
      <c r="H3574" t="s">
        <v>34432</v>
      </c>
      <c r="I3574" t="s">
        <v>25856</v>
      </c>
      <c r="J3574" t="str">
        <f t="shared" si="277"/>
        <v>E:\PropInv\MF</v>
      </c>
      <c r="K3574" s="103" t="str">
        <f>HYPERLINK("E:\PropInv\MF\Carrollton\Frankford_1721_Edentree_Carrollton_13398","Frankford_1721_Edentree_Carrollton_13398" )</f>
        <v>Frankford_1721_Edentree_Carrollton_13398</v>
      </c>
      <c r="L3574" s="104" t="s">
        <v>22253</v>
      </c>
      <c r="M3574" s="103" t="str">
        <f t="shared" si="278"/>
        <v>http://oconnordata.com/mlink/modules/profile/index.cfm?action=profile&amp;prop_id=13398</v>
      </c>
      <c r="N3574" s="1">
        <f t="shared" si="279"/>
        <v>13398</v>
      </c>
    </row>
    <row r="3575" spans="1:14" x14ac:dyDescent="0.3">
      <c r="A3575" s="1">
        <v>13399</v>
      </c>
      <c r="B3575" s="7" t="s">
        <v>5468</v>
      </c>
      <c r="C3575" s="12">
        <v>800</v>
      </c>
      <c r="D3575" s="7" t="s">
        <v>5469</v>
      </c>
      <c r="E3575" s="13" t="s">
        <v>5055</v>
      </c>
      <c r="F3575" t="str">
        <f t="shared" si="275"/>
        <v>Lake</v>
      </c>
      <c r="G3575" t="str">
        <f t="shared" si="276"/>
        <v>Lake800Lewisville</v>
      </c>
      <c r="H3575" t="s">
        <v>34433</v>
      </c>
      <c r="I3575" t="s">
        <v>25857</v>
      </c>
      <c r="J3575" t="str">
        <f t="shared" si="277"/>
        <v>E:\PropInv\MF</v>
      </c>
      <c r="K3575" s="103" t="str">
        <f>HYPERLINK("E:\PropInv\MF\Lewisville\Lake Side Cir_800_Edgewater_Lewisville_13399","Lake Side Cir_800_Edgewater_Lewisville_13399" )</f>
        <v>Lake Side Cir_800_Edgewater_Lewisville_13399</v>
      </c>
      <c r="L3575" s="104" t="s">
        <v>22253</v>
      </c>
      <c r="M3575" s="103" t="str">
        <f t="shared" si="278"/>
        <v>http://oconnordata.com/mlink/modules/profile/index.cfm?action=profile&amp;prop_id=13399</v>
      </c>
      <c r="N3575" s="1">
        <f t="shared" si="279"/>
        <v>13399</v>
      </c>
    </row>
    <row r="3576" spans="1:14" x14ac:dyDescent="0.3">
      <c r="A3576" s="1">
        <v>13400</v>
      </c>
      <c r="B3576" s="10" t="s">
        <v>5470</v>
      </c>
      <c r="C3576" s="9">
        <v>800</v>
      </c>
      <c r="D3576" s="10" t="s">
        <v>5471</v>
      </c>
      <c r="E3576" s="11" t="s">
        <v>5046</v>
      </c>
      <c r="F3576" t="str">
        <f t="shared" si="275"/>
        <v>Nursery</v>
      </c>
      <c r="G3576" t="str">
        <f t="shared" si="276"/>
        <v>Nursery800Irving</v>
      </c>
      <c r="H3576" t="s">
        <v>34434</v>
      </c>
      <c r="I3576" t="s">
        <v>25858</v>
      </c>
      <c r="J3576" t="str">
        <f t="shared" si="277"/>
        <v>E:\PropInv\MF</v>
      </c>
      <c r="K3576" s="103" t="str">
        <f>HYPERLINK("E:\PropInv\MF\Irving\Nursery Rd N_800_Edgewood_Irving_13400","Nursery Rd N_800_Edgewood_Irving_13400" )</f>
        <v>Nursery Rd N_800_Edgewood_Irving_13400</v>
      </c>
      <c r="L3576" s="104" t="s">
        <v>22253</v>
      </c>
      <c r="M3576" s="103" t="str">
        <f t="shared" si="278"/>
        <v>http://oconnordata.com/mlink/modules/profile/index.cfm?action=profile&amp;prop_id=13400</v>
      </c>
      <c r="N3576" s="1">
        <f t="shared" si="279"/>
        <v>13400</v>
      </c>
    </row>
    <row r="3577" spans="1:14" x14ac:dyDescent="0.3">
      <c r="A3577" s="1">
        <v>13401</v>
      </c>
      <c r="B3577" s="10" t="s">
        <v>5472</v>
      </c>
      <c r="C3577" s="9">
        <v>2190</v>
      </c>
      <c r="D3577" s="10" t="s">
        <v>5473</v>
      </c>
      <c r="E3577" s="11" t="s">
        <v>5055</v>
      </c>
      <c r="F3577" t="str">
        <f t="shared" si="275"/>
        <v>Uecker</v>
      </c>
      <c r="G3577" t="str">
        <f t="shared" si="276"/>
        <v>Uecker2190Lewisville</v>
      </c>
      <c r="H3577" t="s">
        <v>34435</v>
      </c>
      <c r="I3577" t="s">
        <v>25859</v>
      </c>
      <c r="J3577" t="str">
        <f t="shared" si="277"/>
        <v>E:\PropInv\MF</v>
      </c>
      <c r="K3577" s="103" t="str">
        <f>HYPERLINK("E:\PropInv\MF\Lewisville\Uecker_2190_Edgewood Village_Lewisville_13401","Uecker_2190_Edgewood Village_Lewisville_13401" )</f>
        <v>Uecker_2190_Edgewood Village_Lewisville_13401</v>
      </c>
      <c r="L3577" s="104" t="s">
        <v>22253</v>
      </c>
      <c r="M3577" s="103" t="str">
        <f t="shared" si="278"/>
        <v>http://oconnordata.com/mlink/modules/profile/index.cfm?action=profile&amp;prop_id=13401</v>
      </c>
      <c r="N3577" s="1">
        <f t="shared" si="279"/>
        <v>13401</v>
      </c>
    </row>
    <row r="3578" spans="1:14" x14ac:dyDescent="0.3">
      <c r="A3578" s="1">
        <v>13402</v>
      </c>
      <c r="B3578" s="10" t="s">
        <v>5474</v>
      </c>
      <c r="C3578" s="9">
        <v>3400</v>
      </c>
      <c r="D3578" s="10" t="s">
        <v>5475</v>
      </c>
      <c r="E3578" s="11" t="s">
        <v>5043</v>
      </c>
      <c r="F3578" t="str">
        <f t="shared" si="275"/>
        <v>Craig</v>
      </c>
      <c r="G3578" t="str">
        <f t="shared" si="276"/>
        <v>Craig3400McKinney</v>
      </c>
      <c r="H3578" t="s">
        <v>34436</v>
      </c>
      <c r="I3578" t="s">
        <v>25860</v>
      </c>
      <c r="J3578" t="str">
        <f t="shared" si="277"/>
        <v>E:\PropInv\MF</v>
      </c>
      <c r="K3578" s="103" t="str">
        <f>HYPERLINK("E:\PropInv\MF\McKinney\Craig Dr_3400_El Lago_McKinney_13402","Craig Dr_3400_El Lago_McKinney_13402" )</f>
        <v>Craig Dr_3400_El Lago_McKinney_13402</v>
      </c>
      <c r="L3578" s="104" t="s">
        <v>22253</v>
      </c>
      <c r="M3578" s="103" t="str">
        <f t="shared" si="278"/>
        <v>http://oconnordata.com/mlink/modules/profile/index.cfm?action=profile&amp;prop_id=13402</v>
      </c>
      <c r="N3578" s="1">
        <f t="shared" si="279"/>
        <v>13402</v>
      </c>
    </row>
    <row r="3579" spans="1:14" x14ac:dyDescent="0.3">
      <c r="A3579" s="1">
        <v>13403</v>
      </c>
      <c r="B3579" s="7" t="s">
        <v>5397</v>
      </c>
      <c r="C3579" s="12">
        <v>2871</v>
      </c>
      <c r="D3579" s="7" t="s">
        <v>5476</v>
      </c>
      <c r="E3579" s="13" t="s">
        <v>5046</v>
      </c>
      <c r="F3579" t="str">
        <f t="shared" si="275"/>
        <v>Pioneer</v>
      </c>
      <c r="G3579" t="str">
        <f t="shared" si="276"/>
        <v>Pioneer2871Irving</v>
      </c>
      <c r="H3579" t="s">
        <v>34437</v>
      </c>
      <c r="I3579" t="s">
        <v>25861</v>
      </c>
      <c r="J3579" t="str">
        <f t="shared" si="277"/>
        <v>E:\PropInv\MF</v>
      </c>
      <c r="K3579" s="103" t="str">
        <f>HYPERLINK("E:\PropInv\MF\Irving\Pioneer W_2871_Emerald Point_Irving_13403","Pioneer W_2871_Emerald Point_Irving_13403" )</f>
        <v>Pioneer W_2871_Emerald Point_Irving_13403</v>
      </c>
      <c r="L3579" s="104" t="s">
        <v>22253</v>
      </c>
      <c r="M3579" s="103" t="str">
        <f t="shared" si="278"/>
        <v>http://oconnordata.com/mlink/modules/profile/index.cfm?action=profile&amp;prop_id=13403</v>
      </c>
      <c r="N3579" s="1">
        <f t="shared" si="279"/>
        <v>13403</v>
      </c>
    </row>
    <row r="3580" spans="1:14" x14ac:dyDescent="0.3">
      <c r="A3580" s="1">
        <v>13404</v>
      </c>
      <c r="B3580" s="7" t="s">
        <v>5477</v>
      </c>
      <c r="C3580" s="12">
        <v>9835</v>
      </c>
      <c r="D3580" s="7" t="s">
        <v>5478</v>
      </c>
      <c r="E3580" s="13" t="s">
        <v>5046</v>
      </c>
      <c r="F3580" t="str">
        <f t="shared" si="275"/>
        <v>Valley</v>
      </c>
      <c r="G3580" t="str">
        <f t="shared" si="276"/>
        <v>Valley9835Irving</v>
      </c>
      <c r="H3580" t="s">
        <v>34438</v>
      </c>
      <c r="I3580" t="s">
        <v>25862</v>
      </c>
      <c r="J3580" t="str">
        <f t="shared" si="277"/>
        <v>E:\PropInv\MF</v>
      </c>
      <c r="K3580" s="103" t="str">
        <f>HYPERLINK("E:\PropInv\MF\Irving\Valley Ranch Pkwy W_9835_Camden Valley Park_Irving_13404","Valley Ranch Pkwy W_9835_Camden Valley Park_Irving_13404" )</f>
        <v>Valley Ranch Pkwy W_9835_Camden Valley Park_Irving_13404</v>
      </c>
      <c r="L3580" s="104" t="s">
        <v>22253</v>
      </c>
      <c r="M3580" s="103" t="str">
        <f t="shared" si="278"/>
        <v>http://oconnordata.com/mlink/modules/profile/index.cfm?action=profile&amp;prop_id=13404</v>
      </c>
      <c r="N3580" s="1">
        <f t="shared" si="279"/>
        <v>13404</v>
      </c>
    </row>
    <row r="3581" spans="1:14" x14ac:dyDescent="0.3">
      <c r="A3581" s="1">
        <v>13405</v>
      </c>
      <c r="B3581" s="7" t="s">
        <v>5037</v>
      </c>
      <c r="C3581" s="12">
        <v>18250</v>
      </c>
      <c r="D3581" s="7" t="s">
        <v>5479</v>
      </c>
      <c r="E3581" s="13" t="s">
        <v>4996</v>
      </c>
      <c r="F3581" t="str">
        <f t="shared" si="275"/>
        <v>Marsh</v>
      </c>
      <c r="G3581" t="str">
        <f t="shared" si="276"/>
        <v>Marsh18250Dallas</v>
      </c>
      <c r="H3581" t="s">
        <v>34439</v>
      </c>
      <c r="I3581" t="s">
        <v>25863</v>
      </c>
      <c r="J3581" t="str">
        <f t="shared" si="277"/>
        <v>E:\PropInv\MF</v>
      </c>
      <c r="K3581" s="103" t="str">
        <f>HYPERLINK("E:\PropInv\MF\Dallas\Marsh Ln_18250_Camden Springs_Dallas_13405","Marsh Ln_18250_Camden Springs_Dallas_13405" )</f>
        <v>Marsh Ln_18250_Camden Springs_Dallas_13405</v>
      </c>
      <c r="L3581" s="104" t="s">
        <v>22253</v>
      </c>
      <c r="M3581" s="103" t="str">
        <f t="shared" si="278"/>
        <v>http://oconnordata.com/mlink/modules/profile/index.cfm?action=profile&amp;prop_id=13405</v>
      </c>
      <c r="N3581" s="1">
        <f t="shared" si="279"/>
        <v>13405</v>
      </c>
    </row>
    <row r="3582" spans="1:14" x14ac:dyDescent="0.3">
      <c r="A3582" s="1">
        <v>13406</v>
      </c>
      <c r="B3582" s="10" t="s">
        <v>5480</v>
      </c>
      <c r="C3582" s="9">
        <v>901</v>
      </c>
      <c r="D3582" s="10" t="s">
        <v>5481</v>
      </c>
      <c r="E3582" s="11" t="s">
        <v>5055</v>
      </c>
      <c r="F3582" t="str">
        <f t="shared" si="275"/>
        <v>Lakeside</v>
      </c>
      <c r="G3582" t="str">
        <f t="shared" si="276"/>
        <v>Lakeside901Lewisville</v>
      </c>
      <c r="H3582" t="s">
        <v>34440</v>
      </c>
      <c r="I3582" t="s">
        <v>25864</v>
      </c>
      <c r="J3582" t="str">
        <f t="shared" si="277"/>
        <v>E:\PropInv\MF</v>
      </c>
      <c r="K3582" s="103" t="str">
        <f>HYPERLINK("E:\PropInv\MF\Lewisville\Lakeside Cir_901_Emery Bay at Lakepointe_Lewisville_13406","Lakeside Cir_901_Emery Bay at Lakepointe_Lewisville_13406" )</f>
        <v>Lakeside Cir_901_Emery Bay at Lakepointe_Lewisville_13406</v>
      </c>
      <c r="L3582" s="104" t="s">
        <v>22253</v>
      </c>
      <c r="M3582" s="103" t="str">
        <f t="shared" si="278"/>
        <v>http://oconnordata.com/mlink/modules/profile/index.cfm?action=profile&amp;prop_id=13406</v>
      </c>
      <c r="N3582" s="1">
        <f t="shared" si="279"/>
        <v>13406</v>
      </c>
    </row>
    <row r="3583" spans="1:14" x14ac:dyDescent="0.3">
      <c r="A3583" s="1">
        <v>13407</v>
      </c>
      <c r="B3583" s="7" t="s">
        <v>5482</v>
      </c>
      <c r="C3583" s="12">
        <v>2197</v>
      </c>
      <c r="D3583" s="7" t="s">
        <v>5483</v>
      </c>
      <c r="E3583" s="13" t="s">
        <v>5055</v>
      </c>
      <c r="F3583" t="str">
        <f t="shared" si="275"/>
        <v>Uecker</v>
      </c>
      <c r="G3583" t="str">
        <f t="shared" si="276"/>
        <v>Uecker2197Lewisville</v>
      </c>
      <c r="H3583" t="s">
        <v>34441</v>
      </c>
      <c r="I3583" t="s">
        <v>25865</v>
      </c>
      <c r="J3583" t="str">
        <f t="shared" si="277"/>
        <v>E:\PropInv\MF</v>
      </c>
      <c r="K3583" s="103" t="str">
        <f>HYPERLINK("E:\PropInv\MF\Lewisville\Uecker S_2197_Enclave_Lewisville_13407","Uecker S_2197_Enclave_Lewisville_13407" )</f>
        <v>Uecker S_2197_Enclave_Lewisville_13407</v>
      </c>
      <c r="L3583" s="104" t="s">
        <v>22253</v>
      </c>
      <c r="M3583" s="103" t="str">
        <f t="shared" si="278"/>
        <v>http://oconnordata.com/mlink/modules/profile/index.cfm?action=profile&amp;prop_id=13407</v>
      </c>
      <c r="N3583" s="1">
        <f t="shared" si="279"/>
        <v>13407</v>
      </c>
    </row>
    <row r="3584" spans="1:14" x14ac:dyDescent="0.3">
      <c r="A3584" s="1">
        <v>13408</v>
      </c>
      <c r="B3584" s="7" t="s">
        <v>5484</v>
      </c>
      <c r="C3584" s="12">
        <v>2200</v>
      </c>
      <c r="D3584" s="7" t="s">
        <v>5485</v>
      </c>
      <c r="E3584" s="13" t="s">
        <v>5088</v>
      </c>
      <c r="F3584" t="str">
        <f t="shared" si="275"/>
        <v>Beltline</v>
      </c>
      <c r="G3584" t="str">
        <f t="shared" si="276"/>
        <v>Beltline2200Mesquite</v>
      </c>
      <c r="H3584" t="s">
        <v>34442</v>
      </c>
      <c r="I3584" t="s">
        <v>25866</v>
      </c>
      <c r="J3584" t="str">
        <f t="shared" si="277"/>
        <v>E:\PropInv\MF</v>
      </c>
      <c r="K3584" s="103" t="str">
        <f>HYPERLINK("E:\PropInv\MF\Mesquite\Beltline N_2200_Mission Courtyard Villas_Mesquite_13408","Beltline N_2200_Mission Courtyard Villas_Mesquite_13408" )</f>
        <v>Beltline N_2200_Mission Courtyard Villas_Mesquite_13408</v>
      </c>
      <c r="L3584" s="104" t="s">
        <v>22253</v>
      </c>
      <c r="M3584" s="103" t="str">
        <f t="shared" si="278"/>
        <v>http://oconnordata.com/mlink/modules/profile/index.cfm?action=profile&amp;prop_id=13408</v>
      </c>
      <c r="N3584" s="1">
        <f t="shared" si="279"/>
        <v>13408</v>
      </c>
    </row>
    <row r="3585" spans="1:14" x14ac:dyDescent="0.3">
      <c r="A3585" s="1">
        <v>13409</v>
      </c>
      <c r="B3585" s="7" t="s">
        <v>5486</v>
      </c>
      <c r="C3585" s="12">
        <v>8083</v>
      </c>
      <c r="D3585" s="7" t="s">
        <v>5487</v>
      </c>
      <c r="E3585" s="13" t="s">
        <v>5488</v>
      </c>
      <c r="F3585" t="str">
        <f t="shared" si="275"/>
        <v>Stonebrook</v>
      </c>
      <c r="G3585" t="str">
        <f t="shared" si="276"/>
        <v>Stonebrook8083Frisco</v>
      </c>
      <c r="H3585" t="s">
        <v>34443</v>
      </c>
      <c r="I3585" t="s">
        <v>25867</v>
      </c>
      <c r="J3585" t="str">
        <f t="shared" si="277"/>
        <v>E:\PropInv\MF</v>
      </c>
      <c r="K3585" s="103" t="str">
        <f>HYPERLINK("E:\PropInv\MF\Frisco\Stonebrook Pkwy_8083_Enclave at Stonebrook_Frisco_13409","Stonebrook Pkwy_8083_Enclave at Stonebrook_Frisco_13409" )</f>
        <v>Stonebrook Pkwy_8083_Enclave at Stonebrook_Frisco_13409</v>
      </c>
      <c r="L3585" s="104" t="s">
        <v>22253</v>
      </c>
      <c r="M3585" s="103" t="str">
        <f t="shared" si="278"/>
        <v>http://oconnordata.com/mlink/modules/profile/index.cfm?action=profile&amp;prop_id=13409</v>
      </c>
      <c r="N3585" s="1">
        <f t="shared" si="279"/>
        <v>13409</v>
      </c>
    </row>
    <row r="3586" spans="1:14" x14ac:dyDescent="0.3">
      <c r="A3586" s="1">
        <v>13410</v>
      </c>
      <c r="B3586" s="7" t="s">
        <v>5489</v>
      </c>
      <c r="C3586" s="12">
        <v>9805</v>
      </c>
      <c r="D3586" s="7" t="s">
        <v>5490</v>
      </c>
      <c r="E3586" s="13" t="s">
        <v>5046</v>
      </c>
      <c r="F3586" t="str">
        <f t="shared" ref="F3586:F3649" si="280">IFERROR(LEFT(B3586,FIND(" ",B3586)-1),B3586)</f>
        <v>MacArthur</v>
      </c>
      <c r="G3586" t="str">
        <f t="shared" ref="G3586:G3649" si="281">F3586&amp;C3586&amp;E3586</f>
        <v>MacArthur9805Irving</v>
      </c>
      <c r="H3586" t="s">
        <v>34444</v>
      </c>
      <c r="I3586" t="s">
        <v>25868</v>
      </c>
      <c r="J3586" t="str">
        <f t="shared" ref="J3586:J3649" si="282">IF(L3586="TX",Folder_Path,Folder_Path&amp;"\State_"&amp;L3586)</f>
        <v>E:\PropInv\MF</v>
      </c>
      <c r="K3586" s="103" t="str">
        <f>HYPERLINK("E:\PropInv\MF\Irving\MacArthur N_9805_The Enclave at Valley Ranch_Irving_13410","MacArthur N_9805_The Enclave at Valley Ranch_Irving_13410" )</f>
        <v>MacArthur N_9805_The Enclave at Valley Ranch_Irving_13410</v>
      </c>
      <c r="L3586" s="104" t="s">
        <v>22253</v>
      </c>
      <c r="M3586" s="103" t="str">
        <f t="shared" ref="M3586:M3649" si="283">HYPERLINK("http://oconnordata.com/mlink/modules/profile/index.cfm?action=profile&amp;prop_id="&amp;A3586)</f>
        <v>http://oconnordata.com/mlink/modules/profile/index.cfm?action=profile&amp;prop_id=13410</v>
      </c>
      <c r="N3586" s="1">
        <f t="shared" ref="N3586:N3649" si="284">IF(LEN(A3586)=1,"0000"&amp;A3586,IF(LEN(A3586)=2,"000"&amp;A3586,IF(LEN(A3586)=3,"00"&amp;A3586,IF(LEN(A3586)=4,"0"&amp;A3586,IF(LEN(A3586)=5,IF(LEFT(A3586,1)="3",A3586+30000,A3586))))))</f>
        <v>13410</v>
      </c>
    </row>
    <row r="3587" spans="1:14" x14ac:dyDescent="0.3">
      <c r="A3587" s="1">
        <v>13412</v>
      </c>
      <c r="B3587" s="7" t="s">
        <v>5491</v>
      </c>
      <c r="C3587" s="12">
        <v>6731</v>
      </c>
      <c r="D3587" s="7" t="s">
        <v>5492</v>
      </c>
      <c r="E3587" s="13" t="s">
        <v>4996</v>
      </c>
      <c r="F3587" t="str">
        <f t="shared" si="280"/>
        <v>Larmanda</v>
      </c>
      <c r="G3587" t="str">
        <f t="shared" si="281"/>
        <v>Larmanda6731Dallas</v>
      </c>
      <c r="H3587" t="s">
        <v>34445</v>
      </c>
      <c r="I3587" t="s">
        <v>25869</v>
      </c>
      <c r="J3587" t="str">
        <f t="shared" si="282"/>
        <v>E:\PropInv\MF</v>
      </c>
      <c r="K3587" s="103" t="str">
        <f>HYPERLINK("E:\PropInv\MF\Dallas\Larmanda_6731_Stratford Hill_Dallas_13412","Larmanda_6731_Stratford Hill_Dallas_13412" )</f>
        <v>Larmanda_6731_Stratford Hill_Dallas_13412</v>
      </c>
      <c r="L3587" s="104" t="s">
        <v>22253</v>
      </c>
      <c r="M3587" s="103" t="str">
        <f t="shared" si="283"/>
        <v>http://oconnordata.com/mlink/modules/profile/index.cfm?action=profile&amp;prop_id=13412</v>
      </c>
      <c r="N3587" s="1">
        <f t="shared" si="284"/>
        <v>13412</v>
      </c>
    </row>
    <row r="3588" spans="1:14" x14ac:dyDescent="0.3">
      <c r="A3588" s="1">
        <v>13413</v>
      </c>
      <c r="B3588" s="7" t="s">
        <v>5493</v>
      </c>
      <c r="C3588" s="12">
        <v>2527</v>
      </c>
      <c r="D3588" s="7" t="s">
        <v>5494</v>
      </c>
      <c r="E3588" s="13" t="s">
        <v>5046</v>
      </c>
      <c r="F3588" t="str">
        <f t="shared" si="280"/>
        <v>Royal</v>
      </c>
      <c r="G3588" t="str">
        <f t="shared" si="281"/>
        <v>Royal2527Irving</v>
      </c>
      <c r="H3588" t="s">
        <v>34446</v>
      </c>
      <c r="I3588" t="s">
        <v>25870</v>
      </c>
      <c r="J3588" t="str">
        <f t="shared" si="282"/>
        <v>E:\PropInv\MF</v>
      </c>
      <c r="K3588" s="103" t="str">
        <f>HYPERLINK("E:\PropInv\MF\Irving\Royal Ln W_2527_Vista at Hackbury Creek_Irving_13413","Royal Ln W_2527_Vista at Hackbury Creek_Irving_13413" )</f>
        <v>Royal Ln W_2527_Vista at Hackbury Creek_Irving_13413</v>
      </c>
      <c r="L3588" s="104" t="s">
        <v>22253</v>
      </c>
      <c r="M3588" s="103" t="str">
        <f t="shared" si="283"/>
        <v>http://oconnordata.com/mlink/modules/profile/index.cfm?action=profile&amp;prop_id=13413</v>
      </c>
      <c r="N3588" s="1">
        <f t="shared" si="284"/>
        <v>13413</v>
      </c>
    </row>
    <row r="3589" spans="1:14" x14ac:dyDescent="0.3">
      <c r="A3589" s="1">
        <v>13414</v>
      </c>
      <c r="B3589" s="7" t="s">
        <v>5495</v>
      </c>
      <c r="C3589" s="12">
        <v>6200</v>
      </c>
      <c r="D3589" s="7" t="s">
        <v>5496</v>
      </c>
      <c r="E3589" s="13" t="s">
        <v>5019</v>
      </c>
      <c r="F3589" t="str">
        <f t="shared" si="280"/>
        <v>Shiloh</v>
      </c>
      <c r="G3589" t="str">
        <f t="shared" si="281"/>
        <v>Shiloh6200Garland</v>
      </c>
      <c r="H3589" t="s">
        <v>34447</v>
      </c>
      <c r="I3589" t="s">
        <v>25871</v>
      </c>
      <c r="J3589" t="str">
        <f t="shared" si="282"/>
        <v>E:\PropInv\MF</v>
      </c>
      <c r="K3589" s="103" t="str">
        <f>HYPERLINK("E:\PropInv\MF\Garland\Shiloh N_6200_Equinox on the Park_Garland_13414","Shiloh N_6200_Equinox on the Park_Garland_13414" )</f>
        <v>Shiloh N_6200_Equinox on the Park_Garland_13414</v>
      </c>
      <c r="L3589" s="104" t="s">
        <v>22253</v>
      </c>
      <c r="M3589" s="103" t="str">
        <f t="shared" si="283"/>
        <v>http://oconnordata.com/mlink/modules/profile/index.cfm?action=profile&amp;prop_id=13414</v>
      </c>
      <c r="N3589" s="1">
        <f t="shared" si="284"/>
        <v>13414</v>
      </c>
    </row>
    <row r="3590" spans="1:14" x14ac:dyDescent="0.3">
      <c r="A3590" s="1">
        <v>13415</v>
      </c>
      <c r="B3590" s="7" t="s">
        <v>5497</v>
      </c>
      <c r="C3590" s="12">
        <v>4411</v>
      </c>
      <c r="D3590" s="7" t="s">
        <v>1043</v>
      </c>
      <c r="E3590" s="13" t="s">
        <v>4996</v>
      </c>
      <c r="F3590" t="str">
        <f t="shared" si="280"/>
        <v>Dickason</v>
      </c>
      <c r="G3590" t="str">
        <f t="shared" si="281"/>
        <v>Dickason4411Dallas</v>
      </c>
      <c r="H3590" t="s">
        <v>34448</v>
      </c>
      <c r="I3590" t="s">
        <v>25872</v>
      </c>
      <c r="J3590" t="str">
        <f t="shared" si="282"/>
        <v>E:\PropInv\MF</v>
      </c>
      <c r="K3590" s="103" t="str">
        <f>HYPERLINK("E:\PropInv\MF\Dallas\Dickason_4411_Establishment_Dallas_13415","Dickason_4411_Establishment_Dallas_13415" )</f>
        <v>Dickason_4411_Establishment_Dallas_13415</v>
      </c>
      <c r="L3590" s="104" t="s">
        <v>22253</v>
      </c>
      <c r="M3590" s="103" t="str">
        <f t="shared" si="283"/>
        <v>http://oconnordata.com/mlink/modules/profile/index.cfm?action=profile&amp;prop_id=13415</v>
      </c>
      <c r="N3590" s="1">
        <f t="shared" si="284"/>
        <v>13415</v>
      </c>
    </row>
    <row r="3591" spans="1:14" x14ac:dyDescent="0.3">
      <c r="A3591" s="1">
        <v>13416</v>
      </c>
      <c r="B3591" s="7" t="s">
        <v>5203</v>
      </c>
      <c r="C3591" s="12">
        <v>4023</v>
      </c>
      <c r="D3591" s="7" t="s">
        <v>5498</v>
      </c>
      <c r="E3591" s="13" t="s">
        <v>5046</v>
      </c>
      <c r="F3591" t="str">
        <f t="shared" si="280"/>
        <v>Block</v>
      </c>
      <c r="G3591" t="str">
        <f t="shared" si="281"/>
        <v>Block4023Irving</v>
      </c>
      <c r="H3591" t="s">
        <v>34449</v>
      </c>
      <c r="I3591" t="s">
        <v>25873</v>
      </c>
      <c r="J3591" t="str">
        <f t="shared" si="282"/>
        <v>E:\PropInv\MF</v>
      </c>
      <c r="K3591" s="103" t="str">
        <f>HYPERLINK("E:\PropInv\MF\Irving\Block Dr_4023_Estelle Creek North_Irving_13416","Block Dr_4023_Estelle Creek North_Irving_13416" )</f>
        <v>Block Dr_4023_Estelle Creek North_Irving_13416</v>
      </c>
      <c r="L3591" s="104" t="s">
        <v>22253</v>
      </c>
      <c r="M3591" s="103" t="str">
        <f t="shared" si="283"/>
        <v>http://oconnordata.com/mlink/modules/profile/index.cfm?action=profile&amp;prop_id=13416</v>
      </c>
      <c r="N3591" s="1">
        <f t="shared" si="284"/>
        <v>13416</v>
      </c>
    </row>
    <row r="3592" spans="1:14" x14ac:dyDescent="0.3">
      <c r="A3592" s="1">
        <v>13417</v>
      </c>
      <c r="B3592" s="7" t="s">
        <v>5499</v>
      </c>
      <c r="C3592" s="12">
        <v>2115</v>
      </c>
      <c r="D3592" s="7" t="s">
        <v>5500</v>
      </c>
      <c r="E3592" s="13" t="s">
        <v>5046</v>
      </c>
      <c r="F3592" t="str">
        <f t="shared" si="280"/>
        <v>Estrada</v>
      </c>
      <c r="G3592" t="str">
        <f t="shared" si="281"/>
        <v>Estrada2115Irving</v>
      </c>
      <c r="H3592" t="s">
        <v>34450</v>
      </c>
      <c r="I3592" t="s">
        <v>25874</v>
      </c>
      <c r="J3592" t="str">
        <f t="shared" si="282"/>
        <v>E:\PropInv\MF</v>
      </c>
      <c r="K3592" s="103" t="str">
        <f>HYPERLINK("E:\PropInv\MF\Irving\Estrada Pkwy_2115_Colonial Village at Estrada_Irving_13417","Estrada Pkwy_2115_Colonial Village at Estrada_Irving_13417" )</f>
        <v>Estrada Pkwy_2115_Colonial Village at Estrada_Irving_13417</v>
      </c>
      <c r="L3592" s="104" t="s">
        <v>22253</v>
      </c>
      <c r="M3592" s="103" t="str">
        <f t="shared" si="283"/>
        <v>http://oconnordata.com/mlink/modules/profile/index.cfm?action=profile&amp;prop_id=13417</v>
      </c>
      <c r="N3592" s="1">
        <f t="shared" si="284"/>
        <v>13417</v>
      </c>
    </row>
    <row r="3593" spans="1:14" x14ac:dyDescent="0.3">
      <c r="A3593" s="1">
        <v>13418</v>
      </c>
      <c r="B3593" s="7" t="s">
        <v>5499</v>
      </c>
      <c r="C3593" s="12">
        <v>1900</v>
      </c>
      <c r="D3593" s="7" t="s">
        <v>5501</v>
      </c>
      <c r="E3593" s="13" t="s">
        <v>5046</v>
      </c>
      <c r="F3593" t="str">
        <f t="shared" si="280"/>
        <v>Estrada</v>
      </c>
      <c r="G3593" t="str">
        <f t="shared" si="281"/>
        <v>Estrada1900Irving</v>
      </c>
      <c r="H3593" t="s">
        <v>34451</v>
      </c>
      <c r="I3593" t="s">
        <v>25875</v>
      </c>
      <c r="J3593" t="str">
        <f t="shared" si="282"/>
        <v>E:\PropInv\MF</v>
      </c>
      <c r="K3593" s="103" t="str">
        <f>HYPERLINK("E:\PropInv\MF\Irving\Estrada Pkwy_1900_Crossings at Irving_Irving_13418","Estrada Pkwy_1900_Crossings at Irving_Irving_13418" )</f>
        <v>Estrada Pkwy_1900_Crossings at Irving_Irving_13418</v>
      </c>
      <c r="L3593" s="104" t="s">
        <v>22253</v>
      </c>
      <c r="M3593" s="103" t="str">
        <f t="shared" si="283"/>
        <v>http://oconnordata.com/mlink/modules/profile/index.cfm?action=profile&amp;prop_id=13418</v>
      </c>
      <c r="N3593" s="1">
        <f t="shared" si="284"/>
        <v>13418</v>
      </c>
    </row>
    <row r="3594" spans="1:14" x14ac:dyDescent="0.3">
      <c r="A3594" s="1">
        <v>13419</v>
      </c>
      <c r="B3594" s="7" t="s">
        <v>5419</v>
      </c>
      <c r="C3594" s="12">
        <v>8849</v>
      </c>
      <c r="D3594" s="7" t="s">
        <v>5502</v>
      </c>
      <c r="E3594" s="13" t="s">
        <v>4996</v>
      </c>
      <c r="F3594" t="str">
        <f t="shared" si="280"/>
        <v>Fair</v>
      </c>
      <c r="G3594" t="str">
        <f t="shared" si="281"/>
        <v>Fair8849Dallas</v>
      </c>
      <c r="H3594" t="s">
        <v>34452</v>
      </c>
      <c r="I3594" t="s">
        <v>25876</v>
      </c>
      <c r="J3594" t="str">
        <f t="shared" si="282"/>
        <v>E:\PropInv\MF</v>
      </c>
      <c r="K3594" s="103" t="str">
        <f>HYPERLINK("E:\PropInv\MF\Dallas\Fair Oaks Crossing_8849_Fair Oaks Creek_Dallas_13419","Fair Oaks Crossing_8849_Fair Oaks Creek_Dallas_13419" )</f>
        <v>Fair Oaks Crossing_8849_Fair Oaks Creek_Dallas_13419</v>
      </c>
      <c r="L3594" s="104" t="s">
        <v>22253</v>
      </c>
      <c r="M3594" s="103" t="str">
        <f t="shared" si="283"/>
        <v>http://oconnordata.com/mlink/modules/profile/index.cfm?action=profile&amp;prop_id=13419</v>
      </c>
      <c r="N3594" s="1">
        <f t="shared" si="284"/>
        <v>13419</v>
      </c>
    </row>
    <row r="3595" spans="1:14" x14ac:dyDescent="0.3">
      <c r="A3595" s="1">
        <v>13420</v>
      </c>
      <c r="B3595" s="7" t="s">
        <v>5503</v>
      </c>
      <c r="C3595" s="12">
        <v>6201</v>
      </c>
      <c r="D3595" s="7" t="s">
        <v>5504</v>
      </c>
      <c r="E3595" s="13" t="s">
        <v>4996</v>
      </c>
      <c r="F3595" t="str">
        <f t="shared" si="280"/>
        <v>Bordeaux</v>
      </c>
      <c r="G3595" t="str">
        <f t="shared" si="281"/>
        <v>Bordeaux6201Dallas</v>
      </c>
      <c r="H3595" t="s">
        <v>34453</v>
      </c>
      <c r="I3595" t="s">
        <v>25877</v>
      </c>
      <c r="J3595" t="str">
        <f t="shared" si="282"/>
        <v>E:\PropInv\MF</v>
      </c>
      <c r="K3595" s="103" t="str">
        <f>HYPERLINK("E:\PropInv\MF\Dallas\Bordeaux_6201_Fairfax_Dallas_13420","Bordeaux_6201_Fairfax_Dallas_13420" )</f>
        <v>Bordeaux_6201_Fairfax_Dallas_13420</v>
      </c>
      <c r="L3595" s="104" t="s">
        <v>22253</v>
      </c>
      <c r="M3595" s="103" t="str">
        <f t="shared" si="283"/>
        <v>http://oconnordata.com/mlink/modules/profile/index.cfm?action=profile&amp;prop_id=13420</v>
      </c>
      <c r="N3595" s="1">
        <f t="shared" si="284"/>
        <v>13420</v>
      </c>
    </row>
    <row r="3596" spans="1:14" x14ac:dyDescent="0.3">
      <c r="A3596" s="1">
        <v>13421</v>
      </c>
      <c r="B3596" s="7" t="s">
        <v>5505</v>
      </c>
      <c r="C3596" s="12">
        <v>1705</v>
      </c>
      <c r="D3596" s="7" t="s">
        <v>4400</v>
      </c>
      <c r="E3596" s="13" t="s">
        <v>5009</v>
      </c>
      <c r="F3596" t="str">
        <f t="shared" si="280"/>
        <v>Coit</v>
      </c>
      <c r="G3596" t="str">
        <f t="shared" si="281"/>
        <v>Coit1705Plano</v>
      </c>
      <c r="H3596" t="s">
        <v>34454</v>
      </c>
      <c r="I3596" t="s">
        <v>25878</v>
      </c>
      <c r="J3596" t="str">
        <f t="shared" si="282"/>
        <v>E:\PropInv\MF</v>
      </c>
      <c r="K3596" s="103" t="str">
        <f>HYPERLINK("E:\PropInv\MF\Plano\Coit Rd_1705_Fairway_Plano_13421","Coit Rd_1705_Fairway_Plano_13421" )</f>
        <v>Coit Rd_1705_Fairway_Plano_13421</v>
      </c>
      <c r="L3596" s="104" t="s">
        <v>22253</v>
      </c>
      <c r="M3596" s="103" t="str">
        <f t="shared" si="283"/>
        <v>http://oconnordata.com/mlink/modules/profile/index.cfm?action=profile&amp;prop_id=13421</v>
      </c>
      <c r="N3596" s="1">
        <f t="shared" si="284"/>
        <v>13421</v>
      </c>
    </row>
    <row r="3597" spans="1:14" x14ac:dyDescent="0.3">
      <c r="A3597" s="1">
        <v>13422</v>
      </c>
      <c r="B3597" s="7" t="s">
        <v>5399</v>
      </c>
      <c r="C3597" s="12">
        <v>11011</v>
      </c>
      <c r="D3597" s="7" t="s">
        <v>5506</v>
      </c>
      <c r="E3597" s="13" t="s">
        <v>4996</v>
      </c>
      <c r="F3597" t="str">
        <f t="shared" si="280"/>
        <v>Woodmeadow</v>
      </c>
      <c r="G3597" t="str">
        <f t="shared" si="281"/>
        <v>Woodmeadow11011Dallas</v>
      </c>
      <c r="H3597" t="s">
        <v>34455</v>
      </c>
      <c r="I3597" t="s">
        <v>25879</v>
      </c>
      <c r="J3597" t="str">
        <f t="shared" si="282"/>
        <v>E:\PropInv\MF</v>
      </c>
      <c r="K3597" s="103" t="str">
        <f>HYPERLINK("E:\PropInv\MF\Dallas\Woodmeadow Pkwy_11011_Fairway Greens_Dallas_13422","Woodmeadow Pkwy_11011_Fairway Greens_Dallas_13422" )</f>
        <v>Woodmeadow Pkwy_11011_Fairway Greens_Dallas_13422</v>
      </c>
      <c r="L3597" s="104" t="s">
        <v>22253</v>
      </c>
      <c r="M3597" s="103" t="str">
        <f t="shared" si="283"/>
        <v>http://oconnordata.com/mlink/modules/profile/index.cfm?action=profile&amp;prop_id=13422</v>
      </c>
      <c r="N3597" s="1">
        <f t="shared" si="284"/>
        <v>13422</v>
      </c>
    </row>
    <row r="3598" spans="1:14" x14ac:dyDescent="0.3">
      <c r="A3598" s="1">
        <v>13423</v>
      </c>
      <c r="B3598" s="7" t="s">
        <v>5316</v>
      </c>
      <c r="C3598" s="12">
        <v>1450</v>
      </c>
      <c r="D3598" s="7" t="s">
        <v>5507</v>
      </c>
      <c r="E3598" s="13" t="s">
        <v>5076</v>
      </c>
      <c r="F3598" t="str">
        <f t="shared" si="280"/>
        <v>360</v>
      </c>
      <c r="G3598" t="str">
        <f t="shared" si="281"/>
        <v>3601450Grand Prairie</v>
      </c>
      <c r="H3598" t="s">
        <v>34456</v>
      </c>
      <c r="I3598" t="s">
        <v>25880</v>
      </c>
      <c r="J3598" t="str">
        <f t="shared" si="282"/>
        <v>E:\PropInv\MF</v>
      </c>
      <c r="K3598" s="103" t="str">
        <f>HYPERLINK("E:\PropInv\MF\Grand Prairie\360 Hwy N_1450_Fairways_Grand Prairie_13423","360 Hwy N_1450_Fairways_Grand Prairie_13423" )</f>
        <v>360 Hwy N_1450_Fairways_Grand Prairie_13423</v>
      </c>
      <c r="L3598" s="104" t="s">
        <v>22253</v>
      </c>
      <c r="M3598" s="103" t="str">
        <f t="shared" si="283"/>
        <v>http://oconnordata.com/mlink/modules/profile/index.cfm?action=profile&amp;prop_id=13423</v>
      </c>
      <c r="N3598" s="1">
        <f t="shared" si="284"/>
        <v>13423</v>
      </c>
    </row>
    <row r="3599" spans="1:14" x14ac:dyDescent="0.3">
      <c r="A3599" s="1">
        <v>13424</v>
      </c>
      <c r="B3599" s="7" t="s">
        <v>5508</v>
      </c>
      <c r="C3599" s="12">
        <v>801</v>
      </c>
      <c r="D3599" s="7" t="s">
        <v>5509</v>
      </c>
      <c r="E3599" s="13" t="s">
        <v>5088</v>
      </c>
      <c r="F3599" t="str">
        <f t="shared" si="280"/>
        <v>67</v>
      </c>
      <c r="G3599" t="str">
        <f t="shared" si="281"/>
        <v>67801Mesquite</v>
      </c>
      <c r="H3599" t="s">
        <v>34457</v>
      </c>
      <c r="I3599" t="s">
        <v>25881</v>
      </c>
      <c r="J3599" t="str">
        <f t="shared" si="282"/>
        <v>E:\PropInv\MF</v>
      </c>
      <c r="K3599" s="103" t="str">
        <f>HYPERLINK("E:\PropInv\MF\Mesquite\67 US Hwy_801_Mission Fairways at Mesquite_Mesquite_13424","67 US Hwy_801_Mission Fairways at Mesquite_Mesquite_13424" )</f>
        <v>67 US Hwy_801_Mission Fairways at Mesquite_Mesquite_13424</v>
      </c>
      <c r="L3599" s="104" t="s">
        <v>22253</v>
      </c>
      <c r="M3599" s="103" t="str">
        <f t="shared" si="283"/>
        <v>http://oconnordata.com/mlink/modules/profile/index.cfm?action=profile&amp;prop_id=13424</v>
      </c>
      <c r="N3599" s="1">
        <f t="shared" si="284"/>
        <v>13424</v>
      </c>
    </row>
    <row r="3600" spans="1:14" x14ac:dyDescent="0.3">
      <c r="A3600" s="1">
        <v>13425</v>
      </c>
      <c r="B3600" s="7" t="s">
        <v>5510</v>
      </c>
      <c r="C3600" s="12">
        <v>9450</v>
      </c>
      <c r="D3600" s="7" t="s">
        <v>5511</v>
      </c>
      <c r="E3600" s="13" t="s">
        <v>4996</v>
      </c>
      <c r="F3600" t="str">
        <f t="shared" si="280"/>
        <v>Forest</v>
      </c>
      <c r="G3600" t="str">
        <f t="shared" si="281"/>
        <v>Forest9450Dallas</v>
      </c>
      <c r="H3600" t="s">
        <v>34458</v>
      </c>
      <c r="I3600" t="s">
        <v>25882</v>
      </c>
      <c r="J3600" t="str">
        <f t="shared" si="282"/>
        <v>E:\PropInv\MF</v>
      </c>
      <c r="K3600" s="103" t="str">
        <f>HYPERLINK("E:\PropInv\MF\Dallas\Forest Springs Dr_9450_Villas on Forest Springs I_Dallas_13425","Forest Springs Dr_9450_Villas on Forest Springs I_Dallas_13425" )</f>
        <v>Forest Springs Dr_9450_Villas on Forest Springs I_Dallas_13425</v>
      </c>
      <c r="L3600" s="104" t="s">
        <v>22253</v>
      </c>
      <c r="M3600" s="103" t="str">
        <f t="shared" si="283"/>
        <v>http://oconnordata.com/mlink/modules/profile/index.cfm?action=profile&amp;prop_id=13425</v>
      </c>
      <c r="N3600" s="1">
        <f t="shared" si="284"/>
        <v>13425</v>
      </c>
    </row>
    <row r="3601" spans="1:14" x14ac:dyDescent="0.3">
      <c r="A3601" s="1">
        <v>13426</v>
      </c>
      <c r="B3601" s="7" t="s">
        <v>5207</v>
      </c>
      <c r="C3601" s="12">
        <v>9797</v>
      </c>
      <c r="D3601" s="7" t="s">
        <v>5512</v>
      </c>
      <c r="E3601" s="13" t="s">
        <v>4996</v>
      </c>
      <c r="F3601" t="str">
        <f t="shared" si="280"/>
        <v>Bruton</v>
      </c>
      <c r="G3601" t="str">
        <f t="shared" si="281"/>
        <v>Bruton9797Dallas</v>
      </c>
      <c r="H3601" t="s">
        <v>34459</v>
      </c>
      <c r="I3601" t="s">
        <v>25883</v>
      </c>
      <c r="J3601" t="str">
        <f t="shared" si="282"/>
        <v>E:\PropInv\MF</v>
      </c>
      <c r="K3601" s="103" t="str">
        <f>HYPERLINK("E:\PropInv\MF\Dallas\Bruton Rd_9797_The Falls_Dallas_13426","Bruton Rd_9797_The Falls_Dallas_13426" )</f>
        <v>Bruton Rd_9797_The Falls_Dallas_13426</v>
      </c>
      <c r="L3601" s="104" t="s">
        <v>22253</v>
      </c>
      <c r="M3601" s="103" t="str">
        <f t="shared" si="283"/>
        <v>http://oconnordata.com/mlink/modules/profile/index.cfm?action=profile&amp;prop_id=13426</v>
      </c>
      <c r="N3601" s="1">
        <f t="shared" si="284"/>
        <v>13426</v>
      </c>
    </row>
    <row r="3602" spans="1:14" x14ac:dyDescent="0.3">
      <c r="A3602" s="1">
        <v>13427</v>
      </c>
      <c r="B3602" s="7" t="s">
        <v>5513</v>
      </c>
      <c r="C3602" s="12">
        <v>613</v>
      </c>
      <c r="D3602" s="7" t="s">
        <v>5514</v>
      </c>
      <c r="E3602" s="13" t="s">
        <v>3328</v>
      </c>
      <c r="F3602" t="str">
        <f t="shared" si="280"/>
        <v>Clearwood</v>
      </c>
      <c r="G3602" t="str">
        <f t="shared" si="281"/>
        <v>Clearwood613Richardson</v>
      </c>
      <c r="H3602" t="s">
        <v>34460</v>
      </c>
      <c r="I3602" t="s">
        <v>25884</v>
      </c>
      <c r="J3602" t="str">
        <f t="shared" si="282"/>
        <v>E:\PropInv\MF</v>
      </c>
      <c r="K3602" s="103" t="str">
        <f>HYPERLINK("E:\PropInv\MF\Richardson\Clearwood_613_Falls on Clearwood_Richardson_13427","Clearwood_613_Falls on Clearwood_Richardson_13427" )</f>
        <v>Clearwood_613_Falls on Clearwood_Richardson_13427</v>
      </c>
      <c r="L3602" s="104" t="s">
        <v>22253</v>
      </c>
      <c r="M3602" s="103" t="str">
        <f t="shared" si="283"/>
        <v>http://oconnordata.com/mlink/modules/profile/index.cfm?action=profile&amp;prop_id=13427</v>
      </c>
      <c r="N3602" s="1">
        <f t="shared" si="284"/>
        <v>13427</v>
      </c>
    </row>
    <row r="3603" spans="1:14" x14ac:dyDescent="0.3">
      <c r="A3603" s="1">
        <v>13428</v>
      </c>
      <c r="B3603" s="7" t="s">
        <v>5515</v>
      </c>
      <c r="C3603" s="12">
        <v>19200</v>
      </c>
      <c r="D3603" s="7" t="s">
        <v>5516</v>
      </c>
      <c r="E3603" s="13" t="s">
        <v>5088</v>
      </c>
      <c r="F3603" t="str">
        <f t="shared" si="280"/>
        <v>LBJ</v>
      </c>
      <c r="G3603" t="str">
        <f t="shared" si="281"/>
        <v>LBJ19200Mesquite</v>
      </c>
      <c r="H3603" t="s">
        <v>34461</v>
      </c>
      <c r="I3603" t="s">
        <v>25885</v>
      </c>
      <c r="J3603" t="str">
        <f t="shared" si="282"/>
        <v>E:\PropInv\MF</v>
      </c>
      <c r="K3603" s="103" t="str">
        <f>HYPERLINK("E:\PropInv\MF\Mesquite\LBJ Fwy_19200_Falltree_Mesquite_13428","LBJ Fwy_19200_Falltree_Mesquite_13428" )</f>
        <v>LBJ Fwy_19200_Falltree_Mesquite_13428</v>
      </c>
      <c r="L3603" s="104" t="s">
        <v>22253</v>
      </c>
      <c r="M3603" s="103" t="str">
        <f t="shared" si="283"/>
        <v>http://oconnordata.com/mlink/modules/profile/index.cfm?action=profile&amp;prop_id=13428</v>
      </c>
      <c r="N3603" s="1">
        <f t="shared" si="284"/>
        <v>13428</v>
      </c>
    </row>
    <row r="3604" spans="1:14" x14ac:dyDescent="0.3">
      <c r="A3604" s="1">
        <v>13430</v>
      </c>
      <c r="B3604" s="7" t="s">
        <v>5517</v>
      </c>
      <c r="C3604" s="12">
        <v>4747</v>
      </c>
      <c r="D3604" s="7" t="s">
        <v>5518</v>
      </c>
      <c r="E3604" s="13" t="s">
        <v>5060</v>
      </c>
      <c r="F3604" t="str">
        <f t="shared" si="280"/>
        <v>Josey</v>
      </c>
      <c r="G3604" t="str">
        <f t="shared" si="281"/>
        <v>Josey4747Carrollton</v>
      </c>
      <c r="H3604" t="s">
        <v>34462</v>
      </c>
      <c r="I3604" t="s">
        <v>25886</v>
      </c>
      <c r="J3604" t="str">
        <f t="shared" si="282"/>
        <v>E:\PropInv\MF</v>
      </c>
      <c r="K3604" s="103" t="str">
        <f>HYPERLINK("E:\PropInv\MF\Carrollton\Josey_4747_Fieldcrest Condominiums_Carrollton_13430","Josey_4747_Fieldcrest Condominiums_Carrollton_13430" )</f>
        <v>Josey_4747_Fieldcrest Condominiums_Carrollton_13430</v>
      </c>
      <c r="L3604" s="104" t="s">
        <v>22253</v>
      </c>
      <c r="M3604" s="103" t="str">
        <f t="shared" si="283"/>
        <v>http://oconnordata.com/mlink/modules/profile/index.cfm?action=profile&amp;prop_id=13430</v>
      </c>
      <c r="N3604" s="1">
        <f t="shared" si="284"/>
        <v>13430</v>
      </c>
    </row>
    <row r="3605" spans="1:14" x14ac:dyDescent="0.3">
      <c r="A3605" s="1">
        <v>13431</v>
      </c>
      <c r="B3605" s="7" t="s">
        <v>5519</v>
      </c>
      <c r="C3605" s="12">
        <v>2434</v>
      </c>
      <c r="D3605" s="7" t="s">
        <v>5520</v>
      </c>
      <c r="E3605" s="13" t="s">
        <v>5046</v>
      </c>
      <c r="F3605" t="str">
        <f t="shared" si="280"/>
        <v>Finley</v>
      </c>
      <c r="G3605" t="str">
        <f t="shared" si="281"/>
        <v>Finley2434Irving</v>
      </c>
      <c r="H3605" t="s">
        <v>34463</v>
      </c>
      <c r="I3605" t="s">
        <v>25887</v>
      </c>
      <c r="J3605" t="str">
        <f t="shared" si="282"/>
        <v>E:\PropInv\MF</v>
      </c>
      <c r="K3605" s="103" t="str">
        <f>HYPERLINK("E:\PropInv\MF\Irving\Finley Rd_2434_Finley Square_Irving_13431","Finley Rd_2434_Finley Square_Irving_13431" )</f>
        <v>Finley Rd_2434_Finley Square_Irving_13431</v>
      </c>
      <c r="L3605" s="104" t="s">
        <v>22253</v>
      </c>
      <c r="M3605" s="103" t="str">
        <f t="shared" si="283"/>
        <v>http://oconnordata.com/mlink/modules/profile/index.cfm?action=profile&amp;prop_id=13431</v>
      </c>
      <c r="N3605" s="1">
        <f t="shared" si="284"/>
        <v>13431</v>
      </c>
    </row>
    <row r="3606" spans="1:14" x14ac:dyDescent="0.3">
      <c r="A3606" s="1">
        <v>13432</v>
      </c>
      <c r="B3606" s="7" t="s">
        <v>5153</v>
      </c>
      <c r="C3606" s="12">
        <v>4328</v>
      </c>
      <c r="D3606" s="7" t="s">
        <v>5521</v>
      </c>
      <c r="E3606" s="13" t="s">
        <v>5019</v>
      </c>
      <c r="F3606" t="str">
        <f t="shared" si="280"/>
        <v>Duck</v>
      </c>
      <c r="G3606" t="str">
        <f t="shared" si="281"/>
        <v>Duck4328Garland</v>
      </c>
      <c r="H3606" t="s">
        <v>34464</v>
      </c>
      <c r="I3606" t="s">
        <v>25888</v>
      </c>
      <c r="J3606" t="str">
        <f t="shared" si="282"/>
        <v>E:\PropInv\MF</v>
      </c>
      <c r="K3606" s="103" t="str">
        <f>HYPERLINK("E:\PropInv\MF\Garland\Duck Creek_4328_Forest at Duck Creek_Garland_13432","Duck Creek_4328_Forest at Duck Creek_Garland_13432" )</f>
        <v>Duck Creek_4328_Forest at Duck Creek_Garland_13432</v>
      </c>
      <c r="L3606" s="104" t="s">
        <v>22253</v>
      </c>
      <c r="M3606" s="103" t="str">
        <f t="shared" si="283"/>
        <v>http://oconnordata.com/mlink/modules/profile/index.cfm?action=profile&amp;prop_id=13432</v>
      </c>
      <c r="N3606" s="1">
        <f t="shared" si="284"/>
        <v>13432</v>
      </c>
    </row>
    <row r="3607" spans="1:14" x14ac:dyDescent="0.3">
      <c r="A3607" s="1">
        <v>13433</v>
      </c>
      <c r="B3607" s="7" t="s">
        <v>5522</v>
      </c>
      <c r="C3607" s="12">
        <v>165</v>
      </c>
      <c r="D3607" s="7" t="s">
        <v>5523</v>
      </c>
      <c r="E3607" s="13" t="s">
        <v>5055</v>
      </c>
      <c r="F3607" t="str">
        <f t="shared" si="280"/>
        <v>Forestbrook</v>
      </c>
      <c r="G3607" t="str">
        <f t="shared" si="281"/>
        <v>Forestbrook165Lewisville</v>
      </c>
      <c r="H3607" t="s">
        <v>34465</v>
      </c>
      <c r="I3607" t="s">
        <v>25889</v>
      </c>
      <c r="J3607" t="str">
        <f t="shared" si="282"/>
        <v>E:\PropInv\MF</v>
      </c>
      <c r="K3607" s="103" t="str">
        <f>HYPERLINK("E:\PropInv\MF\Lewisville\Forestbrook_165_Forest Brook_Lewisville_13433","Forestbrook_165_Forest Brook_Lewisville_13433" )</f>
        <v>Forestbrook_165_Forest Brook_Lewisville_13433</v>
      </c>
      <c r="L3607" s="104" t="s">
        <v>22253</v>
      </c>
      <c r="M3607" s="103" t="str">
        <f t="shared" si="283"/>
        <v>http://oconnordata.com/mlink/modules/profile/index.cfm?action=profile&amp;prop_id=13433</v>
      </c>
      <c r="N3607" s="1">
        <f t="shared" si="284"/>
        <v>13433</v>
      </c>
    </row>
    <row r="3608" spans="1:14" x14ac:dyDescent="0.3">
      <c r="A3608" s="1">
        <v>13434</v>
      </c>
      <c r="B3608" s="7" t="s">
        <v>5129</v>
      </c>
      <c r="C3608" s="12">
        <v>9690</v>
      </c>
      <c r="D3608" s="7" t="s">
        <v>5524</v>
      </c>
      <c r="E3608" s="13" t="s">
        <v>4996</v>
      </c>
      <c r="F3608" t="str">
        <f t="shared" si="280"/>
        <v>Forest</v>
      </c>
      <c r="G3608" t="str">
        <f t="shared" si="281"/>
        <v>Forest9690Dallas</v>
      </c>
      <c r="H3608" t="s">
        <v>34466</v>
      </c>
      <c r="I3608" t="s">
        <v>25890</v>
      </c>
      <c r="J3608" t="str">
        <f t="shared" si="282"/>
        <v>E:\PropInv\MF</v>
      </c>
      <c r="K3608" s="103" t="str">
        <f>HYPERLINK("E:\PropInv\MF\Dallas\Forest Ln_9690_Trinity Palms_Dallas_13434","Forest Ln_9690_Trinity Palms_Dallas_13434" )</f>
        <v>Forest Ln_9690_Trinity Palms_Dallas_13434</v>
      </c>
      <c r="L3608" s="104" t="s">
        <v>22253</v>
      </c>
      <c r="M3608" s="103" t="str">
        <f t="shared" si="283"/>
        <v>http://oconnordata.com/mlink/modules/profile/index.cfm?action=profile&amp;prop_id=13434</v>
      </c>
      <c r="N3608" s="1">
        <f t="shared" si="284"/>
        <v>13434</v>
      </c>
    </row>
    <row r="3609" spans="1:14" x14ac:dyDescent="0.3">
      <c r="A3609" s="1">
        <v>13435</v>
      </c>
      <c r="B3609" s="7" t="s">
        <v>5129</v>
      </c>
      <c r="C3609" s="12">
        <v>9600</v>
      </c>
      <c r="D3609" s="7" t="s">
        <v>5525</v>
      </c>
      <c r="E3609" s="13" t="s">
        <v>4996</v>
      </c>
      <c r="F3609" t="str">
        <f t="shared" si="280"/>
        <v>Forest</v>
      </c>
      <c r="G3609" t="str">
        <f t="shared" si="281"/>
        <v>Forest9600Dallas</v>
      </c>
      <c r="H3609" t="s">
        <v>34467</v>
      </c>
      <c r="I3609" t="s">
        <v>25891</v>
      </c>
      <c r="J3609" t="str">
        <f t="shared" si="282"/>
        <v>E:\PropInv\MF</v>
      </c>
      <c r="K3609" s="103" t="str">
        <f>HYPERLINK("E:\PropInv\MF\Dallas\Forest Ln_9600_Forest Cove_Dallas_13435","Forest Ln_9600_Forest Cove_Dallas_13435" )</f>
        <v>Forest Ln_9600_Forest Cove_Dallas_13435</v>
      </c>
      <c r="L3609" s="104" t="s">
        <v>22253</v>
      </c>
      <c r="M3609" s="103" t="str">
        <f t="shared" si="283"/>
        <v>http://oconnordata.com/mlink/modules/profile/index.cfm?action=profile&amp;prop_id=13435</v>
      </c>
      <c r="N3609" s="1">
        <f t="shared" si="284"/>
        <v>13435</v>
      </c>
    </row>
    <row r="3610" spans="1:14" x14ac:dyDescent="0.3">
      <c r="A3610" s="1">
        <v>13436</v>
      </c>
      <c r="B3610" s="7" t="s">
        <v>5526</v>
      </c>
      <c r="C3610" s="12">
        <v>9655</v>
      </c>
      <c r="D3610" s="7" t="s">
        <v>5527</v>
      </c>
      <c r="E3610" s="13" t="s">
        <v>4996</v>
      </c>
      <c r="F3610" t="str">
        <f t="shared" si="280"/>
        <v>Chimney</v>
      </c>
      <c r="G3610" t="str">
        <f t="shared" si="281"/>
        <v>Chimney9655Dallas</v>
      </c>
      <c r="H3610" t="s">
        <v>34468</v>
      </c>
      <c r="I3610" t="s">
        <v>25892</v>
      </c>
      <c r="J3610" t="str">
        <f t="shared" si="282"/>
        <v>E:\PropInv\MF</v>
      </c>
      <c r="K3610" s="103" t="str">
        <f>HYPERLINK("E:\PropInv\MF\Dallas\Chimney Hill Ln_9655_Bosque Estates_Dallas_13436","Chimney Hill Ln_9655_Bosque Estates_Dallas_13436" )</f>
        <v>Chimney Hill Ln_9655_Bosque Estates_Dallas_13436</v>
      </c>
      <c r="L3610" s="104" t="s">
        <v>22253</v>
      </c>
      <c r="M3610" s="103" t="str">
        <f t="shared" si="283"/>
        <v>http://oconnordata.com/mlink/modules/profile/index.cfm?action=profile&amp;prop_id=13436</v>
      </c>
      <c r="N3610" s="1">
        <f t="shared" si="284"/>
        <v>13436</v>
      </c>
    </row>
    <row r="3611" spans="1:14" x14ac:dyDescent="0.3">
      <c r="A3611" s="1">
        <v>13437</v>
      </c>
      <c r="B3611" s="7" t="s">
        <v>5129</v>
      </c>
      <c r="C3611" s="12">
        <v>9659</v>
      </c>
      <c r="D3611" s="7" t="s">
        <v>5528</v>
      </c>
      <c r="E3611" s="13" t="s">
        <v>4996</v>
      </c>
      <c r="F3611" t="str">
        <f t="shared" si="280"/>
        <v>Forest</v>
      </c>
      <c r="G3611" t="str">
        <f t="shared" si="281"/>
        <v>Forest9659Dallas</v>
      </c>
      <c r="H3611" t="s">
        <v>34469</v>
      </c>
      <c r="I3611" t="s">
        <v>25893</v>
      </c>
      <c r="J3611" t="str">
        <f t="shared" si="282"/>
        <v>E:\PropInv\MF</v>
      </c>
      <c r="K3611" s="103" t="str">
        <f>HYPERLINK("E:\PropInv\MF\Dallas\Forest Ln_9659_Forest Hill_Dallas_13437","Forest Ln_9659_Forest Hill_Dallas_13437" )</f>
        <v>Forest Ln_9659_Forest Hill_Dallas_13437</v>
      </c>
      <c r="L3611" s="104" t="s">
        <v>22253</v>
      </c>
      <c r="M3611" s="103" t="str">
        <f t="shared" si="283"/>
        <v>http://oconnordata.com/mlink/modules/profile/index.cfm?action=profile&amp;prop_id=13437</v>
      </c>
      <c r="N3611" s="1">
        <f t="shared" si="284"/>
        <v>13437</v>
      </c>
    </row>
    <row r="3612" spans="1:14" x14ac:dyDescent="0.3">
      <c r="A3612" s="1">
        <v>13439</v>
      </c>
      <c r="B3612" s="7" t="s">
        <v>5129</v>
      </c>
      <c r="C3612" s="12">
        <v>3423</v>
      </c>
      <c r="D3612" s="7" t="s">
        <v>5529</v>
      </c>
      <c r="E3612" s="13" t="s">
        <v>4996</v>
      </c>
      <c r="F3612" t="str">
        <f t="shared" si="280"/>
        <v>Forest</v>
      </c>
      <c r="G3612" t="str">
        <f t="shared" si="281"/>
        <v>Forest3423Dallas</v>
      </c>
      <c r="H3612" t="s">
        <v>34470</v>
      </c>
      <c r="I3612" t="s">
        <v>25894</v>
      </c>
      <c r="J3612" t="str">
        <f t="shared" si="282"/>
        <v>E:\PropInv\MF</v>
      </c>
      <c r="K3612" s="103" t="str">
        <f>HYPERLINK("E:\PropInv\MF\Dallas\Forest Ln_3423_Forest Park Village_Dallas_13439","Forest Ln_3423_Forest Park Village_Dallas_13439" )</f>
        <v>Forest Ln_3423_Forest Park Village_Dallas_13439</v>
      </c>
      <c r="L3612" s="104" t="s">
        <v>22253</v>
      </c>
      <c r="M3612" s="103" t="str">
        <f t="shared" si="283"/>
        <v>http://oconnordata.com/mlink/modules/profile/index.cfm?action=profile&amp;prop_id=13439</v>
      </c>
      <c r="N3612" s="1">
        <f t="shared" si="284"/>
        <v>13439</v>
      </c>
    </row>
    <row r="3613" spans="1:14" x14ac:dyDescent="0.3">
      <c r="A3613" s="1">
        <v>13440</v>
      </c>
      <c r="B3613" s="7" t="s">
        <v>5510</v>
      </c>
      <c r="C3613" s="12">
        <v>9475</v>
      </c>
      <c r="D3613" s="7" t="s">
        <v>5530</v>
      </c>
      <c r="E3613" s="13" t="s">
        <v>4996</v>
      </c>
      <c r="F3613" t="str">
        <f t="shared" si="280"/>
        <v>Forest</v>
      </c>
      <c r="G3613" t="str">
        <f t="shared" si="281"/>
        <v>Forest9475Dallas</v>
      </c>
      <c r="H3613" t="s">
        <v>34471</v>
      </c>
      <c r="I3613" t="s">
        <v>25895</v>
      </c>
      <c r="J3613" t="str">
        <f t="shared" si="282"/>
        <v>E:\PropInv\MF</v>
      </c>
      <c r="K3613" s="103" t="str">
        <f>HYPERLINK("E:\PropInv\MF\Dallas\Forest Springs Dr_9475_Villas on Forest Springs II_Dallas_13440","Forest Springs Dr_9475_Villas on Forest Springs II_Dallas_13440" )</f>
        <v>Forest Springs Dr_9475_Villas on Forest Springs II_Dallas_13440</v>
      </c>
      <c r="L3613" s="104" t="s">
        <v>22253</v>
      </c>
      <c r="M3613" s="103" t="str">
        <f t="shared" si="283"/>
        <v>http://oconnordata.com/mlink/modules/profile/index.cfm?action=profile&amp;prop_id=13440</v>
      </c>
      <c r="N3613" s="1">
        <f t="shared" si="284"/>
        <v>13440</v>
      </c>
    </row>
    <row r="3614" spans="1:14" x14ac:dyDescent="0.3">
      <c r="A3614" s="1">
        <v>13441</v>
      </c>
      <c r="B3614" s="10" t="s">
        <v>5129</v>
      </c>
      <c r="C3614" s="9">
        <v>9601</v>
      </c>
      <c r="D3614" s="10" t="s">
        <v>5531</v>
      </c>
      <c r="E3614" s="11" t="s">
        <v>4996</v>
      </c>
      <c r="F3614" t="str">
        <f t="shared" si="280"/>
        <v>Forest</v>
      </c>
      <c r="G3614" t="str">
        <f t="shared" si="281"/>
        <v>Forest9601Dallas</v>
      </c>
      <c r="H3614" t="s">
        <v>34472</v>
      </c>
      <c r="I3614" t="s">
        <v>25896</v>
      </c>
      <c r="J3614" t="str">
        <f t="shared" si="282"/>
        <v>E:\PropInv\MF</v>
      </c>
      <c r="K3614" s="103" t="str">
        <f>HYPERLINK("E:\PropInv\MF\Dallas\Forest Ln_9601_Forestwood on the Creek_Dallas_13441","Forest Ln_9601_Forestwood on the Creek_Dallas_13441" )</f>
        <v>Forest Ln_9601_Forestwood on the Creek_Dallas_13441</v>
      </c>
      <c r="L3614" s="104" t="s">
        <v>22253</v>
      </c>
      <c r="M3614" s="103" t="str">
        <f t="shared" si="283"/>
        <v>http://oconnordata.com/mlink/modules/profile/index.cfm?action=profile&amp;prop_id=13441</v>
      </c>
      <c r="N3614" s="1">
        <f t="shared" si="284"/>
        <v>13441</v>
      </c>
    </row>
    <row r="3615" spans="1:14" x14ac:dyDescent="0.3">
      <c r="A3615" s="1">
        <v>13442</v>
      </c>
      <c r="B3615" s="7" t="s">
        <v>5532</v>
      </c>
      <c r="C3615" s="12">
        <v>5133</v>
      </c>
      <c r="D3615" s="7" t="s">
        <v>5533</v>
      </c>
      <c r="E3615" s="13" t="s">
        <v>4996</v>
      </c>
      <c r="F3615" t="str">
        <f t="shared" si="280"/>
        <v>Forest</v>
      </c>
      <c r="G3615" t="str">
        <f t="shared" si="281"/>
        <v>Forest5133Dallas</v>
      </c>
      <c r="H3615" t="s">
        <v>34473</v>
      </c>
      <c r="I3615" t="s">
        <v>25897</v>
      </c>
      <c r="J3615" t="str">
        <f t="shared" si="282"/>
        <v>E:\PropInv\MF</v>
      </c>
      <c r="K3615" s="103" t="str">
        <f>HYPERLINK("E:\PropInv\MF\Dallas\Forest Ln Place_5133_Forestwood TH_Dallas_13442","Forest Ln Place_5133_Forestwood TH_Dallas_13442" )</f>
        <v>Forest Ln Place_5133_Forestwood TH_Dallas_13442</v>
      </c>
      <c r="L3615" s="104" t="s">
        <v>22253</v>
      </c>
      <c r="M3615" s="103" t="str">
        <f t="shared" si="283"/>
        <v>http://oconnordata.com/mlink/modules/profile/index.cfm?action=profile&amp;prop_id=13442</v>
      </c>
      <c r="N3615" s="1">
        <f t="shared" si="284"/>
        <v>13442</v>
      </c>
    </row>
    <row r="3616" spans="1:14" x14ac:dyDescent="0.3">
      <c r="A3616" s="1">
        <v>13444</v>
      </c>
      <c r="B3616" s="7" t="s">
        <v>880</v>
      </c>
      <c r="C3616" s="12">
        <v>10004</v>
      </c>
      <c r="D3616" s="7" t="s">
        <v>5534</v>
      </c>
      <c r="E3616" s="13" t="s">
        <v>4996</v>
      </c>
      <c r="F3616" t="str">
        <f t="shared" si="280"/>
        <v>Regal</v>
      </c>
      <c r="G3616" t="str">
        <f t="shared" si="281"/>
        <v>Regal10004Dallas</v>
      </c>
      <c r="H3616" t="s">
        <v>34474</v>
      </c>
      <c r="I3616" t="s">
        <v>25898</v>
      </c>
      <c r="J3616" t="str">
        <f t="shared" si="282"/>
        <v>E:\PropInv\MF</v>
      </c>
      <c r="K3616" s="103" t="str">
        <f>HYPERLINK("E:\PropInv\MF\Dallas\Regal Park_10004_Fountains_Dallas_13444","Regal Park_10004_Fountains_Dallas_13444" )</f>
        <v>Regal Park_10004_Fountains_Dallas_13444</v>
      </c>
      <c r="L3616" s="104" t="s">
        <v>22253</v>
      </c>
      <c r="M3616" s="103" t="str">
        <f t="shared" si="283"/>
        <v>http://oconnordata.com/mlink/modules/profile/index.cfm?action=profile&amp;prop_id=13444</v>
      </c>
      <c r="N3616" s="1">
        <f t="shared" si="284"/>
        <v>13444</v>
      </c>
    </row>
    <row r="3617" spans="1:14" x14ac:dyDescent="0.3">
      <c r="A3617" s="1">
        <v>13445</v>
      </c>
      <c r="B3617" s="7" t="s">
        <v>5535</v>
      </c>
      <c r="C3617" s="12">
        <v>12993</v>
      </c>
      <c r="D3617" s="7" t="s">
        <v>5536</v>
      </c>
      <c r="E3617" s="13" t="s">
        <v>4996</v>
      </c>
      <c r="F3617" t="str">
        <f t="shared" si="280"/>
        <v>Jupiter</v>
      </c>
      <c r="G3617" t="str">
        <f t="shared" si="281"/>
        <v>Jupiter12993Dallas</v>
      </c>
      <c r="H3617" t="s">
        <v>34475</v>
      </c>
      <c r="I3617" t="s">
        <v>25899</v>
      </c>
      <c r="J3617" t="str">
        <f t="shared" si="282"/>
        <v>E:\PropInv\MF</v>
      </c>
      <c r="K3617" s="103" t="str">
        <f>HYPERLINK("E:\PropInv\MF\Dallas\Jupiter_12993_Fountains at Jupiter_Dallas_13445","Jupiter_12993_Fountains at Jupiter_Dallas_13445" )</f>
        <v>Jupiter_12993_Fountains at Jupiter_Dallas_13445</v>
      </c>
      <c r="L3617" s="104" t="s">
        <v>22253</v>
      </c>
      <c r="M3617" s="103" t="str">
        <f t="shared" si="283"/>
        <v>http://oconnordata.com/mlink/modules/profile/index.cfm?action=profile&amp;prop_id=13445</v>
      </c>
      <c r="N3617" s="1">
        <f t="shared" si="284"/>
        <v>13445</v>
      </c>
    </row>
    <row r="3618" spans="1:14" x14ac:dyDescent="0.3">
      <c r="A3618" s="1">
        <v>13446</v>
      </c>
      <c r="B3618" s="7" t="s">
        <v>5268</v>
      </c>
      <c r="C3618" s="12">
        <v>3440</v>
      </c>
      <c r="D3618" s="7" t="s">
        <v>5537</v>
      </c>
      <c r="E3618" s="13" t="s">
        <v>5060</v>
      </c>
      <c r="F3618" t="str">
        <f t="shared" si="280"/>
        <v>Rosemeade</v>
      </c>
      <c r="G3618" t="str">
        <f t="shared" si="281"/>
        <v>Rosemeade3440Carrollton</v>
      </c>
      <c r="H3618" t="s">
        <v>34476</v>
      </c>
      <c r="I3618" t="s">
        <v>25900</v>
      </c>
      <c r="J3618" t="str">
        <f t="shared" si="282"/>
        <v>E:\PropInv\MF</v>
      </c>
      <c r="K3618" s="103" t="str">
        <f>HYPERLINK("E:\PropInv\MF\Carrollton\Rosemeade Pkwy_3440_Fountains of Rosemeade_Carrollton_13446","Rosemeade Pkwy_3440_Fountains of Rosemeade_Carrollton_13446" )</f>
        <v>Rosemeade Pkwy_3440_Fountains of Rosemeade_Carrollton_13446</v>
      </c>
      <c r="L3618" s="104" t="s">
        <v>22253</v>
      </c>
      <c r="M3618" s="103" t="str">
        <f t="shared" si="283"/>
        <v>http://oconnordata.com/mlink/modules/profile/index.cfm?action=profile&amp;prop_id=13446</v>
      </c>
      <c r="N3618" s="1">
        <f t="shared" si="284"/>
        <v>13446</v>
      </c>
    </row>
    <row r="3619" spans="1:14" x14ac:dyDescent="0.3">
      <c r="A3619" s="1">
        <v>13447</v>
      </c>
      <c r="B3619" s="7" t="s">
        <v>5399</v>
      </c>
      <c r="C3619" s="12">
        <v>10950</v>
      </c>
      <c r="D3619" s="7" t="s">
        <v>5538</v>
      </c>
      <c r="E3619" s="13" t="s">
        <v>4996</v>
      </c>
      <c r="F3619" t="str">
        <f t="shared" si="280"/>
        <v>Woodmeadow</v>
      </c>
      <c r="G3619" t="str">
        <f t="shared" si="281"/>
        <v>Woodmeadow10950Dallas</v>
      </c>
      <c r="H3619" t="s">
        <v>34477</v>
      </c>
      <c r="I3619" t="s">
        <v>25901</v>
      </c>
      <c r="J3619" t="str">
        <f t="shared" si="282"/>
        <v>E:\PropInv\MF</v>
      </c>
      <c r="K3619" s="103" t="str">
        <f>HYPERLINK("E:\PropInv\MF\Dallas\Woodmeadow Pkwy_10950_Fountains of Woodmeadow_Dallas_13447","Woodmeadow Pkwy_10950_Fountains of Woodmeadow_Dallas_13447" )</f>
        <v>Woodmeadow Pkwy_10950_Fountains of Woodmeadow_Dallas_13447</v>
      </c>
      <c r="L3619" s="104" t="s">
        <v>22253</v>
      </c>
      <c r="M3619" s="103" t="str">
        <f t="shared" si="283"/>
        <v>http://oconnordata.com/mlink/modules/profile/index.cfm?action=profile&amp;prop_id=13447</v>
      </c>
      <c r="N3619" s="1">
        <f t="shared" si="284"/>
        <v>13447</v>
      </c>
    </row>
    <row r="3620" spans="1:14" x14ac:dyDescent="0.3">
      <c r="A3620" s="1">
        <v>13448</v>
      </c>
      <c r="B3620" s="10" t="s">
        <v>5539</v>
      </c>
      <c r="C3620" s="9">
        <v>2156</v>
      </c>
      <c r="D3620" s="10" t="s">
        <v>5540</v>
      </c>
      <c r="E3620" s="11" t="s">
        <v>5019</v>
      </c>
      <c r="F3620" t="str">
        <f t="shared" si="280"/>
        <v>Cranford</v>
      </c>
      <c r="G3620" t="str">
        <f t="shared" si="281"/>
        <v>Cranford2156Garland</v>
      </c>
      <c r="H3620" t="s">
        <v>34478</v>
      </c>
      <c r="I3620" t="s">
        <v>25902</v>
      </c>
      <c r="J3620" t="str">
        <f t="shared" si="282"/>
        <v>E:\PropInv\MF</v>
      </c>
      <c r="K3620" s="103" t="str">
        <f>HYPERLINK("E:\PropInv\MF\Garland\Cranford_2156_Fox Bend_Garland_13448","Cranford_2156_Fox Bend_Garland_13448" )</f>
        <v>Cranford_2156_Fox Bend_Garland_13448</v>
      </c>
      <c r="L3620" s="104" t="s">
        <v>22253</v>
      </c>
      <c r="M3620" s="103" t="str">
        <f t="shared" si="283"/>
        <v>http://oconnordata.com/mlink/modules/profile/index.cfm?action=profile&amp;prop_id=13448</v>
      </c>
      <c r="N3620" s="1">
        <f t="shared" si="284"/>
        <v>13448</v>
      </c>
    </row>
    <row r="3621" spans="1:14" x14ac:dyDescent="0.3">
      <c r="A3621" s="1">
        <v>13450</v>
      </c>
      <c r="B3621" s="7" t="s">
        <v>5541</v>
      </c>
      <c r="C3621" s="12">
        <v>1920</v>
      </c>
      <c r="D3621" s="7" t="s">
        <v>3061</v>
      </c>
      <c r="E3621" s="13" t="s">
        <v>5076</v>
      </c>
      <c r="F3621" t="str">
        <f t="shared" si="280"/>
        <v>Tarrant</v>
      </c>
      <c r="G3621" t="str">
        <f t="shared" si="281"/>
        <v>Tarrant1920Grand Prairie</v>
      </c>
      <c r="H3621" t="s">
        <v>34479</v>
      </c>
      <c r="I3621" t="s">
        <v>25903</v>
      </c>
      <c r="J3621" t="str">
        <f t="shared" si="282"/>
        <v>E:\PropInv\MF</v>
      </c>
      <c r="K3621" s="103" t="str">
        <f>HYPERLINK("E:\PropInv\MF\Grand Prairie\Tarrant Rd W_1920_The Belmont_Grand Prairie_13450","Tarrant Rd W_1920_The Belmont_Grand Prairie_13450" )</f>
        <v>Tarrant Rd W_1920_The Belmont_Grand Prairie_13450</v>
      </c>
      <c r="L3621" s="104" t="s">
        <v>22253</v>
      </c>
      <c r="M3621" s="103" t="str">
        <f t="shared" si="283"/>
        <v>http://oconnordata.com/mlink/modules/profile/index.cfm?action=profile&amp;prop_id=13450</v>
      </c>
      <c r="N3621" s="1">
        <f t="shared" si="284"/>
        <v>13450</v>
      </c>
    </row>
    <row r="3622" spans="1:14" x14ac:dyDescent="0.3">
      <c r="A3622" s="1">
        <v>13451</v>
      </c>
      <c r="B3622" s="7" t="s">
        <v>5517</v>
      </c>
      <c r="C3622" s="12">
        <v>1910</v>
      </c>
      <c r="D3622" s="7" t="s">
        <v>5542</v>
      </c>
      <c r="E3622" s="13" t="s">
        <v>5060</v>
      </c>
      <c r="F3622" t="str">
        <f t="shared" si="280"/>
        <v>Josey</v>
      </c>
      <c r="G3622" t="str">
        <f t="shared" si="281"/>
        <v>Josey1910Carrollton</v>
      </c>
      <c r="H3622" t="s">
        <v>34480</v>
      </c>
      <c r="I3622" t="s">
        <v>25904</v>
      </c>
      <c r="J3622" t="str">
        <f t="shared" si="282"/>
        <v>E:\PropInv\MF</v>
      </c>
      <c r="K3622" s="103" t="str">
        <f>HYPERLINK("E:\PropInv\MF\Carrollton\Josey_1910_Fox Creek North_Carrollton_13451","Josey_1910_Fox Creek North_Carrollton_13451" )</f>
        <v>Josey_1910_Fox Creek North_Carrollton_13451</v>
      </c>
      <c r="L3622" s="104" t="s">
        <v>22253</v>
      </c>
      <c r="M3622" s="103" t="str">
        <f t="shared" si="283"/>
        <v>http://oconnordata.com/mlink/modules/profile/index.cfm?action=profile&amp;prop_id=13451</v>
      </c>
      <c r="N3622" s="1">
        <f t="shared" si="284"/>
        <v>13451</v>
      </c>
    </row>
    <row r="3623" spans="1:14" x14ac:dyDescent="0.3">
      <c r="A3623" s="1">
        <v>13452</v>
      </c>
      <c r="B3623" s="7" t="s">
        <v>5543</v>
      </c>
      <c r="C3623" s="12">
        <v>8783</v>
      </c>
      <c r="D3623" s="7" t="s">
        <v>5544</v>
      </c>
      <c r="E3623" s="13" t="s">
        <v>4996</v>
      </c>
      <c r="F3623" t="str">
        <f t="shared" si="280"/>
        <v>Ferndale</v>
      </c>
      <c r="G3623" t="str">
        <f t="shared" si="281"/>
        <v>Ferndale8783Dallas</v>
      </c>
      <c r="H3623" t="s">
        <v>34481</v>
      </c>
      <c r="I3623" t="s">
        <v>25905</v>
      </c>
      <c r="J3623" t="str">
        <f t="shared" si="282"/>
        <v>E:\PropInv\MF</v>
      </c>
      <c r="K3623" s="103" t="str">
        <f>HYPERLINK("E:\PropInv\MF\Dallas\Ferndale_8783_Fox Hills_Dallas_13452","Ferndale_8783_Fox Hills_Dallas_13452" )</f>
        <v>Ferndale_8783_Fox Hills_Dallas_13452</v>
      </c>
      <c r="L3623" s="104" t="s">
        <v>22253</v>
      </c>
      <c r="M3623" s="103" t="str">
        <f t="shared" si="283"/>
        <v>http://oconnordata.com/mlink/modules/profile/index.cfm?action=profile&amp;prop_id=13452</v>
      </c>
      <c r="N3623" s="1">
        <f t="shared" si="284"/>
        <v>13452</v>
      </c>
    </row>
    <row r="3624" spans="1:14" x14ac:dyDescent="0.3">
      <c r="A3624" s="1">
        <v>13453</v>
      </c>
      <c r="B3624" s="10" t="s">
        <v>5545</v>
      </c>
      <c r="C3624" s="9">
        <v>696</v>
      </c>
      <c r="D3624" s="10" t="s">
        <v>5546</v>
      </c>
      <c r="E3624" s="11" t="s">
        <v>5055</v>
      </c>
      <c r="F3624" t="str">
        <f t="shared" si="280"/>
        <v>Fox</v>
      </c>
      <c r="G3624" t="str">
        <f t="shared" si="281"/>
        <v>Fox696Lewisville</v>
      </c>
      <c r="H3624" t="s">
        <v>34482</v>
      </c>
      <c r="I3624" t="s">
        <v>25906</v>
      </c>
      <c r="J3624" t="str">
        <f t="shared" si="282"/>
        <v>E:\PropInv\MF</v>
      </c>
      <c r="K3624" s="103" t="str">
        <f>HYPERLINK("E:\PropInv\MF\Lewisville\Fox Ave_696_Fox Hollow_Lewisville_13453","Fox Ave_696_Fox Hollow_Lewisville_13453" )</f>
        <v>Fox Ave_696_Fox Hollow_Lewisville_13453</v>
      </c>
      <c r="L3624" s="104" t="s">
        <v>22253</v>
      </c>
      <c r="M3624" s="103" t="str">
        <f t="shared" si="283"/>
        <v>http://oconnordata.com/mlink/modules/profile/index.cfm?action=profile&amp;prop_id=13453</v>
      </c>
      <c r="N3624" s="1">
        <f t="shared" si="284"/>
        <v>13453</v>
      </c>
    </row>
    <row r="3625" spans="1:14" x14ac:dyDescent="0.3">
      <c r="A3625" s="1">
        <v>13454</v>
      </c>
      <c r="B3625" s="10" t="s">
        <v>5547</v>
      </c>
      <c r="C3625" s="9">
        <v>6300</v>
      </c>
      <c r="D3625" s="10" t="s">
        <v>5548</v>
      </c>
      <c r="E3625" s="11" t="s">
        <v>5009</v>
      </c>
      <c r="F3625" t="str">
        <f t="shared" si="280"/>
        <v>Roundrock</v>
      </c>
      <c r="G3625" t="str">
        <f t="shared" si="281"/>
        <v>Roundrock6300Plano</v>
      </c>
      <c r="H3625" t="s">
        <v>34483</v>
      </c>
      <c r="I3625" t="s">
        <v>25907</v>
      </c>
      <c r="J3625" t="str">
        <f t="shared" si="282"/>
        <v>E:\PropInv\MF</v>
      </c>
      <c r="K3625" s="103" t="str">
        <f>HYPERLINK("E:\PropInv\MF\Plano\Roundrock_6300_Fox Trails_Plano_13454","Roundrock_6300_Fox Trails_Plano_13454" )</f>
        <v>Roundrock_6300_Fox Trails_Plano_13454</v>
      </c>
      <c r="L3625" s="104" t="s">
        <v>22253</v>
      </c>
      <c r="M3625" s="103" t="str">
        <f t="shared" si="283"/>
        <v>http://oconnordata.com/mlink/modules/profile/index.cfm?action=profile&amp;prop_id=13454</v>
      </c>
      <c r="N3625" s="1">
        <f t="shared" si="284"/>
        <v>13454</v>
      </c>
    </row>
    <row r="3626" spans="1:14" x14ac:dyDescent="0.3">
      <c r="A3626" s="1">
        <v>13456</v>
      </c>
      <c r="B3626" s="7" t="s">
        <v>5549</v>
      </c>
      <c r="C3626" s="12">
        <v>5759</v>
      </c>
      <c r="D3626" s="7" t="s">
        <v>169</v>
      </c>
      <c r="E3626" s="13" t="s">
        <v>4996</v>
      </c>
      <c r="F3626" t="str">
        <f t="shared" si="280"/>
        <v>Pineland</v>
      </c>
      <c r="G3626" t="str">
        <f t="shared" si="281"/>
        <v>Pineland5759Dallas</v>
      </c>
      <c r="H3626" t="s">
        <v>34484</v>
      </c>
      <c r="I3626" t="s">
        <v>25908</v>
      </c>
      <c r="J3626" t="str">
        <f t="shared" si="282"/>
        <v>E:\PropInv\MF</v>
      </c>
      <c r="K3626" s="103" t="str">
        <f>HYPERLINK("E:\PropInv\MF\Dallas\Pineland Dr_5759_Foxfire_Dallas_13456","Pineland Dr_5759_Foxfire_Dallas_13456" )</f>
        <v>Pineland Dr_5759_Foxfire_Dallas_13456</v>
      </c>
      <c r="L3626" s="104" t="s">
        <v>22253</v>
      </c>
      <c r="M3626" s="103" t="str">
        <f t="shared" si="283"/>
        <v>http://oconnordata.com/mlink/modules/profile/index.cfm?action=profile&amp;prop_id=13456</v>
      </c>
      <c r="N3626" s="1">
        <f t="shared" si="284"/>
        <v>13456</v>
      </c>
    </row>
    <row r="3627" spans="1:14" x14ac:dyDescent="0.3">
      <c r="A3627" s="1">
        <v>13457</v>
      </c>
      <c r="B3627" s="7" t="s">
        <v>5550</v>
      </c>
      <c r="C3627" s="12">
        <v>9450</v>
      </c>
      <c r="D3627" s="7" t="s">
        <v>5546</v>
      </c>
      <c r="E3627" s="13" t="s">
        <v>4996</v>
      </c>
      <c r="F3627" t="str">
        <f t="shared" si="280"/>
        <v>Royal</v>
      </c>
      <c r="G3627" t="str">
        <f t="shared" si="281"/>
        <v>Royal9450Dallas</v>
      </c>
      <c r="H3627" t="s">
        <v>34485</v>
      </c>
      <c r="I3627" t="s">
        <v>25909</v>
      </c>
      <c r="J3627" t="str">
        <f t="shared" si="282"/>
        <v>E:\PropInv\MF</v>
      </c>
      <c r="K3627" s="103" t="str">
        <f>HYPERLINK("E:\PropInv\MF\Dallas\Royal Ln_9450_Fox Hollow_Dallas_13457","Royal Ln_9450_Fox Hollow_Dallas_13457" )</f>
        <v>Royal Ln_9450_Fox Hollow_Dallas_13457</v>
      </c>
      <c r="L3627" s="104" t="s">
        <v>22253</v>
      </c>
      <c r="M3627" s="103" t="str">
        <f t="shared" si="283"/>
        <v>http://oconnordata.com/mlink/modules/profile/index.cfm?action=profile&amp;prop_id=13457</v>
      </c>
      <c r="N3627" s="1">
        <f t="shared" si="284"/>
        <v>13457</v>
      </c>
    </row>
    <row r="3628" spans="1:14" x14ac:dyDescent="0.3">
      <c r="A3628" s="1">
        <v>13458</v>
      </c>
      <c r="B3628" s="7" t="s">
        <v>5551</v>
      </c>
      <c r="C3628" s="12">
        <v>1217</v>
      </c>
      <c r="D3628" s="7" t="s">
        <v>1786</v>
      </c>
      <c r="E3628" s="13" t="s">
        <v>5088</v>
      </c>
      <c r="F3628" t="str">
        <f t="shared" si="280"/>
        <v>Hillcrest</v>
      </c>
      <c r="G3628" t="str">
        <f t="shared" si="281"/>
        <v>Hillcrest1217Mesquite</v>
      </c>
      <c r="H3628" t="s">
        <v>34486</v>
      </c>
      <c r="I3628" t="s">
        <v>25910</v>
      </c>
      <c r="J3628" t="str">
        <f t="shared" si="282"/>
        <v>E:\PropInv\MF</v>
      </c>
      <c r="K3628" s="103" t="str">
        <f>HYPERLINK("E:\PropInv\MF\Mesquite\Hillcrest_1217_Foxwood_Mesquite_13458","Hillcrest_1217_Foxwood_Mesquite_13458" )</f>
        <v>Hillcrest_1217_Foxwood_Mesquite_13458</v>
      </c>
      <c r="L3628" s="104" t="s">
        <v>22253</v>
      </c>
      <c r="M3628" s="103" t="str">
        <f t="shared" si="283"/>
        <v>http://oconnordata.com/mlink/modules/profile/index.cfm?action=profile&amp;prop_id=13458</v>
      </c>
      <c r="N3628" s="1">
        <f t="shared" si="284"/>
        <v>13458</v>
      </c>
    </row>
    <row r="3629" spans="1:14" x14ac:dyDescent="0.3">
      <c r="A3629" s="1">
        <v>13459</v>
      </c>
      <c r="B3629" s="7" t="s">
        <v>5552</v>
      </c>
      <c r="C3629" s="12">
        <v>900</v>
      </c>
      <c r="D3629" s="7" t="s">
        <v>5553</v>
      </c>
      <c r="E3629" s="13" t="s">
        <v>3328</v>
      </c>
      <c r="F3629" t="str">
        <f t="shared" si="280"/>
        <v>Frances</v>
      </c>
      <c r="G3629" t="str">
        <f t="shared" si="281"/>
        <v>Frances900Richardson</v>
      </c>
      <c r="H3629" t="s">
        <v>34487</v>
      </c>
      <c r="I3629" t="s">
        <v>25911</v>
      </c>
      <c r="J3629" t="str">
        <f t="shared" si="282"/>
        <v>E:\PropInv\MF</v>
      </c>
      <c r="K3629" s="103" t="str">
        <f>HYPERLINK("E:\PropInv\MF\Richardson\Frances Way_900_Frances Way Villas_Richardson_13459","Frances Way_900_Frances Way Villas_Richardson_13459" )</f>
        <v>Frances Way_900_Frances Way Villas_Richardson_13459</v>
      </c>
      <c r="L3629" s="104" t="s">
        <v>22253</v>
      </c>
      <c r="M3629" s="103" t="str">
        <f t="shared" si="283"/>
        <v>http://oconnordata.com/mlink/modules/profile/index.cfm?action=profile&amp;prop_id=13459</v>
      </c>
      <c r="N3629" s="1">
        <f t="shared" si="284"/>
        <v>13459</v>
      </c>
    </row>
    <row r="3630" spans="1:14" x14ac:dyDescent="0.3">
      <c r="A3630" s="1">
        <v>13460</v>
      </c>
      <c r="B3630" s="7" t="s">
        <v>5554</v>
      </c>
      <c r="C3630" s="12">
        <v>1201</v>
      </c>
      <c r="D3630" s="7" t="s">
        <v>5555</v>
      </c>
      <c r="E3630" s="13" t="s">
        <v>5019</v>
      </c>
      <c r="F3630" t="str">
        <f t="shared" si="280"/>
        <v>Winifred</v>
      </c>
      <c r="G3630" t="str">
        <f t="shared" si="281"/>
        <v>Winifred1201Garland</v>
      </c>
      <c r="H3630" t="s">
        <v>34488</v>
      </c>
      <c r="I3630" t="s">
        <v>25912</v>
      </c>
      <c r="J3630" t="str">
        <f t="shared" si="282"/>
        <v>E:\PropInv\MF</v>
      </c>
      <c r="K3630" s="103" t="str">
        <f>HYPERLINK("E:\PropInv\MF\Garland\Winifred_1201_Franciscan_Garland_13460","Winifred_1201_Franciscan_Garland_13460" )</f>
        <v>Winifred_1201_Franciscan_Garland_13460</v>
      </c>
      <c r="L3630" s="104" t="s">
        <v>22253</v>
      </c>
      <c r="M3630" s="103" t="str">
        <f t="shared" si="283"/>
        <v>http://oconnordata.com/mlink/modules/profile/index.cfm?action=profile&amp;prop_id=13460</v>
      </c>
      <c r="N3630" s="1">
        <f t="shared" si="284"/>
        <v>13460</v>
      </c>
    </row>
    <row r="3631" spans="1:14" x14ac:dyDescent="0.3">
      <c r="A3631" s="1">
        <v>13462</v>
      </c>
      <c r="B3631" s="7" t="s">
        <v>5277</v>
      </c>
      <c r="C3631" s="12">
        <v>1811</v>
      </c>
      <c r="D3631" s="7" t="s">
        <v>5556</v>
      </c>
      <c r="E3631" s="13" t="s">
        <v>5060</v>
      </c>
      <c r="F3631" t="str">
        <f t="shared" si="280"/>
        <v>Frankford</v>
      </c>
      <c r="G3631" t="str">
        <f t="shared" si="281"/>
        <v>Frankford1811Carrollton</v>
      </c>
      <c r="H3631" t="s">
        <v>34489</v>
      </c>
      <c r="I3631" t="s">
        <v>25913</v>
      </c>
      <c r="J3631" t="str">
        <f t="shared" si="282"/>
        <v>E:\PropInv\MF</v>
      </c>
      <c r="K3631" s="103" t="str">
        <f>HYPERLINK("E:\PropInv\MF\Carrollton\Frankford_1811_Frankford Place_Carrollton_13462","Frankford_1811_Frankford Place_Carrollton_13462" )</f>
        <v>Frankford_1811_Frankford Place_Carrollton_13462</v>
      </c>
      <c r="L3631" s="104" t="s">
        <v>22253</v>
      </c>
      <c r="M3631" s="103" t="str">
        <f t="shared" si="283"/>
        <v>http://oconnordata.com/mlink/modules/profile/index.cfm?action=profile&amp;prop_id=13462</v>
      </c>
      <c r="N3631" s="1">
        <f t="shared" si="284"/>
        <v>13462</v>
      </c>
    </row>
    <row r="3632" spans="1:14" x14ac:dyDescent="0.3">
      <c r="A3632" s="1">
        <v>13463</v>
      </c>
      <c r="B3632" s="7" t="s">
        <v>5399</v>
      </c>
      <c r="C3632" s="12">
        <v>11111</v>
      </c>
      <c r="D3632" s="7" t="s">
        <v>5557</v>
      </c>
      <c r="E3632" s="13" t="s">
        <v>4996</v>
      </c>
      <c r="F3632" t="str">
        <f t="shared" si="280"/>
        <v>Woodmeadow</v>
      </c>
      <c r="G3632" t="str">
        <f t="shared" si="281"/>
        <v>Woodmeadow11111Dallas</v>
      </c>
      <c r="H3632" t="s">
        <v>34490</v>
      </c>
      <c r="I3632" t="s">
        <v>25914</v>
      </c>
      <c r="J3632" t="str">
        <f t="shared" si="282"/>
        <v>E:\PropInv\MF</v>
      </c>
      <c r="K3632" s="103" t="str">
        <f>HYPERLINK("E:\PropInv\MF\Dallas\Woodmeadow Pkwy_11111_Gable Point_Dallas_13463","Woodmeadow Pkwy_11111_Gable Point_Dallas_13463" )</f>
        <v>Woodmeadow Pkwy_11111_Gable Point_Dallas_13463</v>
      </c>
      <c r="L3632" s="104" t="s">
        <v>22253</v>
      </c>
      <c r="M3632" s="103" t="str">
        <f t="shared" si="283"/>
        <v>http://oconnordata.com/mlink/modules/profile/index.cfm?action=profile&amp;prop_id=13463</v>
      </c>
      <c r="N3632" s="1">
        <f t="shared" si="284"/>
        <v>13463</v>
      </c>
    </row>
    <row r="3633" spans="1:14" x14ac:dyDescent="0.3">
      <c r="A3633" s="1">
        <v>13465</v>
      </c>
      <c r="B3633" s="7" t="s">
        <v>5558</v>
      </c>
      <c r="C3633" s="12">
        <v>2701</v>
      </c>
      <c r="D3633" s="7" t="s">
        <v>5559</v>
      </c>
      <c r="E3633" s="13" t="s">
        <v>5019</v>
      </c>
      <c r="F3633" t="str">
        <f t="shared" si="280"/>
        <v>Lookout</v>
      </c>
      <c r="G3633" t="str">
        <f t="shared" si="281"/>
        <v>Lookout2701Garland</v>
      </c>
      <c r="H3633" t="s">
        <v>34491</v>
      </c>
      <c r="I3633" t="s">
        <v>25915</v>
      </c>
      <c r="J3633" t="str">
        <f t="shared" si="282"/>
        <v>E:\PropInv\MF</v>
      </c>
      <c r="K3633" s="103" t="str">
        <f>HYPERLINK("E:\PropInv\MF\Garland\Lookout Dr_2701_Retreat at Spring Park_Garland_13465","Lookout Dr_2701_Retreat at Spring Park_Garland_13465" )</f>
        <v>Lookout Dr_2701_Retreat at Spring Park_Garland_13465</v>
      </c>
      <c r="L3633" s="104" t="s">
        <v>22253</v>
      </c>
      <c r="M3633" s="103" t="str">
        <f t="shared" si="283"/>
        <v>http://oconnordata.com/mlink/modules/profile/index.cfm?action=profile&amp;prop_id=13465</v>
      </c>
      <c r="N3633" s="1">
        <f t="shared" si="284"/>
        <v>13465</v>
      </c>
    </row>
    <row r="3634" spans="1:14" x14ac:dyDescent="0.3">
      <c r="A3634" s="1">
        <v>13466</v>
      </c>
      <c r="B3634" s="7" t="s">
        <v>5316</v>
      </c>
      <c r="C3634" s="12">
        <v>2175</v>
      </c>
      <c r="D3634" s="7" t="s">
        <v>5560</v>
      </c>
      <c r="E3634" s="13" t="s">
        <v>5076</v>
      </c>
      <c r="F3634" t="str">
        <f t="shared" si="280"/>
        <v>360</v>
      </c>
      <c r="G3634" t="str">
        <f t="shared" si="281"/>
        <v>3602175Grand Prairie</v>
      </c>
      <c r="H3634" t="s">
        <v>34492</v>
      </c>
      <c r="I3634" t="s">
        <v>25916</v>
      </c>
      <c r="J3634" t="str">
        <f t="shared" si="282"/>
        <v>E:\PropInv\MF</v>
      </c>
      <c r="K3634" s="103" t="str">
        <f>HYPERLINK("E:\PropInv\MF\Grand Prairie\360 Hwy N_2175_The Seasons at Green Oaks_Grand Prairie_13466","360 Hwy N_2175_The Seasons at Green Oaks_Grand Prairie_13466" )</f>
        <v>360 Hwy N_2175_The Seasons at Green Oaks_Grand Prairie_13466</v>
      </c>
      <c r="L3634" s="104" t="s">
        <v>22253</v>
      </c>
      <c r="M3634" s="103" t="str">
        <f t="shared" si="283"/>
        <v>http://oconnordata.com/mlink/modules/profile/index.cfm?action=profile&amp;prop_id=13466</v>
      </c>
      <c r="N3634" s="1">
        <f t="shared" si="284"/>
        <v>13466</v>
      </c>
    </row>
    <row r="3635" spans="1:14" x14ac:dyDescent="0.3">
      <c r="A3635" s="1">
        <v>13467</v>
      </c>
      <c r="B3635" s="7" t="s">
        <v>5334</v>
      </c>
      <c r="C3635" s="12">
        <v>1500</v>
      </c>
      <c r="D3635" s="7" t="s">
        <v>5561</v>
      </c>
      <c r="E3635" s="13" t="s">
        <v>5043</v>
      </c>
      <c r="F3635" t="str">
        <f t="shared" si="280"/>
        <v>Eldorado</v>
      </c>
      <c r="G3635" t="str">
        <f t="shared" si="281"/>
        <v>Eldorado1500McKinney</v>
      </c>
      <c r="H3635" t="s">
        <v>34493</v>
      </c>
      <c r="I3635" t="s">
        <v>25917</v>
      </c>
      <c r="J3635" t="str">
        <f t="shared" si="282"/>
        <v>E:\PropInv\MF</v>
      </c>
      <c r="K3635" s="103" t="str">
        <f>HYPERLINK("E:\PropInv\MF\McKinney\Eldorado Pkwy_1500_Gables of McKinney_McKinney_13467","Eldorado Pkwy_1500_Gables of McKinney_McKinney_13467" )</f>
        <v>Eldorado Pkwy_1500_Gables of McKinney_McKinney_13467</v>
      </c>
      <c r="L3635" s="104" t="s">
        <v>22253</v>
      </c>
      <c r="M3635" s="103" t="str">
        <f t="shared" si="283"/>
        <v>http://oconnordata.com/mlink/modules/profile/index.cfm?action=profile&amp;prop_id=13467</v>
      </c>
      <c r="N3635" s="1">
        <f t="shared" si="284"/>
        <v>13467</v>
      </c>
    </row>
    <row r="3636" spans="1:14" x14ac:dyDescent="0.3">
      <c r="A3636" s="1">
        <v>13468</v>
      </c>
      <c r="B3636" s="7" t="s">
        <v>5562</v>
      </c>
      <c r="C3636" s="12">
        <v>14181</v>
      </c>
      <c r="D3636" s="7" t="s">
        <v>5563</v>
      </c>
      <c r="E3636" s="13" t="s">
        <v>4996</v>
      </c>
      <c r="F3636" t="str">
        <f t="shared" si="280"/>
        <v>Noel</v>
      </c>
      <c r="G3636" t="str">
        <f t="shared" si="281"/>
        <v>Noel14181Dallas</v>
      </c>
      <c r="H3636" t="s">
        <v>34494</v>
      </c>
      <c r="I3636" t="s">
        <v>25918</v>
      </c>
      <c r="J3636" t="str">
        <f t="shared" si="282"/>
        <v>E:\PropInv\MF</v>
      </c>
      <c r="K3636" s="103" t="str">
        <f>HYPERLINK("E:\PropInv\MF\Dallas\Noel Rd_14181_San Raphael_Dallas_13468","Noel Rd_14181_San Raphael_Dallas_13468" )</f>
        <v>Noel Rd_14181_San Raphael_Dallas_13468</v>
      </c>
      <c r="L3636" s="104" t="s">
        <v>22253</v>
      </c>
      <c r="M3636" s="103" t="str">
        <f t="shared" si="283"/>
        <v>http://oconnordata.com/mlink/modules/profile/index.cfm?action=profile&amp;prop_id=13468</v>
      </c>
      <c r="N3636" s="1">
        <f t="shared" si="284"/>
        <v>13468</v>
      </c>
    </row>
    <row r="3637" spans="1:14" x14ac:dyDescent="0.3">
      <c r="A3637" s="1">
        <v>13469</v>
      </c>
      <c r="B3637" s="7" t="s">
        <v>5564</v>
      </c>
      <c r="C3637" s="12">
        <v>3010</v>
      </c>
      <c r="D3637" s="7" t="s">
        <v>5565</v>
      </c>
      <c r="E3637" s="13" t="s">
        <v>4996</v>
      </c>
      <c r="F3637" t="str">
        <f t="shared" si="280"/>
        <v>State</v>
      </c>
      <c r="G3637" t="str">
        <f t="shared" si="281"/>
        <v>State3010Dallas</v>
      </c>
      <c r="H3637" t="s">
        <v>34495</v>
      </c>
      <c r="I3637" t="s">
        <v>25919</v>
      </c>
      <c r="J3637" t="str">
        <f t="shared" si="282"/>
        <v>E:\PropInv\MF</v>
      </c>
      <c r="K3637" s="103" t="str">
        <f>HYPERLINK("E:\PropInv\MF\Dallas\State St_3010_Manchester State Thomas I TH_Dallas_13469","State St_3010_Manchester State Thomas I TH_Dallas_13469" )</f>
        <v>State St_3010_Manchester State Thomas I TH_Dallas_13469</v>
      </c>
      <c r="L3637" s="104" t="s">
        <v>22253</v>
      </c>
      <c r="M3637" s="103" t="str">
        <f t="shared" si="283"/>
        <v>http://oconnordata.com/mlink/modules/profile/index.cfm?action=profile&amp;prop_id=13469</v>
      </c>
      <c r="N3637" s="1">
        <f t="shared" si="284"/>
        <v>13469</v>
      </c>
    </row>
    <row r="3638" spans="1:14" x14ac:dyDescent="0.3">
      <c r="A3638" s="1">
        <v>13470</v>
      </c>
      <c r="B3638" s="7" t="s">
        <v>5566</v>
      </c>
      <c r="C3638" s="12">
        <v>3711</v>
      </c>
      <c r="D3638" s="7" t="s">
        <v>5567</v>
      </c>
      <c r="E3638" s="13" t="s">
        <v>4996</v>
      </c>
      <c r="F3638" t="str">
        <f t="shared" si="280"/>
        <v>Cole</v>
      </c>
      <c r="G3638" t="str">
        <f t="shared" si="281"/>
        <v>Cole3711Dallas</v>
      </c>
      <c r="H3638" t="s">
        <v>34496</v>
      </c>
      <c r="I3638" t="s">
        <v>25920</v>
      </c>
      <c r="J3638" t="str">
        <f t="shared" si="282"/>
        <v>E:\PropInv\MF</v>
      </c>
      <c r="K3638" s="103" t="str">
        <f>HYPERLINK("E:\PropInv\MF\Dallas\Cole_3711_Gables at Turtle Creek Cityplace_Dallas_13470","Cole_3711_Gables at Turtle Creek Cityplace_Dallas_13470" )</f>
        <v>Cole_3711_Gables at Turtle Creek Cityplace_Dallas_13470</v>
      </c>
      <c r="L3638" s="104" t="s">
        <v>22253</v>
      </c>
      <c r="M3638" s="103" t="str">
        <f t="shared" si="283"/>
        <v>http://oconnordata.com/mlink/modules/profile/index.cfm?action=profile&amp;prop_id=13470</v>
      </c>
      <c r="N3638" s="1">
        <f t="shared" si="284"/>
        <v>13470</v>
      </c>
    </row>
    <row r="3639" spans="1:14" x14ac:dyDescent="0.3">
      <c r="A3639" s="1">
        <v>13471</v>
      </c>
      <c r="B3639" s="7" t="s">
        <v>5568</v>
      </c>
      <c r="C3639" s="12">
        <v>3530</v>
      </c>
      <c r="D3639" s="7" t="s">
        <v>5569</v>
      </c>
      <c r="E3639" s="13" t="s">
        <v>4996</v>
      </c>
      <c r="F3639" t="str">
        <f t="shared" si="280"/>
        <v>Travis</v>
      </c>
      <c r="G3639" t="str">
        <f t="shared" si="281"/>
        <v>Travis3530Dallas</v>
      </c>
      <c r="H3639" t="s">
        <v>34497</v>
      </c>
      <c r="I3639" t="s">
        <v>25921</v>
      </c>
      <c r="J3639" t="str">
        <f t="shared" si="282"/>
        <v>E:\PropInv\MF</v>
      </c>
      <c r="K3639" s="103" t="str">
        <f>HYPERLINK("E:\PropInv\MF\Dallas\Travis St_3530_Riviera at West Village_Dallas_13471","Travis St_3530_Riviera at West Village_Dallas_13471" )</f>
        <v>Travis St_3530_Riviera at West Village_Dallas_13471</v>
      </c>
      <c r="L3639" s="104" t="s">
        <v>22253</v>
      </c>
      <c r="M3639" s="103" t="str">
        <f t="shared" si="283"/>
        <v>http://oconnordata.com/mlink/modules/profile/index.cfm?action=profile&amp;prop_id=13471</v>
      </c>
      <c r="N3639" s="1">
        <f t="shared" si="284"/>
        <v>13471</v>
      </c>
    </row>
    <row r="3640" spans="1:14" x14ac:dyDescent="0.3">
      <c r="A3640" s="1">
        <v>13472</v>
      </c>
      <c r="B3640" s="7" t="s">
        <v>5477</v>
      </c>
      <c r="C3640" s="12">
        <v>8600</v>
      </c>
      <c r="D3640" s="7" t="s">
        <v>5570</v>
      </c>
      <c r="E3640" s="13" t="s">
        <v>5046</v>
      </c>
      <c r="F3640" t="str">
        <f t="shared" si="280"/>
        <v>Valley</v>
      </c>
      <c r="G3640" t="str">
        <f t="shared" si="281"/>
        <v>Valley8600Irving</v>
      </c>
      <c r="H3640" t="s">
        <v>34498</v>
      </c>
      <c r="I3640" t="s">
        <v>25922</v>
      </c>
      <c r="J3640" t="str">
        <f t="shared" si="282"/>
        <v>E:\PropInv\MF</v>
      </c>
      <c r="K3640" s="103" t="str">
        <f>HYPERLINK("E:\PropInv\MF\Irving\Valley Ranch Pkwy W_8600_Veranda At Valley Ranch_Irving_13472","Valley Ranch Pkwy W_8600_Veranda At Valley Ranch_Irving_13472" )</f>
        <v>Valley Ranch Pkwy W_8600_Veranda At Valley Ranch_Irving_13472</v>
      </c>
      <c r="L3640" s="104" t="s">
        <v>22253</v>
      </c>
      <c r="M3640" s="103" t="str">
        <f t="shared" si="283"/>
        <v>http://oconnordata.com/mlink/modules/profile/index.cfm?action=profile&amp;prop_id=13472</v>
      </c>
      <c r="N3640" s="1">
        <f t="shared" si="284"/>
        <v>13472</v>
      </c>
    </row>
    <row r="3641" spans="1:14" x14ac:dyDescent="0.3">
      <c r="A3641" s="1">
        <v>13473</v>
      </c>
      <c r="B3641" s="7" t="s">
        <v>5277</v>
      </c>
      <c r="C3641" s="12">
        <v>1737</v>
      </c>
      <c r="D3641" s="7" t="s">
        <v>5571</v>
      </c>
      <c r="E3641" s="13" t="s">
        <v>5060</v>
      </c>
      <c r="F3641" t="str">
        <f t="shared" si="280"/>
        <v>Frankford</v>
      </c>
      <c r="G3641" t="str">
        <f t="shared" si="281"/>
        <v>Frankford1737Carrollton</v>
      </c>
      <c r="H3641" t="s">
        <v>34499</v>
      </c>
      <c r="I3641" t="s">
        <v>25923</v>
      </c>
      <c r="J3641" t="str">
        <f t="shared" si="282"/>
        <v>E:\PropInv\MF</v>
      </c>
      <c r="K3641" s="103" t="str">
        <f>HYPERLINK("E:\PropInv\MF\Carrollton\Frankford_1737_Galleria TH_Carrollton_13473","Frankford_1737_Galleria TH_Carrollton_13473" )</f>
        <v>Frankford_1737_Galleria TH_Carrollton_13473</v>
      </c>
      <c r="L3641" s="104" t="s">
        <v>22253</v>
      </c>
      <c r="M3641" s="103" t="str">
        <f t="shared" si="283"/>
        <v>http://oconnordata.com/mlink/modules/profile/index.cfm?action=profile&amp;prop_id=13473</v>
      </c>
      <c r="N3641" s="1">
        <f t="shared" si="284"/>
        <v>13473</v>
      </c>
    </row>
    <row r="3642" spans="1:14" x14ac:dyDescent="0.3">
      <c r="A3642" s="1">
        <v>13474</v>
      </c>
      <c r="B3642" s="7" t="s">
        <v>5033</v>
      </c>
      <c r="C3642" s="12">
        <v>1201</v>
      </c>
      <c r="D3642" s="7" t="s">
        <v>5572</v>
      </c>
      <c r="E3642" s="13" t="s">
        <v>5009</v>
      </c>
      <c r="F3642" t="str">
        <f t="shared" si="280"/>
        <v>Legacy</v>
      </c>
      <c r="G3642" t="str">
        <f t="shared" si="281"/>
        <v>Legacy1201Plano</v>
      </c>
      <c r="H3642" t="s">
        <v>34500</v>
      </c>
      <c r="I3642" t="s">
        <v>25924</v>
      </c>
      <c r="J3642" t="str">
        <f t="shared" si="282"/>
        <v>E:\PropInv\MF</v>
      </c>
      <c r="K3642" s="103" t="str">
        <f>HYPERLINK("E:\PropInv\MF\Plano\Legacy_1201_Garden Gate-Plano_Plano_13474","Legacy_1201_Garden Gate-Plano_Plano_13474" )</f>
        <v>Legacy_1201_Garden Gate-Plano_Plano_13474</v>
      </c>
      <c r="L3642" s="104" t="s">
        <v>22253</v>
      </c>
      <c r="M3642" s="103" t="str">
        <f t="shared" si="283"/>
        <v>http://oconnordata.com/mlink/modules/profile/index.cfm?action=profile&amp;prop_id=13474</v>
      </c>
      <c r="N3642" s="1">
        <f t="shared" si="284"/>
        <v>13474</v>
      </c>
    </row>
    <row r="3643" spans="1:14" x14ac:dyDescent="0.3">
      <c r="A3643" s="1">
        <v>13475</v>
      </c>
      <c r="B3643" s="7" t="s">
        <v>5573</v>
      </c>
      <c r="C3643" s="12">
        <v>2500</v>
      </c>
      <c r="D3643" s="7" t="s">
        <v>5574</v>
      </c>
      <c r="E3643" s="13" t="s">
        <v>5088</v>
      </c>
      <c r="F3643" t="str">
        <f t="shared" si="280"/>
        <v>Meadows</v>
      </c>
      <c r="G3643" t="str">
        <f t="shared" si="281"/>
        <v>Meadows2500Mesquite</v>
      </c>
      <c r="H3643" t="s">
        <v>34501</v>
      </c>
      <c r="I3643" t="s">
        <v>25925</v>
      </c>
      <c r="J3643" t="str">
        <f t="shared" si="282"/>
        <v>E:\PropInv\MF</v>
      </c>
      <c r="K3643" s="103" t="str">
        <f>HYPERLINK("E:\PropInv\MF\Mesquite\Meadows Blvd E_2500_Garden House in the Park_Mesquite_13475","Meadows Blvd E_2500_Garden House in the Park_Mesquite_13475" )</f>
        <v>Meadows Blvd E_2500_Garden House in the Park_Mesquite_13475</v>
      </c>
      <c r="L3643" s="104" t="s">
        <v>22253</v>
      </c>
      <c r="M3643" s="103" t="str">
        <f t="shared" si="283"/>
        <v>http://oconnordata.com/mlink/modules/profile/index.cfm?action=profile&amp;prop_id=13475</v>
      </c>
      <c r="N3643" s="1">
        <f t="shared" si="284"/>
        <v>13475</v>
      </c>
    </row>
    <row r="3644" spans="1:14" x14ac:dyDescent="0.3">
      <c r="A3644" s="1">
        <v>13476</v>
      </c>
      <c r="B3644" s="7" t="s">
        <v>5006</v>
      </c>
      <c r="C3644" s="12">
        <v>4005</v>
      </c>
      <c r="D3644" s="7" t="s">
        <v>5575</v>
      </c>
      <c r="E3644" s="13" t="s">
        <v>5005</v>
      </c>
      <c r="F3644" t="str">
        <f t="shared" si="280"/>
        <v>Brookhaven</v>
      </c>
      <c r="G3644" t="str">
        <f t="shared" si="281"/>
        <v>Brookhaven4005Addison</v>
      </c>
      <c r="H3644" t="s">
        <v>34502</v>
      </c>
      <c r="I3644" t="s">
        <v>25926</v>
      </c>
      <c r="J3644" t="str">
        <f t="shared" si="282"/>
        <v>E:\PropInv\MF</v>
      </c>
      <c r="K3644" s="103" t="str">
        <f>HYPERLINK("E:\PropInv\MF\Addison\Brookhaven Club Dr_4005_Brookhaven Village South-Garden Oaks_Addison_13476","Brookhaven Club Dr_4005_Brookhaven Village South-Garden Oaks_Addison_13476" )</f>
        <v>Brookhaven Club Dr_4005_Brookhaven Village South-Garden Oaks_Addison_13476</v>
      </c>
      <c r="L3644" s="104" t="s">
        <v>22253</v>
      </c>
      <c r="M3644" s="103" t="str">
        <f t="shared" si="283"/>
        <v>http://oconnordata.com/mlink/modules/profile/index.cfm?action=profile&amp;prop_id=13476</v>
      </c>
      <c r="N3644" s="1">
        <f t="shared" si="284"/>
        <v>13476</v>
      </c>
    </row>
    <row r="3645" spans="1:14" x14ac:dyDescent="0.3">
      <c r="A3645" s="1">
        <v>13477</v>
      </c>
      <c r="B3645" s="7" t="s">
        <v>5095</v>
      </c>
      <c r="C3645" s="12">
        <v>1937</v>
      </c>
      <c r="D3645" s="7" t="s">
        <v>5576</v>
      </c>
      <c r="E3645" s="13" t="s">
        <v>5060</v>
      </c>
      <c r="F3645" t="str">
        <f t="shared" si="280"/>
        <v>Josey</v>
      </c>
      <c r="G3645" t="str">
        <f t="shared" si="281"/>
        <v>Josey1937Carrollton</v>
      </c>
      <c r="H3645" t="s">
        <v>34503</v>
      </c>
      <c r="I3645" t="s">
        <v>25927</v>
      </c>
      <c r="J3645" t="str">
        <f t="shared" si="282"/>
        <v>E:\PropInv\MF</v>
      </c>
      <c r="K3645" s="103" t="str">
        <f>HYPERLINK("E:\PropInv\MF\Carrollton\Josey Ln_1937_Gardens of Josey Lane_Carrollton_13477","Josey Ln_1937_Gardens of Josey Lane_Carrollton_13477" )</f>
        <v>Josey Ln_1937_Gardens of Josey Lane_Carrollton_13477</v>
      </c>
      <c r="L3645" s="104" t="s">
        <v>22253</v>
      </c>
      <c r="M3645" s="103" t="str">
        <f t="shared" si="283"/>
        <v>http://oconnordata.com/mlink/modules/profile/index.cfm?action=profile&amp;prop_id=13477</v>
      </c>
      <c r="N3645" s="1">
        <f t="shared" si="284"/>
        <v>13477</v>
      </c>
    </row>
    <row r="3646" spans="1:14" x14ac:dyDescent="0.3">
      <c r="A3646" s="1">
        <v>13478</v>
      </c>
      <c r="B3646" s="7" t="s">
        <v>5577</v>
      </c>
      <c r="C3646" s="12">
        <v>2015</v>
      </c>
      <c r="D3646" s="7" t="s">
        <v>5578</v>
      </c>
      <c r="E3646" s="13" t="s">
        <v>4996</v>
      </c>
      <c r="F3646" t="str">
        <f t="shared" si="280"/>
        <v>Garrett</v>
      </c>
      <c r="G3646" t="str">
        <f t="shared" si="281"/>
        <v>Garrett2015Dallas</v>
      </c>
      <c r="H3646" t="s">
        <v>34504</v>
      </c>
      <c r="I3646" t="s">
        <v>25928</v>
      </c>
      <c r="J3646" t="str">
        <f t="shared" si="282"/>
        <v>E:\PropInv\MF</v>
      </c>
      <c r="K3646" s="103" t="str">
        <f>HYPERLINK("E:\PropInv\MF\Dallas\Garrett_2015_Garrett Gardens_Dallas_13478","Garrett_2015_Garrett Gardens_Dallas_13478" )</f>
        <v>Garrett_2015_Garrett Gardens_Dallas_13478</v>
      </c>
      <c r="L3646" s="104" t="s">
        <v>22253</v>
      </c>
      <c r="M3646" s="103" t="str">
        <f t="shared" si="283"/>
        <v>http://oconnordata.com/mlink/modules/profile/index.cfm?action=profile&amp;prop_id=13478</v>
      </c>
      <c r="N3646" s="1">
        <f t="shared" si="284"/>
        <v>13478</v>
      </c>
    </row>
    <row r="3647" spans="1:14" x14ac:dyDescent="0.3">
      <c r="A3647" s="1">
        <v>13479</v>
      </c>
      <c r="B3647" s="7" t="s">
        <v>5579</v>
      </c>
      <c r="C3647" s="12">
        <v>2752</v>
      </c>
      <c r="D3647" s="7" t="s">
        <v>5580</v>
      </c>
      <c r="E3647" s="13" t="s">
        <v>4996</v>
      </c>
      <c r="F3647" t="str">
        <f t="shared" si="280"/>
        <v>Gaston</v>
      </c>
      <c r="G3647" t="str">
        <f t="shared" si="281"/>
        <v>Gaston2752Dallas</v>
      </c>
      <c r="H3647" t="s">
        <v>34505</v>
      </c>
      <c r="I3647" t="s">
        <v>25929</v>
      </c>
      <c r="J3647" t="str">
        <f t="shared" si="282"/>
        <v>E:\PropInv\MF</v>
      </c>
      <c r="K3647" s="103" t="str">
        <f>HYPERLINK("E:\PropInv\MF\Dallas\Gaston_2752_Marquis on Gaston_Dallas_13479","Gaston_2752_Marquis on Gaston_Dallas_13479" )</f>
        <v>Gaston_2752_Marquis on Gaston_Dallas_13479</v>
      </c>
      <c r="L3647" s="104" t="s">
        <v>22253</v>
      </c>
      <c r="M3647" s="103" t="str">
        <f t="shared" si="283"/>
        <v>http://oconnordata.com/mlink/modules/profile/index.cfm?action=profile&amp;prop_id=13479</v>
      </c>
      <c r="N3647" s="1">
        <f t="shared" si="284"/>
        <v>13479</v>
      </c>
    </row>
    <row r="3648" spans="1:14" x14ac:dyDescent="0.3">
      <c r="A3648" s="1">
        <v>13480</v>
      </c>
      <c r="B3648" s="7" t="s">
        <v>5581</v>
      </c>
      <c r="C3648" s="12">
        <v>3613</v>
      </c>
      <c r="D3648" s="7" t="s">
        <v>5582</v>
      </c>
      <c r="E3648" s="13" t="s">
        <v>4996</v>
      </c>
      <c r="F3648" t="str">
        <f t="shared" si="280"/>
        <v>Frankford</v>
      </c>
      <c r="G3648" t="str">
        <f t="shared" si="281"/>
        <v>Frankford3613Dallas</v>
      </c>
      <c r="H3648" t="s">
        <v>34506</v>
      </c>
      <c r="I3648" t="s">
        <v>25930</v>
      </c>
      <c r="J3648" t="str">
        <f t="shared" si="282"/>
        <v>E:\PropInv\MF</v>
      </c>
      <c r="K3648" s="103" t="str">
        <f>HYPERLINK("E:\PropInv\MF\Dallas\Frankford Rd_3613_Gates de Provence_Dallas_13480","Frankford Rd_3613_Gates de Provence_Dallas_13480" )</f>
        <v>Frankford Rd_3613_Gates de Provence_Dallas_13480</v>
      </c>
      <c r="L3648" s="104" t="s">
        <v>22253</v>
      </c>
      <c r="M3648" s="103" t="str">
        <f t="shared" si="283"/>
        <v>http://oconnordata.com/mlink/modules/profile/index.cfm?action=profile&amp;prop_id=13480</v>
      </c>
      <c r="N3648" s="1">
        <f t="shared" si="284"/>
        <v>13480</v>
      </c>
    </row>
    <row r="3649" spans="1:14" x14ac:dyDescent="0.3">
      <c r="A3649" s="1">
        <v>13481</v>
      </c>
      <c r="B3649" s="7" t="s">
        <v>5583</v>
      </c>
      <c r="C3649" s="12">
        <v>3932</v>
      </c>
      <c r="D3649" s="7" t="s">
        <v>5584</v>
      </c>
      <c r="E3649" s="13" t="s">
        <v>4996</v>
      </c>
      <c r="F3649" t="str">
        <f t="shared" si="280"/>
        <v>NW</v>
      </c>
      <c r="G3649" t="str">
        <f t="shared" si="281"/>
        <v>NW3932Dallas</v>
      </c>
      <c r="H3649" t="s">
        <v>34507</v>
      </c>
      <c r="I3649" t="s">
        <v>25931</v>
      </c>
      <c r="J3649" t="str">
        <f t="shared" si="282"/>
        <v>E:\PropInv\MF</v>
      </c>
      <c r="K3649" s="103" t="str">
        <f>HYPERLINK("E:\PropInv\MF\Dallas\NW Hwy W_3932_The Gates of Bluffview_Dallas_13481","NW Hwy W_3932_The Gates of Bluffview_Dallas_13481" )</f>
        <v>NW Hwy W_3932_The Gates of Bluffview_Dallas_13481</v>
      </c>
      <c r="L3649" s="104" t="s">
        <v>22253</v>
      </c>
      <c r="M3649" s="103" t="str">
        <f t="shared" si="283"/>
        <v>http://oconnordata.com/mlink/modules/profile/index.cfm?action=profile&amp;prop_id=13481</v>
      </c>
      <c r="N3649" s="1">
        <f t="shared" si="284"/>
        <v>13481</v>
      </c>
    </row>
    <row r="3650" spans="1:14" x14ac:dyDescent="0.3">
      <c r="A3650" s="1">
        <v>13482</v>
      </c>
      <c r="B3650" s="7" t="s">
        <v>5585</v>
      </c>
      <c r="C3650" s="12">
        <v>201</v>
      </c>
      <c r="D3650" s="7" t="s">
        <v>5586</v>
      </c>
      <c r="E3650" s="13" t="s">
        <v>5407</v>
      </c>
      <c r="F3650" t="str">
        <f t="shared" ref="F3650:F3713" si="285">IFERROR(LEFT(B3650,FIND(" ",B3650)-1),B3650)</f>
        <v>Joe</v>
      </c>
      <c r="G3650" t="str">
        <f t="shared" ref="G3650:G3713" si="286">F3650&amp;C3650&amp;E3650</f>
        <v>Joe201Cedar Hill</v>
      </c>
      <c r="H3650" t="s">
        <v>34508</v>
      </c>
      <c r="I3650" t="s">
        <v>25932</v>
      </c>
      <c r="J3650" t="str">
        <f t="shared" ref="J3650:J3713" si="287">IF(L3650="TX",Folder_Path,Folder_Path&amp;"\State_"&amp;L3650)</f>
        <v>E:\PropInv\MF</v>
      </c>
      <c r="K3650" s="103" t="str">
        <f>HYPERLINK("E:\PropInv\MF\Cedar Hill\Joe Wilson Rd S_201_Gates of Cedar Hill_Cedar Hill_13482","Joe Wilson Rd S_201_Gates of Cedar Hill_Cedar Hill_13482" )</f>
        <v>Joe Wilson Rd S_201_Gates of Cedar Hill_Cedar Hill_13482</v>
      </c>
      <c r="L3650" s="104" t="s">
        <v>22253</v>
      </c>
      <c r="M3650" s="103" t="str">
        <f t="shared" ref="M3650:M3713" si="288">HYPERLINK("http://oconnordata.com/mlink/modules/profile/index.cfm?action=profile&amp;prop_id="&amp;A3650)</f>
        <v>http://oconnordata.com/mlink/modules/profile/index.cfm?action=profile&amp;prop_id=13482</v>
      </c>
      <c r="N3650" s="1">
        <f t="shared" ref="N3650:N3713" si="289">IF(LEN(A3650)=1,"0000"&amp;A3650,IF(LEN(A3650)=2,"000"&amp;A3650,IF(LEN(A3650)=3,"00"&amp;A3650,IF(LEN(A3650)=4,"0"&amp;A3650,IF(LEN(A3650)=5,IF(LEFT(A3650,1)="3",A3650+30000,A3650))))))</f>
        <v>13482</v>
      </c>
    </row>
    <row r="3651" spans="1:14" x14ac:dyDescent="0.3">
      <c r="A3651" s="1">
        <v>13483</v>
      </c>
      <c r="B3651" s="7" t="s">
        <v>5581</v>
      </c>
      <c r="C3651" s="12">
        <v>3702</v>
      </c>
      <c r="D3651" s="7" t="s">
        <v>5587</v>
      </c>
      <c r="E3651" s="13" t="s">
        <v>4996</v>
      </c>
      <c r="F3651" t="str">
        <f t="shared" si="285"/>
        <v>Frankford</v>
      </c>
      <c r="G3651" t="str">
        <f t="shared" si="286"/>
        <v>Frankford3702Dallas</v>
      </c>
      <c r="H3651" t="s">
        <v>34509</v>
      </c>
      <c r="I3651" t="s">
        <v>25933</v>
      </c>
      <c r="J3651" t="str">
        <f t="shared" si="287"/>
        <v>E:\PropInv\MF</v>
      </c>
      <c r="K3651" s="103" t="str">
        <f>HYPERLINK("E:\PropInv\MF\Dallas\Frankford Rd_3702_The Sequoia at Frankford Springs_Dallas_13483","Frankford Rd_3702_The Sequoia at Frankford Springs_Dallas_13483" )</f>
        <v>Frankford Rd_3702_The Sequoia at Frankford Springs_Dallas_13483</v>
      </c>
      <c r="L3651" s="104" t="s">
        <v>22253</v>
      </c>
      <c r="M3651" s="103" t="str">
        <f t="shared" si="288"/>
        <v>http://oconnordata.com/mlink/modules/profile/index.cfm?action=profile&amp;prop_id=13483</v>
      </c>
      <c r="N3651" s="1">
        <f t="shared" si="289"/>
        <v>13483</v>
      </c>
    </row>
    <row r="3652" spans="1:14" x14ac:dyDescent="0.3">
      <c r="A3652" s="1">
        <v>13484</v>
      </c>
      <c r="B3652" s="7" t="s">
        <v>5309</v>
      </c>
      <c r="C3652" s="12">
        <v>7900</v>
      </c>
      <c r="D3652" s="7" t="s">
        <v>5588</v>
      </c>
      <c r="E3652" s="13" t="s">
        <v>4996</v>
      </c>
      <c r="F3652" t="str">
        <f t="shared" si="285"/>
        <v>Churchill</v>
      </c>
      <c r="G3652" t="str">
        <f t="shared" si="286"/>
        <v>Churchill7900Dallas</v>
      </c>
      <c r="H3652" t="s">
        <v>34510</v>
      </c>
      <c r="I3652" t="s">
        <v>25934</v>
      </c>
      <c r="J3652" t="str">
        <f t="shared" si="287"/>
        <v>E:\PropInv\MF</v>
      </c>
      <c r="K3652" s="103" t="str">
        <f>HYPERLINK("E:\PropInv\MF\Dallas\Churchill Way_7900_The Marquis at Park Central_Dallas_13484","Churchill Way_7900_The Marquis at Park Central_Dallas_13484" )</f>
        <v>Churchill Way_7900_The Marquis at Park Central_Dallas_13484</v>
      </c>
      <c r="L3652" s="104" t="s">
        <v>22253</v>
      </c>
      <c r="M3652" s="103" t="str">
        <f t="shared" si="288"/>
        <v>http://oconnordata.com/mlink/modules/profile/index.cfm?action=profile&amp;prop_id=13484</v>
      </c>
      <c r="N3652" s="1">
        <f t="shared" si="289"/>
        <v>13484</v>
      </c>
    </row>
    <row r="3653" spans="1:14" x14ac:dyDescent="0.3">
      <c r="A3653" s="1">
        <v>13485</v>
      </c>
      <c r="B3653" s="7" t="s">
        <v>5589</v>
      </c>
      <c r="C3653" s="12">
        <v>13455</v>
      </c>
      <c r="D3653" s="7" t="s">
        <v>5590</v>
      </c>
      <c r="E3653" s="13" t="s">
        <v>4996</v>
      </c>
      <c r="F3653" t="str">
        <f t="shared" si="285"/>
        <v>Kit</v>
      </c>
      <c r="G3653" t="str">
        <f t="shared" si="286"/>
        <v>Kit13455Dallas</v>
      </c>
      <c r="H3653" t="s">
        <v>34511</v>
      </c>
      <c r="I3653" t="s">
        <v>25935</v>
      </c>
      <c r="J3653" t="str">
        <f t="shared" si="287"/>
        <v>E:\PropInv\MF</v>
      </c>
      <c r="K3653" s="103" t="str">
        <f>HYPERLINK("E:\PropInv\MF\Dallas\Kit Ln_13455_Gateway_Dallas_13485","Kit Ln_13455_Gateway_Dallas_13485" )</f>
        <v>Kit Ln_13455_Gateway_Dallas_13485</v>
      </c>
      <c r="L3653" s="104" t="s">
        <v>22253</v>
      </c>
      <c r="M3653" s="103" t="str">
        <f t="shared" si="288"/>
        <v>http://oconnordata.com/mlink/modules/profile/index.cfm?action=profile&amp;prop_id=13485</v>
      </c>
      <c r="N3653" s="1">
        <f t="shared" si="289"/>
        <v>13485</v>
      </c>
    </row>
    <row r="3654" spans="1:14" x14ac:dyDescent="0.3">
      <c r="A3654" s="1">
        <v>13486</v>
      </c>
      <c r="B3654" s="7" t="s">
        <v>5591</v>
      </c>
      <c r="C3654" s="12">
        <v>782</v>
      </c>
      <c r="D3654" s="7" t="s">
        <v>5592</v>
      </c>
      <c r="E3654" s="13" t="s">
        <v>5019</v>
      </c>
      <c r="F3654" t="str">
        <f t="shared" si="285"/>
        <v>Gatewood</v>
      </c>
      <c r="G3654" t="str">
        <f t="shared" si="286"/>
        <v>Gatewood782Garland</v>
      </c>
      <c r="H3654" t="s">
        <v>34512</v>
      </c>
      <c r="I3654" t="s">
        <v>25936</v>
      </c>
      <c r="J3654" t="str">
        <f t="shared" si="287"/>
        <v>E:\PropInv\MF</v>
      </c>
      <c r="K3654" s="103" t="str">
        <f>HYPERLINK("E:\PropInv\MF\Garland\Gatewood_782_Gateway Place_Garland_13486","Gatewood_782_Gateway Place_Garland_13486" )</f>
        <v>Gatewood_782_Gateway Place_Garland_13486</v>
      </c>
      <c r="L3654" s="104" t="s">
        <v>22253</v>
      </c>
      <c r="M3654" s="103" t="str">
        <f t="shared" si="288"/>
        <v>http://oconnordata.com/mlink/modules/profile/index.cfm?action=profile&amp;prop_id=13486</v>
      </c>
      <c r="N3654" s="1">
        <f t="shared" si="289"/>
        <v>13486</v>
      </c>
    </row>
    <row r="3655" spans="1:14" x14ac:dyDescent="0.3">
      <c r="A3655" s="1">
        <v>13487</v>
      </c>
      <c r="B3655" s="7" t="s">
        <v>5391</v>
      </c>
      <c r="C3655" s="12">
        <v>6036</v>
      </c>
      <c r="D3655" s="7" t="s">
        <v>5593</v>
      </c>
      <c r="E3655" s="13" t="s">
        <v>4996</v>
      </c>
      <c r="F3655" t="str">
        <f t="shared" si="285"/>
        <v>Ridgecrest</v>
      </c>
      <c r="G3655" t="str">
        <f t="shared" si="286"/>
        <v>Ridgecrest6036Dallas</v>
      </c>
      <c r="H3655" t="s">
        <v>34513</v>
      </c>
      <c r="I3655" t="s">
        <v>25937</v>
      </c>
      <c r="J3655" t="str">
        <f t="shared" si="287"/>
        <v>E:\PropInv\MF</v>
      </c>
      <c r="K3655" s="103" t="str">
        <f>HYPERLINK("E:\PropInv\MF\Dallas\Ridgecrest_6036_Gatewood Senior Community_Dallas_13487","Ridgecrest_6036_Gatewood Senior Community_Dallas_13487" )</f>
        <v>Ridgecrest_6036_Gatewood Senior Community_Dallas_13487</v>
      </c>
      <c r="L3655" s="104" t="s">
        <v>22253</v>
      </c>
      <c r="M3655" s="103" t="str">
        <f t="shared" si="288"/>
        <v>http://oconnordata.com/mlink/modules/profile/index.cfm?action=profile&amp;prop_id=13487</v>
      </c>
      <c r="N3655" s="1">
        <f t="shared" si="289"/>
        <v>13487</v>
      </c>
    </row>
    <row r="3656" spans="1:14" x14ac:dyDescent="0.3">
      <c r="A3656" s="1">
        <v>13488</v>
      </c>
      <c r="B3656" s="7" t="s">
        <v>5037</v>
      </c>
      <c r="C3656" s="12">
        <v>18880</v>
      </c>
      <c r="D3656" s="7" t="s">
        <v>5594</v>
      </c>
      <c r="E3656" s="13" t="s">
        <v>4996</v>
      </c>
      <c r="F3656" t="str">
        <f t="shared" si="285"/>
        <v>Marsh</v>
      </c>
      <c r="G3656" t="str">
        <f t="shared" si="286"/>
        <v>Marsh18880Dallas</v>
      </c>
      <c r="H3656" t="s">
        <v>34514</v>
      </c>
      <c r="I3656" t="s">
        <v>25938</v>
      </c>
      <c r="J3656" t="str">
        <f t="shared" si="287"/>
        <v>E:\PropInv\MF</v>
      </c>
      <c r="K3656" s="103" t="str">
        <f>HYPERLINK("E:\PropInv\MF\Dallas\Marsh Ln_18880_The Georgian_Dallas_13488","Marsh Ln_18880_The Georgian_Dallas_13488" )</f>
        <v>Marsh Ln_18880_The Georgian_Dallas_13488</v>
      </c>
      <c r="L3656" s="104" t="s">
        <v>22253</v>
      </c>
      <c r="M3656" s="103" t="str">
        <f t="shared" si="288"/>
        <v>http://oconnordata.com/mlink/modules/profile/index.cfm?action=profile&amp;prop_id=13488</v>
      </c>
      <c r="N3656" s="1">
        <f t="shared" si="289"/>
        <v>13488</v>
      </c>
    </row>
    <row r="3657" spans="1:14" x14ac:dyDescent="0.3">
      <c r="A3657" s="1">
        <v>13490</v>
      </c>
      <c r="B3657" s="7" t="s">
        <v>5595</v>
      </c>
      <c r="C3657" s="12">
        <v>8300</v>
      </c>
      <c r="D3657" s="7" t="s">
        <v>180</v>
      </c>
      <c r="E3657" s="13" t="s">
        <v>4996</v>
      </c>
      <c r="F3657" t="str">
        <f t="shared" si="285"/>
        <v>Skillman</v>
      </c>
      <c r="G3657" t="str">
        <f t="shared" si="286"/>
        <v>Skillman8300Dallas</v>
      </c>
      <c r="H3657" t="s">
        <v>34515</v>
      </c>
      <c r="I3657" t="s">
        <v>25939</v>
      </c>
      <c r="J3657" t="str">
        <f t="shared" si="287"/>
        <v>E:\PropInv\MF</v>
      </c>
      <c r="K3657" s="103" t="str">
        <f>HYPERLINK("E:\PropInv\MF\Dallas\Skillman St_8300_Glen Oaks_Dallas_13490","Skillman St_8300_Glen Oaks_Dallas_13490" )</f>
        <v>Skillman St_8300_Glen Oaks_Dallas_13490</v>
      </c>
      <c r="L3657" s="104" t="s">
        <v>22253</v>
      </c>
      <c r="M3657" s="103" t="str">
        <f t="shared" si="288"/>
        <v>http://oconnordata.com/mlink/modules/profile/index.cfm?action=profile&amp;prop_id=13490</v>
      </c>
      <c r="N3657" s="1">
        <f t="shared" si="289"/>
        <v>13490</v>
      </c>
    </row>
    <row r="3658" spans="1:14" x14ac:dyDescent="0.3">
      <c r="A3658" s="1">
        <v>13492</v>
      </c>
      <c r="B3658" s="7" t="s">
        <v>5596</v>
      </c>
      <c r="C3658" s="12">
        <v>2121</v>
      </c>
      <c r="D3658" s="7" t="s">
        <v>5597</v>
      </c>
      <c r="E3658" s="13" t="s">
        <v>5019</v>
      </c>
      <c r="F3658" t="str">
        <f t="shared" si="285"/>
        <v>Glenbrook</v>
      </c>
      <c r="G3658" t="str">
        <f t="shared" si="286"/>
        <v>Glenbrook2121Garland</v>
      </c>
      <c r="H3658" t="s">
        <v>34516</v>
      </c>
      <c r="I3658" t="s">
        <v>25940</v>
      </c>
      <c r="J3658" t="str">
        <f t="shared" si="287"/>
        <v>E:\PropInv\MF</v>
      </c>
      <c r="K3658" s="103" t="str">
        <f>HYPERLINK("E:\PropInv\MF\Garland\Glenbrook Dr S_2121_Glenbrook Place_Garland_13492","Glenbrook Dr S_2121_Glenbrook Place_Garland_13492" )</f>
        <v>Glenbrook Dr S_2121_Glenbrook Place_Garland_13492</v>
      </c>
      <c r="L3658" s="104" t="s">
        <v>22253</v>
      </c>
      <c r="M3658" s="103" t="str">
        <f t="shared" si="288"/>
        <v>http://oconnordata.com/mlink/modules/profile/index.cfm?action=profile&amp;prop_id=13492</v>
      </c>
      <c r="N3658" s="1">
        <f t="shared" si="289"/>
        <v>13492</v>
      </c>
    </row>
    <row r="3659" spans="1:14" x14ac:dyDescent="0.3">
      <c r="A3659" s="1">
        <v>13494</v>
      </c>
      <c r="B3659" s="7" t="s">
        <v>5015</v>
      </c>
      <c r="C3659" s="12">
        <v>3800</v>
      </c>
      <c r="D3659" s="7" t="s">
        <v>5598</v>
      </c>
      <c r="E3659" s="13" t="s">
        <v>5005</v>
      </c>
      <c r="F3659" t="str">
        <f t="shared" si="285"/>
        <v>Spring</v>
      </c>
      <c r="G3659" t="str">
        <f t="shared" si="286"/>
        <v>Spring3800Addison</v>
      </c>
      <c r="H3659" t="s">
        <v>34517</v>
      </c>
      <c r="I3659" t="s">
        <v>25941</v>
      </c>
      <c r="J3659" t="str">
        <f t="shared" si="287"/>
        <v>E:\PropInv\MF</v>
      </c>
      <c r="K3659" s="103" t="str">
        <f>HYPERLINK("E:\PropInv\MF\Addison\Spring Valley_3800_Brookhaven Village North-Glenwood_Addison_13494","Spring Valley_3800_Brookhaven Village North-Glenwood_Addison_13494" )</f>
        <v>Spring Valley_3800_Brookhaven Village North-Glenwood_Addison_13494</v>
      </c>
      <c r="L3659" s="104" t="s">
        <v>22253</v>
      </c>
      <c r="M3659" s="103" t="str">
        <f t="shared" si="288"/>
        <v>http://oconnordata.com/mlink/modules/profile/index.cfm?action=profile&amp;prop_id=13494</v>
      </c>
      <c r="N3659" s="1">
        <f t="shared" si="289"/>
        <v>13494</v>
      </c>
    </row>
    <row r="3660" spans="1:14" x14ac:dyDescent="0.3">
      <c r="A3660" s="1">
        <v>13496</v>
      </c>
      <c r="B3660" s="7" t="s">
        <v>5599</v>
      </c>
      <c r="C3660" s="12">
        <v>3500</v>
      </c>
      <c r="D3660" s="7" t="s">
        <v>5600</v>
      </c>
      <c r="E3660" s="13" t="s">
        <v>5009</v>
      </c>
      <c r="F3660" t="str">
        <f t="shared" si="285"/>
        <v>Hillridge</v>
      </c>
      <c r="G3660" t="str">
        <f t="shared" si="286"/>
        <v>Hillridge3500Plano</v>
      </c>
      <c r="H3660" t="s">
        <v>34518</v>
      </c>
      <c r="I3660" t="s">
        <v>25942</v>
      </c>
      <c r="J3660" t="str">
        <f t="shared" si="287"/>
        <v>E:\PropInv\MF</v>
      </c>
      <c r="K3660" s="103" t="str">
        <f>HYPERLINK("E:\PropInv\MF\Plano\Hillridge_3500_Golden Leaf Village_Plano_13496","Hillridge_3500_Golden Leaf Village_Plano_13496" )</f>
        <v>Hillridge_3500_Golden Leaf Village_Plano_13496</v>
      </c>
      <c r="L3660" s="104" t="s">
        <v>22253</v>
      </c>
      <c r="M3660" s="103" t="str">
        <f t="shared" si="288"/>
        <v>http://oconnordata.com/mlink/modules/profile/index.cfm?action=profile&amp;prop_id=13496</v>
      </c>
      <c r="N3660" s="1">
        <f t="shared" si="289"/>
        <v>13496</v>
      </c>
    </row>
    <row r="3661" spans="1:14" x14ac:dyDescent="0.3">
      <c r="A3661" s="1">
        <v>13497</v>
      </c>
      <c r="B3661" s="7" t="s">
        <v>5434</v>
      </c>
      <c r="C3661" s="12">
        <v>4140</v>
      </c>
      <c r="D3661" s="7" t="s">
        <v>5601</v>
      </c>
      <c r="E3661" s="13" t="s">
        <v>4996</v>
      </c>
      <c r="F3661" t="str">
        <f t="shared" si="285"/>
        <v>Commerce</v>
      </c>
      <c r="G3661" t="str">
        <f t="shared" si="286"/>
        <v>Commerce4140Dallas</v>
      </c>
      <c r="H3661" t="s">
        <v>34519</v>
      </c>
      <c r="I3661" t="s">
        <v>25943</v>
      </c>
      <c r="J3661" t="str">
        <f t="shared" si="287"/>
        <v>E:\PropInv\MF</v>
      </c>
      <c r="K3661" s="103" t="str">
        <f>HYPERLINK("E:\PropInv\MF\Dallas\Commerce_4140_Goodrich Lofts_Dallas_13497","Commerce_4140_Goodrich Lofts_Dallas_13497" )</f>
        <v>Commerce_4140_Goodrich Lofts_Dallas_13497</v>
      </c>
      <c r="L3661" s="104" t="s">
        <v>22253</v>
      </c>
      <c r="M3661" s="103" t="str">
        <f t="shared" si="288"/>
        <v>http://oconnordata.com/mlink/modules/profile/index.cfm?action=profile&amp;prop_id=13497</v>
      </c>
      <c r="N3661" s="1">
        <f t="shared" si="289"/>
        <v>13497</v>
      </c>
    </row>
    <row r="3662" spans="1:14" x14ac:dyDescent="0.3">
      <c r="A3662" s="1">
        <v>13499</v>
      </c>
      <c r="B3662" s="7" t="s">
        <v>5602</v>
      </c>
      <c r="C3662" s="12">
        <v>525</v>
      </c>
      <c r="D3662" s="7" t="s">
        <v>5603</v>
      </c>
      <c r="E3662" s="13" t="s">
        <v>5076</v>
      </c>
      <c r="F3662" t="str">
        <f t="shared" si="285"/>
        <v>Westchester</v>
      </c>
      <c r="G3662" t="str">
        <f t="shared" si="286"/>
        <v>Westchester525Grand Prairie</v>
      </c>
      <c r="H3662" t="s">
        <v>34520</v>
      </c>
      <c r="I3662" t="s">
        <v>25944</v>
      </c>
      <c r="J3662" t="str">
        <f t="shared" si="287"/>
        <v>E:\PropInv\MF</v>
      </c>
      <c r="K3662" s="103" t="str">
        <f>HYPERLINK("E:\PropInv\MF\Grand Prairie\Westchester Pkwy W_525_The Grand Courtyards_Grand Prairie_13499","Westchester Pkwy W_525_The Grand Courtyards_Grand Prairie_13499" )</f>
        <v>Westchester Pkwy W_525_The Grand Courtyards_Grand Prairie_13499</v>
      </c>
      <c r="L3662" s="104" t="s">
        <v>22253</v>
      </c>
      <c r="M3662" s="103" t="str">
        <f t="shared" si="288"/>
        <v>http://oconnordata.com/mlink/modules/profile/index.cfm?action=profile&amp;prop_id=13499</v>
      </c>
      <c r="N3662" s="1">
        <f t="shared" si="289"/>
        <v>13499</v>
      </c>
    </row>
    <row r="3663" spans="1:14" x14ac:dyDescent="0.3">
      <c r="A3663" s="1">
        <v>13500</v>
      </c>
      <c r="B3663" s="7" t="s">
        <v>5604</v>
      </c>
      <c r="C3663" s="12">
        <v>6225</v>
      </c>
      <c r="D3663" s="7" t="s">
        <v>5605</v>
      </c>
      <c r="E3663" s="13" t="s">
        <v>5046</v>
      </c>
      <c r="F3663" t="str">
        <f t="shared" si="285"/>
        <v>Love</v>
      </c>
      <c r="G3663" t="str">
        <f t="shared" si="286"/>
        <v>Love6225Irving</v>
      </c>
      <c r="H3663" t="s">
        <v>34521</v>
      </c>
      <c r="I3663" t="s">
        <v>25945</v>
      </c>
      <c r="J3663" t="str">
        <f t="shared" si="287"/>
        <v>E:\PropInv\MF</v>
      </c>
      <c r="K3663" s="103" t="str">
        <f>HYPERLINK("E:\PropInv\MF\Irving\Love Dr_6225_Grand Venetian at Las Colinas_Irving_13500","Love Dr_6225_Grand Venetian at Las Colinas_Irving_13500" )</f>
        <v>Love Dr_6225_Grand Venetian at Las Colinas_Irving_13500</v>
      </c>
      <c r="L3663" s="104" t="s">
        <v>22253</v>
      </c>
      <c r="M3663" s="103" t="str">
        <f t="shared" si="288"/>
        <v>http://oconnordata.com/mlink/modules/profile/index.cfm?action=profile&amp;prop_id=13500</v>
      </c>
      <c r="N3663" s="1">
        <f t="shared" si="289"/>
        <v>13500</v>
      </c>
    </row>
    <row r="3664" spans="1:14" x14ac:dyDescent="0.3">
      <c r="A3664" s="1">
        <v>13501</v>
      </c>
      <c r="B3664" s="7" t="s">
        <v>5122</v>
      </c>
      <c r="C3664" s="12">
        <v>5350</v>
      </c>
      <c r="D3664" s="7" t="s">
        <v>5606</v>
      </c>
      <c r="E3664" s="13" t="s">
        <v>4996</v>
      </c>
      <c r="F3664" t="str">
        <f t="shared" si="285"/>
        <v>Amesbury</v>
      </c>
      <c r="G3664" t="str">
        <f t="shared" si="286"/>
        <v>Amesbury5350Dallas</v>
      </c>
      <c r="H3664" t="s">
        <v>34522</v>
      </c>
      <c r="I3664" t="s">
        <v>25946</v>
      </c>
      <c r="J3664" t="str">
        <f t="shared" si="287"/>
        <v>E:\PropInv\MF</v>
      </c>
      <c r="K3664" s="103" t="str">
        <f>HYPERLINK("E:\PropInv\MF\Dallas\Amesbury_5350_The Green in the Village I_Dallas_13501","Amesbury_5350_The Green in the Village I_Dallas_13501" )</f>
        <v>Amesbury_5350_The Green in the Village I_Dallas_13501</v>
      </c>
      <c r="L3664" s="104" t="s">
        <v>22253</v>
      </c>
      <c r="M3664" s="103" t="str">
        <f t="shared" si="288"/>
        <v>http://oconnordata.com/mlink/modules/profile/index.cfm?action=profile&amp;prop_id=13501</v>
      </c>
      <c r="N3664" s="1">
        <f t="shared" si="289"/>
        <v>13501</v>
      </c>
    </row>
    <row r="3665" spans="1:14" x14ac:dyDescent="0.3">
      <c r="A3665" s="1">
        <v>13502</v>
      </c>
      <c r="B3665" s="7" t="s">
        <v>5607</v>
      </c>
      <c r="C3665" s="12">
        <v>111</v>
      </c>
      <c r="D3665" s="7" t="s">
        <v>5608</v>
      </c>
      <c r="E3665" s="13" t="s">
        <v>3328</v>
      </c>
      <c r="F3665" t="str">
        <f t="shared" si="285"/>
        <v>Spring</v>
      </c>
      <c r="G3665" t="str">
        <f t="shared" si="286"/>
        <v>Spring111Richardson</v>
      </c>
      <c r="H3665" t="s">
        <v>34523</v>
      </c>
      <c r="I3665" t="s">
        <v>25947</v>
      </c>
      <c r="J3665" t="str">
        <f t="shared" si="287"/>
        <v>E:\PropInv\MF</v>
      </c>
      <c r="K3665" s="103" t="str">
        <f>HYPERLINK("E:\PropInv\MF\Richardson\Spring Valley Rd E_111_Green Valley (Demolished)_Richardson_13502","Spring Valley Rd E_111_Green Valley (Demolished)_Richardson_13502" )</f>
        <v>Spring Valley Rd E_111_Green Valley (Demolished)_Richardson_13502</v>
      </c>
      <c r="L3665" s="104" t="s">
        <v>22253</v>
      </c>
      <c r="M3665" s="103" t="str">
        <f t="shared" si="288"/>
        <v>http://oconnordata.com/mlink/modules/profile/index.cfm?action=profile&amp;prop_id=13502</v>
      </c>
      <c r="N3665" s="1">
        <f t="shared" si="289"/>
        <v>13502</v>
      </c>
    </row>
    <row r="3666" spans="1:14" x14ac:dyDescent="0.3">
      <c r="A3666" s="1">
        <v>13503</v>
      </c>
      <c r="B3666" s="7" t="s">
        <v>5609</v>
      </c>
      <c r="C3666" s="12">
        <v>1901</v>
      </c>
      <c r="D3666" s="7" t="s">
        <v>1080</v>
      </c>
      <c r="E3666" s="13" t="s">
        <v>5009</v>
      </c>
      <c r="F3666" t="str">
        <f t="shared" si="285"/>
        <v>Spring</v>
      </c>
      <c r="G3666" t="str">
        <f t="shared" si="286"/>
        <v>Spring1901Plano</v>
      </c>
      <c r="H3666" t="s">
        <v>34524</v>
      </c>
      <c r="I3666" t="s">
        <v>25948</v>
      </c>
      <c r="J3666" t="str">
        <f t="shared" si="287"/>
        <v>E:\PropInv\MF</v>
      </c>
      <c r="K3666" s="103" t="str">
        <f>HYPERLINK("E:\PropInv\MF\Plano\Spring Creek Pkwy W_1901_Greenbriar_Plano_13503","Spring Creek Pkwy W_1901_Greenbriar_Plano_13503" )</f>
        <v>Spring Creek Pkwy W_1901_Greenbriar_Plano_13503</v>
      </c>
      <c r="L3666" s="104" t="s">
        <v>22253</v>
      </c>
      <c r="M3666" s="103" t="str">
        <f t="shared" si="288"/>
        <v>http://oconnordata.com/mlink/modules/profile/index.cfm?action=profile&amp;prop_id=13503</v>
      </c>
      <c r="N3666" s="1">
        <f t="shared" si="289"/>
        <v>13503</v>
      </c>
    </row>
    <row r="3667" spans="1:14" x14ac:dyDescent="0.3">
      <c r="A3667" s="1">
        <v>13504</v>
      </c>
      <c r="B3667" s="7" t="s">
        <v>5610</v>
      </c>
      <c r="C3667" s="12">
        <v>777</v>
      </c>
      <c r="D3667" s="7" t="s">
        <v>5611</v>
      </c>
      <c r="E3667" s="13" t="s">
        <v>5612</v>
      </c>
      <c r="F3667" t="str">
        <f t="shared" si="285"/>
        <v>Fairway</v>
      </c>
      <c r="G3667" t="str">
        <f t="shared" si="286"/>
        <v>Fairway777Coppell</v>
      </c>
      <c r="H3667" t="s">
        <v>34525</v>
      </c>
      <c r="I3667" t="s">
        <v>25949</v>
      </c>
      <c r="J3667" t="str">
        <f t="shared" si="287"/>
        <v>E:\PropInv\MF</v>
      </c>
      <c r="K3667" s="103" t="str">
        <f>HYPERLINK("E:\PropInv\MF\Coppell\Fairway Dr_777_Oaks Riverchase_Coppell_13504","Fairway Dr_777_Oaks Riverchase_Coppell_13504" )</f>
        <v>Fairway Dr_777_Oaks Riverchase_Coppell_13504</v>
      </c>
      <c r="L3667" s="104" t="s">
        <v>22253</v>
      </c>
      <c r="M3667" s="103" t="str">
        <f t="shared" si="288"/>
        <v>http://oconnordata.com/mlink/modules/profile/index.cfm?action=profile&amp;prop_id=13504</v>
      </c>
      <c r="N3667" s="1">
        <f t="shared" si="289"/>
        <v>13504</v>
      </c>
    </row>
    <row r="3668" spans="1:14" x14ac:dyDescent="0.3">
      <c r="A3668" s="1">
        <v>13505</v>
      </c>
      <c r="B3668" s="7" t="s">
        <v>5006</v>
      </c>
      <c r="C3668" s="12">
        <v>3789</v>
      </c>
      <c r="D3668" s="7" t="s">
        <v>5613</v>
      </c>
      <c r="E3668" s="13" t="s">
        <v>5005</v>
      </c>
      <c r="F3668" t="str">
        <f t="shared" si="285"/>
        <v>Brookhaven</v>
      </c>
      <c r="G3668" t="str">
        <f t="shared" si="286"/>
        <v>Brookhaven3789Addison</v>
      </c>
      <c r="H3668" t="s">
        <v>34526</v>
      </c>
      <c r="I3668" t="s">
        <v>25950</v>
      </c>
      <c r="J3668" t="str">
        <f t="shared" si="287"/>
        <v>E:\PropInv\MF</v>
      </c>
      <c r="K3668" s="103" t="str">
        <f>HYPERLINK("E:\PropInv\MF\Addison\Brookhaven Club Dr_3789_Greenbrook (Demolished)_Addison_13505","Brookhaven Club Dr_3789_Greenbrook (Demolished)_Addison_13505" )</f>
        <v>Brookhaven Club Dr_3789_Greenbrook (Demolished)_Addison_13505</v>
      </c>
      <c r="L3668" s="104" t="s">
        <v>22253</v>
      </c>
      <c r="M3668" s="103" t="str">
        <f t="shared" si="288"/>
        <v>http://oconnordata.com/mlink/modules/profile/index.cfm?action=profile&amp;prop_id=13505</v>
      </c>
      <c r="N3668" s="1">
        <f t="shared" si="289"/>
        <v>13505</v>
      </c>
    </row>
    <row r="3669" spans="1:14" x14ac:dyDescent="0.3">
      <c r="A3669" s="1">
        <v>13506</v>
      </c>
      <c r="B3669" s="7" t="s">
        <v>5006</v>
      </c>
      <c r="C3669" s="12">
        <v>3900</v>
      </c>
      <c r="D3669" s="7" t="s">
        <v>5614</v>
      </c>
      <c r="E3669" s="13" t="s">
        <v>5005</v>
      </c>
      <c r="F3669" t="str">
        <f t="shared" si="285"/>
        <v>Brookhaven</v>
      </c>
      <c r="G3669" t="str">
        <f t="shared" si="286"/>
        <v>Brookhaven3900Addison</v>
      </c>
      <c r="H3669" t="s">
        <v>34527</v>
      </c>
      <c r="I3669" t="s">
        <v>25951</v>
      </c>
      <c r="J3669" t="str">
        <f t="shared" si="287"/>
        <v>E:\PropInv\MF</v>
      </c>
      <c r="K3669" s="103" t="str">
        <f>HYPERLINK("E:\PropInv\MF\Addison\Brookhaven Club Dr_3900_Greenhaven Village (Demolished)_Addison_13506","Brookhaven Club Dr_3900_Greenhaven Village (Demolished)_Addison_13506" )</f>
        <v>Brookhaven Club Dr_3900_Greenhaven Village (Demolished)_Addison_13506</v>
      </c>
      <c r="L3669" s="104" t="s">
        <v>22253</v>
      </c>
      <c r="M3669" s="103" t="str">
        <f t="shared" si="288"/>
        <v>http://oconnordata.com/mlink/modules/profile/index.cfm?action=profile&amp;prop_id=13506</v>
      </c>
      <c r="N3669" s="1">
        <f t="shared" si="289"/>
        <v>13506</v>
      </c>
    </row>
    <row r="3670" spans="1:14" x14ac:dyDescent="0.3">
      <c r="A3670" s="1">
        <v>13507</v>
      </c>
      <c r="B3670" s="7" t="s">
        <v>5399</v>
      </c>
      <c r="C3670" s="12">
        <v>10700</v>
      </c>
      <c r="D3670" s="7" t="s">
        <v>5615</v>
      </c>
      <c r="E3670" s="13" t="s">
        <v>4996</v>
      </c>
      <c r="F3670" t="str">
        <f t="shared" si="285"/>
        <v>Woodmeadow</v>
      </c>
      <c r="G3670" t="str">
        <f t="shared" si="286"/>
        <v>Woodmeadow10700Dallas</v>
      </c>
      <c r="H3670" t="s">
        <v>34528</v>
      </c>
      <c r="I3670" t="s">
        <v>25952</v>
      </c>
      <c r="J3670" t="str">
        <f t="shared" si="287"/>
        <v>E:\PropInv\MF</v>
      </c>
      <c r="K3670" s="103" t="str">
        <f>HYPERLINK("E:\PropInv\MF\Dallas\Woodmeadow Pkwy_10700_Greens Crossing_Dallas_13507","Woodmeadow Pkwy_10700_Greens Crossing_Dallas_13507" )</f>
        <v>Woodmeadow Pkwy_10700_Greens Crossing_Dallas_13507</v>
      </c>
      <c r="L3670" s="104" t="s">
        <v>22253</v>
      </c>
      <c r="M3670" s="103" t="str">
        <f t="shared" si="288"/>
        <v>http://oconnordata.com/mlink/modules/profile/index.cfm?action=profile&amp;prop_id=13507</v>
      </c>
      <c r="N3670" s="1">
        <f t="shared" si="289"/>
        <v>13507</v>
      </c>
    </row>
    <row r="3671" spans="1:14" x14ac:dyDescent="0.3">
      <c r="A3671" s="1">
        <v>13508</v>
      </c>
      <c r="B3671" s="7" t="s">
        <v>5616</v>
      </c>
      <c r="C3671" s="12">
        <v>8613</v>
      </c>
      <c r="D3671" s="7" t="s">
        <v>5617</v>
      </c>
      <c r="E3671" s="13" t="s">
        <v>4996</v>
      </c>
      <c r="F3671" t="str">
        <f t="shared" si="285"/>
        <v>Old</v>
      </c>
      <c r="G3671" t="str">
        <f t="shared" si="286"/>
        <v>Old8613Dallas</v>
      </c>
      <c r="H3671" t="s">
        <v>34529</v>
      </c>
      <c r="I3671" t="s">
        <v>25953</v>
      </c>
      <c r="J3671" t="str">
        <f t="shared" si="287"/>
        <v>E:\PropInv\MF</v>
      </c>
      <c r="K3671" s="103" t="str">
        <f>HYPERLINK("E:\PropInv\MF\Dallas\Old Hickory Trl_8613_Greens of Hickory Trails_Dallas_13508","Old Hickory Trl_8613_Greens of Hickory Trails_Dallas_13508" )</f>
        <v>Old Hickory Trl_8613_Greens of Hickory Trails_Dallas_13508</v>
      </c>
      <c r="L3671" s="104" t="s">
        <v>22253</v>
      </c>
      <c r="M3671" s="103" t="str">
        <f t="shared" si="288"/>
        <v>http://oconnordata.com/mlink/modules/profile/index.cfm?action=profile&amp;prop_id=13508</v>
      </c>
      <c r="N3671" s="1">
        <f t="shared" si="289"/>
        <v>13508</v>
      </c>
    </row>
    <row r="3672" spans="1:14" x14ac:dyDescent="0.3">
      <c r="A3672" s="1">
        <v>13509</v>
      </c>
      <c r="B3672" s="7" t="s">
        <v>5618</v>
      </c>
      <c r="C3672" s="12">
        <v>1120</v>
      </c>
      <c r="D3672" s="7" t="s">
        <v>3999</v>
      </c>
      <c r="E3672" s="13" t="s">
        <v>5060</v>
      </c>
      <c r="F3672" t="str">
        <f t="shared" si="285"/>
        <v>MacArthur</v>
      </c>
      <c r="G3672" t="str">
        <f t="shared" si="286"/>
        <v>MacArthur1120Carrollton</v>
      </c>
      <c r="H3672" t="s">
        <v>34530</v>
      </c>
      <c r="I3672" t="s">
        <v>25954</v>
      </c>
      <c r="J3672" t="str">
        <f t="shared" si="287"/>
        <v>E:\PropInv\MF</v>
      </c>
      <c r="K3672" s="103" t="str">
        <f>HYPERLINK("E:\PropInv\MF\Carrollton\MacArthur_1120_Greentree_Carrollton_13509","MacArthur_1120_Greentree_Carrollton_13509" )</f>
        <v>MacArthur_1120_Greentree_Carrollton_13509</v>
      </c>
      <c r="L3672" s="104" t="s">
        <v>22253</v>
      </c>
      <c r="M3672" s="103" t="str">
        <f t="shared" si="288"/>
        <v>http://oconnordata.com/mlink/modules/profile/index.cfm?action=profile&amp;prop_id=13509</v>
      </c>
      <c r="N3672" s="1">
        <f t="shared" si="289"/>
        <v>13509</v>
      </c>
    </row>
    <row r="3673" spans="1:14" x14ac:dyDescent="0.3">
      <c r="A3673" s="1">
        <v>13510</v>
      </c>
      <c r="B3673" s="7" t="s">
        <v>5619</v>
      </c>
      <c r="C3673" s="12">
        <v>4622</v>
      </c>
      <c r="D3673" s="7" t="s">
        <v>5620</v>
      </c>
      <c r="E3673" s="13" t="s">
        <v>5019</v>
      </c>
      <c r="F3673" t="str">
        <f t="shared" si="285"/>
        <v>Jupiter</v>
      </c>
      <c r="G3673" t="str">
        <f t="shared" si="286"/>
        <v>Jupiter4622Garland</v>
      </c>
      <c r="H3673" t="s">
        <v>34531</v>
      </c>
      <c r="I3673" t="s">
        <v>25955</v>
      </c>
      <c r="J3673" t="str">
        <f t="shared" si="287"/>
        <v>E:\PropInv\MF</v>
      </c>
      <c r="K3673" s="103" t="str">
        <f>HYPERLINK("E:\PropInv\MF\Garland\Jupiter Rd N_4622_Meridian Pointe_Garland_13510","Jupiter Rd N_4622_Meridian Pointe_Garland_13510" )</f>
        <v>Jupiter Rd N_4622_Meridian Pointe_Garland_13510</v>
      </c>
      <c r="L3673" s="104" t="s">
        <v>22253</v>
      </c>
      <c r="M3673" s="103" t="str">
        <f t="shared" si="288"/>
        <v>http://oconnordata.com/mlink/modules/profile/index.cfm?action=profile&amp;prop_id=13510</v>
      </c>
      <c r="N3673" s="1">
        <f t="shared" si="289"/>
        <v>13510</v>
      </c>
    </row>
    <row r="3674" spans="1:14" x14ac:dyDescent="0.3">
      <c r="A3674" s="1">
        <v>13511</v>
      </c>
      <c r="B3674" s="7" t="s">
        <v>5581</v>
      </c>
      <c r="C3674" s="12">
        <v>3621</v>
      </c>
      <c r="D3674" s="7" t="s">
        <v>5621</v>
      </c>
      <c r="E3674" s="13" t="s">
        <v>4996</v>
      </c>
      <c r="F3674" t="str">
        <f t="shared" si="285"/>
        <v>Frankford</v>
      </c>
      <c r="G3674" t="str">
        <f t="shared" si="286"/>
        <v>Frankford3621Dallas</v>
      </c>
      <c r="H3674" t="s">
        <v>34532</v>
      </c>
      <c r="I3674" t="s">
        <v>25956</v>
      </c>
      <c r="J3674" t="str">
        <f t="shared" si="287"/>
        <v>E:\PropInv\MF</v>
      </c>
      <c r="K3674" s="103" t="str">
        <f>HYPERLINK("E:\PropInv\MF\Dallas\Frankford Rd_3621_Greysons Gate_Dallas_13511","Frankford Rd_3621_Greysons Gate_Dallas_13511" )</f>
        <v>Frankford Rd_3621_Greysons Gate_Dallas_13511</v>
      </c>
      <c r="L3674" s="104" t="s">
        <v>22253</v>
      </c>
      <c r="M3674" s="103" t="str">
        <f t="shared" si="288"/>
        <v>http://oconnordata.com/mlink/modules/profile/index.cfm?action=profile&amp;prop_id=13511</v>
      </c>
      <c r="N3674" s="1">
        <f t="shared" si="289"/>
        <v>13511</v>
      </c>
    </row>
    <row r="3675" spans="1:14" x14ac:dyDescent="0.3">
      <c r="A3675" s="1">
        <v>13512</v>
      </c>
      <c r="B3675" s="7" t="s">
        <v>5535</v>
      </c>
      <c r="C3675" s="12">
        <v>1705</v>
      </c>
      <c r="D3675" s="7" t="s">
        <v>1089</v>
      </c>
      <c r="E3675" s="13" t="s">
        <v>5009</v>
      </c>
      <c r="F3675" t="str">
        <f t="shared" si="285"/>
        <v>Jupiter</v>
      </c>
      <c r="G3675" t="str">
        <f t="shared" si="286"/>
        <v>Jupiter1705Plano</v>
      </c>
      <c r="H3675" t="s">
        <v>34533</v>
      </c>
      <c r="I3675" t="s">
        <v>25957</v>
      </c>
      <c r="J3675" t="str">
        <f t="shared" si="287"/>
        <v>E:\PropInv\MF</v>
      </c>
      <c r="K3675" s="103" t="str">
        <f>HYPERLINK("E:\PropInv\MF\Plano\Jupiter_1705_Grove Park_Plano_13512","Jupiter_1705_Grove Park_Plano_13512" )</f>
        <v>Jupiter_1705_Grove Park_Plano_13512</v>
      </c>
      <c r="L3675" s="104" t="s">
        <v>22253</v>
      </c>
      <c r="M3675" s="103" t="str">
        <f t="shared" si="288"/>
        <v>http://oconnordata.com/mlink/modules/profile/index.cfm?action=profile&amp;prop_id=13512</v>
      </c>
      <c r="N3675" s="1">
        <f t="shared" si="289"/>
        <v>13512</v>
      </c>
    </row>
    <row r="3676" spans="1:14" x14ac:dyDescent="0.3">
      <c r="A3676" s="1">
        <v>13513</v>
      </c>
      <c r="B3676" s="21" t="s">
        <v>5622</v>
      </c>
      <c r="C3676" s="12">
        <v>248</v>
      </c>
      <c r="D3676" s="7" t="s">
        <v>5623</v>
      </c>
      <c r="E3676" s="13" t="s">
        <v>5055</v>
      </c>
      <c r="F3676" t="str">
        <f t="shared" si="285"/>
        <v>SW</v>
      </c>
      <c r="G3676" t="str">
        <f t="shared" si="286"/>
        <v>SW248Lewisville</v>
      </c>
      <c r="H3676" t="s">
        <v>34534</v>
      </c>
      <c r="I3676" t="s">
        <v>25958</v>
      </c>
      <c r="J3676" t="str">
        <f t="shared" si="287"/>
        <v>E:\PropInv\MF</v>
      </c>
      <c r="K3676" s="103" t="str">
        <f>HYPERLINK("E:\PropInv\MF\Lewisville\SW Pkwy E_248_Hampton Bay_Lewisville_13513","SW Pkwy E_248_Hampton Bay_Lewisville_13513" )</f>
        <v>SW Pkwy E_248_Hampton Bay_Lewisville_13513</v>
      </c>
      <c r="L3676" s="104" t="s">
        <v>22253</v>
      </c>
      <c r="M3676" s="103" t="str">
        <f t="shared" si="288"/>
        <v>http://oconnordata.com/mlink/modules/profile/index.cfm?action=profile&amp;prop_id=13513</v>
      </c>
      <c r="N3676" s="1">
        <f t="shared" si="289"/>
        <v>13513</v>
      </c>
    </row>
    <row r="3677" spans="1:14" x14ac:dyDescent="0.3">
      <c r="A3677" s="1">
        <v>13515</v>
      </c>
      <c r="B3677" s="7" t="s">
        <v>5624</v>
      </c>
      <c r="C3677" s="12">
        <v>4402</v>
      </c>
      <c r="D3677" s="7" t="s">
        <v>5625</v>
      </c>
      <c r="E3677" s="13" t="s">
        <v>4996</v>
      </c>
      <c r="F3677" t="str">
        <f t="shared" si="285"/>
        <v>Swiss</v>
      </c>
      <c r="G3677" t="str">
        <f t="shared" si="286"/>
        <v>Swiss4402Dallas</v>
      </c>
      <c r="H3677" t="s">
        <v>34535</v>
      </c>
      <c r="I3677" t="s">
        <v>25959</v>
      </c>
      <c r="J3677" t="str">
        <f t="shared" si="287"/>
        <v>E:\PropInv\MF</v>
      </c>
      <c r="K3677" s="103" t="str">
        <f>HYPERLINK("E:\PropInv\MF\Dallas\Swiss Ave_4402_Hamptons_Dallas_13515","Swiss Ave_4402_Hamptons_Dallas_13515" )</f>
        <v>Swiss Ave_4402_Hamptons_Dallas_13515</v>
      </c>
      <c r="L3677" s="104" t="s">
        <v>22253</v>
      </c>
      <c r="M3677" s="103" t="str">
        <f t="shared" si="288"/>
        <v>http://oconnordata.com/mlink/modules/profile/index.cfm?action=profile&amp;prop_id=13515</v>
      </c>
      <c r="N3677" s="1">
        <f t="shared" si="289"/>
        <v>13515</v>
      </c>
    </row>
    <row r="3678" spans="1:14" x14ac:dyDescent="0.3">
      <c r="A3678" s="1">
        <v>13516</v>
      </c>
      <c r="B3678" s="7" t="s">
        <v>5399</v>
      </c>
      <c r="C3678" s="12">
        <v>10911</v>
      </c>
      <c r="D3678" s="7" t="s">
        <v>5626</v>
      </c>
      <c r="E3678" s="13" t="s">
        <v>4996</v>
      </c>
      <c r="F3678" t="str">
        <f t="shared" si="285"/>
        <v>Woodmeadow</v>
      </c>
      <c r="G3678" t="str">
        <f t="shared" si="286"/>
        <v>Woodmeadow10911Dallas</v>
      </c>
      <c r="H3678" t="s">
        <v>34536</v>
      </c>
      <c r="I3678" t="s">
        <v>25960</v>
      </c>
      <c r="J3678" t="str">
        <f t="shared" si="287"/>
        <v>E:\PropInv\MF</v>
      </c>
      <c r="K3678" s="103" t="str">
        <f>HYPERLINK("E:\PropInv\MF\Dallas\Woodmeadow Pkwy_10911_Hampton Greens_Dallas_13516","Woodmeadow Pkwy_10911_Hampton Greens_Dallas_13516" )</f>
        <v>Woodmeadow Pkwy_10911_Hampton Greens_Dallas_13516</v>
      </c>
      <c r="L3678" s="104" t="s">
        <v>22253</v>
      </c>
      <c r="M3678" s="103" t="str">
        <f t="shared" si="288"/>
        <v>http://oconnordata.com/mlink/modules/profile/index.cfm?action=profile&amp;prop_id=13516</v>
      </c>
      <c r="N3678" s="1">
        <f t="shared" si="289"/>
        <v>13516</v>
      </c>
    </row>
    <row r="3679" spans="1:14" x14ac:dyDescent="0.3">
      <c r="A3679" s="1">
        <v>13518</v>
      </c>
      <c r="B3679" s="7" t="s">
        <v>5391</v>
      </c>
      <c r="C3679" s="12">
        <v>6050</v>
      </c>
      <c r="D3679" s="7" t="s">
        <v>5627</v>
      </c>
      <c r="E3679" s="13" t="s">
        <v>4996</v>
      </c>
      <c r="F3679" t="str">
        <f t="shared" si="285"/>
        <v>Ridgecrest</v>
      </c>
      <c r="G3679" t="str">
        <f t="shared" si="286"/>
        <v>Ridgecrest6050Dallas</v>
      </c>
      <c r="H3679" t="s">
        <v>34537</v>
      </c>
      <c r="I3679" t="s">
        <v>25961</v>
      </c>
      <c r="J3679" t="str">
        <f t="shared" si="287"/>
        <v>E:\PropInv\MF</v>
      </c>
      <c r="K3679" s="103" t="str">
        <f>HYPERLINK("E:\PropInv\MF\Dallas\Ridgecrest_6050_Harvard Square_Dallas_13518","Ridgecrest_6050_Harvard Square_Dallas_13518" )</f>
        <v>Ridgecrest_6050_Harvard Square_Dallas_13518</v>
      </c>
      <c r="L3679" s="104" t="s">
        <v>22253</v>
      </c>
      <c r="M3679" s="103" t="str">
        <f t="shared" si="288"/>
        <v>http://oconnordata.com/mlink/modules/profile/index.cfm?action=profile&amp;prop_id=13518</v>
      </c>
      <c r="N3679" s="1">
        <f t="shared" si="289"/>
        <v>13518</v>
      </c>
    </row>
    <row r="3680" spans="1:14" x14ac:dyDescent="0.3">
      <c r="A3680" s="1">
        <v>13519</v>
      </c>
      <c r="B3680" s="7" t="s">
        <v>3805</v>
      </c>
      <c r="C3680" s="12">
        <v>4121</v>
      </c>
      <c r="D3680" s="7" t="s">
        <v>5628</v>
      </c>
      <c r="E3680" s="13" t="s">
        <v>4996</v>
      </c>
      <c r="F3680" t="str">
        <f t="shared" si="285"/>
        <v>Harvest</v>
      </c>
      <c r="G3680" t="str">
        <f t="shared" si="286"/>
        <v>Harvest4121Dallas</v>
      </c>
      <c r="H3680" t="s">
        <v>34538</v>
      </c>
      <c r="I3680" t="s">
        <v>25962</v>
      </c>
      <c r="J3680" t="str">
        <f t="shared" si="287"/>
        <v>E:\PropInv\MF</v>
      </c>
      <c r="K3680" s="103" t="str">
        <f>HYPERLINK("E:\PropInv\MF\Dallas\Harvest Hill_4121_Spanish Point_Dallas_13519","Harvest Hill_4121_Spanish Point_Dallas_13519" )</f>
        <v>Harvest Hill_4121_Spanish Point_Dallas_13519</v>
      </c>
      <c r="L3680" s="104" t="s">
        <v>22253</v>
      </c>
      <c r="M3680" s="103" t="str">
        <f t="shared" si="288"/>
        <v>http://oconnordata.com/mlink/modules/profile/index.cfm?action=profile&amp;prop_id=13519</v>
      </c>
      <c r="N3680" s="1">
        <f t="shared" si="289"/>
        <v>13519</v>
      </c>
    </row>
    <row r="3681" spans="1:14" x14ac:dyDescent="0.3">
      <c r="A3681" s="1">
        <v>13520</v>
      </c>
      <c r="B3681" s="7" t="s">
        <v>5629</v>
      </c>
      <c r="C3681" s="12">
        <v>5401</v>
      </c>
      <c r="D3681" s="7" t="s">
        <v>5630</v>
      </c>
      <c r="E3681" s="13" t="s">
        <v>5009</v>
      </c>
      <c r="F3681" t="str">
        <f t="shared" si="285"/>
        <v>Independence</v>
      </c>
      <c r="G3681" t="str">
        <f t="shared" si="286"/>
        <v>Independence5401Plano</v>
      </c>
      <c r="H3681" t="s">
        <v>34539</v>
      </c>
      <c r="I3681" t="s">
        <v>25963</v>
      </c>
      <c r="J3681" t="str">
        <f t="shared" si="287"/>
        <v>E:\PropInv\MF</v>
      </c>
      <c r="K3681" s="103" t="str">
        <f>HYPERLINK("E:\PropInv\MF\Plano\Independence Pkwy_5401_The Place at Harvestree_Plano_13520","Independence Pkwy_5401_The Place at Harvestree_Plano_13520" )</f>
        <v>Independence Pkwy_5401_The Place at Harvestree_Plano_13520</v>
      </c>
      <c r="L3681" s="104" t="s">
        <v>22253</v>
      </c>
      <c r="M3681" s="103" t="str">
        <f t="shared" si="288"/>
        <v>http://oconnordata.com/mlink/modules/profile/index.cfm?action=profile&amp;prop_id=13520</v>
      </c>
      <c r="N3681" s="1">
        <f t="shared" si="289"/>
        <v>13520</v>
      </c>
    </row>
    <row r="3682" spans="1:14" x14ac:dyDescent="0.3">
      <c r="A3682" s="1">
        <v>13521</v>
      </c>
      <c r="B3682" s="7" t="s">
        <v>5631</v>
      </c>
      <c r="C3682" s="12">
        <v>3301</v>
      </c>
      <c r="D3682" s="7" t="s">
        <v>5632</v>
      </c>
      <c r="E3682" s="13" t="s">
        <v>4996</v>
      </c>
      <c r="F3682" t="str">
        <f t="shared" si="285"/>
        <v>Hudnall</v>
      </c>
      <c r="G3682" t="str">
        <f t="shared" si="286"/>
        <v>Hudnall3301Dallas</v>
      </c>
      <c r="H3682" t="s">
        <v>34540</v>
      </c>
      <c r="I3682" t="s">
        <v>25964</v>
      </c>
      <c r="J3682" t="str">
        <f t="shared" si="287"/>
        <v>E:\PropInv\MF</v>
      </c>
      <c r="K3682" s="103" t="str">
        <f>HYPERLINK("E:\PropInv\MF\Dallas\Hudnall_3301_Harvey's Racquet Club_Dallas_13521","Hudnall_3301_Harvey's Racquet Club_Dallas_13521" )</f>
        <v>Hudnall_3301_Harvey's Racquet Club_Dallas_13521</v>
      </c>
      <c r="L3682" s="104" t="s">
        <v>22253</v>
      </c>
      <c r="M3682" s="103" t="str">
        <f t="shared" si="288"/>
        <v>http://oconnordata.com/mlink/modules/profile/index.cfm?action=profile&amp;prop_id=13521</v>
      </c>
      <c r="N3682" s="1">
        <f t="shared" si="289"/>
        <v>13521</v>
      </c>
    </row>
    <row r="3683" spans="1:14" x14ac:dyDescent="0.3">
      <c r="A3683" s="1">
        <v>13522</v>
      </c>
      <c r="B3683" s="10" t="s">
        <v>5633</v>
      </c>
      <c r="C3683" s="9">
        <v>4701</v>
      </c>
      <c r="D3683" s="10" t="s">
        <v>5634</v>
      </c>
      <c r="E3683" s="11" t="s">
        <v>4996</v>
      </c>
      <c r="F3683" t="str">
        <f t="shared" si="285"/>
        <v>Haverwood</v>
      </c>
      <c r="G3683" t="str">
        <f t="shared" si="286"/>
        <v>Haverwood4701Dallas</v>
      </c>
      <c r="H3683" t="s">
        <v>34541</v>
      </c>
      <c r="I3683" t="s">
        <v>25965</v>
      </c>
      <c r="J3683" t="str">
        <f t="shared" si="287"/>
        <v>E:\PropInv\MF</v>
      </c>
      <c r="K3683" s="103" t="str">
        <f>HYPERLINK("E:\PropInv\MF\Dallas\Haverwood Ln_4701_Haverly Park I_Dallas_13522","Haverwood Ln_4701_Haverly Park I_Dallas_13522" )</f>
        <v>Haverwood Ln_4701_Haverly Park I_Dallas_13522</v>
      </c>
      <c r="L3683" s="104" t="s">
        <v>22253</v>
      </c>
      <c r="M3683" s="103" t="str">
        <f t="shared" si="288"/>
        <v>http://oconnordata.com/mlink/modules/profile/index.cfm?action=profile&amp;prop_id=13522</v>
      </c>
      <c r="N3683" s="1">
        <f t="shared" si="289"/>
        <v>13522</v>
      </c>
    </row>
    <row r="3684" spans="1:14" x14ac:dyDescent="0.3">
      <c r="A3684" s="1">
        <v>13523</v>
      </c>
      <c r="B3684" s="10" t="s">
        <v>5284</v>
      </c>
      <c r="C3684" s="9">
        <v>4804</v>
      </c>
      <c r="D3684" s="10" t="s">
        <v>5635</v>
      </c>
      <c r="E3684" s="11" t="s">
        <v>4996</v>
      </c>
      <c r="F3684" t="str">
        <f t="shared" si="285"/>
        <v>Haverwood</v>
      </c>
      <c r="G3684" t="str">
        <f t="shared" si="286"/>
        <v>Haverwood4804Dallas</v>
      </c>
      <c r="H3684" t="s">
        <v>34542</v>
      </c>
      <c r="I3684" t="s">
        <v>25966</v>
      </c>
      <c r="J3684" t="str">
        <f t="shared" si="287"/>
        <v>E:\PropInv\MF</v>
      </c>
      <c r="K3684" s="103" t="str">
        <f>HYPERLINK("E:\PropInv\MF\Dallas\Haverwood_4804_Haverly Park II_Dallas_13523","Haverwood_4804_Haverly Park II_Dallas_13523" )</f>
        <v>Haverwood_4804_Haverly Park II_Dallas_13523</v>
      </c>
      <c r="L3684" s="104" t="s">
        <v>22253</v>
      </c>
      <c r="M3684" s="103" t="str">
        <f t="shared" si="288"/>
        <v>http://oconnordata.com/mlink/modules/profile/index.cfm?action=profile&amp;prop_id=13523</v>
      </c>
      <c r="N3684" s="1">
        <f t="shared" si="289"/>
        <v>13523</v>
      </c>
    </row>
    <row r="3685" spans="1:14" x14ac:dyDescent="0.3">
      <c r="A3685" s="1">
        <v>13525</v>
      </c>
      <c r="B3685" s="10" t="s">
        <v>5636</v>
      </c>
      <c r="C3685" s="9">
        <v>100</v>
      </c>
      <c r="D3685" s="10" t="s">
        <v>5637</v>
      </c>
      <c r="E3685" s="11" t="s">
        <v>5638</v>
      </c>
      <c r="F3685" t="str">
        <f t="shared" si="285"/>
        <v>Heather</v>
      </c>
      <c r="G3685" t="str">
        <f t="shared" si="286"/>
        <v>Heather100Terrell</v>
      </c>
      <c r="H3685" t="s">
        <v>34543</v>
      </c>
      <c r="I3685" t="s">
        <v>25967</v>
      </c>
      <c r="J3685" t="str">
        <f t="shared" si="287"/>
        <v>E:\PropInv\MF</v>
      </c>
      <c r="K3685" s="103" t="str">
        <f>HYPERLINK("E:\PropInv\MF\Terrell\Heather Ln_100_Heather Lane TH_Terrell_13525","Heather Ln_100_Heather Lane TH_Terrell_13525" )</f>
        <v>Heather Ln_100_Heather Lane TH_Terrell_13525</v>
      </c>
      <c r="L3685" s="104" t="s">
        <v>22253</v>
      </c>
      <c r="M3685" s="103" t="str">
        <f t="shared" si="288"/>
        <v>http://oconnordata.com/mlink/modules/profile/index.cfm?action=profile&amp;prop_id=13525</v>
      </c>
      <c r="N3685" s="1">
        <f t="shared" si="289"/>
        <v>13525</v>
      </c>
    </row>
    <row r="3686" spans="1:14" x14ac:dyDescent="0.3">
      <c r="A3686" s="1">
        <v>13526</v>
      </c>
      <c r="B3686" s="10" t="s">
        <v>5639</v>
      </c>
      <c r="C3686" s="9">
        <v>4030</v>
      </c>
      <c r="D3686" s="10" t="s">
        <v>5640</v>
      </c>
      <c r="E3686" s="11" t="s">
        <v>5046</v>
      </c>
      <c r="F3686" t="str">
        <f t="shared" si="285"/>
        <v>Esters</v>
      </c>
      <c r="G3686" t="str">
        <f t="shared" si="286"/>
        <v>Esters4030Irving</v>
      </c>
      <c r="H3686" t="s">
        <v>34544</v>
      </c>
      <c r="I3686" t="s">
        <v>25968</v>
      </c>
      <c r="J3686" t="str">
        <f t="shared" si="287"/>
        <v>E:\PropInv\MF</v>
      </c>
      <c r="K3686" s="103" t="str">
        <f>HYPERLINK("E:\PropInv\MF\Irving\Esters_4030_Heather Ridge_Irving_13526","Esters_4030_Heather Ridge_Irving_13526" )</f>
        <v>Esters_4030_Heather Ridge_Irving_13526</v>
      </c>
      <c r="L3686" s="104" t="s">
        <v>22253</v>
      </c>
      <c r="M3686" s="103" t="str">
        <f t="shared" si="288"/>
        <v>http://oconnordata.com/mlink/modules/profile/index.cfm?action=profile&amp;prop_id=13526</v>
      </c>
      <c r="N3686" s="1">
        <f t="shared" si="289"/>
        <v>13526</v>
      </c>
    </row>
    <row r="3687" spans="1:14" x14ac:dyDescent="0.3">
      <c r="A3687" s="1">
        <v>13527</v>
      </c>
      <c r="B3687" s="7" t="s">
        <v>5037</v>
      </c>
      <c r="C3687" s="12">
        <v>18950</v>
      </c>
      <c r="D3687" s="7" t="s">
        <v>5641</v>
      </c>
      <c r="E3687" s="13" t="s">
        <v>4996</v>
      </c>
      <c r="F3687" t="str">
        <f t="shared" si="285"/>
        <v>Marsh</v>
      </c>
      <c r="G3687" t="str">
        <f t="shared" si="286"/>
        <v>Marsh18950Dallas</v>
      </c>
      <c r="H3687" t="s">
        <v>34545</v>
      </c>
      <c r="I3687" t="s">
        <v>25969</v>
      </c>
      <c r="J3687" t="str">
        <f t="shared" si="287"/>
        <v>E:\PropInv\MF</v>
      </c>
      <c r="K3687" s="103" t="str">
        <f>HYPERLINK("E:\PropInv\MF\Dallas\Marsh Ln_18950_Heatherstone_Dallas_13527","Marsh Ln_18950_Heatherstone_Dallas_13527" )</f>
        <v>Marsh Ln_18950_Heatherstone_Dallas_13527</v>
      </c>
      <c r="L3687" s="104" t="s">
        <v>22253</v>
      </c>
      <c r="M3687" s="103" t="str">
        <f t="shared" si="288"/>
        <v>http://oconnordata.com/mlink/modules/profile/index.cfm?action=profile&amp;prop_id=13527</v>
      </c>
      <c r="N3687" s="1">
        <f t="shared" si="289"/>
        <v>13527</v>
      </c>
    </row>
    <row r="3688" spans="1:14" x14ac:dyDescent="0.3">
      <c r="A3688" s="1">
        <v>13528</v>
      </c>
      <c r="B3688" s="7" t="s">
        <v>5642</v>
      </c>
      <c r="C3688" s="12">
        <v>9755</v>
      </c>
      <c r="D3688" s="7" t="s">
        <v>3547</v>
      </c>
      <c r="E3688" s="13" t="s">
        <v>4996</v>
      </c>
      <c r="F3688" t="str">
        <f t="shared" si="285"/>
        <v>Sceyene</v>
      </c>
      <c r="G3688" t="str">
        <f t="shared" si="286"/>
        <v>Sceyene9755Dallas</v>
      </c>
      <c r="H3688" t="s">
        <v>34546</v>
      </c>
      <c r="I3688" t="s">
        <v>25970</v>
      </c>
      <c r="J3688" t="str">
        <f t="shared" si="287"/>
        <v>E:\PropInv\MF</v>
      </c>
      <c r="K3688" s="103" t="str">
        <f>HYPERLINK("E:\PropInv\MF\Dallas\Sceyene_9755_Heatherwood_Dallas_13528","Sceyene_9755_Heatherwood_Dallas_13528" )</f>
        <v>Sceyene_9755_Heatherwood_Dallas_13528</v>
      </c>
      <c r="L3688" s="104" t="s">
        <v>22253</v>
      </c>
      <c r="M3688" s="103" t="str">
        <f t="shared" si="288"/>
        <v>http://oconnordata.com/mlink/modules/profile/index.cfm?action=profile&amp;prop_id=13528</v>
      </c>
      <c r="N3688" s="1">
        <f t="shared" si="289"/>
        <v>13528</v>
      </c>
    </row>
    <row r="3689" spans="1:14" x14ac:dyDescent="0.3">
      <c r="A3689" s="1">
        <v>13529</v>
      </c>
      <c r="B3689" s="7" t="s">
        <v>5413</v>
      </c>
      <c r="C3689" s="12">
        <v>1930</v>
      </c>
      <c r="D3689" s="7" t="s">
        <v>5643</v>
      </c>
      <c r="E3689" s="13" t="s">
        <v>5060</v>
      </c>
      <c r="F3689" t="str">
        <f t="shared" si="285"/>
        <v>Hebron</v>
      </c>
      <c r="G3689" t="str">
        <f t="shared" si="286"/>
        <v>Hebron1930Carrollton</v>
      </c>
      <c r="H3689" t="s">
        <v>34547</v>
      </c>
      <c r="I3689" t="s">
        <v>25971</v>
      </c>
      <c r="J3689" t="str">
        <f t="shared" si="287"/>
        <v>E:\PropInv\MF</v>
      </c>
      <c r="K3689" s="103" t="str">
        <f>HYPERLINK("E:\PropInv\MF\Carrollton\Hebron Pkwy_1930_Hebron Oaks_Carrollton_13529","Hebron Pkwy_1930_Hebron Oaks_Carrollton_13529" )</f>
        <v>Hebron Pkwy_1930_Hebron Oaks_Carrollton_13529</v>
      </c>
      <c r="L3689" s="104" t="s">
        <v>22253</v>
      </c>
      <c r="M3689" s="103" t="str">
        <f t="shared" si="288"/>
        <v>http://oconnordata.com/mlink/modules/profile/index.cfm?action=profile&amp;prop_id=13529</v>
      </c>
      <c r="N3689" s="1">
        <f t="shared" si="289"/>
        <v>13529</v>
      </c>
    </row>
    <row r="3690" spans="1:14" x14ac:dyDescent="0.3">
      <c r="A3690" s="1">
        <v>13530</v>
      </c>
      <c r="B3690" s="7" t="s">
        <v>5644</v>
      </c>
      <c r="C3690" s="12">
        <v>1109</v>
      </c>
      <c r="D3690" s="7" t="s">
        <v>5645</v>
      </c>
      <c r="E3690" s="13" t="s">
        <v>5060</v>
      </c>
      <c r="F3690" t="str">
        <f t="shared" si="285"/>
        <v>Hebron</v>
      </c>
      <c r="G3690" t="str">
        <f t="shared" si="286"/>
        <v>Hebron1109Carrollton</v>
      </c>
      <c r="H3690" t="s">
        <v>34548</v>
      </c>
      <c r="I3690" t="s">
        <v>25972</v>
      </c>
      <c r="J3690" t="str">
        <f t="shared" si="287"/>
        <v>E:\PropInv\MF</v>
      </c>
      <c r="K3690" s="103" t="str">
        <f>HYPERLINK("E:\PropInv\MF\Carrollton\Hebron Pkwy E_1109_Hebron Trail_Carrollton_13530","Hebron Pkwy E_1109_Hebron Trail_Carrollton_13530" )</f>
        <v>Hebron Pkwy E_1109_Hebron Trail_Carrollton_13530</v>
      </c>
      <c r="L3690" s="104" t="s">
        <v>22253</v>
      </c>
      <c r="M3690" s="103" t="str">
        <f t="shared" si="288"/>
        <v>http://oconnordata.com/mlink/modules/profile/index.cfm?action=profile&amp;prop_id=13530</v>
      </c>
      <c r="N3690" s="1">
        <f t="shared" si="289"/>
        <v>13530</v>
      </c>
    </row>
    <row r="3691" spans="1:14" x14ac:dyDescent="0.3">
      <c r="A3691" s="1">
        <v>13532</v>
      </c>
      <c r="B3691" s="7" t="s">
        <v>5646</v>
      </c>
      <c r="C3691" s="12">
        <v>3015</v>
      </c>
      <c r="D3691" s="7" t="s">
        <v>5647</v>
      </c>
      <c r="E3691" s="13" t="s">
        <v>4996</v>
      </c>
      <c r="F3691" t="str">
        <f t="shared" si="285"/>
        <v>State</v>
      </c>
      <c r="G3691" t="str">
        <f t="shared" si="286"/>
        <v>State3015Dallas</v>
      </c>
      <c r="H3691" t="s">
        <v>34549</v>
      </c>
      <c r="I3691" t="s">
        <v>25973</v>
      </c>
      <c r="J3691" t="str">
        <f t="shared" si="287"/>
        <v>E:\PropInv\MF</v>
      </c>
      <c r="K3691" s="103" t="str">
        <f>HYPERLINK("E:\PropInv\MF\Dallas\State St #111_3015_Post Heights_Dallas_13532","State St #111_3015_Post Heights_Dallas_13532" )</f>
        <v>State St #111_3015_Post Heights_Dallas_13532</v>
      </c>
      <c r="L3691" s="104" t="s">
        <v>22253</v>
      </c>
      <c r="M3691" s="103" t="str">
        <f t="shared" si="288"/>
        <v>http://oconnordata.com/mlink/modules/profile/index.cfm?action=profile&amp;prop_id=13532</v>
      </c>
      <c r="N3691" s="1">
        <f t="shared" si="289"/>
        <v>13532</v>
      </c>
    </row>
    <row r="3692" spans="1:14" x14ac:dyDescent="0.3">
      <c r="A3692" s="1">
        <v>13535</v>
      </c>
      <c r="B3692" s="7" t="s">
        <v>5648</v>
      </c>
      <c r="C3692" s="12">
        <v>1600</v>
      </c>
      <c r="D3692" s="7" t="s">
        <v>5649</v>
      </c>
      <c r="E3692" s="13" t="s">
        <v>5043</v>
      </c>
      <c r="F3692" t="str">
        <f t="shared" si="285"/>
        <v>Heritage</v>
      </c>
      <c r="G3692" t="str">
        <f t="shared" si="286"/>
        <v>Heritage1600McKinney</v>
      </c>
      <c r="H3692" t="s">
        <v>34550</v>
      </c>
      <c r="I3692" t="s">
        <v>25974</v>
      </c>
      <c r="J3692" t="str">
        <f t="shared" si="287"/>
        <v>E:\PropInv\MF</v>
      </c>
      <c r="K3692" s="103" t="str">
        <f>HYPERLINK("E:\PropInv\MF\McKinney\Heritage Dr_1600_Heritage Place_McKinney_13535","Heritage Dr_1600_Heritage Place_McKinney_13535" )</f>
        <v>Heritage Dr_1600_Heritage Place_McKinney_13535</v>
      </c>
      <c r="L3692" s="104" t="s">
        <v>22253</v>
      </c>
      <c r="M3692" s="103" t="str">
        <f t="shared" si="288"/>
        <v>http://oconnordata.com/mlink/modules/profile/index.cfm?action=profile&amp;prop_id=13535</v>
      </c>
      <c r="N3692" s="1">
        <f t="shared" si="289"/>
        <v>13535</v>
      </c>
    </row>
    <row r="3693" spans="1:14" x14ac:dyDescent="0.3">
      <c r="A3693" s="1">
        <v>13536</v>
      </c>
      <c r="B3693" s="10" t="s">
        <v>5015</v>
      </c>
      <c r="C3693" s="9">
        <v>5636</v>
      </c>
      <c r="D3693" s="10" t="s">
        <v>5650</v>
      </c>
      <c r="E3693" s="11" t="s">
        <v>4996</v>
      </c>
      <c r="F3693" t="str">
        <f t="shared" si="285"/>
        <v>Spring</v>
      </c>
      <c r="G3693" t="str">
        <f t="shared" si="286"/>
        <v>Spring5636Dallas</v>
      </c>
      <c r="H3693" t="s">
        <v>34551</v>
      </c>
      <c r="I3693" t="s">
        <v>25975</v>
      </c>
      <c r="J3693" t="str">
        <f t="shared" si="287"/>
        <v>E:\PropInv\MF</v>
      </c>
      <c r="K3693" s="103" t="str">
        <f>HYPERLINK("E:\PropInv\MF\Dallas\Spring Valley_5636_Hidden Bend_Dallas_13536","Spring Valley_5636_Hidden Bend_Dallas_13536" )</f>
        <v>Spring Valley_5636_Hidden Bend_Dallas_13536</v>
      </c>
      <c r="L3693" s="104" t="s">
        <v>22253</v>
      </c>
      <c r="M3693" s="103" t="str">
        <f t="shared" si="288"/>
        <v>http://oconnordata.com/mlink/modules/profile/index.cfm?action=profile&amp;prop_id=13536</v>
      </c>
      <c r="N3693" s="1">
        <f t="shared" si="289"/>
        <v>13536</v>
      </c>
    </row>
    <row r="3694" spans="1:14" x14ac:dyDescent="0.3">
      <c r="A3694" s="1">
        <v>13537</v>
      </c>
      <c r="B3694" s="10" t="s">
        <v>5651</v>
      </c>
      <c r="C3694" s="9">
        <v>1200</v>
      </c>
      <c r="D3694" s="10" t="s">
        <v>5652</v>
      </c>
      <c r="E3694" s="11" t="s">
        <v>5055</v>
      </c>
      <c r="F3694" t="str">
        <f t="shared" si="285"/>
        <v>College</v>
      </c>
      <c r="G3694" t="str">
        <f t="shared" si="286"/>
        <v>College1200Lewisville</v>
      </c>
      <c r="H3694" t="s">
        <v>34552</v>
      </c>
      <c r="I3694" t="s">
        <v>25976</v>
      </c>
      <c r="J3694" t="str">
        <f t="shared" si="287"/>
        <v>E:\PropInv\MF</v>
      </c>
      <c r="K3694" s="103" t="str">
        <f>HYPERLINK("E:\PropInv\MF\Lewisville\College Pkwy_1200_Hidden Creek_Lewisville_13537","College Pkwy_1200_Hidden Creek_Lewisville_13537" )</f>
        <v>College Pkwy_1200_Hidden Creek_Lewisville_13537</v>
      </c>
      <c r="L3694" s="104" t="s">
        <v>22253</v>
      </c>
      <c r="M3694" s="103" t="str">
        <f t="shared" si="288"/>
        <v>http://oconnordata.com/mlink/modules/profile/index.cfm?action=profile&amp;prop_id=13537</v>
      </c>
      <c r="N3694" s="1">
        <f t="shared" si="289"/>
        <v>13537</v>
      </c>
    </row>
    <row r="3695" spans="1:14" x14ac:dyDescent="0.3">
      <c r="A3695" s="1">
        <v>13538</v>
      </c>
      <c r="B3695" s="7" t="s">
        <v>5653</v>
      </c>
      <c r="C3695" s="12">
        <v>9702</v>
      </c>
      <c r="D3695" s="7" t="s">
        <v>5654</v>
      </c>
      <c r="E3695" s="13" t="s">
        <v>4996</v>
      </c>
      <c r="F3695" t="str">
        <f t="shared" si="285"/>
        <v>Ferris</v>
      </c>
      <c r="G3695" t="str">
        <f t="shared" si="286"/>
        <v>Ferris9702Dallas</v>
      </c>
      <c r="H3695" t="s">
        <v>34553</v>
      </c>
      <c r="I3695" t="s">
        <v>25977</v>
      </c>
      <c r="J3695" t="str">
        <f t="shared" si="287"/>
        <v>E:\PropInv\MF</v>
      </c>
      <c r="K3695" s="103" t="str">
        <f>HYPERLINK("E:\PropInv\MF\Dallas\Ferris Branch Blvd W_9702_Hidden Ridge_Dallas_13538","Ferris Branch Blvd W_9702_Hidden Ridge_Dallas_13538" )</f>
        <v>Ferris Branch Blvd W_9702_Hidden Ridge_Dallas_13538</v>
      </c>
      <c r="L3695" s="104" t="s">
        <v>22253</v>
      </c>
      <c r="M3695" s="103" t="str">
        <f t="shared" si="288"/>
        <v>http://oconnordata.com/mlink/modules/profile/index.cfm?action=profile&amp;prop_id=13538</v>
      </c>
      <c r="N3695" s="1">
        <f t="shared" si="289"/>
        <v>13538</v>
      </c>
    </row>
    <row r="3696" spans="1:14" x14ac:dyDescent="0.3">
      <c r="A3696" s="1">
        <v>13539</v>
      </c>
      <c r="B3696" s="7" t="s">
        <v>5654</v>
      </c>
      <c r="C3696" s="12">
        <v>1290</v>
      </c>
      <c r="D3696" s="7" t="s">
        <v>5654</v>
      </c>
      <c r="E3696" s="13" t="s">
        <v>5046</v>
      </c>
      <c r="F3696" t="str">
        <f t="shared" si="285"/>
        <v>Hidden</v>
      </c>
      <c r="G3696" t="str">
        <f t="shared" si="286"/>
        <v>Hidden1290Irving</v>
      </c>
      <c r="H3696" t="s">
        <v>34554</v>
      </c>
      <c r="I3696" t="s">
        <v>25978</v>
      </c>
      <c r="J3696" t="str">
        <f t="shared" si="287"/>
        <v>E:\PropInv\MF</v>
      </c>
      <c r="K3696" s="103" t="str">
        <f>HYPERLINK("E:\PropInv\MF\Irving\Hidden Ridge_1290_Hidden Ridge_Irving_13539","Hidden Ridge_1290_Hidden Ridge_Irving_13539" )</f>
        <v>Hidden Ridge_1290_Hidden Ridge_Irving_13539</v>
      </c>
      <c r="L3696" s="104" t="s">
        <v>22253</v>
      </c>
      <c r="M3696" s="103" t="str">
        <f t="shared" si="288"/>
        <v>http://oconnordata.com/mlink/modules/profile/index.cfm?action=profile&amp;prop_id=13539</v>
      </c>
      <c r="N3696" s="1">
        <f t="shared" si="289"/>
        <v>13539</v>
      </c>
    </row>
    <row r="3697" spans="1:14" x14ac:dyDescent="0.3">
      <c r="A3697" s="1">
        <v>13540</v>
      </c>
      <c r="B3697" s="7" t="s">
        <v>5655</v>
      </c>
      <c r="C3697" s="12">
        <v>1901</v>
      </c>
      <c r="D3697" s="7" t="s">
        <v>562</v>
      </c>
      <c r="E3697" s="13" t="s">
        <v>5046</v>
      </c>
      <c r="F3697" t="str">
        <f t="shared" si="285"/>
        <v>5th</v>
      </c>
      <c r="G3697" t="str">
        <f t="shared" si="286"/>
        <v>5th1901Irving</v>
      </c>
      <c r="H3697" t="s">
        <v>34555</v>
      </c>
      <c r="I3697" t="s">
        <v>25979</v>
      </c>
      <c r="J3697" t="str">
        <f t="shared" si="287"/>
        <v>E:\PropInv\MF</v>
      </c>
      <c r="K3697" s="103" t="str">
        <f>HYPERLINK("E:\PropInv\MF\Irving\5th St W_1901_Hidden Village_Irving_13540","5th St W_1901_Hidden Village_Irving_13540" )</f>
        <v>5th St W_1901_Hidden Village_Irving_13540</v>
      </c>
      <c r="L3697" s="104" t="s">
        <v>22253</v>
      </c>
      <c r="M3697" s="103" t="str">
        <f t="shared" si="288"/>
        <v>http://oconnordata.com/mlink/modules/profile/index.cfm?action=profile&amp;prop_id=13540</v>
      </c>
      <c r="N3697" s="1">
        <f t="shared" si="289"/>
        <v>13540</v>
      </c>
    </row>
    <row r="3698" spans="1:14" x14ac:dyDescent="0.3">
      <c r="A3698" s="1">
        <v>13543</v>
      </c>
      <c r="B3698" s="7" t="s">
        <v>5656</v>
      </c>
      <c r="C3698" s="12">
        <v>8111</v>
      </c>
      <c r="D3698" s="7" t="s">
        <v>5657</v>
      </c>
      <c r="E3698" s="13" t="s">
        <v>4996</v>
      </c>
      <c r="F3698" t="str">
        <f t="shared" si="285"/>
        <v>Manderville</v>
      </c>
      <c r="G3698" t="str">
        <f t="shared" si="286"/>
        <v>Manderville8111Dallas</v>
      </c>
      <c r="H3698" t="s">
        <v>34556</v>
      </c>
      <c r="I3698" t="s">
        <v>25980</v>
      </c>
      <c r="J3698" t="str">
        <f t="shared" si="287"/>
        <v>E:\PropInv\MF</v>
      </c>
      <c r="K3698" s="103" t="str">
        <f>HYPERLINK("E:\PropInv\MF\Dallas\Manderville Ln_8111_High Ridge_Dallas_13543","Manderville Ln_8111_High Ridge_Dallas_13543" )</f>
        <v>Manderville Ln_8111_High Ridge_Dallas_13543</v>
      </c>
      <c r="L3698" s="104" t="s">
        <v>22253</v>
      </c>
      <c r="M3698" s="103" t="str">
        <f t="shared" si="288"/>
        <v>http://oconnordata.com/mlink/modules/profile/index.cfm?action=profile&amp;prop_id=13543</v>
      </c>
      <c r="N3698" s="1">
        <f t="shared" si="289"/>
        <v>13543</v>
      </c>
    </row>
    <row r="3699" spans="1:14" x14ac:dyDescent="0.3">
      <c r="A3699" s="1">
        <v>13544</v>
      </c>
      <c r="B3699" s="7" t="s">
        <v>5300</v>
      </c>
      <c r="C3699" s="12">
        <v>9842</v>
      </c>
      <c r="D3699" s="7" t="s">
        <v>5658</v>
      </c>
      <c r="E3699" s="13" t="s">
        <v>4996</v>
      </c>
      <c r="F3699" t="str">
        <f t="shared" si="285"/>
        <v>Audelia</v>
      </c>
      <c r="G3699" t="str">
        <f t="shared" si="286"/>
        <v>Audelia9842Dallas</v>
      </c>
      <c r="H3699" t="s">
        <v>34557</v>
      </c>
      <c r="I3699" t="s">
        <v>25981</v>
      </c>
      <c r="J3699" t="str">
        <f t="shared" si="287"/>
        <v>E:\PropInv\MF</v>
      </c>
      <c r="K3699" s="103" t="str">
        <f>HYPERLINK("E:\PropInv\MF\Dallas\Audelia_9842_Advenir at North Park_Dallas_13544","Audelia_9842_Advenir at North Park_Dallas_13544" )</f>
        <v>Audelia_9842_Advenir at North Park_Dallas_13544</v>
      </c>
      <c r="L3699" s="104" t="s">
        <v>22253</v>
      </c>
      <c r="M3699" s="103" t="str">
        <f t="shared" si="288"/>
        <v>http://oconnordata.com/mlink/modules/profile/index.cfm?action=profile&amp;prop_id=13544</v>
      </c>
      <c r="N3699" s="1">
        <f t="shared" si="289"/>
        <v>13544</v>
      </c>
    </row>
    <row r="3700" spans="1:14" x14ac:dyDescent="0.3">
      <c r="A3700" s="1">
        <v>13546</v>
      </c>
      <c r="B3700" s="7" t="s">
        <v>5659</v>
      </c>
      <c r="C3700" s="12">
        <v>3706</v>
      </c>
      <c r="D3700" s="7" t="s">
        <v>5660</v>
      </c>
      <c r="E3700" s="13" t="s">
        <v>4996</v>
      </c>
      <c r="F3700" t="str">
        <f t="shared" si="285"/>
        <v>Wheeler</v>
      </c>
      <c r="G3700" t="str">
        <f t="shared" si="286"/>
        <v>Wheeler3706Dallas</v>
      </c>
      <c r="H3700" t="s">
        <v>34558</v>
      </c>
      <c r="I3700" t="s">
        <v>25982</v>
      </c>
      <c r="J3700" t="str">
        <f t="shared" si="287"/>
        <v>E:\PropInv\MF</v>
      </c>
      <c r="K3700" s="103" t="str">
        <f>HYPERLINK("E:\PropInv\MF\Dallas\Wheeler_3706_Highland Manor_Dallas_13546","Wheeler_3706_Highland Manor_Dallas_13546" )</f>
        <v>Wheeler_3706_Highland Manor_Dallas_13546</v>
      </c>
      <c r="L3700" s="104" t="s">
        <v>22253</v>
      </c>
      <c r="M3700" s="103" t="str">
        <f t="shared" si="288"/>
        <v>http://oconnordata.com/mlink/modules/profile/index.cfm?action=profile&amp;prop_id=13546</v>
      </c>
      <c r="N3700" s="1">
        <f t="shared" si="289"/>
        <v>13546</v>
      </c>
    </row>
    <row r="3701" spans="1:14" x14ac:dyDescent="0.3">
      <c r="A3701" s="1">
        <v>13547</v>
      </c>
      <c r="B3701" s="7" t="s">
        <v>5318</v>
      </c>
      <c r="C3701" s="12">
        <v>2600</v>
      </c>
      <c r="D3701" s="7" t="s">
        <v>5661</v>
      </c>
      <c r="E3701" s="13" t="s">
        <v>4996</v>
      </c>
      <c r="F3701" t="str">
        <f t="shared" si="285"/>
        <v>Highland</v>
      </c>
      <c r="G3701" t="str">
        <f t="shared" si="286"/>
        <v>Highland2600Dallas</v>
      </c>
      <c r="H3701" t="s">
        <v>34559</v>
      </c>
      <c r="I3701" t="s">
        <v>25983</v>
      </c>
      <c r="J3701" t="str">
        <f t="shared" si="287"/>
        <v>E:\PropInv\MF</v>
      </c>
      <c r="K3701" s="103" t="str">
        <f>HYPERLINK("E:\PropInv\MF\Dallas\Highland Rd_2600_Highland Meadows_Dallas_13547","Highland Rd_2600_Highland Meadows_Dallas_13547" )</f>
        <v>Highland Rd_2600_Highland Meadows_Dallas_13547</v>
      </c>
      <c r="L3701" s="104" t="s">
        <v>22253</v>
      </c>
      <c r="M3701" s="103" t="str">
        <f t="shared" si="288"/>
        <v>http://oconnordata.com/mlink/modules/profile/index.cfm?action=profile&amp;prop_id=13547</v>
      </c>
      <c r="N3701" s="1">
        <f t="shared" si="289"/>
        <v>13547</v>
      </c>
    </row>
    <row r="3702" spans="1:14" x14ac:dyDescent="0.3">
      <c r="A3702" s="1">
        <v>13548</v>
      </c>
      <c r="B3702" s="7" t="s">
        <v>3933</v>
      </c>
      <c r="C3702" s="12">
        <v>1019</v>
      </c>
      <c r="D3702" s="7" t="s">
        <v>5662</v>
      </c>
      <c r="E3702" s="13" t="s">
        <v>5228</v>
      </c>
      <c r="F3702" t="str">
        <f t="shared" si="285"/>
        <v>Main</v>
      </c>
      <c r="G3702" t="str">
        <f t="shared" si="286"/>
        <v>Main1019Duncanville</v>
      </c>
      <c r="H3702" t="s">
        <v>34560</v>
      </c>
      <c r="I3702" t="s">
        <v>25984</v>
      </c>
      <c r="J3702" t="str">
        <f t="shared" si="287"/>
        <v>E:\PropInv\MF</v>
      </c>
      <c r="K3702" s="103" t="str">
        <f>HYPERLINK("E:\PropInv\MF\Duncanville\Main St S_1019_Highland Oaks_Duncanville_13548","Main St S_1019_Highland Oaks_Duncanville_13548" )</f>
        <v>Main St S_1019_Highland Oaks_Duncanville_13548</v>
      </c>
      <c r="L3702" s="104" t="s">
        <v>22253</v>
      </c>
      <c r="M3702" s="103" t="str">
        <f t="shared" si="288"/>
        <v>http://oconnordata.com/mlink/modules/profile/index.cfm?action=profile&amp;prop_id=13548</v>
      </c>
      <c r="N3702" s="1">
        <f t="shared" si="289"/>
        <v>13548</v>
      </c>
    </row>
    <row r="3703" spans="1:14" x14ac:dyDescent="0.3">
      <c r="A3703" s="1">
        <v>13549</v>
      </c>
      <c r="B3703" s="7" t="s">
        <v>5663</v>
      </c>
      <c r="C3703" s="12">
        <v>11201</v>
      </c>
      <c r="D3703" s="7" t="s">
        <v>5664</v>
      </c>
      <c r="E3703" s="13" t="s">
        <v>4996</v>
      </c>
      <c r="F3703" t="str">
        <f t="shared" si="285"/>
        <v>Lake</v>
      </c>
      <c r="G3703" t="str">
        <f t="shared" si="286"/>
        <v>Lake11201Dallas</v>
      </c>
      <c r="H3703" t="s">
        <v>34561</v>
      </c>
      <c r="I3703" t="s">
        <v>25985</v>
      </c>
      <c r="J3703" t="str">
        <f t="shared" si="287"/>
        <v>E:\PropInv\MF</v>
      </c>
      <c r="K3703" s="103" t="str">
        <f>HYPERLINK("E:\PropInv\MF\Dallas\Lake Highlands Dr_11201_The Arbors_Dallas_13549","Lake Highlands Dr_11201_The Arbors_Dallas_13549" )</f>
        <v>Lake Highlands Dr_11201_The Arbors_Dallas_13549</v>
      </c>
      <c r="L3703" s="104" t="s">
        <v>22253</v>
      </c>
      <c r="M3703" s="103" t="str">
        <f t="shared" si="288"/>
        <v>http://oconnordata.com/mlink/modules/profile/index.cfm?action=profile&amp;prop_id=13549</v>
      </c>
      <c r="N3703" s="1">
        <f t="shared" si="289"/>
        <v>13549</v>
      </c>
    </row>
    <row r="3704" spans="1:14" x14ac:dyDescent="0.3">
      <c r="A3704" s="1">
        <v>13551</v>
      </c>
      <c r="B3704" s="7" t="s">
        <v>5665</v>
      </c>
      <c r="C3704" s="12">
        <v>715</v>
      </c>
      <c r="D3704" s="7" t="s">
        <v>5666</v>
      </c>
      <c r="E3704" s="13" t="s">
        <v>5228</v>
      </c>
      <c r="F3704" t="str">
        <f t="shared" si="285"/>
        <v>Hustead</v>
      </c>
      <c r="G3704" t="str">
        <f t="shared" si="286"/>
        <v>Hustead715Duncanville</v>
      </c>
      <c r="H3704" t="s">
        <v>34562</v>
      </c>
      <c r="I3704" t="s">
        <v>25986</v>
      </c>
      <c r="J3704" t="str">
        <f t="shared" si="287"/>
        <v>E:\PropInv\MF</v>
      </c>
      <c r="K3704" s="103" t="str">
        <f>HYPERLINK("E:\PropInv\MF\Duncanville\Hustead St_715_Highlands of Duncanville_Duncanville_13551","Hustead St_715_Highlands of Duncanville_Duncanville_13551" )</f>
        <v>Hustead St_715_Highlands of Duncanville_Duncanville_13551</v>
      </c>
      <c r="L3704" s="104" t="s">
        <v>22253</v>
      </c>
      <c r="M3704" s="103" t="str">
        <f t="shared" si="288"/>
        <v>http://oconnordata.com/mlink/modules/profile/index.cfm?action=profile&amp;prop_id=13551</v>
      </c>
      <c r="N3704" s="1">
        <f t="shared" si="289"/>
        <v>13551</v>
      </c>
    </row>
    <row r="3705" spans="1:14" x14ac:dyDescent="0.3">
      <c r="A3705" s="1">
        <v>13552</v>
      </c>
      <c r="B3705" s="7" t="s">
        <v>5667</v>
      </c>
      <c r="C3705" s="12">
        <v>3517</v>
      </c>
      <c r="D3705" s="7" t="s">
        <v>5668</v>
      </c>
      <c r="E3705" s="13" t="s">
        <v>5076</v>
      </c>
      <c r="F3705" t="str">
        <f t="shared" si="285"/>
        <v>8th</v>
      </c>
      <c r="G3705" t="str">
        <f t="shared" si="286"/>
        <v>8th3517Grand Prairie</v>
      </c>
      <c r="H3705" t="s">
        <v>34563</v>
      </c>
      <c r="I3705" t="s">
        <v>25987</v>
      </c>
      <c r="J3705" t="str">
        <f t="shared" si="287"/>
        <v>E:\PropInv\MF</v>
      </c>
      <c r="K3705" s="103" t="str">
        <f>HYPERLINK("E:\PropInv\MF\Grand Prairie\8th St SE_3517_Highlands of Grand Prairie_Grand Prairie_13552","8th St SE_3517_Highlands of Grand Prairie_Grand Prairie_13552" )</f>
        <v>8th St SE_3517_Highlands of Grand Prairie_Grand Prairie_13552</v>
      </c>
      <c r="L3705" s="104" t="s">
        <v>22253</v>
      </c>
      <c r="M3705" s="103" t="str">
        <f t="shared" si="288"/>
        <v>http://oconnordata.com/mlink/modules/profile/index.cfm?action=profile&amp;prop_id=13552</v>
      </c>
      <c r="N3705" s="1">
        <f t="shared" si="289"/>
        <v>13552</v>
      </c>
    </row>
    <row r="3706" spans="1:14" x14ac:dyDescent="0.3">
      <c r="A3706" s="1">
        <v>13553</v>
      </c>
      <c r="B3706" s="7" t="s">
        <v>5669</v>
      </c>
      <c r="C3706" s="12">
        <v>2523</v>
      </c>
      <c r="D3706" s="7" t="s">
        <v>5670</v>
      </c>
      <c r="E3706" s="13" t="s">
        <v>5009</v>
      </c>
      <c r="F3706" t="str">
        <f t="shared" si="285"/>
        <v>Ohio</v>
      </c>
      <c r="G3706" t="str">
        <f t="shared" si="286"/>
        <v>Ohio2523Plano</v>
      </c>
      <c r="H3706" t="s">
        <v>34564</v>
      </c>
      <c r="I3706" t="s">
        <v>25988</v>
      </c>
      <c r="J3706" t="str">
        <f t="shared" si="287"/>
        <v>E:\PropInv\MF</v>
      </c>
      <c r="K3706" s="103" t="str">
        <f>HYPERLINK("E:\PropInv\MF\Plano\Ohio_2523_Highlands of Preston I_Plano_13553","Ohio_2523_Highlands of Preston I_Plano_13553" )</f>
        <v>Ohio_2523_Highlands of Preston I_Plano_13553</v>
      </c>
      <c r="L3706" s="104" t="s">
        <v>22253</v>
      </c>
      <c r="M3706" s="103" t="str">
        <f t="shared" si="288"/>
        <v>http://oconnordata.com/mlink/modules/profile/index.cfm?action=profile&amp;prop_id=13553</v>
      </c>
      <c r="N3706" s="1">
        <f t="shared" si="289"/>
        <v>13553</v>
      </c>
    </row>
    <row r="3707" spans="1:14" x14ac:dyDescent="0.3">
      <c r="A3707" s="1">
        <v>13554</v>
      </c>
      <c r="B3707" s="7" t="s">
        <v>5671</v>
      </c>
      <c r="C3707" s="12">
        <v>9500</v>
      </c>
      <c r="D3707" s="7" t="s">
        <v>5672</v>
      </c>
      <c r="E3707" s="13" t="s">
        <v>5046</v>
      </c>
      <c r="F3707" t="str">
        <f t="shared" si="285"/>
        <v>Valley</v>
      </c>
      <c r="G3707" t="str">
        <f t="shared" si="286"/>
        <v>Valley9500Irving</v>
      </c>
      <c r="H3707" t="s">
        <v>34565</v>
      </c>
      <c r="I3707" t="s">
        <v>25989</v>
      </c>
      <c r="J3707" t="str">
        <f t="shared" si="287"/>
        <v>E:\PropInv\MF</v>
      </c>
      <c r="K3707" s="103" t="str">
        <f>HYPERLINK("E:\PropInv\MF\Irving\Valley Ranch Pkwy E_9500_Highlands of Valley Ranch_Irving_13554","Valley Ranch Pkwy E_9500_Highlands of Valley Ranch_Irving_13554" )</f>
        <v>Valley Ranch Pkwy E_9500_Highlands of Valley Ranch_Irving_13554</v>
      </c>
      <c r="L3707" s="104" t="s">
        <v>22253</v>
      </c>
      <c r="M3707" s="103" t="str">
        <f t="shared" si="288"/>
        <v>http://oconnordata.com/mlink/modules/profile/index.cfm?action=profile&amp;prop_id=13554</v>
      </c>
      <c r="N3707" s="1">
        <f t="shared" si="289"/>
        <v>13554</v>
      </c>
    </row>
    <row r="3708" spans="1:14" x14ac:dyDescent="0.3">
      <c r="A3708" s="1">
        <v>13555</v>
      </c>
      <c r="B3708" s="7" t="s">
        <v>5673</v>
      </c>
      <c r="C3708" s="12">
        <v>9050</v>
      </c>
      <c r="D3708" s="7" t="s">
        <v>5674</v>
      </c>
      <c r="E3708" s="13" t="s">
        <v>4996</v>
      </c>
      <c r="F3708" t="str">
        <f t="shared" si="285"/>
        <v>Markville</v>
      </c>
      <c r="G3708" t="str">
        <f t="shared" si="286"/>
        <v>Markville9050Dallas</v>
      </c>
      <c r="H3708" t="s">
        <v>34566</v>
      </c>
      <c r="I3708" t="s">
        <v>25990</v>
      </c>
      <c r="J3708" t="str">
        <f t="shared" si="287"/>
        <v>E:\PropInv\MF</v>
      </c>
      <c r="K3708" s="103" t="str">
        <f>HYPERLINK("E:\PropInv\MF\Dallas\Markville Dr_9050_The Falls at Highpoint_Dallas_13555","Markville Dr_9050_The Falls at Highpoint_Dallas_13555" )</f>
        <v>Markville Dr_9050_The Falls at Highpoint_Dallas_13555</v>
      </c>
      <c r="L3708" s="104" t="s">
        <v>22253</v>
      </c>
      <c r="M3708" s="103" t="str">
        <f t="shared" si="288"/>
        <v>http://oconnordata.com/mlink/modules/profile/index.cfm?action=profile&amp;prop_id=13555</v>
      </c>
      <c r="N3708" s="1">
        <f t="shared" si="289"/>
        <v>13555</v>
      </c>
    </row>
    <row r="3709" spans="1:14" x14ac:dyDescent="0.3">
      <c r="A3709" s="1">
        <v>13556</v>
      </c>
      <c r="B3709" s="7" t="s">
        <v>5669</v>
      </c>
      <c r="C3709" s="12">
        <v>2401</v>
      </c>
      <c r="D3709" s="7" t="s">
        <v>5675</v>
      </c>
      <c r="E3709" s="13" t="s">
        <v>5009</v>
      </c>
      <c r="F3709" t="str">
        <f t="shared" si="285"/>
        <v>Ohio</v>
      </c>
      <c r="G3709" t="str">
        <f t="shared" si="286"/>
        <v>Ohio2401Plano</v>
      </c>
      <c r="H3709" t="s">
        <v>34567</v>
      </c>
      <c r="I3709" t="s">
        <v>25991</v>
      </c>
      <c r="J3709" t="str">
        <f t="shared" si="287"/>
        <v>E:\PropInv\MF</v>
      </c>
      <c r="K3709" s="103" t="str">
        <f>HYPERLINK("E:\PropInv\MF\Plano\Ohio_2401_Highwood_Plano_13556","Ohio_2401_Highwood_Plano_13556" )</f>
        <v>Ohio_2401_Highwood_Plano_13556</v>
      </c>
      <c r="L3709" s="104" t="s">
        <v>22253</v>
      </c>
      <c r="M3709" s="103" t="str">
        <f t="shared" si="288"/>
        <v>http://oconnordata.com/mlink/modules/profile/index.cfm?action=profile&amp;prop_id=13556</v>
      </c>
      <c r="N3709" s="1">
        <f t="shared" si="289"/>
        <v>13556</v>
      </c>
    </row>
    <row r="3710" spans="1:14" x14ac:dyDescent="0.3">
      <c r="A3710" s="1">
        <v>13557</v>
      </c>
      <c r="B3710" s="7" t="s">
        <v>5676</v>
      </c>
      <c r="C3710" s="12">
        <v>5787</v>
      </c>
      <c r="D3710" s="7" t="s">
        <v>5677</v>
      </c>
      <c r="E3710" s="13" t="s">
        <v>4996</v>
      </c>
      <c r="F3710" t="str">
        <f t="shared" si="285"/>
        <v>Caruth</v>
      </c>
      <c r="G3710" t="str">
        <f t="shared" si="286"/>
        <v>Caruth5787Dallas</v>
      </c>
      <c r="H3710" t="s">
        <v>34568</v>
      </c>
      <c r="I3710" t="s">
        <v>25992</v>
      </c>
      <c r="J3710" t="str">
        <f t="shared" si="287"/>
        <v>E:\PropInv\MF</v>
      </c>
      <c r="K3710" s="103" t="str">
        <f>HYPERLINK("E:\PropInv\MF\Dallas\Caruth Haven_5787_The Hill in The Village_Dallas_13557","Caruth Haven_5787_The Hill in The Village_Dallas_13557" )</f>
        <v>Caruth Haven_5787_The Hill in The Village_Dallas_13557</v>
      </c>
      <c r="L3710" s="104" t="s">
        <v>22253</v>
      </c>
      <c r="M3710" s="103" t="str">
        <f t="shared" si="288"/>
        <v>http://oconnordata.com/mlink/modules/profile/index.cfm?action=profile&amp;prop_id=13557</v>
      </c>
      <c r="N3710" s="1">
        <f t="shared" si="289"/>
        <v>13557</v>
      </c>
    </row>
    <row r="3711" spans="1:14" x14ac:dyDescent="0.3">
      <c r="A3711" s="1">
        <v>13558</v>
      </c>
      <c r="B3711" s="36" t="s">
        <v>5678</v>
      </c>
      <c r="C3711" s="12">
        <v>3149</v>
      </c>
      <c r="D3711" s="7" t="s">
        <v>5551</v>
      </c>
      <c r="E3711" s="13" t="s">
        <v>5046</v>
      </c>
      <c r="F3711" t="str">
        <f t="shared" si="285"/>
        <v>Walnut</v>
      </c>
      <c r="G3711" t="str">
        <f t="shared" si="286"/>
        <v>Walnut3149Irving</v>
      </c>
      <c r="H3711" t="s">
        <v>34569</v>
      </c>
      <c r="I3711" t="s">
        <v>25993</v>
      </c>
      <c r="J3711" t="str">
        <f t="shared" si="287"/>
        <v>E:\PropInv\MF</v>
      </c>
      <c r="K3711" s="103" t="str">
        <f>HYPERLINK("E:\PropInv\MF\Irving\Walnut Hill Ln W_3149_Hillcrest_Irving_13558","Walnut Hill Ln W_3149_Hillcrest_Irving_13558" )</f>
        <v>Walnut Hill Ln W_3149_Hillcrest_Irving_13558</v>
      </c>
      <c r="L3711" s="104" t="s">
        <v>22253</v>
      </c>
      <c r="M3711" s="103" t="str">
        <f t="shared" si="288"/>
        <v>http://oconnordata.com/mlink/modules/profile/index.cfm?action=profile&amp;prop_id=13558</v>
      </c>
      <c r="N3711" s="1">
        <f t="shared" si="289"/>
        <v>13558</v>
      </c>
    </row>
    <row r="3712" spans="1:14" x14ac:dyDescent="0.3">
      <c r="A3712" s="1">
        <v>13559</v>
      </c>
      <c r="B3712" s="7" t="s">
        <v>5249</v>
      </c>
      <c r="C3712" s="12">
        <v>2019</v>
      </c>
      <c r="D3712" s="7" t="s">
        <v>5551</v>
      </c>
      <c r="E3712" s="13" t="s">
        <v>5088</v>
      </c>
      <c r="F3712" t="str">
        <f t="shared" si="285"/>
        <v>Hillcrest</v>
      </c>
      <c r="G3712" t="str">
        <f t="shared" si="286"/>
        <v>Hillcrest2019Mesquite</v>
      </c>
      <c r="H3712" t="s">
        <v>34570</v>
      </c>
      <c r="I3712" t="s">
        <v>25994</v>
      </c>
      <c r="J3712" t="str">
        <f t="shared" si="287"/>
        <v>E:\PropInv\MF</v>
      </c>
      <c r="K3712" s="103" t="str">
        <f>HYPERLINK("E:\PropInv\MF\Mesquite\Hillcrest St_2019_Hillcrest_Mesquite_13559","Hillcrest St_2019_Hillcrest_Mesquite_13559" )</f>
        <v>Hillcrest St_2019_Hillcrest_Mesquite_13559</v>
      </c>
      <c r="L3712" s="104" t="s">
        <v>22253</v>
      </c>
      <c r="M3712" s="103" t="str">
        <f t="shared" si="288"/>
        <v>http://oconnordata.com/mlink/modules/profile/index.cfm?action=profile&amp;prop_id=13559</v>
      </c>
      <c r="N3712" s="1">
        <f t="shared" si="289"/>
        <v>13559</v>
      </c>
    </row>
    <row r="3713" spans="1:14" x14ac:dyDescent="0.3">
      <c r="A3713" s="1">
        <v>13560</v>
      </c>
      <c r="B3713" s="7" t="s">
        <v>5679</v>
      </c>
      <c r="C3713" s="12">
        <v>1960</v>
      </c>
      <c r="D3713" s="7" t="s">
        <v>5551</v>
      </c>
      <c r="E3713" s="13" t="s">
        <v>5076</v>
      </c>
      <c r="F3713" t="str">
        <f t="shared" si="285"/>
        <v>Tarrant</v>
      </c>
      <c r="G3713" t="str">
        <f t="shared" si="286"/>
        <v>Tarrant1960Grand Prairie</v>
      </c>
      <c r="H3713" t="s">
        <v>34571</v>
      </c>
      <c r="I3713" t="s">
        <v>25995</v>
      </c>
      <c r="J3713" t="str">
        <f t="shared" si="287"/>
        <v>E:\PropInv\MF</v>
      </c>
      <c r="K3713" s="103" t="str">
        <f>HYPERLINK("E:\PropInv\MF\Grand Prairie\Tarrant W_1960_Hillcrest_Grand Prairie_13560","Tarrant W_1960_Hillcrest_Grand Prairie_13560" )</f>
        <v>Tarrant W_1960_Hillcrest_Grand Prairie_13560</v>
      </c>
      <c r="L3713" s="104" t="s">
        <v>22253</v>
      </c>
      <c r="M3713" s="103" t="str">
        <f t="shared" si="288"/>
        <v>http://oconnordata.com/mlink/modules/profile/index.cfm?action=profile&amp;prop_id=13560</v>
      </c>
      <c r="N3713" s="1">
        <f t="shared" si="289"/>
        <v>13560</v>
      </c>
    </row>
    <row r="3714" spans="1:14" x14ac:dyDescent="0.3">
      <c r="A3714" s="1">
        <v>13561</v>
      </c>
      <c r="B3714" s="7" t="s">
        <v>5680</v>
      </c>
      <c r="C3714" s="12">
        <v>930</v>
      </c>
      <c r="D3714" s="7" t="s">
        <v>5681</v>
      </c>
      <c r="E3714" s="13" t="s">
        <v>5019</v>
      </c>
      <c r="F3714" t="str">
        <f t="shared" ref="F3714:F3777" si="290">IFERROR(LEFT(B3714,FIND(" ",B3714)-1),B3714)</f>
        <v>30</v>
      </c>
      <c r="G3714" t="str">
        <f t="shared" ref="G3714:G3777" si="291">F3714&amp;C3714&amp;E3714</f>
        <v>30930Garland</v>
      </c>
      <c r="H3714" t="s">
        <v>34572</v>
      </c>
      <c r="I3714" t="s">
        <v>25996</v>
      </c>
      <c r="J3714" t="str">
        <f t="shared" ref="J3714:J3777" si="292">IF(L3714="TX",Folder_Path,Folder_Path&amp;"\State_"&amp;L3714)</f>
        <v>E:\PropInv\MF</v>
      </c>
      <c r="K3714" s="103" t="str">
        <f>HYPERLINK("E:\PropInv\MF\Garland\30 IH W_930_Hills of Palos Verdes_Garland_13561","30 IH W_930_Hills of Palos Verdes_Garland_13561" )</f>
        <v>30 IH W_930_Hills of Palos Verdes_Garland_13561</v>
      </c>
      <c r="L3714" s="104" t="s">
        <v>22253</v>
      </c>
      <c r="M3714" s="103" t="str">
        <f t="shared" ref="M3714:M3777" si="293">HYPERLINK("http://oconnordata.com/mlink/modules/profile/index.cfm?action=profile&amp;prop_id="&amp;A3714)</f>
        <v>http://oconnordata.com/mlink/modules/profile/index.cfm?action=profile&amp;prop_id=13561</v>
      </c>
      <c r="N3714" s="1">
        <f t="shared" ref="N3714:N3777" si="294">IF(LEN(A3714)=1,"0000"&amp;A3714,IF(LEN(A3714)=2,"000"&amp;A3714,IF(LEN(A3714)=3,"00"&amp;A3714,IF(LEN(A3714)=4,"0"&amp;A3714,IF(LEN(A3714)=5,IF(LEFT(A3714,1)="3",A3714+30000,A3714))))))</f>
        <v>13561</v>
      </c>
    </row>
    <row r="3715" spans="1:14" x14ac:dyDescent="0.3">
      <c r="A3715" s="1">
        <v>13562</v>
      </c>
      <c r="B3715" s="7" t="s">
        <v>5682</v>
      </c>
      <c r="C3715" s="12">
        <v>800</v>
      </c>
      <c r="D3715" s="7" t="s">
        <v>5683</v>
      </c>
      <c r="E3715" s="13" t="s">
        <v>3328</v>
      </c>
      <c r="F3715" t="str">
        <f t="shared" si="290"/>
        <v>Spring</v>
      </c>
      <c r="G3715" t="str">
        <f t="shared" si="291"/>
        <v>Spring800Richardson</v>
      </c>
      <c r="H3715" t="s">
        <v>34573</v>
      </c>
      <c r="I3715" t="s">
        <v>25997</v>
      </c>
      <c r="J3715" t="str">
        <f t="shared" si="292"/>
        <v>E:\PropInv\MF</v>
      </c>
      <c r="K3715" s="103" t="str">
        <f>HYPERLINK("E:\PropInv\MF\Richardson\Spring Valley W_800_Hillsdale Garden_Richardson_13562","Spring Valley W_800_Hillsdale Garden_Richardson_13562" )</f>
        <v>Spring Valley W_800_Hillsdale Garden_Richardson_13562</v>
      </c>
      <c r="L3715" s="104" t="s">
        <v>22253</v>
      </c>
      <c r="M3715" s="103" t="str">
        <f t="shared" si="293"/>
        <v>http://oconnordata.com/mlink/modules/profile/index.cfm?action=profile&amp;prop_id=13562</v>
      </c>
      <c r="N3715" s="1">
        <f t="shared" si="294"/>
        <v>13562</v>
      </c>
    </row>
    <row r="3716" spans="1:14" x14ac:dyDescent="0.3">
      <c r="A3716" s="1">
        <v>13563</v>
      </c>
      <c r="B3716" s="7" t="s">
        <v>5684</v>
      </c>
      <c r="C3716" s="12">
        <v>1020</v>
      </c>
      <c r="D3716" s="7" t="s">
        <v>5685</v>
      </c>
      <c r="E3716" s="13" t="s">
        <v>5060</v>
      </c>
      <c r="F3716" t="str">
        <f t="shared" si="290"/>
        <v>Raleigh</v>
      </c>
      <c r="G3716" t="str">
        <f t="shared" si="291"/>
        <v>Raleigh1020Carrollton</v>
      </c>
      <c r="H3716" t="s">
        <v>34574</v>
      </c>
      <c r="I3716" t="s">
        <v>25998</v>
      </c>
      <c r="J3716" t="str">
        <f t="shared" si="292"/>
        <v>E:\PropInv\MF</v>
      </c>
      <c r="K3716" s="103" t="str">
        <f>HYPERLINK("E:\PropInv\MF\Carrollton\Raleigh Dr_1020_Hillside_Carrollton_13563","Raleigh Dr_1020_Hillside_Carrollton_13563" )</f>
        <v>Raleigh Dr_1020_Hillside_Carrollton_13563</v>
      </c>
      <c r="L3716" s="104" t="s">
        <v>22253</v>
      </c>
      <c r="M3716" s="103" t="str">
        <f t="shared" si="293"/>
        <v>http://oconnordata.com/mlink/modules/profile/index.cfm?action=profile&amp;prop_id=13563</v>
      </c>
      <c r="N3716" s="1">
        <f t="shared" si="294"/>
        <v>13563</v>
      </c>
    </row>
    <row r="3717" spans="1:14" x14ac:dyDescent="0.3">
      <c r="A3717" s="1">
        <v>13565</v>
      </c>
      <c r="B3717" s="7" t="s">
        <v>5686</v>
      </c>
      <c r="C3717" s="12">
        <v>11440</v>
      </c>
      <c r="D3717" s="7" t="s">
        <v>5687</v>
      </c>
      <c r="E3717" s="13" t="s">
        <v>4996</v>
      </c>
      <c r="F3717" t="str">
        <f t="shared" si="290"/>
        <v>McCree</v>
      </c>
      <c r="G3717" t="str">
        <f t="shared" si="291"/>
        <v>McCree11440Dallas</v>
      </c>
      <c r="H3717" t="s">
        <v>34575</v>
      </c>
      <c r="I3717" t="s">
        <v>25999</v>
      </c>
      <c r="J3717" t="str">
        <f t="shared" si="292"/>
        <v>E:\PropInv\MF</v>
      </c>
      <c r="K3717" s="103" t="str">
        <f>HYPERLINK("E:\PropInv\MF\Dallas\McCree_11440_Hilton Head_Dallas_13565","McCree_11440_Hilton Head_Dallas_13565" )</f>
        <v>McCree_11440_Hilton Head_Dallas_13565</v>
      </c>
      <c r="L3717" s="104" t="s">
        <v>22253</v>
      </c>
      <c r="M3717" s="103" t="str">
        <f t="shared" si="293"/>
        <v>http://oconnordata.com/mlink/modules/profile/index.cfm?action=profile&amp;prop_id=13565</v>
      </c>
      <c r="N3717" s="1">
        <f t="shared" si="294"/>
        <v>13565</v>
      </c>
    </row>
    <row r="3718" spans="1:14" x14ac:dyDescent="0.3">
      <c r="A3718" s="1">
        <v>13566</v>
      </c>
      <c r="B3718" s="7" t="s">
        <v>5205</v>
      </c>
      <c r="C3718" s="12">
        <v>811</v>
      </c>
      <c r="D3718" s="7" t="s">
        <v>5688</v>
      </c>
      <c r="E3718" s="13" t="s">
        <v>4996</v>
      </c>
      <c r="F3718" t="str">
        <f t="shared" si="290"/>
        <v>Plymouth</v>
      </c>
      <c r="G3718" t="str">
        <f t="shared" si="291"/>
        <v>Plymouth811Dallas</v>
      </c>
      <c r="H3718" t="s">
        <v>34576</v>
      </c>
      <c r="I3718" t="s">
        <v>26000</v>
      </c>
      <c r="J3718" t="str">
        <f t="shared" si="292"/>
        <v>E:\PropInv\MF</v>
      </c>
      <c r="K3718" s="103" t="str">
        <f>HYPERLINK("E:\PropInv\MF\Dallas\Plymouth Rd N_811_Holiday Hills I_Dallas_13566","Plymouth Rd N_811_Holiday Hills I_Dallas_13566" )</f>
        <v>Plymouth Rd N_811_Holiday Hills I_Dallas_13566</v>
      </c>
      <c r="L3718" s="104" t="s">
        <v>22253</v>
      </c>
      <c r="M3718" s="103" t="str">
        <f t="shared" si="293"/>
        <v>http://oconnordata.com/mlink/modules/profile/index.cfm?action=profile&amp;prop_id=13566</v>
      </c>
      <c r="N3718" s="1">
        <f t="shared" si="294"/>
        <v>13566</v>
      </c>
    </row>
    <row r="3719" spans="1:14" x14ac:dyDescent="0.3">
      <c r="A3719" s="1">
        <v>13567</v>
      </c>
      <c r="B3719" s="7" t="s">
        <v>5689</v>
      </c>
      <c r="C3719" s="12">
        <v>811</v>
      </c>
      <c r="D3719" s="7" t="s">
        <v>5690</v>
      </c>
      <c r="E3719" s="13" t="s">
        <v>4996</v>
      </c>
      <c r="F3719" t="str">
        <f t="shared" si="290"/>
        <v>Plymouth</v>
      </c>
      <c r="G3719" t="str">
        <f t="shared" si="291"/>
        <v>Plymouth811Dallas</v>
      </c>
      <c r="H3719" t="s">
        <v>34577</v>
      </c>
      <c r="I3719" t="s">
        <v>26001</v>
      </c>
      <c r="J3719" t="str">
        <f t="shared" si="292"/>
        <v>E:\PropInv\MF</v>
      </c>
      <c r="K3719" s="103" t="str">
        <f>HYPERLINK("E:\PropInv\MF\Dallas\Plymouth N_811_Holiday Hills II_Dallas_13567","Plymouth N_811_Holiday Hills II_Dallas_13567" )</f>
        <v>Plymouth N_811_Holiday Hills II_Dallas_13567</v>
      </c>
      <c r="L3719" s="104" t="s">
        <v>22253</v>
      </c>
      <c r="M3719" s="103" t="str">
        <f t="shared" si="293"/>
        <v>http://oconnordata.com/mlink/modules/profile/index.cfm?action=profile&amp;prop_id=13567</v>
      </c>
      <c r="N3719" s="1">
        <f t="shared" si="294"/>
        <v>13567</v>
      </c>
    </row>
    <row r="3720" spans="1:14" x14ac:dyDescent="0.3">
      <c r="A3720" s="1">
        <v>13568</v>
      </c>
      <c r="B3720" s="7" t="s">
        <v>5691</v>
      </c>
      <c r="C3720" s="12">
        <v>1810</v>
      </c>
      <c r="D3720" s="7" t="s">
        <v>5692</v>
      </c>
      <c r="E3720" s="13" t="s">
        <v>5019</v>
      </c>
      <c r="F3720" t="str">
        <f t="shared" si="290"/>
        <v>Belt</v>
      </c>
      <c r="G3720" t="str">
        <f t="shared" si="291"/>
        <v>Belt1810Garland</v>
      </c>
      <c r="H3720" t="s">
        <v>34578</v>
      </c>
      <c r="I3720" t="s">
        <v>26002</v>
      </c>
      <c r="J3720" t="str">
        <f t="shared" si="292"/>
        <v>E:\PropInv\MF</v>
      </c>
      <c r="K3720" s="103" t="str">
        <f>HYPERLINK("E:\PropInv\MF\Garland\Belt Line_1810_Holiday Park_Garland_13568","Belt Line_1810_Holiday Park_Garland_13568" )</f>
        <v>Belt Line_1810_Holiday Park_Garland_13568</v>
      </c>
      <c r="L3720" s="104" t="s">
        <v>22253</v>
      </c>
      <c r="M3720" s="103" t="str">
        <f t="shared" si="293"/>
        <v>http://oconnordata.com/mlink/modules/profile/index.cfm?action=profile&amp;prop_id=13568</v>
      </c>
      <c r="N3720" s="1">
        <f t="shared" si="294"/>
        <v>13568</v>
      </c>
    </row>
    <row r="3721" spans="1:14" x14ac:dyDescent="0.3">
      <c r="A3721" s="1">
        <v>13569</v>
      </c>
      <c r="B3721" s="7" t="s">
        <v>5693</v>
      </c>
      <c r="C3721" s="12">
        <v>280</v>
      </c>
      <c r="D3721" s="7" t="s">
        <v>5694</v>
      </c>
      <c r="E3721" s="13" t="s">
        <v>3328</v>
      </c>
      <c r="F3721" t="str">
        <f t="shared" si="290"/>
        <v>Renner</v>
      </c>
      <c r="G3721" t="str">
        <f t="shared" si="291"/>
        <v>Renner280Richardson</v>
      </c>
      <c r="H3721" t="s">
        <v>34579</v>
      </c>
      <c r="I3721" t="s">
        <v>26003</v>
      </c>
      <c r="J3721" t="str">
        <f t="shared" si="292"/>
        <v>E:\PropInv\MF</v>
      </c>
      <c r="K3721" s="103" t="str">
        <f>HYPERLINK("E:\PropInv\MF\Richardson\Renner Rd W_280_Homes of Prairie Springs_Richardson_13569","Renner Rd W_280_Homes of Prairie Springs_Richardson_13569" )</f>
        <v>Renner Rd W_280_Homes of Prairie Springs_Richardson_13569</v>
      </c>
      <c r="L3721" s="104" t="s">
        <v>22253</v>
      </c>
      <c r="M3721" s="103" t="str">
        <f t="shared" si="293"/>
        <v>http://oconnordata.com/mlink/modules/profile/index.cfm?action=profile&amp;prop_id=13569</v>
      </c>
      <c r="N3721" s="1">
        <f t="shared" si="294"/>
        <v>13569</v>
      </c>
    </row>
    <row r="3722" spans="1:14" x14ac:dyDescent="0.3">
      <c r="A3722" s="1">
        <v>13572</v>
      </c>
      <c r="B3722" s="7" t="s">
        <v>5695</v>
      </c>
      <c r="C3722" s="12">
        <v>2544</v>
      </c>
      <c r="D3722" s="7" t="s">
        <v>5696</v>
      </c>
      <c r="E3722" s="13" t="s">
        <v>4996</v>
      </c>
      <c r="F3722" t="str">
        <f t="shared" si="290"/>
        <v>Hondo</v>
      </c>
      <c r="G3722" t="str">
        <f t="shared" si="291"/>
        <v>Hondo2544Dallas</v>
      </c>
      <c r="H3722" t="s">
        <v>34580</v>
      </c>
      <c r="I3722" t="s">
        <v>26004</v>
      </c>
      <c r="J3722" t="str">
        <f t="shared" si="292"/>
        <v>E:\PropInv\MF</v>
      </c>
      <c r="K3722" s="103" t="str">
        <f>HYPERLINK("E:\PropInv\MF\Dallas\Hondo_2544_Hondo Park_Dallas_13572","Hondo_2544_Hondo Park_Dallas_13572" )</f>
        <v>Hondo_2544_Hondo Park_Dallas_13572</v>
      </c>
      <c r="L3722" s="104" t="s">
        <v>22253</v>
      </c>
      <c r="M3722" s="103" t="str">
        <f t="shared" si="293"/>
        <v>http://oconnordata.com/mlink/modules/profile/index.cfm?action=profile&amp;prop_id=13572</v>
      </c>
      <c r="N3722" s="1">
        <f t="shared" si="294"/>
        <v>13572</v>
      </c>
    </row>
    <row r="3723" spans="1:14" x14ac:dyDescent="0.3">
      <c r="A3723" s="1">
        <v>13573</v>
      </c>
      <c r="B3723" s="7" t="s">
        <v>5080</v>
      </c>
      <c r="C3723" s="12">
        <v>11611</v>
      </c>
      <c r="D3723" s="7" t="s">
        <v>5697</v>
      </c>
      <c r="E3723" s="13" t="s">
        <v>4996</v>
      </c>
      <c r="F3723" t="str">
        <f t="shared" si="290"/>
        <v>Ferguson</v>
      </c>
      <c r="G3723" t="str">
        <f t="shared" si="291"/>
        <v>Ferguson11611Dallas</v>
      </c>
      <c r="H3723" t="s">
        <v>34581</v>
      </c>
      <c r="I3723" t="s">
        <v>26005</v>
      </c>
      <c r="J3723" t="str">
        <f t="shared" si="292"/>
        <v>E:\PropInv\MF</v>
      </c>
      <c r="K3723" s="103" t="str">
        <f>HYPERLINK("E:\PropInv\MF\Dallas\Ferguson Rd_11611_Honey Creek_Dallas_13573","Ferguson Rd_11611_Honey Creek_Dallas_13573" )</f>
        <v>Ferguson Rd_11611_Honey Creek_Dallas_13573</v>
      </c>
      <c r="L3723" s="104" t="s">
        <v>22253</v>
      </c>
      <c r="M3723" s="103" t="str">
        <f t="shared" si="293"/>
        <v>http://oconnordata.com/mlink/modules/profile/index.cfm?action=profile&amp;prop_id=13573</v>
      </c>
      <c r="N3723" s="1">
        <f t="shared" si="294"/>
        <v>13573</v>
      </c>
    </row>
    <row r="3724" spans="1:14" x14ac:dyDescent="0.3">
      <c r="A3724" s="1">
        <v>13574</v>
      </c>
      <c r="B3724" s="10" t="s">
        <v>5631</v>
      </c>
      <c r="C3724" s="9">
        <v>3136</v>
      </c>
      <c r="D3724" s="10" t="s">
        <v>5698</v>
      </c>
      <c r="E3724" s="11" t="s">
        <v>4996</v>
      </c>
      <c r="F3724" t="str">
        <f t="shared" si="290"/>
        <v>Hudnall</v>
      </c>
      <c r="G3724" t="str">
        <f t="shared" si="291"/>
        <v>Hudnall3136Dallas</v>
      </c>
      <c r="H3724" t="s">
        <v>34582</v>
      </c>
      <c r="I3724" t="s">
        <v>26006</v>
      </c>
      <c r="J3724" t="str">
        <f t="shared" si="292"/>
        <v>E:\PropInv\MF</v>
      </c>
      <c r="K3724" s="103" t="str">
        <f>HYPERLINK("E:\PropInv\MF\Dallas\Hudnall_3136_Hub in Oaklawn_Dallas_13574","Hudnall_3136_Hub in Oaklawn_Dallas_13574" )</f>
        <v>Hudnall_3136_Hub in Oaklawn_Dallas_13574</v>
      </c>
      <c r="L3724" s="104" t="s">
        <v>22253</v>
      </c>
      <c r="M3724" s="103" t="str">
        <f t="shared" si="293"/>
        <v>http://oconnordata.com/mlink/modules/profile/index.cfm?action=profile&amp;prop_id=13574</v>
      </c>
      <c r="N3724" s="1">
        <f t="shared" si="294"/>
        <v>13574</v>
      </c>
    </row>
    <row r="3725" spans="1:14" x14ac:dyDescent="0.3">
      <c r="A3725" s="1">
        <v>13575</v>
      </c>
      <c r="B3725" s="7" t="s">
        <v>5699</v>
      </c>
      <c r="C3725" s="12">
        <v>4351</v>
      </c>
      <c r="D3725" s="7" t="s">
        <v>5700</v>
      </c>
      <c r="E3725" s="13" t="s">
        <v>5019</v>
      </c>
      <c r="F3725" t="str">
        <f t="shared" si="290"/>
        <v>Point</v>
      </c>
      <c r="G3725" t="str">
        <f t="shared" si="291"/>
        <v>Point4351Garland</v>
      </c>
      <c r="H3725" t="s">
        <v>34583</v>
      </c>
      <c r="I3725" t="s">
        <v>26007</v>
      </c>
      <c r="J3725" t="str">
        <f t="shared" si="292"/>
        <v>E:\PropInv\MF</v>
      </c>
      <c r="K3725" s="103" t="str">
        <f>HYPERLINK("E:\PropInv\MF\Garland\Point Blvd_4351_Hubbards Ridge_Garland_13575","Point Blvd_4351_Hubbards Ridge_Garland_13575" )</f>
        <v>Point Blvd_4351_Hubbards Ridge_Garland_13575</v>
      </c>
      <c r="L3725" s="104" t="s">
        <v>22253</v>
      </c>
      <c r="M3725" s="103" t="str">
        <f t="shared" si="293"/>
        <v>http://oconnordata.com/mlink/modules/profile/index.cfm?action=profile&amp;prop_id=13575</v>
      </c>
      <c r="N3725" s="1">
        <f t="shared" si="294"/>
        <v>13575</v>
      </c>
    </row>
    <row r="3726" spans="1:14" x14ac:dyDescent="0.3">
      <c r="A3726" s="1">
        <v>13576</v>
      </c>
      <c r="B3726" s="7" t="s">
        <v>5015</v>
      </c>
      <c r="C3726" s="12">
        <v>8550</v>
      </c>
      <c r="D3726" s="7" t="s">
        <v>5701</v>
      </c>
      <c r="E3726" s="13" t="s">
        <v>4996</v>
      </c>
      <c r="F3726" t="str">
        <f t="shared" si="290"/>
        <v>Spring</v>
      </c>
      <c r="G3726" t="str">
        <f t="shared" si="291"/>
        <v>Spring8550Dallas</v>
      </c>
      <c r="H3726" t="s">
        <v>34584</v>
      </c>
      <c r="I3726" t="s">
        <v>26008</v>
      </c>
      <c r="J3726" t="str">
        <f t="shared" si="292"/>
        <v>E:\PropInv\MF</v>
      </c>
      <c r="K3726" s="103" t="str">
        <f>HYPERLINK("E:\PropInv\MF\Dallas\Spring Valley_8550_Hunters Court_Dallas_13576","Spring Valley_8550_Hunters Court_Dallas_13576" )</f>
        <v>Spring Valley_8550_Hunters Court_Dallas_13576</v>
      </c>
      <c r="L3726" s="104" t="s">
        <v>22253</v>
      </c>
      <c r="M3726" s="103" t="str">
        <f t="shared" si="293"/>
        <v>http://oconnordata.com/mlink/modules/profile/index.cfm?action=profile&amp;prop_id=13576</v>
      </c>
      <c r="N3726" s="1">
        <f t="shared" si="294"/>
        <v>13576</v>
      </c>
    </row>
    <row r="3727" spans="1:14" x14ac:dyDescent="0.3">
      <c r="A3727" s="1">
        <v>13577</v>
      </c>
      <c r="B3727" s="7" t="s">
        <v>5702</v>
      </c>
      <c r="C3727" s="12">
        <v>3056</v>
      </c>
      <c r="D3727" s="7" t="s">
        <v>2367</v>
      </c>
      <c r="E3727" s="13" t="s">
        <v>5076</v>
      </c>
      <c r="F3727" t="str">
        <f t="shared" si="290"/>
        <v>Commodore</v>
      </c>
      <c r="G3727" t="str">
        <f t="shared" si="291"/>
        <v>Commodore3056Grand Prairie</v>
      </c>
      <c r="H3727" t="s">
        <v>34585</v>
      </c>
      <c r="I3727" t="s">
        <v>26009</v>
      </c>
      <c r="J3727" t="str">
        <f t="shared" si="292"/>
        <v>E:\PropInv\MF</v>
      </c>
      <c r="K3727" s="103" t="str">
        <f>HYPERLINK("E:\PropInv\MF\Grand Prairie\Commodore_3056_Hunters Cove_Grand Prairie_13577","Commodore_3056_Hunters Cove_Grand Prairie_13577" )</f>
        <v>Commodore_3056_Hunters Cove_Grand Prairie_13577</v>
      </c>
      <c r="L3727" s="104" t="s">
        <v>22253</v>
      </c>
      <c r="M3727" s="103" t="str">
        <f t="shared" si="293"/>
        <v>http://oconnordata.com/mlink/modules/profile/index.cfm?action=profile&amp;prop_id=13577</v>
      </c>
      <c r="N3727" s="1">
        <f t="shared" si="294"/>
        <v>13577</v>
      </c>
    </row>
    <row r="3728" spans="1:14" x14ac:dyDescent="0.3">
      <c r="A3728" s="1">
        <v>13578</v>
      </c>
      <c r="B3728" s="10" t="s">
        <v>5703</v>
      </c>
      <c r="C3728" s="9">
        <v>6400</v>
      </c>
      <c r="D3728" s="10" t="s">
        <v>1113</v>
      </c>
      <c r="E3728" s="11" t="s">
        <v>5009</v>
      </c>
      <c r="F3728" t="str">
        <f t="shared" si="290"/>
        <v>Independence</v>
      </c>
      <c r="G3728" t="str">
        <f t="shared" si="291"/>
        <v>Independence6400Plano</v>
      </c>
      <c r="H3728" t="s">
        <v>34586</v>
      </c>
      <c r="I3728" t="s">
        <v>26010</v>
      </c>
      <c r="J3728" t="str">
        <f t="shared" si="292"/>
        <v>E:\PropInv\MF</v>
      </c>
      <c r="K3728" s="103" t="str">
        <f>HYPERLINK("E:\PropInv\MF\Plano\Independence_6400_Hunters Glen_Plano_13578","Independence_6400_Hunters Glen_Plano_13578" )</f>
        <v>Independence_6400_Hunters Glen_Plano_13578</v>
      </c>
      <c r="L3728" s="104" t="s">
        <v>22253</v>
      </c>
      <c r="M3728" s="103" t="str">
        <f t="shared" si="293"/>
        <v>http://oconnordata.com/mlink/modules/profile/index.cfm?action=profile&amp;prop_id=13578</v>
      </c>
      <c r="N3728" s="1">
        <f t="shared" si="294"/>
        <v>13578</v>
      </c>
    </row>
    <row r="3729" spans="1:14" x14ac:dyDescent="0.3">
      <c r="A3729" s="1">
        <v>13579</v>
      </c>
      <c r="B3729" s="7" t="s">
        <v>5704</v>
      </c>
      <c r="C3729" s="12">
        <v>18081</v>
      </c>
      <c r="D3729" s="7" t="s">
        <v>5705</v>
      </c>
      <c r="E3729" s="13" t="s">
        <v>4996</v>
      </c>
      <c r="F3729" t="str">
        <f t="shared" si="290"/>
        <v>Midway</v>
      </c>
      <c r="G3729" t="str">
        <f t="shared" si="291"/>
        <v>Midway18081Dallas</v>
      </c>
      <c r="H3729" t="s">
        <v>34587</v>
      </c>
      <c r="I3729" t="s">
        <v>26011</v>
      </c>
      <c r="J3729" t="str">
        <f t="shared" si="292"/>
        <v>E:\PropInv\MF</v>
      </c>
      <c r="K3729" s="103" t="str">
        <f>HYPERLINK("E:\PropInv\MF\Dallas\Midway_18081_Hunter's Hill_Dallas_13579","Midway_18081_Hunter's Hill_Dallas_13579" )</f>
        <v>Midway_18081_Hunter's Hill_Dallas_13579</v>
      </c>
      <c r="L3729" s="104" t="s">
        <v>22253</v>
      </c>
      <c r="M3729" s="103" t="str">
        <f t="shared" si="293"/>
        <v>http://oconnordata.com/mlink/modules/profile/index.cfm?action=profile&amp;prop_id=13579</v>
      </c>
      <c r="N3729" s="1">
        <f t="shared" si="294"/>
        <v>13579</v>
      </c>
    </row>
    <row r="3730" spans="1:14" x14ac:dyDescent="0.3">
      <c r="A3730" s="1">
        <v>13580</v>
      </c>
      <c r="B3730" s="7" t="s">
        <v>5706</v>
      </c>
      <c r="C3730" s="12">
        <v>4748</v>
      </c>
      <c r="D3730" s="7" t="s">
        <v>5707</v>
      </c>
      <c r="E3730" s="13" t="s">
        <v>4996</v>
      </c>
      <c r="F3730" t="str">
        <f t="shared" si="290"/>
        <v>Saint</v>
      </c>
      <c r="G3730" t="str">
        <f t="shared" si="291"/>
        <v>Saint4748Dallas</v>
      </c>
      <c r="H3730" t="s">
        <v>34588</v>
      </c>
      <c r="I3730" t="s">
        <v>26012</v>
      </c>
      <c r="J3730" t="str">
        <f t="shared" si="292"/>
        <v>E:\PropInv\MF</v>
      </c>
      <c r="K3730" s="103" t="str">
        <f>HYPERLINK("E:\PropInv\MF\Dallas\Saint Francis Ave_4748_Hunter's Run_Dallas_13580","Saint Francis Ave_4748_Hunter's Run_Dallas_13580" )</f>
        <v>Saint Francis Ave_4748_Hunter's Run_Dallas_13580</v>
      </c>
      <c r="L3730" s="104" t="s">
        <v>22253</v>
      </c>
      <c r="M3730" s="103" t="str">
        <f t="shared" si="293"/>
        <v>http://oconnordata.com/mlink/modules/profile/index.cfm?action=profile&amp;prop_id=13580</v>
      </c>
      <c r="N3730" s="1">
        <f t="shared" si="294"/>
        <v>13580</v>
      </c>
    </row>
    <row r="3731" spans="1:14" x14ac:dyDescent="0.3">
      <c r="A3731" s="1">
        <v>13581</v>
      </c>
      <c r="B3731" s="7" t="s">
        <v>5708</v>
      </c>
      <c r="C3731" s="12">
        <v>9821</v>
      </c>
      <c r="D3731" s="7" t="s">
        <v>5709</v>
      </c>
      <c r="E3731" s="13" t="s">
        <v>4996</v>
      </c>
      <c r="F3731" t="str">
        <f t="shared" si="290"/>
        <v>Summerwood</v>
      </c>
      <c r="G3731" t="str">
        <f t="shared" si="291"/>
        <v>Summerwood9821Dallas</v>
      </c>
      <c r="H3731" t="s">
        <v>34589</v>
      </c>
      <c r="I3731" t="s">
        <v>26013</v>
      </c>
      <c r="J3731" t="str">
        <f t="shared" si="292"/>
        <v>E:\PropInv\MF</v>
      </c>
      <c r="K3731" s="103" t="str">
        <f>HYPERLINK("E:\PropInv\MF\Dallas\Summerwood Cir_9821_Hunting Ridge_Dallas_13581","Summerwood Cir_9821_Hunting Ridge_Dallas_13581" )</f>
        <v>Summerwood Cir_9821_Hunting Ridge_Dallas_13581</v>
      </c>
      <c r="L3731" s="104" t="s">
        <v>22253</v>
      </c>
      <c r="M3731" s="103" t="str">
        <f t="shared" si="293"/>
        <v>http://oconnordata.com/mlink/modules/profile/index.cfm?action=profile&amp;prop_id=13581</v>
      </c>
      <c r="N3731" s="1">
        <f t="shared" si="294"/>
        <v>13581</v>
      </c>
    </row>
    <row r="3732" spans="1:14" x14ac:dyDescent="0.3">
      <c r="A3732" s="1">
        <v>13582</v>
      </c>
      <c r="B3732" s="7" t="s">
        <v>5300</v>
      </c>
      <c r="C3732" s="12">
        <v>12516</v>
      </c>
      <c r="D3732" s="7" t="s">
        <v>5710</v>
      </c>
      <c r="E3732" s="13" t="s">
        <v>4996</v>
      </c>
      <c r="F3732" t="str">
        <f t="shared" si="290"/>
        <v>Audelia</v>
      </c>
      <c r="G3732" t="str">
        <f t="shared" si="291"/>
        <v>Audelia12516Dallas</v>
      </c>
      <c r="H3732" t="s">
        <v>34590</v>
      </c>
      <c r="I3732" t="s">
        <v>26014</v>
      </c>
      <c r="J3732" t="str">
        <f t="shared" si="292"/>
        <v>E:\PropInv\MF</v>
      </c>
      <c r="K3732" s="103" t="str">
        <f>HYPERLINK("E:\PropInv\MF\Dallas\Audelia_12516_Huntington Brook_Dallas_13582","Audelia_12516_Huntington Brook_Dallas_13582" )</f>
        <v>Audelia_12516_Huntington Brook_Dallas_13582</v>
      </c>
      <c r="L3732" s="104" t="s">
        <v>22253</v>
      </c>
      <c r="M3732" s="103" t="str">
        <f t="shared" si="293"/>
        <v>http://oconnordata.com/mlink/modules/profile/index.cfm?action=profile&amp;prop_id=13582</v>
      </c>
      <c r="N3732" s="1">
        <f t="shared" si="294"/>
        <v>13582</v>
      </c>
    </row>
    <row r="3733" spans="1:14" x14ac:dyDescent="0.3">
      <c r="A3733" s="1">
        <v>13583</v>
      </c>
      <c r="B3733" s="7" t="s">
        <v>5711</v>
      </c>
      <c r="C3733" s="12">
        <v>409</v>
      </c>
      <c r="D3733" s="7" t="s">
        <v>5712</v>
      </c>
      <c r="E3733" s="13" t="s">
        <v>5055</v>
      </c>
      <c r="F3733" t="str">
        <f t="shared" si="290"/>
        <v>Round</v>
      </c>
      <c r="G3733" t="str">
        <f t="shared" si="291"/>
        <v>Round409Lewisville</v>
      </c>
      <c r="H3733" t="s">
        <v>34591</v>
      </c>
      <c r="I3733" t="s">
        <v>26015</v>
      </c>
      <c r="J3733" t="str">
        <f t="shared" si="292"/>
        <v>E:\PropInv\MF</v>
      </c>
      <c r="K3733" s="103" t="str">
        <f>HYPERLINK("E:\PropInv\MF\Lewisville\Round Grove Rd_409_Huntington Circle_Lewisville_13583","Round Grove Rd_409_Huntington Circle_Lewisville_13583" )</f>
        <v>Round Grove Rd_409_Huntington Circle_Lewisville_13583</v>
      </c>
      <c r="L3733" s="104" t="s">
        <v>22253</v>
      </c>
      <c r="M3733" s="103" t="str">
        <f t="shared" si="293"/>
        <v>http://oconnordata.com/mlink/modules/profile/index.cfm?action=profile&amp;prop_id=13583</v>
      </c>
      <c r="N3733" s="1">
        <f t="shared" si="294"/>
        <v>13583</v>
      </c>
    </row>
    <row r="3734" spans="1:14" x14ac:dyDescent="0.3">
      <c r="A3734" s="1">
        <v>13584</v>
      </c>
      <c r="B3734" s="7" t="s">
        <v>4641</v>
      </c>
      <c r="C3734" s="12">
        <v>14802</v>
      </c>
      <c r="D3734" s="7" t="s">
        <v>5713</v>
      </c>
      <c r="E3734" s="13" t="s">
        <v>5198</v>
      </c>
      <c r="F3734" t="str">
        <f t="shared" si="290"/>
        <v>Enterprise</v>
      </c>
      <c r="G3734" t="str">
        <f t="shared" si="291"/>
        <v>Enterprise14802Farmers Branch</v>
      </c>
      <c r="H3734" t="s">
        <v>34592</v>
      </c>
      <c r="I3734" t="s">
        <v>26016</v>
      </c>
      <c r="J3734" t="str">
        <f t="shared" si="292"/>
        <v>E:\PropInv\MF</v>
      </c>
      <c r="K3734" s="103" t="str">
        <f>HYPERLINK("E:\PropInv\MF\Farmers Branch\Enterprise_14802_Huntington Cove TH_Farmers Branch_13584","Enterprise_14802_Huntington Cove TH_Farmers Branch_13584" )</f>
        <v>Enterprise_14802_Huntington Cove TH_Farmers Branch_13584</v>
      </c>
      <c r="L3734" s="104" t="s">
        <v>22253</v>
      </c>
      <c r="M3734" s="103" t="str">
        <f t="shared" si="293"/>
        <v>http://oconnordata.com/mlink/modules/profile/index.cfm?action=profile&amp;prop_id=13584</v>
      </c>
      <c r="N3734" s="1">
        <f t="shared" si="294"/>
        <v>13584</v>
      </c>
    </row>
    <row r="3735" spans="1:14" x14ac:dyDescent="0.3">
      <c r="A3735" s="1">
        <v>13585</v>
      </c>
      <c r="B3735" s="7" t="s">
        <v>5077</v>
      </c>
      <c r="C3735" s="12">
        <v>7324</v>
      </c>
      <c r="D3735" s="7" t="s">
        <v>5714</v>
      </c>
      <c r="E3735" s="13" t="s">
        <v>4996</v>
      </c>
      <c r="F3735" t="str">
        <f t="shared" si="290"/>
        <v>Skillman</v>
      </c>
      <c r="G3735" t="str">
        <f t="shared" si="291"/>
        <v>Skillman7324Dallas</v>
      </c>
      <c r="H3735" t="s">
        <v>34593</v>
      </c>
      <c r="I3735" t="s">
        <v>26017</v>
      </c>
      <c r="J3735" t="str">
        <f t="shared" si="292"/>
        <v>E:\PropInv\MF</v>
      </c>
      <c r="K3735" s="103" t="str">
        <f>HYPERLINK("E:\PropInv\MF\Dallas\Skillman_7324_Huntington Lakes I &amp; II_Dallas_13585","Skillman_7324_Huntington Lakes I &amp; II_Dallas_13585" )</f>
        <v>Skillman_7324_Huntington Lakes I &amp; II_Dallas_13585</v>
      </c>
      <c r="L3735" s="104" t="s">
        <v>22253</v>
      </c>
      <c r="M3735" s="103" t="str">
        <f t="shared" si="293"/>
        <v>http://oconnordata.com/mlink/modules/profile/index.cfm?action=profile&amp;prop_id=13585</v>
      </c>
      <c r="N3735" s="1">
        <f t="shared" si="294"/>
        <v>13585</v>
      </c>
    </row>
    <row r="3736" spans="1:14" x14ac:dyDescent="0.3">
      <c r="A3736" s="1">
        <v>13586</v>
      </c>
      <c r="B3736" s="7" t="s">
        <v>5639</v>
      </c>
      <c r="C3736" s="12">
        <v>4220</v>
      </c>
      <c r="D3736" s="7" t="s">
        <v>5715</v>
      </c>
      <c r="E3736" s="13" t="s">
        <v>5046</v>
      </c>
      <c r="F3736" t="str">
        <f t="shared" si="290"/>
        <v>Esters</v>
      </c>
      <c r="G3736" t="str">
        <f t="shared" si="291"/>
        <v>Esters4220Irving</v>
      </c>
      <c r="H3736" t="s">
        <v>34594</v>
      </c>
      <c r="I3736" t="s">
        <v>26018</v>
      </c>
      <c r="J3736" t="str">
        <f t="shared" si="292"/>
        <v>E:\PropInv\MF</v>
      </c>
      <c r="K3736" s="103" t="str">
        <f>HYPERLINK("E:\PropInv\MF\Irving\Esters_4220_Huntington Ridge_Irving_13586","Esters_4220_Huntington Ridge_Irving_13586" )</f>
        <v>Esters_4220_Huntington Ridge_Irving_13586</v>
      </c>
      <c r="L3736" s="104" t="s">
        <v>22253</v>
      </c>
      <c r="M3736" s="103" t="str">
        <f t="shared" si="293"/>
        <v>http://oconnordata.com/mlink/modules/profile/index.cfm?action=profile&amp;prop_id=13586</v>
      </c>
      <c r="N3736" s="1">
        <f t="shared" si="294"/>
        <v>13586</v>
      </c>
    </row>
    <row r="3737" spans="1:14" x14ac:dyDescent="0.3">
      <c r="A3737" s="1">
        <v>13587</v>
      </c>
      <c r="B3737" s="7" t="s">
        <v>5716</v>
      </c>
      <c r="C3737" s="12">
        <v>910</v>
      </c>
      <c r="D3737" s="7" t="s">
        <v>5717</v>
      </c>
      <c r="E3737" s="13" t="s">
        <v>3328</v>
      </c>
      <c r="F3737" t="str">
        <f t="shared" si="290"/>
        <v>Spring</v>
      </c>
      <c r="G3737" t="str">
        <f t="shared" si="291"/>
        <v>Spring910Richardson</v>
      </c>
      <c r="H3737" t="s">
        <v>34595</v>
      </c>
      <c r="I3737" t="s">
        <v>26019</v>
      </c>
      <c r="J3737" t="str">
        <f t="shared" si="292"/>
        <v>E:\PropInv\MF</v>
      </c>
      <c r="K3737" s="103" t="str">
        <f>HYPERLINK("E:\PropInv\MF\Richardson\Spring Valley Plaza_910_Huntington TH_Richardson_13587","Spring Valley Plaza_910_Huntington TH_Richardson_13587" )</f>
        <v>Spring Valley Plaza_910_Huntington TH_Richardson_13587</v>
      </c>
      <c r="L3737" s="104" t="s">
        <v>22253</v>
      </c>
      <c r="M3737" s="103" t="str">
        <f t="shared" si="293"/>
        <v>http://oconnordata.com/mlink/modules/profile/index.cfm?action=profile&amp;prop_id=13587</v>
      </c>
      <c r="N3737" s="1">
        <f t="shared" si="294"/>
        <v>13587</v>
      </c>
    </row>
    <row r="3738" spans="1:14" x14ac:dyDescent="0.3">
      <c r="A3738" s="1">
        <v>13588</v>
      </c>
      <c r="B3738" s="7" t="s">
        <v>5379</v>
      </c>
      <c r="C3738" s="12">
        <v>3525</v>
      </c>
      <c r="D3738" s="7" t="s">
        <v>5718</v>
      </c>
      <c r="E3738" s="13" t="s">
        <v>5060</v>
      </c>
      <c r="F3738" t="str">
        <f t="shared" si="290"/>
        <v>Country</v>
      </c>
      <c r="G3738" t="str">
        <f t="shared" si="291"/>
        <v>Country3525Carrollton</v>
      </c>
      <c r="H3738" t="s">
        <v>34596</v>
      </c>
      <c r="I3738" t="s">
        <v>26020</v>
      </c>
      <c r="J3738" t="str">
        <f t="shared" si="292"/>
        <v>E:\PropInv\MF</v>
      </c>
      <c r="K3738" s="103" t="str">
        <f>HYPERLINK("E:\PropInv\MF\Carrollton\Country Sq_3525_Hutton Creek_Carrollton_13588","Country Sq_3525_Hutton Creek_Carrollton_13588" )</f>
        <v>Country Sq_3525_Hutton Creek_Carrollton_13588</v>
      </c>
      <c r="L3738" s="104" t="s">
        <v>22253</v>
      </c>
      <c r="M3738" s="103" t="str">
        <f t="shared" si="293"/>
        <v>http://oconnordata.com/mlink/modules/profile/index.cfm?action=profile&amp;prop_id=13588</v>
      </c>
      <c r="N3738" s="1">
        <f t="shared" si="294"/>
        <v>13588</v>
      </c>
    </row>
    <row r="3739" spans="1:14" x14ac:dyDescent="0.3">
      <c r="A3739" s="1">
        <v>13589</v>
      </c>
      <c r="B3739" s="7" t="s">
        <v>5284</v>
      </c>
      <c r="C3739" s="12">
        <v>4849</v>
      </c>
      <c r="D3739" s="7" t="s">
        <v>5719</v>
      </c>
      <c r="E3739" s="13" t="s">
        <v>4996</v>
      </c>
      <c r="F3739" t="str">
        <f t="shared" si="290"/>
        <v>Haverwood</v>
      </c>
      <c r="G3739" t="str">
        <f t="shared" si="291"/>
        <v>Haverwood4849Dallas</v>
      </c>
      <c r="H3739" t="s">
        <v>34597</v>
      </c>
      <c r="I3739" t="s">
        <v>26021</v>
      </c>
      <c r="J3739" t="str">
        <f t="shared" si="292"/>
        <v>E:\PropInv\MF</v>
      </c>
      <c r="K3739" s="103" t="str">
        <f>HYPERLINK("E:\PropInv\MF\Dallas\Haverwood_4849_Idlewyld Village_Dallas_13589","Haverwood_4849_Idlewyld Village_Dallas_13589" )</f>
        <v>Haverwood_4849_Idlewyld Village_Dallas_13589</v>
      </c>
      <c r="L3739" s="104" t="s">
        <v>22253</v>
      </c>
      <c r="M3739" s="103" t="str">
        <f t="shared" si="293"/>
        <v>http://oconnordata.com/mlink/modules/profile/index.cfm?action=profile&amp;prop_id=13589</v>
      </c>
      <c r="N3739" s="1">
        <f t="shared" si="294"/>
        <v>13589</v>
      </c>
    </row>
    <row r="3740" spans="1:14" x14ac:dyDescent="0.3">
      <c r="A3740" s="1">
        <v>13590</v>
      </c>
      <c r="B3740" s="7" t="s">
        <v>5703</v>
      </c>
      <c r="C3740" s="12">
        <v>6501</v>
      </c>
      <c r="D3740" s="7" t="s">
        <v>5720</v>
      </c>
      <c r="E3740" s="13" t="s">
        <v>5009</v>
      </c>
      <c r="F3740" t="str">
        <f t="shared" si="290"/>
        <v>Independence</v>
      </c>
      <c r="G3740" t="str">
        <f t="shared" si="291"/>
        <v>Independence6501Plano</v>
      </c>
      <c r="H3740" t="s">
        <v>34598</v>
      </c>
      <c r="I3740" t="s">
        <v>26022</v>
      </c>
      <c r="J3740" t="str">
        <f t="shared" si="292"/>
        <v>E:\PropInv\MF</v>
      </c>
      <c r="K3740" s="103" t="str">
        <f>HYPERLINK("E:\PropInv\MF\Plano\Independence_6501_Independence Crossing_Plano_13590","Independence_6501_Independence Crossing_Plano_13590" )</f>
        <v>Independence_6501_Independence Crossing_Plano_13590</v>
      </c>
      <c r="L3740" s="104" t="s">
        <v>22253</v>
      </c>
      <c r="M3740" s="103" t="str">
        <f t="shared" si="293"/>
        <v>http://oconnordata.com/mlink/modules/profile/index.cfm?action=profile&amp;prop_id=13590</v>
      </c>
      <c r="N3740" s="1">
        <f t="shared" si="294"/>
        <v>13590</v>
      </c>
    </row>
    <row r="3741" spans="1:14" x14ac:dyDescent="0.3">
      <c r="A3741" s="1">
        <v>13591</v>
      </c>
      <c r="B3741" s="7" t="s">
        <v>5721</v>
      </c>
      <c r="C3741" s="12">
        <v>3910</v>
      </c>
      <c r="D3741" s="7" t="s">
        <v>5722</v>
      </c>
      <c r="E3741" s="13" t="s">
        <v>5060</v>
      </c>
      <c r="F3741" t="str">
        <f t="shared" si="290"/>
        <v>Old</v>
      </c>
      <c r="G3741" t="str">
        <f t="shared" si="291"/>
        <v>Old3910Carrollton</v>
      </c>
      <c r="H3741" t="s">
        <v>34599</v>
      </c>
      <c r="I3741" t="s">
        <v>26023</v>
      </c>
      <c r="J3741" t="str">
        <f t="shared" si="292"/>
        <v>E:\PropInv\MF</v>
      </c>
      <c r="K3741" s="103" t="str">
        <f>HYPERLINK("E:\PropInv\MF\Carrollton\Old Denton Rd_3910_Indian Creek_Carrollton_13591","Old Denton Rd_3910_Indian Creek_Carrollton_13591" )</f>
        <v>Old Denton Rd_3910_Indian Creek_Carrollton_13591</v>
      </c>
      <c r="L3741" s="104" t="s">
        <v>22253</v>
      </c>
      <c r="M3741" s="103" t="str">
        <f t="shared" si="293"/>
        <v>http://oconnordata.com/mlink/modules/profile/index.cfm?action=profile&amp;prop_id=13591</v>
      </c>
      <c r="N3741" s="1">
        <f t="shared" si="294"/>
        <v>13591</v>
      </c>
    </row>
    <row r="3742" spans="1:14" x14ac:dyDescent="0.3">
      <c r="A3742" s="1">
        <v>13592</v>
      </c>
      <c r="B3742" s="7" t="s">
        <v>5723</v>
      </c>
      <c r="C3742" s="12">
        <v>3706</v>
      </c>
      <c r="D3742" s="7" t="s">
        <v>5724</v>
      </c>
      <c r="E3742" s="13" t="s">
        <v>4996</v>
      </c>
      <c r="F3742" t="str">
        <f t="shared" si="290"/>
        <v>8th</v>
      </c>
      <c r="G3742" t="str">
        <f t="shared" si="291"/>
        <v>8th3706Dallas</v>
      </c>
      <c r="H3742" t="s">
        <v>34600</v>
      </c>
      <c r="I3742" t="s">
        <v>26024</v>
      </c>
      <c r="J3742" t="str">
        <f t="shared" si="292"/>
        <v>E:\PropInv\MF</v>
      </c>
      <c r="K3742" s="103" t="str">
        <f>HYPERLINK("E:\PropInv\MF\Dallas\8th St W_3706_Indian Ridge_Dallas_13592","8th St W_3706_Indian Ridge_Dallas_13592" )</f>
        <v>8th St W_3706_Indian Ridge_Dallas_13592</v>
      </c>
      <c r="L3742" s="104" t="s">
        <v>22253</v>
      </c>
      <c r="M3742" s="103" t="str">
        <f t="shared" si="293"/>
        <v>http://oconnordata.com/mlink/modules/profile/index.cfm?action=profile&amp;prop_id=13592</v>
      </c>
      <c r="N3742" s="1">
        <f t="shared" si="294"/>
        <v>13592</v>
      </c>
    </row>
    <row r="3743" spans="1:14" x14ac:dyDescent="0.3">
      <c r="A3743" s="1">
        <v>13593</v>
      </c>
      <c r="B3743" s="7" t="s">
        <v>5129</v>
      </c>
      <c r="C3743" s="12">
        <v>9669</v>
      </c>
      <c r="D3743" s="7" t="s">
        <v>5725</v>
      </c>
      <c r="E3743" s="13" t="s">
        <v>4996</v>
      </c>
      <c r="F3743" t="str">
        <f t="shared" si="290"/>
        <v>Forest</v>
      </c>
      <c r="G3743" t="str">
        <f t="shared" si="291"/>
        <v>Forest9669Dallas</v>
      </c>
      <c r="H3743" t="s">
        <v>34601</v>
      </c>
      <c r="I3743" t="s">
        <v>26025</v>
      </c>
      <c r="J3743" t="str">
        <f t="shared" si="292"/>
        <v>E:\PropInv\MF</v>
      </c>
      <c r="K3743" s="103" t="str">
        <f>HYPERLINK("E:\PropInv\MF\Dallas\Forest Ln_9669_Indigo on Forest_Dallas_13593","Forest Ln_9669_Indigo on Forest_Dallas_13593" )</f>
        <v>Forest Ln_9669_Indigo on Forest_Dallas_13593</v>
      </c>
      <c r="L3743" s="104" t="s">
        <v>22253</v>
      </c>
      <c r="M3743" s="103" t="str">
        <f t="shared" si="293"/>
        <v>http://oconnordata.com/mlink/modules/profile/index.cfm?action=profile&amp;prop_id=13593</v>
      </c>
      <c r="N3743" s="1">
        <f t="shared" si="294"/>
        <v>13593</v>
      </c>
    </row>
    <row r="3744" spans="1:14" x14ac:dyDescent="0.3">
      <c r="A3744" s="1">
        <v>13594</v>
      </c>
      <c r="B3744" s="7" t="s">
        <v>5726</v>
      </c>
      <c r="C3744" s="12">
        <v>2210</v>
      </c>
      <c r="D3744" s="7" t="s">
        <v>5727</v>
      </c>
      <c r="E3744" s="13" t="s">
        <v>5060</v>
      </c>
      <c r="F3744" t="str">
        <f t="shared" si="290"/>
        <v>Marsh</v>
      </c>
      <c r="G3744" t="str">
        <f t="shared" si="291"/>
        <v>Marsh2210Carrollton</v>
      </c>
      <c r="H3744" t="s">
        <v>34602</v>
      </c>
      <c r="I3744" t="s">
        <v>26026</v>
      </c>
      <c r="J3744" t="str">
        <f t="shared" si="292"/>
        <v>E:\PropInv\MF</v>
      </c>
      <c r="K3744" s="103" t="str">
        <f>HYPERLINK("E:\PropInv\MF\Carrollton\Marsh_2210_Irishman's Creek_Carrollton_13594","Marsh_2210_Irishman's Creek_Carrollton_13594" )</f>
        <v>Marsh_2210_Irishman's Creek_Carrollton_13594</v>
      </c>
      <c r="L3744" s="104" t="s">
        <v>22253</v>
      </c>
      <c r="M3744" s="103" t="str">
        <f t="shared" si="293"/>
        <v>http://oconnordata.com/mlink/modules/profile/index.cfm?action=profile&amp;prop_id=13594</v>
      </c>
      <c r="N3744" s="1">
        <f t="shared" si="294"/>
        <v>13594</v>
      </c>
    </row>
    <row r="3745" spans="1:14" x14ac:dyDescent="0.3">
      <c r="A3745" s="1">
        <v>13596</v>
      </c>
      <c r="B3745" s="7" t="s">
        <v>5728</v>
      </c>
      <c r="C3745" s="12">
        <v>1928</v>
      </c>
      <c r="D3745" s="7" t="s">
        <v>5729</v>
      </c>
      <c r="E3745" s="13" t="s">
        <v>5046</v>
      </c>
      <c r="F3745" t="str">
        <f t="shared" si="290"/>
        <v>Rock</v>
      </c>
      <c r="G3745" t="str">
        <f t="shared" si="291"/>
        <v>Rock1928Irving</v>
      </c>
      <c r="H3745" t="s">
        <v>34603</v>
      </c>
      <c r="I3745" t="s">
        <v>26027</v>
      </c>
      <c r="J3745" t="str">
        <f t="shared" si="292"/>
        <v>E:\PropInv\MF</v>
      </c>
      <c r="K3745" s="103" t="str">
        <f>HYPERLINK("E:\PropInv\MF\Irving\Rock Island Rd_1928_Irving Oaks_Irving_13596","Rock Island Rd_1928_Irving Oaks_Irving_13596" )</f>
        <v>Rock Island Rd_1928_Irving Oaks_Irving_13596</v>
      </c>
      <c r="L3745" s="104" t="s">
        <v>22253</v>
      </c>
      <c r="M3745" s="103" t="str">
        <f t="shared" si="293"/>
        <v>http://oconnordata.com/mlink/modules/profile/index.cfm?action=profile&amp;prop_id=13596</v>
      </c>
      <c r="N3745" s="1">
        <f t="shared" si="294"/>
        <v>13596</v>
      </c>
    </row>
    <row r="3746" spans="1:14" x14ac:dyDescent="0.3">
      <c r="A3746" s="1">
        <v>13597</v>
      </c>
      <c r="B3746" s="7" t="s">
        <v>5322</v>
      </c>
      <c r="C3746" s="12">
        <v>8900</v>
      </c>
      <c r="D3746" s="7" t="s">
        <v>5730</v>
      </c>
      <c r="E3746" s="13" t="s">
        <v>4996</v>
      </c>
      <c r="F3746" t="str">
        <f t="shared" si="290"/>
        <v>Park</v>
      </c>
      <c r="G3746" t="str">
        <f t="shared" si="291"/>
        <v>Park8900Dallas</v>
      </c>
      <c r="H3746" t="s">
        <v>34604</v>
      </c>
      <c r="I3746" t="s">
        <v>26028</v>
      </c>
      <c r="J3746" t="str">
        <f t="shared" si="292"/>
        <v>E:\PropInv\MF</v>
      </c>
      <c r="K3746" s="103" t="str">
        <f>HYPERLINK("E:\PropInv\MF\Dallas\Park Ln_8900_Ivanhoe_Dallas_13597","Park Ln_8900_Ivanhoe_Dallas_13597" )</f>
        <v>Park Ln_8900_Ivanhoe_Dallas_13597</v>
      </c>
      <c r="L3746" s="104" t="s">
        <v>22253</v>
      </c>
      <c r="M3746" s="103" t="str">
        <f t="shared" si="293"/>
        <v>http://oconnordata.com/mlink/modules/profile/index.cfm?action=profile&amp;prop_id=13597</v>
      </c>
      <c r="N3746" s="1">
        <f t="shared" si="294"/>
        <v>13597</v>
      </c>
    </row>
    <row r="3747" spans="1:14" x14ac:dyDescent="0.3">
      <c r="A3747" s="1">
        <v>13598</v>
      </c>
      <c r="B3747" s="7" t="s">
        <v>5300</v>
      </c>
      <c r="C3747" s="12">
        <v>11601</v>
      </c>
      <c r="D3747" s="7" t="s">
        <v>5731</v>
      </c>
      <c r="E3747" s="13" t="s">
        <v>4996</v>
      </c>
      <c r="F3747" t="str">
        <f t="shared" si="290"/>
        <v>Audelia</v>
      </c>
      <c r="G3747" t="str">
        <f t="shared" si="291"/>
        <v>Audelia11601Dallas</v>
      </c>
      <c r="H3747" t="s">
        <v>34605</v>
      </c>
      <c r="I3747" t="s">
        <v>26029</v>
      </c>
      <c r="J3747" t="str">
        <f t="shared" si="292"/>
        <v>E:\PropInv\MF</v>
      </c>
      <c r="K3747" s="103" t="str">
        <f>HYPERLINK("E:\PropInv\MF\Dallas\Audelia_11601_Sienna Palms_Dallas_13598","Audelia_11601_Sienna Palms_Dallas_13598" )</f>
        <v>Audelia_11601_Sienna Palms_Dallas_13598</v>
      </c>
      <c r="L3747" s="104" t="s">
        <v>22253</v>
      </c>
      <c r="M3747" s="103" t="str">
        <f t="shared" si="293"/>
        <v>http://oconnordata.com/mlink/modules/profile/index.cfm?action=profile&amp;prop_id=13598</v>
      </c>
      <c r="N3747" s="1">
        <f t="shared" si="294"/>
        <v>13598</v>
      </c>
    </row>
    <row r="3748" spans="1:14" x14ac:dyDescent="0.3">
      <c r="A3748" s="1">
        <v>13600</v>
      </c>
      <c r="B3748" s="7" t="s">
        <v>5732</v>
      </c>
      <c r="C3748" s="12">
        <v>910</v>
      </c>
      <c r="D3748" s="7" t="s">
        <v>5733</v>
      </c>
      <c r="E3748" s="13" t="s">
        <v>4996</v>
      </c>
      <c r="F3748" t="str">
        <f t="shared" si="290"/>
        <v>Texas</v>
      </c>
      <c r="G3748" t="str">
        <f t="shared" si="291"/>
        <v>Texas910Dallas</v>
      </c>
      <c r="H3748" t="s">
        <v>34606</v>
      </c>
      <c r="I3748" t="s">
        <v>26030</v>
      </c>
      <c r="J3748" t="str">
        <f t="shared" si="292"/>
        <v>E:\PropInv\MF</v>
      </c>
      <c r="K3748" s="103" t="str">
        <f>HYPERLINK("E:\PropInv\MF\Dallas\Texas_910_AMLI at Bryan Place_Dallas_13600","Texas_910_AMLI at Bryan Place_Dallas_13600" )</f>
        <v>Texas_910_AMLI at Bryan Place_Dallas_13600</v>
      </c>
      <c r="L3748" s="104" t="s">
        <v>22253</v>
      </c>
      <c r="M3748" s="103" t="str">
        <f t="shared" si="293"/>
        <v>http://oconnordata.com/mlink/modules/profile/index.cfm?action=profile&amp;prop_id=13600</v>
      </c>
      <c r="N3748" s="1">
        <f t="shared" si="294"/>
        <v>13600</v>
      </c>
    </row>
    <row r="3749" spans="1:14" x14ac:dyDescent="0.3">
      <c r="A3749" s="1">
        <v>13601</v>
      </c>
      <c r="B3749" s="7" t="s">
        <v>5734</v>
      </c>
      <c r="C3749" s="12">
        <v>1520</v>
      </c>
      <c r="D3749" s="7" t="s">
        <v>5735</v>
      </c>
      <c r="E3749" s="13" t="s">
        <v>4996</v>
      </c>
      <c r="F3749" t="str">
        <f t="shared" si="290"/>
        <v>Beckley</v>
      </c>
      <c r="G3749" t="str">
        <f t="shared" si="291"/>
        <v>Beckley1520Dallas</v>
      </c>
      <c r="H3749" t="s">
        <v>34607</v>
      </c>
      <c r="I3749" t="s">
        <v>26031</v>
      </c>
      <c r="J3749" t="str">
        <f t="shared" si="292"/>
        <v>E:\PropInv\MF</v>
      </c>
      <c r="K3749" s="103" t="str">
        <f>HYPERLINK("E:\PropInv\MF\Dallas\Beckley Ave N_1520_Grand Estates at Kessler Park_Dallas_13601","Beckley Ave N_1520_Grand Estates at Kessler Park_Dallas_13601" )</f>
        <v>Beckley Ave N_1520_Grand Estates at Kessler Park_Dallas_13601</v>
      </c>
      <c r="L3749" s="104" t="s">
        <v>22253</v>
      </c>
      <c r="M3749" s="103" t="str">
        <f t="shared" si="293"/>
        <v>http://oconnordata.com/mlink/modules/profile/index.cfm?action=profile&amp;prop_id=13601</v>
      </c>
      <c r="N3749" s="1">
        <f t="shared" si="294"/>
        <v>13601</v>
      </c>
    </row>
    <row r="3750" spans="1:14" x14ac:dyDescent="0.3">
      <c r="A3750" s="1">
        <v>13602</v>
      </c>
      <c r="B3750" s="7" t="s">
        <v>5736</v>
      </c>
      <c r="C3750" s="12">
        <v>10106</v>
      </c>
      <c r="D3750" s="7" t="s">
        <v>5737</v>
      </c>
      <c r="E3750" s="13" t="s">
        <v>4996</v>
      </c>
      <c r="F3750" t="str">
        <f t="shared" si="290"/>
        <v>Technology</v>
      </c>
      <c r="G3750" t="str">
        <f t="shared" si="291"/>
        <v>Technology10106Dallas</v>
      </c>
      <c r="H3750" t="s">
        <v>34608</v>
      </c>
      <c r="I3750" t="s">
        <v>26032</v>
      </c>
      <c r="J3750" t="str">
        <f t="shared" si="292"/>
        <v>E:\PropInv\MF</v>
      </c>
      <c r="K3750" s="103" t="str">
        <f>HYPERLINK("E:\PropInv\MF\Dallas\Technology Blvd_10106_Aslan La Valencia_Dallas_13602","Technology Blvd_10106_Aslan La Valencia_Dallas_13602" )</f>
        <v>Technology Blvd_10106_Aslan La Valencia_Dallas_13602</v>
      </c>
      <c r="L3750" s="104" t="s">
        <v>22253</v>
      </c>
      <c r="M3750" s="103" t="str">
        <f t="shared" si="293"/>
        <v>http://oconnordata.com/mlink/modules/profile/index.cfm?action=profile&amp;prop_id=13602</v>
      </c>
      <c r="N3750" s="1">
        <f t="shared" si="294"/>
        <v>13602</v>
      </c>
    </row>
    <row r="3751" spans="1:14" x14ac:dyDescent="0.3">
      <c r="A3751" s="1">
        <v>13603</v>
      </c>
      <c r="B3751" s="7" t="s">
        <v>5669</v>
      </c>
      <c r="C3751" s="12">
        <v>8025</v>
      </c>
      <c r="D3751" s="7" t="s">
        <v>5738</v>
      </c>
      <c r="E3751" s="13" t="s">
        <v>5009</v>
      </c>
      <c r="F3751" t="str">
        <f t="shared" si="290"/>
        <v>Ohio</v>
      </c>
      <c r="G3751" t="str">
        <f t="shared" si="291"/>
        <v>Ohio8025Plano</v>
      </c>
      <c r="H3751" t="s">
        <v>34609</v>
      </c>
      <c r="I3751" t="s">
        <v>26033</v>
      </c>
      <c r="J3751" t="str">
        <f t="shared" si="292"/>
        <v>E:\PropInv\MF</v>
      </c>
      <c r="K3751" s="103" t="str">
        <f>HYPERLINK("E:\PropInv\MF\Plano\Ohio_8025_Mission Gate_Plano_13603","Ohio_8025_Mission Gate_Plano_13603" )</f>
        <v>Ohio_8025_Mission Gate_Plano_13603</v>
      </c>
      <c r="L3751" s="104" t="s">
        <v>22253</v>
      </c>
      <c r="M3751" s="103" t="str">
        <f t="shared" si="293"/>
        <v>http://oconnordata.com/mlink/modules/profile/index.cfm?action=profile&amp;prop_id=13603</v>
      </c>
      <c r="N3751" s="1">
        <f t="shared" si="294"/>
        <v>13603</v>
      </c>
    </row>
    <row r="3752" spans="1:14" x14ac:dyDescent="0.3">
      <c r="A3752" s="1">
        <v>13604</v>
      </c>
      <c r="B3752" s="7" t="s">
        <v>5446</v>
      </c>
      <c r="C3752" s="12">
        <v>14332</v>
      </c>
      <c r="D3752" s="7" t="s">
        <v>5739</v>
      </c>
      <c r="E3752" s="13" t="s">
        <v>4996</v>
      </c>
      <c r="F3752" t="str">
        <f t="shared" si="290"/>
        <v>Montfort</v>
      </c>
      <c r="G3752" t="str">
        <f t="shared" si="291"/>
        <v>Montfort14332Dallas</v>
      </c>
      <c r="H3752" t="s">
        <v>34610</v>
      </c>
      <c r="I3752" t="s">
        <v>26034</v>
      </c>
      <c r="J3752" t="str">
        <f t="shared" si="292"/>
        <v>E:\PropInv\MF</v>
      </c>
      <c r="K3752" s="103" t="str">
        <f>HYPERLINK("E:\PropInv\MF\Dallas\Montfort_14332_Villas at Montfort_Dallas_13604","Montfort_14332_Villas at Montfort_Dallas_13604" )</f>
        <v>Montfort_14332_Villas at Montfort_Dallas_13604</v>
      </c>
      <c r="L3752" s="104" t="s">
        <v>22253</v>
      </c>
      <c r="M3752" s="103" t="str">
        <f t="shared" si="293"/>
        <v>http://oconnordata.com/mlink/modules/profile/index.cfm?action=profile&amp;prop_id=13604</v>
      </c>
      <c r="N3752" s="1">
        <f t="shared" si="294"/>
        <v>13604</v>
      </c>
    </row>
    <row r="3753" spans="1:14" x14ac:dyDescent="0.3">
      <c r="A3753" s="1">
        <v>13605</v>
      </c>
      <c r="B3753" s="7" t="s">
        <v>5740</v>
      </c>
      <c r="C3753" s="12">
        <v>2323</v>
      </c>
      <c r="D3753" s="7" t="s">
        <v>5741</v>
      </c>
      <c r="E3753" s="13" t="s">
        <v>4996</v>
      </c>
      <c r="F3753" t="str">
        <f t="shared" si="290"/>
        <v>Field</v>
      </c>
      <c r="G3753" t="str">
        <f t="shared" si="291"/>
        <v>Field2323Dallas</v>
      </c>
      <c r="H3753" t="s">
        <v>34611</v>
      </c>
      <c r="I3753" t="s">
        <v>26035</v>
      </c>
      <c r="J3753" t="str">
        <f t="shared" si="292"/>
        <v>E:\PropInv\MF</v>
      </c>
      <c r="K3753" s="103" t="str">
        <f>HYPERLINK("E:\PropInv\MF\Dallas\Field St N_2323_Jefferson at the North End_Dallas_13605","Field St N_2323_Jefferson at the North End_Dallas_13605" )</f>
        <v>Field St N_2323_Jefferson at the North End_Dallas_13605</v>
      </c>
      <c r="L3753" s="104" t="s">
        <v>22253</v>
      </c>
      <c r="M3753" s="103" t="str">
        <f t="shared" si="293"/>
        <v>http://oconnordata.com/mlink/modules/profile/index.cfm?action=profile&amp;prop_id=13605</v>
      </c>
      <c r="N3753" s="1">
        <f t="shared" si="294"/>
        <v>13605</v>
      </c>
    </row>
    <row r="3754" spans="1:14" x14ac:dyDescent="0.3">
      <c r="A3754" s="1">
        <v>13606</v>
      </c>
      <c r="B3754" s="7" t="s">
        <v>5742</v>
      </c>
      <c r="C3754" s="12">
        <v>4607</v>
      </c>
      <c r="D3754" s="7" t="s">
        <v>5743</v>
      </c>
      <c r="E3754" s="13" t="s">
        <v>4996</v>
      </c>
      <c r="F3754" t="str">
        <f t="shared" si="290"/>
        <v>Timberglen</v>
      </c>
      <c r="G3754" t="str">
        <f t="shared" si="291"/>
        <v>Timberglen4607Dallas</v>
      </c>
      <c r="H3754" t="s">
        <v>34612</v>
      </c>
      <c r="I3754" t="s">
        <v>26036</v>
      </c>
      <c r="J3754" t="str">
        <f t="shared" si="292"/>
        <v>E:\PropInv\MF</v>
      </c>
      <c r="K3754" s="103" t="str">
        <f>HYPERLINK("E:\PropInv\MF\Dallas\Timberglen Rd_4607_The Verandas at Timberglen_Dallas_13606","Timberglen Rd_4607_The Verandas at Timberglen_Dallas_13606" )</f>
        <v>Timberglen Rd_4607_The Verandas at Timberglen_Dallas_13606</v>
      </c>
      <c r="L3754" s="104" t="s">
        <v>22253</v>
      </c>
      <c r="M3754" s="103" t="str">
        <f t="shared" si="293"/>
        <v>http://oconnordata.com/mlink/modules/profile/index.cfm?action=profile&amp;prop_id=13606</v>
      </c>
      <c r="N3754" s="1">
        <f t="shared" si="294"/>
        <v>13606</v>
      </c>
    </row>
    <row r="3755" spans="1:14" x14ac:dyDescent="0.3">
      <c r="A3755" s="1">
        <v>13607</v>
      </c>
      <c r="B3755" s="7" t="s">
        <v>5744</v>
      </c>
      <c r="C3755" s="12">
        <v>4400</v>
      </c>
      <c r="D3755" s="7" t="s">
        <v>5745</v>
      </c>
      <c r="E3755" s="13" t="s">
        <v>4996</v>
      </c>
      <c r="F3755" t="str">
        <f t="shared" si="290"/>
        <v>University</v>
      </c>
      <c r="G3755" t="str">
        <f t="shared" si="291"/>
        <v>University4400Dallas</v>
      </c>
      <c r="H3755" t="s">
        <v>34613</v>
      </c>
      <c r="I3755" t="s">
        <v>26037</v>
      </c>
      <c r="J3755" t="str">
        <f t="shared" si="292"/>
        <v>E:\PropInv\MF</v>
      </c>
      <c r="K3755" s="103" t="str">
        <f>HYPERLINK("E:\PropInv\MF\Dallas\University W_4400_Archstone Park Cities_Dallas_13607","University W_4400_Archstone Park Cities_Dallas_13607" )</f>
        <v>University W_4400_Archstone Park Cities_Dallas_13607</v>
      </c>
      <c r="L3755" s="104" t="s">
        <v>22253</v>
      </c>
      <c r="M3755" s="103" t="str">
        <f t="shared" si="293"/>
        <v>http://oconnordata.com/mlink/modules/profile/index.cfm?action=profile&amp;prop_id=13607</v>
      </c>
      <c r="N3755" s="1">
        <f t="shared" si="294"/>
        <v>13607</v>
      </c>
    </row>
    <row r="3756" spans="1:14" x14ac:dyDescent="0.3">
      <c r="A3756" s="1">
        <v>13608</v>
      </c>
      <c r="B3756" s="7" t="s">
        <v>5493</v>
      </c>
      <c r="C3756" s="12">
        <v>800</v>
      </c>
      <c r="D3756" s="7" t="s">
        <v>5746</v>
      </c>
      <c r="E3756" s="13" t="s">
        <v>5046</v>
      </c>
      <c r="F3756" t="str">
        <f t="shared" si="290"/>
        <v>Royal</v>
      </c>
      <c r="G3756" t="str">
        <f t="shared" si="291"/>
        <v>Royal800Irving</v>
      </c>
      <c r="H3756" t="s">
        <v>34614</v>
      </c>
      <c r="I3756" t="s">
        <v>26038</v>
      </c>
      <c r="J3756" t="str">
        <f t="shared" si="292"/>
        <v>E:\PropInv\MF</v>
      </c>
      <c r="K3756" s="103" t="str">
        <f>HYPERLINK("E:\PropInv\MF\Irving\Royal Ln W_800_Jefferson Creek_Irving_13608","Royal Ln W_800_Jefferson Creek_Irving_13608" )</f>
        <v>Royal Ln W_800_Jefferson Creek_Irving_13608</v>
      </c>
      <c r="L3756" s="104" t="s">
        <v>22253</v>
      </c>
      <c r="M3756" s="103" t="str">
        <f t="shared" si="293"/>
        <v>http://oconnordata.com/mlink/modules/profile/index.cfm?action=profile&amp;prop_id=13608</v>
      </c>
      <c r="N3756" s="1">
        <f t="shared" si="294"/>
        <v>13608</v>
      </c>
    </row>
    <row r="3757" spans="1:14" x14ac:dyDescent="0.3">
      <c r="A3757" s="1">
        <v>13609</v>
      </c>
      <c r="B3757" s="7" t="s">
        <v>5037</v>
      </c>
      <c r="C3757" s="12">
        <v>18788</v>
      </c>
      <c r="D3757" s="7" t="s">
        <v>5747</v>
      </c>
      <c r="E3757" s="13" t="s">
        <v>4996</v>
      </c>
      <c r="F3757" t="str">
        <f t="shared" si="290"/>
        <v>Marsh</v>
      </c>
      <c r="G3757" t="str">
        <f t="shared" si="291"/>
        <v>Marsh18788Dallas</v>
      </c>
      <c r="H3757" t="s">
        <v>34615</v>
      </c>
      <c r="I3757" t="s">
        <v>26039</v>
      </c>
      <c r="J3757" t="str">
        <f t="shared" si="292"/>
        <v>E:\PropInv\MF</v>
      </c>
      <c r="K3757" s="103" t="str">
        <f>HYPERLINK("E:\PropInv\MF\Dallas\Marsh Ln_18788_Crossings On Marsh_Dallas_13609","Marsh Ln_18788_Crossings On Marsh_Dallas_13609" )</f>
        <v>Marsh Ln_18788_Crossings On Marsh_Dallas_13609</v>
      </c>
      <c r="L3757" s="104" t="s">
        <v>22253</v>
      </c>
      <c r="M3757" s="103" t="str">
        <f t="shared" si="293"/>
        <v>http://oconnordata.com/mlink/modules/profile/index.cfm?action=profile&amp;prop_id=13609</v>
      </c>
      <c r="N3757" s="1">
        <f t="shared" si="294"/>
        <v>13609</v>
      </c>
    </row>
    <row r="3758" spans="1:14" x14ac:dyDescent="0.3">
      <c r="A3758" s="1">
        <v>13610</v>
      </c>
      <c r="B3758" s="7" t="s">
        <v>5654</v>
      </c>
      <c r="C3758" s="12">
        <v>1127</v>
      </c>
      <c r="D3758" s="7" t="s">
        <v>5748</v>
      </c>
      <c r="E3758" s="13" t="s">
        <v>5046</v>
      </c>
      <c r="F3758" t="str">
        <f t="shared" si="290"/>
        <v>Hidden</v>
      </c>
      <c r="G3758" t="str">
        <f t="shared" si="291"/>
        <v>Hidden1127Irving</v>
      </c>
      <c r="H3758" t="s">
        <v>34616</v>
      </c>
      <c r="I3758" t="s">
        <v>26040</v>
      </c>
      <c r="J3758" t="str">
        <f t="shared" si="292"/>
        <v>E:\PropInv\MF</v>
      </c>
      <c r="K3758" s="103" t="str">
        <f>HYPERLINK("E:\PropInv\MF\Irving\Hidden Ridge_1127_Jefferson Park_Irving_13610","Hidden Ridge_1127_Jefferson Park_Irving_13610" )</f>
        <v>Hidden Ridge_1127_Jefferson Park_Irving_13610</v>
      </c>
      <c r="L3758" s="104" t="s">
        <v>22253</v>
      </c>
      <c r="M3758" s="103" t="str">
        <f t="shared" si="293"/>
        <v>http://oconnordata.com/mlink/modules/profile/index.cfm?action=profile&amp;prop_id=13610</v>
      </c>
      <c r="N3758" s="1">
        <f t="shared" si="294"/>
        <v>13610</v>
      </c>
    </row>
    <row r="3759" spans="1:14" x14ac:dyDescent="0.3">
      <c r="A3759" s="1">
        <v>13611</v>
      </c>
      <c r="B3759" s="7" t="s">
        <v>5749</v>
      </c>
      <c r="C3759" s="12">
        <v>6306</v>
      </c>
      <c r="D3759" s="7" t="s">
        <v>5750</v>
      </c>
      <c r="E3759" s="13" t="s">
        <v>5046</v>
      </c>
      <c r="F3759" t="str">
        <f t="shared" si="290"/>
        <v>Macarthur</v>
      </c>
      <c r="G3759" t="str">
        <f t="shared" si="291"/>
        <v>Macarthur6306Irving</v>
      </c>
      <c r="H3759" t="s">
        <v>34617</v>
      </c>
      <c r="I3759" t="s">
        <v>26041</v>
      </c>
      <c r="J3759" t="str">
        <f t="shared" si="292"/>
        <v>E:\PropInv\MF</v>
      </c>
      <c r="K3759" s="103" t="str">
        <f>HYPERLINK("E:\PropInv\MF\Irving\Macarthur N_6306_Jefferson Place_Irving_13611","Macarthur N_6306_Jefferson Place_Irving_13611" )</f>
        <v>Macarthur N_6306_Jefferson Place_Irving_13611</v>
      </c>
      <c r="L3759" s="104" t="s">
        <v>22253</v>
      </c>
      <c r="M3759" s="103" t="str">
        <f t="shared" si="293"/>
        <v>http://oconnordata.com/mlink/modules/profile/index.cfm?action=profile&amp;prop_id=13611</v>
      </c>
      <c r="N3759" s="1">
        <f t="shared" si="294"/>
        <v>13611</v>
      </c>
    </row>
    <row r="3760" spans="1:14" x14ac:dyDescent="0.3">
      <c r="A3760" s="1">
        <v>13612</v>
      </c>
      <c r="B3760" s="7" t="s">
        <v>5170</v>
      </c>
      <c r="C3760" s="12">
        <v>5301</v>
      </c>
      <c r="D3760" s="7" t="s">
        <v>5751</v>
      </c>
      <c r="E3760" s="13" t="s">
        <v>5046</v>
      </c>
      <c r="F3760" t="str">
        <f t="shared" si="290"/>
        <v>Macarthur</v>
      </c>
      <c r="G3760" t="str">
        <f t="shared" si="291"/>
        <v>Macarthur5301Irving</v>
      </c>
      <c r="H3760" t="s">
        <v>34618</v>
      </c>
      <c r="I3760" t="s">
        <v>26042</v>
      </c>
      <c r="J3760" t="str">
        <f t="shared" si="292"/>
        <v>E:\PropInv\MF</v>
      </c>
      <c r="K3760" s="103" t="str">
        <f>HYPERLINK("E:\PropInv\MF\Irving\Macarthur_5301_Jefferson Ridge_Irving_13612","Macarthur_5301_Jefferson Ridge_Irving_13612" )</f>
        <v>Macarthur_5301_Jefferson Ridge_Irving_13612</v>
      </c>
      <c r="L3760" s="104" t="s">
        <v>22253</v>
      </c>
      <c r="M3760" s="103" t="str">
        <f t="shared" si="293"/>
        <v>http://oconnordata.com/mlink/modules/profile/index.cfm?action=profile&amp;prop_id=13612</v>
      </c>
      <c r="N3760" s="1">
        <f t="shared" si="294"/>
        <v>13612</v>
      </c>
    </row>
    <row r="3761" spans="1:14" x14ac:dyDescent="0.3">
      <c r="A3761" s="1">
        <v>13613</v>
      </c>
      <c r="B3761" s="7" t="s">
        <v>5517</v>
      </c>
      <c r="C3761" s="12">
        <v>1845</v>
      </c>
      <c r="D3761" s="7" t="s">
        <v>5752</v>
      </c>
      <c r="E3761" s="13" t="s">
        <v>5060</v>
      </c>
      <c r="F3761" t="str">
        <f t="shared" si="290"/>
        <v>Josey</v>
      </c>
      <c r="G3761" t="str">
        <f t="shared" si="291"/>
        <v>Josey1845Carrollton</v>
      </c>
      <c r="H3761" t="s">
        <v>34619</v>
      </c>
      <c r="I3761" t="s">
        <v>26043</v>
      </c>
      <c r="J3761" t="str">
        <f t="shared" si="292"/>
        <v>E:\PropInv\MF</v>
      </c>
      <c r="K3761" s="103" t="str">
        <f>HYPERLINK("E:\PropInv\MF\Carrollton\Josey_1845_Josey Place_Carrollton_13613","Josey_1845_Josey Place_Carrollton_13613" )</f>
        <v>Josey_1845_Josey Place_Carrollton_13613</v>
      </c>
      <c r="L3761" s="104" t="s">
        <v>22253</v>
      </c>
      <c r="M3761" s="103" t="str">
        <f t="shared" si="293"/>
        <v>http://oconnordata.com/mlink/modules/profile/index.cfm?action=profile&amp;prop_id=13613</v>
      </c>
      <c r="N3761" s="1">
        <f t="shared" si="294"/>
        <v>13613</v>
      </c>
    </row>
    <row r="3762" spans="1:14" x14ac:dyDescent="0.3">
      <c r="A3762" s="1">
        <v>13614</v>
      </c>
      <c r="B3762" s="7" t="s">
        <v>5753</v>
      </c>
      <c r="C3762" s="12">
        <v>1721</v>
      </c>
      <c r="D3762" s="7" t="s">
        <v>5754</v>
      </c>
      <c r="E3762" s="13" t="s">
        <v>5612</v>
      </c>
      <c r="F3762" t="str">
        <f t="shared" si="290"/>
        <v>Beltline</v>
      </c>
      <c r="G3762" t="str">
        <f t="shared" si="291"/>
        <v>Beltline1721Coppell</v>
      </c>
      <c r="H3762" t="s">
        <v>34620</v>
      </c>
      <c r="I3762" t="s">
        <v>26044</v>
      </c>
      <c r="J3762" t="str">
        <f t="shared" si="292"/>
        <v>E:\PropInv\MF</v>
      </c>
      <c r="K3762" s="103" t="str">
        <f>HYPERLINK("E:\PropInv\MF\Coppell\Beltline Rd E_1721_Karrington_Coppell_13614","Beltline Rd E_1721_Karrington_Coppell_13614" )</f>
        <v>Beltline Rd E_1721_Karrington_Coppell_13614</v>
      </c>
      <c r="L3762" s="104" t="s">
        <v>22253</v>
      </c>
      <c r="M3762" s="103" t="str">
        <f t="shared" si="293"/>
        <v>http://oconnordata.com/mlink/modules/profile/index.cfm?action=profile&amp;prop_id=13614</v>
      </c>
      <c r="N3762" s="1">
        <f t="shared" si="294"/>
        <v>13614</v>
      </c>
    </row>
    <row r="3763" spans="1:14" x14ac:dyDescent="0.3">
      <c r="A3763" s="1">
        <v>13615</v>
      </c>
      <c r="B3763" s="7" t="s">
        <v>5726</v>
      </c>
      <c r="C3763" s="12">
        <v>2121</v>
      </c>
      <c r="D3763" s="7" t="s">
        <v>5755</v>
      </c>
      <c r="E3763" s="13" t="s">
        <v>5060</v>
      </c>
      <c r="F3763" t="str">
        <f t="shared" si="290"/>
        <v>Marsh</v>
      </c>
      <c r="G3763" t="str">
        <f t="shared" si="291"/>
        <v>Marsh2121Carrollton</v>
      </c>
      <c r="H3763" t="s">
        <v>34621</v>
      </c>
      <c r="I3763" t="s">
        <v>26045</v>
      </c>
      <c r="J3763" t="str">
        <f t="shared" si="292"/>
        <v>E:\PropInv\MF</v>
      </c>
      <c r="K3763" s="103" t="str">
        <f>HYPERLINK("E:\PropInv\MF\Carrollton\Marsh_2121_Keller Oaks_Carrollton_13615","Marsh_2121_Keller Oaks_Carrollton_13615" )</f>
        <v>Marsh_2121_Keller Oaks_Carrollton_13615</v>
      </c>
      <c r="L3763" s="104" t="s">
        <v>22253</v>
      </c>
      <c r="M3763" s="103" t="str">
        <f t="shared" si="293"/>
        <v>http://oconnordata.com/mlink/modules/profile/index.cfm?action=profile&amp;prop_id=13615</v>
      </c>
      <c r="N3763" s="1">
        <f t="shared" si="294"/>
        <v>13615</v>
      </c>
    </row>
    <row r="3764" spans="1:14" x14ac:dyDescent="0.3">
      <c r="A3764" s="1">
        <v>13616</v>
      </c>
      <c r="B3764" s="7" t="s">
        <v>5277</v>
      </c>
      <c r="C3764" s="12">
        <v>2601</v>
      </c>
      <c r="D3764" s="7" t="s">
        <v>5756</v>
      </c>
      <c r="E3764" s="13" t="s">
        <v>4996</v>
      </c>
      <c r="F3764" t="str">
        <f t="shared" si="290"/>
        <v>Frankford</v>
      </c>
      <c r="G3764" t="str">
        <f t="shared" si="291"/>
        <v>Frankford2601Dallas</v>
      </c>
      <c r="H3764" t="s">
        <v>34622</v>
      </c>
      <c r="I3764" t="s">
        <v>26046</v>
      </c>
      <c r="J3764" t="str">
        <f t="shared" si="292"/>
        <v>E:\PropInv\MF</v>
      </c>
      <c r="K3764" s="103" t="str">
        <f>HYPERLINK("E:\PropInv\MF\Dallas\Frankford_2601_Kelly Crossing_Dallas_13616","Frankford_2601_Kelly Crossing_Dallas_13616" )</f>
        <v>Frankford_2601_Kelly Crossing_Dallas_13616</v>
      </c>
      <c r="L3764" s="104" t="s">
        <v>22253</v>
      </c>
      <c r="M3764" s="103" t="str">
        <f t="shared" si="293"/>
        <v>http://oconnordata.com/mlink/modules/profile/index.cfm?action=profile&amp;prop_id=13616</v>
      </c>
      <c r="N3764" s="1">
        <f t="shared" si="294"/>
        <v>13616</v>
      </c>
    </row>
    <row r="3765" spans="1:14" x14ac:dyDescent="0.3">
      <c r="A3765" s="1">
        <v>13617</v>
      </c>
      <c r="B3765" s="7" t="s">
        <v>5120</v>
      </c>
      <c r="C3765" s="12">
        <v>3413</v>
      </c>
      <c r="D3765" s="7" t="s">
        <v>5757</v>
      </c>
      <c r="E3765" s="13" t="s">
        <v>5046</v>
      </c>
      <c r="F3765" t="str">
        <f t="shared" si="290"/>
        <v>Country</v>
      </c>
      <c r="G3765" t="str">
        <f t="shared" si="291"/>
        <v>Country3413Irving</v>
      </c>
      <c r="H3765" t="s">
        <v>34623</v>
      </c>
      <c r="I3765" t="s">
        <v>26047</v>
      </c>
      <c r="J3765" t="str">
        <f t="shared" si="292"/>
        <v>E:\PropInv\MF</v>
      </c>
      <c r="K3765" s="103" t="str">
        <f>HYPERLINK("E:\PropInv\MF\Irving\Country Club W_3413_Kensington Park_Irving_13617","Country Club W_3413_Kensington Park_Irving_13617" )</f>
        <v>Country Club W_3413_Kensington Park_Irving_13617</v>
      </c>
      <c r="L3765" s="104" t="s">
        <v>22253</v>
      </c>
      <c r="M3765" s="103" t="str">
        <f t="shared" si="293"/>
        <v>http://oconnordata.com/mlink/modules/profile/index.cfm?action=profile&amp;prop_id=13617</v>
      </c>
      <c r="N3765" s="1">
        <f t="shared" si="294"/>
        <v>13617</v>
      </c>
    </row>
    <row r="3766" spans="1:14" x14ac:dyDescent="0.3">
      <c r="A3766" s="1">
        <v>13618</v>
      </c>
      <c r="B3766" s="7" t="s">
        <v>5742</v>
      </c>
      <c r="C3766" s="12">
        <v>3653</v>
      </c>
      <c r="D3766" s="7" t="s">
        <v>5758</v>
      </c>
      <c r="E3766" s="13" t="s">
        <v>4996</v>
      </c>
      <c r="F3766" t="str">
        <f t="shared" si="290"/>
        <v>Timberglen</v>
      </c>
      <c r="G3766" t="str">
        <f t="shared" si="291"/>
        <v>Timberglen3653Dallas</v>
      </c>
      <c r="H3766" t="s">
        <v>34624</v>
      </c>
      <c r="I3766" t="s">
        <v>26048</v>
      </c>
      <c r="J3766" t="str">
        <f t="shared" si="292"/>
        <v>E:\PropInv\MF</v>
      </c>
      <c r="K3766" s="103" t="str">
        <f>HYPERLINK("E:\PropInv\MF\Dallas\Timberglen Rd_3653_Keystone Ranch_Dallas_13618","Timberglen Rd_3653_Keystone Ranch_Dallas_13618" )</f>
        <v>Timberglen Rd_3653_Keystone Ranch_Dallas_13618</v>
      </c>
      <c r="L3766" s="104" t="s">
        <v>22253</v>
      </c>
      <c r="M3766" s="103" t="str">
        <f t="shared" si="293"/>
        <v>http://oconnordata.com/mlink/modules/profile/index.cfm?action=profile&amp;prop_id=13618</v>
      </c>
      <c r="N3766" s="1">
        <f t="shared" si="294"/>
        <v>13618</v>
      </c>
    </row>
    <row r="3767" spans="1:14" x14ac:dyDescent="0.3">
      <c r="A3767" s="1">
        <v>13619</v>
      </c>
      <c r="B3767" s="7" t="s">
        <v>5759</v>
      </c>
      <c r="C3767" s="12">
        <v>5342</v>
      </c>
      <c r="D3767" s="7" t="s">
        <v>5760</v>
      </c>
      <c r="E3767" s="13" t="s">
        <v>5046</v>
      </c>
      <c r="F3767" t="str">
        <f t="shared" si="290"/>
        <v>Bond</v>
      </c>
      <c r="G3767" t="str">
        <f t="shared" si="291"/>
        <v>Bond5342Irving</v>
      </c>
      <c r="H3767" t="s">
        <v>34625</v>
      </c>
      <c r="I3767" t="s">
        <v>26049</v>
      </c>
      <c r="J3767" t="str">
        <f t="shared" si="292"/>
        <v>E:\PropInv\MF</v>
      </c>
      <c r="K3767" s="103" t="str">
        <f>HYPERLINK("E:\PropInv\MF\Irving\Bond St_5342_Knightsbridge of Las Colinas_Irving_13619","Bond St_5342_Knightsbridge of Las Colinas_Irving_13619" )</f>
        <v>Bond St_5342_Knightsbridge of Las Colinas_Irving_13619</v>
      </c>
      <c r="L3767" s="104" t="s">
        <v>22253</v>
      </c>
      <c r="M3767" s="103" t="str">
        <f t="shared" si="293"/>
        <v>http://oconnordata.com/mlink/modules/profile/index.cfm?action=profile&amp;prop_id=13619</v>
      </c>
      <c r="N3767" s="1">
        <f t="shared" si="294"/>
        <v>13619</v>
      </c>
    </row>
    <row r="3768" spans="1:14" x14ac:dyDescent="0.3">
      <c r="A3768" s="1">
        <v>13621</v>
      </c>
      <c r="B3768" s="7" t="s">
        <v>5761</v>
      </c>
      <c r="C3768" s="12">
        <v>2929</v>
      </c>
      <c r="D3768" s="7" t="s">
        <v>5762</v>
      </c>
      <c r="E3768" s="13" t="s">
        <v>4996</v>
      </c>
      <c r="F3768" t="str">
        <f t="shared" si="290"/>
        <v>Kings</v>
      </c>
      <c r="G3768" t="str">
        <f t="shared" si="291"/>
        <v>Kings2929Dallas</v>
      </c>
      <c r="H3768" t="s">
        <v>34626</v>
      </c>
      <c r="I3768" t="s">
        <v>26050</v>
      </c>
      <c r="J3768" t="str">
        <f t="shared" si="292"/>
        <v>E:\PropInv\MF</v>
      </c>
      <c r="K3768" s="103" t="str">
        <f>HYPERLINK("E:\PropInv\MF\Dallas\Kings Rd_2929_Kingsgate_Dallas_13621","Kings Rd_2929_Kingsgate_Dallas_13621" )</f>
        <v>Kings Rd_2929_Kingsgate_Dallas_13621</v>
      </c>
      <c r="L3768" s="104" t="s">
        <v>22253</v>
      </c>
      <c r="M3768" s="103" t="str">
        <f t="shared" si="293"/>
        <v>http://oconnordata.com/mlink/modules/profile/index.cfm?action=profile&amp;prop_id=13621</v>
      </c>
      <c r="N3768" s="1">
        <f t="shared" si="294"/>
        <v>13621</v>
      </c>
    </row>
    <row r="3769" spans="1:14" x14ac:dyDescent="0.3">
      <c r="A3769" s="1">
        <v>13622</v>
      </c>
      <c r="B3769" s="7" t="s">
        <v>5763</v>
      </c>
      <c r="C3769" s="12">
        <v>1900</v>
      </c>
      <c r="D3769" s="7" t="s">
        <v>5764</v>
      </c>
      <c r="E3769" s="13" t="s">
        <v>5019</v>
      </c>
      <c r="F3769" t="str">
        <f t="shared" si="290"/>
        <v>Kingsley</v>
      </c>
      <c r="G3769" t="str">
        <f t="shared" si="291"/>
        <v>Kingsley1900Garland</v>
      </c>
      <c r="H3769" t="s">
        <v>34627</v>
      </c>
      <c r="I3769" t="s">
        <v>26051</v>
      </c>
      <c r="J3769" t="str">
        <f t="shared" si="292"/>
        <v>E:\PropInv\MF</v>
      </c>
      <c r="K3769" s="103" t="str">
        <f>HYPERLINK("E:\PropInv\MF\Garland\Kingsley W_1900_Kingsley Crossings_Garland_13622","Kingsley W_1900_Kingsley Crossings_Garland_13622" )</f>
        <v>Kingsley W_1900_Kingsley Crossings_Garland_13622</v>
      </c>
      <c r="L3769" s="104" t="s">
        <v>22253</v>
      </c>
      <c r="M3769" s="103" t="str">
        <f t="shared" si="293"/>
        <v>http://oconnordata.com/mlink/modules/profile/index.cfm?action=profile&amp;prop_id=13622</v>
      </c>
      <c r="N3769" s="1">
        <f t="shared" si="294"/>
        <v>13622</v>
      </c>
    </row>
    <row r="3770" spans="1:14" x14ac:dyDescent="0.3">
      <c r="A3770" s="1">
        <v>13623</v>
      </c>
      <c r="B3770" s="7" t="s">
        <v>5765</v>
      </c>
      <c r="C3770" s="12">
        <v>1509</v>
      </c>
      <c r="D3770" s="7" t="s">
        <v>5766</v>
      </c>
      <c r="E3770" s="13" t="s">
        <v>4996</v>
      </c>
      <c r="F3770" t="str">
        <f t="shared" si="290"/>
        <v>Main</v>
      </c>
      <c r="G3770" t="str">
        <f t="shared" si="291"/>
        <v>Main1509Dallas</v>
      </c>
      <c r="H3770" t="s">
        <v>34628</v>
      </c>
      <c r="I3770" t="s">
        <v>26052</v>
      </c>
      <c r="J3770" t="str">
        <f t="shared" si="292"/>
        <v>E:\PropInv\MF</v>
      </c>
      <c r="K3770" s="103" t="str">
        <f>HYPERLINK("E:\PropInv\MF\Dallas\Main_1509_Kirby Residences On Main_Dallas_13623","Main_1509_Kirby Residences On Main_Dallas_13623" )</f>
        <v>Main_1509_Kirby Residences On Main_Dallas_13623</v>
      </c>
      <c r="L3770" s="104" t="s">
        <v>22253</v>
      </c>
      <c r="M3770" s="103" t="str">
        <f t="shared" si="293"/>
        <v>http://oconnordata.com/mlink/modules/profile/index.cfm?action=profile&amp;prop_id=13623</v>
      </c>
      <c r="N3770" s="1">
        <f t="shared" si="294"/>
        <v>13623</v>
      </c>
    </row>
    <row r="3771" spans="1:14" x14ac:dyDescent="0.3">
      <c r="A3771" s="1">
        <v>13625</v>
      </c>
      <c r="B3771" s="7" t="s">
        <v>5767</v>
      </c>
      <c r="C3771" s="12">
        <v>700</v>
      </c>
      <c r="D3771" s="7" t="s">
        <v>5768</v>
      </c>
      <c r="E3771" s="13" t="s">
        <v>5046</v>
      </c>
      <c r="F3771" t="str">
        <f t="shared" si="290"/>
        <v>Story</v>
      </c>
      <c r="G3771" t="str">
        <f t="shared" si="291"/>
        <v>Story700Irving</v>
      </c>
      <c r="H3771" t="s">
        <v>34629</v>
      </c>
      <c r="I3771" t="s">
        <v>26053</v>
      </c>
      <c r="J3771" t="str">
        <f t="shared" si="292"/>
        <v>E:\PropInv\MF</v>
      </c>
      <c r="K3771" s="103" t="str">
        <f>HYPERLINK("E:\PropInv\MF\Irving\Story Rd S_700_Kirkwood Park_Irving_13625","Story Rd S_700_Kirkwood Park_Irving_13625" )</f>
        <v>Story Rd S_700_Kirkwood Park_Irving_13625</v>
      </c>
      <c r="L3771" s="104" t="s">
        <v>22253</v>
      </c>
      <c r="M3771" s="103" t="str">
        <f t="shared" si="293"/>
        <v>http://oconnordata.com/mlink/modules/profile/index.cfm?action=profile&amp;prop_id=13625</v>
      </c>
      <c r="N3771" s="1">
        <f t="shared" si="294"/>
        <v>13625</v>
      </c>
    </row>
    <row r="3772" spans="1:14" x14ac:dyDescent="0.3">
      <c r="A3772" s="1">
        <v>13626</v>
      </c>
      <c r="B3772" s="7" t="s">
        <v>5769</v>
      </c>
      <c r="C3772" s="12">
        <v>2500</v>
      </c>
      <c r="D3772" s="7" t="s">
        <v>5770</v>
      </c>
      <c r="E3772" s="13" t="s">
        <v>5060</v>
      </c>
      <c r="F3772" t="str">
        <f t="shared" si="290"/>
        <v>Guerrero</v>
      </c>
      <c r="G3772" t="str">
        <f t="shared" si="291"/>
        <v>Guerrero2500Carrollton</v>
      </c>
      <c r="H3772" t="s">
        <v>34630</v>
      </c>
      <c r="I3772" t="s">
        <v>26054</v>
      </c>
      <c r="J3772" t="str">
        <f t="shared" si="292"/>
        <v>E:\PropInv\MF</v>
      </c>
      <c r="K3772" s="103" t="str">
        <f>HYPERLINK("E:\PropInv\MF\Carrollton\Guerrero Dr_2500_Carrollton Oaks_Carrollton_13626","Guerrero Dr_2500_Carrollton Oaks_Carrollton_13626" )</f>
        <v>Guerrero Dr_2500_Carrollton Oaks_Carrollton_13626</v>
      </c>
      <c r="L3772" s="104" t="s">
        <v>22253</v>
      </c>
      <c r="M3772" s="103" t="str">
        <f t="shared" si="293"/>
        <v>http://oconnordata.com/mlink/modules/profile/index.cfm?action=profile&amp;prop_id=13626</v>
      </c>
      <c r="N3772" s="1">
        <f t="shared" si="294"/>
        <v>13626</v>
      </c>
    </row>
    <row r="3773" spans="1:14" x14ac:dyDescent="0.3">
      <c r="A3773" s="1">
        <v>13627</v>
      </c>
      <c r="B3773" s="7" t="s">
        <v>1472</v>
      </c>
      <c r="C3773" s="12">
        <v>2727</v>
      </c>
      <c r="D3773" s="7" t="s">
        <v>5771</v>
      </c>
      <c r="E3773" s="13" t="s">
        <v>5046</v>
      </c>
      <c r="F3773" t="str">
        <f t="shared" si="290"/>
        <v>Walnut</v>
      </c>
      <c r="G3773" t="str">
        <f t="shared" si="291"/>
        <v>Walnut2727Irving</v>
      </c>
      <c r="H3773" t="s">
        <v>34631</v>
      </c>
      <c r="I3773" t="s">
        <v>26055</v>
      </c>
      <c r="J3773" t="str">
        <f t="shared" si="292"/>
        <v>E:\PropInv\MF</v>
      </c>
      <c r="K3773" s="103" t="str">
        <f>HYPERLINK("E:\PropInv\MF\Irving\Walnut Hill_2727_Knollwood_Irving_13627","Walnut Hill_2727_Knollwood_Irving_13627" )</f>
        <v>Walnut Hill_2727_Knollwood_Irving_13627</v>
      </c>
      <c r="L3773" s="104" t="s">
        <v>22253</v>
      </c>
      <c r="M3773" s="103" t="str">
        <f t="shared" si="293"/>
        <v>http://oconnordata.com/mlink/modules/profile/index.cfm?action=profile&amp;prop_id=13627</v>
      </c>
      <c r="N3773" s="1">
        <f t="shared" si="294"/>
        <v>13627</v>
      </c>
    </row>
    <row r="3774" spans="1:14" x14ac:dyDescent="0.3">
      <c r="A3774" s="1">
        <v>13628</v>
      </c>
      <c r="B3774" s="7" t="s">
        <v>5566</v>
      </c>
      <c r="C3774" s="12">
        <v>4649</v>
      </c>
      <c r="D3774" s="7" t="s">
        <v>5772</v>
      </c>
      <c r="E3774" s="13" t="s">
        <v>4996</v>
      </c>
      <c r="F3774" t="str">
        <f t="shared" si="290"/>
        <v>Cole</v>
      </c>
      <c r="G3774" t="str">
        <f t="shared" si="291"/>
        <v>Cole4649Dallas</v>
      </c>
      <c r="H3774" t="s">
        <v>34632</v>
      </c>
      <c r="I3774" t="s">
        <v>26056</v>
      </c>
      <c r="J3774" t="str">
        <f t="shared" si="292"/>
        <v>E:\PropInv\MF</v>
      </c>
      <c r="K3774" s="103" t="str">
        <f>HYPERLINK("E:\PropInv\MF\Dallas\Cole_4649_Gables Knoxbridge_Dallas_13628","Cole_4649_Gables Knoxbridge_Dallas_13628" )</f>
        <v>Cole_4649_Gables Knoxbridge_Dallas_13628</v>
      </c>
      <c r="L3774" s="104" t="s">
        <v>22253</v>
      </c>
      <c r="M3774" s="103" t="str">
        <f t="shared" si="293"/>
        <v>http://oconnordata.com/mlink/modules/profile/index.cfm?action=profile&amp;prop_id=13628</v>
      </c>
      <c r="N3774" s="1">
        <f t="shared" si="294"/>
        <v>13628</v>
      </c>
    </row>
    <row r="3775" spans="1:14" x14ac:dyDescent="0.3">
      <c r="A3775" s="1">
        <v>13630</v>
      </c>
      <c r="B3775" s="7" t="s">
        <v>5773</v>
      </c>
      <c r="C3775" s="12">
        <v>12500</v>
      </c>
      <c r="D3775" s="7" t="s">
        <v>5774</v>
      </c>
      <c r="E3775" s="13" t="s">
        <v>4996</v>
      </c>
      <c r="F3775" t="str">
        <f t="shared" si="290"/>
        <v>Merit</v>
      </c>
      <c r="G3775" t="str">
        <f t="shared" si="291"/>
        <v>Merit12500Dallas</v>
      </c>
      <c r="H3775" t="s">
        <v>34633</v>
      </c>
      <c r="I3775" t="s">
        <v>26057</v>
      </c>
      <c r="J3775" t="str">
        <f t="shared" si="292"/>
        <v>E:\PropInv\MF</v>
      </c>
      <c r="K3775" s="103" t="str">
        <f>HYPERLINK("E:\PropInv\MF\Dallas\Merit Dr_12500_La Costa Villas_Dallas_13630","Merit Dr_12500_La Costa Villas_Dallas_13630" )</f>
        <v>Merit Dr_12500_La Costa Villas_Dallas_13630</v>
      </c>
      <c r="L3775" s="104" t="s">
        <v>22253</v>
      </c>
      <c r="M3775" s="103" t="str">
        <f t="shared" si="293"/>
        <v>http://oconnordata.com/mlink/modules/profile/index.cfm?action=profile&amp;prop_id=13630</v>
      </c>
      <c r="N3775" s="1">
        <f t="shared" si="294"/>
        <v>13630</v>
      </c>
    </row>
    <row r="3776" spans="1:14" x14ac:dyDescent="0.3">
      <c r="A3776" s="1">
        <v>13631</v>
      </c>
      <c r="B3776" s="7" t="s">
        <v>5775</v>
      </c>
      <c r="C3776" s="12">
        <v>8383</v>
      </c>
      <c r="D3776" s="7" t="s">
        <v>5776</v>
      </c>
      <c r="E3776" s="13" t="s">
        <v>4996</v>
      </c>
      <c r="F3776" t="str">
        <f t="shared" si="290"/>
        <v>La</v>
      </c>
      <c r="G3776" t="str">
        <f t="shared" si="291"/>
        <v>La8383Dallas</v>
      </c>
      <c r="H3776" t="s">
        <v>34634</v>
      </c>
      <c r="I3776" t="s">
        <v>26058</v>
      </c>
      <c r="J3776" t="str">
        <f t="shared" si="292"/>
        <v>E:\PropInv\MF</v>
      </c>
      <c r="K3776" s="103" t="str">
        <f>HYPERLINK("E:\PropInv\MF\Dallas\La Prada Dr_8383_La Prada Place_Dallas_13631","La Prada Dr_8383_La Prada Place_Dallas_13631" )</f>
        <v>La Prada Dr_8383_La Prada Place_Dallas_13631</v>
      </c>
      <c r="L3776" s="104" t="s">
        <v>22253</v>
      </c>
      <c r="M3776" s="103" t="str">
        <f t="shared" si="293"/>
        <v>http://oconnordata.com/mlink/modules/profile/index.cfm?action=profile&amp;prop_id=13631</v>
      </c>
      <c r="N3776" s="1">
        <f t="shared" si="294"/>
        <v>13631</v>
      </c>
    </row>
    <row r="3777" spans="1:14" x14ac:dyDescent="0.3">
      <c r="A3777" s="1">
        <v>13633</v>
      </c>
      <c r="B3777" s="7" t="s">
        <v>5777</v>
      </c>
      <c r="C3777" s="12">
        <v>2600</v>
      </c>
      <c r="D3777" s="7" t="s">
        <v>5778</v>
      </c>
      <c r="E3777" s="13" t="s">
        <v>5009</v>
      </c>
      <c r="F3777" t="str">
        <f t="shared" si="290"/>
        <v>Ventura</v>
      </c>
      <c r="G3777" t="str">
        <f t="shared" si="291"/>
        <v>Ventura2600Plano</v>
      </c>
      <c r="H3777" t="s">
        <v>34635</v>
      </c>
      <c r="I3777" t="s">
        <v>26059</v>
      </c>
      <c r="J3777" t="str">
        <f t="shared" si="292"/>
        <v>E:\PropInv\MF</v>
      </c>
      <c r="K3777" s="103" t="str">
        <f>HYPERLINK("E:\PropInv\MF\Plano\Ventura_2600_La Ventura_Plano_13633","Ventura_2600_La Ventura_Plano_13633" )</f>
        <v>Ventura_2600_La Ventura_Plano_13633</v>
      </c>
      <c r="L3777" s="104" t="s">
        <v>22253</v>
      </c>
      <c r="M3777" s="103" t="str">
        <f t="shared" si="293"/>
        <v>http://oconnordata.com/mlink/modules/profile/index.cfm?action=profile&amp;prop_id=13633</v>
      </c>
      <c r="N3777" s="1">
        <f t="shared" si="294"/>
        <v>13633</v>
      </c>
    </row>
    <row r="3778" spans="1:14" x14ac:dyDescent="0.3">
      <c r="A3778" s="1">
        <v>13634</v>
      </c>
      <c r="B3778" s="7" t="s">
        <v>5779</v>
      </c>
      <c r="C3778" s="12">
        <v>1401</v>
      </c>
      <c r="D3778" s="7" t="s">
        <v>5780</v>
      </c>
      <c r="E3778" s="13" t="s">
        <v>5781</v>
      </c>
      <c r="F3778" t="str">
        <f t="shared" ref="F3778:F3841" si="295">IFERROR(LEFT(B3778,FIND(" ",B3778)-1),B3778)</f>
        <v>Sotogrande</v>
      </c>
      <c r="G3778" t="str">
        <f t="shared" ref="G3778:G3841" si="296">F3778&amp;C3778&amp;E3778</f>
        <v>Sotogrande1401Euless</v>
      </c>
      <c r="H3778" t="s">
        <v>34636</v>
      </c>
      <c r="I3778" t="s">
        <v>26060</v>
      </c>
      <c r="J3778" t="str">
        <f t="shared" ref="J3778:J3841" si="297">IF(L3778="TX",Folder_Path,Folder_Path&amp;"\State_"&amp;L3778)</f>
        <v>E:\PropInv\MF</v>
      </c>
      <c r="K3778" s="103" t="str">
        <f>HYPERLINK("E:\PropInv\MF\Euless\Sotogrande Blvd_1401_Westdale Hills LaCosta_Euless_13634","Sotogrande Blvd_1401_Westdale Hills LaCosta_Euless_13634" )</f>
        <v>Sotogrande Blvd_1401_Westdale Hills LaCosta_Euless_13634</v>
      </c>
      <c r="L3778" s="104" t="s">
        <v>22253</v>
      </c>
      <c r="M3778" s="103" t="str">
        <f t="shared" ref="M3778:M3841" si="298">HYPERLINK("http://oconnordata.com/mlink/modules/profile/index.cfm?action=profile&amp;prop_id="&amp;A3778)</f>
        <v>http://oconnordata.com/mlink/modules/profile/index.cfm?action=profile&amp;prop_id=13634</v>
      </c>
      <c r="N3778" s="1">
        <f t="shared" ref="N3778:N3841" si="299">IF(LEN(A3778)=1,"0000"&amp;A3778,IF(LEN(A3778)=2,"000"&amp;A3778,IF(LEN(A3778)=3,"00"&amp;A3778,IF(LEN(A3778)=4,"0"&amp;A3778,IF(LEN(A3778)=5,IF(LEFT(A3778,1)="3",A3778+30000,A3778))))))</f>
        <v>13634</v>
      </c>
    </row>
    <row r="3779" spans="1:14" x14ac:dyDescent="0.3">
      <c r="A3779" s="1">
        <v>13635</v>
      </c>
      <c r="B3779" s="7" t="s">
        <v>5782</v>
      </c>
      <c r="C3779" s="12">
        <v>1365</v>
      </c>
      <c r="D3779" s="7" t="s">
        <v>5783</v>
      </c>
      <c r="E3779" s="13" t="s">
        <v>5019</v>
      </c>
      <c r="F3779" t="str">
        <f t="shared" si="295"/>
        <v>30</v>
      </c>
      <c r="G3779" t="str">
        <f t="shared" si="296"/>
        <v>301365Garland</v>
      </c>
      <c r="H3779" t="s">
        <v>34637</v>
      </c>
      <c r="I3779" t="s">
        <v>26061</v>
      </c>
      <c r="J3779" t="str">
        <f t="shared" si="297"/>
        <v>E:\PropInv\MF</v>
      </c>
      <c r="K3779" s="103" t="str">
        <f>HYPERLINK("E:\PropInv\MF\Garland\30 IH E_1365_Lake Bluff_Garland_13635","30 IH E_1365_Lake Bluff_Garland_13635" )</f>
        <v>30 IH E_1365_Lake Bluff_Garland_13635</v>
      </c>
      <c r="L3779" s="104" t="s">
        <v>22253</v>
      </c>
      <c r="M3779" s="103" t="str">
        <f t="shared" si="298"/>
        <v>http://oconnordata.com/mlink/modules/profile/index.cfm?action=profile&amp;prop_id=13635</v>
      </c>
      <c r="N3779" s="1">
        <f t="shared" si="299"/>
        <v>13635</v>
      </c>
    </row>
    <row r="3780" spans="1:14" x14ac:dyDescent="0.3">
      <c r="A3780" s="1">
        <v>13637</v>
      </c>
      <c r="B3780" s="7" t="s">
        <v>5784</v>
      </c>
      <c r="C3780" s="12">
        <v>4605</v>
      </c>
      <c r="D3780" s="7" t="s">
        <v>5785</v>
      </c>
      <c r="E3780" s="13" t="s">
        <v>5019</v>
      </c>
      <c r="F3780" t="str">
        <f t="shared" si="295"/>
        <v>Chaha</v>
      </c>
      <c r="G3780" t="str">
        <f t="shared" si="296"/>
        <v>Chaha4605Garland</v>
      </c>
      <c r="H3780" t="s">
        <v>34638</v>
      </c>
      <c r="I3780" t="s">
        <v>26062</v>
      </c>
      <c r="J3780" t="str">
        <f t="shared" si="297"/>
        <v>E:\PropInv\MF</v>
      </c>
      <c r="K3780" s="103" t="str">
        <f>HYPERLINK("E:\PropInv\MF\Garland\Chaha Rd_4605_Lake Colony TH_Garland_13637","Chaha Rd_4605_Lake Colony TH_Garland_13637" )</f>
        <v>Chaha Rd_4605_Lake Colony TH_Garland_13637</v>
      </c>
      <c r="L3780" s="104" t="s">
        <v>22253</v>
      </c>
      <c r="M3780" s="103" t="str">
        <f t="shared" si="298"/>
        <v>http://oconnordata.com/mlink/modules/profile/index.cfm?action=profile&amp;prop_id=13637</v>
      </c>
      <c r="N3780" s="1">
        <f t="shared" si="299"/>
        <v>13637</v>
      </c>
    </row>
    <row r="3781" spans="1:14" x14ac:dyDescent="0.3">
      <c r="A3781" s="1">
        <v>13639</v>
      </c>
      <c r="B3781" s="19" t="s">
        <v>5786</v>
      </c>
      <c r="C3781" s="12">
        <v>5409</v>
      </c>
      <c r="D3781" s="7" t="s">
        <v>5787</v>
      </c>
      <c r="E3781" s="13" t="s">
        <v>5019</v>
      </c>
      <c r="F3781" t="str">
        <f t="shared" si="295"/>
        <v>Zion</v>
      </c>
      <c r="G3781" t="str">
        <f t="shared" si="296"/>
        <v>Zion5409Garland</v>
      </c>
      <c r="H3781" t="s">
        <v>34639</v>
      </c>
      <c r="I3781" t="s">
        <v>26063</v>
      </c>
      <c r="J3781" t="str">
        <f t="shared" si="297"/>
        <v>E:\PropInv\MF</v>
      </c>
      <c r="K3781" s="103" t="str">
        <f>HYPERLINK("E:\PropInv\MF\Garland\Zion_5409_Lake Meadows_Garland_13639","Zion_5409_Lake Meadows_Garland_13639" )</f>
        <v>Zion_5409_Lake Meadows_Garland_13639</v>
      </c>
      <c r="L3781" s="104" t="s">
        <v>22253</v>
      </c>
      <c r="M3781" s="103" t="str">
        <f t="shared" si="298"/>
        <v>http://oconnordata.com/mlink/modules/profile/index.cfm?action=profile&amp;prop_id=13639</v>
      </c>
      <c r="N3781" s="1">
        <f t="shared" si="299"/>
        <v>13639</v>
      </c>
    </row>
    <row r="3782" spans="1:14" x14ac:dyDescent="0.3">
      <c r="A3782" s="1">
        <v>13640</v>
      </c>
      <c r="B3782" s="7" t="s">
        <v>5788</v>
      </c>
      <c r="C3782" s="12" t="s">
        <v>5789</v>
      </c>
      <c r="D3782" s="7" t="s">
        <v>5790</v>
      </c>
      <c r="E3782" s="13" t="s">
        <v>4996</v>
      </c>
      <c r="F3782" t="str">
        <f t="shared" si="295"/>
        <v>Lake</v>
      </c>
      <c r="G3782" t="str">
        <f t="shared" si="296"/>
        <v>Lake9340-ADallas</v>
      </c>
      <c r="H3782" t="s">
        <v>34640</v>
      </c>
      <c r="I3782" t="s">
        <v>26064</v>
      </c>
      <c r="J3782" t="str">
        <f t="shared" si="297"/>
        <v>E:\PropInv\MF</v>
      </c>
      <c r="K3782" s="103" t="str">
        <f>HYPERLINK("E:\PropInv\MF\Dallas\Lake Cir N_9340-A_Lake North_Dallas_13640","Lake Cir N_9340-A_Lake North_Dallas_13640" )</f>
        <v>Lake Cir N_9340-A_Lake North_Dallas_13640</v>
      </c>
      <c r="L3782" s="104" t="s">
        <v>22253</v>
      </c>
      <c r="M3782" s="103" t="str">
        <f t="shared" si="298"/>
        <v>http://oconnordata.com/mlink/modules/profile/index.cfm?action=profile&amp;prop_id=13640</v>
      </c>
      <c r="N3782" s="1">
        <f t="shared" si="299"/>
        <v>13640</v>
      </c>
    </row>
    <row r="3783" spans="1:14" x14ac:dyDescent="0.3">
      <c r="A3783" s="1">
        <v>13641</v>
      </c>
      <c r="B3783" s="7" t="s">
        <v>5791</v>
      </c>
      <c r="C3783" s="12">
        <v>1720</v>
      </c>
      <c r="D3783" s="7" t="s">
        <v>5792</v>
      </c>
      <c r="E3783" s="13" t="s">
        <v>5046</v>
      </c>
      <c r="F3783" t="str">
        <f t="shared" si="295"/>
        <v>Valley</v>
      </c>
      <c r="G3783" t="str">
        <f t="shared" si="296"/>
        <v>Valley1720Irving</v>
      </c>
      <c r="H3783" t="s">
        <v>34641</v>
      </c>
      <c r="I3783" t="s">
        <v>26065</v>
      </c>
      <c r="J3783" t="str">
        <f t="shared" si="297"/>
        <v>E:\PropInv\MF</v>
      </c>
      <c r="K3783" s="103" t="str">
        <f>HYPERLINK("E:\PropInv\MF\Irving\Valley View Ln_1720_Lake Ridge_Irving_13641","Valley View Ln_1720_Lake Ridge_Irving_13641" )</f>
        <v>Valley View Ln_1720_Lake Ridge_Irving_13641</v>
      </c>
      <c r="L3783" s="104" t="s">
        <v>22253</v>
      </c>
      <c r="M3783" s="103" t="str">
        <f t="shared" si="298"/>
        <v>http://oconnordata.com/mlink/modules/profile/index.cfm?action=profile&amp;prop_id=13641</v>
      </c>
      <c r="N3783" s="1">
        <f t="shared" si="299"/>
        <v>13641</v>
      </c>
    </row>
    <row r="3784" spans="1:14" x14ac:dyDescent="0.3">
      <c r="A3784" s="1">
        <v>13642</v>
      </c>
      <c r="B3784" s="7" t="s">
        <v>5793</v>
      </c>
      <c r="C3784" s="12">
        <v>2921</v>
      </c>
      <c r="D3784" s="7" t="s">
        <v>5794</v>
      </c>
      <c r="E3784" s="13" t="s">
        <v>4996</v>
      </c>
      <c r="F3784" t="str">
        <f t="shared" si="295"/>
        <v>Kendale</v>
      </c>
      <c r="G3784" t="str">
        <f t="shared" si="296"/>
        <v>Kendale2921Dallas</v>
      </c>
      <c r="H3784" t="s">
        <v>34642</v>
      </c>
      <c r="I3784" t="s">
        <v>26066</v>
      </c>
      <c r="J3784" t="str">
        <f t="shared" si="297"/>
        <v>E:\PropInv\MF</v>
      </c>
      <c r="K3784" s="103" t="str">
        <f>HYPERLINK("E:\PropInv\MF\Dallas\Kendale_2921_Lakedale_Dallas_13642","Kendale_2921_Lakedale_Dallas_13642" )</f>
        <v>Kendale_2921_Lakedale_Dallas_13642</v>
      </c>
      <c r="L3784" s="104" t="s">
        <v>22253</v>
      </c>
      <c r="M3784" s="103" t="str">
        <f t="shared" si="298"/>
        <v>http://oconnordata.com/mlink/modules/profile/index.cfm?action=profile&amp;prop_id=13642</v>
      </c>
      <c r="N3784" s="1">
        <f t="shared" si="299"/>
        <v>13642</v>
      </c>
    </row>
    <row r="3785" spans="1:14" x14ac:dyDescent="0.3">
      <c r="A3785" s="1">
        <v>13643</v>
      </c>
      <c r="B3785" s="7" t="s">
        <v>5795</v>
      </c>
      <c r="C3785" s="12">
        <v>900</v>
      </c>
      <c r="D3785" s="7" t="s">
        <v>5796</v>
      </c>
      <c r="E3785" s="13" t="s">
        <v>3328</v>
      </c>
      <c r="F3785" t="str">
        <f t="shared" si="295"/>
        <v>Spring</v>
      </c>
      <c r="G3785" t="str">
        <f t="shared" si="296"/>
        <v>Spring900Richardson</v>
      </c>
      <c r="H3785" t="s">
        <v>34643</v>
      </c>
      <c r="I3785" t="s">
        <v>26067</v>
      </c>
      <c r="J3785" t="str">
        <f t="shared" si="297"/>
        <v>E:\PropInv\MF</v>
      </c>
      <c r="K3785" s="103" t="str">
        <f>HYPERLINK("E:\PropInv\MF\Richardson\Spring Valley Rd W_900_Lakefront Villas_Richardson_13643","Spring Valley Rd W_900_Lakefront Villas_Richardson_13643" )</f>
        <v>Spring Valley Rd W_900_Lakefront Villas_Richardson_13643</v>
      </c>
      <c r="L3785" s="104" t="s">
        <v>22253</v>
      </c>
      <c r="M3785" s="103" t="str">
        <f t="shared" si="298"/>
        <v>http://oconnordata.com/mlink/modules/profile/index.cfm?action=profile&amp;prop_id=13643</v>
      </c>
      <c r="N3785" s="1">
        <f t="shared" si="299"/>
        <v>13643</v>
      </c>
    </row>
    <row r="3786" spans="1:14" x14ac:dyDescent="0.3">
      <c r="A3786" s="1">
        <v>13644</v>
      </c>
      <c r="B3786" s="7" t="s">
        <v>5797</v>
      </c>
      <c r="C3786" s="12">
        <v>2610</v>
      </c>
      <c r="D3786" s="7" t="s">
        <v>5798</v>
      </c>
      <c r="E3786" s="13" t="s">
        <v>5060</v>
      </c>
      <c r="F3786" t="str">
        <f t="shared" si="295"/>
        <v>Lakehill</v>
      </c>
      <c r="G3786" t="str">
        <f t="shared" si="296"/>
        <v>Lakehill2610Carrollton</v>
      </c>
      <c r="H3786" t="s">
        <v>34644</v>
      </c>
      <c r="I3786" t="s">
        <v>26068</v>
      </c>
      <c r="J3786" t="str">
        <f t="shared" si="297"/>
        <v>E:\PropInv\MF</v>
      </c>
      <c r="K3786" s="103" t="str">
        <f>HYPERLINK("E:\PropInv\MF\Carrollton\Lakehill_2610_Lakehill TH_Carrollton_13644","Lakehill_2610_Lakehill TH_Carrollton_13644" )</f>
        <v>Lakehill_2610_Lakehill TH_Carrollton_13644</v>
      </c>
      <c r="L3786" s="104" t="s">
        <v>22253</v>
      </c>
      <c r="M3786" s="103" t="str">
        <f t="shared" si="298"/>
        <v>http://oconnordata.com/mlink/modules/profile/index.cfm?action=profile&amp;prop_id=13644</v>
      </c>
      <c r="N3786" s="1">
        <f t="shared" si="299"/>
        <v>13644</v>
      </c>
    </row>
    <row r="3787" spans="1:14" x14ac:dyDescent="0.3">
      <c r="A3787" s="1">
        <v>13645</v>
      </c>
      <c r="B3787" s="7" t="s">
        <v>5799</v>
      </c>
      <c r="C3787" s="12">
        <v>322</v>
      </c>
      <c r="D3787" s="7" t="s">
        <v>5800</v>
      </c>
      <c r="E3787" s="13" t="s">
        <v>5055</v>
      </c>
      <c r="F3787" t="str">
        <f t="shared" si="295"/>
        <v>Lake</v>
      </c>
      <c r="G3787" t="str">
        <f t="shared" si="296"/>
        <v>Lake322Lewisville</v>
      </c>
      <c r="H3787" t="s">
        <v>34645</v>
      </c>
      <c r="I3787" t="s">
        <v>26069</v>
      </c>
      <c r="J3787" t="str">
        <f t="shared" si="297"/>
        <v>E:\PropInv\MF</v>
      </c>
      <c r="K3787" s="103" t="str">
        <f>HYPERLINK("E:\PropInv\MF\Lewisville\Lake Park Rd_322_Lakeland_Lewisville_13645","Lake Park Rd_322_Lakeland_Lewisville_13645" )</f>
        <v>Lake Park Rd_322_Lakeland_Lewisville_13645</v>
      </c>
      <c r="L3787" s="104" t="s">
        <v>22253</v>
      </c>
      <c r="M3787" s="103" t="str">
        <f t="shared" si="298"/>
        <v>http://oconnordata.com/mlink/modules/profile/index.cfm?action=profile&amp;prop_id=13645</v>
      </c>
      <c r="N3787" s="1">
        <f t="shared" si="299"/>
        <v>13645</v>
      </c>
    </row>
    <row r="3788" spans="1:14" x14ac:dyDescent="0.3">
      <c r="A3788" s="1">
        <v>13646</v>
      </c>
      <c r="B3788" s="7" t="s">
        <v>5801</v>
      </c>
      <c r="C3788" s="12">
        <v>2025</v>
      </c>
      <c r="D3788" s="7" t="s">
        <v>5802</v>
      </c>
      <c r="E3788" s="13" t="s">
        <v>5055</v>
      </c>
      <c r="F3788" t="str">
        <f t="shared" si="295"/>
        <v>Lakepoint</v>
      </c>
      <c r="G3788" t="str">
        <f t="shared" si="296"/>
        <v>Lakepoint2025Lewisville</v>
      </c>
      <c r="H3788" t="s">
        <v>34646</v>
      </c>
      <c r="I3788" t="s">
        <v>26070</v>
      </c>
      <c r="J3788" t="str">
        <f t="shared" si="297"/>
        <v>E:\PropInv\MF</v>
      </c>
      <c r="K3788" s="103" t="str">
        <f>HYPERLINK("E:\PropInv\MF\Lewisville\Lakepoint Dr_2025_Lakepointe Residences_Lewisville_13646","Lakepoint Dr_2025_Lakepointe Residences_Lewisville_13646" )</f>
        <v>Lakepoint Dr_2025_Lakepointe Residences_Lewisville_13646</v>
      </c>
      <c r="L3788" s="104" t="s">
        <v>22253</v>
      </c>
      <c r="M3788" s="103" t="str">
        <f t="shared" si="298"/>
        <v>http://oconnordata.com/mlink/modules/profile/index.cfm?action=profile&amp;prop_id=13646</v>
      </c>
      <c r="N3788" s="1">
        <f t="shared" si="299"/>
        <v>13646</v>
      </c>
    </row>
    <row r="3789" spans="1:14" x14ac:dyDescent="0.3">
      <c r="A3789" s="1">
        <v>13647</v>
      </c>
      <c r="B3789" s="7" t="s">
        <v>5332</v>
      </c>
      <c r="C3789" s="12">
        <v>8610</v>
      </c>
      <c r="D3789" s="7" t="s">
        <v>4215</v>
      </c>
      <c r="E3789" s="13" t="s">
        <v>4996</v>
      </c>
      <c r="F3789" t="str">
        <f t="shared" si="295"/>
        <v>Southwestern</v>
      </c>
      <c r="G3789" t="str">
        <f t="shared" si="296"/>
        <v>Southwestern8610Dallas</v>
      </c>
      <c r="H3789" t="s">
        <v>34647</v>
      </c>
      <c r="I3789" t="s">
        <v>26071</v>
      </c>
      <c r="J3789" t="str">
        <f t="shared" si="297"/>
        <v>E:\PropInv\MF</v>
      </c>
      <c r="K3789" s="103" t="str">
        <f>HYPERLINK("E:\PropInv\MF\Dallas\Southwestern_8610_The Lakes_Dallas_13647","Southwestern_8610_The Lakes_Dallas_13647" )</f>
        <v>Southwestern_8610_The Lakes_Dallas_13647</v>
      </c>
      <c r="L3789" s="104" t="s">
        <v>22253</v>
      </c>
      <c r="M3789" s="103" t="str">
        <f t="shared" si="298"/>
        <v>http://oconnordata.com/mlink/modules/profile/index.cfm?action=profile&amp;prop_id=13647</v>
      </c>
      <c r="N3789" s="1">
        <f t="shared" si="299"/>
        <v>13647</v>
      </c>
    </row>
    <row r="3790" spans="1:14" x14ac:dyDescent="0.3">
      <c r="A3790" s="1">
        <v>13648</v>
      </c>
      <c r="B3790" s="7" t="s">
        <v>5334</v>
      </c>
      <c r="C3790" s="12">
        <v>1400</v>
      </c>
      <c r="D3790" s="7" t="s">
        <v>5803</v>
      </c>
      <c r="E3790" s="13" t="s">
        <v>5043</v>
      </c>
      <c r="F3790" t="str">
        <f t="shared" si="295"/>
        <v>Eldorado</v>
      </c>
      <c r="G3790" t="str">
        <f t="shared" si="296"/>
        <v>Eldorado1400McKinney</v>
      </c>
      <c r="H3790" t="s">
        <v>34648</v>
      </c>
      <c r="I3790" t="s">
        <v>26072</v>
      </c>
      <c r="J3790" t="str">
        <f t="shared" si="297"/>
        <v>E:\PropInv\MF</v>
      </c>
      <c r="K3790" s="103" t="str">
        <f>HYPERLINK("E:\PropInv\MF\McKinney\Eldorado Pkwy_1400_Lakes of Eldorado_McKinney_13648","Eldorado Pkwy_1400_Lakes of Eldorado_McKinney_13648" )</f>
        <v>Eldorado Pkwy_1400_Lakes of Eldorado_McKinney_13648</v>
      </c>
      <c r="L3790" s="104" t="s">
        <v>22253</v>
      </c>
      <c r="M3790" s="103" t="str">
        <f t="shared" si="298"/>
        <v>http://oconnordata.com/mlink/modules/profile/index.cfm?action=profile&amp;prop_id=13648</v>
      </c>
      <c r="N3790" s="1">
        <f t="shared" si="299"/>
        <v>13648</v>
      </c>
    </row>
    <row r="3791" spans="1:14" x14ac:dyDescent="0.3">
      <c r="A3791" s="1">
        <v>13649</v>
      </c>
      <c r="B3791" s="7" t="s">
        <v>5177</v>
      </c>
      <c r="C3791" s="12">
        <v>3700</v>
      </c>
      <c r="D3791" s="7" t="s">
        <v>5804</v>
      </c>
      <c r="E3791" s="13" t="s">
        <v>5009</v>
      </c>
      <c r="F3791" t="str">
        <f t="shared" si="295"/>
        <v>Preston</v>
      </c>
      <c r="G3791" t="str">
        <f t="shared" si="296"/>
        <v>Preston3700Plano</v>
      </c>
      <c r="H3791" t="s">
        <v>34649</v>
      </c>
      <c r="I3791" t="s">
        <v>26073</v>
      </c>
      <c r="J3791" t="str">
        <f t="shared" si="297"/>
        <v>E:\PropInv\MF</v>
      </c>
      <c r="K3791" s="103" t="str">
        <f>HYPERLINK("E:\PropInv\MF\Plano\Preston_3700_Lakeshore at Preston_Plano_13649","Preston_3700_Lakeshore at Preston_Plano_13649" )</f>
        <v>Preston_3700_Lakeshore at Preston_Plano_13649</v>
      </c>
      <c r="L3791" s="104" t="s">
        <v>22253</v>
      </c>
      <c r="M3791" s="103" t="str">
        <f t="shared" si="298"/>
        <v>http://oconnordata.com/mlink/modules/profile/index.cfm?action=profile&amp;prop_id=13649</v>
      </c>
      <c r="N3791" s="1">
        <f t="shared" si="299"/>
        <v>13649</v>
      </c>
    </row>
    <row r="3792" spans="1:14" x14ac:dyDescent="0.3">
      <c r="A3792" s="1">
        <v>13650</v>
      </c>
      <c r="B3792" s="7" t="s">
        <v>5037</v>
      </c>
      <c r="C3792" s="12">
        <v>2250</v>
      </c>
      <c r="D3792" s="7" t="s">
        <v>5805</v>
      </c>
      <c r="E3792" s="13" t="s">
        <v>5060</v>
      </c>
      <c r="F3792" t="str">
        <f t="shared" si="295"/>
        <v>Marsh</v>
      </c>
      <c r="G3792" t="str">
        <f t="shared" si="296"/>
        <v>Marsh2250Carrollton</v>
      </c>
      <c r="H3792" t="s">
        <v>34650</v>
      </c>
      <c r="I3792" t="s">
        <v>26074</v>
      </c>
      <c r="J3792" t="str">
        <f t="shared" si="297"/>
        <v>E:\PropInv\MF</v>
      </c>
      <c r="K3792" s="103" t="str">
        <f>HYPERLINK("E:\PropInv\MF\Carrollton\Marsh Ln_2250_TwentyTwo50 Marsh at Carrollton_Carrollton_13650","Marsh Ln_2250_TwentyTwo50 Marsh at Carrollton_Carrollton_13650" )</f>
        <v>Marsh Ln_2250_TwentyTwo50 Marsh at Carrollton_Carrollton_13650</v>
      </c>
      <c r="L3792" s="104" t="s">
        <v>22253</v>
      </c>
      <c r="M3792" s="103" t="str">
        <f t="shared" si="298"/>
        <v>http://oconnordata.com/mlink/modules/profile/index.cfm?action=profile&amp;prop_id=13650</v>
      </c>
      <c r="N3792" s="1">
        <f t="shared" si="299"/>
        <v>13650</v>
      </c>
    </row>
    <row r="3793" spans="1:14" x14ac:dyDescent="0.3">
      <c r="A3793" s="1">
        <v>13651</v>
      </c>
      <c r="B3793" s="7" t="s">
        <v>5806</v>
      </c>
      <c r="C3793" s="12">
        <v>4501</v>
      </c>
      <c r="D3793" s="7" t="s">
        <v>5807</v>
      </c>
      <c r="E3793" s="13" t="s">
        <v>5019</v>
      </c>
      <c r="F3793" t="str">
        <f t="shared" si="295"/>
        <v>Bobtown</v>
      </c>
      <c r="G3793" t="str">
        <f t="shared" si="296"/>
        <v>Bobtown4501Garland</v>
      </c>
      <c r="H3793" t="s">
        <v>34651</v>
      </c>
      <c r="I3793" t="s">
        <v>26075</v>
      </c>
      <c r="J3793" t="str">
        <f t="shared" si="297"/>
        <v>E:\PropInv\MF</v>
      </c>
      <c r="K3793" s="103" t="str">
        <f>HYPERLINK("E:\PropInv\MF\Garland\Bobtown_4501_Lakeview Village_Garland_13651","Bobtown_4501_Lakeview Village_Garland_13651" )</f>
        <v>Bobtown_4501_Lakeview Village_Garland_13651</v>
      </c>
      <c r="L3793" s="104" t="s">
        <v>22253</v>
      </c>
      <c r="M3793" s="103" t="str">
        <f t="shared" si="298"/>
        <v>http://oconnordata.com/mlink/modules/profile/index.cfm?action=profile&amp;prop_id=13651</v>
      </c>
      <c r="N3793" s="1">
        <f t="shared" si="299"/>
        <v>13651</v>
      </c>
    </row>
    <row r="3794" spans="1:14" x14ac:dyDescent="0.3">
      <c r="A3794" s="1">
        <v>13652</v>
      </c>
      <c r="B3794" s="7" t="s">
        <v>5782</v>
      </c>
      <c r="C3794" s="12">
        <v>1044</v>
      </c>
      <c r="D3794" s="7" t="s">
        <v>5808</v>
      </c>
      <c r="E3794" s="13" t="s">
        <v>5019</v>
      </c>
      <c r="F3794" t="str">
        <f t="shared" si="295"/>
        <v>30</v>
      </c>
      <c r="G3794" t="str">
        <f t="shared" si="296"/>
        <v>301044Garland</v>
      </c>
      <c r="H3794" t="s">
        <v>34652</v>
      </c>
      <c r="I3794" t="s">
        <v>26076</v>
      </c>
      <c r="J3794" t="str">
        <f t="shared" si="297"/>
        <v>E:\PropInv\MF</v>
      </c>
      <c r="K3794" s="103" t="str">
        <f>HYPERLINK("E:\PropInv\MF\Garland\30 IH E_1044_Landmark at Lake Village West_Garland_13652","30 IH E_1044_Landmark at Lake Village West_Garland_13652" )</f>
        <v>30 IH E_1044_Landmark at Lake Village West_Garland_13652</v>
      </c>
      <c r="L3794" s="104" t="s">
        <v>22253</v>
      </c>
      <c r="M3794" s="103" t="str">
        <f t="shared" si="298"/>
        <v>http://oconnordata.com/mlink/modules/profile/index.cfm?action=profile&amp;prop_id=13652</v>
      </c>
      <c r="N3794" s="1">
        <f t="shared" si="299"/>
        <v>13652</v>
      </c>
    </row>
    <row r="3795" spans="1:14" x14ac:dyDescent="0.3">
      <c r="A3795" s="1">
        <v>13653</v>
      </c>
      <c r="B3795" s="7" t="s">
        <v>5809</v>
      </c>
      <c r="C3795" s="12">
        <v>1227</v>
      </c>
      <c r="D3795" s="7" t="s">
        <v>5810</v>
      </c>
      <c r="E3795" s="13" t="s">
        <v>5019</v>
      </c>
      <c r="F3795" t="str">
        <f t="shared" si="295"/>
        <v>Forest</v>
      </c>
      <c r="G3795" t="str">
        <f t="shared" si="296"/>
        <v>Forest1227Garland</v>
      </c>
      <c r="H3795" t="s">
        <v>34653</v>
      </c>
      <c r="I3795" t="s">
        <v>26077</v>
      </c>
      <c r="J3795" t="str">
        <f t="shared" si="297"/>
        <v>E:\PropInv\MF</v>
      </c>
      <c r="K3795" s="103" t="str">
        <f>HYPERLINK("E:\PropInv\MF\Garland\Forest Creek Dr #111_1227_Lakeway Forest-Lake Shore (Demolished)_Garland_13653","Forest Creek Dr #111_1227_Lakeway Forest-Lake Shore (Demolished)_Garland_13653" )</f>
        <v>Forest Creek Dr #111_1227_Lakeway Forest-Lake Shore (Demolished)_Garland_13653</v>
      </c>
      <c r="L3795" s="104" t="s">
        <v>22253</v>
      </c>
      <c r="M3795" s="103" t="str">
        <f t="shared" si="298"/>
        <v>http://oconnordata.com/mlink/modules/profile/index.cfm?action=profile&amp;prop_id=13653</v>
      </c>
      <c r="N3795" s="1">
        <f t="shared" si="299"/>
        <v>13653</v>
      </c>
    </row>
    <row r="3796" spans="1:14" x14ac:dyDescent="0.3">
      <c r="A3796" s="1">
        <v>13654</v>
      </c>
      <c r="B3796" s="7" t="s">
        <v>5699</v>
      </c>
      <c r="C3796" s="12" t="s">
        <v>5811</v>
      </c>
      <c r="D3796" s="7" t="s">
        <v>5812</v>
      </c>
      <c r="E3796" s="13" t="s">
        <v>5019</v>
      </c>
      <c r="F3796" t="str">
        <f t="shared" si="295"/>
        <v>Point</v>
      </c>
      <c r="G3796" t="str">
        <f t="shared" si="296"/>
        <v>Point4350-4366Garland</v>
      </c>
      <c r="H3796" t="s">
        <v>34654</v>
      </c>
      <c r="I3796" t="s">
        <v>26078</v>
      </c>
      <c r="J3796" t="str">
        <f t="shared" si="297"/>
        <v>E:\PropInv\MF</v>
      </c>
      <c r="K3796" s="103" t="str">
        <f>HYPERLINK("E:\PropInv\MF\Garland\Point Blvd_4350-4366_Landmark at Lake Village East II_Garland_13654","Point Blvd_4350-4366_Landmark at Lake Village East II_Garland_13654" )</f>
        <v>Point Blvd_4350-4366_Landmark at Lake Village East II_Garland_13654</v>
      </c>
      <c r="L3796" s="104" t="s">
        <v>22253</v>
      </c>
      <c r="M3796" s="103" t="str">
        <f t="shared" si="298"/>
        <v>http://oconnordata.com/mlink/modules/profile/index.cfm?action=profile&amp;prop_id=13654</v>
      </c>
      <c r="N3796" s="1">
        <f t="shared" si="299"/>
        <v>13654</v>
      </c>
    </row>
    <row r="3797" spans="1:14" x14ac:dyDescent="0.3">
      <c r="A3797" s="1">
        <v>13655</v>
      </c>
      <c r="B3797" s="7" t="s">
        <v>5813</v>
      </c>
      <c r="C3797" s="12">
        <v>4819</v>
      </c>
      <c r="D3797" s="7" t="s">
        <v>5814</v>
      </c>
      <c r="E3797" s="13" t="s">
        <v>5088</v>
      </c>
      <c r="F3797" t="str">
        <f t="shared" si="295"/>
        <v>Galloway</v>
      </c>
      <c r="G3797" t="str">
        <f t="shared" si="296"/>
        <v>Galloway4819Mesquite</v>
      </c>
      <c r="H3797" t="s">
        <v>34655</v>
      </c>
      <c r="I3797" t="s">
        <v>26079</v>
      </c>
      <c r="J3797" t="str">
        <f t="shared" si="297"/>
        <v>E:\PropInv\MF</v>
      </c>
      <c r="K3797" s="103" t="str">
        <f>HYPERLINK("E:\PropInv\MF\Mesquite\Galloway Ave N_4819_Landmark at Laurel Heights I_Mesquite_13655","Galloway Ave N_4819_Landmark at Laurel Heights I_Mesquite_13655" )</f>
        <v>Galloway Ave N_4819_Landmark at Laurel Heights I_Mesquite_13655</v>
      </c>
      <c r="L3797" s="104" t="s">
        <v>22253</v>
      </c>
      <c r="M3797" s="103" t="str">
        <f t="shared" si="298"/>
        <v>http://oconnordata.com/mlink/modules/profile/index.cfm?action=profile&amp;prop_id=13655</v>
      </c>
      <c r="N3797" s="1">
        <f t="shared" si="299"/>
        <v>13655</v>
      </c>
    </row>
    <row r="3798" spans="1:14" x14ac:dyDescent="0.3">
      <c r="A3798" s="1">
        <v>13656</v>
      </c>
      <c r="B3798" s="7" t="s">
        <v>5782</v>
      </c>
      <c r="C3798" s="12" t="s">
        <v>5815</v>
      </c>
      <c r="D3798" s="7" t="s">
        <v>5816</v>
      </c>
      <c r="E3798" s="13" t="s">
        <v>5019</v>
      </c>
      <c r="F3798" t="str">
        <f t="shared" si="295"/>
        <v>30</v>
      </c>
      <c r="G3798" t="str">
        <f t="shared" si="296"/>
        <v>30235-269Garland</v>
      </c>
      <c r="H3798" t="s">
        <v>34656</v>
      </c>
      <c r="I3798" t="s">
        <v>26080</v>
      </c>
      <c r="J3798" t="str">
        <f t="shared" si="297"/>
        <v>E:\PropInv\MF</v>
      </c>
      <c r="K3798" s="103" t="str">
        <f>HYPERLINK("E:\PropInv\MF\Garland\30 IH E_235-269_Landmark at Lake Village North I_Garland_13656","30 IH E_235-269_Landmark at Lake Village North I_Garland_13656" )</f>
        <v>30 IH E_235-269_Landmark at Lake Village North I_Garland_13656</v>
      </c>
      <c r="L3798" s="104" t="s">
        <v>22253</v>
      </c>
      <c r="M3798" s="103" t="str">
        <f t="shared" si="298"/>
        <v>http://oconnordata.com/mlink/modules/profile/index.cfm?action=profile&amp;prop_id=13656</v>
      </c>
      <c r="N3798" s="1">
        <f t="shared" si="299"/>
        <v>13656</v>
      </c>
    </row>
    <row r="3799" spans="1:14" x14ac:dyDescent="0.3">
      <c r="A3799" s="1">
        <v>13657</v>
      </c>
      <c r="B3799" s="7" t="s">
        <v>5782</v>
      </c>
      <c r="C3799" s="12">
        <v>613</v>
      </c>
      <c r="D3799" s="7" t="s">
        <v>5817</v>
      </c>
      <c r="E3799" s="13" t="s">
        <v>5019</v>
      </c>
      <c r="F3799" t="str">
        <f t="shared" si="295"/>
        <v>30</v>
      </c>
      <c r="G3799" t="str">
        <f t="shared" si="296"/>
        <v>30613Garland</v>
      </c>
      <c r="H3799" t="s">
        <v>34657</v>
      </c>
      <c r="I3799" t="s">
        <v>26081</v>
      </c>
      <c r="J3799" t="str">
        <f t="shared" si="297"/>
        <v>E:\PropInv\MF</v>
      </c>
      <c r="K3799" s="103" t="str">
        <f>HYPERLINK("E:\PropInv\MF\Garland\30 IH E_613_Landmark at Lake Village North II_Garland_13657","30 IH E_613_Landmark at Lake Village North II_Garland_13657" )</f>
        <v>30 IH E_613_Landmark at Lake Village North II_Garland_13657</v>
      </c>
      <c r="L3799" s="104" t="s">
        <v>22253</v>
      </c>
      <c r="M3799" s="103" t="str">
        <f t="shared" si="298"/>
        <v>http://oconnordata.com/mlink/modules/profile/index.cfm?action=profile&amp;prop_id=13657</v>
      </c>
      <c r="N3799" s="1">
        <f t="shared" si="299"/>
        <v>13657</v>
      </c>
    </row>
    <row r="3800" spans="1:14" x14ac:dyDescent="0.3">
      <c r="A3800" s="1">
        <v>13658</v>
      </c>
      <c r="B3800" s="7" t="s">
        <v>5818</v>
      </c>
      <c r="C3800" s="12">
        <v>6133</v>
      </c>
      <c r="D3800" s="7" t="s">
        <v>5819</v>
      </c>
      <c r="E3800" s="13" t="s">
        <v>5019</v>
      </c>
      <c r="F3800" t="str">
        <f t="shared" si="295"/>
        <v>Marvin</v>
      </c>
      <c r="G3800" t="str">
        <f t="shared" si="296"/>
        <v>Marvin6133Garland</v>
      </c>
      <c r="H3800" t="s">
        <v>34658</v>
      </c>
      <c r="I3800" t="s">
        <v>26082</v>
      </c>
      <c r="J3800" t="str">
        <f t="shared" si="297"/>
        <v>E:\PropInv\MF</v>
      </c>
      <c r="K3800" s="103" t="str">
        <f>HYPERLINK("E:\PropInv\MF\Garland\Marvin Loving Dr_6133_Landmark at Lake Village East I_Garland_13658","Marvin Loving Dr_6133_Landmark at Lake Village East I_Garland_13658" )</f>
        <v>Marvin Loving Dr_6133_Landmark at Lake Village East I_Garland_13658</v>
      </c>
      <c r="L3800" s="104" t="s">
        <v>22253</v>
      </c>
      <c r="M3800" s="103" t="str">
        <f t="shared" si="298"/>
        <v>http://oconnordata.com/mlink/modules/profile/index.cfm?action=profile&amp;prop_id=13658</v>
      </c>
      <c r="N3800" s="1">
        <f t="shared" si="299"/>
        <v>13658</v>
      </c>
    </row>
    <row r="3801" spans="1:14" x14ac:dyDescent="0.3">
      <c r="A3801" s="1">
        <v>13659</v>
      </c>
      <c r="B3801" s="7" t="s">
        <v>5820</v>
      </c>
      <c r="C3801" s="12" t="s">
        <v>5821</v>
      </c>
      <c r="D3801" s="7" t="s">
        <v>5822</v>
      </c>
      <c r="E3801" s="13" t="s">
        <v>5019</v>
      </c>
      <c r="F3801" t="str">
        <f t="shared" si="295"/>
        <v>Easton</v>
      </c>
      <c r="G3801" t="str">
        <f t="shared" si="296"/>
        <v>Easton3501-3805Garland</v>
      </c>
      <c r="H3801" t="s">
        <v>34659</v>
      </c>
      <c r="I3801" t="s">
        <v>26083</v>
      </c>
      <c r="J3801" t="str">
        <f t="shared" si="297"/>
        <v>E:\PropInv\MF</v>
      </c>
      <c r="K3801" s="103" t="str">
        <f>HYPERLINK("E:\PropInv\MF\Garland\Easton Meadows Dr_3501-3805_Landmark at Lake Village North III_Garland_13659","Easton Meadows Dr_3501-3805_Landmark at Lake Village North III_Garland_13659" )</f>
        <v>Easton Meadows Dr_3501-3805_Landmark at Lake Village North III_Garland_13659</v>
      </c>
      <c r="L3801" s="104" t="s">
        <v>22253</v>
      </c>
      <c r="M3801" s="103" t="str">
        <f t="shared" si="298"/>
        <v>http://oconnordata.com/mlink/modules/profile/index.cfm?action=profile&amp;prop_id=13659</v>
      </c>
      <c r="N3801" s="1">
        <f t="shared" si="299"/>
        <v>13659</v>
      </c>
    </row>
    <row r="3802" spans="1:14" x14ac:dyDescent="0.3">
      <c r="A3802" s="1">
        <v>13660</v>
      </c>
      <c r="B3802" s="7" t="s">
        <v>5823</v>
      </c>
      <c r="C3802" s="12">
        <v>200</v>
      </c>
      <c r="D3802" s="7" t="s">
        <v>5824</v>
      </c>
      <c r="E3802" s="13" t="s">
        <v>4996</v>
      </c>
      <c r="F3802" t="str">
        <f t="shared" si="295"/>
        <v>Henderson</v>
      </c>
      <c r="G3802" t="str">
        <f t="shared" si="296"/>
        <v>Henderson200Dallas</v>
      </c>
      <c r="H3802" t="s">
        <v>34660</v>
      </c>
      <c r="I3802" t="s">
        <v>26084</v>
      </c>
      <c r="J3802" t="str">
        <f t="shared" si="297"/>
        <v>E:\PropInv\MF</v>
      </c>
      <c r="K3802" s="103" t="str">
        <f>HYPERLINK("E:\PropInv\MF\Dallas\Henderson N_200_Lakewood Club_Dallas_13660","Henderson N_200_Lakewood Club_Dallas_13660" )</f>
        <v>Henderson N_200_Lakewood Club_Dallas_13660</v>
      </c>
      <c r="L3802" s="104" t="s">
        <v>22253</v>
      </c>
      <c r="M3802" s="103" t="str">
        <f t="shared" si="298"/>
        <v>http://oconnordata.com/mlink/modules/profile/index.cfm?action=profile&amp;prop_id=13660</v>
      </c>
      <c r="N3802" s="1">
        <f t="shared" si="299"/>
        <v>13660</v>
      </c>
    </row>
    <row r="3803" spans="1:14" x14ac:dyDescent="0.3">
      <c r="A3803" s="1">
        <v>13661</v>
      </c>
      <c r="B3803" s="7" t="s">
        <v>5825</v>
      </c>
      <c r="C3803" s="12">
        <v>2455</v>
      </c>
      <c r="D3803" s="7" t="s">
        <v>5826</v>
      </c>
      <c r="E3803" s="13" t="s">
        <v>4996</v>
      </c>
      <c r="F3803" t="str">
        <f t="shared" si="295"/>
        <v>Connecticut</v>
      </c>
      <c r="G3803" t="str">
        <f t="shared" si="296"/>
        <v>Connecticut2455Dallas</v>
      </c>
      <c r="H3803" t="s">
        <v>34661</v>
      </c>
      <c r="I3803" t="s">
        <v>26085</v>
      </c>
      <c r="J3803" t="str">
        <f t="shared" si="297"/>
        <v>E:\PropInv\MF</v>
      </c>
      <c r="K3803" s="103" t="str">
        <f>HYPERLINK("E:\PropInv\MF\Dallas\Connecticut_2455_The Edge at White Rock_Dallas_13661","Connecticut_2455_The Edge at White Rock_Dallas_13661" )</f>
        <v>Connecticut_2455_The Edge at White Rock_Dallas_13661</v>
      </c>
      <c r="L3803" s="104" t="s">
        <v>22253</v>
      </c>
      <c r="M3803" s="103" t="str">
        <f t="shared" si="298"/>
        <v>http://oconnordata.com/mlink/modules/profile/index.cfm?action=profile&amp;prop_id=13661</v>
      </c>
      <c r="N3803" s="1">
        <f t="shared" si="299"/>
        <v>13661</v>
      </c>
    </row>
    <row r="3804" spans="1:14" x14ac:dyDescent="0.3">
      <c r="A3804" s="1">
        <v>13663</v>
      </c>
      <c r="B3804" s="7" t="s">
        <v>5827</v>
      </c>
      <c r="C3804" s="12">
        <v>7150</v>
      </c>
      <c r="D3804" s="7" t="s">
        <v>5828</v>
      </c>
      <c r="E3804" s="13" t="s">
        <v>4996</v>
      </c>
      <c r="F3804" t="str">
        <f t="shared" si="295"/>
        <v>Grand</v>
      </c>
      <c r="G3804" t="str">
        <f t="shared" si="296"/>
        <v>Grand7150Dallas</v>
      </c>
      <c r="H3804" t="s">
        <v>34662</v>
      </c>
      <c r="I3804" t="s">
        <v>26086</v>
      </c>
      <c r="J3804" t="str">
        <f t="shared" si="297"/>
        <v>E:\PropInv\MF</v>
      </c>
      <c r="K3804" s="103" t="str">
        <f>HYPERLINK("E:\PropInv\MF\Dallas\Grand E_7150_Lakewood Green_Dallas_13663","Grand E_7150_Lakewood Green_Dallas_13663" )</f>
        <v>Grand E_7150_Lakewood Green_Dallas_13663</v>
      </c>
      <c r="L3804" s="104" t="s">
        <v>22253</v>
      </c>
      <c r="M3804" s="103" t="str">
        <f t="shared" si="298"/>
        <v>http://oconnordata.com/mlink/modules/profile/index.cfm?action=profile&amp;prop_id=13663</v>
      </c>
      <c r="N3804" s="1">
        <f t="shared" si="299"/>
        <v>13663</v>
      </c>
    </row>
    <row r="3805" spans="1:14" x14ac:dyDescent="0.3">
      <c r="A3805" s="1">
        <v>13664</v>
      </c>
      <c r="B3805" s="7" t="s">
        <v>5829</v>
      </c>
      <c r="C3805" s="12">
        <v>101</v>
      </c>
      <c r="D3805" s="7" t="s">
        <v>5830</v>
      </c>
      <c r="E3805" s="13" t="s">
        <v>4996</v>
      </c>
      <c r="F3805" t="str">
        <f t="shared" si="295"/>
        <v>Brookside</v>
      </c>
      <c r="G3805" t="str">
        <f t="shared" si="296"/>
        <v>Brookside101Dallas</v>
      </c>
      <c r="H3805" t="s">
        <v>34663</v>
      </c>
      <c r="I3805" t="s">
        <v>26087</v>
      </c>
      <c r="J3805" t="str">
        <f t="shared" si="297"/>
        <v>E:\PropInv\MF</v>
      </c>
      <c r="K3805" s="103" t="str">
        <f>HYPERLINK("E:\PropInv\MF\Dallas\Brookside N_101_Lakewood on the Trail_Dallas_13664","Brookside N_101_Lakewood on the Trail_Dallas_13664" )</f>
        <v>Brookside N_101_Lakewood on the Trail_Dallas_13664</v>
      </c>
      <c r="L3805" s="104" t="s">
        <v>22253</v>
      </c>
      <c r="M3805" s="103" t="str">
        <f t="shared" si="298"/>
        <v>http://oconnordata.com/mlink/modules/profile/index.cfm?action=profile&amp;prop_id=13664</v>
      </c>
      <c r="N3805" s="1">
        <f t="shared" si="299"/>
        <v>13664</v>
      </c>
    </row>
    <row r="3806" spans="1:14" x14ac:dyDescent="0.3">
      <c r="A3806" s="1">
        <v>13666</v>
      </c>
      <c r="B3806" s="7" t="s">
        <v>5550</v>
      </c>
      <c r="C3806" s="12">
        <v>9750</v>
      </c>
      <c r="D3806" s="7" t="s">
        <v>5831</v>
      </c>
      <c r="E3806" s="13" t="s">
        <v>4996</v>
      </c>
      <c r="F3806" t="str">
        <f t="shared" si="295"/>
        <v>Royal</v>
      </c>
      <c r="G3806" t="str">
        <f t="shared" si="296"/>
        <v>Royal9750Dallas</v>
      </c>
      <c r="H3806" t="s">
        <v>34664</v>
      </c>
      <c r="I3806" t="s">
        <v>26088</v>
      </c>
      <c r="J3806" t="str">
        <f t="shared" si="297"/>
        <v>E:\PropInv\MF</v>
      </c>
      <c r="K3806" s="103" t="str">
        <f>HYPERLINK("E:\PropInv\MF\Dallas\Royal Ln_9750_Toscana Palms_Dallas_13666","Royal Ln_9750_Toscana Palms_Dallas_13666" )</f>
        <v>Royal Ln_9750_Toscana Palms_Dallas_13666</v>
      </c>
      <c r="L3806" s="104" t="s">
        <v>22253</v>
      </c>
      <c r="M3806" s="103" t="str">
        <f t="shared" si="298"/>
        <v>http://oconnordata.com/mlink/modules/profile/index.cfm?action=profile&amp;prop_id=13666</v>
      </c>
      <c r="N3806" s="1">
        <f t="shared" si="299"/>
        <v>13666</v>
      </c>
    </row>
    <row r="3807" spans="1:14" x14ac:dyDescent="0.3">
      <c r="A3807" s="1">
        <v>13667</v>
      </c>
      <c r="B3807" s="7" t="s">
        <v>5832</v>
      </c>
      <c r="C3807" s="12">
        <v>915</v>
      </c>
      <c r="D3807" s="7" t="s">
        <v>5833</v>
      </c>
      <c r="E3807" s="13" t="s">
        <v>5076</v>
      </c>
      <c r="F3807" t="str">
        <f t="shared" si="295"/>
        <v>Desco</v>
      </c>
      <c r="G3807" t="str">
        <f t="shared" si="296"/>
        <v>Desco915Grand Prairie</v>
      </c>
      <c r="H3807" t="s">
        <v>34665</v>
      </c>
      <c r="I3807" t="s">
        <v>26089</v>
      </c>
      <c r="J3807" t="str">
        <f t="shared" si="297"/>
        <v>E:\PropInv\MF</v>
      </c>
      <c r="K3807" s="103" t="str">
        <f>HYPERLINK("E:\PropInv\MF\Grand Prairie\Desco Ln_915_Landings of Carrier Parkway_Grand Prairie_13667","Desco Ln_915_Landings of Carrier Parkway_Grand Prairie_13667" )</f>
        <v>Desco Ln_915_Landings of Carrier Parkway_Grand Prairie_13667</v>
      </c>
      <c r="L3807" s="104" t="s">
        <v>22253</v>
      </c>
      <c r="M3807" s="103" t="str">
        <f t="shared" si="298"/>
        <v>http://oconnordata.com/mlink/modules/profile/index.cfm?action=profile&amp;prop_id=13667</v>
      </c>
      <c r="N3807" s="1">
        <f t="shared" si="299"/>
        <v>13667</v>
      </c>
    </row>
    <row r="3808" spans="1:14" x14ac:dyDescent="0.3">
      <c r="A3808" s="1">
        <v>13669</v>
      </c>
      <c r="B3808" s="7" t="s">
        <v>5834</v>
      </c>
      <c r="C3808" s="12">
        <v>4035</v>
      </c>
      <c r="D3808" s="7" t="s">
        <v>5835</v>
      </c>
      <c r="E3808" s="13" t="s">
        <v>5088</v>
      </c>
      <c r="F3808" t="str">
        <f t="shared" si="295"/>
        <v>Town</v>
      </c>
      <c r="G3808" t="str">
        <f t="shared" si="296"/>
        <v>Town4035Mesquite</v>
      </c>
      <c r="H3808" t="s">
        <v>34666</v>
      </c>
      <c r="I3808" t="s">
        <v>26090</v>
      </c>
      <c r="J3808" t="str">
        <f t="shared" si="297"/>
        <v>E:\PropInv\MF</v>
      </c>
      <c r="K3808" s="103" t="str">
        <f>HYPERLINK("E:\PropInv\MF\Mesquite\Town Crossing_4035_Lane at Town Crossing_Mesquite_13669","Town Crossing_4035_Lane at Town Crossing_Mesquite_13669" )</f>
        <v>Town Crossing_4035_Lane at Town Crossing_Mesquite_13669</v>
      </c>
      <c r="L3808" s="104" t="s">
        <v>22253</v>
      </c>
      <c r="M3808" s="103" t="str">
        <f t="shared" si="298"/>
        <v>http://oconnordata.com/mlink/modules/profile/index.cfm?action=profile&amp;prop_id=13669</v>
      </c>
      <c r="N3808" s="1">
        <f t="shared" si="299"/>
        <v>13669</v>
      </c>
    </row>
    <row r="3809" spans="1:14" x14ac:dyDescent="0.3">
      <c r="A3809" s="1">
        <v>13670</v>
      </c>
      <c r="B3809" s="7" t="s">
        <v>5836</v>
      </c>
      <c r="C3809" s="12">
        <v>5210</v>
      </c>
      <c r="D3809" s="7" t="s">
        <v>5837</v>
      </c>
      <c r="E3809" s="13" t="s">
        <v>5040</v>
      </c>
      <c r="F3809" t="str">
        <f t="shared" si="295"/>
        <v>Long</v>
      </c>
      <c r="G3809" t="str">
        <f t="shared" si="296"/>
        <v>Long5210Flower Mound</v>
      </c>
      <c r="H3809" t="s">
        <v>34667</v>
      </c>
      <c r="I3809" t="s">
        <v>26091</v>
      </c>
      <c r="J3809" t="str">
        <f t="shared" si="297"/>
        <v>E:\PropInv\MF</v>
      </c>
      <c r="K3809" s="103" t="str">
        <f>HYPERLINK("E:\PropInv\MF\Flower Mound\Long Prairie Rd_5210_Marquis at Lantana_Flower Mound_13670","Long Prairie Rd_5210_Marquis at Lantana_Flower Mound_13670" )</f>
        <v>Long Prairie Rd_5210_Marquis at Lantana_Flower Mound_13670</v>
      </c>
      <c r="L3809" s="104" t="s">
        <v>22253</v>
      </c>
      <c r="M3809" s="103" t="str">
        <f t="shared" si="298"/>
        <v>http://oconnordata.com/mlink/modules/profile/index.cfm?action=profile&amp;prop_id=13670</v>
      </c>
      <c r="N3809" s="1">
        <f t="shared" si="299"/>
        <v>13670</v>
      </c>
    </row>
    <row r="3810" spans="1:14" x14ac:dyDescent="0.3">
      <c r="A3810" s="1">
        <v>13671</v>
      </c>
      <c r="B3810" s="7" t="s">
        <v>5838</v>
      </c>
      <c r="C3810" s="12">
        <v>2749</v>
      </c>
      <c r="D3810" s="7" t="s">
        <v>1630</v>
      </c>
      <c r="E3810" s="13" t="s">
        <v>4996</v>
      </c>
      <c r="F3810" t="str">
        <f t="shared" si="295"/>
        <v>Northhaven</v>
      </c>
      <c r="G3810" t="str">
        <f t="shared" si="296"/>
        <v>Northhaven2749Dallas</v>
      </c>
      <c r="H3810" t="s">
        <v>34668</v>
      </c>
      <c r="I3810" t="s">
        <v>26092</v>
      </c>
      <c r="J3810" t="str">
        <f t="shared" si="297"/>
        <v>E:\PropInv\MF</v>
      </c>
      <c r="K3810" s="103" t="str">
        <f>HYPERLINK("E:\PropInv\MF\Dallas\Northhaven_2749_Sedona Ranch_Dallas_13671","Northhaven_2749_Sedona Ranch_Dallas_13671" )</f>
        <v>Northhaven_2749_Sedona Ranch_Dallas_13671</v>
      </c>
      <c r="L3810" s="104" t="s">
        <v>22253</v>
      </c>
      <c r="M3810" s="103" t="str">
        <f t="shared" si="298"/>
        <v>http://oconnordata.com/mlink/modules/profile/index.cfm?action=profile&amp;prop_id=13671</v>
      </c>
      <c r="N3810" s="1">
        <f t="shared" si="299"/>
        <v>13671</v>
      </c>
    </row>
    <row r="3811" spans="1:14" x14ac:dyDescent="0.3">
      <c r="A3811" s="1">
        <v>13672</v>
      </c>
      <c r="B3811" s="7" t="s">
        <v>5839</v>
      </c>
      <c r="C3811" s="12">
        <v>1369</v>
      </c>
      <c r="D3811" s="7" t="s">
        <v>5840</v>
      </c>
      <c r="E3811" s="13" t="s">
        <v>2356</v>
      </c>
      <c r="F3811" t="str">
        <f t="shared" si="295"/>
        <v>Hampton</v>
      </c>
      <c r="G3811" t="str">
        <f t="shared" si="296"/>
        <v>Hampton1369DeSoto</v>
      </c>
      <c r="H3811" t="s">
        <v>34669</v>
      </c>
      <c r="I3811" t="s">
        <v>26093</v>
      </c>
      <c r="J3811" t="str">
        <f t="shared" si="297"/>
        <v>E:\PropInv\MF</v>
      </c>
      <c r="K3811" s="103" t="str">
        <f>HYPERLINK("E:\PropInv\MF\DeSoto\Hampton N_1369_Las Casitas_DeSoto_13672","Hampton N_1369_Las Casitas_DeSoto_13672" )</f>
        <v>Hampton N_1369_Las Casitas_DeSoto_13672</v>
      </c>
      <c r="L3811" s="104" t="s">
        <v>22253</v>
      </c>
      <c r="M3811" s="103" t="str">
        <f t="shared" si="298"/>
        <v>http://oconnordata.com/mlink/modules/profile/index.cfm?action=profile&amp;prop_id=13672</v>
      </c>
      <c r="N3811" s="1">
        <f t="shared" si="299"/>
        <v>13672</v>
      </c>
    </row>
    <row r="3812" spans="1:14" x14ac:dyDescent="0.3">
      <c r="A3812" s="1">
        <v>13673</v>
      </c>
      <c r="B3812" s="7" t="s">
        <v>5841</v>
      </c>
      <c r="C3812" s="12">
        <v>18725</v>
      </c>
      <c r="D3812" s="7" t="s">
        <v>5842</v>
      </c>
      <c r="E3812" s="13" t="s">
        <v>4996</v>
      </c>
      <c r="F3812" t="str">
        <f t="shared" si="295"/>
        <v>Dallas</v>
      </c>
      <c r="G3812" t="str">
        <f t="shared" si="296"/>
        <v>Dallas18725Dallas</v>
      </c>
      <c r="H3812" t="s">
        <v>34670</v>
      </c>
      <c r="I3812" t="s">
        <v>26094</v>
      </c>
      <c r="J3812" t="str">
        <f t="shared" si="297"/>
        <v>E:\PropInv\MF</v>
      </c>
      <c r="K3812" s="103" t="str">
        <f>HYPERLINK("E:\PropInv\MF\Dallas\Dallas Pkwy N_18725_LaSalle_Dallas_13673","Dallas Pkwy N_18725_LaSalle_Dallas_13673" )</f>
        <v>Dallas Pkwy N_18725_LaSalle_Dallas_13673</v>
      </c>
      <c r="L3812" s="104" t="s">
        <v>22253</v>
      </c>
      <c r="M3812" s="103" t="str">
        <f t="shared" si="298"/>
        <v>http://oconnordata.com/mlink/modules/profile/index.cfm?action=profile&amp;prop_id=13673</v>
      </c>
      <c r="N3812" s="1">
        <f t="shared" si="299"/>
        <v>13673</v>
      </c>
    </row>
    <row r="3813" spans="1:14" x14ac:dyDescent="0.3">
      <c r="A3813" s="1">
        <v>13675</v>
      </c>
      <c r="B3813" s="7" t="s">
        <v>5843</v>
      </c>
      <c r="C3813" s="12">
        <v>720</v>
      </c>
      <c r="D3813" s="7" t="s">
        <v>5844</v>
      </c>
      <c r="E3813" s="13" t="s">
        <v>5407</v>
      </c>
      <c r="F3813" t="str">
        <f t="shared" si="295"/>
        <v>Joe</v>
      </c>
      <c r="G3813" t="str">
        <f t="shared" si="296"/>
        <v>Joe720Cedar Hill</v>
      </c>
      <c r="H3813" t="s">
        <v>34671</v>
      </c>
      <c r="I3813" t="s">
        <v>26095</v>
      </c>
      <c r="J3813" t="str">
        <f t="shared" si="297"/>
        <v>E:\PropInv\MF</v>
      </c>
      <c r="K3813" s="103" t="str">
        <f>HYPERLINK("E:\PropInv\MF\Cedar Hill\Joe Wilson Rd N_720_Legacy of Cedar Hill I_Cedar Hill_13675","Joe Wilson Rd N_720_Legacy of Cedar Hill I_Cedar Hill_13675" )</f>
        <v>Joe Wilson Rd N_720_Legacy of Cedar Hill I_Cedar Hill_13675</v>
      </c>
      <c r="L3813" s="104" t="s">
        <v>22253</v>
      </c>
      <c r="M3813" s="103" t="str">
        <f t="shared" si="298"/>
        <v>http://oconnordata.com/mlink/modules/profile/index.cfm?action=profile&amp;prop_id=13675</v>
      </c>
      <c r="N3813" s="1">
        <f t="shared" si="299"/>
        <v>13675</v>
      </c>
    </row>
    <row r="3814" spans="1:14" x14ac:dyDescent="0.3">
      <c r="A3814" s="1">
        <v>13676</v>
      </c>
      <c r="B3814" s="7" t="s">
        <v>5033</v>
      </c>
      <c r="C3814" s="12">
        <v>701</v>
      </c>
      <c r="D3814" s="7" t="s">
        <v>5845</v>
      </c>
      <c r="E3814" s="13" t="s">
        <v>5009</v>
      </c>
      <c r="F3814" t="str">
        <f t="shared" si="295"/>
        <v>Legacy</v>
      </c>
      <c r="G3814" t="str">
        <f t="shared" si="296"/>
        <v>Legacy701Plano</v>
      </c>
      <c r="H3814" t="s">
        <v>34672</v>
      </c>
      <c r="I3814" t="s">
        <v>26096</v>
      </c>
      <c r="J3814" t="str">
        <f t="shared" si="297"/>
        <v>E:\PropInv\MF</v>
      </c>
      <c r="K3814" s="103" t="str">
        <f>HYPERLINK("E:\PropInv\MF\Plano\Legacy_701_Legends at Chase Oaks_Plano_13676","Legacy_701_Legends at Chase Oaks_Plano_13676" )</f>
        <v>Legacy_701_Legends at Chase Oaks_Plano_13676</v>
      </c>
      <c r="L3814" s="104" t="s">
        <v>22253</v>
      </c>
      <c r="M3814" s="103" t="str">
        <f t="shared" si="298"/>
        <v>http://oconnordata.com/mlink/modules/profile/index.cfm?action=profile&amp;prop_id=13676</v>
      </c>
      <c r="N3814" s="1">
        <f t="shared" si="299"/>
        <v>13676</v>
      </c>
    </row>
    <row r="3815" spans="1:14" x14ac:dyDescent="0.3">
      <c r="A3815" s="1">
        <v>13677</v>
      </c>
      <c r="B3815" s="7" t="s">
        <v>5846</v>
      </c>
      <c r="C3815" s="12">
        <v>2300</v>
      </c>
      <c r="D3815" s="7" t="s">
        <v>5847</v>
      </c>
      <c r="E3815" s="13" t="s">
        <v>5009</v>
      </c>
      <c r="F3815" t="str">
        <f t="shared" si="295"/>
        <v>Kathryn</v>
      </c>
      <c r="G3815" t="str">
        <f t="shared" si="296"/>
        <v>Kathryn2300Plano</v>
      </c>
      <c r="H3815" t="s">
        <v>34673</v>
      </c>
      <c r="I3815" t="s">
        <v>26097</v>
      </c>
      <c r="J3815" t="str">
        <f t="shared" si="297"/>
        <v>E:\PropInv\MF</v>
      </c>
      <c r="K3815" s="103" t="str">
        <f>HYPERLINK("E:\PropInv\MF\Plano\Kathryn Ln_2300_Legends at Ridgeview Ranch_Plano_13677","Kathryn Ln_2300_Legends at Ridgeview Ranch_Plano_13677" )</f>
        <v>Kathryn Ln_2300_Legends at Ridgeview Ranch_Plano_13677</v>
      </c>
      <c r="L3815" s="104" t="s">
        <v>22253</v>
      </c>
      <c r="M3815" s="103" t="str">
        <f t="shared" si="298"/>
        <v>http://oconnordata.com/mlink/modules/profile/index.cfm?action=profile&amp;prop_id=13677</v>
      </c>
      <c r="N3815" s="1">
        <f t="shared" si="299"/>
        <v>13677</v>
      </c>
    </row>
    <row r="3816" spans="1:14" x14ac:dyDescent="0.3">
      <c r="A3816" s="1">
        <v>13678</v>
      </c>
      <c r="B3816" s="7" t="s">
        <v>5848</v>
      </c>
      <c r="C3816" s="12">
        <v>923</v>
      </c>
      <c r="D3816" s="7" t="s">
        <v>5849</v>
      </c>
      <c r="E3816" s="13" t="s">
        <v>5236</v>
      </c>
      <c r="F3816" t="str">
        <f t="shared" si="295"/>
        <v>Yellow</v>
      </c>
      <c r="G3816" t="str">
        <f t="shared" si="296"/>
        <v>Yellow923Rockwall</v>
      </c>
      <c r="H3816" t="s">
        <v>34674</v>
      </c>
      <c r="I3816" t="s">
        <v>26098</v>
      </c>
      <c r="J3816" t="str">
        <f t="shared" si="297"/>
        <v>E:\PropInv\MF</v>
      </c>
      <c r="K3816" s="103" t="str">
        <f>HYPERLINK("E:\PropInv\MF\Rockwall\Yellow Jacket_923_Mission Rockwall_Rockwall_13678","Yellow Jacket_923_Mission Rockwall_Rockwall_13678" )</f>
        <v>Yellow Jacket_923_Mission Rockwall_Rockwall_13678</v>
      </c>
      <c r="L3816" s="104" t="s">
        <v>22253</v>
      </c>
      <c r="M3816" s="103" t="str">
        <f t="shared" si="298"/>
        <v>http://oconnordata.com/mlink/modules/profile/index.cfm?action=profile&amp;prop_id=13678</v>
      </c>
      <c r="N3816" s="1">
        <f t="shared" si="299"/>
        <v>13678</v>
      </c>
    </row>
    <row r="3817" spans="1:14" x14ac:dyDescent="0.3">
      <c r="A3817" s="1">
        <v>13679</v>
      </c>
      <c r="B3817" s="7" t="s">
        <v>5850</v>
      </c>
      <c r="C3817" s="12">
        <v>3208</v>
      </c>
      <c r="D3817" s="7" t="s">
        <v>5851</v>
      </c>
      <c r="E3817" s="13" t="s">
        <v>4996</v>
      </c>
      <c r="F3817" t="str">
        <f t="shared" si="295"/>
        <v>Community</v>
      </c>
      <c r="G3817" t="str">
        <f t="shared" si="296"/>
        <v>Community3208Dallas</v>
      </c>
      <c r="H3817" t="s">
        <v>34675</v>
      </c>
      <c r="I3817" t="s">
        <v>26099</v>
      </c>
      <c r="J3817" t="str">
        <f t="shared" si="297"/>
        <v>E:\PropInv\MF</v>
      </c>
      <c r="K3817" s="103" t="str">
        <f>HYPERLINK("E:\PropInv\MF\Dallas\Community_3208_Lexington_Dallas_13679","Community_3208_Lexington_Dallas_13679" )</f>
        <v>Community_3208_Lexington_Dallas_13679</v>
      </c>
      <c r="L3817" s="104" t="s">
        <v>22253</v>
      </c>
      <c r="M3817" s="103" t="str">
        <f t="shared" si="298"/>
        <v>http://oconnordata.com/mlink/modules/profile/index.cfm?action=profile&amp;prop_id=13679</v>
      </c>
      <c r="N3817" s="1">
        <f t="shared" si="299"/>
        <v>13679</v>
      </c>
    </row>
    <row r="3818" spans="1:14" x14ac:dyDescent="0.3">
      <c r="A3818" s="1">
        <v>13680</v>
      </c>
      <c r="B3818" s="7" t="s">
        <v>5253</v>
      </c>
      <c r="C3818" s="12">
        <v>202</v>
      </c>
      <c r="D3818" s="7" t="s">
        <v>5852</v>
      </c>
      <c r="E3818" s="13" t="s">
        <v>5046</v>
      </c>
      <c r="F3818" t="str">
        <f t="shared" si="295"/>
        <v>Santa</v>
      </c>
      <c r="G3818" t="str">
        <f t="shared" si="296"/>
        <v>Santa202Irving</v>
      </c>
      <c r="H3818" t="s">
        <v>34676</v>
      </c>
      <c r="I3818" t="s">
        <v>26100</v>
      </c>
      <c r="J3818" t="str">
        <f t="shared" si="297"/>
        <v>E:\PropInv\MF</v>
      </c>
      <c r="K3818" s="103" t="str">
        <f>HYPERLINK("E:\PropInv\MF\Irving\Santa Fe Trl_202_Lexington at Valley Ranch_Irving_13680","Santa Fe Trl_202_Lexington at Valley Ranch_Irving_13680" )</f>
        <v>Santa Fe Trl_202_Lexington at Valley Ranch_Irving_13680</v>
      </c>
      <c r="L3818" s="104" t="s">
        <v>22253</v>
      </c>
      <c r="M3818" s="103" t="str">
        <f t="shared" si="298"/>
        <v>http://oconnordata.com/mlink/modules/profile/index.cfm?action=profile&amp;prop_id=13680</v>
      </c>
      <c r="N3818" s="1">
        <f t="shared" si="299"/>
        <v>13680</v>
      </c>
    </row>
    <row r="3819" spans="1:14" x14ac:dyDescent="0.3">
      <c r="A3819" s="1">
        <v>13681</v>
      </c>
      <c r="B3819" s="7" t="s">
        <v>5853</v>
      </c>
      <c r="C3819" s="12">
        <v>910</v>
      </c>
      <c r="D3819" s="7" t="s">
        <v>5854</v>
      </c>
      <c r="E3819" s="13" t="s">
        <v>5046</v>
      </c>
      <c r="F3819" t="str">
        <f t="shared" si="295"/>
        <v>6th</v>
      </c>
      <c r="G3819" t="str">
        <f t="shared" si="296"/>
        <v>6th910Irving</v>
      </c>
      <c r="H3819" t="s">
        <v>34677</v>
      </c>
      <c r="I3819" t="s">
        <v>26101</v>
      </c>
      <c r="J3819" t="str">
        <f t="shared" si="297"/>
        <v>E:\PropInv\MF</v>
      </c>
      <c r="K3819" s="103" t="str">
        <f>HYPERLINK("E:\PropInv\MF\Irving\6th St W_910_Lido_Irving_13681","6th St W_910_Lido_Irving_13681" )</f>
        <v>6th St W_910_Lido_Irving_13681</v>
      </c>
      <c r="L3819" s="104" t="s">
        <v>22253</v>
      </c>
      <c r="M3819" s="103" t="str">
        <f t="shared" si="298"/>
        <v>http://oconnordata.com/mlink/modules/profile/index.cfm?action=profile&amp;prop_id=13681</v>
      </c>
      <c r="N3819" s="1">
        <f t="shared" si="299"/>
        <v>13681</v>
      </c>
    </row>
    <row r="3820" spans="1:14" x14ac:dyDescent="0.3">
      <c r="A3820" s="1">
        <v>13682</v>
      </c>
      <c r="B3820" s="7" t="s">
        <v>5855</v>
      </c>
      <c r="C3820" s="12">
        <v>3838</v>
      </c>
      <c r="D3820" s="7" t="s">
        <v>5856</v>
      </c>
      <c r="E3820" s="13" t="s">
        <v>4996</v>
      </c>
      <c r="F3820" t="str">
        <f t="shared" si="295"/>
        <v>Rawlins</v>
      </c>
      <c r="G3820" t="str">
        <f t="shared" si="296"/>
        <v>Rawlins3838Dallas</v>
      </c>
      <c r="H3820" t="s">
        <v>34678</v>
      </c>
      <c r="I3820" t="s">
        <v>26102</v>
      </c>
      <c r="J3820" t="str">
        <f t="shared" si="297"/>
        <v>E:\PropInv\MF</v>
      </c>
      <c r="K3820" s="103" t="str">
        <f>HYPERLINK("E:\PropInv\MF\Dallas\Rawlins_3838_Lincoln Court_Dallas_13682","Rawlins_3838_Lincoln Court_Dallas_13682" )</f>
        <v>Rawlins_3838_Lincoln Court_Dallas_13682</v>
      </c>
      <c r="L3820" s="104" t="s">
        <v>22253</v>
      </c>
      <c r="M3820" s="103" t="str">
        <f t="shared" si="298"/>
        <v>http://oconnordata.com/mlink/modules/profile/index.cfm?action=profile&amp;prop_id=13682</v>
      </c>
      <c r="N3820" s="1">
        <f t="shared" si="299"/>
        <v>13682</v>
      </c>
    </row>
    <row r="3821" spans="1:14" x14ac:dyDescent="0.3">
      <c r="A3821" s="1">
        <v>13683</v>
      </c>
      <c r="B3821" s="7" t="s">
        <v>3983</v>
      </c>
      <c r="C3821" s="12">
        <v>14041</v>
      </c>
      <c r="D3821" s="7" t="s">
        <v>5857</v>
      </c>
      <c r="E3821" s="13" t="s">
        <v>4996</v>
      </c>
      <c r="F3821" t="str">
        <f t="shared" si="295"/>
        <v>Preston</v>
      </c>
      <c r="G3821" t="str">
        <f t="shared" si="296"/>
        <v>Preston14041Dallas</v>
      </c>
      <c r="H3821" t="s">
        <v>34679</v>
      </c>
      <c r="I3821" t="s">
        <v>26103</v>
      </c>
      <c r="J3821" t="str">
        <f t="shared" si="297"/>
        <v>E:\PropInv\MF</v>
      </c>
      <c r="K3821" s="103" t="str">
        <f>HYPERLINK("E:\PropInv\MF\Dallas\Preston Rd_14041_Preston Pointe_Dallas_13683","Preston Rd_14041_Preston Pointe_Dallas_13683" )</f>
        <v>Preston Rd_14041_Preston Pointe_Dallas_13683</v>
      </c>
      <c r="L3821" s="104" t="s">
        <v>22253</v>
      </c>
      <c r="M3821" s="103" t="str">
        <f t="shared" si="298"/>
        <v>http://oconnordata.com/mlink/modules/profile/index.cfm?action=profile&amp;prop_id=13683</v>
      </c>
      <c r="N3821" s="1">
        <f t="shared" si="299"/>
        <v>13683</v>
      </c>
    </row>
    <row r="3822" spans="1:14" x14ac:dyDescent="0.3">
      <c r="A3822" s="1">
        <v>13684</v>
      </c>
      <c r="B3822" s="7" t="s">
        <v>5858</v>
      </c>
      <c r="C3822" s="12">
        <v>2802</v>
      </c>
      <c r="D3822" s="7" t="s">
        <v>5859</v>
      </c>
      <c r="E3822" s="13" t="s">
        <v>4996</v>
      </c>
      <c r="F3822" t="str">
        <f t="shared" si="295"/>
        <v>Carroll</v>
      </c>
      <c r="G3822" t="str">
        <f t="shared" si="296"/>
        <v>Carroll2802Dallas</v>
      </c>
      <c r="H3822" t="s">
        <v>34680</v>
      </c>
      <c r="I3822" t="s">
        <v>26104</v>
      </c>
      <c r="J3822" t="str">
        <f t="shared" si="297"/>
        <v>E:\PropInv\MF</v>
      </c>
      <c r="K3822" s="103" t="str">
        <f>HYPERLINK("E:\PropInv\MF\Dallas\Carroll Ave_2802_The Linden in Town_Dallas_13684","Carroll Ave_2802_The Linden in Town_Dallas_13684" )</f>
        <v>Carroll Ave_2802_The Linden in Town_Dallas_13684</v>
      </c>
      <c r="L3822" s="104" t="s">
        <v>22253</v>
      </c>
      <c r="M3822" s="103" t="str">
        <f t="shared" si="298"/>
        <v>http://oconnordata.com/mlink/modules/profile/index.cfm?action=profile&amp;prop_id=13684</v>
      </c>
      <c r="N3822" s="1">
        <f t="shared" si="299"/>
        <v>13684</v>
      </c>
    </row>
    <row r="3823" spans="1:14" x14ac:dyDescent="0.3">
      <c r="A3823" s="1">
        <v>13687</v>
      </c>
      <c r="B3823" s="7" t="s">
        <v>5860</v>
      </c>
      <c r="C3823" s="12">
        <v>200</v>
      </c>
      <c r="D3823" s="7" t="s">
        <v>5861</v>
      </c>
      <c r="E3823" s="13" t="s">
        <v>5862</v>
      </c>
      <c r="F3823" t="str">
        <f t="shared" si="295"/>
        <v>Brothers</v>
      </c>
      <c r="G3823" t="str">
        <f t="shared" si="296"/>
        <v>Brothers200Red Oak</v>
      </c>
      <c r="H3823" t="s">
        <v>34681</v>
      </c>
      <c r="I3823" t="s">
        <v>26105</v>
      </c>
      <c r="J3823" t="str">
        <f t="shared" si="297"/>
        <v>E:\PropInv\MF</v>
      </c>
      <c r="K3823" s="103" t="str">
        <f>HYPERLINK("E:\PropInv\MF\Red Oak\Brothers Blvd_200_Living Oaks_Red Oak_13687","Brothers Blvd_200_Living Oaks_Red Oak_13687" )</f>
        <v>Brothers Blvd_200_Living Oaks_Red Oak_13687</v>
      </c>
      <c r="L3823" s="104" t="s">
        <v>22253</v>
      </c>
      <c r="M3823" s="103" t="str">
        <f t="shared" si="298"/>
        <v>http://oconnordata.com/mlink/modules/profile/index.cfm?action=profile&amp;prop_id=13687</v>
      </c>
      <c r="N3823" s="1">
        <f t="shared" si="299"/>
        <v>13687</v>
      </c>
    </row>
    <row r="3824" spans="1:14" x14ac:dyDescent="0.3">
      <c r="A3824" s="1">
        <v>13688</v>
      </c>
      <c r="B3824" s="7" t="s">
        <v>5863</v>
      </c>
      <c r="C3824" s="12">
        <v>6301</v>
      </c>
      <c r="D3824" s="7" t="s">
        <v>5864</v>
      </c>
      <c r="E3824" s="13" t="s">
        <v>5009</v>
      </c>
      <c r="F3824" t="str">
        <f t="shared" si="295"/>
        <v>Windhaven</v>
      </c>
      <c r="G3824" t="str">
        <f t="shared" si="296"/>
        <v>Windhaven6301Plano</v>
      </c>
      <c r="H3824" t="s">
        <v>34682</v>
      </c>
      <c r="I3824" t="s">
        <v>26106</v>
      </c>
      <c r="J3824" t="str">
        <f t="shared" si="297"/>
        <v>E:\PropInv\MF</v>
      </c>
      <c r="K3824" s="103" t="str">
        <f>HYPERLINK("E:\PropInv\MF\Plano\Windhaven Pkwy_6301_The Livingston_Plano_13688","Windhaven Pkwy_6301_The Livingston_Plano_13688" )</f>
        <v>Windhaven Pkwy_6301_The Livingston_Plano_13688</v>
      </c>
      <c r="L3824" s="104" t="s">
        <v>22253</v>
      </c>
      <c r="M3824" s="103" t="str">
        <f t="shared" si="298"/>
        <v>http://oconnordata.com/mlink/modules/profile/index.cfm?action=profile&amp;prop_id=13688</v>
      </c>
      <c r="N3824" s="1">
        <f t="shared" si="299"/>
        <v>13688</v>
      </c>
    </row>
    <row r="3825" spans="1:14" x14ac:dyDescent="0.3">
      <c r="A3825" s="1">
        <v>13689</v>
      </c>
      <c r="B3825" s="7" t="s">
        <v>5865</v>
      </c>
      <c r="C3825" s="12">
        <v>11117</v>
      </c>
      <c r="D3825" s="7" t="s">
        <v>5866</v>
      </c>
      <c r="E3825" s="13" t="s">
        <v>4996</v>
      </c>
      <c r="F3825" t="str">
        <f t="shared" si="295"/>
        <v>Lochwood</v>
      </c>
      <c r="G3825" t="str">
        <f t="shared" si="296"/>
        <v>Lochwood11117Dallas</v>
      </c>
      <c r="H3825" t="s">
        <v>34683</v>
      </c>
      <c r="I3825" t="s">
        <v>26107</v>
      </c>
      <c r="J3825" t="str">
        <f t="shared" si="297"/>
        <v>E:\PropInv\MF</v>
      </c>
      <c r="K3825" s="103" t="str">
        <f>HYPERLINK("E:\PropInv\MF\Dallas\Lochwood Blvd_11117_Lochwood_Dallas_13689","Lochwood Blvd_11117_Lochwood_Dallas_13689" )</f>
        <v>Lochwood Blvd_11117_Lochwood_Dallas_13689</v>
      </c>
      <c r="L3825" s="104" t="s">
        <v>22253</v>
      </c>
      <c r="M3825" s="103" t="str">
        <f t="shared" si="298"/>
        <v>http://oconnordata.com/mlink/modules/profile/index.cfm?action=profile&amp;prop_id=13689</v>
      </c>
      <c r="N3825" s="1">
        <f t="shared" si="299"/>
        <v>13689</v>
      </c>
    </row>
    <row r="3826" spans="1:14" x14ac:dyDescent="0.3">
      <c r="A3826" s="1">
        <v>13690</v>
      </c>
      <c r="B3826" s="10" t="s">
        <v>5867</v>
      </c>
      <c r="C3826" s="9">
        <v>8568</v>
      </c>
      <c r="D3826" s="10" t="s">
        <v>5868</v>
      </c>
      <c r="E3826" s="11" t="s">
        <v>5488</v>
      </c>
      <c r="F3826" t="str">
        <f t="shared" si="295"/>
        <v>Warren</v>
      </c>
      <c r="G3826" t="str">
        <f t="shared" si="296"/>
        <v>Warren8568Frisco</v>
      </c>
      <c r="H3826" t="s">
        <v>34684</v>
      </c>
      <c r="I3826" t="s">
        <v>26108</v>
      </c>
      <c r="J3826" t="str">
        <f t="shared" si="297"/>
        <v>E:\PropInv\MF</v>
      </c>
      <c r="K3826" s="103" t="str">
        <f>HYPERLINK("E:\PropInv\MF\Frisco\Warren Pkwy_8568_The Lodge at Frisco Bridges_Frisco_13690","Warren Pkwy_8568_The Lodge at Frisco Bridges_Frisco_13690" )</f>
        <v>Warren Pkwy_8568_The Lodge at Frisco Bridges_Frisco_13690</v>
      </c>
      <c r="L3826" s="104" t="s">
        <v>22253</v>
      </c>
      <c r="M3826" s="103" t="str">
        <f t="shared" si="298"/>
        <v>http://oconnordata.com/mlink/modules/profile/index.cfm?action=profile&amp;prop_id=13690</v>
      </c>
      <c r="N3826" s="1">
        <f t="shared" si="299"/>
        <v>13690</v>
      </c>
    </row>
    <row r="3827" spans="1:14" x14ac:dyDescent="0.3">
      <c r="A3827" s="1">
        <v>13691</v>
      </c>
      <c r="B3827" s="7" t="s">
        <v>5047</v>
      </c>
      <c r="C3827" s="12">
        <v>3440</v>
      </c>
      <c r="D3827" s="10" t="s">
        <v>5869</v>
      </c>
      <c r="E3827" s="13" t="s">
        <v>4996</v>
      </c>
      <c r="F3827" t="str">
        <f t="shared" si="295"/>
        <v>Timberglen</v>
      </c>
      <c r="G3827" t="str">
        <f t="shared" si="296"/>
        <v>Timberglen3440Dallas</v>
      </c>
      <c r="H3827" t="s">
        <v>34685</v>
      </c>
      <c r="I3827" t="s">
        <v>26109</v>
      </c>
      <c r="J3827" t="str">
        <f t="shared" si="297"/>
        <v>E:\PropInv\MF</v>
      </c>
      <c r="K3827" s="103" t="str">
        <f>HYPERLINK("E:\PropInv\MF\Dallas\Timberglen_3440_The Lodge at Timberglen_Dallas_13691","Timberglen_3440_The Lodge at Timberglen_Dallas_13691" )</f>
        <v>Timberglen_3440_The Lodge at Timberglen_Dallas_13691</v>
      </c>
      <c r="L3827" s="104" t="s">
        <v>22253</v>
      </c>
      <c r="M3827" s="103" t="str">
        <f t="shared" si="298"/>
        <v>http://oconnordata.com/mlink/modules/profile/index.cfm?action=profile&amp;prop_id=13691</v>
      </c>
      <c r="N3827" s="1">
        <f t="shared" si="299"/>
        <v>13691</v>
      </c>
    </row>
    <row r="3828" spans="1:14" x14ac:dyDescent="0.3">
      <c r="A3828" s="1">
        <v>13693</v>
      </c>
      <c r="B3828" s="7" t="s">
        <v>5870</v>
      </c>
      <c r="C3828" s="12">
        <v>3400</v>
      </c>
      <c r="D3828" s="7" t="s">
        <v>5871</v>
      </c>
      <c r="E3828" s="13" t="s">
        <v>5009</v>
      </c>
      <c r="F3828" t="str">
        <f t="shared" si="295"/>
        <v>Park</v>
      </c>
      <c r="G3828" t="str">
        <f t="shared" si="296"/>
        <v>Park3400Plano</v>
      </c>
      <c r="H3828" t="s">
        <v>34686</v>
      </c>
      <c r="I3828" t="s">
        <v>26110</v>
      </c>
      <c r="J3828" t="str">
        <f t="shared" si="297"/>
        <v>E:\PropInv\MF</v>
      </c>
      <c r="K3828" s="103" t="str">
        <f>HYPERLINK("E:\PropInv\MF\Plano\Park Blvd W_3400_Mission Park Green_Plano_13693","Park Blvd W_3400_Mission Park Green_Plano_13693" )</f>
        <v>Park Blvd W_3400_Mission Park Green_Plano_13693</v>
      </c>
      <c r="L3828" s="104" t="s">
        <v>22253</v>
      </c>
      <c r="M3828" s="103" t="str">
        <f t="shared" si="298"/>
        <v>http://oconnordata.com/mlink/modules/profile/index.cfm?action=profile&amp;prop_id=13693</v>
      </c>
      <c r="N3828" s="1">
        <f t="shared" si="299"/>
        <v>13693</v>
      </c>
    </row>
    <row r="3829" spans="1:14" x14ac:dyDescent="0.3">
      <c r="A3829" s="1">
        <v>13695</v>
      </c>
      <c r="B3829" s="7" t="s">
        <v>5791</v>
      </c>
      <c r="C3829" s="12">
        <v>4030</v>
      </c>
      <c r="D3829" s="7" t="s">
        <v>243</v>
      </c>
      <c r="E3829" s="13" t="s">
        <v>5198</v>
      </c>
      <c r="F3829" t="str">
        <f t="shared" si="295"/>
        <v>Valley</v>
      </c>
      <c r="G3829" t="str">
        <f t="shared" si="296"/>
        <v>Valley4030Farmers Branch</v>
      </c>
      <c r="H3829" t="s">
        <v>34687</v>
      </c>
      <c r="I3829" t="s">
        <v>26111</v>
      </c>
      <c r="J3829" t="str">
        <f t="shared" si="297"/>
        <v>E:\PropInv\MF</v>
      </c>
      <c r="K3829" s="103" t="str">
        <f>HYPERLINK("E:\PropInv\MF\Farmers Branch\Valley View Ln_4030_London Square_Farmers Branch_13695","Valley View Ln_4030_London Square_Farmers Branch_13695" )</f>
        <v>Valley View Ln_4030_London Square_Farmers Branch_13695</v>
      </c>
      <c r="L3829" s="104" t="s">
        <v>22253</v>
      </c>
      <c r="M3829" s="103" t="str">
        <f t="shared" si="298"/>
        <v>http://oconnordata.com/mlink/modules/profile/index.cfm?action=profile&amp;prop_id=13695</v>
      </c>
      <c r="N3829" s="1">
        <f t="shared" si="299"/>
        <v>13695</v>
      </c>
    </row>
    <row r="3830" spans="1:14" x14ac:dyDescent="0.3">
      <c r="A3830" s="1">
        <v>13696</v>
      </c>
      <c r="B3830" s="7" t="s">
        <v>5872</v>
      </c>
      <c r="C3830" s="12">
        <v>6161</v>
      </c>
      <c r="D3830" s="7" t="s">
        <v>5873</v>
      </c>
      <c r="E3830" s="13" t="s">
        <v>4996</v>
      </c>
      <c r="F3830" t="str">
        <f t="shared" si="295"/>
        <v>Trl</v>
      </c>
      <c r="G3830" t="str">
        <f t="shared" si="296"/>
        <v>Trl6161Dallas</v>
      </c>
      <c r="H3830" t="s">
        <v>34688</v>
      </c>
      <c r="I3830" t="s">
        <v>26112</v>
      </c>
      <c r="J3830" t="str">
        <f t="shared" si="297"/>
        <v>E:\PropInv\MF</v>
      </c>
      <c r="K3830" s="103" t="str">
        <f>HYPERLINK("E:\PropInv\MF\Dallas\Trl Glen Dr_6161_Las Lomas I &amp; II_Dallas_13696","Trl Glen Dr_6161_Las Lomas I &amp; II_Dallas_13696" )</f>
        <v>Trl Glen Dr_6161_Las Lomas I &amp; II_Dallas_13696</v>
      </c>
      <c r="L3830" s="104" t="s">
        <v>22253</v>
      </c>
      <c r="M3830" s="103" t="str">
        <f t="shared" si="298"/>
        <v>http://oconnordata.com/mlink/modules/profile/index.cfm?action=profile&amp;prop_id=13696</v>
      </c>
      <c r="N3830" s="1">
        <f t="shared" si="299"/>
        <v>13696</v>
      </c>
    </row>
    <row r="3831" spans="1:14" x14ac:dyDescent="0.3">
      <c r="A3831" s="1">
        <v>13698</v>
      </c>
      <c r="B3831" s="7" t="s">
        <v>5874</v>
      </c>
      <c r="C3831" s="12">
        <v>4701</v>
      </c>
      <c r="D3831" s="7" t="s">
        <v>5875</v>
      </c>
      <c r="E3831" s="13" t="s">
        <v>5009</v>
      </c>
      <c r="F3831" t="str">
        <f t="shared" si="295"/>
        <v>14th</v>
      </c>
      <c r="G3831" t="str">
        <f t="shared" si="296"/>
        <v>14th4701Plano</v>
      </c>
      <c r="H3831" t="s">
        <v>34689</v>
      </c>
      <c r="I3831" t="s">
        <v>26113</v>
      </c>
      <c r="J3831" t="str">
        <f t="shared" si="297"/>
        <v>E:\PropInv\MF</v>
      </c>
      <c r="K3831" s="103" t="str">
        <f>HYPERLINK("E:\PropInv\MF\Plano\14th St E_4701_Los Rios Park_Plano_13698","14th St E_4701_Los Rios Park_Plano_13698" )</f>
        <v>14th St E_4701_Los Rios Park_Plano_13698</v>
      </c>
      <c r="L3831" s="104" t="s">
        <v>22253</v>
      </c>
      <c r="M3831" s="103" t="str">
        <f t="shared" si="298"/>
        <v>http://oconnordata.com/mlink/modules/profile/index.cfm?action=profile&amp;prop_id=13698</v>
      </c>
      <c r="N3831" s="1">
        <f t="shared" si="299"/>
        <v>13698</v>
      </c>
    </row>
    <row r="3832" spans="1:14" x14ac:dyDescent="0.3">
      <c r="A3832" s="1">
        <v>13699</v>
      </c>
      <c r="B3832" s="7" t="s">
        <v>5876</v>
      </c>
      <c r="C3832" s="12">
        <v>1201</v>
      </c>
      <c r="D3832" s="7" t="s">
        <v>5170</v>
      </c>
      <c r="E3832" s="13" t="s">
        <v>5046</v>
      </c>
      <c r="F3832" t="str">
        <f t="shared" si="295"/>
        <v>Rochelle</v>
      </c>
      <c r="G3832" t="str">
        <f t="shared" si="296"/>
        <v>Rochelle1201Irving</v>
      </c>
      <c r="H3832" t="s">
        <v>34690</v>
      </c>
      <c r="I3832" t="s">
        <v>26114</v>
      </c>
      <c r="J3832" t="str">
        <f t="shared" si="297"/>
        <v>E:\PropInv\MF</v>
      </c>
      <c r="K3832" s="103" t="str">
        <f>HYPERLINK("E:\PropInv\MF\Irving\Rochelle Ln W_1201_Macarthur_Irving_13699","Rochelle Ln W_1201_Macarthur_Irving_13699" )</f>
        <v>Rochelle Ln W_1201_Macarthur_Irving_13699</v>
      </c>
      <c r="L3832" s="104" t="s">
        <v>22253</v>
      </c>
      <c r="M3832" s="103" t="str">
        <f t="shared" si="298"/>
        <v>http://oconnordata.com/mlink/modules/profile/index.cfm?action=profile&amp;prop_id=13699</v>
      </c>
      <c r="N3832" s="1">
        <f t="shared" si="299"/>
        <v>13699</v>
      </c>
    </row>
    <row r="3833" spans="1:14" x14ac:dyDescent="0.3">
      <c r="A3833" s="1">
        <v>13700</v>
      </c>
      <c r="B3833" s="7" t="s">
        <v>5877</v>
      </c>
      <c r="C3833" s="12">
        <v>812</v>
      </c>
      <c r="D3833" s="7" t="s">
        <v>2319</v>
      </c>
      <c r="E3833" s="13" t="s">
        <v>5046</v>
      </c>
      <c r="F3833" t="str">
        <f t="shared" si="295"/>
        <v>Kinwest</v>
      </c>
      <c r="G3833" t="str">
        <f t="shared" si="296"/>
        <v>Kinwest812Irving</v>
      </c>
      <c r="H3833" t="s">
        <v>34691</v>
      </c>
      <c r="I3833" t="s">
        <v>26115</v>
      </c>
      <c r="J3833" t="str">
        <f t="shared" si="297"/>
        <v>E:\PropInv\MF</v>
      </c>
      <c r="K3833" s="103" t="str">
        <f>HYPERLINK("E:\PropInv\MF\Irving\Kinwest Pkwy_812_MacArthur Park_Irving_13700","Kinwest Pkwy_812_MacArthur Park_Irving_13700" )</f>
        <v>Kinwest Pkwy_812_MacArthur Park_Irving_13700</v>
      </c>
      <c r="L3833" s="104" t="s">
        <v>22253</v>
      </c>
      <c r="M3833" s="103" t="str">
        <f t="shared" si="298"/>
        <v>http://oconnordata.com/mlink/modules/profile/index.cfm?action=profile&amp;prop_id=13700</v>
      </c>
      <c r="N3833" s="1">
        <f t="shared" si="299"/>
        <v>13700</v>
      </c>
    </row>
    <row r="3834" spans="1:14" x14ac:dyDescent="0.3">
      <c r="A3834" s="1">
        <v>13701</v>
      </c>
      <c r="B3834" s="10" t="s">
        <v>5878</v>
      </c>
      <c r="C3834" s="9">
        <v>10701</v>
      </c>
      <c r="D3834" s="10" t="s">
        <v>5879</v>
      </c>
      <c r="E3834" s="11" t="s">
        <v>5046</v>
      </c>
      <c r="F3834" t="str">
        <f t="shared" si="295"/>
        <v>MacArthur</v>
      </c>
      <c r="G3834" t="str">
        <f t="shared" si="296"/>
        <v>MacArthur10701Irving</v>
      </c>
      <c r="H3834" t="s">
        <v>34692</v>
      </c>
      <c r="I3834" t="s">
        <v>26116</v>
      </c>
      <c r="J3834" t="str">
        <f t="shared" si="297"/>
        <v>E:\PropInv\MF</v>
      </c>
      <c r="K3834" s="103" t="str">
        <f>HYPERLINK("E:\PropInv\MF\Irving\MacArthur Rd N_10701_MacArthur Ridge_Irving_13701","MacArthur Rd N_10701_MacArthur Ridge_Irving_13701" )</f>
        <v>MacArthur Rd N_10701_MacArthur Ridge_Irving_13701</v>
      </c>
      <c r="L3834" s="104" t="s">
        <v>22253</v>
      </c>
      <c r="M3834" s="103" t="str">
        <f t="shared" si="298"/>
        <v>http://oconnordata.com/mlink/modules/profile/index.cfm?action=profile&amp;prop_id=13701</v>
      </c>
      <c r="N3834" s="1">
        <f t="shared" si="299"/>
        <v>13701</v>
      </c>
    </row>
    <row r="3835" spans="1:14" x14ac:dyDescent="0.3">
      <c r="A3835" s="1">
        <v>13702</v>
      </c>
      <c r="B3835" s="7" t="s">
        <v>5880</v>
      </c>
      <c r="C3835" s="12">
        <v>4606</v>
      </c>
      <c r="D3835" s="7" t="s">
        <v>5881</v>
      </c>
      <c r="E3835" s="13" t="s">
        <v>4996</v>
      </c>
      <c r="F3835" t="str">
        <f t="shared" si="295"/>
        <v>Cedar</v>
      </c>
      <c r="G3835" t="str">
        <f t="shared" si="296"/>
        <v>Cedar4606Dallas</v>
      </c>
      <c r="H3835" t="s">
        <v>34693</v>
      </c>
      <c r="I3835" t="s">
        <v>26117</v>
      </c>
      <c r="J3835" t="str">
        <f t="shared" si="297"/>
        <v>E:\PropInv\MF</v>
      </c>
      <c r="K3835" s="103" t="str">
        <f>HYPERLINK("E:\PropInv\MF\Dallas\Cedar Springs Rd_4606_Atera_Dallas_13702","Cedar Springs Rd_4606_Atera_Dallas_13702" )</f>
        <v>Cedar Springs Rd_4606_Atera_Dallas_13702</v>
      </c>
      <c r="L3835" s="104" t="s">
        <v>22253</v>
      </c>
      <c r="M3835" s="103" t="str">
        <f t="shared" si="298"/>
        <v>http://oconnordata.com/mlink/modules/profile/index.cfm?action=profile&amp;prop_id=13702</v>
      </c>
      <c r="N3835" s="1">
        <f t="shared" si="299"/>
        <v>13702</v>
      </c>
    </row>
    <row r="3836" spans="1:14" x14ac:dyDescent="0.3">
      <c r="A3836" s="1">
        <v>13703</v>
      </c>
      <c r="B3836" s="7" t="s">
        <v>5882</v>
      </c>
      <c r="C3836" s="12">
        <v>1520</v>
      </c>
      <c r="D3836" s="7" t="s">
        <v>5883</v>
      </c>
      <c r="E3836" s="13" t="s">
        <v>3328</v>
      </c>
      <c r="F3836" t="str">
        <f t="shared" si="295"/>
        <v>Richardson</v>
      </c>
      <c r="G3836" t="str">
        <f t="shared" si="296"/>
        <v>Richardson1520Richardson</v>
      </c>
      <c r="H3836" t="s">
        <v>34694</v>
      </c>
      <c r="I3836" t="s">
        <v>26118</v>
      </c>
      <c r="J3836" t="str">
        <f t="shared" si="297"/>
        <v>E:\PropInv\MF</v>
      </c>
      <c r="K3836" s="103" t="str">
        <f>HYPERLINK("E:\PropInv\MF\Richardson\Richardson Dr_1520_Madison at Melrose_Richardson_13703","Richardson Dr_1520_Madison at Melrose_Richardson_13703" )</f>
        <v>Richardson Dr_1520_Madison at Melrose_Richardson_13703</v>
      </c>
      <c r="L3836" s="104" t="s">
        <v>22253</v>
      </c>
      <c r="M3836" s="103" t="str">
        <f t="shared" si="298"/>
        <v>http://oconnordata.com/mlink/modules/profile/index.cfm?action=profile&amp;prop_id=13703</v>
      </c>
      <c r="N3836" s="1">
        <f t="shared" si="299"/>
        <v>13703</v>
      </c>
    </row>
    <row r="3837" spans="1:14" x14ac:dyDescent="0.3">
      <c r="A3837" s="1">
        <v>13704</v>
      </c>
      <c r="B3837" s="7" t="s">
        <v>5884</v>
      </c>
      <c r="C3837" s="12">
        <v>201</v>
      </c>
      <c r="D3837" s="7" t="s">
        <v>5885</v>
      </c>
      <c r="E3837" s="13" t="s">
        <v>5055</v>
      </c>
      <c r="F3837" t="str">
        <f t="shared" si="295"/>
        <v>Round</v>
      </c>
      <c r="G3837" t="str">
        <f t="shared" si="296"/>
        <v>Round201Lewisville</v>
      </c>
      <c r="H3837" t="s">
        <v>34695</v>
      </c>
      <c r="I3837" t="s">
        <v>26119</v>
      </c>
      <c r="J3837" t="str">
        <f t="shared" si="297"/>
        <v>E:\PropInv\MF</v>
      </c>
      <c r="K3837" s="103" t="str">
        <f>HYPERLINK("E:\PropInv\MF\Lewisville\Round Grove Rd E_201_The Madison at Round Grove_Lewisville_13704","Round Grove Rd E_201_The Madison at Round Grove_Lewisville_13704" )</f>
        <v>Round Grove Rd E_201_The Madison at Round Grove_Lewisville_13704</v>
      </c>
      <c r="L3837" s="104" t="s">
        <v>22253</v>
      </c>
      <c r="M3837" s="103" t="str">
        <f t="shared" si="298"/>
        <v>http://oconnordata.com/mlink/modules/profile/index.cfm?action=profile&amp;prop_id=13704</v>
      </c>
      <c r="N3837" s="1">
        <f t="shared" si="299"/>
        <v>13704</v>
      </c>
    </row>
    <row r="3838" spans="1:14" x14ac:dyDescent="0.3">
      <c r="A3838" s="1">
        <v>13705</v>
      </c>
      <c r="B3838" s="7" t="s">
        <v>5182</v>
      </c>
      <c r="C3838" s="12">
        <v>19002</v>
      </c>
      <c r="D3838" s="7" t="s">
        <v>5886</v>
      </c>
      <c r="E3838" s="13" t="s">
        <v>4996</v>
      </c>
      <c r="F3838" t="str">
        <f t="shared" si="295"/>
        <v>Dallas</v>
      </c>
      <c r="G3838" t="str">
        <f t="shared" si="296"/>
        <v>Dallas19002Dallas</v>
      </c>
      <c r="H3838" t="s">
        <v>34696</v>
      </c>
      <c r="I3838" t="s">
        <v>26120</v>
      </c>
      <c r="J3838" t="str">
        <f t="shared" si="297"/>
        <v>E:\PropInv\MF</v>
      </c>
      <c r="K3838" s="103" t="str">
        <f>HYPERLINK("E:\PropInv\MF\Dallas\Dallas Pkwy_19002_Madison on the Parkway_Dallas_13705","Dallas Pkwy_19002_Madison on the Parkway_Dallas_13705" )</f>
        <v>Dallas Pkwy_19002_Madison on the Parkway_Dallas_13705</v>
      </c>
      <c r="L3838" s="104" t="s">
        <v>22253</v>
      </c>
      <c r="M3838" s="103" t="str">
        <f t="shared" si="298"/>
        <v>http://oconnordata.com/mlink/modules/profile/index.cfm?action=profile&amp;prop_id=13705</v>
      </c>
      <c r="N3838" s="1">
        <f t="shared" si="299"/>
        <v>13705</v>
      </c>
    </row>
    <row r="3839" spans="1:14" x14ac:dyDescent="0.3">
      <c r="A3839" s="1">
        <v>13708</v>
      </c>
      <c r="B3839" s="10" t="s">
        <v>3933</v>
      </c>
      <c r="C3839" s="9">
        <v>1303</v>
      </c>
      <c r="D3839" s="10" t="s">
        <v>5887</v>
      </c>
      <c r="E3839" s="11" t="s">
        <v>5228</v>
      </c>
      <c r="F3839" t="str">
        <f t="shared" si="295"/>
        <v>Main</v>
      </c>
      <c r="G3839" t="str">
        <f t="shared" si="296"/>
        <v>Main1303Duncanville</v>
      </c>
      <c r="H3839" t="s">
        <v>34697</v>
      </c>
      <c r="I3839" t="s">
        <v>26121</v>
      </c>
      <c r="J3839" t="str">
        <f t="shared" si="297"/>
        <v>E:\PropInv\MF</v>
      </c>
      <c r="K3839" s="103" t="str">
        <f>HYPERLINK("E:\PropInv\MF\Duncanville\Main St S_1303_Main Park_Duncanville_13708","Main St S_1303_Main Park_Duncanville_13708" )</f>
        <v>Main St S_1303_Main Park_Duncanville_13708</v>
      </c>
      <c r="L3839" s="104" t="s">
        <v>22253</v>
      </c>
      <c r="M3839" s="103" t="str">
        <f t="shared" si="298"/>
        <v>http://oconnordata.com/mlink/modules/profile/index.cfm?action=profile&amp;prop_id=13708</v>
      </c>
      <c r="N3839" s="1">
        <f t="shared" si="299"/>
        <v>13708</v>
      </c>
    </row>
    <row r="3840" spans="1:14" x14ac:dyDescent="0.3">
      <c r="A3840" s="1">
        <v>13709</v>
      </c>
      <c r="B3840" s="7" t="s">
        <v>5434</v>
      </c>
      <c r="C3840" s="12">
        <v>1222</v>
      </c>
      <c r="D3840" s="7" t="s">
        <v>5888</v>
      </c>
      <c r="E3840" s="13" t="s">
        <v>4996</v>
      </c>
      <c r="F3840" t="str">
        <f t="shared" si="295"/>
        <v>Commerce</v>
      </c>
      <c r="G3840" t="str">
        <f t="shared" si="296"/>
        <v>Commerce1222Dallas</v>
      </c>
      <c r="H3840" t="s">
        <v>34698</v>
      </c>
      <c r="I3840" t="s">
        <v>26122</v>
      </c>
      <c r="J3840" t="str">
        <f t="shared" si="297"/>
        <v>E:\PropInv\MF</v>
      </c>
      <c r="K3840" s="103" t="str">
        <f>HYPERLINK("E:\PropInv\MF\Dallas\Commerce_1222_Manor House_Dallas_13709","Commerce_1222_Manor House_Dallas_13709" )</f>
        <v>Commerce_1222_Manor House_Dallas_13709</v>
      </c>
      <c r="L3840" s="104" t="s">
        <v>22253</v>
      </c>
      <c r="M3840" s="103" t="str">
        <f t="shared" si="298"/>
        <v>http://oconnordata.com/mlink/modules/profile/index.cfm?action=profile&amp;prop_id=13709</v>
      </c>
      <c r="N3840" s="1">
        <f t="shared" si="299"/>
        <v>13709</v>
      </c>
    </row>
    <row r="3841" spans="1:14" x14ac:dyDescent="0.3">
      <c r="A3841" s="1">
        <v>13710</v>
      </c>
      <c r="B3841" s="10" t="s">
        <v>5889</v>
      </c>
      <c r="C3841" s="9">
        <v>4253</v>
      </c>
      <c r="D3841" s="10" t="s">
        <v>5890</v>
      </c>
      <c r="E3841" s="11" t="s">
        <v>5060</v>
      </c>
      <c r="F3841" t="str">
        <f t="shared" si="295"/>
        <v>Hunt</v>
      </c>
      <c r="G3841" t="str">
        <f t="shared" si="296"/>
        <v>Hunt4253Carrollton</v>
      </c>
      <c r="H3841" t="s">
        <v>34699</v>
      </c>
      <c r="I3841" t="s">
        <v>26123</v>
      </c>
      <c r="J3841" t="str">
        <f t="shared" si="297"/>
        <v>E:\PropInv\MF</v>
      </c>
      <c r="K3841" s="103" t="str">
        <f>HYPERLINK("E:\PropInv\MF\Carrollton\Hunt Dr_4253_Bella Vida at Coyote Ridge I &amp; II_Carrollton_13710","Hunt Dr_4253_Bella Vida at Coyote Ridge I &amp; II_Carrollton_13710" )</f>
        <v>Hunt Dr_4253_Bella Vida at Coyote Ridge I &amp; II_Carrollton_13710</v>
      </c>
      <c r="L3841" s="104" t="s">
        <v>22253</v>
      </c>
      <c r="M3841" s="103" t="str">
        <f t="shared" si="298"/>
        <v>http://oconnordata.com/mlink/modules/profile/index.cfm?action=profile&amp;prop_id=13710</v>
      </c>
      <c r="N3841" s="1">
        <f t="shared" si="299"/>
        <v>13710</v>
      </c>
    </row>
    <row r="3842" spans="1:14" x14ac:dyDescent="0.3">
      <c r="A3842" s="1">
        <v>13711</v>
      </c>
      <c r="B3842" s="10" t="s">
        <v>5891</v>
      </c>
      <c r="C3842" s="9">
        <v>620</v>
      </c>
      <c r="D3842" s="10" t="s">
        <v>5892</v>
      </c>
      <c r="E3842" s="11" t="s">
        <v>5612</v>
      </c>
      <c r="F3842" t="str">
        <f t="shared" ref="F3842:F3905" si="300">IFERROR(LEFT(B3842,FIND(" ",B3842)-1),B3842)</f>
        <v>Coppell</v>
      </c>
      <c r="G3842" t="str">
        <f t="shared" ref="G3842:G3905" si="301">F3842&amp;C3842&amp;E3842</f>
        <v>Coppell620Coppell</v>
      </c>
      <c r="H3842" t="s">
        <v>34700</v>
      </c>
      <c r="I3842" t="s">
        <v>26124</v>
      </c>
      <c r="J3842" t="str">
        <f t="shared" ref="J3842:J3905" si="302">IF(L3842="TX",Folder_Path,Folder_Path&amp;"\State_"&amp;L3842)</f>
        <v>E:\PropInv\MF</v>
      </c>
      <c r="K3842" s="103" t="str">
        <f>HYPERLINK("E:\PropInv\MF\Coppell\Coppell Rd N_620_The Mansions by the Lake_Coppell_13711","Coppell Rd N_620_The Mansions by the Lake_Coppell_13711" )</f>
        <v>Coppell Rd N_620_The Mansions by the Lake_Coppell_13711</v>
      </c>
      <c r="L3842" s="104" t="s">
        <v>22253</v>
      </c>
      <c r="M3842" s="103" t="str">
        <f t="shared" ref="M3842:M3905" si="303">HYPERLINK("http://oconnordata.com/mlink/modules/profile/index.cfm?action=profile&amp;prop_id="&amp;A3842)</f>
        <v>http://oconnordata.com/mlink/modules/profile/index.cfm?action=profile&amp;prop_id=13711</v>
      </c>
      <c r="N3842" s="1">
        <f t="shared" ref="N3842:N3905" si="304">IF(LEN(A3842)=1,"0000"&amp;A3842,IF(LEN(A3842)=2,"000"&amp;A3842,IF(LEN(A3842)=3,"00"&amp;A3842,IF(LEN(A3842)=4,"0"&amp;A3842,IF(LEN(A3842)=5,IF(LEFT(A3842,1)="3",A3842+30000,A3842))))))</f>
        <v>13711</v>
      </c>
    </row>
    <row r="3843" spans="1:14" x14ac:dyDescent="0.3">
      <c r="A3843" s="1">
        <v>13712</v>
      </c>
      <c r="B3843" s="10" t="s">
        <v>5893</v>
      </c>
      <c r="C3843" s="9">
        <v>3200</v>
      </c>
      <c r="D3843" s="10" t="s">
        <v>5894</v>
      </c>
      <c r="E3843" s="11" t="s">
        <v>4996</v>
      </c>
      <c r="F3843" t="str">
        <f t="shared" si="300"/>
        <v>Maple</v>
      </c>
      <c r="G3843" t="str">
        <f t="shared" si="301"/>
        <v>Maple3200Dallas</v>
      </c>
      <c r="H3843" t="s">
        <v>34701</v>
      </c>
      <c r="I3843" t="s">
        <v>26125</v>
      </c>
      <c r="J3843" t="str">
        <f t="shared" si="302"/>
        <v>E:\PropInv\MF</v>
      </c>
      <c r="K3843" s="103" t="str">
        <f>HYPERLINK("E:\PropInv\MF\Dallas\Maple Ave_3200_The Villas at Katy Trail_Dallas_13712","Maple Ave_3200_The Villas at Katy Trail_Dallas_13712" )</f>
        <v>Maple Ave_3200_The Villas at Katy Trail_Dallas_13712</v>
      </c>
      <c r="L3843" s="104" t="s">
        <v>22253</v>
      </c>
      <c r="M3843" s="103" t="str">
        <f t="shared" si="303"/>
        <v>http://oconnordata.com/mlink/modules/profile/index.cfm?action=profile&amp;prop_id=13712</v>
      </c>
      <c r="N3843" s="1">
        <f t="shared" si="304"/>
        <v>13712</v>
      </c>
    </row>
    <row r="3844" spans="1:14" x14ac:dyDescent="0.3">
      <c r="A3844" s="1">
        <v>13713</v>
      </c>
      <c r="B3844" s="10" t="s">
        <v>5895</v>
      </c>
      <c r="C3844" s="9">
        <v>4057</v>
      </c>
      <c r="D3844" s="10" t="s">
        <v>5896</v>
      </c>
      <c r="E3844" s="11" t="s">
        <v>5046</v>
      </c>
      <c r="F3844" t="str">
        <f t="shared" si="300"/>
        <v>Belt</v>
      </c>
      <c r="G3844" t="str">
        <f t="shared" si="301"/>
        <v>Belt4057Irving</v>
      </c>
      <c r="H3844" t="s">
        <v>34702</v>
      </c>
      <c r="I3844" t="s">
        <v>26126</v>
      </c>
      <c r="J3844" t="str">
        <f t="shared" si="302"/>
        <v>E:\PropInv\MF</v>
      </c>
      <c r="K3844" s="103" t="str">
        <f>HYPERLINK("E:\PropInv\MF\Irving\Belt Line N_4057_Marbletree_Irving_13713","Belt Line N_4057_Marbletree_Irving_13713" )</f>
        <v>Belt Line N_4057_Marbletree_Irving_13713</v>
      </c>
      <c r="L3844" s="104" t="s">
        <v>22253</v>
      </c>
      <c r="M3844" s="103" t="str">
        <f t="shared" si="303"/>
        <v>http://oconnordata.com/mlink/modules/profile/index.cfm?action=profile&amp;prop_id=13713</v>
      </c>
      <c r="N3844" s="1">
        <f t="shared" si="304"/>
        <v>13713</v>
      </c>
    </row>
    <row r="3845" spans="1:14" x14ac:dyDescent="0.3">
      <c r="A3845" s="1">
        <v>13715</v>
      </c>
      <c r="B3845" s="10" t="s">
        <v>5693</v>
      </c>
      <c r="C3845" s="9">
        <v>800</v>
      </c>
      <c r="D3845" s="10" t="s">
        <v>5897</v>
      </c>
      <c r="E3845" s="11" t="s">
        <v>3328</v>
      </c>
      <c r="F3845" t="str">
        <f t="shared" si="300"/>
        <v>Renner</v>
      </c>
      <c r="G3845" t="str">
        <f t="shared" si="301"/>
        <v>Renner800Richardson</v>
      </c>
      <c r="H3845" t="s">
        <v>34703</v>
      </c>
      <c r="I3845" t="s">
        <v>26127</v>
      </c>
      <c r="J3845" t="str">
        <f t="shared" si="302"/>
        <v>E:\PropInv\MF</v>
      </c>
      <c r="K3845" s="103" t="str">
        <f>HYPERLINK("E:\PropInv\MF\Richardson\Renner Rd W_800_The Marquis at Waterview_Richardson_13715","Renner Rd W_800_The Marquis at Waterview_Richardson_13715" )</f>
        <v>Renner Rd W_800_The Marquis at Waterview_Richardson_13715</v>
      </c>
      <c r="L3845" s="104" t="s">
        <v>22253</v>
      </c>
      <c r="M3845" s="103" t="str">
        <f t="shared" si="303"/>
        <v>http://oconnordata.com/mlink/modules/profile/index.cfm?action=profile&amp;prop_id=13715</v>
      </c>
      <c r="N3845" s="1">
        <f t="shared" si="304"/>
        <v>13715</v>
      </c>
    </row>
    <row r="3846" spans="1:14" x14ac:dyDescent="0.3">
      <c r="A3846" s="1">
        <v>13716</v>
      </c>
      <c r="B3846" s="10" t="s">
        <v>5037</v>
      </c>
      <c r="C3846" s="9">
        <v>18749</v>
      </c>
      <c r="D3846" s="10" t="s">
        <v>5898</v>
      </c>
      <c r="E3846" s="11" t="s">
        <v>4996</v>
      </c>
      <c r="F3846" t="str">
        <f t="shared" si="300"/>
        <v>Marsh</v>
      </c>
      <c r="G3846" t="str">
        <f t="shared" si="301"/>
        <v>Marsh18749Dallas</v>
      </c>
      <c r="H3846" t="s">
        <v>34704</v>
      </c>
      <c r="I3846" t="s">
        <v>26128</v>
      </c>
      <c r="J3846" t="str">
        <f t="shared" si="302"/>
        <v>E:\PropInv\MF</v>
      </c>
      <c r="K3846" s="103" t="str">
        <f>HYPERLINK("E:\PropInv\MF\Dallas\Marsh Ln_18749_Marsh Creek_Dallas_13716","Marsh Ln_18749_Marsh Creek_Dallas_13716" )</f>
        <v>Marsh Ln_18749_Marsh Creek_Dallas_13716</v>
      </c>
      <c r="L3846" s="104" t="s">
        <v>22253</v>
      </c>
      <c r="M3846" s="103" t="str">
        <f t="shared" si="303"/>
        <v>http://oconnordata.com/mlink/modules/profile/index.cfm?action=profile&amp;prop_id=13716</v>
      </c>
      <c r="N3846" s="1">
        <f t="shared" si="304"/>
        <v>13716</v>
      </c>
    </row>
    <row r="3847" spans="1:14" x14ac:dyDescent="0.3">
      <c r="A3847" s="1">
        <v>13717</v>
      </c>
      <c r="B3847" s="7" t="s">
        <v>5037</v>
      </c>
      <c r="C3847" s="12">
        <v>2535</v>
      </c>
      <c r="D3847" s="7" t="s">
        <v>5899</v>
      </c>
      <c r="E3847" s="13" t="s">
        <v>5060</v>
      </c>
      <c r="F3847" t="str">
        <f t="shared" si="300"/>
        <v>Marsh</v>
      </c>
      <c r="G3847" t="str">
        <f t="shared" si="301"/>
        <v>Marsh2535Carrollton</v>
      </c>
      <c r="H3847" t="s">
        <v>34705</v>
      </c>
      <c r="I3847" t="s">
        <v>26129</v>
      </c>
      <c r="J3847" t="str">
        <f t="shared" si="302"/>
        <v>E:\PropInv\MF</v>
      </c>
      <c r="K3847" s="103" t="str">
        <f>HYPERLINK("E:\PropInv\MF\Carrollton\Marsh Ln_2535_Marsh Highland_Carrollton_13717","Marsh Ln_2535_Marsh Highland_Carrollton_13717" )</f>
        <v>Marsh Ln_2535_Marsh Highland_Carrollton_13717</v>
      </c>
      <c r="L3847" s="104" t="s">
        <v>22253</v>
      </c>
      <c r="M3847" s="103" t="str">
        <f t="shared" si="303"/>
        <v>http://oconnordata.com/mlink/modules/profile/index.cfm?action=profile&amp;prop_id=13717</v>
      </c>
      <c r="N3847" s="1">
        <f t="shared" si="304"/>
        <v>13717</v>
      </c>
    </row>
    <row r="3848" spans="1:14" x14ac:dyDescent="0.3">
      <c r="A3848" s="1">
        <v>13721</v>
      </c>
      <c r="B3848" s="7" t="s">
        <v>5900</v>
      </c>
      <c r="C3848" s="12">
        <v>1619</v>
      </c>
      <c r="D3848" s="7" t="s">
        <v>5901</v>
      </c>
      <c r="E3848" s="13" t="s">
        <v>5046</v>
      </c>
      <c r="F3848" t="str">
        <f t="shared" si="300"/>
        <v>Grauwyler</v>
      </c>
      <c r="G3848" t="str">
        <f t="shared" si="301"/>
        <v>Grauwyler1619Irving</v>
      </c>
      <c r="H3848" t="s">
        <v>34706</v>
      </c>
      <c r="I3848" t="s">
        <v>26130</v>
      </c>
      <c r="J3848" t="str">
        <f t="shared" si="302"/>
        <v>E:\PropInv\MF</v>
      </c>
      <c r="K3848" s="103" t="str">
        <f>HYPERLINK("E:\PropInv\MF\Irving\Grauwyler E_1619_Mayarka Square_Irving_13721","Grauwyler E_1619_Mayarka Square_Irving_13721" )</f>
        <v>Grauwyler E_1619_Mayarka Square_Irving_13721</v>
      </c>
      <c r="L3848" s="104" t="s">
        <v>22253</v>
      </c>
      <c r="M3848" s="103" t="str">
        <f t="shared" si="303"/>
        <v>http://oconnordata.com/mlink/modules/profile/index.cfm?action=profile&amp;prop_id=13721</v>
      </c>
      <c r="N3848" s="1">
        <f t="shared" si="304"/>
        <v>13721</v>
      </c>
    </row>
    <row r="3849" spans="1:14" x14ac:dyDescent="0.3">
      <c r="A3849" s="1">
        <v>13722</v>
      </c>
      <c r="B3849" s="7" t="s">
        <v>5703</v>
      </c>
      <c r="C3849" s="12">
        <v>8900</v>
      </c>
      <c r="D3849" s="7" t="s">
        <v>5902</v>
      </c>
      <c r="E3849" s="13" t="s">
        <v>5009</v>
      </c>
      <c r="F3849" t="str">
        <f t="shared" si="300"/>
        <v>Independence</v>
      </c>
      <c r="G3849" t="str">
        <f t="shared" si="301"/>
        <v>Independence8900Plano</v>
      </c>
      <c r="H3849" t="s">
        <v>34707</v>
      </c>
      <c r="I3849" t="s">
        <v>26131</v>
      </c>
      <c r="J3849" t="str">
        <f t="shared" si="302"/>
        <v>E:\PropInv\MF</v>
      </c>
      <c r="K3849" s="103" t="str">
        <f>HYPERLINK("E:\PropInv\MF\Plano\Independence_8900_McDermott Place_Plano_13722","Independence_8900_McDermott Place_Plano_13722" )</f>
        <v>Independence_8900_McDermott Place_Plano_13722</v>
      </c>
      <c r="L3849" s="104" t="s">
        <v>22253</v>
      </c>
      <c r="M3849" s="103" t="str">
        <f t="shared" si="303"/>
        <v>http://oconnordata.com/mlink/modules/profile/index.cfm?action=profile&amp;prop_id=13722</v>
      </c>
      <c r="N3849" s="1">
        <f t="shared" si="304"/>
        <v>13722</v>
      </c>
    </row>
    <row r="3850" spans="1:14" x14ac:dyDescent="0.3">
      <c r="A3850" s="1">
        <v>13723</v>
      </c>
      <c r="B3850" s="7" t="s">
        <v>5799</v>
      </c>
      <c r="C3850" s="12">
        <v>290</v>
      </c>
      <c r="D3850" s="7" t="s">
        <v>5903</v>
      </c>
      <c r="E3850" s="13" t="s">
        <v>5055</v>
      </c>
      <c r="F3850" t="str">
        <f t="shared" si="300"/>
        <v>Lake</v>
      </c>
      <c r="G3850" t="str">
        <f t="shared" si="301"/>
        <v>Lake290Lewisville</v>
      </c>
      <c r="H3850" t="s">
        <v>34708</v>
      </c>
      <c r="I3850" t="s">
        <v>26132</v>
      </c>
      <c r="J3850" t="str">
        <f t="shared" si="302"/>
        <v>E:\PropInv\MF</v>
      </c>
      <c r="K3850" s="103" t="str">
        <f>HYPERLINK("E:\PropInv\MF\Lewisville\Lake Park Rd_290_McKamy Lake_Lewisville_13723","Lake Park Rd_290_McKamy Lake_Lewisville_13723" )</f>
        <v>Lake Park Rd_290_McKamy Lake_Lewisville_13723</v>
      </c>
      <c r="L3850" s="104" t="s">
        <v>22253</v>
      </c>
      <c r="M3850" s="103" t="str">
        <f t="shared" si="303"/>
        <v>http://oconnordata.com/mlink/modules/profile/index.cfm?action=profile&amp;prop_id=13723</v>
      </c>
      <c r="N3850" s="1">
        <f t="shared" si="304"/>
        <v>13723</v>
      </c>
    </row>
    <row r="3851" spans="1:14" x14ac:dyDescent="0.3">
      <c r="A3851" s="1">
        <v>13724</v>
      </c>
      <c r="B3851" s="10" t="s">
        <v>5904</v>
      </c>
      <c r="C3851" s="9">
        <v>2700</v>
      </c>
      <c r="D3851" s="10" t="s">
        <v>5905</v>
      </c>
      <c r="E3851" s="11" t="s">
        <v>5043</v>
      </c>
      <c r="F3851" t="str">
        <f t="shared" si="300"/>
        <v>Brook</v>
      </c>
      <c r="G3851" t="str">
        <f t="shared" si="301"/>
        <v>Brook2700McKinney</v>
      </c>
      <c r="H3851" t="s">
        <v>34709</v>
      </c>
      <c r="I3851" t="s">
        <v>26133</v>
      </c>
      <c r="J3851" t="str">
        <f t="shared" si="302"/>
        <v>E:\PropInv\MF</v>
      </c>
      <c r="K3851" s="103" t="str">
        <f>HYPERLINK("E:\PropInv\MF\McKinney\Brook Dr N_2700_Mckinney Orchid_McKinney_13724","Brook Dr N_2700_Mckinney Orchid_McKinney_13724" )</f>
        <v>Brook Dr N_2700_Mckinney Orchid_McKinney_13724</v>
      </c>
      <c r="L3851" s="104" t="s">
        <v>22253</v>
      </c>
      <c r="M3851" s="103" t="str">
        <f t="shared" si="303"/>
        <v>http://oconnordata.com/mlink/modules/profile/index.cfm?action=profile&amp;prop_id=13724</v>
      </c>
      <c r="N3851" s="1">
        <f t="shared" si="304"/>
        <v>13724</v>
      </c>
    </row>
    <row r="3852" spans="1:14" x14ac:dyDescent="0.3">
      <c r="A3852" s="1">
        <v>13725</v>
      </c>
      <c r="B3852" s="10" t="s">
        <v>5906</v>
      </c>
      <c r="C3852" s="9">
        <v>12610</v>
      </c>
      <c r="D3852" s="10" t="s">
        <v>5907</v>
      </c>
      <c r="E3852" s="11" t="s">
        <v>4996</v>
      </c>
      <c r="F3852" t="str">
        <f t="shared" si="300"/>
        <v>Jupiter</v>
      </c>
      <c r="G3852" t="str">
        <f t="shared" si="301"/>
        <v>Jupiter12610Dallas</v>
      </c>
      <c r="H3852" t="s">
        <v>34710</v>
      </c>
      <c r="I3852" t="s">
        <v>26134</v>
      </c>
      <c r="J3852" t="str">
        <f t="shared" si="302"/>
        <v>E:\PropInv\MF</v>
      </c>
      <c r="K3852" s="103" t="str">
        <f>HYPERLINK("E:\PropInv\MF\Dallas\Jupiter Rd_12610_McMillan Place_Dallas_13725","Jupiter Rd_12610_McMillan Place_Dallas_13725" )</f>
        <v>Jupiter Rd_12610_McMillan Place_Dallas_13725</v>
      </c>
      <c r="L3852" s="104" t="s">
        <v>22253</v>
      </c>
      <c r="M3852" s="103" t="str">
        <f t="shared" si="303"/>
        <v>http://oconnordata.com/mlink/modules/profile/index.cfm?action=profile&amp;prop_id=13725</v>
      </c>
      <c r="N3852" s="1">
        <f t="shared" si="304"/>
        <v>13725</v>
      </c>
    </row>
    <row r="3853" spans="1:14" x14ac:dyDescent="0.3">
      <c r="A3853" s="1">
        <v>13726</v>
      </c>
      <c r="B3853" s="10" t="s">
        <v>5332</v>
      </c>
      <c r="C3853" s="9">
        <v>8200</v>
      </c>
      <c r="D3853" s="10" t="s">
        <v>5908</v>
      </c>
      <c r="E3853" s="11" t="s">
        <v>4996</v>
      </c>
      <c r="F3853" t="str">
        <f t="shared" si="300"/>
        <v>Southwestern</v>
      </c>
      <c r="G3853" t="str">
        <f t="shared" si="301"/>
        <v>Southwestern8200Dallas</v>
      </c>
      <c r="H3853" t="s">
        <v>34711</v>
      </c>
      <c r="I3853" t="s">
        <v>26135</v>
      </c>
      <c r="J3853" t="str">
        <f t="shared" si="302"/>
        <v>E:\PropInv\MF</v>
      </c>
      <c r="K3853" s="103" t="str">
        <f>HYPERLINK("E:\PropInv\MF\Dallas\Southwestern_8200_The Meadow_Dallas_13726","Southwestern_8200_The Meadow_Dallas_13726" )</f>
        <v>Southwestern_8200_The Meadow_Dallas_13726</v>
      </c>
      <c r="L3853" s="104" t="s">
        <v>22253</v>
      </c>
      <c r="M3853" s="103" t="str">
        <f t="shared" si="303"/>
        <v>http://oconnordata.com/mlink/modules/profile/index.cfm?action=profile&amp;prop_id=13726</v>
      </c>
      <c r="N3853" s="1">
        <f t="shared" si="304"/>
        <v>13726</v>
      </c>
    </row>
    <row r="3854" spans="1:14" x14ac:dyDescent="0.3">
      <c r="A3854" s="1">
        <v>13727</v>
      </c>
      <c r="B3854" s="10" t="s">
        <v>5233</v>
      </c>
      <c r="C3854" s="9">
        <v>8175</v>
      </c>
      <c r="D3854" s="10" t="s">
        <v>5909</v>
      </c>
      <c r="E3854" s="11" t="s">
        <v>4996</v>
      </c>
      <c r="F3854" t="str">
        <f t="shared" si="300"/>
        <v>Meadow</v>
      </c>
      <c r="G3854" t="str">
        <f t="shared" si="301"/>
        <v>Meadow8175Dallas</v>
      </c>
      <c r="H3854" t="s">
        <v>34712</v>
      </c>
      <c r="I3854" t="s">
        <v>26136</v>
      </c>
      <c r="J3854" t="str">
        <f t="shared" si="302"/>
        <v>E:\PropInv\MF</v>
      </c>
      <c r="K3854" s="103" t="str">
        <f>HYPERLINK("E:\PropInv\MF\Dallas\Meadow Rd_8175_Meadows Crossing_Dallas_13727","Meadow Rd_8175_Meadows Crossing_Dallas_13727" )</f>
        <v>Meadow Rd_8175_Meadows Crossing_Dallas_13727</v>
      </c>
      <c r="L3854" s="104" t="s">
        <v>22253</v>
      </c>
      <c r="M3854" s="103" t="str">
        <f t="shared" si="303"/>
        <v>http://oconnordata.com/mlink/modules/profile/index.cfm?action=profile&amp;prop_id=13727</v>
      </c>
      <c r="N3854" s="1">
        <f t="shared" si="304"/>
        <v>13727</v>
      </c>
    </row>
    <row r="3855" spans="1:14" x14ac:dyDescent="0.3">
      <c r="A3855" s="1">
        <v>13728</v>
      </c>
      <c r="B3855" s="7" t="s">
        <v>5910</v>
      </c>
      <c r="C3855" s="12">
        <v>3001</v>
      </c>
      <c r="D3855" s="7" t="s">
        <v>5911</v>
      </c>
      <c r="E3855" s="13" t="s">
        <v>5076</v>
      </c>
      <c r="F3855" t="str">
        <f t="shared" si="300"/>
        <v>Ave</v>
      </c>
      <c r="G3855" t="str">
        <f t="shared" si="301"/>
        <v>Ave3001Grand Prairie</v>
      </c>
      <c r="H3855" t="s">
        <v>34713</v>
      </c>
      <c r="I3855" t="s">
        <v>26137</v>
      </c>
      <c r="J3855" t="str">
        <f t="shared" si="302"/>
        <v>E:\PropInv\MF</v>
      </c>
      <c r="K3855" s="103" t="str">
        <f>HYPERLINK("E:\PropInv\MF\Grand Prairie\Ave K_3001_Meadow Green_Grand Prairie_13728","Ave K_3001_Meadow Green_Grand Prairie_13728" )</f>
        <v>Ave K_3001_Meadow Green_Grand Prairie_13728</v>
      </c>
      <c r="L3855" s="104" t="s">
        <v>22253</v>
      </c>
      <c r="M3855" s="103" t="str">
        <f t="shared" si="303"/>
        <v>http://oconnordata.com/mlink/modules/profile/index.cfm?action=profile&amp;prop_id=13728</v>
      </c>
      <c r="N3855" s="1">
        <f t="shared" si="304"/>
        <v>13728</v>
      </c>
    </row>
    <row r="3856" spans="1:14" x14ac:dyDescent="0.3">
      <c r="A3856" s="1">
        <v>13730</v>
      </c>
      <c r="B3856" s="7" t="s">
        <v>5912</v>
      </c>
      <c r="C3856" s="12">
        <v>4811</v>
      </c>
      <c r="D3856" s="7" t="s">
        <v>5913</v>
      </c>
      <c r="E3856" s="13" t="s">
        <v>4996</v>
      </c>
      <c r="F3856" t="str">
        <f t="shared" si="300"/>
        <v>Duncanville</v>
      </c>
      <c r="G3856" t="str">
        <f t="shared" si="301"/>
        <v>Duncanville4811Dallas</v>
      </c>
      <c r="H3856" t="s">
        <v>34714</v>
      </c>
      <c r="I3856" t="s">
        <v>26138</v>
      </c>
      <c r="J3856" t="str">
        <f t="shared" si="302"/>
        <v>E:\PropInv\MF</v>
      </c>
      <c r="K3856" s="103" t="str">
        <f>HYPERLINK("E:\PropInv\MF\Dallas\Duncanville Rd_4811_Meadow Parc_Dallas_13730","Duncanville Rd_4811_Meadow Parc_Dallas_13730" )</f>
        <v>Duncanville Rd_4811_Meadow Parc_Dallas_13730</v>
      </c>
      <c r="L3856" s="104" t="s">
        <v>22253</v>
      </c>
      <c r="M3856" s="103" t="str">
        <f t="shared" si="303"/>
        <v>http://oconnordata.com/mlink/modules/profile/index.cfm?action=profile&amp;prop_id=13730</v>
      </c>
      <c r="N3856" s="1">
        <f t="shared" si="304"/>
        <v>13730</v>
      </c>
    </row>
    <row r="3857" spans="1:14" x14ac:dyDescent="0.3">
      <c r="A3857" s="1">
        <v>13731</v>
      </c>
      <c r="B3857" s="7" t="s">
        <v>5914</v>
      </c>
      <c r="C3857" s="12">
        <v>933</v>
      </c>
      <c r="D3857" s="7" t="s">
        <v>5915</v>
      </c>
      <c r="E3857" s="13" t="s">
        <v>5088</v>
      </c>
      <c r="F3857" t="str">
        <f t="shared" si="300"/>
        <v>Bruton</v>
      </c>
      <c r="G3857" t="str">
        <f t="shared" si="301"/>
        <v>Bruton933Mesquite</v>
      </c>
      <c r="H3857" t="s">
        <v>34715</v>
      </c>
      <c r="I3857" t="s">
        <v>26139</v>
      </c>
      <c r="J3857" t="str">
        <f t="shared" si="302"/>
        <v>E:\PropInv\MF</v>
      </c>
      <c r="K3857" s="103" t="str">
        <f>HYPERLINK("E:\PropInv\MF\Mesquite\Bruton Rd W-Cartwright W_933_Stone Ridge_Mesquite_13731","Bruton Rd W-Cartwright W_933_Stone Ridge_Mesquite_13731" )</f>
        <v>Bruton Rd W-Cartwright W_933_Stone Ridge_Mesquite_13731</v>
      </c>
      <c r="L3857" s="104" t="s">
        <v>22253</v>
      </c>
      <c r="M3857" s="103" t="str">
        <f t="shared" si="303"/>
        <v>http://oconnordata.com/mlink/modules/profile/index.cfm?action=profile&amp;prop_id=13731</v>
      </c>
      <c r="N3857" s="1">
        <f t="shared" si="304"/>
        <v>13731</v>
      </c>
    </row>
    <row r="3858" spans="1:14" x14ac:dyDescent="0.3">
      <c r="A3858" s="1">
        <v>13733</v>
      </c>
      <c r="B3858" s="7" t="s">
        <v>5916</v>
      </c>
      <c r="C3858" s="12">
        <v>3826</v>
      </c>
      <c r="D3858" s="7" t="s">
        <v>1195</v>
      </c>
      <c r="E3858" s="13" t="s">
        <v>5019</v>
      </c>
      <c r="F3858" t="str">
        <f t="shared" si="300"/>
        <v>Easton</v>
      </c>
      <c r="G3858" t="str">
        <f t="shared" si="301"/>
        <v>Easton3826Garland</v>
      </c>
      <c r="H3858" t="s">
        <v>34716</v>
      </c>
      <c r="I3858" t="s">
        <v>26140</v>
      </c>
      <c r="J3858" t="str">
        <f t="shared" si="302"/>
        <v>E:\PropInv\MF</v>
      </c>
      <c r="K3858" s="103" t="str">
        <f>HYPERLINK("E:\PropInv\MF\Garland\Easton Meadows_3826_Meadows_Garland_13733","Easton Meadows_3826_Meadows_Garland_13733" )</f>
        <v>Easton Meadows_3826_Meadows_Garland_13733</v>
      </c>
      <c r="L3858" s="104" t="s">
        <v>22253</v>
      </c>
      <c r="M3858" s="103" t="str">
        <f t="shared" si="303"/>
        <v>http://oconnordata.com/mlink/modules/profile/index.cfm?action=profile&amp;prop_id=13733</v>
      </c>
      <c r="N3858" s="1">
        <f t="shared" si="304"/>
        <v>13733</v>
      </c>
    </row>
    <row r="3859" spans="1:14" x14ac:dyDescent="0.3">
      <c r="A3859" s="1">
        <v>13734</v>
      </c>
      <c r="B3859" s="7" t="s">
        <v>5917</v>
      </c>
      <c r="C3859" s="12">
        <v>1201</v>
      </c>
      <c r="D3859" s="7" t="s">
        <v>5918</v>
      </c>
      <c r="E3859" s="13" t="s">
        <v>5009</v>
      </c>
      <c r="F3859" t="str">
        <f t="shared" si="300"/>
        <v>Park</v>
      </c>
      <c r="G3859" t="str">
        <f t="shared" si="301"/>
        <v>Park1201Plano</v>
      </c>
      <c r="H3859" t="s">
        <v>34717</v>
      </c>
      <c r="I3859" t="s">
        <v>26141</v>
      </c>
      <c r="J3859" t="str">
        <f t="shared" si="302"/>
        <v>E:\PropInv\MF</v>
      </c>
      <c r="K3859" s="103" t="str">
        <f>HYPERLINK("E:\PropInv\MF\Plano\Park Blvd E_1201_La Jolla on Park_Plano_13734","Park Blvd E_1201_La Jolla on Park_Plano_13734" )</f>
        <v>Park Blvd E_1201_La Jolla on Park_Plano_13734</v>
      </c>
      <c r="L3859" s="104" t="s">
        <v>22253</v>
      </c>
      <c r="M3859" s="103" t="str">
        <f t="shared" si="303"/>
        <v>http://oconnordata.com/mlink/modules/profile/index.cfm?action=profile&amp;prop_id=13734</v>
      </c>
      <c r="N3859" s="1">
        <f t="shared" si="304"/>
        <v>13734</v>
      </c>
    </row>
    <row r="3860" spans="1:14" x14ac:dyDescent="0.3">
      <c r="A3860" s="1">
        <v>13735</v>
      </c>
      <c r="B3860" s="7" t="s">
        <v>5919</v>
      </c>
      <c r="C3860" s="12">
        <v>1826</v>
      </c>
      <c r="D3860" s="7" t="s">
        <v>5920</v>
      </c>
      <c r="E3860" s="13" t="s">
        <v>5046</v>
      </c>
      <c r="F3860" t="str">
        <f t="shared" si="300"/>
        <v>Esters</v>
      </c>
      <c r="G3860" t="str">
        <f t="shared" si="301"/>
        <v>Esters1826Irving</v>
      </c>
      <c r="H3860" t="s">
        <v>34718</v>
      </c>
      <c r="I3860" t="s">
        <v>26142</v>
      </c>
      <c r="J3860" t="str">
        <f t="shared" si="302"/>
        <v>E:\PropInv\MF</v>
      </c>
      <c r="K3860" s="103" t="str">
        <f>HYPERLINK("E:\PropInv\MF\Irving\Esters Rd_1826_La Jolla on Esters_Irving_13735","Esters Rd_1826_La Jolla on Esters_Irving_13735" )</f>
        <v>Esters Rd_1826_La Jolla on Esters_Irving_13735</v>
      </c>
      <c r="L3860" s="104" t="s">
        <v>22253</v>
      </c>
      <c r="M3860" s="103" t="str">
        <f t="shared" si="303"/>
        <v>http://oconnordata.com/mlink/modules/profile/index.cfm?action=profile&amp;prop_id=13735</v>
      </c>
      <c r="N3860" s="1">
        <f t="shared" si="304"/>
        <v>13735</v>
      </c>
    </row>
    <row r="3861" spans="1:14" x14ac:dyDescent="0.3">
      <c r="A3861" s="1">
        <v>13736</v>
      </c>
      <c r="B3861" s="7" t="s">
        <v>5415</v>
      </c>
      <c r="C3861" s="12">
        <v>2816</v>
      </c>
      <c r="D3861" s="7" t="s">
        <v>257</v>
      </c>
      <c r="E3861" s="13" t="s">
        <v>4996</v>
      </c>
      <c r="F3861" t="str">
        <f t="shared" si="300"/>
        <v>Lucas</v>
      </c>
      <c r="G3861" t="str">
        <f t="shared" si="301"/>
        <v>Lucas2816Dallas</v>
      </c>
      <c r="H3861" t="s">
        <v>34719</v>
      </c>
      <c r="I3861" t="s">
        <v>26143</v>
      </c>
      <c r="J3861" t="str">
        <f t="shared" si="302"/>
        <v>E:\PropInv\MF</v>
      </c>
      <c r="K3861" s="103" t="str">
        <f>HYPERLINK("E:\PropInv\MF\Dallas\Lucas Dr_2816_Melrose Place_Dallas_13736","Lucas Dr_2816_Melrose Place_Dallas_13736" )</f>
        <v>Lucas Dr_2816_Melrose Place_Dallas_13736</v>
      </c>
      <c r="L3861" s="104" t="s">
        <v>22253</v>
      </c>
      <c r="M3861" s="103" t="str">
        <f t="shared" si="303"/>
        <v>http://oconnordata.com/mlink/modules/profile/index.cfm?action=profile&amp;prop_id=13736</v>
      </c>
      <c r="N3861" s="1">
        <f t="shared" si="304"/>
        <v>13736</v>
      </c>
    </row>
    <row r="3862" spans="1:14" x14ac:dyDescent="0.3">
      <c r="A3862" s="1">
        <v>13737</v>
      </c>
      <c r="B3862" s="7" t="s">
        <v>5921</v>
      </c>
      <c r="C3862" s="12">
        <v>2427</v>
      </c>
      <c r="D3862" s="7" t="s">
        <v>5922</v>
      </c>
      <c r="E3862" s="13" t="s">
        <v>4996</v>
      </c>
      <c r="F3862" t="str">
        <f t="shared" si="300"/>
        <v>Allen</v>
      </c>
      <c r="G3862" t="str">
        <f t="shared" si="301"/>
        <v>Allen2427Dallas</v>
      </c>
      <c r="H3862" t="s">
        <v>34720</v>
      </c>
      <c r="I3862" t="s">
        <v>26144</v>
      </c>
      <c r="J3862" t="str">
        <f t="shared" si="302"/>
        <v>E:\PropInv\MF</v>
      </c>
      <c r="K3862" s="103" t="str">
        <f>HYPERLINK("E:\PropInv\MF\Dallas\Allen St_2427_Post Meridian_Dallas_13737","Allen St_2427_Post Meridian_Dallas_13737" )</f>
        <v>Allen St_2427_Post Meridian_Dallas_13737</v>
      </c>
      <c r="L3862" s="104" t="s">
        <v>22253</v>
      </c>
      <c r="M3862" s="103" t="str">
        <f t="shared" si="303"/>
        <v>http://oconnordata.com/mlink/modules/profile/index.cfm?action=profile&amp;prop_id=13737</v>
      </c>
      <c r="N3862" s="1">
        <f t="shared" si="304"/>
        <v>13737</v>
      </c>
    </row>
    <row r="3863" spans="1:14" x14ac:dyDescent="0.3">
      <c r="A3863" s="1">
        <v>13738</v>
      </c>
      <c r="B3863" s="7" t="s">
        <v>5923</v>
      </c>
      <c r="C3863" s="12">
        <v>3620</v>
      </c>
      <c r="D3863" s="7" t="s">
        <v>264</v>
      </c>
      <c r="E3863" s="13" t="s">
        <v>5060</v>
      </c>
      <c r="F3863" t="str">
        <f t="shared" si="300"/>
        <v>Huffines</v>
      </c>
      <c r="G3863" t="str">
        <f t="shared" si="301"/>
        <v>Huffines3620Carrollton</v>
      </c>
      <c r="H3863" t="s">
        <v>34721</v>
      </c>
      <c r="I3863" t="s">
        <v>26145</v>
      </c>
      <c r="J3863" t="str">
        <f t="shared" si="302"/>
        <v>E:\PropInv\MF</v>
      </c>
      <c r="K3863" s="103" t="str">
        <f>HYPERLINK("E:\PropInv\MF\Carrollton\Huffines Blvd_3620_Meridian_Carrollton_13738","Huffines Blvd_3620_Meridian_Carrollton_13738" )</f>
        <v>Huffines Blvd_3620_Meridian_Carrollton_13738</v>
      </c>
      <c r="L3863" s="104" t="s">
        <v>22253</v>
      </c>
      <c r="M3863" s="103" t="str">
        <f t="shared" si="303"/>
        <v>http://oconnordata.com/mlink/modules/profile/index.cfm?action=profile&amp;prop_id=13738</v>
      </c>
      <c r="N3863" s="1">
        <f t="shared" si="304"/>
        <v>13738</v>
      </c>
    </row>
    <row r="3864" spans="1:14" x14ac:dyDescent="0.3">
      <c r="A3864" s="1">
        <v>13739</v>
      </c>
      <c r="B3864" s="7" t="s">
        <v>5924</v>
      </c>
      <c r="C3864" s="12">
        <v>355</v>
      </c>
      <c r="D3864" s="7" t="s">
        <v>5925</v>
      </c>
      <c r="E3864" s="13" t="s">
        <v>5076</v>
      </c>
      <c r="F3864" t="str">
        <f t="shared" si="300"/>
        <v>Westchester</v>
      </c>
      <c r="G3864" t="str">
        <f t="shared" si="301"/>
        <v>Westchester355Grand Prairie</v>
      </c>
      <c r="H3864" t="s">
        <v>34722</v>
      </c>
      <c r="I3864" t="s">
        <v>26146</v>
      </c>
      <c r="J3864" t="str">
        <f t="shared" si="302"/>
        <v>E:\PropInv\MF</v>
      </c>
      <c r="K3864" s="103" t="str">
        <f>HYPERLINK("E:\PropInv\MF\Grand Prairie\Westchester_355_Merrill Gardens_Grand Prairie_13739","Westchester_355_Merrill Gardens_Grand Prairie_13739" )</f>
        <v>Westchester_355_Merrill Gardens_Grand Prairie_13739</v>
      </c>
      <c r="L3864" s="104" t="s">
        <v>22253</v>
      </c>
      <c r="M3864" s="103" t="str">
        <f t="shared" si="303"/>
        <v>http://oconnordata.com/mlink/modules/profile/index.cfm?action=profile&amp;prop_id=13739</v>
      </c>
      <c r="N3864" s="1">
        <f t="shared" si="304"/>
        <v>13739</v>
      </c>
    </row>
    <row r="3865" spans="1:14" x14ac:dyDescent="0.3">
      <c r="A3865" s="1">
        <v>13740</v>
      </c>
      <c r="B3865" s="7" t="s">
        <v>5926</v>
      </c>
      <c r="C3865" s="12">
        <v>400</v>
      </c>
      <c r="D3865" s="7" t="s">
        <v>5927</v>
      </c>
      <c r="E3865" s="13" t="s">
        <v>5228</v>
      </c>
      <c r="F3865" t="str">
        <f t="shared" si="300"/>
        <v>Merrill</v>
      </c>
      <c r="G3865" t="str">
        <f t="shared" si="301"/>
        <v>Merrill400Duncanville</v>
      </c>
      <c r="H3865" t="s">
        <v>34723</v>
      </c>
      <c r="I3865" t="s">
        <v>26147</v>
      </c>
      <c r="J3865" t="str">
        <f t="shared" si="302"/>
        <v>E:\PropInv\MF</v>
      </c>
      <c r="K3865" s="103" t="str">
        <f>HYPERLINK("E:\PropInv\MF\Duncanville\Merrill Rd N_400_Merrill Square_Duncanville_13740","Merrill Rd N_400_Merrill Square_Duncanville_13740" )</f>
        <v>Merrill Rd N_400_Merrill Square_Duncanville_13740</v>
      </c>
      <c r="L3865" s="104" t="s">
        <v>22253</v>
      </c>
      <c r="M3865" s="103" t="str">
        <f t="shared" si="303"/>
        <v>http://oconnordata.com/mlink/modules/profile/index.cfm?action=profile&amp;prop_id=13740</v>
      </c>
      <c r="N3865" s="1">
        <f t="shared" si="304"/>
        <v>13740</v>
      </c>
    </row>
    <row r="3866" spans="1:14" x14ac:dyDescent="0.3">
      <c r="A3866" s="1">
        <v>13742</v>
      </c>
      <c r="B3866" s="7" t="s">
        <v>5928</v>
      </c>
      <c r="C3866" s="12">
        <v>2605</v>
      </c>
      <c r="D3866" s="7" t="s">
        <v>5929</v>
      </c>
      <c r="E3866" s="13" t="s">
        <v>5088</v>
      </c>
      <c r="F3866" t="str">
        <f t="shared" si="300"/>
        <v>Franklin</v>
      </c>
      <c r="G3866" t="str">
        <f t="shared" si="301"/>
        <v>Franklin2605Mesquite</v>
      </c>
      <c r="H3866" t="s">
        <v>34724</v>
      </c>
      <c r="I3866" t="s">
        <v>26148</v>
      </c>
      <c r="J3866" t="str">
        <f t="shared" si="302"/>
        <v>E:\PropInv\MF</v>
      </c>
      <c r="K3866" s="103" t="str">
        <f>HYPERLINK("E:\PropInv\MF\Mesquite\Franklin_2605_Mesquite Village_Mesquite_13742","Franklin_2605_Mesquite Village_Mesquite_13742" )</f>
        <v>Franklin_2605_Mesquite Village_Mesquite_13742</v>
      </c>
      <c r="L3866" s="104" t="s">
        <v>22253</v>
      </c>
      <c r="M3866" s="103" t="str">
        <f t="shared" si="303"/>
        <v>http://oconnordata.com/mlink/modules/profile/index.cfm?action=profile&amp;prop_id=13742</v>
      </c>
      <c r="N3866" s="1">
        <f t="shared" si="304"/>
        <v>13742</v>
      </c>
    </row>
    <row r="3867" spans="1:14" x14ac:dyDescent="0.3">
      <c r="A3867" s="1">
        <v>13743</v>
      </c>
      <c r="B3867" s="7" t="s">
        <v>5373</v>
      </c>
      <c r="C3867" s="12">
        <v>1515</v>
      </c>
      <c r="D3867" s="7" t="s">
        <v>5930</v>
      </c>
      <c r="E3867" s="13" t="s">
        <v>5060</v>
      </c>
      <c r="F3867" t="str">
        <f t="shared" si="300"/>
        <v>Metrocrest</v>
      </c>
      <c r="G3867" t="str">
        <f t="shared" si="301"/>
        <v>Metrocrest1515Carrollton</v>
      </c>
      <c r="H3867" t="s">
        <v>34725</v>
      </c>
      <c r="I3867" t="s">
        <v>26149</v>
      </c>
      <c r="J3867" t="str">
        <f t="shared" si="302"/>
        <v>E:\PropInv\MF</v>
      </c>
      <c r="K3867" s="103" t="str">
        <f>HYPERLINK("E:\PropInv\MF\Carrollton\Metrocrest_1515_Metrocrest Village_Carrollton_13743","Metrocrest_1515_Metrocrest Village_Carrollton_13743" )</f>
        <v>Metrocrest_1515_Metrocrest Village_Carrollton_13743</v>
      </c>
      <c r="L3867" s="104" t="s">
        <v>22253</v>
      </c>
      <c r="M3867" s="103" t="str">
        <f t="shared" si="303"/>
        <v>http://oconnordata.com/mlink/modules/profile/index.cfm?action=profile&amp;prop_id=13743</v>
      </c>
      <c r="N3867" s="1">
        <f t="shared" si="304"/>
        <v>13743</v>
      </c>
    </row>
    <row r="3868" spans="1:14" x14ac:dyDescent="0.3">
      <c r="A3868" s="1">
        <v>13745</v>
      </c>
      <c r="B3868" s="7" t="s">
        <v>5541</v>
      </c>
      <c r="C3868" s="12">
        <v>201</v>
      </c>
      <c r="D3868" s="7" t="s">
        <v>1175</v>
      </c>
      <c r="E3868" s="13" t="s">
        <v>5076</v>
      </c>
      <c r="F3868" t="str">
        <f t="shared" si="300"/>
        <v>Tarrant</v>
      </c>
      <c r="G3868" t="str">
        <f t="shared" si="301"/>
        <v>Tarrant201Grand Prairie</v>
      </c>
      <c r="H3868" t="s">
        <v>34726</v>
      </c>
      <c r="I3868" t="s">
        <v>26150</v>
      </c>
      <c r="J3868" t="str">
        <f t="shared" si="302"/>
        <v>E:\PropInv\MF</v>
      </c>
      <c r="K3868" s="103" t="str">
        <f>HYPERLINK("E:\PropInv\MF\Grand Prairie\Tarrant Rd W_201_The Lexington_Grand Prairie_13745","Tarrant Rd W_201_The Lexington_Grand Prairie_13745" )</f>
        <v>Tarrant Rd W_201_The Lexington_Grand Prairie_13745</v>
      </c>
      <c r="L3868" s="104" t="s">
        <v>22253</v>
      </c>
      <c r="M3868" s="103" t="str">
        <f t="shared" si="303"/>
        <v>http://oconnordata.com/mlink/modules/profile/index.cfm?action=profile&amp;prop_id=13745</v>
      </c>
      <c r="N3868" s="1">
        <f t="shared" si="304"/>
        <v>13745</v>
      </c>
    </row>
    <row r="3869" spans="1:14" x14ac:dyDescent="0.3">
      <c r="A3869" s="1">
        <v>13747</v>
      </c>
      <c r="B3869" s="7" t="s">
        <v>5566</v>
      </c>
      <c r="C3869" s="12">
        <v>2600</v>
      </c>
      <c r="D3869" s="7" t="s">
        <v>5931</v>
      </c>
      <c r="E3869" s="13" t="s">
        <v>4996</v>
      </c>
      <c r="F3869" t="str">
        <f t="shared" si="300"/>
        <v>Cole</v>
      </c>
      <c r="G3869" t="str">
        <f t="shared" si="301"/>
        <v>Cole2600Dallas</v>
      </c>
      <c r="H3869" t="s">
        <v>34727</v>
      </c>
      <c r="I3869" t="s">
        <v>26151</v>
      </c>
      <c r="J3869" t="str">
        <f t="shared" si="302"/>
        <v>E:\PropInv\MF</v>
      </c>
      <c r="K3869" s="103" t="str">
        <f>HYPERLINK("E:\PropInv\MF\Dallas\Cole_2600_Gables Mirabella_Dallas_13747","Cole_2600_Gables Mirabella_Dallas_13747" )</f>
        <v>Cole_2600_Gables Mirabella_Dallas_13747</v>
      </c>
      <c r="L3869" s="104" t="s">
        <v>22253</v>
      </c>
      <c r="M3869" s="103" t="str">
        <f t="shared" si="303"/>
        <v>http://oconnordata.com/mlink/modules/profile/index.cfm?action=profile&amp;prop_id=13747</v>
      </c>
      <c r="N3869" s="1">
        <f t="shared" si="304"/>
        <v>13747</v>
      </c>
    </row>
    <row r="3870" spans="1:14" x14ac:dyDescent="0.3">
      <c r="A3870" s="1">
        <v>13748</v>
      </c>
      <c r="B3870" s="7" t="s">
        <v>5932</v>
      </c>
      <c r="C3870" s="12">
        <v>929</v>
      </c>
      <c r="D3870" s="7" t="s">
        <v>5933</v>
      </c>
      <c r="E3870" s="13" t="s">
        <v>3328</v>
      </c>
      <c r="F3870" t="str">
        <f t="shared" si="300"/>
        <v>Saint</v>
      </c>
      <c r="G3870" t="str">
        <f t="shared" si="301"/>
        <v>Saint929Richardson</v>
      </c>
      <c r="H3870" t="s">
        <v>34728</v>
      </c>
      <c r="I3870" t="s">
        <v>26152</v>
      </c>
      <c r="J3870" t="str">
        <f t="shared" si="302"/>
        <v>E:\PropInv\MF</v>
      </c>
      <c r="K3870" s="103" t="str">
        <f>HYPERLINK("E:\PropInv\MF\Richardson\Saint Paul Dr_929_Miramonte_Richardson_13748","Saint Paul Dr_929_Miramonte_Richardson_13748" )</f>
        <v>Saint Paul Dr_929_Miramonte_Richardson_13748</v>
      </c>
      <c r="L3870" s="104" t="s">
        <v>22253</v>
      </c>
      <c r="M3870" s="103" t="str">
        <f t="shared" si="303"/>
        <v>http://oconnordata.com/mlink/modules/profile/index.cfm?action=profile&amp;prop_id=13748</v>
      </c>
      <c r="N3870" s="1">
        <f t="shared" si="304"/>
        <v>13748</v>
      </c>
    </row>
    <row r="3871" spans="1:14" x14ac:dyDescent="0.3">
      <c r="A3871" s="1">
        <v>13749</v>
      </c>
      <c r="B3871" s="7" t="s">
        <v>5934</v>
      </c>
      <c r="C3871" s="12">
        <v>3800</v>
      </c>
      <c r="D3871" s="7" t="s">
        <v>5935</v>
      </c>
      <c r="E3871" s="13" t="s">
        <v>4996</v>
      </c>
      <c r="F3871" t="str">
        <f t="shared" si="300"/>
        <v>Commerce</v>
      </c>
      <c r="G3871" t="str">
        <f t="shared" si="301"/>
        <v>Commerce3800Dallas</v>
      </c>
      <c r="H3871" t="s">
        <v>34729</v>
      </c>
      <c r="I3871" t="s">
        <v>26153</v>
      </c>
      <c r="J3871" t="str">
        <f t="shared" si="302"/>
        <v>E:\PropInv\MF</v>
      </c>
      <c r="K3871" s="103" t="str">
        <f>HYPERLINK("E:\PropInv\MF\Dallas\Commerce St_3800_Mitchell Lofts_Dallas_13749","Commerce St_3800_Mitchell Lofts_Dallas_13749" )</f>
        <v>Commerce St_3800_Mitchell Lofts_Dallas_13749</v>
      </c>
      <c r="L3871" s="104" t="s">
        <v>22253</v>
      </c>
      <c r="M3871" s="103" t="str">
        <f t="shared" si="303"/>
        <v>http://oconnordata.com/mlink/modules/profile/index.cfm?action=profile&amp;prop_id=13749</v>
      </c>
      <c r="N3871" s="1">
        <f t="shared" si="304"/>
        <v>13749</v>
      </c>
    </row>
    <row r="3872" spans="1:14" x14ac:dyDescent="0.3">
      <c r="A3872" s="1">
        <v>13751</v>
      </c>
      <c r="B3872" s="7" t="s">
        <v>5186</v>
      </c>
      <c r="C3872" s="12">
        <v>4905</v>
      </c>
      <c r="D3872" s="7" t="s">
        <v>5936</v>
      </c>
      <c r="E3872" s="13" t="s">
        <v>5046</v>
      </c>
      <c r="F3872" t="str">
        <f t="shared" si="300"/>
        <v>Courtside</v>
      </c>
      <c r="G3872" t="str">
        <f t="shared" si="301"/>
        <v>Courtside4905Irving</v>
      </c>
      <c r="H3872" t="s">
        <v>34730</v>
      </c>
      <c r="I3872" t="s">
        <v>26154</v>
      </c>
      <c r="J3872" t="str">
        <f t="shared" si="302"/>
        <v>E:\PropInv\MF</v>
      </c>
      <c r="K3872" s="103" t="str">
        <f>HYPERLINK("E:\PropInv\MF\Irving\Courtside_4905_Montego Bay_Irving_13751","Courtside_4905_Montego Bay_Irving_13751" )</f>
        <v>Courtside_4905_Montego Bay_Irving_13751</v>
      </c>
      <c r="L3872" s="104" t="s">
        <v>22253</v>
      </c>
      <c r="M3872" s="103" t="str">
        <f t="shared" si="303"/>
        <v>http://oconnordata.com/mlink/modules/profile/index.cfm?action=profile&amp;prop_id=13751</v>
      </c>
      <c r="N3872" s="1">
        <f t="shared" si="304"/>
        <v>13751</v>
      </c>
    </row>
    <row r="3873" spans="1:14" x14ac:dyDescent="0.3">
      <c r="A3873" s="1">
        <v>13752</v>
      </c>
      <c r="B3873" s="7" t="s">
        <v>5937</v>
      </c>
      <c r="C3873" s="12">
        <v>2703</v>
      </c>
      <c r="D3873" s="7" t="s">
        <v>5938</v>
      </c>
      <c r="E3873" s="13" t="s">
        <v>4996</v>
      </c>
      <c r="F3873" t="str">
        <f t="shared" si="300"/>
        <v>Fitzhugh</v>
      </c>
      <c r="G3873" t="str">
        <f t="shared" si="301"/>
        <v>Fitzhugh2703Dallas</v>
      </c>
      <c r="H3873" t="s">
        <v>34731</v>
      </c>
      <c r="I3873" t="s">
        <v>26155</v>
      </c>
      <c r="J3873" t="str">
        <f t="shared" si="302"/>
        <v>E:\PropInv\MF</v>
      </c>
      <c r="K3873" s="103" t="str">
        <f>HYPERLINK("E:\PropInv\MF\Dallas\Fitzhugh #17 N_2703_Monterey_Dallas_13752","Fitzhugh #17 N_2703_Monterey_Dallas_13752" )</f>
        <v>Fitzhugh #17 N_2703_Monterey_Dallas_13752</v>
      </c>
      <c r="L3873" s="104" t="s">
        <v>22253</v>
      </c>
      <c r="M3873" s="103" t="str">
        <f t="shared" si="303"/>
        <v>http://oconnordata.com/mlink/modules/profile/index.cfm?action=profile&amp;prop_id=13752</v>
      </c>
      <c r="N3873" s="1">
        <f t="shared" si="304"/>
        <v>13752</v>
      </c>
    </row>
    <row r="3874" spans="1:14" x14ac:dyDescent="0.3">
      <c r="A3874" s="1">
        <v>13753</v>
      </c>
      <c r="B3874" s="7" t="s">
        <v>3805</v>
      </c>
      <c r="C3874" s="12">
        <v>5580</v>
      </c>
      <c r="D3874" s="7" t="s">
        <v>5939</v>
      </c>
      <c r="E3874" s="13" t="s">
        <v>4996</v>
      </c>
      <c r="F3874" t="str">
        <f t="shared" si="300"/>
        <v>Harvest</v>
      </c>
      <c r="G3874" t="str">
        <f t="shared" si="301"/>
        <v>Harvest5580Dallas</v>
      </c>
      <c r="H3874" t="s">
        <v>34732</v>
      </c>
      <c r="I3874" t="s">
        <v>26156</v>
      </c>
      <c r="J3874" t="str">
        <f t="shared" si="302"/>
        <v>E:\PropInv\MF</v>
      </c>
      <c r="K3874" s="103" t="str">
        <f>HYPERLINK("E:\PropInv\MF\Dallas\Harvest Hill_5580_Montfort Crossing_Dallas_13753","Harvest Hill_5580_Montfort Crossing_Dallas_13753" )</f>
        <v>Harvest Hill_5580_Montfort Crossing_Dallas_13753</v>
      </c>
      <c r="L3874" s="104" t="s">
        <v>22253</v>
      </c>
      <c r="M3874" s="103" t="str">
        <f t="shared" si="303"/>
        <v>http://oconnordata.com/mlink/modules/profile/index.cfm?action=profile&amp;prop_id=13753</v>
      </c>
      <c r="N3874" s="1">
        <f t="shared" si="304"/>
        <v>13753</v>
      </c>
    </row>
    <row r="3875" spans="1:14" x14ac:dyDescent="0.3">
      <c r="A3875" s="1">
        <v>13754</v>
      </c>
      <c r="B3875" s="7" t="s">
        <v>5446</v>
      </c>
      <c r="C3875" s="12">
        <v>14100</v>
      </c>
      <c r="D3875" s="7" t="s">
        <v>5940</v>
      </c>
      <c r="E3875" s="13" t="s">
        <v>4996</v>
      </c>
      <c r="F3875" t="str">
        <f t="shared" si="300"/>
        <v>Montfort</v>
      </c>
      <c r="G3875" t="str">
        <f t="shared" si="301"/>
        <v>Montfort14100Dallas</v>
      </c>
      <c r="H3875" t="s">
        <v>34733</v>
      </c>
      <c r="I3875" t="s">
        <v>26157</v>
      </c>
      <c r="J3875" t="str">
        <f t="shared" si="302"/>
        <v>E:\PropInv\MF</v>
      </c>
      <c r="K3875" s="103" t="str">
        <f>HYPERLINK("E:\PropInv\MF\Dallas\Montfort_14100_Montfort Oaks_Dallas_13754","Montfort_14100_Montfort Oaks_Dallas_13754" )</f>
        <v>Montfort_14100_Montfort Oaks_Dallas_13754</v>
      </c>
      <c r="L3875" s="104" t="s">
        <v>22253</v>
      </c>
      <c r="M3875" s="103" t="str">
        <f t="shared" si="303"/>
        <v>http://oconnordata.com/mlink/modules/profile/index.cfm?action=profile&amp;prop_id=13754</v>
      </c>
      <c r="N3875" s="1">
        <f t="shared" si="304"/>
        <v>13754</v>
      </c>
    </row>
    <row r="3876" spans="1:14" x14ac:dyDescent="0.3">
      <c r="A3876" s="1">
        <v>13755</v>
      </c>
      <c r="B3876" s="7" t="s">
        <v>5384</v>
      </c>
      <c r="C3876" s="12">
        <v>5445</v>
      </c>
      <c r="D3876" s="7" t="s">
        <v>5941</v>
      </c>
      <c r="E3876" s="13" t="s">
        <v>4996</v>
      </c>
      <c r="F3876" t="str">
        <f t="shared" si="300"/>
        <v>Preston</v>
      </c>
      <c r="G3876" t="str">
        <f t="shared" si="301"/>
        <v>Preston5445Dallas</v>
      </c>
      <c r="H3876" t="s">
        <v>34734</v>
      </c>
      <c r="I3876" t="s">
        <v>26158</v>
      </c>
      <c r="J3876" t="str">
        <f t="shared" si="302"/>
        <v>E:\PropInv\MF</v>
      </c>
      <c r="K3876" s="103" t="str">
        <f>HYPERLINK("E:\PropInv\MF\Dallas\Preston Oaks_5445_Montfort Place_Dallas_13755","Preston Oaks_5445_Montfort Place_Dallas_13755" )</f>
        <v>Preston Oaks_5445_Montfort Place_Dallas_13755</v>
      </c>
      <c r="L3876" s="104" t="s">
        <v>22253</v>
      </c>
      <c r="M3876" s="103" t="str">
        <f t="shared" si="303"/>
        <v>http://oconnordata.com/mlink/modules/profile/index.cfm?action=profile&amp;prop_id=13755</v>
      </c>
      <c r="N3876" s="1">
        <f t="shared" si="304"/>
        <v>13755</v>
      </c>
    </row>
    <row r="3877" spans="1:14" x14ac:dyDescent="0.3">
      <c r="A3877" s="1">
        <v>13756</v>
      </c>
      <c r="B3877" s="7" t="s">
        <v>5446</v>
      </c>
      <c r="C3877" s="12">
        <v>13660</v>
      </c>
      <c r="D3877" s="7" t="s">
        <v>5942</v>
      </c>
      <c r="E3877" s="13" t="s">
        <v>4996</v>
      </c>
      <c r="F3877" t="str">
        <f t="shared" si="300"/>
        <v>Montfort</v>
      </c>
      <c r="G3877" t="str">
        <f t="shared" si="301"/>
        <v>Montfort13660Dallas</v>
      </c>
      <c r="H3877" t="s">
        <v>34735</v>
      </c>
      <c r="I3877" t="s">
        <v>26159</v>
      </c>
      <c r="J3877" t="str">
        <f t="shared" si="302"/>
        <v>E:\PropInv\MF</v>
      </c>
      <c r="K3877" s="103" t="str">
        <f>HYPERLINK("E:\PropInv\MF\Dallas\Montfort_13660_Montfort Valley_Dallas_13756","Montfort_13660_Montfort Valley_Dallas_13756" )</f>
        <v>Montfort_13660_Montfort Valley_Dallas_13756</v>
      </c>
      <c r="L3877" s="104" t="s">
        <v>22253</v>
      </c>
      <c r="M3877" s="103" t="str">
        <f t="shared" si="303"/>
        <v>http://oconnordata.com/mlink/modules/profile/index.cfm?action=profile&amp;prop_id=13756</v>
      </c>
      <c r="N3877" s="1">
        <f t="shared" si="304"/>
        <v>13756</v>
      </c>
    </row>
    <row r="3878" spans="1:14" x14ac:dyDescent="0.3">
      <c r="A3878" s="1">
        <v>13757</v>
      </c>
      <c r="B3878" s="7" t="s">
        <v>5943</v>
      </c>
      <c r="C3878" s="12">
        <v>2315</v>
      </c>
      <c r="D3878" s="7" t="s">
        <v>5944</v>
      </c>
      <c r="E3878" s="13" t="s">
        <v>4996</v>
      </c>
      <c r="F3878" t="str">
        <f t="shared" si="300"/>
        <v>Moser</v>
      </c>
      <c r="G3878" t="str">
        <f t="shared" si="301"/>
        <v>Moser2315Dallas</v>
      </c>
      <c r="H3878" t="s">
        <v>34736</v>
      </c>
      <c r="I3878" t="s">
        <v>26160</v>
      </c>
      <c r="J3878" t="str">
        <f t="shared" si="302"/>
        <v>E:\PropInv\MF</v>
      </c>
      <c r="K3878" s="103" t="str">
        <f>HYPERLINK("E:\PropInv\MF\Dallas\Moser_2315_Moser Gardens_Dallas_13757","Moser_2315_Moser Gardens_Dallas_13757" )</f>
        <v>Moser_2315_Moser Gardens_Dallas_13757</v>
      </c>
      <c r="L3878" s="104" t="s">
        <v>22253</v>
      </c>
      <c r="M3878" s="103" t="str">
        <f t="shared" si="303"/>
        <v>http://oconnordata.com/mlink/modules/profile/index.cfm?action=profile&amp;prop_id=13757</v>
      </c>
      <c r="N3878" s="1">
        <f t="shared" si="304"/>
        <v>13757</v>
      </c>
    </row>
    <row r="3879" spans="1:14" x14ac:dyDescent="0.3">
      <c r="A3879" s="1">
        <v>13758</v>
      </c>
      <c r="B3879" s="7" t="s">
        <v>3015</v>
      </c>
      <c r="C3879" s="12">
        <v>1020</v>
      </c>
      <c r="D3879" s="7" t="s">
        <v>5945</v>
      </c>
      <c r="E3879" s="13" t="s">
        <v>5195</v>
      </c>
      <c r="F3879" t="str">
        <f t="shared" si="300"/>
        <v>Scotland</v>
      </c>
      <c r="G3879" t="str">
        <f t="shared" si="301"/>
        <v>Scotland1020Desoto</v>
      </c>
      <c r="H3879" t="s">
        <v>34737</v>
      </c>
      <c r="I3879" t="s">
        <v>26161</v>
      </c>
      <c r="J3879" t="str">
        <f t="shared" si="302"/>
        <v>E:\PropInv\MF</v>
      </c>
      <c r="K3879" s="103" t="str">
        <f>HYPERLINK("E:\PropInv\MF\Desoto\Scotland_1020_Mount Vernon_Desoto_13758","Scotland_1020_Mount Vernon_Desoto_13758" )</f>
        <v>Scotland_1020_Mount Vernon_Desoto_13758</v>
      </c>
      <c r="L3879" s="104" t="s">
        <v>22253</v>
      </c>
      <c r="M3879" s="103" t="str">
        <f t="shared" si="303"/>
        <v>http://oconnordata.com/mlink/modules/profile/index.cfm?action=profile&amp;prop_id=13758</v>
      </c>
      <c r="N3879" s="1">
        <f t="shared" si="304"/>
        <v>13758</v>
      </c>
    </row>
    <row r="3880" spans="1:14" x14ac:dyDescent="0.3">
      <c r="A3880" s="1">
        <v>13759</v>
      </c>
      <c r="B3880" s="7" t="s">
        <v>5912</v>
      </c>
      <c r="C3880" s="12">
        <v>2626</v>
      </c>
      <c r="D3880" s="7" t="s">
        <v>5946</v>
      </c>
      <c r="E3880" s="13" t="s">
        <v>4996</v>
      </c>
      <c r="F3880" t="str">
        <f t="shared" si="300"/>
        <v>Duncanville</v>
      </c>
      <c r="G3880" t="str">
        <f t="shared" si="301"/>
        <v>Duncanville2626Dallas</v>
      </c>
      <c r="H3880" t="s">
        <v>34738</v>
      </c>
      <c r="I3880" t="s">
        <v>26162</v>
      </c>
      <c r="J3880" t="str">
        <f t="shared" si="302"/>
        <v>E:\PropInv\MF</v>
      </c>
      <c r="K3880" s="103" t="str">
        <f>HYPERLINK("E:\PropInv\MF\Dallas\Duncanville Rd_2626_Mountain Ridge_Dallas_13759","Duncanville Rd_2626_Mountain Ridge_Dallas_13759" )</f>
        <v>Duncanville Rd_2626_Mountain Ridge_Dallas_13759</v>
      </c>
      <c r="L3880" s="104" t="s">
        <v>22253</v>
      </c>
      <c r="M3880" s="103" t="str">
        <f t="shared" si="303"/>
        <v>http://oconnordata.com/mlink/modules/profile/index.cfm?action=profile&amp;prop_id=13759</v>
      </c>
      <c r="N3880" s="1">
        <f t="shared" si="304"/>
        <v>13759</v>
      </c>
    </row>
    <row r="3881" spans="1:14" x14ac:dyDescent="0.3">
      <c r="A3881" s="1">
        <v>13760</v>
      </c>
      <c r="B3881" s="7" t="s">
        <v>5947</v>
      </c>
      <c r="C3881" s="12">
        <v>7651</v>
      </c>
      <c r="D3881" s="7" t="s">
        <v>1970</v>
      </c>
      <c r="E3881" s="13" t="s">
        <v>4996</v>
      </c>
      <c r="F3881" t="str">
        <f t="shared" si="300"/>
        <v>CF</v>
      </c>
      <c r="G3881" t="str">
        <f t="shared" si="301"/>
        <v>CF7651Dallas</v>
      </c>
      <c r="H3881" t="s">
        <v>34739</v>
      </c>
      <c r="I3881" t="s">
        <v>26163</v>
      </c>
      <c r="J3881" t="str">
        <f t="shared" si="302"/>
        <v>E:\PropInv\MF</v>
      </c>
      <c r="K3881" s="103" t="str">
        <f>HYPERLINK("E:\PropInv\MF\Dallas\CF Hawn Fwy_7651_Mira Vista_Dallas_13760","CF Hawn Fwy_7651_Mira Vista_Dallas_13760" )</f>
        <v>CF Hawn Fwy_7651_Mira Vista_Dallas_13760</v>
      </c>
      <c r="L3881" s="104" t="s">
        <v>22253</v>
      </c>
      <c r="M3881" s="103" t="str">
        <f t="shared" si="303"/>
        <v>http://oconnordata.com/mlink/modules/profile/index.cfm?action=profile&amp;prop_id=13760</v>
      </c>
      <c r="N3881" s="1">
        <f t="shared" si="304"/>
        <v>13760</v>
      </c>
    </row>
    <row r="3882" spans="1:14" x14ac:dyDescent="0.3">
      <c r="A3882" s="1">
        <v>13761</v>
      </c>
      <c r="B3882" s="37" t="s">
        <v>5948</v>
      </c>
      <c r="C3882" s="12">
        <v>9760</v>
      </c>
      <c r="D3882" s="7" t="s">
        <v>5949</v>
      </c>
      <c r="E3882" s="13" t="s">
        <v>4996</v>
      </c>
      <c r="F3882" t="str">
        <f t="shared" si="300"/>
        <v>Scyene</v>
      </c>
      <c r="G3882" t="str">
        <f t="shared" si="301"/>
        <v>Scyene9760Dallas</v>
      </c>
      <c r="H3882" t="s">
        <v>34740</v>
      </c>
      <c r="I3882" t="s">
        <v>26164</v>
      </c>
      <c r="J3882" t="str">
        <f t="shared" si="302"/>
        <v>E:\PropInv\MF</v>
      </c>
      <c r="K3882" s="103" t="str">
        <f>HYPERLINK("E:\PropInv\MF\Dallas\Scyene Rd_9760_Avenida Crossing_Dallas_13761","Scyene Rd_9760_Avenida Crossing_Dallas_13761" )</f>
        <v>Scyene Rd_9760_Avenida Crossing_Dallas_13761</v>
      </c>
      <c r="L3882" s="104" t="s">
        <v>22253</v>
      </c>
      <c r="M3882" s="103" t="str">
        <f t="shared" si="303"/>
        <v>http://oconnordata.com/mlink/modules/profile/index.cfm?action=profile&amp;prop_id=13761</v>
      </c>
      <c r="N3882" s="1">
        <f t="shared" si="304"/>
        <v>13761</v>
      </c>
    </row>
    <row r="3883" spans="1:14" x14ac:dyDescent="0.3">
      <c r="A3883" s="1">
        <v>13763</v>
      </c>
      <c r="B3883" s="7" t="s">
        <v>5691</v>
      </c>
      <c r="C3883" s="12">
        <v>3466</v>
      </c>
      <c r="D3883" s="7" t="s">
        <v>5950</v>
      </c>
      <c r="E3883" s="13" t="s">
        <v>5046</v>
      </c>
      <c r="F3883" t="str">
        <f t="shared" si="300"/>
        <v>Belt</v>
      </c>
      <c r="G3883" t="str">
        <f t="shared" si="301"/>
        <v>Belt3466Irving</v>
      </c>
      <c r="H3883" t="s">
        <v>34741</v>
      </c>
      <c r="I3883" t="s">
        <v>26165</v>
      </c>
      <c r="J3883" t="str">
        <f t="shared" si="302"/>
        <v>E:\PropInv\MF</v>
      </c>
      <c r="K3883" s="103" t="str">
        <f>HYPERLINK("E:\PropInv\MF\Irving\Belt Line_3466_Newport_Irving_13763","Belt Line_3466_Newport_Irving_13763" )</f>
        <v>Belt Line_3466_Newport_Irving_13763</v>
      </c>
      <c r="L3883" s="104" t="s">
        <v>22253</v>
      </c>
      <c r="M3883" s="103" t="str">
        <f t="shared" si="303"/>
        <v>http://oconnordata.com/mlink/modules/profile/index.cfm?action=profile&amp;prop_id=13763</v>
      </c>
      <c r="N3883" s="1">
        <f t="shared" si="304"/>
        <v>13763</v>
      </c>
    </row>
    <row r="3884" spans="1:14" x14ac:dyDescent="0.3">
      <c r="A3884" s="1">
        <v>13764</v>
      </c>
      <c r="B3884" s="7" t="s">
        <v>5951</v>
      </c>
      <c r="C3884" s="12">
        <v>5925</v>
      </c>
      <c r="D3884" s="7" t="s">
        <v>5950</v>
      </c>
      <c r="E3884" s="13" t="s">
        <v>5088</v>
      </c>
      <c r="F3884" t="str">
        <f t="shared" si="300"/>
        <v>Frontier</v>
      </c>
      <c r="G3884" t="str">
        <f t="shared" si="301"/>
        <v>Frontier5925Mesquite</v>
      </c>
      <c r="H3884" t="s">
        <v>34742</v>
      </c>
      <c r="I3884" t="s">
        <v>26166</v>
      </c>
      <c r="J3884" t="str">
        <f t="shared" si="302"/>
        <v>E:\PropInv\MF</v>
      </c>
      <c r="K3884" s="103" t="str">
        <f>HYPERLINK("E:\PropInv\MF\Mesquite\Frontier_5925_Newport_Mesquite_13764","Frontier_5925_Newport_Mesquite_13764" )</f>
        <v>Frontier_5925_Newport_Mesquite_13764</v>
      </c>
      <c r="L3884" s="104" t="s">
        <v>22253</v>
      </c>
      <c r="M3884" s="103" t="str">
        <f t="shared" si="303"/>
        <v>http://oconnordata.com/mlink/modules/profile/index.cfm?action=profile&amp;prop_id=13764</v>
      </c>
      <c r="N3884" s="1">
        <f t="shared" si="304"/>
        <v>13764</v>
      </c>
    </row>
    <row r="3885" spans="1:14" x14ac:dyDescent="0.3">
      <c r="A3885" s="1">
        <v>13765</v>
      </c>
      <c r="B3885" s="7" t="s">
        <v>5952</v>
      </c>
      <c r="C3885" s="12">
        <v>9900</v>
      </c>
      <c r="D3885" s="7" t="s">
        <v>5953</v>
      </c>
      <c r="E3885" s="13" t="s">
        <v>4996</v>
      </c>
      <c r="F3885" t="str">
        <f t="shared" si="300"/>
        <v>Adleta</v>
      </c>
      <c r="G3885" t="str">
        <f t="shared" si="301"/>
        <v>Adleta9900Dallas</v>
      </c>
      <c r="H3885" t="s">
        <v>34743</v>
      </c>
      <c r="I3885" t="s">
        <v>26167</v>
      </c>
      <c r="J3885" t="str">
        <f t="shared" si="302"/>
        <v>E:\PropInv\MF</v>
      </c>
      <c r="K3885" s="103" t="str">
        <f>HYPERLINK("E:\PropInv\MF\Dallas\Adleta_9900_Sage Pointe_Dallas_13765","Adleta_9900_Sage Pointe_Dallas_13765" )</f>
        <v>Adleta_9900_Sage Pointe_Dallas_13765</v>
      </c>
      <c r="L3885" s="104" t="s">
        <v>22253</v>
      </c>
      <c r="M3885" s="103" t="str">
        <f t="shared" si="303"/>
        <v>http://oconnordata.com/mlink/modules/profile/index.cfm?action=profile&amp;prop_id=13765</v>
      </c>
      <c r="N3885" s="1">
        <f t="shared" si="304"/>
        <v>13765</v>
      </c>
    </row>
    <row r="3886" spans="1:14" x14ac:dyDescent="0.3">
      <c r="A3886" s="1">
        <v>13766</v>
      </c>
      <c r="B3886" s="7" t="s">
        <v>5322</v>
      </c>
      <c r="C3886" s="12">
        <v>8662</v>
      </c>
      <c r="D3886" s="7" t="s">
        <v>5954</v>
      </c>
      <c r="E3886" s="13" t="s">
        <v>4996</v>
      </c>
      <c r="F3886" t="str">
        <f t="shared" si="300"/>
        <v>Park</v>
      </c>
      <c r="G3886" t="str">
        <f t="shared" si="301"/>
        <v>Park8662Dallas</v>
      </c>
      <c r="H3886" t="s">
        <v>34744</v>
      </c>
      <c r="I3886" t="s">
        <v>26168</v>
      </c>
      <c r="J3886" t="str">
        <f t="shared" si="302"/>
        <v>E:\PropInv\MF</v>
      </c>
      <c r="K3886" s="103" t="str">
        <f>HYPERLINK("E:\PropInv\MF\Dallas\Park Ln_8662_North Park Terrace_Dallas_13766","Park Ln_8662_North Park Terrace_Dallas_13766" )</f>
        <v>Park Ln_8662_North Park Terrace_Dallas_13766</v>
      </c>
      <c r="L3886" s="104" t="s">
        <v>22253</v>
      </c>
      <c r="M3886" s="103" t="str">
        <f t="shared" si="303"/>
        <v>http://oconnordata.com/mlink/modules/profile/index.cfm?action=profile&amp;prop_id=13766</v>
      </c>
      <c r="N3886" s="1">
        <f t="shared" si="304"/>
        <v>13766</v>
      </c>
    </row>
    <row r="3887" spans="1:14" x14ac:dyDescent="0.3">
      <c r="A3887" s="1">
        <v>13767</v>
      </c>
      <c r="B3887" s="7" t="s">
        <v>5955</v>
      </c>
      <c r="C3887" s="12">
        <v>9387</v>
      </c>
      <c r="D3887" s="7" t="s">
        <v>5956</v>
      </c>
      <c r="E3887" s="13" t="s">
        <v>4996</v>
      </c>
      <c r="F3887" t="str">
        <f t="shared" si="300"/>
        <v>Pinyon</v>
      </c>
      <c r="G3887" t="str">
        <f t="shared" si="301"/>
        <v>Pinyon9387Dallas</v>
      </c>
      <c r="H3887" t="s">
        <v>34745</v>
      </c>
      <c r="I3887" t="s">
        <v>26169</v>
      </c>
      <c r="J3887" t="str">
        <f t="shared" si="302"/>
        <v>E:\PropInv\MF</v>
      </c>
      <c r="K3887" s="103" t="str">
        <f>HYPERLINK("E:\PropInv\MF\Dallas\Pinyon Tree Ln_9387_North Creek Condominiums_Dallas_13767","Pinyon Tree Ln_9387_North Creek Condominiums_Dallas_13767" )</f>
        <v>Pinyon Tree Ln_9387_North Creek Condominiums_Dallas_13767</v>
      </c>
      <c r="L3887" s="104" t="s">
        <v>22253</v>
      </c>
      <c r="M3887" s="103" t="str">
        <f t="shared" si="303"/>
        <v>http://oconnordata.com/mlink/modules/profile/index.cfm?action=profile&amp;prop_id=13767</v>
      </c>
      <c r="N3887" s="1">
        <f t="shared" si="304"/>
        <v>13767</v>
      </c>
    </row>
    <row r="3888" spans="1:14" x14ac:dyDescent="0.3">
      <c r="A3888" s="1">
        <v>13768</v>
      </c>
      <c r="B3888" s="7" t="s">
        <v>5470</v>
      </c>
      <c r="C3888" s="12">
        <v>1417</v>
      </c>
      <c r="D3888" s="7" t="s">
        <v>5957</v>
      </c>
      <c r="E3888" s="13" t="s">
        <v>5046</v>
      </c>
      <c r="F3888" t="str">
        <f t="shared" si="300"/>
        <v>Nursery</v>
      </c>
      <c r="G3888" t="str">
        <f t="shared" si="301"/>
        <v>Nursery1417Irving</v>
      </c>
      <c r="H3888" t="s">
        <v>34746</v>
      </c>
      <c r="I3888" t="s">
        <v>26170</v>
      </c>
      <c r="J3888" t="str">
        <f t="shared" si="302"/>
        <v>E:\PropInv\MF</v>
      </c>
      <c r="K3888" s="103" t="str">
        <f>HYPERLINK("E:\PropInv\MF\Irving\Nursery Rd N_1417_North Oak_Irving_13768","Nursery Rd N_1417_North Oak_Irving_13768" )</f>
        <v>Nursery Rd N_1417_North Oak_Irving_13768</v>
      </c>
      <c r="L3888" s="104" t="s">
        <v>22253</v>
      </c>
      <c r="M3888" s="103" t="str">
        <f t="shared" si="303"/>
        <v>http://oconnordata.com/mlink/modules/profile/index.cfm?action=profile&amp;prop_id=13768</v>
      </c>
      <c r="N3888" s="1">
        <f t="shared" si="304"/>
        <v>13768</v>
      </c>
    </row>
    <row r="3889" spans="1:14" x14ac:dyDescent="0.3">
      <c r="A3889" s="1">
        <v>13769</v>
      </c>
      <c r="B3889" s="7" t="s">
        <v>5958</v>
      </c>
      <c r="C3889" s="12">
        <v>8705</v>
      </c>
      <c r="D3889" s="7" t="s">
        <v>5959</v>
      </c>
      <c r="E3889" s="13" t="s">
        <v>4996</v>
      </c>
      <c r="F3889" t="str">
        <f t="shared" si="300"/>
        <v>Southwestern</v>
      </c>
      <c r="G3889" t="str">
        <f t="shared" si="301"/>
        <v>Southwestern8705Dallas</v>
      </c>
      <c r="H3889" t="s">
        <v>34747</v>
      </c>
      <c r="I3889" t="s">
        <v>26171</v>
      </c>
      <c r="J3889" t="str">
        <f t="shared" si="302"/>
        <v>E:\PropInv\MF</v>
      </c>
      <c r="K3889" s="103" t="str">
        <f>HYPERLINK("E:\PropInv\MF\Dallas\Southwestern Blvd_8705_Northbridge in the Village Apts &amp; TH_Dallas_13769","Southwestern Blvd_8705_Northbridge in the Village Apts &amp; TH_Dallas_13769" )</f>
        <v>Southwestern Blvd_8705_Northbridge in the Village Apts &amp; TH_Dallas_13769</v>
      </c>
      <c r="L3889" s="104" t="s">
        <v>22253</v>
      </c>
      <c r="M3889" s="103" t="str">
        <f t="shared" si="303"/>
        <v>http://oconnordata.com/mlink/modules/profile/index.cfm?action=profile&amp;prop_id=13769</v>
      </c>
      <c r="N3889" s="1">
        <f t="shared" si="304"/>
        <v>13769</v>
      </c>
    </row>
    <row r="3890" spans="1:14" x14ac:dyDescent="0.3">
      <c r="A3890" s="1">
        <v>13770</v>
      </c>
      <c r="B3890" s="7" t="s">
        <v>1976</v>
      </c>
      <c r="C3890" s="12">
        <v>3146</v>
      </c>
      <c r="D3890" s="7" t="s">
        <v>1976</v>
      </c>
      <c r="E3890" s="13" t="s">
        <v>5046</v>
      </c>
      <c r="F3890" t="str">
        <f t="shared" si="300"/>
        <v>Northgate</v>
      </c>
      <c r="G3890" t="str">
        <f t="shared" si="301"/>
        <v>Northgate3146Irving</v>
      </c>
      <c r="H3890" t="s">
        <v>34748</v>
      </c>
      <c r="I3890" t="s">
        <v>26172</v>
      </c>
      <c r="J3890" t="str">
        <f t="shared" si="302"/>
        <v>E:\PropInv\MF</v>
      </c>
      <c r="K3890" s="103" t="str">
        <f>HYPERLINK("E:\PropInv\MF\Irving\Northgate_3146_Northgate_Irving_13770","Northgate_3146_Northgate_Irving_13770" )</f>
        <v>Northgate_3146_Northgate_Irving_13770</v>
      </c>
      <c r="L3890" s="104" t="s">
        <v>22253</v>
      </c>
      <c r="M3890" s="103" t="str">
        <f t="shared" si="303"/>
        <v>http://oconnordata.com/mlink/modules/profile/index.cfm?action=profile&amp;prop_id=13770</v>
      </c>
      <c r="N3890" s="1">
        <f t="shared" si="304"/>
        <v>13770</v>
      </c>
    </row>
    <row r="3891" spans="1:14" x14ac:dyDescent="0.3">
      <c r="A3891" s="1">
        <v>13771</v>
      </c>
      <c r="B3891" s="7" t="s">
        <v>3805</v>
      </c>
      <c r="C3891" s="12">
        <v>4152</v>
      </c>
      <c r="D3891" s="7" t="s">
        <v>5960</v>
      </c>
      <c r="E3891" s="13" t="s">
        <v>4996</v>
      </c>
      <c r="F3891" t="str">
        <f t="shared" si="300"/>
        <v>Harvest</v>
      </c>
      <c r="G3891" t="str">
        <f t="shared" si="301"/>
        <v>Harvest4152Dallas</v>
      </c>
      <c r="H3891" t="s">
        <v>34749</v>
      </c>
      <c r="I3891" t="s">
        <v>26173</v>
      </c>
      <c r="J3891" t="str">
        <f t="shared" si="302"/>
        <v>E:\PropInv\MF</v>
      </c>
      <c r="K3891" s="103" t="str">
        <f>HYPERLINK("E:\PropInv\MF\Dallas\Harvest Hill_4152_Northridge TH_Dallas_13771","Harvest Hill_4152_Northridge TH_Dallas_13771" )</f>
        <v>Harvest Hill_4152_Northridge TH_Dallas_13771</v>
      </c>
      <c r="L3891" s="104" t="s">
        <v>22253</v>
      </c>
      <c r="M3891" s="103" t="str">
        <f t="shared" si="303"/>
        <v>http://oconnordata.com/mlink/modules/profile/index.cfm?action=profile&amp;prop_id=13771</v>
      </c>
      <c r="N3891" s="1">
        <f t="shared" si="304"/>
        <v>13771</v>
      </c>
    </row>
    <row r="3892" spans="1:14" x14ac:dyDescent="0.3">
      <c r="A3892" s="1">
        <v>13772</v>
      </c>
      <c r="B3892" s="7" t="s">
        <v>5961</v>
      </c>
      <c r="C3892" s="12">
        <v>9680</v>
      </c>
      <c r="D3892" s="7" t="s">
        <v>5962</v>
      </c>
      <c r="E3892" s="13" t="s">
        <v>4996</v>
      </c>
      <c r="F3892" t="str">
        <f t="shared" si="300"/>
        <v>Timberline</v>
      </c>
      <c r="G3892" t="str">
        <f t="shared" si="301"/>
        <v>Timberline9680Dallas</v>
      </c>
      <c r="H3892" t="s">
        <v>34750</v>
      </c>
      <c r="I3892" t="s">
        <v>26174</v>
      </c>
      <c r="J3892" t="str">
        <f t="shared" si="302"/>
        <v>E:\PropInv\MF</v>
      </c>
      <c r="K3892" s="103" t="str">
        <f>HYPERLINK("E:\PropInv\MF\Dallas\Timberline Dr_9680_Northwest Crossing_Dallas_13772","Timberline Dr_9680_Northwest Crossing_Dallas_13772" )</f>
        <v>Timberline Dr_9680_Northwest Crossing_Dallas_13772</v>
      </c>
      <c r="L3892" s="104" t="s">
        <v>22253</v>
      </c>
      <c r="M3892" s="103" t="str">
        <f t="shared" si="303"/>
        <v>http://oconnordata.com/mlink/modules/profile/index.cfm?action=profile&amp;prop_id=13772</v>
      </c>
      <c r="N3892" s="1">
        <f t="shared" si="304"/>
        <v>13772</v>
      </c>
    </row>
    <row r="3893" spans="1:14" x14ac:dyDescent="0.3">
      <c r="A3893" s="1">
        <v>13773</v>
      </c>
      <c r="B3893" s="7" t="s">
        <v>5963</v>
      </c>
      <c r="C3893" s="12">
        <v>13980</v>
      </c>
      <c r="D3893" s="7" t="s">
        <v>5964</v>
      </c>
      <c r="E3893" s="13" t="s">
        <v>4996</v>
      </c>
      <c r="F3893" t="str">
        <f t="shared" si="300"/>
        <v>Peyton</v>
      </c>
      <c r="G3893" t="str">
        <f t="shared" si="301"/>
        <v>Peyton13980Dallas</v>
      </c>
      <c r="H3893" t="s">
        <v>34751</v>
      </c>
      <c r="I3893" t="s">
        <v>26175</v>
      </c>
      <c r="J3893" t="str">
        <f t="shared" si="302"/>
        <v>E:\PropInv\MF</v>
      </c>
      <c r="K3893" s="103" t="str">
        <f>HYPERLINK("E:\PropInv\MF\Dallas\Peyton Dr_13980_Northwood Hills_Dallas_13773","Peyton Dr_13980_Northwood Hills_Dallas_13773" )</f>
        <v>Peyton Dr_13980_Northwood Hills_Dallas_13773</v>
      </c>
      <c r="L3893" s="104" t="s">
        <v>22253</v>
      </c>
      <c r="M3893" s="103" t="str">
        <f t="shared" si="303"/>
        <v>http://oconnordata.com/mlink/modules/profile/index.cfm?action=profile&amp;prop_id=13773</v>
      </c>
      <c r="N3893" s="1">
        <f t="shared" si="304"/>
        <v>13773</v>
      </c>
    </row>
    <row r="3894" spans="1:14" x14ac:dyDescent="0.3">
      <c r="A3894" s="1">
        <v>13775</v>
      </c>
      <c r="B3894" s="7" t="s">
        <v>5965</v>
      </c>
      <c r="C3894" s="12">
        <v>1531</v>
      </c>
      <c r="D3894" s="7" t="s">
        <v>2460</v>
      </c>
      <c r="E3894" s="13" t="s">
        <v>5055</v>
      </c>
      <c r="F3894" t="str">
        <f t="shared" si="300"/>
        <v>122</v>
      </c>
      <c r="G3894" t="str">
        <f t="shared" si="301"/>
        <v>1221531Lewisville</v>
      </c>
      <c r="H3894" t="s">
        <v>34752</v>
      </c>
      <c r="I3894" t="s">
        <v>26176</v>
      </c>
      <c r="J3894" t="str">
        <f t="shared" si="302"/>
        <v>E:\PropInv\MF</v>
      </c>
      <c r="K3894" s="103" t="str">
        <f>HYPERLINK("E:\PropInv\MF\Lewisville\122 Hwy S_1531_Oak Forest_Lewisville_13775","122 Hwy S_1531_Oak Forest_Lewisville_13775" )</f>
        <v>122 Hwy S_1531_Oak Forest_Lewisville_13775</v>
      </c>
      <c r="L3894" s="104" t="s">
        <v>22253</v>
      </c>
      <c r="M3894" s="103" t="str">
        <f t="shared" si="303"/>
        <v>http://oconnordata.com/mlink/modules/profile/index.cfm?action=profile&amp;prop_id=13775</v>
      </c>
      <c r="N3894" s="1">
        <f t="shared" si="304"/>
        <v>13775</v>
      </c>
    </row>
    <row r="3895" spans="1:14" x14ac:dyDescent="0.3">
      <c r="A3895" s="1">
        <v>13776</v>
      </c>
      <c r="B3895" s="7" t="s">
        <v>5966</v>
      </c>
      <c r="C3895" s="12">
        <v>4420</v>
      </c>
      <c r="D3895" s="7" t="s">
        <v>2341</v>
      </c>
      <c r="E3895" s="13" t="s">
        <v>5019</v>
      </c>
      <c r="F3895" t="str">
        <f t="shared" si="300"/>
        <v>Saturn</v>
      </c>
      <c r="G3895" t="str">
        <f t="shared" si="301"/>
        <v>Saturn4420Garland</v>
      </c>
      <c r="H3895" t="s">
        <v>34753</v>
      </c>
      <c r="I3895" t="s">
        <v>26177</v>
      </c>
      <c r="J3895" t="str">
        <f t="shared" si="302"/>
        <v>E:\PropInv\MF</v>
      </c>
      <c r="K3895" s="103" t="str">
        <f>HYPERLINK("E:\PropInv\MF\Garland\Saturn Rd_4420_Oak Glen_Garland_13776","Saturn Rd_4420_Oak Glen_Garland_13776" )</f>
        <v>Saturn Rd_4420_Oak Glen_Garland_13776</v>
      </c>
      <c r="L3895" s="104" t="s">
        <v>22253</v>
      </c>
      <c r="M3895" s="103" t="str">
        <f t="shared" si="303"/>
        <v>http://oconnordata.com/mlink/modules/profile/index.cfm?action=profile&amp;prop_id=13776</v>
      </c>
      <c r="N3895" s="1">
        <f t="shared" si="304"/>
        <v>13776</v>
      </c>
    </row>
    <row r="3896" spans="1:14" x14ac:dyDescent="0.3">
      <c r="A3896" s="1">
        <v>13777</v>
      </c>
      <c r="B3896" s="7" t="s">
        <v>5967</v>
      </c>
      <c r="C3896" s="12">
        <v>103</v>
      </c>
      <c r="D3896" s="7" t="s">
        <v>5968</v>
      </c>
      <c r="E3896" s="13" t="s">
        <v>5076</v>
      </c>
      <c r="F3896" t="str">
        <f t="shared" si="300"/>
        <v>High</v>
      </c>
      <c r="G3896" t="str">
        <f t="shared" si="301"/>
        <v>High103Grand Prairie</v>
      </c>
      <c r="H3896" t="s">
        <v>34754</v>
      </c>
      <c r="I3896" t="s">
        <v>26178</v>
      </c>
      <c r="J3896" t="str">
        <f t="shared" si="302"/>
        <v>E:\PropInv\MF</v>
      </c>
      <c r="K3896" s="103" t="str">
        <f>HYPERLINK("E:\PropInv\MF\Grand Prairie\High School Dr_103_Prairie Park_Grand Prairie_13777","High School Dr_103_Prairie Park_Grand Prairie_13777" )</f>
        <v>High School Dr_103_Prairie Park_Grand Prairie_13777</v>
      </c>
      <c r="L3896" s="104" t="s">
        <v>22253</v>
      </c>
      <c r="M3896" s="103" t="str">
        <f t="shared" si="303"/>
        <v>http://oconnordata.com/mlink/modules/profile/index.cfm?action=profile&amp;prop_id=13777</v>
      </c>
      <c r="N3896" s="1">
        <f t="shared" si="304"/>
        <v>13777</v>
      </c>
    </row>
    <row r="3897" spans="1:14" x14ac:dyDescent="0.3">
      <c r="A3897" s="1">
        <v>13778</v>
      </c>
      <c r="B3897" s="7" t="s">
        <v>5499</v>
      </c>
      <c r="C3897" s="12">
        <v>1913</v>
      </c>
      <c r="D3897" s="7" t="s">
        <v>5969</v>
      </c>
      <c r="E3897" s="13" t="s">
        <v>5046</v>
      </c>
      <c r="F3897" t="str">
        <f t="shared" si="300"/>
        <v>Estrada</v>
      </c>
      <c r="G3897" t="str">
        <f t="shared" si="301"/>
        <v>Estrada1913Irving</v>
      </c>
      <c r="H3897" t="s">
        <v>34755</v>
      </c>
      <c r="I3897" t="s">
        <v>26179</v>
      </c>
      <c r="J3897" t="str">
        <f t="shared" si="302"/>
        <v>E:\PropInv\MF</v>
      </c>
      <c r="K3897" s="103" t="str">
        <f>HYPERLINK("E:\PropInv\MF\Irving\Estrada Pkwy_1913_Oak Hills_Irving_13778","Estrada Pkwy_1913_Oak Hills_Irving_13778" )</f>
        <v>Estrada Pkwy_1913_Oak Hills_Irving_13778</v>
      </c>
      <c r="L3897" s="104" t="s">
        <v>22253</v>
      </c>
      <c r="M3897" s="103" t="str">
        <f t="shared" si="303"/>
        <v>http://oconnordata.com/mlink/modules/profile/index.cfm?action=profile&amp;prop_id=13778</v>
      </c>
      <c r="N3897" s="1">
        <f t="shared" si="304"/>
        <v>13778</v>
      </c>
    </row>
    <row r="3898" spans="1:14" x14ac:dyDescent="0.3">
      <c r="A3898" s="1">
        <v>13779</v>
      </c>
      <c r="B3898" s="7" t="s">
        <v>5970</v>
      </c>
      <c r="C3898" s="12">
        <v>13330</v>
      </c>
      <c r="D3898" s="7" t="s">
        <v>277</v>
      </c>
      <c r="E3898" s="13" t="s">
        <v>4996</v>
      </c>
      <c r="F3898" t="str">
        <f t="shared" si="300"/>
        <v>Emily</v>
      </c>
      <c r="G3898" t="str">
        <f t="shared" si="301"/>
        <v>Emily13330Dallas</v>
      </c>
      <c r="H3898" t="s">
        <v>34756</v>
      </c>
      <c r="I3898" t="s">
        <v>26180</v>
      </c>
      <c r="J3898" t="str">
        <f t="shared" si="302"/>
        <v>E:\PropInv\MF</v>
      </c>
      <c r="K3898" s="103" t="str">
        <f>HYPERLINK("E:\PropInv\MF\Dallas\Emily Rd_13330_Oak Hollow_Dallas_13779","Emily Rd_13330_Oak Hollow_Dallas_13779" )</f>
        <v>Emily Rd_13330_Oak Hollow_Dallas_13779</v>
      </c>
      <c r="L3898" s="104" t="s">
        <v>22253</v>
      </c>
      <c r="M3898" s="103" t="str">
        <f t="shared" si="303"/>
        <v>http://oconnordata.com/mlink/modules/profile/index.cfm?action=profile&amp;prop_id=13779</v>
      </c>
      <c r="N3898" s="1">
        <f t="shared" si="304"/>
        <v>13779</v>
      </c>
    </row>
    <row r="3899" spans="1:14" x14ac:dyDescent="0.3">
      <c r="A3899" s="1">
        <v>13781</v>
      </c>
      <c r="B3899" s="7" t="s">
        <v>5384</v>
      </c>
      <c r="C3899" s="12">
        <v>5801</v>
      </c>
      <c r="D3899" s="7" t="s">
        <v>516</v>
      </c>
      <c r="E3899" s="13" t="s">
        <v>4996</v>
      </c>
      <c r="F3899" t="str">
        <f t="shared" si="300"/>
        <v>Preston</v>
      </c>
      <c r="G3899" t="str">
        <f t="shared" si="301"/>
        <v>Preston5801Dallas</v>
      </c>
      <c r="H3899" t="s">
        <v>34757</v>
      </c>
      <c r="I3899" t="s">
        <v>26181</v>
      </c>
      <c r="J3899" t="str">
        <f t="shared" si="302"/>
        <v>E:\PropInv\MF</v>
      </c>
      <c r="K3899" s="103" t="str">
        <f>HYPERLINK("E:\PropInv\MF\Dallas\Preston Oaks_5801_Oak Run_Dallas_13781","Preston Oaks_5801_Oak Run_Dallas_13781" )</f>
        <v>Preston Oaks_5801_Oak Run_Dallas_13781</v>
      </c>
      <c r="L3899" s="104" t="s">
        <v>22253</v>
      </c>
      <c r="M3899" s="103" t="str">
        <f t="shared" si="303"/>
        <v>http://oconnordata.com/mlink/modules/profile/index.cfm?action=profile&amp;prop_id=13781</v>
      </c>
      <c r="N3899" s="1">
        <f t="shared" si="304"/>
        <v>13781</v>
      </c>
    </row>
    <row r="3900" spans="1:14" x14ac:dyDescent="0.3">
      <c r="A3900" s="1">
        <v>13782</v>
      </c>
      <c r="B3900" s="7" t="s">
        <v>1472</v>
      </c>
      <c r="C3900" s="12">
        <v>2877</v>
      </c>
      <c r="D3900" s="7" t="s">
        <v>5971</v>
      </c>
      <c r="E3900" s="13" t="s">
        <v>5046</v>
      </c>
      <c r="F3900" t="str">
        <f t="shared" si="300"/>
        <v>Walnut</v>
      </c>
      <c r="G3900" t="str">
        <f t="shared" si="301"/>
        <v>Walnut2877Irving</v>
      </c>
      <c r="H3900" t="s">
        <v>34758</v>
      </c>
      <c r="I3900" t="s">
        <v>26182</v>
      </c>
      <c r="J3900" t="str">
        <f t="shared" si="302"/>
        <v>E:\PropInv\MF</v>
      </c>
      <c r="K3900" s="103" t="str">
        <f>HYPERLINK("E:\PropInv\MF\Irving\Walnut Hill_2877_Terra Bella_Irving_13782","Walnut Hill_2877_Terra Bella_Irving_13782" )</f>
        <v>Walnut Hill_2877_Terra Bella_Irving_13782</v>
      </c>
      <c r="L3900" s="104" t="s">
        <v>22253</v>
      </c>
      <c r="M3900" s="103" t="str">
        <f t="shared" si="303"/>
        <v>http://oconnordata.com/mlink/modules/profile/index.cfm?action=profile&amp;prop_id=13782</v>
      </c>
      <c r="N3900" s="1">
        <f t="shared" si="304"/>
        <v>13782</v>
      </c>
    </row>
    <row r="3901" spans="1:14" x14ac:dyDescent="0.3">
      <c r="A3901" s="1">
        <v>13783</v>
      </c>
      <c r="B3901" s="10" t="s">
        <v>5972</v>
      </c>
      <c r="C3901" s="9">
        <v>2730</v>
      </c>
      <c r="D3901" s="10" t="s">
        <v>5973</v>
      </c>
      <c r="E3901" s="11" t="s">
        <v>5060</v>
      </c>
      <c r="F3901" t="str">
        <f t="shared" si="300"/>
        <v>Oak</v>
      </c>
      <c r="G3901" t="str">
        <f t="shared" si="301"/>
        <v>Oak2730Carrollton</v>
      </c>
      <c r="H3901" t="s">
        <v>34759</v>
      </c>
      <c r="I3901" t="s">
        <v>26183</v>
      </c>
      <c r="J3901" t="str">
        <f t="shared" si="302"/>
        <v>E:\PropInv\MF</v>
      </c>
      <c r="K3901" s="103" t="str">
        <f>HYPERLINK("E:\PropInv\MF\Carrollton\Oak Tree Dr_2730_Oak Tree Condos_Carrollton_13783","Oak Tree Dr_2730_Oak Tree Condos_Carrollton_13783" )</f>
        <v>Oak Tree Dr_2730_Oak Tree Condos_Carrollton_13783</v>
      </c>
      <c r="L3901" s="104" t="s">
        <v>22253</v>
      </c>
      <c r="M3901" s="103" t="str">
        <f t="shared" si="303"/>
        <v>http://oconnordata.com/mlink/modules/profile/index.cfm?action=profile&amp;prop_id=13783</v>
      </c>
      <c r="N3901" s="1">
        <f t="shared" si="304"/>
        <v>13783</v>
      </c>
    </row>
    <row r="3902" spans="1:14" x14ac:dyDescent="0.3">
      <c r="A3902" s="1">
        <v>13784</v>
      </c>
      <c r="B3902" s="10" t="s">
        <v>5974</v>
      </c>
      <c r="C3902" s="9">
        <v>1595</v>
      </c>
      <c r="D3902" s="10" t="s">
        <v>5975</v>
      </c>
      <c r="E3902" s="11" t="s">
        <v>5055</v>
      </c>
      <c r="F3902" t="str">
        <f t="shared" si="300"/>
        <v>Old</v>
      </c>
      <c r="G3902" t="str">
        <f t="shared" si="301"/>
        <v>Old1595Lewisville</v>
      </c>
      <c r="H3902" t="s">
        <v>34760</v>
      </c>
      <c r="I3902" t="s">
        <v>26184</v>
      </c>
      <c r="J3902" t="str">
        <f t="shared" si="302"/>
        <v>E:\PropInv\MF</v>
      </c>
      <c r="K3902" s="103" t="str">
        <f>HYPERLINK("E:\PropInv\MF\Lewisville\Old Orchard S_1595_Oak Tree Village_Lewisville_13784","Old Orchard S_1595_Oak Tree Village_Lewisville_13784" )</f>
        <v>Old Orchard S_1595_Oak Tree Village_Lewisville_13784</v>
      </c>
      <c r="L3902" s="104" t="s">
        <v>22253</v>
      </c>
      <c r="M3902" s="103" t="str">
        <f t="shared" si="303"/>
        <v>http://oconnordata.com/mlink/modules/profile/index.cfm?action=profile&amp;prop_id=13784</v>
      </c>
      <c r="N3902" s="1">
        <f t="shared" si="304"/>
        <v>13784</v>
      </c>
    </row>
    <row r="3903" spans="1:14" x14ac:dyDescent="0.3">
      <c r="A3903" s="1">
        <v>13786</v>
      </c>
      <c r="B3903" s="10" t="s">
        <v>5976</v>
      </c>
      <c r="C3903" s="9">
        <v>4611</v>
      </c>
      <c r="D3903" s="10" t="s">
        <v>5977</v>
      </c>
      <c r="E3903" s="11" t="s">
        <v>4996</v>
      </c>
      <c r="F3903" t="str">
        <f t="shared" si="300"/>
        <v>Samuell</v>
      </c>
      <c r="G3903" t="str">
        <f t="shared" si="301"/>
        <v>Samuell4611Dallas</v>
      </c>
      <c r="H3903" t="s">
        <v>34761</v>
      </c>
      <c r="I3903" t="s">
        <v>26185</v>
      </c>
      <c r="J3903" t="str">
        <f t="shared" si="302"/>
        <v>E:\PropInv\MF</v>
      </c>
      <c r="K3903" s="103" t="str">
        <f>HYPERLINK("E:\PropInv\MF\Dallas\Samuell Blvd_4611_Oakdale TH_Dallas_13786","Samuell Blvd_4611_Oakdale TH_Dallas_13786" )</f>
        <v>Samuell Blvd_4611_Oakdale TH_Dallas_13786</v>
      </c>
      <c r="L3903" s="104" t="s">
        <v>22253</v>
      </c>
      <c r="M3903" s="103" t="str">
        <f t="shared" si="303"/>
        <v>http://oconnordata.com/mlink/modules/profile/index.cfm?action=profile&amp;prop_id=13786</v>
      </c>
      <c r="N3903" s="1">
        <f t="shared" si="304"/>
        <v>13786</v>
      </c>
    </row>
    <row r="3904" spans="1:14" x14ac:dyDescent="0.3">
      <c r="A3904" s="1">
        <v>13787</v>
      </c>
      <c r="B3904" s="10" t="s">
        <v>5379</v>
      </c>
      <c r="C3904" s="9">
        <v>3330</v>
      </c>
      <c r="D3904" s="10" t="s">
        <v>5978</v>
      </c>
      <c r="E3904" s="11" t="s">
        <v>5060</v>
      </c>
      <c r="F3904" t="str">
        <f t="shared" si="300"/>
        <v>Country</v>
      </c>
      <c r="G3904" t="str">
        <f t="shared" si="301"/>
        <v>Country3330Carrollton</v>
      </c>
      <c r="H3904" t="s">
        <v>34762</v>
      </c>
      <c r="I3904" t="s">
        <v>26186</v>
      </c>
      <c r="J3904" t="str">
        <f t="shared" si="302"/>
        <v>E:\PropInv\MF</v>
      </c>
      <c r="K3904" s="103" t="str">
        <f>HYPERLINK("E:\PropInv\MF\Carrollton\Country Sq_3330_Oakhaven_Carrollton_13787","Country Sq_3330_Oakhaven_Carrollton_13787" )</f>
        <v>Country Sq_3330_Oakhaven_Carrollton_13787</v>
      </c>
      <c r="L3904" s="104" t="s">
        <v>22253</v>
      </c>
      <c r="M3904" s="103" t="str">
        <f t="shared" si="303"/>
        <v>http://oconnordata.com/mlink/modules/profile/index.cfm?action=profile&amp;prop_id=13787</v>
      </c>
      <c r="N3904" s="1">
        <f t="shared" si="304"/>
        <v>13787</v>
      </c>
    </row>
    <row r="3905" spans="1:14" x14ac:dyDescent="0.3">
      <c r="A3905" s="1">
        <v>13790</v>
      </c>
      <c r="B3905" s="10" t="s">
        <v>5979</v>
      </c>
      <c r="C3905" s="9">
        <v>4614</v>
      </c>
      <c r="D3905" s="10" t="s">
        <v>541</v>
      </c>
      <c r="E3905" s="11" t="s">
        <v>5012</v>
      </c>
      <c r="F3905" t="str">
        <f t="shared" si="300"/>
        <v>Pioneer</v>
      </c>
      <c r="G3905" t="str">
        <f t="shared" si="301"/>
        <v>Pioneer4614Balch Springs</v>
      </c>
      <c r="H3905" t="s">
        <v>34763</v>
      </c>
      <c r="I3905" t="s">
        <v>26187</v>
      </c>
      <c r="J3905" t="str">
        <f t="shared" si="302"/>
        <v>E:\PropInv\MF</v>
      </c>
      <c r="K3905" s="103" t="str">
        <f>HYPERLINK("E:\PropInv\MF\Balch Springs\Pioneer Rd_4614_The Oaks_Balch Springs_13790","Pioneer Rd_4614_The Oaks_Balch Springs_13790" )</f>
        <v>Pioneer Rd_4614_The Oaks_Balch Springs_13790</v>
      </c>
      <c r="L3905" s="104" t="s">
        <v>22253</v>
      </c>
      <c r="M3905" s="103" t="str">
        <f t="shared" si="303"/>
        <v>http://oconnordata.com/mlink/modules/profile/index.cfm?action=profile&amp;prop_id=13790</v>
      </c>
      <c r="N3905" s="1">
        <f t="shared" si="304"/>
        <v>13790</v>
      </c>
    </row>
    <row r="3906" spans="1:14" x14ac:dyDescent="0.3">
      <c r="A3906" s="1">
        <v>13791</v>
      </c>
      <c r="B3906" s="10" t="s">
        <v>5682</v>
      </c>
      <c r="C3906" s="9">
        <v>740</v>
      </c>
      <c r="D3906" s="10" t="s">
        <v>5980</v>
      </c>
      <c r="E3906" s="11" t="s">
        <v>3328</v>
      </c>
      <c r="F3906" t="str">
        <f t="shared" ref="F3906:F3969" si="305">IFERROR(LEFT(B3906,FIND(" ",B3906)-1),B3906)</f>
        <v>Spring</v>
      </c>
      <c r="G3906" t="str">
        <f t="shared" ref="G3906:G3969" si="306">F3906&amp;C3906&amp;E3906</f>
        <v>Spring740Richardson</v>
      </c>
      <c r="H3906" t="s">
        <v>34764</v>
      </c>
      <c r="I3906" t="s">
        <v>26188</v>
      </c>
      <c r="J3906" t="str">
        <f t="shared" ref="J3906:J3969" si="307">IF(L3906="TX",Folder_Path,Folder_Path&amp;"\State_"&amp;L3906)</f>
        <v>E:\PropInv\MF</v>
      </c>
      <c r="K3906" s="103" t="str">
        <f>HYPERLINK("E:\PropInv\MF\Richardson\Spring Valley W_740_Oaks at Spring Valley_Richardson_13791","Spring Valley W_740_Oaks at Spring Valley_Richardson_13791" )</f>
        <v>Spring Valley W_740_Oaks at Spring Valley_Richardson_13791</v>
      </c>
      <c r="L3906" s="104" t="s">
        <v>22253</v>
      </c>
      <c r="M3906" s="103" t="str">
        <f t="shared" ref="M3906:M3969" si="308">HYPERLINK("http://oconnordata.com/mlink/modules/profile/index.cfm?action=profile&amp;prop_id="&amp;A3906)</f>
        <v>http://oconnordata.com/mlink/modules/profile/index.cfm?action=profile&amp;prop_id=13791</v>
      </c>
      <c r="N3906" s="1">
        <f t="shared" ref="N3906:N3969" si="309">IF(LEN(A3906)=1,"0000"&amp;A3906,IF(LEN(A3906)=2,"000"&amp;A3906,IF(LEN(A3906)=3,"00"&amp;A3906,IF(LEN(A3906)=4,"0"&amp;A3906,IF(LEN(A3906)=5,IF(LEFT(A3906,1)="3",A3906+30000,A3906))))))</f>
        <v>13791</v>
      </c>
    </row>
    <row r="3907" spans="1:14" x14ac:dyDescent="0.3">
      <c r="A3907" s="1">
        <v>13792</v>
      </c>
      <c r="B3907" s="10" t="s">
        <v>5981</v>
      </c>
      <c r="C3907" s="9">
        <v>700</v>
      </c>
      <c r="D3907" s="10" t="s">
        <v>5982</v>
      </c>
      <c r="E3907" s="11" t="s">
        <v>5009</v>
      </c>
      <c r="F3907" t="str">
        <f t="shared" si="305"/>
        <v>Plano</v>
      </c>
      <c r="G3907" t="str">
        <f t="shared" si="306"/>
        <v>Plano700Plano</v>
      </c>
      <c r="H3907" t="s">
        <v>34765</v>
      </c>
      <c r="I3907" t="s">
        <v>26189</v>
      </c>
      <c r="J3907" t="str">
        <f t="shared" si="307"/>
        <v>E:\PropInv\MF</v>
      </c>
      <c r="K3907" s="103" t="str">
        <f>HYPERLINK("E:\PropInv\MF\Plano\Plano Pkwy W_700_Oaks of Collin Creek_Plano_13792","Plano Pkwy W_700_Oaks of Collin Creek_Plano_13792" )</f>
        <v>Plano Pkwy W_700_Oaks of Collin Creek_Plano_13792</v>
      </c>
      <c r="L3907" s="104" t="s">
        <v>22253</v>
      </c>
      <c r="M3907" s="103" t="str">
        <f t="shared" si="308"/>
        <v>http://oconnordata.com/mlink/modules/profile/index.cfm?action=profile&amp;prop_id=13792</v>
      </c>
      <c r="N3907" s="1">
        <f t="shared" si="309"/>
        <v>13792</v>
      </c>
    </row>
    <row r="3908" spans="1:14" x14ac:dyDescent="0.3">
      <c r="A3908" s="1">
        <v>13794</v>
      </c>
      <c r="B3908" s="10" t="s">
        <v>5983</v>
      </c>
      <c r="C3908" s="9">
        <v>200</v>
      </c>
      <c r="D3908" s="10" t="s">
        <v>5984</v>
      </c>
      <c r="E3908" s="11" t="s">
        <v>5055</v>
      </c>
      <c r="F3908" t="str">
        <f t="shared" si="305"/>
        <v>Oak</v>
      </c>
      <c r="G3908" t="str">
        <f t="shared" si="306"/>
        <v>Oak200Lewisville</v>
      </c>
      <c r="H3908" t="s">
        <v>34766</v>
      </c>
      <c r="I3908" t="s">
        <v>26190</v>
      </c>
      <c r="J3908" t="str">
        <f t="shared" si="307"/>
        <v>E:\PropInv\MF</v>
      </c>
      <c r="K3908" s="103" t="str">
        <f>HYPERLINK("E:\PropInv\MF\Lewisville\Oak Knoll Cir E_200_Oaks of Lewisville_Lewisville_13794","Oak Knoll Cir E_200_Oaks of Lewisville_Lewisville_13794" )</f>
        <v>Oak Knoll Cir E_200_Oaks of Lewisville_Lewisville_13794</v>
      </c>
      <c r="L3908" s="104" t="s">
        <v>22253</v>
      </c>
      <c r="M3908" s="103" t="str">
        <f t="shared" si="308"/>
        <v>http://oconnordata.com/mlink/modules/profile/index.cfm?action=profile&amp;prop_id=13794</v>
      </c>
      <c r="N3908" s="1">
        <f t="shared" si="309"/>
        <v>13794</v>
      </c>
    </row>
    <row r="3909" spans="1:14" x14ac:dyDescent="0.3">
      <c r="A3909" s="1">
        <v>13795</v>
      </c>
      <c r="B3909" s="10" t="s">
        <v>5749</v>
      </c>
      <c r="C3909" s="9">
        <v>9800</v>
      </c>
      <c r="D3909" s="10" t="s">
        <v>5985</v>
      </c>
      <c r="E3909" s="11" t="s">
        <v>5046</v>
      </c>
      <c r="F3909" t="str">
        <f t="shared" si="305"/>
        <v>Macarthur</v>
      </c>
      <c r="G3909" t="str">
        <f t="shared" si="306"/>
        <v>Macarthur9800Irving</v>
      </c>
      <c r="H3909" t="s">
        <v>34767</v>
      </c>
      <c r="I3909" t="s">
        <v>26191</v>
      </c>
      <c r="J3909" t="str">
        <f t="shared" si="307"/>
        <v>E:\PropInv\MF</v>
      </c>
      <c r="K3909" s="103" t="str">
        <f>HYPERLINK("E:\PropInv\MF\Irving\Macarthur N_9800_The Oaks of Valley Ranch_Irving_13795","Macarthur N_9800_The Oaks of Valley Ranch_Irving_13795" )</f>
        <v>Macarthur N_9800_The Oaks of Valley Ranch_Irving_13795</v>
      </c>
      <c r="L3909" s="104" t="s">
        <v>22253</v>
      </c>
      <c r="M3909" s="103" t="str">
        <f t="shared" si="308"/>
        <v>http://oconnordata.com/mlink/modules/profile/index.cfm?action=profile&amp;prop_id=13795</v>
      </c>
      <c r="N3909" s="1">
        <f t="shared" si="309"/>
        <v>13795</v>
      </c>
    </row>
    <row r="3910" spans="1:14" x14ac:dyDescent="0.3">
      <c r="A3910" s="1">
        <v>13798</v>
      </c>
      <c r="B3910" s="10" t="s">
        <v>5633</v>
      </c>
      <c r="C3910" s="9">
        <v>4750</v>
      </c>
      <c r="D3910" s="10" t="s">
        <v>5986</v>
      </c>
      <c r="E3910" s="11" t="s">
        <v>4996</v>
      </c>
      <c r="F3910" t="str">
        <f t="shared" si="305"/>
        <v>Haverwood</v>
      </c>
      <c r="G3910" t="str">
        <f t="shared" si="306"/>
        <v>Haverwood4750Dallas</v>
      </c>
      <c r="H3910" t="s">
        <v>34768</v>
      </c>
      <c r="I3910" t="s">
        <v>26192</v>
      </c>
      <c r="J3910" t="str">
        <f t="shared" si="307"/>
        <v>E:\PropInv\MF</v>
      </c>
      <c r="K3910" s="103" t="str">
        <f>HYPERLINK("E:\PropInv\MF\Dallas\Haverwood Ln_4750_Stoneridge North Dallas_Dallas_13798","Haverwood Ln_4750_Stoneridge North Dallas_Dallas_13798" )</f>
        <v>Haverwood Ln_4750_Stoneridge North Dallas_Dallas_13798</v>
      </c>
      <c r="L3910" s="104" t="s">
        <v>22253</v>
      </c>
      <c r="M3910" s="103" t="str">
        <f t="shared" si="308"/>
        <v>http://oconnordata.com/mlink/modules/profile/index.cfm?action=profile&amp;prop_id=13798</v>
      </c>
      <c r="N3910" s="1">
        <f t="shared" si="309"/>
        <v>13798</v>
      </c>
    </row>
    <row r="3911" spans="1:14" x14ac:dyDescent="0.3">
      <c r="A3911" s="1">
        <v>13799</v>
      </c>
      <c r="B3911" s="10" t="s">
        <v>5419</v>
      </c>
      <c r="C3911" s="9">
        <v>8201</v>
      </c>
      <c r="D3911" s="10" t="s">
        <v>5987</v>
      </c>
      <c r="E3911" s="11" t="s">
        <v>4996</v>
      </c>
      <c r="F3911" t="str">
        <f t="shared" si="305"/>
        <v>Fair</v>
      </c>
      <c r="G3911" t="str">
        <f t="shared" si="306"/>
        <v>Fair8201Dallas</v>
      </c>
      <c r="H3911" t="s">
        <v>34769</v>
      </c>
      <c r="I3911" t="s">
        <v>26193</v>
      </c>
      <c r="J3911" t="str">
        <f t="shared" si="307"/>
        <v>E:\PropInv\MF</v>
      </c>
      <c r="K3911" s="103" t="str">
        <f>HYPERLINK("E:\PropInv\MF\Dallas\Fair Oaks Crossing_8201_Adagio Palms_Dallas_13799","Fair Oaks Crossing_8201_Adagio Palms_Dallas_13799" )</f>
        <v>Fair Oaks Crossing_8201_Adagio Palms_Dallas_13799</v>
      </c>
      <c r="L3911" s="104" t="s">
        <v>22253</v>
      </c>
      <c r="M3911" s="103" t="str">
        <f t="shared" si="308"/>
        <v>http://oconnordata.com/mlink/modules/profile/index.cfm?action=profile&amp;prop_id=13799</v>
      </c>
      <c r="N3911" s="1">
        <f t="shared" si="309"/>
        <v>13799</v>
      </c>
    </row>
    <row r="3912" spans="1:14" x14ac:dyDescent="0.3">
      <c r="A3912" s="1">
        <v>13802</v>
      </c>
      <c r="B3912" s="10" t="s">
        <v>5988</v>
      </c>
      <c r="C3912" s="9">
        <v>4809</v>
      </c>
      <c r="D3912" s="10" t="s">
        <v>5989</v>
      </c>
      <c r="E3912" s="11" t="s">
        <v>5046</v>
      </c>
      <c r="F3912" t="str">
        <f t="shared" si="305"/>
        <v>O'Connor</v>
      </c>
      <c r="G3912" t="str">
        <f t="shared" si="306"/>
        <v>O'Connor4809Irving</v>
      </c>
      <c r="H3912" t="s">
        <v>34770</v>
      </c>
      <c r="I3912" t="s">
        <v>26194</v>
      </c>
      <c r="J3912" t="str">
        <f t="shared" si="307"/>
        <v>E:\PropInv\MF</v>
      </c>
      <c r="K3912" s="103" t="str">
        <f>HYPERLINK("E:\PropInv\MF\Irving\O'Connor N_4809_The Marabella At Los Colinas_Irving_13802","O'Connor N_4809_The Marabella At Los Colinas_Irving_13802" )</f>
        <v>O'Connor N_4809_The Marabella At Los Colinas_Irving_13802</v>
      </c>
      <c r="L3912" s="104" t="s">
        <v>22253</v>
      </c>
      <c r="M3912" s="103" t="str">
        <f t="shared" si="308"/>
        <v>http://oconnordata.com/mlink/modules/profile/index.cfm?action=profile&amp;prop_id=13802</v>
      </c>
      <c r="N3912" s="1">
        <f t="shared" si="309"/>
        <v>13802</v>
      </c>
    </row>
    <row r="3913" spans="1:14" x14ac:dyDescent="0.3">
      <c r="A3913" s="1">
        <v>13803</v>
      </c>
      <c r="B3913" s="7" t="s">
        <v>5177</v>
      </c>
      <c r="C3913" s="12">
        <v>1520</v>
      </c>
      <c r="D3913" s="7" t="s">
        <v>5990</v>
      </c>
      <c r="E3913" s="13" t="s">
        <v>5009</v>
      </c>
      <c r="F3913" t="str">
        <f t="shared" si="305"/>
        <v>Preston</v>
      </c>
      <c r="G3913" t="str">
        <f t="shared" si="306"/>
        <v>Preston1520Plano</v>
      </c>
      <c r="H3913" t="s">
        <v>34771</v>
      </c>
      <c r="I3913" t="s">
        <v>26195</v>
      </c>
      <c r="J3913" t="str">
        <f t="shared" si="307"/>
        <v>E:\PropInv\MF</v>
      </c>
      <c r="K3913" s="103" t="str">
        <f>HYPERLINK("E:\PropInv\MF\Plano\Preston_1520_Old Shepard Place_Plano_13803","Preston_1520_Old Shepard Place_Plano_13803" )</f>
        <v>Preston_1520_Old Shepard Place_Plano_13803</v>
      </c>
      <c r="L3913" s="104" t="s">
        <v>22253</v>
      </c>
      <c r="M3913" s="103" t="str">
        <f t="shared" si="308"/>
        <v>http://oconnordata.com/mlink/modules/profile/index.cfm?action=profile&amp;prop_id=13803</v>
      </c>
      <c r="N3913" s="1">
        <f t="shared" si="309"/>
        <v>13803</v>
      </c>
    </row>
    <row r="3914" spans="1:14" x14ac:dyDescent="0.3">
      <c r="A3914" s="1">
        <v>13804</v>
      </c>
      <c r="B3914" s="7" t="s">
        <v>5784</v>
      </c>
      <c r="C3914" s="12">
        <v>4605</v>
      </c>
      <c r="D3914" s="7" t="s">
        <v>5991</v>
      </c>
      <c r="E3914" s="13" t="s">
        <v>5019</v>
      </c>
      <c r="F3914" t="str">
        <f t="shared" si="305"/>
        <v>Chaha</v>
      </c>
      <c r="G3914" t="str">
        <f t="shared" si="306"/>
        <v>Chaha4605Garland</v>
      </c>
      <c r="H3914" t="s">
        <v>34772</v>
      </c>
      <c r="I3914" t="s">
        <v>26196</v>
      </c>
      <c r="J3914" t="str">
        <f t="shared" si="307"/>
        <v>E:\PropInv\MF</v>
      </c>
      <c r="K3914" s="103" t="str">
        <f>HYPERLINK("E:\PropInv\MF\Garland\Chaha Rd_4605_On The Lake Apts_Garland_13804","Chaha Rd_4605_On The Lake Apts_Garland_13804" )</f>
        <v>Chaha Rd_4605_On The Lake Apts_Garland_13804</v>
      </c>
      <c r="L3914" s="104" t="s">
        <v>22253</v>
      </c>
      <c r="M3914" s="103" t="str">
        <f t="shared" si="308"/>
        <v>http://oconnordata.com/mlink/modules/profile/index.cfm?action=profile&amp;prop_id=13804</v>
      </c>
      <c r="N3914" s="1">
        <f t="shared" si="309"/>
        <v>13804</v>
      </c>
    </row>
    <row r="3915" spans="1:14" x14ac:dyDescent="0.3">
      <c r="A3915" s="1">
        <v>13805</v>
      </c>
      <c r="B3915" s="7" t="s">
        <v>5992</v>
      </c>
      <c r="C3915" s="12">
        <v>1217</v>
      </c>
      <c r="D3915" s="7" t="s">
        <v>5993</v>
      </c>
      <c r="E3915" s="13" t="s">
        <v>5088</v>
      </c>
      <c r="F3915" t="str">
        <f t="shared" si="305"/>
        <v>Americana</v>
      </c>
      <c r="G3915" t="str">
        <f t="shared" si="306"/>
        <v>Americana1217Mesquite</v>
      </c>
      <c r="H3915" t="s">
        <v>34773</v>
      </c>
      <c r="I3915" t="s">
        <v>26197</v>
      </c>
      <c r="J3915" t="str">
        <f t="shared" si="307"/>
        <v>E:\PropInv\MF</v>
      </c>
      <c r="K3915" s="103" t="str">
        <f>HYPERLINK("E:\PropInv\MF\Mesquite\Americana_1217_One Townecrest_Mesquite_13805","Americana_1217_One Townecrest_Mesquite_13805" )</f>
        <v>Americana_1217_One Townecrest_Mesquite_13805</v>
      </c>
      <c r="L3915" s="104" t="s">
        <v>22253</v>
      </c>
      <c r="M3915" s="103" t="str">
        <f t="shared" si="308"/>
        <v>http://oconnordata.com/mlink/modules/profile/index.cfm?action=profile&amp;prop_id=13805</v>
      </c>
      <c r="N3915" s="1">
        <f t="shared" si="309"/>
        <v>13805</v>
      </c>
    </row>
    <row r="3916" spans="1:14" x14ac:dyDescent="0.3">
      <c r="A3916" s="1">
        <v>13806</v>
      </c>
      <c r="B3916" s="7" t="s">
        <v>5994</v>
      </c>
      <c r="C3916" s="12">
        <v>1320</v>
      </c>
      <c r="D3916" s="7" t="s">
        <v>5995</v>
      </c>
      <c r="E3916" s="13" t="s">
        <v>5019</v>
      </c>
      <c r="F3916" t="str">
        <f t="shared" si="305"/>
        <v>Kingsley</v>
      </c>
      <c r="G3916" t="str">
        <f t="shared" si="306"/>
        <v>Kingsley1320Garland</v>
      </c>
      <c r="H3916" t="s">
        <v>34774</v>
      </c>
      <c r="I3916" t="s">
        <v>26198</v>
      </c>
      <c r="J3916" t="str">
        <f t="shared" si="307"/>
        <v>E:\PropInv\MF</v>
      </c>
      <c r="K3916" s="103" t="str">
        <f>HYPERLINK("E:\PropInv\MF\Garland\Kingsley_1320_Orchard Hills_Garland_13806","Kingsley_1320_Orchard Hills_Garland_13806" )</f>
        <v>Kingsley_1320_Orchard Hills_Garland_13806</v>
      </c>
      <c r="L3916" s="104" t="s">
        <v>22253</v>
      </c>
      <c r="M3916" s="103" t="str">
        <f t="shared" si="308"/>
        <v>http://oconnordata.com/mlink/modules/profile/index.cfm?action=profile&amp;prop_id=13806</v>
      </c>
      <c r="N3916" s="1">
        <f t="shared" si="309"/>
        <v>13806</v>
      </c>
    </row>
    <row r="3917" spans="1:14" x14ac:dyDescent="0.3">
      <c r="A3917" s="1">
        <v>13807</v>
      </c>
      <c r="B3917" s="10" t="s">
        <v>5996</v>
      </c>
      <c r="C3917" s="9">
        <v>3527</v>
      </c>
      <c r="D3917" s="10" t="s">
        <v>5997</v>
      </c>
      <c r="E3917" s="11" t="s">
        <v>4996</v>
      </c>
      <c r="F3917" t="str">
        <f t="shared" si="305"/>
        <v>Bolivar</v>
      </c>
      <c r="G3917" t="str">
        <f t="shared" si="306"/>
        <v>Bolivar3527Dallas</v>
      </c>
      <c r="H3917" t="s">
        <v>34775</v>
      </c>
      <c r="I3917" t="s">
        <v>26199</v>
      </c>
      <c r="J3917" t="str">
        <f t="shared" si="307"/>
        <v>E:\PropInv\MF</v>
      </c>
      <c r="K3917" s="103" t="str">
        <f>HYPERLINK("E:\PropInv\MF\Dallas\Bolivar Dr_3527_Over the Rainbow_Dallas_13807","Bolivar Dr_3527_Over the Rainbow_Dallas_13807" )</f>
        <v>Bolivar Dr_3527_Over the Rainbow_Dallas_13807</v>
      </c>
      <c r="L3917" s="104" t="s">
        <v>22253</v>
      </c>
      <c r="M3917" s="103" t="str">
        <f t="shared" si="308"/>
        <v>http://oconnordata.com/mlink/modules/profile/index.cfm?action=profile&amp;prop_id=13807</v>
      </c>
      <c r="N3917" s="1">
        <f t="shared" si="309"/>
        <v>13807</v>
      </c>
    </row>
    <row r="3918" spans="1:14" x14ac:dyDescent="0.3">
      <c r="A3918" s="1">
        <v>13808</v>
      </c>
      <c r="B3918" s="10" t="s">
        <v>5998</v>
      </c>
      <c r="C3918" s="9">
        <v>247</v>
      </c>
      <c r="D3918" s="10" t="s">
        <v>5999</v>
      </c>
      <c r="E3918" s="11" t="s">
        <v>5055</v>
      </c>
      <c r="F3918" t="str">
        <f t="shared" si="305"/>
        <v>Corporate</v>
      </c>
      <c r="G3918" t="str">
        <f t="shared" si="306"/>
        <v>Corporate247Lewisville</v>
      </c>
      <c r="H3918" t="s">
        <v>34776</v>
      </c>
      <c r="I3918" t="s">
        <v>26200</v>
      </c>
      <c r="J3918" t="str">
        <f t="shared" si="307"/>
        <v>E:\PropInv\MF</v>
      </c>
      <c r="K3918" s="103" t="str">
        <f>HYPERLINK("E:\PropInv\MF\Lewisville\Corporate E_247_Colonial Village At Vista Ridge_Lewisville_13808","Corporate E_247_Colonial Village At Vista Ridge_Lewisville_13808" )</f>
        <v>Corporate E_247_Colonial Village At Vista Ridge_Lewisville_13808</v>
      </c>
      <c r="L3918" s="104" t="s">
        <v>22253</v>
      </c>
      <c r="M3918" s="103" t="str">
        <f t="shared" si="308"/>
        <v>http://oconnordata.com/mlink/modules/profile/index.cfm?action=profile&amp;prop_id=13808</v>
      </c>
      <c r="N3918" s="1">
        <f t="shared" si="309"/>
        <v>13808</v>
      </c>
    </row>
    <row r="3919" spans="1:14" x14ac:dyDescent="0.3">
      <c r="A3919" s="1">
        <v>13810</v>
      </c>
      <c r="B3919" s="10" t="s">
        <v>6000</v>
      </c>
      <c r="C3919" s="9">
        <v>1702</v>
      </c>
      <c r="D3919" s="10" t="s">
        <v>6001</v>
      </c>
      <c r="E3919" s="11" t="s">
        <v>5019</v>
      </c>
      <c r="F3919" t="str">
        <f t="shared" si="305"/>
        <v>Edgefield</v>
      </c>
      <c r="G3919" t="str">
        <f t="shared" si="306"/>
        <v>Edgefield1702Garland</v>
      </c>
      <c r="H3919" t="s">
        <v>34777</v>
      </c>
      <c r="I3919" t="s">
        <v>26201</v>
      </c>
      <c r="J3919" t="str">
        <f t="shared" si="307"/>
        <v>E:\PropInv\MF</v>
      </c>
      <c r="K3919" s="103" t="str">
        <f>HYPERLINK("E:\PropInv\MF\Garland\Edgefield_1702_River Glen_Garland_13810","Edgefield_1702_River Glen_Garland_13810" )</f>
        <v>Edgefield_1702_River Glen_Garland_13810</v>
      </c>
      <c r="L3919" s="104" t="s">
        <v>22253</v>
      </c>
      <c r="M3919" s="103" t="str">
        <f t="shared" si="308"/>
        <v>http://oconnordata.com/mlink/modules/profile/index.cfm?action=profile&amp;prop_id=13810</v>
      </c>
      <c r="N3919" s="1">
        <f t="shared" si="309"/>
        <v>13810</v>
      </c>
    </row>
    <row r="3920" spans="1:14" x14ac:dyDescent="0.3">
      <c r="A3920" s="1">
        <v>13811</v>
      </c>
      <c r="B3920" s="10" t="s">
        <v>5113</v>
      </c>
      <c r="C3920" s="9">
        <v>1901</v>
      </c>
      <c r="D3920" s="10" t="s">
        <v>6002</v>
      </c>
      <c r="E3920" s="11" t="s">
        <v>5055</v>
      </c>
      <c r="F3920" t="str">
        <f t="shared" si="305"/>
        <v>Lakeview</v>
      </c>
      <c r="G3920" t="str">
        <f t="shared" si="306"/>
        <v>Lakeview1901Lewisville</v>
      </c>
      <c r="H3920" t="s">
        <v>34778</v>
      </c>
      <c r="I3920" t="s">
        <v>26202</v>
      </c>
      <c r="J3920" t="str">
        <f t="shared" si="307"/>
        <v>E:\PropInv\MF</v>
      </c>
      <c r="K3920" s="103" t="str">
        <f>HYPERLINK("E:\PropInv\MF\Lewisville\Lakeview Cir_1901_Parc Lake I &amp; II_Lewisville_13811","Lakeview Cir_1901_Parc Lake I &amp; II_Lewisville_13811" )</f>
        <v>Lakeview Cir_1901_Parc Lake I &amp; II_Lewisville_13811</v>
      </c>
      <c r="L3920" s="104" t="s">
        <v>22253</v>
      </c>
      <c r="M3920" s="103" t="str">
        <f t="shared" si="308"/>
        <v>http://oconnordata.com/mlink/modules/profile/index.cfm?action=profile&amp;prop_id=13811</v>
      </c>
      <c r="N3920" s="1">
        <f t="shared" si="309"/>
        <v>13811</v>
      </c>
    </row>
    <row r="3921" spans="1:14" x14ac:dyDescent="0.3">
      <c r="A3921" s="1">
        <v>13812</v>
      </c>
      <c r="B3921" s="10" t="s">
        <v>6003</v>
      </c>
      <c r="C3921" s="9">
        <v>3001</v>
      </c>
      <c r="D3921" s="10" t="s">
        <v>6004</v>
      </c>
      <c r="E3921" s="11" t="s">
        <v>4996</v>
      </c>
      <c r="F3921" t="str">
        <f t="shared" si="305"/>
        <v>Sale</v>
      </c>
      <c r="G3921" t="str">
        <f t="shared" si="306"/>
        <v>Sale3001Dallas</v>
      </c>
      <c r="H3921" t="s">
        <v>34779</v>
      </c>
      <c r="I3921" t="s">
        <v>26203</v>
      </c>
      <c r="J3921" t="str">
        <f t="shared" si="307"/>
        <v>E:\PropInv\MF</v>
      </c>
      <c r="K3921" s="103" t="str">
        <f>HYPERLINK("E:\PropInv\MF\Dallas\Sale St_3001_The Marquis at Turtle Creek_Dallas_13812","Sale St_3001_The Marquis at Turtle Creek_Dallas_13812" )</f>
        <v>Sale St_3001_The Marquis at Turtle Creek_Dallas_13812</v>
      </c>
      <c r="L3921" s="104" t="s">
        <v>22253</v>
      </c>
      <c r="M3921" s="103" t="str">
        <f t="shared" si="308"/>
        <v>http://oconnordata.com/mlink/modules/profile/index.cfm?action=profile&amp;prop_id=13812</v>
      </c>
      <c r="N3921" s="1">
        <f t="shared" si="309"/>
        <v>13812</v>
      </c>
    </row>
    <row r="3922" spans="1:14" x14ac:dyDescent="0.3">
      <c r="A3922" s="1">
        <v>13813</v>
      </c>
      <c r="B3922" s="7" t="s">
        <v>4997</v>
      </c>
      <c r="C3922" s="12">
        <v>5414</v>
      </c>
      <c r="D3922" s="7" t="s">
        <v>6005</v>
      </c>
      <c r="E3922" s="13" t="s">
        <v>4996</v>
      </c>
      <c r="F3922" t="str">
        <f t="shared" si="305"/>
        <v>Cedar</v>
      </c>
      <c r="G3922" t="str">
        <f t="shared" si="306"/>
        <v>Cedar5414Dallas</v>
      </c>
      <c r="H3922" t="s">
        <v>34780</v>
      </c>
      <c r="I3922" t="s">
        <v>26204</v>
      </c>
      <c r="J3922" t="str">
        <f t="shared" si="307"/>
        <v>E:\PropInv\MF</v>
      </c>
      <c r="K3922" s="103" t="str">
        <f>HYPERLINK("E:\PropInv\MF\Dallas\Cedar Springs_5414_The Montage_Dallas_13813","Cedar Springs_5414_The Montage_Dallas_13813" )</f>
        <v>Cedar Springs_5414_The Montage_Dallas_13813</v>
      </c>
      <c r="L3922" s="104" t="s">
        <v>22253</v>
      </c>
      <c r="M3922" s="103" t="str">
        <f t="shared" si="308"/>
        <v>http://oconnordata.com/mlink/modules/profile/index.cfm?action=profile&amp;prop_id=13813</v>
      </c>
      <c r="N3922" s="1">
        <f t="shared" si="309"/>
        <v>13813</v>
      </c>
    </row>
    <row r="3923" spans="1:14" x14ac:dyDescent="0.3">
      <c r="A3923" s="1">
        <v>13814</v>
      </c>
      <c r="B3923" s="7" t="s">
        <v>6006</v>
      </c>
      <c r="C3923" s="12">
        <v>17200</v>
      </c>
      <c r="D3923" s="7" t="s">
        <v>6007</v>
      </c>
      <c r="E3923" s="13" t="s">
        <v>5005</v>
      </c>
      <c r="F3923" t="str">
        <f t="shared" si="305"/>
        <v>Westgrove</v>
      </c>
      <c r="G3923" t="str">
        <f t="shared" si="306"/>
        <v>Westgrove17200Addison</v>
      </c>
      <c r="H3923" t="s">
        <v>34781</v>
      </c>
      <c r="I3923" t="s">
        <v>26205</v>
      </c>
      <c r="J3923" t="str">
        <f t="shared" si="307"/>
        <v>E:\PropInv\MF</v>
      </c>
      <c r="K3923" s="103" t="str">
        <f>HYPERLINK("E:\PropInv\MF\Addison\Westgrove Dr_17200_Camden Addison_Addison_13814","Westgrove Dr_17200_Camden Addison_Addison_13814" )</f>
        <v>Westgrove Dr_17200_Camden Addison_Addison_13814</v>
      </c>
      <c r="L3923" s="104" t="s">
        <v>22253</v>
      </c>
      <c r="M3923" s="103" t="str">
        <f t="shared" si="308"/>
        <v>http://oconnordata.com/mlink/modules/profile/index.cfm?action=profile&amp;prop_id=13814</v>
      </c>
      <c r="N3923" s="1">
        <f t="shared" si="309"/>
        <v>13814</v>
      </c>
    </row>
    <row r="3924" spans="1:14" x14ac:dyDescent="0.3">
      <c r="A3924" s="1">
        <v>13815</v>
      </c>
      <c r="B3924" s="10" t="s">
        <v>5056</v>
      </c>
      <c r="C3924" s="9">
        <v>430</v>
      </c>
      <c r="D3924" s="10" t="s">
        <v>6008</v>
      </c>
      <c r="E3924" s="11" t="s">
        <v>3328</v>
      </c>
      <c r="F3924" t="str">
        <f t="shared" si="305"/>
        <v>Buckingham</v>
      </c>
      <c r="G3924" t="str">
        <f t="shared" si="306"/>
        <v>Buckingham430Richardson</v>
      </c>
      <c r="H3924" t="s">
        <v>34782</v>
      </c>
      <c r="I3924" t="s">
        <v>26206</v>
      </c>
      <c r="J3924" t="str">
        <f t="shared" si="307"/>
        <v>E:\PropInv\MF</v>
      </c>
      <c r="K3924" s="103" t="str">
        <f>HYPERLINK("E:\PropInv\MF\Richardson\Buckingham Rd E_430_Camden Buckingham_Richardson_13815","Buckingham Rd E_430_Camden Buckingham_Richardson_13815" )</f>
        <v>Buckingham Rd E_430_Camden Buckingham_Richardson_13815</v>
      </c>
      <c r="L3924" s="104" t="s">
        <v>22253</v>
      </c>
      <c r="M3924" s="103" t="str">
        <f t="shared" si="308"/>
        <v>http://oconnordata.com/mlink/modules/profile/index.cfm?action=profile&amp;prop_id=13815</v>
      </c>
      <c r="N3924" s="1">
        <f t="shared" si="309"/>
        <v>13815</v>
      </c>
    </row>
    <row r="3925" spans="1:14" x14ac:dyDescent="0.3">
      <c r="A3925" s="1">
        <v>13816</v>
      </c>
      <c r="B3925" s="10" t="s">
        <v>6009</v>
      </c>
      <c r="C3925" s="9">
        <v>7310</v>
      </c>
      <c r="D3925" s="10" t="s">
        <v>6010</v>
      </c>
      <c r="E3925" s="11" t="s">
        <v>4996</v>
      </c>
      <c r="F3925" t="str">
        <f t="shared" si="305"/>
        <v>Marvin</v>
      </c>
      <c r="G3925" t="str">
        <f t="shared" si="306"/>
        <v>Marvin7310Dallas</v>
      </c>
      <c r="H3925" t="s">
        <v>34783</v>
      </c>
      <c r="I3925" t="s">
        <v>26207</v>
      </c>
      <c r="J3925" t="str">
        <f t="shared" si="307"/>
        <v>E:\PropInv\MF</v>
      </c>
      <c r="K3925" s="103" t="str">
        <f>HYPERLINK("E:\PropInv\MF\Dallas\Marvin D. Love Fwy_7310_Park at Cliff Creek_Dallas_13816","Marvin D. Love Fwy_7310_Park at Cliff Creek_Dallas_13816" )</f>
        <v>Marvin D. Love Fwy_7310_Park at Cliff Creek_Dallas_13816</v>
      </c>
      <c r="L3925" s="104" t="s">
        <v>22253</v>
      </c>
      <c r="M3925" s="103" t="str">
        <f t="shared" si="308"/>
        <v>http://oconnordata.com/mlink/modules/profile/index.cfm?action=profile&amp;prop_id=13816</v>
      </c>
      <c r="N3925" s="1">
        <f t="shared" si="309"/>
        <v>13816</v>
      </c>
    </row>
    <row r="3926" spans="1:14" x14ac:dyDescent="0.3">
      <c r="A3926" s="1">
        <v>13817</v>
      </c>
      <c r="B3926" s="10" t="s">
        <v>6011</v>
      </c>
      <c r="C3926" s="9">
        <v>3377</v>
      </c>
      <c r="D3926" s="10" t="s">
        <v>6012</v>
      </c>
      <c r="E3926" s="11" t="s">
        <v>4996</v>
      </c>
      <c r="F3926" t="str">
        <f t="shared" si="305"/>
        <v>Blackburn</v>
      </c>
      <c r="G3926" t="str">
        <f t="shared" si="306"/>
        <v>Blackburn3377Dallas</v>
      </c>
      <c r="H3926" t="s">
        <v>34784</v>
      </c>
      <c r="I3926" t="s">
        <v>26208</v>
      </c>
      <c r="J3926" t="str">
        <f t="shared" si="307"/>
        <v>E:\PropInv\MF</v>
      </c>
      <c r="K3926" s="103" t="str">
        <f>HYPERLINK("E:\PropInv\MF\Dallas\Blackburn St_3377_Thirty377 Apts_Dallas_13817","Blackburn St_3377_Thirty377 Apts_Dallas_13817" )</f>
        <v>Blackburn St_3377_Thirty377 Apts_Dallas_13817</v>
      </c>
      <c r="L3926" s="104" t="s">
        <v>22253</v>
      </c>
      <c r="M3926" s="103" t="str">
        <f t="shared" si="308"/>
        <v>http://oconnordata.com/mlink/modules/profile/index.cfm?action=profile&amp;prop_id=13817</v>
      </c>
      <c r="N3926" s="1">
        <f t="shared" si="309"/>
        <v>13817</v>
      </c>
    </row>
    <row r="3927" spans="1:14" x14ac:dyDescent="0.3">
      <c r="A3927" s="1">
        <v>13818</v>
      </c>
      <c r="B3927" s="7" t="s">
        <v>6013</v>
      </c>
      <c r="C3927" s="12">
        <v>9701</v>
      </c>
      <c r="D3927" s="7" t="s">
        <v>6014</v>
      </c>
      <c r="E3927" s="13" t="s">
        <v>4996</v>
      </c>
      <c r="F3927" t="str">
        <f t="shared" si="305"/>
        <v>Dale</v>
      </c>
      <c r="G3927" t="str">
        <f t="shared" si="306"/>
        <v>Dale9701Dallas</v>
      </c>
      <c r="H3927" t="s">
        <v>34785</v>
      </c>
      <c r="I3927" t="s">
        <v>26209</v>
      </c>
      <c r="J3927" t="str">
        <f t="shared" si="307"/>
        <v>E:\PropInv\MF</v>
      </c>
      <c r="K3927" s="103" t="str">
        <f>HYPERLINK("E:\PropInv\MF\Dallas\Dale Crest_9701_Park Dale Garden_Dallas_13818","Dale Crest_9701_Park Dale Garden_Dallas_13818" )</f>
        <v>Dale Crest_9701_Park Dale Garden_Dallas_13818</v>
      </c>
      <c r="L3927" s="104" t="s">
        <v>22253</v>
      </c>
      <c r="M3927" s="103" t="str">
        <f t="shared" si="308"/>
        <v>http://oconnordata.com/mlink/modules/profile/index.cfm?action=profile&amp;prop_id=13818</v>
      </c>
      <c r="N3927" s="1">
        <f t="shared" si="309"/>
        <v>13818</v>
      </c>
    </row>
    <row r="3928" spans="1:14" x14ac:dyDescent="0.3">
      <c r="A3928" s="1">
        <v>13819</v>
      </c>
      <c r="B3928" s="7" t="s">
        <v>6015</v>
      </c>
      <c r="C3928" s="12">
        <v>11907</v>
      </c>
      <c r="D3928" s="7" t="s">
        <v>6016</v>
      </c>
      <c r="E3928" s="13" t="s">
        <v>4996</v>
      </c>
      <c r="F3928" t="str">
        <f t="shared" si="305"/>
        <v>Greenville</v>
      </c>
      <c r="G3928" t="str">
        <f t="shared" si="306"/>
        <v>Greenville11907Dallas</v>
      </c>
      <c r="H3928" t="s">
        <v>34786</v>
      </c>
      <c r="I3928" t="s">
        <v>26210</v>
      </c>
      <c r="J3928" t="str">
        <f t="shared" si="307"/>
        <v>E:\PropInv\MF</v>
      </c>
      <c r="K3928" s="103" t="str">
        <f>HYPERLINK("E:\PropInv\MF\Dallas\Greenville Ave_11907_West Park (Demolished)_Dallas_13819","Greenville Ave_11907_West Park (Demolished)_Dallas_13819" )</f>
        <v>Greenville Ave_11907_West Park (Demolished)_Dallas_13819</v>
      </c>
      <c r="L3928" s="104" t="s">
        <v>22253</v>
      </c>
      <c r="M3928" s="103" t="str">
        <f t="shared" si="308"/>
        <v>http://oconnordata.com/mlink/modules/profile/index.cfm?action=profile&amp;prop_id=13819</v>
      </c>
      <c r="N3928" s="1">
        <f t="shared" si="309"/>
        <v>13819</v>
      </c>
    </row>
    <row r="3929" spans="1:14" x14ac:dyDescent="0.3">
      <c r="A3929" s="1">
        <v>13820</v>
      </c>
      <c r="B3929" s="7" t="s">
        <v>6017</v>
      </c>
      <c r="C3929" s="12">
        <v>3626</v>
      </c>
      <c r="D3929" s="7" t="s">
        <v>6018</v>
      </c>
      <c r="E3929" s="13" t="s">
        <v>4996</v>
      </c>
      <c r="F3929" t="str">
        <f t="shared" si="305"/>
        <v>Villaverde</v>
      </c>
      <c r="G3929" t="str">
        <f t="shared" si="306"/>
        <v>Villaverde3626Dallas</v>
      </c>
      <c r="H3929" t="s">
        <v>34787</v>
      </c>
      <c r="I3929" t="s">
        <v>26211</v>
      </c>
      <c r="J3929" t="str">
        <f t="shared" si="307"/>
        <v>E:\PropInv\MF</v>
      </c>
      <c r="K3929" s="103" t="str">
        <f>HYPERLINK("E:\PropInv\MF\Dallas\Villaverde Ave_3626_Park Forest_Dallas_13820","Villaverde Ave_3626_Park Forest_Dallas_13820" )</f>
        <v>Villaverde Ave_3626_Park Forest_Dallas_13820</v>
      </c>
      <c r="L3929" s="104" t="s">
        <v>22253</v>
      </c>
      <c r="M3929" s="103" t="str">
        <f t="shared" si="308"/>
        <v>http://oconnordata.com/mlink/modules/profile/index.cfm?action=profile&amp;prop_id=13820</v>
      </c>
      <c r="N3929" s="1">
        <f t="shared" si="309"/>
        <v>13820</v>
      </c>
    </row>
    <row r="3930" spans="1:14" x14ac:dyDescent="0.3">
      <c r="A3930" s="1">
        <v>13821</v>
      </c>
      <c r="B3930" s="7" t="s">
        <v>6019</v>
      </c>
      <c r="C3930" s="12">
        <v>4211</v>
      </c>
      <c r="D3930" s="7" t="s">
        <v>6020</v>
      </c>
      <c r="E3930" s="13" t="s">
        <v>4996</v>
      </c>
      <c r="F3930" t="str">
        <f t="shared" si="305"/>
        <v>Cabell</v>
      </c>
      <c r="G3930" t="str">
        <f t="shared" si="306"/>
        <v>Cabell4211Dallas</v>
      </c>
      <c r="H3930" t="s">
        <v>34788</v>
      </c>
      <c r="I3930" t="s">
        <v>26212</v>
      </c>
      <c r="J3930" t="str">
        <f t="shared" si="307"/>
        <v>E:\PropInv\MF</v>
      </c>
      <c r="K3930" s="103" t="str">
        <f>HYPERLINK("E:\PropInv\MF\Dallas\Cabell Dr_4211_Park Gates of City Place_Dallas_13821","Cabell Dr_4211_Park Gates of City Place_Dallas_13821" )</f>
        <v>Cabell Dr_4211_Park Gates of City Place_Dallas_13821</v>
      </c>
      <c r="L3930" s="104" t="s">
        <v>22253</v>
      </c>
      <c r="M3930" s="103" t="str">
        <f t="shared" si="308"/>
        <v>http://oconnordata.com/mlink/modules/profile/index.cfm?action=profile&amp;prop_id=13821</v>
      </c>
      <c r="N3930" s="1">
        <f t="shared" si="309"/>
        <v>13821</v>
      </c>
    </row>
    <row r="3931" spans="1:14" x14ac:dyDescent="0.3">
      <c r="A3931" s="1">
        <v>13822</v>
      </c>
      <c r="B3931" s="7" t="s">
        <v>5024</v>
      </c>
      <c r="C3931" s="12">
        <v>5349</v>
      </c>
      <c r="D3931" s="7" t="s">
        <v>294</v>
      </c>
      <c r="E3931" s="13" t="s">
        <v>4996</v>
      </c>
      <c r="F3931" t="str">
        <f t="shared" si="305"/>
        <v>Amesbury</v>
      </c>
      <c r="G3931" t="str">
        <f t="shared" si="306"/>
        <v>Amesbury5349Dallas</v>
      </c>
      <c r="H3931" t="s">
        <v>34789</v>
      </c>
      <c r="I3931" t="s">
        <v>26213</v>
      </c>
      <c r="J3931" t="str">
        <f t="shared" si="307"/>
        <v>E:\PropInv\MF</v>
      </c>
      <c r="K3931" s="103" t="str">
        <f>HYPERLINK("E:\PropInv\MF\Dallas\Amesbury Dr_5349_The Park_Dallas_13822","Amesbury Dr_5349_The Park_Dallas_13822" )</f>
        <v>Amesbury Dr_5349_The Park_Dallas_13822</v>
      </c>
      <c r="L3931" s="104" t="s">
        <v>22253</v>
      </c>
      <c r="M3931" s="103" t="str">
        <f t="shared" si="308"/>
        <v>http://oconnordata.com/mlink/modules/profile/index.cfm?action=profile&amp;prop_id=13822</v>
      </c>
      <c r="N3931" s="1">
        <f t="shared" si="309"/>
        <v>13822</v>
      </c>
    </row>
    <row r="3932" spans="1:14" x14ac:dyDescent="0.3">
      <c r="A3932" s="1">
        <v>13823</v>
      </c>
      <c r="B3932" s="7" t="s">
        <v>6021</v>
      </c>
      <c r="C3932" s="12">
        <v>4117</v>
      </c>
      <c r="D3932" s="7" t="s">
        <v>6022</v>
      </c>
      <c r="E3932" s="13" t="s">
        <v>4996</v>
      </c>
      <c r="F3932" t="str">
        <f t="shared" si="305"/>
        <v>Lovers</v>
      </c>
      <c r="G3932" t="str">
        <f t="shared" si="306"/>
        <v>Lovers4117Dallas</v>
      </c>
      <c r="H3932" t="s">
        <v>34790</v>
      </c>
      <c r="I3932" t="s">
        <v>26214</v>
      </c>
      <c r="J3932" t="str">
        <f t="shared" si="307"/>
        <v>E:\PropInv\MF</v>
      </c>
      <c r="K3932" s="103" t="str">
        <f>HYPERLINK("E:\PropInv\MF\Dallas\Lovers Ln_4117_Park Lane_Dallas_13823","Lovers Ln_4117_Park Lane_Dallas_13823" )</f>
        <v>Lovers Ln_4117_Park Lane_Dallas_13823</v>
      </c>
      <c r="L3932" s="104" t="s">
        <v>22253</v>
      </c>
      <c r="M3932" s="103" t="str">
        <f t="shared" si="308"/>
        <v>http://oconnordata.com/mlink/modules/profile/index.cfm?action=profile&amp;prop_id=13823</v>
      </c>
      <c r="N3932" s="1">
        <f t="shared" si="309"/>
        <v>13823</v>
      </c>
    </row>
    <row r="3933" spans="1:14" x14ac:dyDescent="0.3">
      <c r="A3933" s="1">
        <v>13824</v>
      </c>
      <c r="B3933" s="7" t="s">
        <v>5322</v>
      </c>
      <c r="C3933" s="12">
        <v>3040</v>
      </c>
      <c r="D3933" s="7" t="s">
        <v>6023</v>
      </c>
      <c r="E3933" s="13" t="s">
        <v>4996</v>
      </c>
      <c r="F3933" t="str">
        <f t="shared" si="305"/>
        <v>Park</v>
      </c>
      <c r="G3933" t="str">
        <f t="shared" si="306"/>
        <v>Park3040Dallas</v>
      </c>
      <c r="H3933" t="s">
        <v>34791</v>
      </c>
      <c r="I3933" t="s">
        <v>26215</v>
      </c>
      <c r="J3933" t="str">
        <f t="shared" si="307"/>
        <v>E:\PropInv\MF</v>
      </c>
      <c r="K3933" s="103" t="str">
        <f>HYPERLINK("E:\PropInv\MF\Dallas\Park Ln_3040_Park Lane Village_Dallas_13824","Park Ln_3040_Park Lane Village_Dallas_13824" )</f>
        <v>Park Ln_3040_Park Lane Village_Dallas_13824</v>
      </c>
      <c r="L3933" s="104" t="s">
        <v>22253</v>
      </c>
      <c r="M3933" s="103" t="str">
        <f t="shared" si="308"/>
        <v>http://oconnordata.com/mlink/modules/profile/index.cfm?action=profile&amp;prop_id=13824</v>
      </c>
      <c r="N3933" s="1">
        <f t="shared" si="309"/>
        <v>13824</v>
      </c>
    </row>
    <row r="3934" spans="1:14" x14ac:dyDescent="0.3">
      <c r="A3934" s="1">
        <v>13825</v>
      </c>
      <c r="B3934" s="19" t="s">
        <v>5408</v>
      </c>
      <c r="C3934" s="12">
        <v>2934</v>
      </c>
      <c r="D3934" s="7" t="s">
        <v>6024</v>
      </c>
      <c r="E3934" s="13" t="s">
        <v>5046</v>
      </c>
      <c r="F3934" t="str">
        <f t="shared" si="305"/>
        <v>Pioneer</v>
      </c>
      <c r="G3934" t="str">
        <f t="shared" si="306"/>
        <v>Pioneer2934Irving</v>
      </c>
      <c r="H3934" t="s">
        <v>34792</v>
      </c>
      <c r="I3934" t="s">
        <v>26216</v>
      </c>
      <c r="J3934" t="str">
        <f t="shared" si="307"/>
        <v>E:\PropInv\MF</v>
      </c>
      <c r="K3934" s="103" t="str">
        <f>HYPERLINK("E:\PropInv\MF\Irving\Pioneer Dr W_2934_Park Manor_Irving_13825","Pioneer Dr W_2934_Park Manor_Irving_13825" )</f>
        <v>Pioneer Dr W_2934_Park Manor_Irving_13825</v>
      </c>
      <c r="L3934" s="104" t="s">
        <v>22253</v>
      </c>
      <c r="M3934" s="103" t="str">
        <f t="shared" si="308"/>
        <v>http://oconnordata.com/mlink/modules/profile/index.cfm?action=profile&amp;prop_id=13825</v>
      </c>
      <c r="N3934" s="1">
        <f t="shared" si="309"/>
        <v>13825</v>
      </c>
    </row>
    <row r="3935" spans="1:14" x14ac:dyDescent="0.3">
      <c r="A3935" s="1">
        <v>13826</v>
      </c>
      <c r="B3935" s="7" t="s">
        <v>4889</v>
      </c>
      <c r="C3935" s="12">
        <v>4423</v>
      </c>
      <c r="D3935" s="7" t="s">
        <v>6025</v>
      </c>
      <c r="E3935" s="13" t="s">
        <v>4996</v>
      </c>
      <c r="F3935" t="str">
        <f t="shared" si="305"/>
        <v>Cole</v>
      </c>
      <c r="G3935" t="str">
        <f t="shared" si="306"/>
        <v>Cole4423Dallas</v>
      </c>
      <c r="H3935" t="s">
        <v>34793</v>
      </c>
      <c r="I3935" t="s">
        <v>26217</v>
      </c>
      <c r="J3935" t="str">
        <f t="shared" si="307"/>
        <v>E:\PropInv\MF</v>
      </c>
      <c r="K3935" s="103" t="str">
        <f>HYPERLINK("E:\PropInv\MF\Dallas\Cole Ave_4423_Park Mulberry_Dallas_13826","Cole Ave_4423_Park Mulberry_Dallas_13826" )</f>
        <v>Cole Ave_4423_Park Mulberry_Dallas_13826</v>
      </c>
      <c r="L3935" s="104" t="s">
        <v>22253</v>
      </c>
      <c r="M3935" s="103" t="str">
        <f t="shared" si="308"/>
        <v>http://oconnordata.com/mlink/modules/profile/index.cfm?action=profile&amp;prop_id=13826</v>
      </c>
      <c r="N3935" s="1">
        <f t="shared" si="309"/>
        <v>13826</v>
      </c>
    </row>
    <row r="3936" spans="1:14" x14ac:dyDescent="0.3">
      <c r="A3936" s="1">
        <v>13827</v>
      </c>
      <c r="B3936" s="7" t="s">
        <v>6026</v>
      </c>
      <c r="C3936" s="12">
        <v>9221</v>
      </c>
      <c r="D3936" s="7" t="s">
        <v>6027</v>
      </c>
      <c r="E3936" s="13" t="s">
        <v>4996</v>
      </c>
      <c r="F3936" t="str">
        <f t="shared" si="305"/>
        <v>Amberton</v>
      </c>
      <c r="G3936" t="str">
        <f t="shared" si="306"/>
        <v>Amberton9221Dallas</v>
      </c>
      <c r="H3936" t="s">
        <v>34794</v>
      </c>
      <c r="I3936" t="s">
        <v>26218</v>
      </c>
      <c r="J3936" t="str">
        <f t="shared" si="307"/>
        <v>E:\PropInv\MF</v>
      </c>
      <c r="K3936" s="103" t="str">
        <f>HYPERLINK("E:\PropInv\MF\Dallas\Amberton Pkwy_9221_The Park On Greenville_Dallas_13827","Amberton Pkwy_9221_The Park On Greenville_Dallas_13827" )</f>
        <v>Amberton Pkwy_9221_The Park On Greenville_Dallas_13827</v>
      </c>
      <c r="L3936" s="104" t="s">
        <v>22253</v>
      </c>
      <c r="M3936" s="103" t="str">
        <f t="shared" si="308"/>
        <v>http://oconnordata.com/mlink/modules/profile/index.cfm?action=profile&amp;prop_id=13827</v>
      </c>
      <c r="N3936" s="1">
        <f t="shared" si="309"/>
        <v>13827</v>
      </c>
    </row>
    <row r="3937" spans="1:14" x14ac:dyDescent="0.3">
      <c r="A3937" s="1">
        <v>13828</v>
      </c>
      <c r="B3937" s="7" t="s">
        <v>5268</v>
      </c>
      <c r="C3937" s="12">
        <v>4141</v>
      </c>
      <c r="D3937" s="7" t="s">
        <v>6028</v>
      </c>
      <c r="E3937" s="13" t="s">
        <v>4996</v>
      </c>
      <c r="F3937" t="str">
        <f t="shared" si="305"/>
        <v>Rosemeade</v>
      </c>
      <c r="G3937" t="str">
        <f t="shared" si="306"/>
        <v>Rosemeade4141Dallas</v>
      </c>
      <c r="H3937" t="s">
        <v>34795</v>
      </c>
      <c r="I3937" t="s">
        <v>26219</v>
      </c>
      <c r="J3937" t="str">
        <f t="shared" si="307"/>
        <v>E:\PropInv\MF</v>
      </c>
      <c r="K3937" s="103" t="str">
        <f>HYPERLINK("E:\PropInv\MF\Dallas\Rosemeade Pkwy_4141_The Park On Rosemeade_Dallas_13828","Rosemeade Pkwy_4141_The Park On Rosemeade_Dallas_13828" )</f>
        <v>Rosemeade Pkwy_4141_The Park On Rosemeade_Dallas_13828</v>
      </c>
      <c r="L3937" s="104" t="s">
        <v>22253</v>
      </c>
      <c r="M3937" s="103" t="str">
        <f t="shared" si="308"/>
        <v>http://oconnordata.com/mlink/modules/profile/index.cfm?action=profile&amp;prop_id=13828</v>
      </c>
      <c r="N3937" s="1">
        <f t="shared" si="309"/>
        <v>13828</v>
      </c>
    </row>
    <row r="3938" spans="1:14" x14ac:dyDescent="0.3">
      <c r="A3938" s="1">
        <v>13829</v>
      </c>
      <c r="B3938" s="7" t="s">
        <v>5322</v>
      </c>
      <c r="C3938" s="12">
        <v>3155</v>
      </c>
      <c r="D3938" s="7" t="s">
        <v>548</v>
      </c>
      <c r="E3938" s="13" t="s">
        <v>4996</v>
      </c>
      <c r="F3938" t="str">
        <f t="shared" si="305"/>
        <v>Park</v>
      </c>
      <c r="G3938" t="str">
        <f t="shared" si="306"/>
        <v>Park3155Dallas</v>
      </c>
      <c r="H3938" t="s">
        <v>34796</v>
      </c>
      <c r="I3938" t="s">
        <v>26220</v>
      </c>
      <c r="J3938" t="str">
        <f t="shared" si="307"/>
        <v>E:\PropInv\MF</v>
      </c>
      <c r="K3938" s="103" t="str">
        <f>HYPERLINK("E:\PropInv\MF\Dallas\Park Ln_3155_Park Place_Dallas_13829","Park Ln_3155_Park Place_Dallas_13829" )</f>
        <v>Park Ln_3155_Park Place_Dallas_13829</v>
      </c>
      <c r="L3938" s="104" t="s">
        <v>22253</v>
      </c>
      <c r="M3938" s="103" t="str">
        <f t="shared" si="308"/>
        <v>http://oconnordata.com/mlink/modules/profile/index.cfm?action=profile&amp;prop_id=13829</v>
      </c>
      <c r="N3938" s="1">
        <f t="shared" si="309"/>
        <v>13829</v>
      </c>
    </row>
    <row r="3939" spans="1:14" x14ac:dyDescent="0.3">
      <c r="A3939" s="1">
        <v>13830</v>
      </c>
      <c r="B3939" s="10" t="s">
        <v>6029</v>
      </c>
      <c r="C3939" s="9">
        <v>13005</v>
      </c>
      <c r="D3939" s="10" t="s">
        <v>291</v>
      </c>
      <c r="E3939" s="11" t="s">
        <v>4996</v>
      </c>
      <c r="F3939" t="str">
        <f t="shared" si="305"/>
        <v>Meandering</v>
      </c>
      <c r="G3939" t="str">
        <f t="shared" si="306"/>
        <v>Meandering13005Dallas</v>
      </c>
      <c r="H3939" t="s">
        <v>34797</v>
      </c>
      <c r="I3939" t="s">
        <v>15219</v>
      </c>
      <c r="J3939" t="str">
        <f t="shared" si="307"/>
        <v>E:\PropInv\MF</v>
      </c>
      <c r="K3939" s="103" t="str">
        <f>HYPERLINK("E:\PropInv\MF\Dallas\Meandering Way_13005_Park Plaza_Dallas_13830","Meandering Way_13005_Park Plaza_Dallas_13830" )</f>
        <v>Meandering Way_13005_Park Plaza_Dallas_13830</v>
      </c>
      <c r="L3939" s="104" t="s">
        <v>22253</v>
      </c>
      <c r="M3939" s="103" t="str">
        <f t="shared" si="308"/>
        <v>http://oconnordata.com/mlink/modules/profile/index.cfm?action=profile&amp;prop_id=13830</v>
      </c>
      <c r="N3939" s="1">
        <f t="shared" si="309"/>
        <v>13830</v>
      </c>
    </row>
    <row r="3940" spans="1:14" x14ac:dyDescent="0.3">
      <c r="A3940" s="1">
        <v>13831</v>
      </c>
      <c r="B3940" s="10" t="s">
        <v>5322</v>
      </c>
      <c r="C3940" s="9">
        <v>8780</v>
      </c>
      <c r="D3940" s="10" t="s">
        <v>6030</v>
      </c>
      <c r="E3940" s="11" t="s">
        <v>4996</v>
      </c>
      <c r="F3940" t="str">
        <f t="shared" si="305"/>
        <v>Park</v>
      </c>
      <c r="G3940" t="str">
        <f t="shared" si="306"/>
        <v>Park8780Dallas</v>
      </c>
      <c r="H3940" t="s">
        <v>34798</v>
      </c>
      <c r="I3940" t="s">
        <v>26221</v>
      </c>
      <c r="J3940" t="str">
        <f t="shared" si="307"/>
        <v>E:\PropInv\MF</v>
      </c>
      <c r="K3940" s="103" t="str">
        <f>HYPERLINK("E:\PropInv\MF\Dallas\Park Ln_8780_Serendipity_Dallas_13831","Park Ln_8780_Serendipity_Dallas_13831" )</f>
        <v>Park Ln_8780_Serendipity_Dallas_13831</v>
      </c>
      <c r="L3940" s="104" t="s">
        <v>22253</v>
      </c>
      <c r="M3940" s="103" t="str">
        <f t="shared" si="308"/>
        <v>http://oconnordata.com/mlink/modules/profile/index.cfm?action=profile&amp;prop_id=13831</v>
      </c>
      <c r="N3940" s="1">
        <f t="shared" si="309"/>
        <v>13831</v>
      </c>
    </row>
    <row r="3941" spans="1:14" x14ac:dyDescent="0.3">
      <c r="A3941" s="1">
        <v>13832</v>
      </c>
      <c r="B3941" s="10" t="s">
        <v>6031</v>
      </c>
      <c r="C3941" s="9">
        <v>2002</v>
      </c>
      <c r="D3941" s="10" t="s">
        <v>6032</v>
      </c>
      <c r="E3941" s="11" t="s">
        <v>5046</v>
      </c>
      <c r="F3941" t="str">
        <f t="shared" si="305"/>
        <v>Irving</v>
      </c>
      <c r="G3941" t="str">
        <f t="shared" si="306"/>
        <v>Irving2002Irving</v>
      </c>
      <c r="H3941" t="s">
        <v>34799</v>
      </c>
      <c r="I3941" t="s">
        <v>26222</v>
      </c>
      <c r="J3941" t="str">
        <f t="shared" si="307"/>
        <v>E:\PropInv\MF</v>
      </c>
      <c r="K3941" s="103" t="str">
        <f>HYPERLINK("E:\PropInv\MF\Irving\Irving W_2002_Park Springs_Irving_13832","Irving W_2002_Park Springs_Irving_13832" )</f>
        <v>Irving W_2002_Park Springs_Irving_13832</v>
      </c>
      <c r="L3941" s="104" t="s">
        <v>22253</v>
      </c>
      <c r="M3941" s="103" t="str">
        <f t="shared" si="308"/>
        <v>http://oconnordata.com/mlink/modules/profile/index.cfm?action=profile&amp;prop_id=13832</v>
      </c>
      <c r="N3941" s="1">
        <f t="shared" si="309"/>
        <v>13832</v>
      </c>
    </row>
    <row r="3942" spans="1:14" x14ac:dyDescent="0.3">
      <c r="A3942" s="1">
        <v>13833</v>
      </c>
      <c r="B3942" s="7" t="s">
        <v>6033</v>
      </c>
      <c r="C3942" s="12">
        <v>1902</v>
      </c>
      <c r="D3942" s="7" t="s">
        <v>6034</v>
      </c>
      <c r="E3942" s="13" t="s">
        <v>5055</v>
      </c>
      <c r="F3942" t="str">
        <f t="shared" si="305"/>
        <v>121</v>
      </c>
      <c r="G3942" t="str">
        <f t="shared" si="306"/>
        <v>1211902Lewisville</v>
      </c>
      <c r="H3942" t="s">
        <v>34800</v>
      </c>
      <c r="I3942" t="s">
        <v>26223</v>
      </c>
      <c r="J3942" t="str">
        <f t="shared" si="307"/>
        <v>E:\PropInv\MF</v>
      </c>
      <c r="K3942" s="103" t="str">
        <f>HYPERLINK("E:\PropInv\MF\Lewisville\121 Hwy S_1902_The Place at Park Timbers_Lewisville_13833","121 Hwy S_1902_The Place at Park Timbers_Lewisville_13833" )</f>
        <v>121 Hwy S_1902_The Place at Park Timbers_Lewisville_13833</v>
      </c>
      <c r="L3942" s="104" t="s">
        <v>22253</v>
      </c>
      <c r="M3942" s="103" t="str">
        <f t="shared" si="308"/>
        <v>http://oconnordata.com/mlink/modules/profile/index.cfm?action=profile&amp;prop_id=13833</v>
      </c>
      <c r="N3942" s="1">
        <f t="shared" si="309"/>
        <v>13833</v>
      </c>
    </row>
    <row r="3943" spans="1:14" x14ac:dyDescent="0.3">
      <c r="A3943" s="1">
        <v>13834</v>
      </c>
      <c r="B3943" s="10" t="s">
        <v>6035</v>
      </c>
      <c r="C3943" s="9">
        <v>333</v>
      </c>
      <c r="D3943" s="10" t="s">
        <v>6036</v>
      </c>
      <c r="E3943" s="11" t="s">
        <v>3328</v>
      </c>
      <c r="F3943" t="str">
        <f t="shared" si="305"/>
        <v>Prestonwood</v>
      </c>
      <c r="G3943" t="str">
        <f t="shared" si="306"/>
        <v>Prestonwood333Richardson</v>
      </c>
      <c r="H3943" t="s">
        <v>34801</v>
      </c>
      <c r="I3943" t="s">
        <v>26224</v>
      </c>
      <c r="J3943" t="str">
        <f t="shared" si="307"/>
        <v>E:\PropInv\MF</v>
      </c>
      <c r="K3943" s="103" t="str">
        <f>HYPERLINK("E:\PropInv\MF\Richardson\Prestonwood Dr_333_Mission Prestonwood_Richardson_13834","Prestonwood Dr_333_Mission Prestonwood_Richardson_13834" )</f>
        <v>Prestonwood Dr_333_Mission Prestonwood_Richardson_13834</v>
      </c>
      <c r="L3943" s="104" t="s">
        <v>22253</v>
      </c>
      <c r="M3943" s="103" t="str">
        <f t="shared" si="308"/>
        <v>http://oconnordata.com/mlink/modules/profile/index.cfm?action=profile&amp;prop_id=13834</v>
      </c>
      <c r="N3943" s="1">
        <f t="shared" si="309"/>
        <v>13834</v>
      </c>
    </row>
    <row r="3944" spans="1:14" x14ac:dyDescent="0.3">
      <c r="A3944" s="1">
        <v>13835</v>
      </c>
      <c r="B3944" s="10" t="s">
        <v>6037</v>
      </c>
      <c r="C3944" s="9">
        <v>3035</v>
      </c>
      <c r="D3944" s="10" t="s">
        <v>6038</v>
      </c>
      <c r="E3944" s="11" t="s">
        <v>4996</v>
      </c>
      <c r="F3944" t="str">
        <f t="shared" si="305"/>
        <v>Pentagon</v>
      </c>
      <c r="G3944" t="str">
        <f t="shared" si="306"/>
        <v>Pentagon3035Dallas</v>
      </c>
      <c r="H3944" t="s">
        <v>34802</v>
      </c>
      <c r="I3944" t="s">
        <v>26225</v>
      </c>
      <c r="J3944" t="str">
        <f t="shared" si="307"/>
        <v>E:\PropInv\MF</v>
      </c>
      <c r="K3944" s="103" t="str">
        <f>HYPERLINK("E:\PropInv\MF\Dallas\Pentagon Pkwy_3035_Tierra Linda_Dallas_13835","Pentagon Pkwy_3035_Tierra Linda_Dallas_13835" )</f>
        <v>Pentagon Pkwy_3035_Tierra Linda_Dallas_13835</v>
      </c>
      <c r="L3944" s="104" t="s">
        <v>22253</v>
      </c>
      <c r="M3944" s="103" t="str">
        <f t="shared" si="308"/>
        <v>http://oconnordata.com/mlink/modules/profile/index.cfm?action=profile&amp;prop_id=13835</v>
      </c>
      <c r="N3944" s="1">
        <f t="shared" si="309"/>
        <v>13835</v>
      </c>
    </row>
    <row r="3945" spans="1:14" x14ac:dyDescent="0.3">
      <c r="A3945" s="1">
        <v>13836</v>
      </c>
      <c r="B3945" s="10" t="s">
        <v>6039</v>
      </c>
      <c r="C3945" s="9">
        <v>3443</v>
      </c>
      <c r="D3945" s="10" t="s">
        <v>6040</v>
      </c>
      <c r="E3945" s="11" t="s">
        <v>4996</v>
      </c>
      <c r="F3945" t="str">
        <f t="shared" si="305"/>
        <v>Mahanna</v>
      </c>
      <c r="G3945" t="str">
        <f t="shared" si="306"/>
        <v>Mahanna3443Dallas</v>
      </c>
      <c r="H3945" t="s">
        <v>34803</v>
      </c>
      <c r="I3945" t="s">
        <v>26226</v>
      </c>
      <c r="J3945" t="str">
        <f t="shared" si="307"/>
        <v>E:\PropInv\MF</v>
      </c>
      <c r="K3945" s="103" t="str">
        <f>HYPERLINK("E:\PropInv\MF\Dallas\Mahanna St_3443_Parkford Oaks_Dallas_13836","Mahanna St_3443_Parkford Oaks_Dallas_13836" )</f>
        <v>Mahanna St_3443_Parkford Oaks_Dallas_13836</v>
      </c>
      <c r="L3945" s="104" t="s">
        <v>22253</v>
      </c>
      <c r="M3945" s="103" t="str">
        <f t="shared" si="308"/>
        <v>http://oconnordata.com/mlink/modules/profile/index.cfm?action=profile&amp;prop_id=13836</v>
      </c>
      <c r="N3945" s="1">
        <f t="shared" si="309"/>
        <v>13836</v>
      </c>
    </row>
    <row r="3946" spans="1:14" x14ac:dyDescent="0.3">
      <c r="A3946" s="1">
        <v>13837</v>
      </c>
      <c r="B3946" s="10" t="s">
        <v>6041</v>
      </c>
      <c r="C3946" s="9">
        <v>7300</v>
      </c>
      <c r="D3946" s="10" t="s">
        <v>6042</v>
      </c>
      <c r="E3946" s="11" t="s">
        <v>5046</v>
      </c>
      <c r="F3946" t="str">
        <f t="shared" si="305"/>
        <v>Parkridge</v>
      </c>
      <c r="G3946" t="str">
        <f t="shared" si="306"/>
        <v>Parkridge7300Irving</v>
      </c>
      <c r="H3946" t="s">
        <v>34804</v>
      </c>
      <c r="I3946" t="s">
        <v>26227</v>
      </c>
      <c r="J3946" t="str">
        <f t="shared" si="307"/>
        <v>E:\PropInv\MF</v>
      </c>
      <c r="K3946" s="103" t="str">
        <f>HYPERLINK("E:\PropInv\MF\Irving\Parkridge Blvd_7300_Parkridge Place at Las Colinas_Irving_13837","Parkridge Blvd_7300_Parkridge Place at Las Colinas_Irving_13837" )</f>
        <v>Parkridge Blvd_7300_Parkridge Place at Las Colinas_Irving_13837</v>
      </c>
      <c r="L3946" s="104" t="s">
        <v>22253</v>
      </c>
      <c r="M3946" s="103" t="str">
        <f t="shared" si="308"/>
        <v>http://oconnordata.com/mlink/modules/profile/index.cfm?action=profile&amp;prop_id=13837</v>
      </c>
      <c r="N3946" s="1">
        <f t="shared" si="309"/>
        <v>13837</v>
      </c>
    </row>
    <row r="3947" spans="1:14" x14ac:dyDescent="0.3">
      <c r="A3947" s="1">
        <v>13838</v>
      </c>
      <c r="B3947" s="10" t="s">
        <v>6043</v>
      </c>
      <c r="C3947" s="9">
        <v>4554</v>
      </c>
      <c r="D3947" s="10" t="s">
        <v>6044</v>
      </c>
      <c r="E3947" s="11" t="s">
        <v>4996</v>
      </c>
      <c r="F3947" t="str">
        <f t="shared" si="305"/>
        <v>Glenwick</v>
      </c>
      <c r="G3947" t="str">
        <f t="shared" si="306"/>
        <v>Glenwick4554Dallas</v>
      </c>
      <c r="H3947" t="s">
        <v>34805</v>
      </c>
      <c r="I3947" t="s">
        <v>26228</v>
      </c>
      <c r="J3947" t="str">
        <f t="shared" si="307"/>
        <v>E:\PropInv\MF</v>
      </c>
      <c r="K3947" s="103" t="str">
        <f>HYPERLINK("E:\PropInv\MF\Dallas\Glenwick Ln_4554_Parks Edge_Dallas_13838","Glenwick Ln_4554_Parks Edge_Dallas_13838" )</f>
        <v>Glenwick Ln_4554_Parks Edge_Dallas_13838</v>
      </c>
      <c r="L3947" s="104" t="s">
        <v>22253</v>
      </c>
      <c r="M3947" s="103" t="str">
        <f t="shared" si="308"/>
        <v>http://oconnordata.com/mlink/modules/profile/index.cfm?action=profile&amp;prop_id=13838</v>
      </c>
      <c r="N3947" s="1">
        <f t="shared" si="309"/>
        <v>13838</v>
      </c>
    </row>
    <row r="3948" spans="1:14" x14ac:dyDescent="0.3">
      <c r="A3948" s="1">
        <v>13839</v>
      </c>
      <c r="B3948" s="10" t="s">
        <v>5988</v>
      </c>
      <c r="C3948" s="9">
        <v>1115</v>
      </c>
      <c r="D3948" s="10" t="s">
        <v>1261</v>
      </c>
      <c r="E3948" s="11" t="s">
        <v>5046</v>
      </c>
      <c r="F3948" t="str">
        <f t="shared" si="305"/>
        <v>O'Connor</v>
      </c>
      <c r="G3948" t="str">
        <f t="shared" si="306"/>
        <v>O'Connor1115Irving</v>
      </c>
      <c r="H3948" t="s">
        <v>34806</v>
      </c>
      <c r="I3948" t="s">
        <v>26229</v>
      </c>
      <c r="J3948" t="str">
        <f t="shared" si="307"/>
        <v>E:\PropInv\MF</v>
      </c>
      <c r="K3948" s="103" t="str">
        <f>HYPERLINK("E:\PropInv\MF\Irving\O'Connor N_1115_Parkside_Irving_13839","O'Connor N_1115_Parkside_Irving_13839" )</f>
        <v>O'Connor N_1115_Parkside_Irving_13839</v>
      </c>
      <c r="L3948" s="104" t="s">
        <v>22253</v>
      </c>
      <c r="M3948" s="103" t="str">
        <f t="shared" si="308"/>
        <v>http://oconnordata.com/mlink/modules/profile/index.cfm?action=profile&amp;prop_id=13839</v>
      </c>
      <c r="N3948" s="1">
        <f t="shared" si="309"/>
        <v>13839</v>
      </c>
    </row>
    <row r="3949" spans="1:14" x14ac:dyDescent="0.3">
      <c r="A3949" s="1">
        <v>13840</v>
      </c>
      <c r="B3949" s="7" t="s">
        <v>6045</v>
      </c>
      <c r="C3949" s="12">
        <v>4000</v>
      </c>
      <c r="D3949" s="7" t="s">
        <v>6046</v>
      </c>
      <c r="E3949" s="13" t="s">
        <v>5198</v>
      </c>
      <c r="F3949" t="str">
        <f t="shared" si="305"/>
        <v>Parkside</v>
      </c>
      <c r="G3949" t="str">
        <f t="shared" si="306"/>
        <v>Parkside4000Farmers Branch</v>
      </c>
      <c r="H3949" t="s">
        <v>34807</v>
      </c>
      <c r="I3949" t="s">
        <v>26230</v>
      </c>
      <c r="J3949" t="str">
        <f t="shared" si="307"/>
        <v>E:\PropInv\MF</v>
      </c>
      <c r="K3949" s="103" t="str">
        <f>HYPERLINK("E:\PropInv\MF\Farmers Branch\Parkside Center Blvd_4000_Villas at Parkside_Farmers Branch_13840","Parkside Center Blvd_4000_Villas at Parkside_Farmers Branch_13840" )</f>
        <v>Parkside Center Blvd_4000_Villas at Parkside_Farmers Branch_13840</v>
      </c>
      <c r="L3949" s="104" t="s">
        <v>22253</v>
      </c>
      <c r="M3949" s="103" t="str">
        <f t="shared" si="308"/>
        <v>http://oconnordata.com/mlink/modules/profile/index.cfm?action=profile&amp;prop_id=13840</v>
      </c>
      <c r="N3949" s="1">
        <f t="shared" si="309"/>
        <v>13840</v>
      </c>
    </row>
    <row r="3950" spans="1:14" x14ac:dyDescent="0.3">
      <c r="A3950" s="1">
        <v>13844</v>
      </c>
      <c r="B3950" s="10" t="s">
        <v>5691</v>
      </c>
      <c r="C3950" s="9">
        <v>2804</v>
      </c>
      <c r="D3950" s="10" t="s">
        <v>6047</v>
      </c>
      <c r="E3950" s="11" t="s">
        <v>5019</v>
      </c>
      <c r="F3950" t="str">
        <f t="shared" si="305"/>
        <v>Belt</v>
      </c>
      <c r="G3950" t="str">
        <f t="shared" si="306"/>
        <v>Belt2804Garland</v>
      </c>
      <c r="H3950" t="s">
        <v>34808</v>
      </c>
      <c r="I3950" t="s">
        <v>26231</v>
      </c>
      <c r="J3950" t="str">
        <f t="shared" si="307"/>
        <v>E:\PropInv\MF</v>
      </c>
      <c r="K3950" s="103" t="str">
        <f>HYPERLINK("E:\PropInv\MF\Garland\Belt Line_2804_Advenir at Towne Centre_Garland_13844","Belt Line_2804_Advenir at Towne Centre_Garland_13844" )</f>
        <v>Belt Line_2804_Advenir at Towne Centre_Garland_13844</v>
      </c>
      <c r="L3950" s="104" t="s">
        <v>22253</v>
      </c>
      <c r="M3950" s="103" t="str">
        <f t="shared" si="308"/>
        <v>http://oconnordata.com/mlink/modules/profile/index.cfm?action=profile&amp;prop_id=13844</v>
      </c>
      <c r="N3950" s="1">
        <f t="shared" si="309"/>
        <v>13844</v>
      </c>
    </row>
    <row r="3951" spans="1:14" x14ac:dyDescent="0.3">
      <c r="A3951" s="1">
        <v>13845</v>
      </c>
      <c r="B3951" s="10" t="s">
        <v>6048</v>
      </c>
      <c r="C3951" s="9">
        <v>4610</v>
      </c>
      <c r="D3951" s="10" t="s">
        <v>6049</v>
      </c>
      <c r="E3951" s="11" t="s">
        <v>5019</v>
      </c>
      <c r="F3951" t="str">
        <f t="shared" si="305"/>
        <v>Saturn</v>
      </c>
      <c r="G3951" t="str">
        <f t="shared" si="306"/>
        <v>Saturn4610Garland</v>
      </c>
      <c r="H3951" t="s">
        <v>34809</v>
      </c>
      <c r="I3951" t="s">
        <v>26232</v>
      </c>
      <c r="J3951" t="str">
        <f t="shared" si="307"/>
        <v>E:\PropInv\MF</v>
      </c>
      <c r="K3951" s="103" t="str">
        <f>HYPERLINK("E:\PropInv\MF\Garland\Saturn_4610_Peachtree Square_Garland_13845","Saturn_4610_Peachtree Square_Garland_13845" )</f>
        <v>Saturn_4610_Peachtree Square_Garland_13845</v>
      </c>
      <c r="L3951" s="104" t="s">
        <v>22253</v>
      </c>
      <c r="M3951" s="103" t="str">
        <f t="shared" si="308"/>
        <v>http://oconnordata.com/mlink/modules/profile/index.cfm?action=profile&amp;prop_id=13845</v>
      </c>
      <c r="N3951" s="1">
        <f t="shared" si="309"/>
        <v>13845</v>
      </c>
    </row>
    <row r="3952" spans="1:14" x14ac:dyDescent="0.3">
      <c r="A3952" s="1">
        <v>13847</v>
      </c>
      <c r="B3952" s="10" t="s">
        <v>6050</v>
      </c>
      <c r="C3952" s="9">
        <v>4753</v>
      </c>
      <c r="D3952" s="10" t="s">
        <v>5388</v>
      </c>
      <c r="E3952" s="11" t="s">
        <v>4996</v>
      </c>
      <c r="F3952" t="str">
        <f t="shared" si="305"/>
        <v>Old</v>
      </c>
      <c r="G3952" t="str">
        <f t="shared" si="306"/>
        <v>Old4753Dallas</v>
      </c>
      <c r="H3952" t="s">
        <v>34810</v>
      </c>
      <c r="I3952" t="s">
        <v>26233</v>
      </c>
      <c r="J3952" t="str">
        <f t="shared" si="307"/>
        <v>E:\PropInv\MF</v>
      </c>
      <c r="K3952" s="103" t="str">
        <f>HYPERLINK("E:\PropInv\MF\Dallas\Old Bent Tree Ln_4753_Pear Ridge_Dallas_13847","Old Bent Tree Ln_4753_Pear Ridge_Dallas_13847" )</f>
        <v>Old Bent Tree Ln_4753_Pear Ridge_Dallas_13847</v>
      </c>
      <c r="L3952" s="104" t="s">
        <v>22253</v>
      </c>
      <c r="M3952" s="103" t="str">
        <f t="shared" si="308"/>
        <v>http://oconnordata.com/mlink/modules/profile/index.cfm?action=profile&amp;prop_id=13847</v>
      </c>
      <c r="N3952" s="1">
        <f t="shared" si="309"/>
        <v>13847</v>
      </c>
    </row>
    <row r="3953" spans="1:14" x14ac:dyDescent="0.3">
      <c r="A3953" s="1">
        <v>13848</v>
      </c>
      <c r="B3953" s="10" t="s">
        <v>5388</v>
      </c>
      <c r="C3953" s="9">
        <v>4750</v>
      </c>
      <c r="D3953" s="10" t="s">
        <v>6051</v>
      </c>
      <c r="E3953" s="11" t="s">
        <v>4996</v>
      </c>
      <c r="F3953" t="str">
        <f t="shared" si="305"/>
        <v>Pear</v>
      </c>
      <c r="G3953" t="str">
        <f t="shared" si="306"/>
        <v>Pear4750Dallas</v>
      </c>
      <c r="H3953" t="s">
        <v>34811</v>
      </c>
      <c r="I3953" t="s">
        <v>26234</v>
      </c>
      <c r="J3953" t="str">
        <f t="shared" si="307"/>
        <v>E:\PropInv\MF</v>
      </c>
      <c r="K3953" s="103" t="str">
        <f>HYPERLINK("E:\PropInv\MF\Dallas\Pear Ridge_4750_Pear Ridge Creek_Dallas_13848","Pear Ridge_4750_Pear Ridge Creek_Dallas_13848" )</f>
        <v>Pear Ridge_4750_Pear Ridge Creek_Dallas_13848</v>
      </c>
      <c r="L3953" s="104" t="s">
        <v>22253</v>
      </c>
      <c r="M3953" s="103" t="str">
        <f t="shared" si="308"/>
        <v>http://oconnordata.com/mlink/modules/profile/index.cfm?action=profile&amp;prop_id=13848</v>
      </c>
      <c r="N3953" s="1">
        <f t="shared" si="309"/>
        <v>13848</v>
      </c>
    </row>
    <row r="3954" spans="1:14" x14ac:dyDescent="0.3">
      <c r="A3954" s="1">
        <v>13849</v>
      </c>
      <c r="B3954" s="10" t="s">
        <v>6052</v>
      </c>
      <c r="C3954" s="9">
        <v>1410</v>
      </c>
      <c r="D3954" s="10" t="s">
        <v>6053</v>
      </c>
      <c r="E3954" s="11" t="s">
        <v>5236</v>
      </c>
      <c r="F3954" t="str">
        <f t="shared" si="305"/>
        <v>Goliad</v>
      </c>
      <c r="G3954" t="str">
        <f t="shared" si="306"/>
        <v>Goliad1410Rockwall</v>
      </c>
      <c r="H3954" t="s">
        <v>34812</v>
      </c>
      <c r="I3954" t="s">
        <v>26235</v>
      </c>
      <c r="J3954" t="str">
        <f t="shared" si="307"/>
        <v>E:\PropInv\MF</v>
      </c>
      <c r="K3954" s="103" t="str">
        <f>HYPERLINK("E:\PropInv\MF\Rockwall\Goliad S_1410_Pebblebrook_Rockwall_13849","Goliad S_1410_Pebblebrook_Rockwall_13849" )</f>
        <v>Goliad S_1410_Pebblebrook_Rockwall_13849</v>
      </c>
      <c r="L3954" s="104" t="s">
        <v>22253</v>
      </c>
      <c r="M3954" s="103" t="str">
        <f t="shared" si="308"/>
        <v>http://oconnordata.com/mlink/modules/profile/index.cfm?action=profile&amp;prop_id=13849</v>
      </c>
      <c r="N3954" s="1">
        <f t="shared" si="309"/>
        <v>13849</v>
      </c>
    </row>
    <row r="3955" spans="1:14" x14ac:dyDescent="0.3">
      <c r="A3955" s="1">
        <v>13850</v>
      </c>
      <c r="B3955" s="7" t="s">
        <v>6054</v>
      </c>
      <c r="C3955" s="12">
        <v>1225</v>
      </c>
      <c r="D3955" s="7" t="s">
        <v>6055</v>
      </c>
      <c r="E3955" s="13" t="s">
        <v>5195</v>
      </c>
      <c r="F3955" t="str">
        <f t="shared" si="305"/>
        <v>Pleasant</v>
      </c>
      <c r="G3955" t="str">
        <f t="shared" si="306"/>
        <v>Pleasant1225Desoto</v>
      </c>
      <c r="H3955" t="s">
        <v>34813</v>
      </c>
      <c r="I3955" t="s">
        <v>26236</v>
      </c>
      <c r="J3955" t="str">
        <f t="shared" si="307"/>
        <v>E:\PropInv\MF</v>
      </c>
      <c r="K3955" s="103" t="str">
        <f>HYPERLINK("E:\PropInv\MF\Desoto\Pleasant Run E_1225_Pecan Crossing_Desoto_13850","Pleasant Run E_1225_Pecan Crossing_Desoto_13850" )</f>
        <v>Pleasant Run E_1225_Pecan Crossing_Desoto_13850</v>
      </c>
      <c r="L3955" s="104" t="s">
        <v>22253</v>
      </c>
      <c r="M3955" s="103" t="str">
        <f t="shared" si="308"/>
        <v>http://oconnordata.com/mlink/modules/profile/index.cfm?action=profile&amp;prop_id=13850</v>
      </c>
      <c r="N3955" s="1">
        <f t="shared" si="309"/>
        <v>13850</v>
      </c>
    </row>
    <row r="3956" spans="1:14" x14ac:dyDescent="0.3">
      <c r="A3956" s="1">
        <v>13851</v>
      </c>
      <c r="B3956" s="7" t="s">
        <v>6056</v>
      </c>
      <c r="C3956" s="12">
        <v>1051</v>
      </c>
      <c r="D3956" s="7" t="s">
        <v>6057</v>
      </c>
      <c r="E3956" s="13" t="s">
        <v>5019</v>
      </c>
      <c r="F3956" t="str">
        <f t="shared" si="305"/>
        <v>Centerville</v>
      </c>
      <c r="G3956" t="str">
        <f t="shared" si="306"/>
        <v>Centerville1051Garland</v>
      </c>
      <c r="H3956" t="s">
        <v>34814</v>
      </c>
      <c r="I3956" t="s">
        <v>26237</v>
      </c>
      <c r="J3956" t="str">
        <f t="shared" si="307"/>
        <v>E:\PropInv\MF</v>
      </c>
      <c r="K3956" s="103" t="str">
        <f>HYPERLINK("E:\PropInv\MF\Garland\Centerville Rd E_1051_Pecan Knoll_Garland_13851","Centerville Rd E_1051_Pecan Knoll_Garland_13851" )</f>
        <v>Centerville Rd E_1051_Pecan Knoll_Garland_13851</v>
      </c>
      <c r="L3956" s="104" t="s">
        <v>22253</v>
      </c>
      <c r="M3956" s="103" t="str">
        <f t="shared" si="308"/>
        <v>http://oconnordata.com/mlink/modules/profile/index.cfm?action=profile&amp;prop_id=13851</v>
      </c>
      <c r="N3956" s="1">
        <f t="shared" si="309"/>
        <v>13851</v>
      </c>
    </row>
    <row r="3957" spans="1:14" x14ac:dyDescent="0.3">
      <c r="A3957" s="1">
        <v>13853</v>
      </c>
      <c r="B3957" s="7" t="s">
        <v>6058</v>
      </c>
      <c r="C3957" s="12">
        <v>3236</v>
      </c>
      <c r="D3957" s="7" t="s">
        <v>6059</v>
      </c>
      <c r="E3957" s="13" t="s">
        <v>5088</v>
      </c>
      <c r="F3957" t="str">
        <f t="shared" si="305"/>
        <v>Galloway</v>
      </c>
      <c r="G3957" t="str">
        <f t="shared" si="306"/>
        <v>Galloway3236Mesquite</v>
      </c>
      <c r="H3957" t="s">
        <v>34815</v>
      </c>
      <c r="I3957" t="s">
        <v>26238</v>
      </c>
      <c r="J3957" t="str">
        <f t="shared" si="307"/>
        <v>E:\PropInv\MF</v>
      </c>
      <c r="K3957" s="103" t="str">
        <f>HYPERLINK("E:\PropInv\MF\Mesquite\Galloway N_3236_Pecan Ridge_Mesquite_13853","Galloway N_3236_Pecan Ridge_Mesquite_13853" )</f>
        <v>Galloway N_3236_Pecan Ridge_Mesquite_13853</v>
      </c>
      <c r="L3957" s="104" t="s">
        <v>22253</v>
      </c>
      <c r="M3957" s="103" t="str">
        <f t="shared" si="308"/>
        <v>http://oconnordata.com/mlink/modules/profile/index.cfm?action=profile&amp;prop_id=13853</v>
      </c>
      <c r="N3957" s="1">
        <f t="shared" si="309"/>
        <v>13853</v>
      </c>
    </row>
    <row r="3958" spans="1:14" x14ac:dyDescent="0.3">
      <c r="A3958" s="1">
        <v>13855</v>
      </c>
      <c r="B3958" s="10" t="s">
        <v>5101</v>
      </c>
      <c r="C3958" s="9">
        <v>3535</v>
      </c>
      <c r="D3958" s="10" t="s">
        <v>6060</v>
      </c>
      <c r="E3958" s="11" t="s">
        <v>4996</v>
      </c>
      <c r="F3958" t="str">
        <f t="shared" si="305"/>
        <v>Webb</v>
      </c>
      <c r="G3958" t="str">
        <f t="shared" si="306"/>
        <v>Webb3535Dallas</v>
      </c>
      <c r="H3958" t="s">
        <v>34816</v>
      </c>
      <c r="I3958" t="s">
        <v>15241</v>
      </c>
      <c r="J3958" t="str">
        <f t="shared" si="307"/>
        <v>E:\PropInv\MF</v>
      </c>
      <c r="K3958" s="103" t="str">
        <f>HYPERLINK("E:\PropInv\MF\Dallas\Webb Chapel Extension_3535_Pecan Square_Dallas_13855","Webb Chapel Extension_3535_Pecan Square_Dallas_13855" )</f>
        <v>Webb Chapel Extension_3535_Pecan Square_Dallas_13855</v>
      </c>
      <c r="L3958" s="104" t="s">
        <v>22253</v>
      </c>
      <c r="M3958" s="103" t="str">
        <f t="shared" si="308"/>
        <v>http://oconnordata.com/mlink/modules/profile/index.cfm?action=profile&amp;prop_id=13855</v>
      </c>
      <c r="N3958" s="1">
        <f t="shared" si="309"/>
        <v>13855</v>
      </c>
    </row>
    <row r="3959" spans="1:14" x14ac:dyDescent="0.3">
      <c r="A3959" s="1">
        <v>13856</v>
      </c>
      <c r="B3959" s="7" t="s">
        <v>5693</v>
      </c>
      <c r="C3959" s="12">
        <v>601</v>
      </c>
      <c r="D3959" s="7" t="s">
        <v>6061</v>
      </c>
      <c r="E3959" s="13" t="s">
        <v>3328</v>
      </c>
      <c r="F3959" t="str">
        <f t="shared" si="305"/>
        <v>Renner</v>
      </c>
      <c r="G3959" t="str">
        <f t="shared" si="306"/>
        <v>Renner601Richardson</v>
      </c>
      <c r="H3959" t="s">
        <v>34817</v>
      </c>
      <c r="I3959" t="s">
        <v>26239</v>
      </c>
      <c r="J3959" t="str">
        <f t="shared" si="307"/>
        <v>E:\PropInv\MF</v>
      </c>
      <c r="K3959" s="103" t="str">
        <f>HYPERLINK("E:\PropInv\MF\Richardson\Renner Rd W_601_Pepper Place_Richardson_13856","Renner Rd W_601_Pepper Place_Richardson_13856" )</f>
        <v>Renner Rd W_601_Pepper Place_Richardson_13856</v>
      </c>
      <c r="L3959" s="104" t="s">
        <v>22253</v>
      </c>
      <c r="M3959" s="103" t="str">
        <f t="shared" si="308"/>
        <v>http://oconnordata.com/mlink/modules/profile/index.cfm?action=profile&amp;prop_id=13856</v>
      </c>
      <c r="N3959" s="1">
        <f t="shared" si="309"/>
        <v>13856</v>
      </c>
    </row>
    <row r="3960" spans="1:14" x14ac:dyDescent="0.3">
      <c r="A3960" s="1">
        <v>13857</v>
      </c>
      <c r="B3960" s="7" t="s">
        <v>5403</v>
      </c>
      <c r="C3960" s="12">
        <v>4625</v>
      </c>
      <c r="D3960" s="7" t="s">
        <v>6062</v>
      </c>
      <c r="E3960" s="13" t="s">
        <v>5019</v>
      </c>
      <c r="F3960" t="str">
        <f t="shared" si="305"/>
        <v>Walnut</v>
      </c>
      <c r="G3960" t="str">
        <f t="shared" si="306"/>
        <v>Walnut4625Garland</v>
      </c>
      <c r="H3960" t="s">
        <v>34818</v>
      </c>
      <c r="I3960" t="s">
        <v>26240</v>
      </c>
      <c r="J3960" t="str">
        <f t="shared" si="307"/>
        <v>E:\PropInv\MF</v>
      </c>
      <c r="K3960" s="103" t="str">
        <f>HYPERLINK("E:\PropInv\MF\Garland\Walnut W_4625_Pepperwood_Garland_13857","Walnut W_4625_Pepperwood_Garland_13857" )</f>
        <v>Walnut W_4625_Pepperwood_Garland_13857</v>
      </c>
      <c r="L3960" s="104" t="s">
        <v>22253</v>
      </c>
      <c r="M3960" s="103" t="str">
        <f t="shared" si="308"/>
        <v>http://oconnordata.com/mlink/modules/profile/index.cfm?action=profile&amp;prop_id=13857</v>
      </c>
      <c r="N3960" s="1">
        <f t="shared" si="309"/>
        <v>13857</v>
      </c>
    </row>
    <row r="3961" spans="1:14" x14ac:dyDescent="0.3">
      <c r="A3961" s="1">
        <v>13858</v>
      </c>
      <c r="B3961" s="7" t="s">
        <v>6063</v>
      </c>
      <c r="C3961" s="12">
        <v>1810</v>
      </c>
      <c r="D3961" s="7" t="s">
        <v>6063</v>
      </c>
      <c r="E3961" s="13" t="s">
        <v>5060</v>
      </c>
      <c r="F3961" t="str">
        <f t="shared" si="305"/>
        <v>Peter's</v>
      </c>
      <c r="G3961" t="str">
        <f t="shared" si="306"/>
        <v>Peter's1810Carrollton</v>
      </c>
      <c r="H3961" t="s">
        <v>34819</v>
      </c>
      <c r="I3961" t="s">
        <v>26241</v>
      </c>
      <c r="J3961" t="str">
        <f t="shared" si="307"/>
        <v>E:\PropInv\MF</v>
      </c>
      <c r="K3961" s="103" t="str">
        <f>HYPERLINK("E:\PropInv\MF\Carrollton\Peter's Colony_1810_Peter's Colony_Carrollton_13858","Peter's Colony_1810_Peter's Colony_Carrollton_13858" )</f>
        <v>Peter's Colony_1810_Peter's Colony_Carrollton_13858</v>
      </c>
      <c r="L3961" s="104" t="s">
        <v>22253</v>
      </c>
      <c r="M3961" s="103" t="str">
        <f t="shared" si="308"/>
        <v>http://oconnordata.com/mlink/modules/profile/index.cfm?action=profile&amp;prop_id=13858</v>
      </c>
      <c r="N3961" s="1">
        <f t="shared" si="309"/>
        <v>13858</v>
      </c>
    </row>
    <row r="3962" spans="1:14" x14ac:dyDescent="0.3">
      <c r="A3962" s="1">
        <v>13859</v>
      </c>
      <c r="B3962" s="7" t="s">
        <v>6064</v>
      </c>
      <c r="C3962" s="12">
        <v>5555</v>
      </c>
      <c r="D3962" s="7" t="s">
        <v>6065</v>
      </c>
      <c r="E3962" s="13" t="s">
        <v>4996</v>
      </c>
      <c r="F3962" t="str">
        <f t="shared" si="305"/>
        <v>Mockingbird</v>
      </c>
      <c r="G3962" t="str">
        <f t="shared" si="306"/>
        <v>Mockingbird5555Dallas</v>
      </c>
      <c r="H3962" t="s">
        <v>34820</v>
      </c>
      <c r="I3962" t="s">
        <v>26242</v>
      </c>
      <c r="J3962" t="str">
        <f t="shared" si="307"/>
        <v>E:\PropInv\MF</v>
      </c>
      <c r="K3962" s="103" t="str">
        <f>HYPERLINK("E:\PropInv\MF\Dallas\Mockingbird E_5555_The Phoenix Midtown_Dallas_13859","Mockingbird E_5555_The Phoenix Midtown_Dallas_13859" )</f>
        <v>Mockingbird E_5555_The Phoenix Midtown_Dallas_13859</v>
      </c>
      <c r="L3962" s="104" t="s">
        <v>22253</v>
      </c>
      <c r="M3962" s="103" t="str">
        <f t="shared" si="308"/>
        <v>http://oconnordata.com/mlink/modules/profile/index.cfm?action=profile&amp;prop_id=13859</v>
      </c>
      <c r="N3962" s="1">
        <f t="shared" si="309"/>
        <v>13859</v>
      </c>
    </row>
    <row r="3963" spans="1:14" x14ac:dyDescent="0.3">
      <c r="A3963" s="1">
        <v>13860</v>
      </c>
      <c r="B3963" s="7" t="s">
        <v>6066</v>
      </c>
      <c r="C3963" s="12">
        <v>2601</v>
      </c>
      <c r="D3963" s="7" t="s">
        <v>6067</v>
      </c>
      <c r="E3963" s="13" t="s">
        <v>4996</v>
      </c>
      <c r="F3963" t="str">
        <f t="shared" si="305"/>
        <v>Arroyo</v>
      </c>
      <c r="G3963" t="str">
        <f t="shared" si="306"/>
        <v>Arroyo2601Dallas</v>
      </c>
      <c r="H3963" t="s">
        <v>34821</v>
      </c>
      <c r="I3963" t="s">
        <v>26243</v>
      </c>
      <c r="J3963" t="str">
        <f t="shared" si="307"/>
        <v>E:\PropInv\MF</v>
      </c>
      <c r="K3963" s="103" t="str">
        <f>HYPERLINK("E:\PropInv\MF\Dallas\Arroyo Ave_2601_Villa Torino_Dallas_13860","Arroyo Ave_2601_Villa Torino_Dallas_13860" )</f>
        <v>Arroyo Ave_2601_Villa Torino_Dallas_13860</v>
      </c>
      <c r="L3963" s="104" t="s">
        <v>22253</v>
      </c>
      <c r="M3963" s="103" t="str">
        <f t="shared" si="308"/>
        <v>http://oconnordata.com/mlink/modules/profile/index.cfm?action=profile&amp;prop_id=13860</v>
      </c>
      <c r="N3963" s="1">
        <f t="shared" si="309"/>
        <v>13860</v>
      </c>
    </row>
    <row r="3964" spans="1:14" x14ac:dyDescent="0.3">
      <c r="A3964" s="1">
        <v>13861</v>
      </c>
      <c r="B3964" s="7" t="s">
        <v>6058</v>
      </c>
      <c r="C3964" s="12">
        <v>1716</v>
      </c>
      <c r="D3964" s="7" t="s">
        <v>6068</v>
      </c>
      <c r="E3964" s="13" t="s">
        <v>5088</v>
      </c>
      <c r="F3964" t="str">
        <f t="shared" si="305"/>
        <v>Galloway</v>
      </c>
      <c r="G3964" t="str">
        <f t="shared" si="306"/>
        <v>Galloway1716Mesquite</v>
      </c>
      <c r="H3964" t="s">
        <v>34822</v>
      </c>
      <c r="I3964" t="s">
        <v>26244</v>
      </c>
      <c r="J3964" t="str">
        <f t="shared" si="307"/>
        <v>E:\PropInv\MF</v>
      </c>
      <c r="K3964" s="103" t="str">
        <f>HYPERLINK("E:\PropInv\MF\Mesquite\Galloway N_1716_Pine Oaks_Mesquite_13861","Galloway N_1716_Pine Oaks_Mesquite_13861" )</f>
        <v>Galloway N_1716_Pine Oaks_Mesquite_13861</v>
      </c>
      <c r="L3964" s="104" t="s">
        <v>22253</v>
      </c>
      <c r="M3964" s="103" t="str">
        <f t="shared" si="308"/>
        <v>http://oconnordata.com/mlink/modules/profile/index.cfm?action=profile&amp;prop_id=13861</v>
      </c>
      <c r="N3964" s="1">
        <f t="shared" si="309"/>
        <v>13861</v>
      </c>
    </row>
    <row r="3965" spans="1:14" x14ac:dyDescent="0.3">
      <c r="A3965" s="1">
        <v>13862</v>
      </c>
      <c r="B3965" s="7" t="s">
        <v>6069</v>
      </c>
      <c r="C3965" s="12">
        <v>4900</v>
      </c>
      <c r="D3965" s="7" t="s">
        <v>6070</v>
      </c>
      <c r="E3965" s="13" t="s">
        <v>5088</v>
      </c>
      <c r="F3965" t="str">
        <f t="shared" si="305"/>
        <v>Via</v>
      </c>
      <c r="G3965" t="str">
        <f t="shared" si="306"/>
        <v>Via4900Mesquite</v>
      </c>
      <c r="H3965" t="s">
        <v>34823</v>
      </c>
      <c r="I3965" t="s">
        <v>26245</v>
      </c>
      <c r="J3965" t="str">
        <f t="shared" si="307"/>
        <v>E:\PropInv\MF</v>
      </c>
      <c r="K3965" s="103" t="str">
        <f>HYPERLINK("E:\PropInv\MF\Mesquite\Via Ventura_4900_Pines of Palos Verdes_Mesquite_13862","Via Ventura_4900_Pines of Palos Verdes_Mesquite_13862" )</f>
        <v>Via Ventura_4900_Pines of Palos Verdes_Mesquite_13862</v>
      </c>
      <c r="L3965" s="104" t="s">
        <v>22253</v>
      </c>
      <c r="M3965" s="103" t="str">
        <f t="shared" si="308"/>
        <v>http://oconnordata.com/mlink/modules/profile/index.cfm?action=profile&amp;prop_id=13862</v>
      </c>
      <c r="N3965" s="1">
        <f t="shared" si="309"/>
        <v>13862</v>
      </c>
    </row>
    <row r="3966" spans="1:14" x14ac:dyDescent="0.3">
      <c r="A3966" s="1">
        <v>13863</v>
      </c>
      <c r="B3966" s="7" t="s">
        <v>6071</v>
      </c>
      <c r="C3966" s="12">
        <v>146</v>
      </c>
      <c r="D3966" s="7" t="s">
        <v>6072</v>
      </c>
      <c r="E3966" s="13" t="s">
        <v>5055</v>
      </c>
      <c r="F3966" t="str">
        <f t="shared" si="305"/>
        <v>Valley</v>
      </c>
      <c r="G3966" t="str">
        <f t="shared" si="306"/>
        <v>Valley146Lewisville</v>
      </c>
      <c r="H3966" t="s">
        <v>34824</v>
      </c>
      <c r="I3966" t="s">
        <v>26246</v>
      </c>
      <c r="J3966" t="str">
        <f t="shared" si="307"/>
        <v>E:\PropInv\MF</v>
      </c>
      <c r="K3966" s="103" t="str">
        <f>HYPERLINK("E:\PropInv\MF\Lewisville\Valley View Dr_146_The Pinnacle_Lewisville_13863","Valley View Dr_146_The Pinnacle_Lewisville_13863" )</f>
        <v>Valley View Dr_146_The Pinnacle_Lewisville_13863</v>
      </c>
      <c r="L3966" s="104" t="s">
        <v>22253</v>
      </c>
      <c r="M3966" s="103" t="str">
        <f t="shared" si="308"/>
        <v>http://oconnordata.com/mlink/modules/profile/index.cfm?action=profile&amp;prop_id=13863</v>
      </c>
      <c r="N3966" s="1">
        <f t="shared" si="309"/>
        <v>13863</v>
      </c>
    </row>
    <row r="3967" spans="1:14" x14ac:dyDescent="0.3">
      <c r="A3967" s="1">
        <v>13864</v>
      </c>
      <c r="B3967" s="7" t="s">
        <v>5682</v>
      </c>
      <c r="C3967" s="12">
        <v>1330</v>
      </c>
      <c r="D3967" s="7" t="s">
        <v>6073</v>
      </c>
      <c r="E3967" s="13" t="s">
        <v>3328</v>
      </c>
      <c r="F3967" t="str">
        <f t="shared" si="305"/>
        <v>Spring</v>
      </c>
      <c r="G3967" t="str">
        <f t="shared" si="306"/>
        <v>Spring1330Richardson</v>
      </c>
      <c r="H3967" t="s">
        <v>34825</v>
      </c>
      <c r="I3967" t="s">
        <v>26247</v>
      </c>
      <c r="J3967" t="str">
        <f t="shared" si="307"/>
        <v>E:\PropInv\MF</v>
      </c>
      <c r="K3967" s="103" t="str">
        <f>HYPERLINK("E:\PropInv\MF\Richardson\Spring Valley W_1330_Pinyon Point_Richardson_13864","Spring Valley W_1330_Pinyon Point_Richardson_13864" )</f>
        <v>Spring Valley W_1330_Pinyon Point_Richardson_13864</v>
      </c>
      <c r="L3967" s="104" t="s">
        <v>22253</v>
      </c>
      <c r="M3967" s="103" t="str">
        <f t="shared" si="308"/>
        <v>http://oconnordata.com/mlink/modules/profile/index.cfm?action=profile&amp;prop_id=13864</v>
      </c>
      <c r="N3967" s="1">
        <f t="shared" si="309"/>
        <v>13864</v>
      </c>
    </row>
    <row r="3968" spans="1:14" x14ac:dyDescent="0.3">
      <c r="A3968" s="1">
        <v>13865</v>
      </c>
      <c r="B3968" s="7" t="s">
        <v>5499</v>
      </c>
      <c r="C3968" s="12">
        <v>2053</v>
      </c>
      <c r="D3968" s="7" t="s">
        <v>6074</v>
      </c>
      <c r="E3968" s="13" t="s">
        <v>5046</v>
      </c>
      <c r="F3968" t="str">
        <f t="shared" si="305"/>
        <v>Estrada</v>
      </c>
      <c r="G3968" t="str">
        <f t="shared" si="306"/>
        <v>Estrada2053Irving</v>
      </c>
      <c r="H3968" t="s">
        <v>34826</v>
      </c>
      <c r="I3968" t="s">
        <v>26248</v>
      </c>
      <c r="J3968" t="str">
        <f t="shared" si="307"/>
        <v>E:\PropInv\MF</v>
      </c>
      <c r="K3968" s="103" t="str">
        <f>HYPERLINK("E:\PropInv\MF\Irving\Estrada Pkwy_2053_Pioneer Crossing_Irving_13865","Estrada Pkwy_2053_Pioneer Crossing_Irving_13865" )</f>
        <v>Estrada Pkwy_2053_Pioneer Crossing_Irving_13865</v>
      </c>
      <c r="L3968" s="104" t="s">
        <v>22253</v>
      </c>
      <c r="M3968" s="103" t="str">
        <f t="shared" si="308"/>
        <v>http://oconnordata.com/mlink/modules/profile/index.cfm?action=profile&amp;prop_id=13865</v>
      </c>
      <c r="N3968" s="1">
        <f t="shared" si="309"/>
        <v>13865</v>
      </c>
    </row>
    <row r="3969" spans="1:14" x14ac:dyDescent="0.3">
      <c r="A3969" s="1">
        <v>13866</v>
      </c>
      <c r="B3969" s="7" t="s">
        <v>5979</v>
      </c>
      <c r="C3969" s="12">
        <v>3601</v>
      </c>
      <c r="D3969" s="7" t="s">
        <v>6075</v>
      </c>
      <c r="E3969" s="13" t="s">
        <v>5012</v>
      </c>
      <c r="F3969" t="str">
        <f t="shared" si="305"/>
        <v>Pioneer</v>
      </c>
      <c r="G3969" t="str">
        <f t="shared" si="306"/>
        <v>Pioneer3601Balch Springs</v>
      </c>
      <c r="H3969" t="s">
        <v>34827</v>
      </c>
      <c r="I3969" t="s">
        <v>26249</v>
      </c>
      <c r="J3969" t="str">
        <f t="shared" si="307"/>
        <v>E:\PropInv\MF</v>
      </c>
      <c r="K3969" s="103" t="str">
        <f>HYPERLINK("E:\PropInv\MF\Balch Springs\Pioneer Rd_3601_Pioneer Park Place_Balch Springs_13866","Pioneer Rd_3601_Pioneer Park Place_Balch Springs_13866" )</f>
        <v>Pioneer Rd_3601_Pioneer Park Place_Balch Springs_13866</v>
      </c>
      <c r="L3969" s="104" t="s">
        <v>22253</v>
      </c>
      <c r="M3969" s="103" t="str">
        <f t="shared" si="308"/>
        <v>http://oconnordata.com/mlink/modules/profile/index.cfm?action=profile&amp;prop_id=13866</v>
      </c>
      <c r="N3969" s="1">
        <f t="shared" si="309"/>
        <v>13866</v>
      </c>
    </row>
    <row r="3970" spans="1:14" x14ac:dyDescent="0.3">
      <c r="A3970" s="1">
        <v>13868</v>
      </c>
      <c r="B3970" s="7" t="s">
        <v>5834</v>
      </c>
      <c r="C3970" s="12">
        <v>3701</v>
      </c>
      <c r="D3970" s="7" t="s">
        <v>3142</v>
      </c>
      <c r="E3970" s="13" t="s">
        <v>5088</v>
      </c>
      <c r="F3970" t="str">
        <f t="shared" ref="F3970:F4033" si="310">IFERROR(LEFT(B3970,FIND(" ",B3970)-1),B3970)</f>
        <v>Town</v>
      </c>
      <c r="G3970" t="str">
        <f t="shared" ref="G3970:G4033" si="311">F3970&amp;C3970&amp;E3970</f>
        <v>Town3701Mesquite</v>
      </c>
      <c r="H3970" t="s">
        <v>34828</v>
      </c>
      <c r="I3970" t="s">
        <v>26250</v>
      </c>
      <c r="J3970" t="str">
        <f t="shared" ref="J3970:J4033" si="312">IF(L3970="TX",Folder_Path,Folder_Path&amp;"\State_"&amp;L3970)</f>
        <v>E:\PropInv\MF</v>
      </c>
      <c r="K3970" s="103" t="str">
        <f>HYPERLINK("E:\PropInv\MF\Mesquite\Town Crossing_3701_The Place_Mesquite_13868","Town Crossing_3701_The Place_Mesquite_13868" )</f>
        <v>Town Crossing_3701_The Place_Mesquite_13868</v>
      </c>
      <c r="L3970" s="104" t="s">
        <v>22253</v>
      </c>
      <c r="M3970" s="103" t="str">
        <f t="shared" ref="M3970:M4033" si="313">HYPERLINK("http://oconnordata.com/mlink/modules/profile/index.cfm?action=profile&amp;prop_id="&amp;A3970)</f>
        <v>http://oconnordata.com/mlink/modules/profile/index.cfm?action=profile&amp;prop_id=13868</v>
      </c>
      <c r="N3970" s="1">
        <f t="shared" ref="N3970:N4033" si="314">IF(LEN(A3970)=1,"0000"&amp;A3970,IF(LEN(A3970)=2,"000"&amp;A3970,IF(LEN(A3970)=3,"00"&amp;A3970,IF(LEN(A3970)=4,"0"&amp;A3970,IF(LEN(A3970)=5,IF(LEFT(A3970,1)="3",A3970+30000,A3970))))))</f>
        <v>13868</v>
      </c>
    </row>
    <row r="3971" spans="1:14" x14ac:dyDescent="0.3">
      <c r="A3971" s="1">
        <v>13869</v>
      </c>
      <c r="B3971" s="7" t="s">
        <v>6076</v>
      </c>
      <c r="C3971" s="12">
        <v>2625</v>
      </c>
      <c r="D3971" s="7" t="s">
        <v>6077</v>
      </c>
      <c r="E3971" s="13" t="s">
        <v>4996</v>
      </c>
      <c r="F3971" t="str">
        <f t="shared" si="310"/>
        <v>Hudnall</v>
      </c>
      <c r="G3971" t="str">
        <f t="shared" si="311"/>
        <v>Hudnall2625Dallas</v>
      </c>
      <c r="H3971" t="s">
        <v>34829</v>
      </c>
      <c r="I3971" t="s">
        <v>26251</v>
      </c>
      <c r="J3971" t="str">
        <f t="shared" si="312"/>
        <v>E:\PropInv\MF</v>
      </c>
      <c r="K3971" s="103" t="str">
        <f>HYPERLINK("E:\PropInv\MF\Dallas\Hudnall St_2625_Plantation House_Dallas_13869","Hudnall St_2625_Plantation House_Dallas_13869" )</f>
        <v>Hudnall St_2625_Plantation House_Dallas_13869</v>
      </c>
      <c r="L3971" s="104" t="s">
        <v>22253</v>
      </c>
      <c r="M3971" s="103" t="str">
        <f t="shared" si="313"/>
        <v>http://oconnordata.com/mlink/modules/profile/index.cfm?action=profile&amp;prop_id=13869</v>
      </c>
      <c r="N3971" s="1">
        <f t="shared" si="314"/>
        <v>13869</v>
      </c>
    </row>
    <row r="3972" spans="1:14" x14ac:dyDescent="0.3">
      <c r="A3972" s="1">
        <v>13870</v>
      </c>
      <c r="B3972" s="7" t="s">
        <v>6078</v>
      </c>
      <c r="C3972" s="12">
        <v>1100</v>
      </c>
      <c r="D3972" s="7" t="s">
        <v>6079</v>
      </c>
      <c r="E3972" s="13" t="s">
        <v>5046</v>
      </c>
      <c r="F3972" t="str">
        <f t="shared" si="310"/>
        <v>Union</v>
      </c>
      <c r="G3972" t="str">
        <f t="shared" si="311"/>
        <v>Union1100Irving</v>
      </c>
      <c r="H3972" t="s">
        <v>34830</v>
      </c>
      <c r="I3972" t="s">
        <v>26252</v>
      </c>
      <c r="J3972" t="str">
        <f t="shared" si="312"/>
        <v>E:\PropInv\MF</v>
      </c>
      <c r="K3972" s="103" t="str">
        <f>HYPERLINK("E:\PropInv\MF\Irving\Union Bower Rd N_1100_Plantation View_Irving_13870","Union Bower Rd N_1100_Plantation View_Irving_13870" )</f>
        <v>Union Bower Rd N_1100_Plantation View_Irving_13870</v>
      </c>
      <c r="L3972" s="104" t="s">
        <v>22253</v>
      </c>
      <c r="M3972" s="103" t="str">
        <f t="shared" si="313"/>
        <v>http://oconnordata.com/mlink/modules/profile/index.cfm?action=profile&amp;prop_id=13870</v>
      </c>
      <c r="N3972" s="1">
        <f t="shared" si="314"/>
        <v>13870</v>
      </c>
    </row>
    <row r="3973" spans="1:14" x14ac:dyDescent="0.3">
      <c r="A3973" s="1">
        <v>13871</v>
      </c>
      <c r="B3973" s="7" t="s">
        <v>6080</v>
      </c>
      <c r="C3973" s="12">
        <v>11700</v>
      </c>
      <c r="D3973" s="7" t="s">
        <v>6081</v>
      </c>
      <c r="E3973" s="13" t="s">
        <v>5488</v>
      </c>
      <c r="F3973" t="str">
        <f t="shared" si="310"/>
        <v>Lebanon</v>
      </c>
      <c r="G3973" t="str">
        <f t="shared" si="311"/>
        <v>Lebanon11700Frisco</v>
      </c>
      <c r="H3973" t="s">
        <v>34831</v>
      </c>
      <c r="I3973" t="s">
        <v>26253</v>
      </c>
      <c r="J3973" t="str">
        <f t="shared" si="312"/>
        <v>E:\PropInv\MF</v>
      </c>
      <c r="K3973" s="103" t="str">
        <f>HYPERLINK("E:\PropInv\MF\Frisco\Lebanon_11700_Marquis At Stonebriar_Frisco_13871","Lebanon_11700_Marquis At Stonebriar_Frisco_13871" )</f>
        <v>Lebanon_11700_Marquis At Stonebriar_Frisco_13871</v>
      </c>
      <c r="L3973" s="104" t="s">
        <v>22253</v>
      </c>
      <c r="M3973" s="103" t="str">
        <f t="shared" si="313"/>
        <v>http://oconnordata.com/mlink/modules/profile/index.cfm?action=profile&amp;prop_id=13871</v>
      </c>
      <c r="N3973" s="1">
        <f t="shared" si="314"/>
        <v>13871</v>
      </c>
    </row>
    <row r="3974" spans="1:14" x14ac:dyDescent="0.3">
      <c r="A3974" s="1">
        <v>13872</v>
      </c>
      <c r="B3974" s="10" t="s">
        <v>3805</v>
      </c>
      <c r="C3974" s="9">
        <v>5535</v>
      </c>
      <c r="D3974" s="10" t="s">
        <v>6082</v>
      </c>
      <c r="E3974" s="11" t="s">
        <v>4996</v>
      </c>
      <c r="F3974" t="str">
        <f t="shared" si="310"/>
        <v>Harvest</v>
      </c>
      <c r="G3974" t="str">
        <f t="shared" si="311"/>
        <v>Harvest5535Dallas</v>
      </c>
      <c r="H3974" t="s">
        <v>34832</v>
      </c>
      <c r="I3974" t="s">
        <v>26254</v>
      </c>
      <c r="J3974" t="str">
        <f t="shared" si="312"/>
        <v>E:\PropInv\MF</v>
      </c>
      <c r="K3974" s="103" t="str">
        <f>HYPERLINK("E:\PropInv\MF\Dallas\Harvest Hill_5535_Plaza on Harvest Hill_Dallas_13872","Harvest Hill_5535_Plaza on Harvest Hill_Dallas_13872" )</f>
        <v>Harvest Hill_5535_Plaza on Harvest Hill_Dallas_13872</v>
      </c>
      <c r="L3974" s="104" t="s">
        <v>22253</v>
      </c>
      <c r="M3974" s="103" t="str">
        <f t="shared" si="313"/>
        <v>http://oconnordata.com/mlink/modules/profile/index.cfm?action=profile&amp;prop_id=13872</v>
      </c>
      <c r="N3974" s="1">
        <f t="shared" si="314"/>
        <v>13872</v>
      </c>
    </row>
    <row r="3975" spans="1:14" x14ac:dyDescent="0.3">
      <c r="A3975" s="1">
        <v>13873</v>
      </c>
      <c r="B3975" s="10" t="s">
        <v>6083</v>
      </c>
      <c r="C3975" s="9">
        <v>1255</v>
      </c>
      <c r="D3975" s="10" t="s">
        <v>6084</v>
      </c>
      <c r="E3975" s="11" t="s">
        <v>5411</v>
      </c>
      <c r="F3975" t="str">
        <f t="shared" si="310"/>
        <v>Pleasant</v>
      </c>
      <c r="G3975" t="str">
        <f t="shared" si="311"/>
        <v>Pleasant1255Lancaster</v>
      </c>
      <c r="H3975" t="s">
        <v>34833</v>
      </c>
      <c r="I3975" t="s">
        <v>26255</v>
      </c>
      <c r="J3975" t="str">
        <f t="shared" si="312"/>
        <v>E:\PropInv\MF</v>
      </c>
      <c r="K3975" s="103" t="str">
        <f>HYPERLINK("E:\PropInv\MF\Lancaster\Pleasant Run Rd W_1255_Pleasant Creek Corners_Lancaster_13873","Pleasant Run Rd W_1255_Pleasant Creek Corners_Lancaster_13873" )</f>
        <v>Pleasant Run Rd W_1255_Pleasant Creek Corners_Lancaster_13873</v>
      </c>
      <c r="L3975" s="104" t="s">
        <v>22253</v>
      </c>
      <c r="M3975" s="103" t="str">
        <f t="shared" si="313"/>
        <v>http://oconnordata.com/mlink/modules/profile/index.cfm?action=profile&amp;prop_id=13873</v>
      </c>
      <c r="N3975" s="1">
        <f t="shared" si="314"/>
        <v>13873</v>
      </c>
    </row>
    <row r="3976" spans="1:14" x14ac:dyDescent="0.3">
      <c r="A3976" s="1">
        <v>13874</v>
      </c>
      <c r="B3976" s="10" t="s">
        <v>6085</v>
      </c>
      <c r="C3976" s="9">
        <v>2525</v>
      </c>
      <c r="D3976" s="10" t="s">
        <v>6086</v>
      </c>
      <c r="E3976" s="11" t="s">
        <v>5411</v>
      </c>
      <c r="F3976" t="str">
        <f t="shared" si="310"/>
        <v>Pleasant</v>
      </c>
      <c r="G3976" t="str">
        <f t="shared" si="311"/>
        <v>Pleasant2525Lancaster</v>
      </c>
      <c r="H3976" t="s">
        <v>34834</v>
      </c>
      <c r="I3976" t="s">
        <v>26256</v>
      </c>
      <c r="J3976" t="str">
        <f t="shared" si="312"/>
        <v>E:\PropInv\MF</v>
      </c>
      <c r="K3976" s="103" t="str">
        <f>HYPERLINK("E:\PropInv\MF\Lancaster\Pleasant Run W_2525_Pleasant Run_Lancaster_13874","Pleasant Run W_2525_Pleasant Run_Lancaster_13874" )</f>
        <v>Pleasant Run W_2525_Pleasant Run_Lancaster_13874</v>
      </c>
      <c r="L3976" s="104" t="s">
        <v>22253</v>
      </c>
      <c r="M3976" s="103" t="str">
        <f t="shared" si="313"/>
        <v>http://oconnordata.com/mlink/modules/profile/index.cfm?action=profile&amp;prop_id=13874</v>
      </c>
      <c r="N3976" s="1">
        <f t="shared" si="314"/>
        <v>13874</v>
      </c>
    </row>
    <row r="3977" spans="1:14" x14ac:dyDescent="0.3">
      <c r="A3977" s="1">
        <v>13875</v>
      </c>
      <c r="B3977" s="10" t="s">
        <v>6087</v>
      </c>
      <c r="C3977" s="9">
        <v>9236</v>
      </c>
      <c r="D3977" s="10" t="s">
        <v>6088</v>
      </c>
      <c r="E3977" s="11" t="s">
        <v>4996</v>
      </c>
      <c r="F3977" t="str">
        <f t="shared" si="310"/>
        <v>Church</v>
      </c>
      <c r="G3977" t="str">
        <f t="shared" si="311"/>
        <v>Church9236Dallas</v>
      </c>
      <c r="H3977" t="s">
        <v>34835</v>
      </c>
      <c r="I3977" t="s">
        <v>26257</v>
      </c>
      <c r="J3977" t="str">
        <f t="shared" si="312"/>
        <v>E:\PropInv\MF</v>
      </c>
      <c r="K3977" s="103" t="str">
        <f>HYPERLINK("E:\PropInv\MF\Dallas\Church Rd_9236_Pleasant Woods_Dallas_13875","Church Rd_9236_Pleasant Woods_Dallas_13875" )</f>
        <v>Church Rd_9236_Pleasant Woods_Dallas_13875</v>
      </c>
      <c r="L3977" s="104" t="s">
        <v>22253</v>
      </c>
      <c r="M3977" s="103" t="str">
        <f t="shared" si="313"/>
        <v>http://oconnordata.com/mlink/modules/profile/index.cfm?action=profile&amp;prop_id=13875</v>
      </c>
      <c r="N3977" s="1">
        <f t="shared" si="314"/>
        <v>13875</v>
      </c>
    </row>
    <row r="3978" spans="1:14" x14ac:dyDescent="0.3">
      <c r="A3978" s="1">
        <v>13878</v>
      </c>
      <c r="B3978" s="10" t="s">
        <v>5047</v>
      </c>
      <c r="C3978" s="9">
        <v>3737</v>
      </c>
      <c r="D3978" s="10" t="s">
        <v>6089</v>
      </c>
      <c r="E3978" s="11" t="s">
        <v>4996</v>
      </c>
      <c r="F3978" t="str">
        <f t="shared" si="310"/>
        <v>Timberglen</v>
      </c>
      <c r="G3978" t="str">
        <f t="shared" si="311"/>
        <v>Timberglen3737Dallas</v>
      </c>
      <c r="H3978" t="s">
        <v>34836</v>
      </c>
      <c r="I3978" t="s">
        <v>26258</v>
      </c>
      <c r="J3978" t="str">
        <f t="shared" si="312"/>
        <v>E:\PropInv\MF</v>
      </c>
      <c r="K3978" s="103" t="str">
        <f>HYPERLINK("E:\PropInv\MF\Dallas\Timberglen_3737_The Pointe at Timberglen_Dallas_13878","Timberglen_3737_The Pointe at Timberglen_Dallas_13878" )</f>
        <v>Timberglen_3737_The Pointe at Timberglen_Dallas_13878</v>
      </c>
      <c r="L3978" s="104" t="s">
        <v>22253</v>
      </c>
      <c r="M3978" s="103" t="str">
        <f t="shared" si="313"/>
        <v>http://oconnordata.com/mlink/modules/profile/index.cfm?action=profile&amp;prop_id=13878</v>
      </c>
      <c r="N3978" s="1">
        <f t="shared" si="314"/>
        <v>13878</v>
      </c>
    </row>
    <row r="3979" spans="1:14" x14ac:dyDescent="0.3">
      <c r="A3979" s="1">
        <v>13879</v>
      </c>
      <c r="B3979" s="10" t="s">
        <v>5203</v>
      </c>
      <c r="C3979" s="9">
        <v>4004</v>
      </c>
      <c r="D3979" s="10" t="s">
        <v>5175</v>
      </c>
      <c r="E3979" s="11" t="s">
        <v>5046</v>
      </c>
      <c r="F3979" t="str">
        <f t="shared" si="310"/>
        <v>Block</v>
      </c>
      <c r="G3979" t="str">
        <f t="shared" si="311"/>
        <v>Block4004Irving</v>
      </c>
      <c r="H3979" t="s">
        <v>34837</v>
      </c>
      <c r="I3979" t="s">
        <v>26259</v>
      </c>
      <c r="J3979" t="str">
        <f t="shared" si="312"/>
        <v>E:\PropInv\MF</v>
      </c>
      <c r="K3979" s="103" t="str">
        <f>HYPERLINK("E:\PropInv\MF\Irving\Block Dr_4004_Polaris_Irving_13879","Block Dr_4004_Polaris_Irving_13879" )</f>
        <v>Block Dr_4004_Polaris_Irving_13879</v>
      </c>
      <c r="L3979" s="104" t="s">
        <v>22253</v>
      </c>
      <c r="M3979" s="103" t="str">
        <f t="shared" si="313"/>
        <v>http://oconnordata.com/mlink/modules/profile/index.cfm?action=profile&amp;prop_id=13879</v>
      </c>
      <c r="N3979" s="1">
        <f t="shared" si="314"/>
        <v>13879</v>
      </c>
    </row>
    <row r="3980" spans="1:14" x14ac:dyDescent="0.3">
      <c r="A3980" s="1">
        <v>13880</v>
      </c>
      <c r="B3980" s="7" t="s">
        <v>5141</v>
      </c>
      <c r="C3980" s="12">
        <v>5616</v>
      </c>
      <c r="D3980" s="7" t="s">
        <v>6090</v>
      </c>
      <c r="E3980" s="13" t="s">
        <v>4996</v>
      </c>
      <c r="F3980" t="str">
        <f t="shared" si="310"/>
        <v>Spring</v>
      </c>
      <c r="G3980" t="str">
        <f t="shared" si="311"/>
        <v>Spring5616Dallas</v>
      </c>
      <c r="H3980" t="s">
        <v>34838</v>
      </c>
      <c r="I3980" t="s">
        <v>26260</v>
      </c>
      <c r="J3980" t="str">
        <f t="shared" si="312"/>
        <v>E:\PropInv\MF</v>
      </c>
      <c r="K3980" s="103" t="str">
        <f>HYPERLINK("E:\PropInv\MF\Dallas\Spring Valley Rd_5616_Aspen Creek_Dallas_13880","Spring Valley Rd_5616_Aspen Creek_Dallas_13880" )</f>
        <v>Spring Valley Rd_5616_Aspen Creek_Dallas_13880</v>
      </c>
      <c r="L3980" s="104" t="s">
        <v>22253</v>
      </c>
      <c r="M3980" s="103" t="str">
        <f t="shared" si="313"/>
        <v>http://oconnordata.com/mlink/modules/profile/index.cfm?action=profile&amp;prop_id=13880</v>
      </c>
      <c r="N3980" s="1">
        <f t="shared" si="314"/>
        <v>13880</v>
      </c>
    </row>
    <row r="3981" spans="1:14" x14ac:dyDescent="0.3">
      <c r="A3981" s="1">
        <v>13881</v>
      </c>
      <c r="B3981" s="10" t="s">
        <v>6091</v>
      </c>
      <c r="C3981" s="9">
        <v>1400</v>
      </c>
      <c r="D3981" s="10" t="s">
        <v>6092</v>
      </c>
      <c r="E3981" s="11" t="s">
        <v>5411</v>
      </c>
      <c r="F3981" t="str">
        <f t="shared" si="310"/>
        <v>Bluegrove</v>
      </c>
      <c r="G3981" t="str">
        <f t="shared" si="311"/>
        <v>Bluegrove1400Lancaster</v>
      </c>
      <c r="H3981" t="s">
        <v>34839</v>
      </c>
      <c r="I3981" t="s">
        <v>26261</v>
      </c>
      <c r="J3981" t="str">
        <f t="shared" si="312"/>
        <v>E:\PropInv\MF</v>
      </c>
      <c r="K3981" s="103" t="str">
        <f>HYPERLINK("E:\PropInv\MF\Lancaster\Bluegrove N_1400_Portafino_Lancaster_13881","Bluegrove N_1400_Portafino_Lancaster_13881" )</f>
        <v>Bluegrove N_1400_Portafino_Lancaster_13881</v>
      </c>
      <c r="L3981" s="104" t="s">
        <v>22253</v>
      </c>
      <c r="M3981" s="103" t="str">
        <f t="shared" si="313"/>
        <v>http://oconnordata.com/mlink/modules/profile/index.cfm?action=profile&amp;prop_id=13881</v>
      </c>
      <c r="N3981" s="1">
        <f t="shared" si="314"/>
        <v>13881</v>
      </c>
    </row>
    <row r="3982" spans="1:14" x14ac:dyDescent="0.3">
      <c r="A3982" s="1">
        <v>13882</v>
      </c>
      <c r="B3982" s="7" t="s">
        <v>6093</v>
      </c>
      <c r="C3982" s="12">
        <v>3006</v>
      </c>
      <c r="D3982" s="7" t="s">
        <v>6094</v>
      </c>
      <c r="E3982" s="13" t="s">
        <v>4996</v>
      </c>
      <c r="F3982" t="str">
        <f t="shared" si="310"/>
        <v>Woodside</v>
      </c>
      <c r="G3982" t="str">
        <f t="shared" si="311"/>
        <v>Woodside3006Dallas</v>
      </c>
      <c r="H3982" t="s">
        <v>34840</v>
      </c>
      <c r="I3982" t="s">
        <v>26262</v>
      </c>
      <c r="J3982" t="str">
        <f t="shared" si="312"/>
        <v>E:\PropInv\MF</v>
      </c>
      <c r="K3982" s="103" t="str">
        <f>HYPERLINK("E:\PropInv\MF\Dallas\Woodside_3006_Post Gallery_Dallas_13882","Woodside_3006_Post Gallery_Dallas_13882" )</f>
        <v>Woodside_3006_Post Gallery_Dallas_13882</v>
      </c>
      <c r="L3982" s="104" t="s">
        <v>22253</v>
      </c>
      <c r="M3982" s="103" t="str">
        <f t="shared" si="313"/>
        <v>http://oconnordata.com/mlink/modules/profile/index.cfm?action=profile&amp;prop_id=13882</v>
      </c>
      <c r="N3982" s="1">
        <f t="shared" si="314"/>
        <v>13882</v>
      </c>
    </row>
    <row r="3983" spans="1:14" x14ac:dyDescent="0.3">
      <c r="A3983" s="1">
        <v>13883</v>
      </c>
      <c r="B3983" s="7" t="s">
        <v>6071</v>
      </c>
      <c r="C3983" s="12">
        <v>6901</v>
      </c>
      <c r="D3983" s="7" t="s">
        <v>6095</v>
      </c>
      <c r="E3983" s="13" t="s">
        <v>5046</v>
      </c>
      <c r="F3983" t="str">
        <f t="shared" si="310"/>
        <v>Valley</v>
      </c>
      <c r="G3983" t="str">
        <f t="shared" si="311"/>
        <v>Valley6901Irving</v>
      </c>
      <c r="H3983" t="s">
        <v>34841</v>
      </c>
      <c r="I3983" t="s">
        <v>26263</v>
      </c>
      <c r="J3983" t="str">
        <f t="shared" si="312"/>
        <v>E:\PropInv\MF</v>
      </c>
      <c r="K3983" s="103" t="str">
        <f>HYPERLINK("E:\PropInv\MF\Irving\Valley View Dr_6901_Oaks Hackberry Creek I &amp; II_Irving_13883","Valley View Dr_6901_Oaks Hackberry Creek I &amp; II_Irving_13883" )</f>
        <v>Valley View Dr_6901_Oaks Hackberry Creek I &amp; II_Irving_13883</v>
      </c>
      <c r="L3983" s="104" t="s">
        <v>22253</v>
      </c>
      <c r="M3983" s="103" t="str">
        <f t="shared" si="313"/>
        <v>http://oconnordata.com/mlink/modules/profile/index.cfm?action=profile&amp;prop_id=13883</v>
      </c>
      <c r="N3983" s="1">
        <f t="shared" si="314"/>
        <v>13883</v>
      </c>
    </row>
    <row r="3984" spans="1:14" x14ac:dyDescent="0.3">
      <c r="A3984" s="1">
        <v>13884</v>
      </c>
      <c r="B3984" s="7" t="s">
        <v>6096</v>
      </c>
      <c r="C3984" s="12">
        <v>2828</v>
      </c>
      <c r="D3984" s="7" t="s">
        <v>6097</v>
      </c>
      <c r="E3984" s="13" t="s">
        <v>4996</v>
      </c>
      <c r="F3984" t="str">
        <f t="shared" si="310"/>
        <v>La</v>
      </c>
      <c r="G3984" t="str">
        <f t="shared" si="311"/>
        <v>La2828Dallas</v>
      </c>
      <c r="H3984" t="s">
        <v>34842</v>
      </c>
      <c r="I3984" t="s">
        <v>26264</v>
      </c>
      <c r="J3984" t="str">
        <f t="shared" si="312"/>
        <v>E:\PropInv\MF</v>
      </c>
      <c r="K3984" s="103" t="str">
        <f>HYPERLINK("E:\PropInv\MF\Dallas\La Clede_2828_Post Square_Dallas_13884","La Clede_2828_Post Square_Dallas_13884" )</f>
        <v>La Clede_2828_Post Square_Dallas_13884</v>
      </c>
      <c r="L3984" s="104" t="s">
        <v>22253</v>
      </c>
      <c r="M3984" s="103" t="str">
        <f t="shared" si="313"/>
        <v>http://oconnordata.com/mlink/modules/profile/index.cfm?action=profile&amp;prop_id=13884</v>
      </c>
      <c r="N3984" s="1">
        <f t="shared" si="314"/>
        <v>13884</v>
      </c>
    </row>
    <row r="3985" spans="1:14" x14ac:dyDescent="0.3">
      <c r="A3985" s="1">
        <v>13885</v>
      </c>
      <c r="B3985" s="7" t="s">
        <v>6098</v>
      </c>
      <c r="C3985" s="12">
        <v>215</v>
      </c>
      <c r="D3985" s="7" t="s">
        <v>6099</v>
      </c>
      <c r="E3985" s="13" t="s">
        <v>5612</v>
      </c>
      <c r="F3985" t="str">
        <f t="shared" si="310"/>
        <v>Moore</v>
      </c>
      <c r="G3985" t="str">
        <f t="shared" si="311"/>
        <v>Moore215Coppell</v>
      </c>
      <c r="H3985" t="s">
        <v>34843</v>
      </c>
      <c r="I3985" t="s">
        <v>26265</v>
      </c>
      <c r="J3985" t="str">
        <f t="shared" si="312"/>
        <v>E:\PropInv\MF</v>
      </c>
      <c r="K3985" s="103" t="str">
        <f>HYPERLINK("E:\PropInv\MF\Coppell\Moore Rd N_215_Townlake of Coppell_Coppell_13885","Moore Rd N_215_Townlake of Coppell_Coppell_13885" )</f>
        <v>Moore Rd N_215_Townlake of Coppell_Coppell_13885</v>
      </c>
      <c r="L3985" s="104" t="s">
        <v>22253</v>
      </c>
      <c r="M3985" s="103" t="str">
        <f t="shared" si="313"/>
        <v>http://oconnordata.com/mlink/modules/profile/index.cfm?action=profile&amp;prop_id=13885</v>
      </c>
      <c r="N3985" s="1">
        <f t="shared" si="314"/>
        <v>13885</v>
      </c>
    </row>
    <row r="3986" spans="1:14" x14ac:dyDescent="0.3">
      <c r="A3986" s="1">
        <v>13886</v>
      </c>
      <c r="B3986" s="7" t="s">
        <v>6100</v>
      </c>
      <c r="C3986" s="12">
        <v>2121</v>
      </c>
      <c r="D3986" s="7" t="s">
        <v>6101</v>
      </c>
      <c r="E3986" s="13" t="s">
        <v>4996</v>
      </c>
      <c r="F3986" t="str">
        <f t="shared" si="310"/>
        <v>Routh</v>
      </c>
      <c r="G3986" t="str">
        <f t="shared" si="311"/>
        <v>Routh2121Dallas</v>
      </c>
      <c r="H3986" t="s">
        <v>34844</v>
      </c>
      <c r="I3986" t="s">
        <v>26266</v>
      </c>
      <c r="J3986" t="str">
        <f t="shared" si="312"/>
        <v>E:\PropInv\MF</v>
      </c>
      <c r="K3986" s="103" t="str">
        <f>HYPERLINK("E:\PropInv\MF\Dallas\Routh St_2121_Post Uptown Village_Dallas_13886","Routh St_2121_Post Uptown Village_Dallas_13886" )</f>
        <v>Routh St_2121_Post Uptown Village_Dallas_13886</v>
      </c>
      <c r="L3986" s="104" t="s">
        <v>22253</v>
      </c>
      <c r="M3986" s="103" t="str">
        <f t="shared" si="313"/>
        <v>http://oconnordata.com/mlink/modules/profile/index.cfm?action=profile&amp;prop_id=13886</v>
      </c>
      <c r="N3986" s="1">
        <f t="shared" si="314"/>
        <v>13886</v>
      </c>
    </row>
    <row r="3987" spans="1:14" x14ac:dyDescent="0.3">
      <c r="A3987" s="1">
        <v>13887</v>
      </c>
      <c r="B3987" s="7" t="s">
        <v>6102</v>
      </c>
      <c r="C3987" s="12">
        <v>9000</v>
      </c>
      <c r="D3987" s="7" t="s">
        <v>6103</v>
      </c>
      <c r="E3987" s="13" t="s">
        <v>4996</v>
      </c>
      <c r="F3987" t="str">
        <f t="shared" si="310"/>
        <v>Poppy</v>
      </c>
      <c r="G3987" t="str">
        <f t="shared" si="311"/>
        <v>Poppy9000Dallas</v>
      </c>
      <c r="H3987" t="s">
        <v>34845</v>
      </c>
      <c r="I3987" t="s">
        <v>26267</v>
      </c>
      <c r="J3987" t="str">
        <f t="shared" si="312"/>
        <v>E:\PropInv\MF</v>
      </c>
      <c r="K3987" s="103" t="str">
        <f>HYPERLINK("E:\PropInv\MF\Dallas\Poppy Dr_9000_Oaks White Rock_Dallas_13887","Poppy Dr_9000_Oaks White Rock_Dallas_13887" )</f>
        <v>Poppy Dr_9000_Oaks White Rock_Dallas_13887</v>
      </c>
      <c r="L3987" s="104" t="s">
        <v>22253</v>
      </c>
      <c r="M3987" s="103" t="str">
        <f t="shared" si="313"/>
        <v>http://oconnordata.com/mlink/modules/profile/index.cfm?action=profile&amp;prop_id=13887</v>
      </c>
      <c r="N3987" s="1">
        <f t="shared" si="314"/>
        <v>13887</v>
      </c>
    </row>
    <row r="3988" spans="1:14" x14ac:dyDescent="0.3">
      <c r="A3988" s="1">
        <v>13888</v>
      </c>
      <c r="B3988" s="10" t="s">
        <v>5765</v>
      </c>
      <c r="C3988" s="9">
        <v>1623</v>
      </c>
      <c r="D3988" s="10" t="s">
        <v>6104</v>
      </c>
      <c r="E3988" s="11" t="s">
        <v>4996</v>
      </c>
      <c r="F3988" t="str">
        <f t="shared" si="310"/>
        <v>Main</v>
      </c>
      <c r="G3988" t="str">
        <f t="shared" si="311"/>
        <v>Main1623Dallas</v>
      </c>
      <c r="H3988" t="s">
        <v>34846</v>
      </c>
      <c r="I3988" t="s">
        <v>26268</v>
      </c>
      <c r="J3988" t="str">
        <f t="shared" si="312"/>
        <v>E:\PropInv\MF</v>
      </c>
      <c r="K3988" s="103" t="str">
        <f>HYPERLINK("E:\PropInv\MF\Dallas\Main_1623_Mercantile Place-The Wilson_Dallas_13888","Main_1623_Mercantile Place-The Wilson_Dallas_13888" )</f>
        <v>Main_1623_Mercantile Place-The Wilson_Dallas_13888</v>
      </c>
      <c r="L3988" s="104" t="s">
        <v>22253</v>
      </c>
      <c r="M3988" s="103" t="str">
        <f t="shared" si="313"/>
        <v>http://oconnordata.com/mlink/modules/profile/index.cfm?action=profile&amp;prop_id=13888</v>
      </c>
      <c r="N3988" s="1">
        <f t="shared" si="314"/>
        <v>13888</v>
      </c>
    </row>
    <row r="3989" spans="1:14" x14ac:dyDescent="0.3">
      <c r="A3989" s="1">
        <v>13889</v>
      </c>
      <c r="B3989" s="10" t="s">
        <v>6105</v>
      </c>
      <c r="C3989" s="9">
        <v>3560</v>
      </c>
      <c r="D3989" s="10" t="s">
        <v>6106</v>
      </c>
      <c r="E3989" s="11" t="s">
        <v>3328</v>
      </c>
      <c r="F3989" t="str">
        <f t="shared" si="310"/>
        <v>Alma</v>
      </c>
      <c r="G3989" t="str">
        <f t="shared" si="311"/>
        <v>Alma3560Richardson</v>
      </c>
      <c r="H3989" t="s">
        <v>34847</v>
      </c>
      <c r="I3989" t="s">
        <v>26269</v>
      </c>
      <c r="J3989" t="str">
        <f t="shared" si="312"/>
        <v>E:\PropInv\MF</v>
      </c>
      <c r="K3989" s="103" t="str">
        <f>HYPERLINK("E:\PropInv\MF\Richardson\Alma Rd_3560_Prairie Creek Villas I &amp; II_Richardson_13889","Alma Rd_3560_Prairie Creek Villas I &amp; II_Richardson_13889" )</f>
        <v>Alma Rd_3560_Prairie Creek Villas I &amp; II_Richardson_13889</v>
      </c>
      <c r="L3989" s="104" t="s">
        <v>22253</v>
      </c>
      <c r="M3989" s="103" t="str">
        <f t="shared" si="313"/>
        <v>http://oconnordata.com/mlink/modules/profile/index.cfm?action=profile&amp;prop_id=13889</v>
      </c>
      <c r="N3989" s="1">
        <f t="shared" si="314"/>
        <v>13889</v>
      </c>
    </row>
    <row r="3990" spans="1:14" x14ac:dyDescent="0.3">
      <c r="A3990" s="1">
        <v>13890</v>
      </c>
      <c r="B3990" s="10" t="s">
        <v>5928</v>
      </c>
      <c r="C3990" s="9">
        <v>2861</v>
      </c>
      <c r="D3990" s="10" t="s">
        <v>6107</v>
      </c>
      <c r="E3990" s="11" t="s">
        <v>5088</v>
      </c>
      <c r="F3990" t="str">
        <f t="shared" si="310"/>
        <v>Franklin</v>
      </c>
      <c r="G3990" t="str">
        <f t="shared" si="311"/>
        <v>Franklin2861Mesquite</v>
      </c>
      <c r="H3990" t="s">
        <v>34848</v>
      </c>
      <c r="I3990" t="s">
        <v>26270</v>
      </c>
      <c r="J3990" t="str">
        <f t="shared" si="312"/>
        <v>E:\PropInv\MF</v>
      </c>
      <c r="K3990" s="103" t="str">
        <f>HYPERLINK("E:\PropInv\MF\Mesquite\Franklin_2861_Prescott Place I &amp; II_Mesquite_13890","Franklin_2861_Prescott Place I &amp; II_Mesquite_13890" )</f>
        <v>Franklin_2861_Prescott Place I &amp; II_Mesquite_13890</v>
      </c>
      <c r="L3990" s="104" t="s">
        <v>22253</v>
      </c>
      <c r="M3990" s="103" t="str">
        <f t="shared" si="313"/>
        <v>http://oconnordata.com/mlink/modules/profile/index.cfm?action=profile&amp;prop_id=13890</v>
      </c>
      <c r="N3990" s="1">
        <f t="shared" si="314"/>
        <v>13890</v>
      </c>
    </row>
    <row r="3991" spans="1:14" x14ac:dyDescent="0.3">
      <c r="A3991" s="1">
        <v>13892</v>
      </c>
      <c r="B3991" s="10" t="s">
        <v>6108</v>
      </c>
      <c r="C3991" s="9">
        <v>3950</v>
      </c>
      <c r="D3991" s="10" t="s">
        <v>6109</v>
      </c>
      <c r="E3991" s="11" t="s">
        <v>5046</v>
      </c>
      <c r="F3991" t="str">
        <f t="shared" si="310"/>
        <v>Story</v>
      </c>
      <c r="G3991" t="str">
        <f t="shared" si="311"/>
        <v>Story3950Irving</v>
      </c>
      <c r="H3991" t="s">
        <v>34849</v>
      </c>
      <c r="I3991" t="s">
        <v>26271</v>
      </c>
      <c r="J3991" t="str">
        <f t="shared" si="312"/>
        <v>E:\PropInv\MF</v>
      </c>
      <c r="K3991" s="103" t="str">
        <f>HYPERLINK("E:\PropInv\MF\Irving\Story Rd N_3950_The Shadows of Cottonwood_Irving_13892","Story Rd N_3950_The Shadows of Cottonwood_Irving_13892" )</f>
        <v>Story Rd N_3950_The Shadows of Cottonwood_Irving_13892</v>
      </c>
      <c r="L3991" s="104" t="s">
        <v>22253</v>
      </c>
      <c r="M3991" s="103" t="str">
        <f t="shared" si="313"/>
        <v>http://oconnordata.com/mlink/modules/profile/index.cfm?action=profile&amp;prop_id=13892</v>
      </c>
      <c r="N3991" s="1">
        <f t="shared" si="314"/>
        <v>13892</v>
      </c>
    </row>
    <row r="3992" spans="1:14" x14ac:dyDescent="0.3">
      <c r="A3992" s="1">
        <v>13894</v>
      </c>
      <c r="B3992" s="10" t="s">
        <v>3983</v>
      </c>
      <c r="C3992" s="9">
        <v>14455</v>
      </c>
      <c r="D3992" s="10" t="s">
        <v>6110</v>
      </c>
      <c r="E3992" s="11" t="s">
        <v>4996</v>
      </c>
      <c r="F3992" t="str">
        <f t="shared" si="310"/>
        <v>Preston</v>
      </c>
      <c r="G3992" t="str">
        <f t="shared" si="311"/>
        <v>Preston14455Dallas</v>
      </c>
      <c r="H3992" t="s">
        <v>34850</v>
      </c>
      <c r="I3992" t="s">
        <v>26272</v>
      </c>
      <c r="J3992" t="str">
        <f t="shared" si="312"/>
        <v>E:\PropInv\MF</v>
      </c>
      <c r="K3992" s="103" t="str">
        <f>HYPERLINK("E:\PropInv\MF\Dallas\Preston Rd_14455_Preston Bridge_Dallas_13894","Preston Rd_14455_Preston Bridge_Dallas_13894" )</f>
        <v>Preston Rd_14455_Preston Bridge_Dallas_13894</v>
      </c>
      <c r="L3992" s="104" t="s">
        <v>22253</v>
      </c>
      <c r="M3992" s="103" t="str">
        <f t="shared" si="313"/>
        <v>http://oconnordata.com/mlink/modules/profile/index.cfm?action=profile&amp;prop_id=13894</v>
      </c>
      <c r="N3992" s="1">
        <f t="shared" si="314"/>
        <v>13894</v>
      </c>
    </row>
    <row r="3993" spans="1:14" x14ac:dyDescent="0.3">
      <c r="A3993" s="1">
        <v>13895</v>
      </c>
      <c r="B3993" s="10" t="s">
        <v>5384</v>
      </c>
      <c r="C3993" s="9">
        <v>5902</v>
      </c>
      <c r="D3993" s="10" t="s">
        <v>6111</v>
      </c>
      <c r="E3993" s="11" t="s">
        <v>4996</v>
      </c>
      <c r="F3993" t="str">
        <f t="shared" si="310"/>
        <v>Preston</v>
      </c>
      <c r="G3993" t="str">
        <f t="shared" si="311"/>
        <v>Preston5902Dallas</v>
      </c>
      <c r="H3993" t="s">
        <v>34851</v>
      </c>
      <c r="I3993" t="s">
        <v>26273</v>
      </c>
      <c r="J3993" t="str">
        <f t="shared" si="312"/>
        <v>E:\PropInv\MF</v>
      </c>
      <c r="K3993" s="103" t="str">
        <f>HYPERLINK("E:\PropInv\MF\Dallas\Preston Oaks_5902_Preston Creek_Dallas_13895","Preston Oaks_5902_Preston Creek_Dallas_13895" )</f>
        <v>Preston Oaks_5902_Preston Creek_Dallas_13895</v>
      </c>
      <c r="L3993" s="104" t="s">
        <v>22253</v>
      </c>
      <c r="M3993" s="103" t="str">
        <f t="shared" si="313"/>
        <v>http://oconnordata.com/mlink/modules/profile/index.cfm?action=profile&amp;prop_id=13895</v>
      </c>
      <c r="N3993" s="1">
        <f t="shared" si="314"/>
        <v>13895</v>
      </c>
    </row>
    <row r="3994" spans="1:14" x14ac:dyDescent="0.3">
      <c r="A3994" s="1">
        <v>13896</v>
      </c>
      <c r="B3994" s="10" t="s">
        <v>6112</v>
      </c>
      <c r="C3994" s="9">
        <v>5800</v>
      </c>
      <c r="D3994" s="10" t="s">
        <v>5384</v>
      </c>
      <c r="E3994" s="11" t="s">
        <v>4996</v>
      </c>
      <c r="F3994" t="str">
        <f t="shared" si="310"/>
        <v>Preston</v>
      </c>
      <c r="G3994" t="str">
        <f t="shared" si="311"/>
        <v>Preston5800Dallas</v>
      </c>
      <c r="H3994" t="s">
        <v>34852</v>
      </c>
      <c r="I3994" t="s">
        <v>26274</v>
      </c>
      <c r="J3994" t="str">
        <f t="shared" si="312"/>
        <v>E:\PropInv\MF</v>
      </c>
      <c r="K3994" s="103" t="str">
        <f>HYPERLINK("E:\PropInv\MF\Dallas\Preston Oaks Rd_5800_Preston Oaks_Dallas_13896","Preston Oaks Rd_5800_Preston Oaks_Dallas_13896" )</f>
        <v>Preston Oaks Rd_5800_Preston Oaks_Dallas_13896</v>
      </c>
      <c r="L3994" s="104" t="s">
        <v>22253</v>
      </c>
      <c r="M3994" s="103" t="str">
        <f t="shared" si="313"/>
        <v>http://oconnordata.com/mlink/modules/profile/index.cfm?action=profile&amp;prop_id=13896</v>
      </c>
      <c r="N3994" s="1">
        <f t="shared" si="314"/>
        <v>13896</v>
      </c>
    </row>
    <row r="3995" spans="1:14" x14ac:dyDescent="0.3">
      <c r="A3995" s="1">
        <v>13897</v>
      </c>
      <c r="B3995" s="10" t="s">
        <v>6113</v>
      </c>
      <c r="C3995" s="9">
        <v>5757</v>
      </c>
      <c r="D3995" s="10" t="s">
        <v>6114</v>
      </c>
      <c r="E3995" s="11" t="s">
        <v>4996</v>
      </c>
      <c r="F3995" t="str">
        <f t="shared" si="310"/>
        <v>Preston</v>
      </c>
      <c r="G3995" t="str">
        <f t="shared" si="311"/>
        <v>Preston5757Dallas</v>
      </c>
      <c r="H3995" t="s">
        <v>34853</v>
      </c>
      <c r="I3995" t="s">
        <v>26275</v>
      </c>
      <c r="J3995" t="str">
        <f t="shared" si="312"/>
        <v>E:\PropInv\MF</v>
      </c>
      <c r="K3995" s="103" t="str">
        <f>HYPERLINK("E:\PropInv\MF\Dallas\Preston View Blvd_5757_Preston Park_Dallas_13897","Preston View Blvd_5757_Preston Park_Dallas_13897" )</f>
        <v>Preston View Blvd_5757_Preston Park_Dallas_13897</v>
      </c>
      <c r="L3995" s="104" t="s">
        <v>22253</v>
      </c>
      <c r="M3995" s="103" t="str">
        <f t="shared" si="313"/>
        <v>http://oconnordata.com/mlink/modules/profile/index.cfm?action=profile&amp;prop_id=13897</v>
      </c>
      <c r="N3995" s="1">
        <f t="shared" si="314"/>
        <v>13897</v>
      </c>
    </row>
    <row r="3996" spans="1:14" x14ac:dyDescent="0.3">
      <c r="A3996" s="1">
        <v>13898</v>
      </c>
      <c r="B3996" s="10" t="s">
        <v>5141</v>
      </c>
      <c r="C3996" s="9">
        <v>5840</v>
      </c>
      <c r="D3996" s="10" t="s">
        <v>6115</v>
      </c>
      <c r="E3996" s="11" t="s">
        <v>4996</v>
      </c>
      <c r="F3996" t="str">
        <f t="shared" si="310"/>
        <v>Spring</v>
      </c>
      <c r="G3996" t="str">
        <f t="shared" si="311"/>
        <v>Spring5840Dallas</v>
      </c>
      <c r="H3996" t="s">
        <v>34854</v>
      </c>
      <c r="I3996" t="s">
        <v>26276</v>
      </c>
      <c r="J3996" t="str">
        <f t="shared" si="312"/>
        <v>E:\PropInv\MF</v>
      </c>
      <c r="K3996" s="103" t="str">
        <f>HYPERLINK("E:\PropInv\MF\Dallas\Spring Valley Rd_5840_Preston Racquet Club Condos_Dallas_13898","Spring Valley Rd_5840_Preston Racquet Club Condos_Dallas_13898" )</f>
        <v>Spring Valley Rd_5840_Preston Racquet Club Condos_Dallas_13898</v>
      </c>
      <c r="L3996" s="104" t="s">
        <v>22253</v>
      </c>
      <c r="M3996" s="103" t="str">
        <f t="shared" si="313"/>
        <v>http://oconnordata.com/mlink/modules/profile/index.cfm?action=profile&amp;prop_id=13898</v>
      </c>
      <c r="N3996" s="1">
        <f t="shared" si="314"/>
        <v>13898</v>
      </c>
    </row>
    <row r="3997" spans="1:14" x14ac:dyDescent="0.3">
      <c r="A3997" s="1">
        <v>13899</v>
      </c>
      <c r="B3997" s="10" t="s">
        <v>5015</v>
      </c>
      <c r="C3997" s="9">
        <v>5631</v>
      </c>
      <c r="D3997" s="10" t="s">
        <v>6116</v>
      </c>
      <c r="E3997" s="11" t="s">
        <v>4996</v>
      </c>
      <c r="F3997" t="str">
        <f t="shared" si="310"/>
        <v>Spring</v>
      </c>
      <c r="G3997" t="str">
        <f t="shared" si="311"/>
        <v>Spring5631Dallas</v>
      </c>
      <c r="H3997" t="s">
        <v>34855</v>
      </c>
      <c r="I3997" t="s">
        <v>26277</v>
      </c>
      <c r="J3997" t="str">
        <f t="shared" si="312"/>
        <v>E:\PropInv\MF</v>
      </c>
      <c r="K3997" s="103" t="str">
        <f>HYPERLINK("E:\PropInv\MF\Dallas\Spring Valley_5631_Preston Valley_Dallas_13899","Spring Valley_5631_Preston Valley_Dallas_13899" )</f>
        <v>Spring Valley_5631_Preston Valley_Dallas_13899</v>
      </c>
      <c r="L3997" s="104" t="s">
        <v>22253</v>
      </c>
      <c r="M3997" s="103" t="str">
        <f t="shared" si="313"/>
        <v>http://oconnordata.com/mlink/modules/profile/index.cfm?action=profile&amp;prop_id=13899</v>
      </c>
      <c r="N3997" s="1">
        <f t="shared" si="314"/>
        <v>13899</v>
      </c>
    </row>
    <row r="3998" spans="1:14" x14ac:dyDescent="0.3">
      <c r="A3998" s="1">
        <v>13901</v>
      </c>
      <c r="B3998" s="10" t="s">
        <v>5148</v>
      </c>
      <c r="C3998" s="9">
        <v>6121</v>
      </c>
      <c r="D3998" s="10" t="s">
        <v>6117</v>
      </c>
      <c r="E3998" s="11" t="s">
        <v>4996</v>
      </c>
      <c r="F3998" t="str">
        <f t="shared" si="310"/>
        <v>Melody</v>
      </c>
      <c r="G3998" t="str">
        <f t="shared" si="311"/>
        <v>Melody6121Dallas</v>
      </c>
      <c r="H3998" t="s">
        <v>34856</v>
      </c>
      <c r="I3998" t="s">
        <v>26278</v>
      </c>
      <c r="J3998" t="str">
        <f t="shared" si="312"/>
        <v>E:\PropInv\MF</v>
      </c>
      <c r="K3998" s="103" t="str">
        <f>HYPERLINK("E:\PropInv\MF\Dallas\Melody Ln_6121_Princeton Court_Dallas_13901","Melody Ln_6121_Princeton Court_Dallas_13901" )</f>
        <v>Melody Ln_6121_Princeton Court_Dallas_13901</v>
      </c>
      <c r="L3998" s="104" t="s">
        <v>22253</v>
      </c>
      <c r="M3998" s="103" t="str">
        <f t="shared" si="313"/>
        <v>http://oconnordata.com/mlink/modules/profile/index.cfm?action=profile&amp;prop_id=13901</v>
      </c>
      <c r="N3998" s="1">
        <f t="shared" si="314"/>
        <v>13901</v>
      </c>
    </row>
    <row r="3999" spans="1:14" x14ac:dyDescent="0.3">
      <c r="A3999" s="1">
        <v>13902</v>
      </c>
      <c r="B3999" s="7" t="s">
        <v>5300</v>
      </c>
      <c r="C3999" s="12">
        <v>11700</v>
      </c>
      <c r="D3999" s="7" t="s">
        <v>6118</v>
      </c>
      <c r="E3999" s="13" t="s">
        <v>4996</v>
      </c>
      <c r="F3999" t="str">
        <f t="shared" si="310"/>
        <v>Audelia</v>
      </c>
      <c r="G3999" t="str">
        <f t="shared" si="311"/>
        <v>Audelia11700Dallas</v>
      </c>
      <c r="H3999" t="s">
        <v>34857</v>
      </c>
      <c r="I3999" t="s">
        <v>26279</v>
      </c>
      <c r="J3999" t="str">
        <f t="shared" si="312"/>
        <v>E:\PropInv\MF</v>
      </c>
      <c r="K3999" s="103" t="str">
        <f>HYPERLINK("E:\PropInv\MF\Dallas\Audelia_11700_Providence_Dallas_13902","Audelia_11700_Providence_Dallas_13902" )</f>
        <v>Audelia_11700_Providence_Dallas_13902</v>
      </c>
      <c r="L3999" s="104" t="s">
        <v>22253</v>
      </c>
      <c r="M3999" s="103" t="str">
        <f t="shared" si="313"/>
        <v>http://oconnordata.com/mlink/modules/profile/index.cfm?action=profile&amp;prop_id=13902</v>
      </c>
      <c r="N3999" s="1">
        <f t="shared" si="314"/>
        <v>13902</v>
      </c>
    </row>
    <row r="4000" spans="1:14" x14ac:dyDescent="0.3">
      <c r="A4000" s="1">
        <v>13903</v>
      </c>
      <c r="B4000" s="7" t="s">
        <v>6119</v>
      </c>
      <c r="C4000" s="12">
        <v>3301</v>
      </c>
      <c r="D4000" s="7" t="s">
        <v>6120</v>
      </c>
      <c r="E4000" s="13" t="s">
        <v>5012</v>
      </c>
      <c r="F4000" t="str">
        <f t="shared" si="310"/>
        <v>Glenshire</v>
      </c>
      <c r="G4000" t="str">
        <f t="shared" si="311"/>
        <v>Glenshire3301Balch Springs</v>
      </c>
      <c r="H4000" t="s">
        <v>34858</v>
      </c>
      <c r="I4000" t="s">
        <v>26280</v>
      </c>
      <c r="J4000" t="str">
        <f t="shared" si="312"/>
        <v>E:\PropInv\MF</v>
      </c>
      <c r="K4000" s="103" t="str">
        <f>HYPERLINK("E:\PropInv\MF\Balch Springs\Glenshire_3301_Glenshire Villas I_Balch Springs_13903","Glenshire_3301_Glenshire Villas I_Balch Springs_13903" )</f>
        <v>Glenshire_3301_Glenshire Villas I_Balch Springs_13903</v>
      </c>
      <c r="L4000" s="104" t="s">
        <v>22253</v>
      </c>
      <c r="M4000" s="103" t="str">
        <f t="shared" si="313"/>
        <v>http://oconnordata.com/mlink/modules/profile/index.cfm?action=profile&amp;prop_id=13903</v>
      </c>
      <c r="N4000" s="1">
        <f t="shared" si="314"/>
        <v>13903</v>
      </c>
    </row>
    <row r="4001" spans="1:14" x14ac:dyDescent="0.3">
      <c r="A4001" s="1">
        <v>13904</v>
      </c>
      <c r="B4001" s="7" t="s">
        <v>6121</v>
      </c>
      <c r="C4001" s="12">
        <v>12222</v>
      </c>
      <c r="D4001" s="7" t="s">
        <v>6122</v>
      </c>
      <c r="E4001" s="13" t="s">
        <v>5012</v>
      </c>
      <c r="F4001" t="str">
        <f t="shared" si="310"/>
        <v>Quail</v>
      </c>
      <c r="G4001" t="str">
        <f t="shared" si="311"/>
        <v>Quail12222Balch Springs</v>
      </c>
      <c r="H4001" t="s">
        <v>34859</v>
      </c>
      <c r="I4001" t="s">
        <v>26281</v>
      </c>
      <c r="J4001" t="str">
        <f t="shared" si="312"/>
        <v>E:\PropInv\MF</v>
      </c>
      <c r="K4001" s="103" t="str">
        <f>HYPERLINK("E:\PropInv\MF\Balch Springs\Quail Dr_12222_Glenshire Villas II_Balch Springs_13904","Quail Dr_12222_Glenshire Villas II_Balch Springs_13904" )</f>
        <v>Quail Dr_12222_Glenshire Villas II_Balch Springs_13904</v>
      </c>
      <c r="L4001" s="104" t="s">
        <v>22253</v>
      </c>
      <c r="M4001" s="103" t="str">
        <f t="shared" si="313"/>
        <v>http://oconnordata.com/mlink/modules/profile/index.cfm?action=profile&amp;prop_id=13904</v>
      </c>
      <c r="N4001" s="1">
        <f t="shared" si="314"/>
        <v>13904</v>
      </c>
    </row>
    <row r="4002" spans="1:14" x14ac:dyDescent="0.3">
      <c r="A4002" s="1">
        <v>13905</v>
      </c>
      <c r="B4002" s="7" t="s">
        <v>6123</v>
      </c>
      <c r="C4002" s="12">
        <v>720</v>
      </c>
      <c r="D4002" s="7" t="s">
        <v>6124</v>
      </c>
      <c r="E4002" s="13" t="s">
        <v>5076</v>
      </c>
      <c r="F4002" t="str">
        <f t="shared" si="310"/>
        <v>Warrior</v>
      </c>
      <c r="G4002" t="str">
        <f t="shared" si="311"/>
        <v>Warrior720Grand Prairie</v>
      </c>
      <c r="H4002" t="s">
        <v>34860</v>
      </c>
      <c r="I4002" t="s">
        <v>26282</v>
      </c>
      <c r="J4002" t="str">
        <f t="shared" si="312"/>
        <v>E:\PropInv\MF</v>
      </c>
      <c r="K4002" s="103" t="str">
        <f>HYPERLINK("E:\PropInv\MF\Grand Prairie\Warrior Trl E_720_Quail Crossing_Grand Prairie_13905","Warrior Trl E_720_Quail Crossing_Grand Prairie_13905" )</f>
        <v>Warrior Trl E_720_Quail Crossing_Grand Prairie_13905</v>
      </c>
      <c r="L4002" s="104" t="s">
        <v>22253</v>
      </c>
      <c r="M4002" s="103" t="str">
        <f t="shared" si="313"/>
        <v>http://oconnordata.com/mlink/modules/profile/index.cfm?action=profile&amp;prop_id=13905</v>
      </c>
      <c r="N4002" s="1">
        <f t="shared" si="314"/>
        <v>13905</v>
      </c>
    </row>
    <row r="4003" spans="1:14" x14ac:dyDescent="0.3">
      <c r="A4003" s="1">
        <v>13906</v>
      </c>
      <c r="B4003" s="7" t="s">
        <v>5948</v>
      </c>
      <c r="C4003" s="12">
        <v>9666</v>
      </c>
      <c r="D4003" s="7" t="s">
        <v>6125</v>
      </c>
      <c r="E4003" s="13" t="s">
        <v>4996</v>
      </c>
      <c r="F4003" t="str">
        <f t="shared" si="310"/>
        <v>Scyene</v>
      </c>
      <c r="G4003" t="str">
        <f t="shared" si="311"/>
        <v>Scyene9666Dallas</v>
      </c>
      <c r="H4003" t="s">
        <v>34861</v>
      </c>
      <c r="I4003" t="s">
        <v>26283</v>
      </c>
      <c r="J4003" t="str">
        <f t="shared" si="312"/>
        <v>E:\PropInv\MF</v>
      </c>
      <c r="K4003" s="103" t="str">
        <f>HYPERLINK("E:\PropInv\MF\Dallas\Scyene Rd_9666_Quail Hollow_Dallas_13906","Scyene Rd_9666_Quail Hollow_Dallas_13906" )</f>
        <v>Scyene Rd_9666_Quail Hollow_Dallas_13906</v>
      </c>
      <c r="L4003" s="104" t="s">
        <v>22253</v>
      </c>
      <c r="M4003" s="103" t="str">
        <f t="shared" si="313"/>
        <v>http://oconnordata.com/mlink/modules/profile/index.cfm?action=profile&amp;prop_id=13906</v>
      </c>
      <c r="N4003" s="1">
        <f t="shared" si="314"/>
        <v>13906</v>
      </c>
    </row>
    <row r="4004" spans="1:14" x14ac:dyDescent="0.3">
      <c r="A4004" s="110">
        <v>13907</v>
      </c>
      <c r="B4004" s="7" t="s">
        <v>6121</v>
      </c>
      <c r="C4004" s="12">
        <v>12725</v>
      </c>
      <c r="D4004" s="19" t="s">
        <v>6126</v>
      </c>
      <c r="E4004" s="109" t="s">
        <v>5012</v>
      </c>
      <c r="F4004" t="str">
        <f t="shared" si="310"/>
        <v>Quail</v>
      </c>
      <c r="G4004" t="str">
        <f t="shared" si="311"/>
        <v>Quail12725Balch Springs</v>
      </c>
      <c r="H4004" t="s">
        <v>39458</v>
      </c>
      <c r="I4004" t="s">
        <v>26284</v>
      </c>
      <c r="J4004" t="str">
        <f t="shared" si="312"/>
        <v>E:\PropInv\MF</v>
      </c>
      <c r="K4004" s="103" t="str">
        <f>HYPERLINK("E:\PropInv\MF\Balch Springs\Quail Dr_12725_Quail Oaks_Balch Springs_13907","Quail Dr_12725_Quail Oaks_Balch Springs_13907" )</f>
        <v>Quail Dr_12725_Quail Oaks_Balch Springs_13907</v>
      </c>
      <c r="L4004" s="104" t="s">
        <v>22253</v>
      </c>
      <c r="M4004" s="103" t="str">
        <f t="shared" si="313"/>
        <v>http://oconnordata.com/mlink/modules/profile/index.cfm?action=profile&amp;prop_id=13907</v>
      </c>
      <c r="N4004" s="1">
        <f t="shared" si="314"/>
        <v>13907</v>
      </c>
    </row>
    <row r="4005" spans="1:14" x14ac:dyDescent="0.3">
      <c r="A4005" s="1">
        <v>13908</v>
      </c>
      <c r="B4005" s="7" t="s">
        <v>5541</v>
      </c>
      <c r="C4005" s="12">
        <v>1919</v>
      </c>
      <c r="D4005" s="7" t="s">
        <v>6127</v>
      </c>
      <c r="E4005" s="13" t="s">
        <v>5076</v>
      </c>
      <c r="F4005" t="str">
        <f t="shared" si="310"/>
        <v>Tarrant</v>
      </c>
      <c r="G4005" t="str">
        <f t="shared" si="311"/>
        <v>Tarrant1919Grand Prairie</v>
      </c>
      <c r="H4005" t="s">
        <v>34862</v>
      </c>
      <c r="I4005" t="s">
        <v>26285</v>
      </c>
      <c r="J4005" t="str">
        <f t="shared" si="312"/>
        <v>E:\PropInv\MF</v>
      </c>
      <c r="K4005" s="103" t="str">
        <f>HYPERLINK("E:\PropInv\MF\Grand Prairie\Tarrant Rd W_1919_Quail Ridge_Grand Prairie_13908","Tarrant Rd W_1919_Quail Ridge_Grand Prairie_13908" )</f>
        <v>Tarrant Rd W_1919_Quail Ridge_Grand Prairie_13908</v>
      </c>
      <c r="L4005" s="104" t="s">
        <v>22253</v>
      </c>
      <c r="M4005" s="103" t="str">
        <f t="shared" si="313"/>
        <v>http://oconnordata.com/mlink/modules/profile/index.cfm?action=profile&amp;prop_id=13908</v>
      </c>
      <c r="N4005" s="1">
        <f t="shared" si="314"/>
        <v>13908</v>
      </c>
    </row>
    <row r="4006" spans="1:14" x14ac:dyDescent="0.3">
      <c r="A4006" s="1">
        <v>13909</v>
      </c>
      <c r="B4006" s="7" t="s">
        <v>6121</v>
      </c>
      <c r="C4006" s="12">
        <v>12227</v>
      </c>
      <c r="D4006" s="7" t="s">
        <v>6128</v>
      </c>
      <c r="E4006" s="13" t="s">
        <v>5012</v>
      </c>
      <c r="F4006" t="str">
        <f t="shared" si="310"/>
        <v>Quail</v>
      </c>
      <c r="G4006" t="str">
        <f t="shared" si="311"/>
        <v>Quail12227Balch Springs</v>
      </c>
      <c r="H4006" t="s">
        <v>34863</v>
      </c>
      <c r="I4006" t="s">
        <v>26286</v>
      </c>
      <c r="J4006" t="str">
        <f t="shared" si="312"/>
        <v>E:\PropInv\MF</v>
      </c>
      <c r="K4006" s="103" t="str">
        <f>HYPERLINK("E:\PropInv\MF\Balch Springs\Quail Dr_12227_Quail Village I &amp; II_Balch Springs_13909","Quail Dr_12227_Quail Village I &amp; II_Balch Springs_13909" )</f>
        <v>Quail Dr_12227_Quail Village I &amp; II_Balch Springs_13909</v>
      </c>
      <c r="L4006" s="104" t="s">
        <v>22253</v>
      </c>
      <c r="M4006" s="103" t="str">
        <f t="shared" si="313"/>
        <v>http://oconnordata.com/mlink/modules/profile/index.cfm?action=profile&amp;prop_id=13909</v>
      </c>
      <c r="N4006" s="1">
        <f t="shared" si="314"/>
        <v>13909</v>
      </c>
    </row>
    <row r="4007" spans="1:14" x14ac:dyDescent="0.3">
      <c r="A4007" s="1">
        <v>13910</v>
      </c>
      <c r="B4007" s="10" t="s">
        <v>6129</v>
      </c>
      <c r="C4007" s="9">
        <v>2403</v>
      </c>
      <c r="D4007" s="10" t="s">
        <v>6130</v>
      </c>
      <c r="E4007" s="11" t="s">
        <v>4996</v>
      </c>
      <c r="F4007" t="str">
        <f t="shared" si="310"/>
        <v>Washington</v>
      </c>
      <c r="G4007" t="str">
        <f t="shared" si="311"/>
        <v>Washington2403Dallas</v>
      </c>
      <c r="H4007" t="s">
        <v>34864</v>
      </c>
      <c r="I4007" t="s">
        <v>26287</v>
      </c>
      <c r="J4007" t="str">
        <f t="shared" si="312"/>
        <v>E:\PropInv\MF</v>
      </c>
      <c r="K4007" s="103" t="str">
        <f>HYPERLINK("E:\PropInv\MF\Dallas\Washington Ave N_2403_AMLI at City Place_Dallas_13910","Washington Ave N_2403_AMLI at City Place_Dallas_13910" )</f>
        <v>Washington Ave N_2403_AMLI at City Place_Dallas_13910</v>
      </c>
      <c r="L4007" s="104" t="s">
        <v>22253</v>
      </c>
      <c r="M4007" s="103" t="str">
        <f t="shared" si="313"/>
        <v>http://oconnordata.com/mlink/modules/profile/index.cfm?action=profile&amp;prop_id=13910</v>
      </c>
      <c r="N4007" s="1">
        <f t="shared" si="314"/>
        <v>13910</v>
      </c>
    </row>
    <row r="4008" spans="1:14" x14ac:dyDescent="0.3">
      <c r="A4008" s="110">
        <v>13911</v>
      </c>
      <c r="B4008" s="7" t="s">
        <v>6131</v>
      </c>
      <c r="C4008" s="12">
        <v>13214</v>
      </c>
      <c r="D4008" s="7" t="s">
        <v>6132</v>
      </c>
      <c r="E4008" s="13" t="s">
        <v>5198</v>
      </c>
      <c r="F4008" t="str">
        <f t="shared" si="310"/>
        <v>Saint</v>
      </c>
      <c r="G4008" t="str">
        <f t="shared" si="311"/>
        <v>Saint13214Farmers Branch</v>
      </c>
      <c r="H4008" t="s">
        <v>34865</v>
      </c>
      <c r="I4008" t="s">
        <v>26288</v>
      </c>
      <c r="J4008" t="str">
        <f t="shared" si="312"/>
        <v>E:\PropInv\MF</v>
      </c>
      <c r="K4008" s="103" t="str">
        <f>HYPERLINK("E:\PropInv\MF\Farmers Branch\Saint Lawrence Cir_13214_Courtyards of Valley View_Farmers Branch_13911","Saint Lawrence Cir_13214_Courtyards of Valley View_Farmers Branch_13911" )</f>
        <v>Saint Lawrence Cir_13214_Courtyards of Valley View_Farmers Branch_13911</v>
      </c>
      <c r="L4008" s="104" t="s">
        <v>22253</v>
      </c>
      <c r="M4008" s="103" t="str">
        <f t="shared" si="313"/>
        <v>http://oconnordata.com/mlink/modules/profile/index.cfm?action=profile&amp;prop_id=13911</v>
      </c>
      <c r="N4008" s="1">
        <f t="shared" si="314"/>
        <v>13911</v>
      </c>
    </row>
    <row r="4009" spans="1:14" x14ac:dyDescent="0.3">
      <c r="A4009" s="1">
        <v>13913</v>
      </c>
      <c r="B4009" s="7" t="s">
        <v>5233</v>
      </c>
      <c r="C4009" s="12">
        <v>8325</v>
      </c>
      <c r="D4009" s="7" t="s">
        <v>6133</v>
      </c>
      <c r="E4009" s="13" t="s">
        <v>4996</v>
      </c>
      <c r="F4009" t="str">
        <f t="shared" si="310"/>
        <v>Meadow</v>
      </c>
      <c r="G4009" t="str">
        <f t="shared" si="311"/>
        <v>Meadow8325Dallas</v>
      </c>
      <c r="H4009" t="s">
        <v>34866</v>
      </c>
      <c r="I4009" t="s">
        <v>26289</v>
      </c>
      <c r="J4009" t="str">
        <f t="shared" si="312"/>
        <v>E:\PropInv\MF</v>
      </c>
      <c r="K4009" s="103" t="str">
        <f>HYPERLINK("E:\PropInv\MF\Dallas\Meadow Rd_8325_Park Central_Dallas_13913","Meadow Rd_8325_Park Central_Dallas_13913" )</f>
        <v>Meadow Rd_8325_Park Central_Dallas_13913</v>
      </c>
      <c r="L4009" s="104" t="s">
        <v>22253</v>
      </c>
      <c r="M4009" s="103" t="str">
        <f t="shared" si="313"/>
        <v>http://oconnordata.com/mlink/modules/profile/index.cfm?action=profile&amp;prop_id=13913</v>
      </c>
      <c r="N4009" s="1">
        <f t="shared" si="314"/>
        <v>13913</v>
      </c>
    </row>
    <row r="4010" spans="1:14" x14ac:dyDescent="0.3">
      <c r="A4010" s="1">
        <v>13914</v>
      </c>
      <c r="B4010" s="7" t="s">
        <v>5654</v>
      </c>
      <c r="C4010" s="12">
        <v>1200</v>
      </c>
      <c r="D4010" s="7" t="s">
        <v>6134</v>
      </c>
      <c r="E4010" s="13" t="s">
        <v>5046</v>
      </c>
      <c r="F4010" t="str">
        <f t="shared" si="310"/>
        <v>Hidden</v>
      </c>
      <c r="G4010" t="str">
        <f t="shared" si="311"/>
        <v>Hidden1200Irving</v>
      </c>
      <c r="H4010" t="s">
        <v>34867</v>
      </c>
      <c r="I4010" t="s">
        <v>26290</v>
      </c>
      <c r="J4010" t="str">
        <f t="shared" si="312"/>
        <v>E:\PropInv\MF</v>
      </c>
      <c r="K4010" s="103" t="str">
        <f>HYPERLINK("E:\PropInv\MF\Irving\Hidden Ridge_1200_Rancho Mirage_Irving_13914","Hidden Ridge_1200_Rancho Mirage_Irving_13914" )</f>
        <v>Hidden Ridge_1200_Rancho Mirage_Irving_13914</v>
      </c>
      <c r="L4010" s="104" t="s">
        <v>22253</v>
      </c>
      <c r="M4010" s="103" t="str">
        <f t="shared" si="313"/>
        <v>http://oconnordata.com/mlink/modules/profile/index.cfm?action=profile&amp;prop_id=13914</v>
      </c>
      <c r="N4010" s="1">
        <f t="shared" si="314"/>
        <v>13914</v>
      </c>
    </row>
    <row r="4011" spans="1:14" x14ac:dyDescent="0.3">
      <c r="A4011" s="1">
        <v>13915</v>
      </c>
      <c r="B4011" s="7" t="s">
        <v>5277</v>
      </c>
      <c r="C4011" s="12">
        <v>4849</v>
      </c>
      <c r="D4011" s="7" t="s">
        <v>6135</v>
      </c>
      <c r="E4011" s="13" t="s">
        <v>4996</v>
      </c>
      <c r="F4011" t="str">
        <f t="shared" si="310"/>
        <v>Frankford</v>
      </c>
      <c r="G4011" t="str">
        <f t="shared" si="311"/>
        <v>Frankford4849Dallas</v>
      </c>
      <c r="H4011" t="s">
        <v>34868</v>
      </c>
      <c r="I4011" t="s">
        <v>26291</v>
      </c>
      <c r="J4011" t="str">
        <f t="shared" si="312"/>
        <v>E:\PropInv\MF</v>
      </c>
      <c r="K4011" s="103" t="str">
        <f>HYPERLINK("E:\PropInv\MF\Dallas\Frankford_4849_Rancho Palisades_Dallas_13915","Frankford_4849_Rancho Palisades_Dallas_13915" )</f>
        <v>Frankford_4849_Rancho Palisades_Dallas_13915</v>
      </c>
      <c r="L4011" s="104" t="s">
        <v>22253</v>
      </c>
      <c r="M4011" s="103" t="str">
        <f t="shared" si="313"/>
        <v>http://oconnordata.com/mlink/modules/profile/index.cfm?action=profile&amp;prop_id=13915</v>
      </c>
      <c r="N4011" s="1">
        <f t="shared" si="314"/>
        <v>13915</v>
      </c>
    </row>
    <row r="4012" spans="1:14" x14ac:dyDescent="0.3">
      <c r="A4012" s="1">
        <v>13916</v>
      </c>
      <c r="B4012" s="7" t="s">
        <v>6136</v>
      </c>
      <c r="C4012" s="12">
        <v>3929</v>
      </c>
      <c r="D4012" s="7" t="s">
        <v>6137</v>
      </c>
      <c r="E4012" s="13" t="s">
        <v>4996</v>
      </c>
      <c r="F4012" t="str">
        <f t="shared" si="310"/>
        <v>Rawlins</v>
      </c>
      <c r="G4012" t="str">
        <f t="shared" si="311"/>
        <v>Rawlins3929Dallas</v>
      </c>
      <c r="H4012" t="s">
        <v>34869</v>
      </c>
      <c r="I4012" t="s">
        <v>26292</v>
      </c>
      <c r="J4012" t="str">
        <f t="shared" si="312"/>
        <v>E:\PropInv\MF</v>
      </c>
      <c r="K4012" s="103" t="str">
        <f>HYPERLINK("E:\PropInv\MF\Dallas\Rawlins Suite A_3929_Rawlins Chateau (Demolished)_Dallas_13916","Rawlins Suite A_3929_Rawlins Chateau (Demolished)_Dallas_13916" )</f>
        <v>Rawlins Suite A_3929_Rawlins Chateau (Demolished)_Dallas_13916</v>
      </c>
      <c r="L4012" s="104" t="s">
        <v>22253</v>
      </c>
      <c r="M4012" s="103" t="str">
        <f t="shared" si="313"/>
        <v>http://oconnordata.com/mlink/modules/profile/index.cfm?action=profile&amp;prop_id=13916</v>
      </c>
      <c r="N4012" s="1">
        <f t="shared" si="314"/>
        <v>13916</v>
      </c>
    </row>
    <row r="4013" spans="1:14" x14ac:dyDescent="0.3">
      <c r="A4013" s="1">
        <v>13917</v>
      </c>
      <c r="B4013" s="7" t="s">
        <v>6138</v>
      </c>
      <c r="C4013" s="12">
        <v>2200</v>
      </c>
      <c r="D4013" s="7" t="s">
        <v>6139</v>
      </c>
      <c r="E4013" s="13" t="s">
        <v>5046</v>
      </c>
      <c r="F4013" t="str">
        <f t="shared" si="310"/>
        <v>Rochelle</v>
      </c>
      <c r="G4013" t="str">
        <f t="shared" si="311"/>
        <v>Rochelle2200Irving</v>
      </c>
      <c r="H4013" t="s">
        <v>34870</v>
      </c>
      <c r="I4013" t="s">
        <v>26293</v>
      </c>
      <c r="J4013" t="str">
        <f t="shared" si="312"/>
        <v>E:\PropInv\MF</v>
      </c>
      <c r="K4013" s="103" t="str">
        <f>HYPERLINK("E:\PropInv\MF\Irving\Rochelle_2200_Rayo de Sol_Irving_13917","Rochelle_2200_Rayo de Sol_Irving_13917" )</f>
        <v>Rochelle_2200_Rayo de Sol_Irving_13917</v>
      </c>
      <c r="L4013" s="104" t="s">
        <v>22253</v>
      </c>
      <c r="M4013" s="103" t="str">
        <f t="shared" si="313"/>
        <v>http://oconnordata.com/mlink/modules/profile/index.cfm?action=profile&amp;prop_id=13917</v>
      </c>
      <c r="N4013" s="1">
        <f t="shared" si="314"/>
        <v>13917</v>
      </c>
    </row>
    <row r="4014" spans="1:14" x14ac:dyDescent="0.3">
      <c r="A4014" s="1">
        <v>13918</v>
      </c>
      <c r="B4014" s="7" t="s">
        <v>5316</v>
      </c>
      <c r="C4014" s="12">
        <v>2625</v>
      </c>
      <c r="D4014" s="7" t="s">
        <v>6140</v>
      </c>
      <c r="E4014" s="13" t="s">
        <v>5076</v>
      </c>
      <c r="F4014" t="str">
        <f t="shared" si="310"/>
        <v>360</v>
      </c>
      <c r="G4014" t="str">
        <f t="shared" si="311"/>
        <v>3602625Grand Prairie</v>
      </c>
      <c r="H4014" t="s">
        <v>34871</v>
      </c>
      <c r="I4014" t="s">
        <v>26294</v>
      </c>
      <c r="J4014" t="str">
        <f t="shared" si="312"/>
        <v>E:\PropInv\MF</v>
      </c>
      <c r="K4014" s="103" t="str">
        <f>HYPERLINK("E:\PropInv\MF\Grand Prairie\360 Hwy N_2625_Red River Ranch_Grand Prairie_13918","360 Hwy N_2625_Red River Ranch_Grand Prairie_13918" )</f>
        <v>360 Hwy N_2625_Red River Ranch_Grand Prairie_13918</v>
      </c>
      <c r="L4014" s="104" t="s">
        <v>22253</v>
      </c>
      <c r="M4014" s="103" t="str">
        <f t="shared" si="313"/>
        <v>http://oconnordata.com/mlink/modules/profile/index.cfm?action=profile&amp;prop_id=13918</v>
      </c>
      <c r="N4014" s="1">
        <f t="shared" si="314"/>
        <v>13918</v>
      </c>
    </row>
    <row r="4015" spans="1:14" x14ac:dyDescent="0.3">
      <c r="A4015" s="1">
        <v>13919</v>
      </c>
      <c r="B4015" s="7" t="s">
        <v>6141</v>
      </c>
      <c r="C4015" s="12">
        <v>3636</v>
      </c>
      <c r="D4015" s="29" t="s">
        <v>6142</v>
      </c>
      <c r="E4015" s="13" t="s">
        <v>4996</v>
      </c>
      <c r="F4015" t="str">
        <f t="shared" si="310"/>
        <v>Red</v>
      </c>
      <c r="G4015" t="str">
        <f t="shared" si="311"/>
        <v>Red3636Dallas</v>
      </c>
      <c r="H4015" t="s">
        <v>34872</v>
      </c>
      <c r="I4015" t="s">
        <v>26295</v>
      </c>
      <c r="J4015" t="str">
        <f t="shared" si="312"/>
        <v>E:\PropInv\MF</v>
      </c>
      <c r="K4015" s="103" t="str">
        <f>HYPERLINK("E:\PropInv\MF\Dallas\Red Bird Ln W_3636_Redbird Trails_Dallas_13919","Red Bird Ln W_3636_Redbird Trails_Dallas_13919" )</f>
        <v>Red Bird Ln W_3636_Redbird Trails_Dallas_13919</v>
      </c>
      <c r="L4015" s="104" t="s">
        <v>22253</v>
      </c>
      <c r="M4015" s="103" t="str">
        <f t="shared" si="313"/>
        <v>http://oconnordata.com/mlink/modules/profile/index.cfm?action=profile&amp;prop_id=13919</v>
      </c>
      <c r="N4015" s="1">
        <f t="shared" si="314"/>
        <v>13919</v>
      </c>
    </row>
    <row r="4016" spans="1:14" x14ac:dyDescent="0.3">
      <c r="A4016" s="1">
        <v>13920</v>
      </c>
      <c r="B4016" s="7" t="s">
        <v>6143</v>
      </c>
      <c r="C4016" s="12">
        <v>1300</v>
      </c>
      <c r="D4016" s="7" t="s">
        <v>6144</v>
      </c>
      <c r="E4016" s="13" t="s">
        <v>5043</v>
      </c>
      <c r="F4016" t="str">
        <f t="shared" si="310"/>
        <v>Redbud</v>
      </c>
      <c r="G4016" t="str">
        <f t="shared" si="311"/>
        <v>Redbud1300McKinney</v>
      </c>
      <c r="H4016" t="s">
        <v>34873</v>
      </c>
      <c r="I4016" t="s">
        <v>26296</v>
      </c>
      <c r="J4016" t="str">
        <f t="shared" si="312"/>
        <v>E:\PropInv\MF</v>
      </c>
      <c r="K4016" s="103" t="str">
        <f>HYPERLINK("E:\PropInv\MF\McKinney\Redbud Blvd N_1300_Redbud Trail_McKinney_13920","Redbud Blvd N_1300_Redbud Trail_McKinney_13920" )</f>
        <v>Redbud Blvd N_1300_Redbud Trail_McKinney_13920</v>
      </c>
      <c r="L4016" s="104" t="s">
        <v>22253</v>
      </c>
      <c r="M4016" s="103" t="str">
        <f t="shared" si="313"/>
        <v>http://oconnordata.com/mlink/modules/profile/index.cfm?action=profile&amp;prop_id=13920</v>
      </c>
      <c r="N4016" s="1">
        <f t="shared" si="314"/>
        <v>13920</v>
      </c>
    </row>
    <row r="4017" spans="1:14" x14ac:dyDescent="0.3">
      <c r="A4017" s="1">
        <v>13921</v>
      </c>
      <c r="B4017" s="7" t="s">
        <v>5673</v>
      </c>
      <c r="C4017" s="12">
        <v>9010</v>
      </c>
      <c r="D4017" s="7" t="s">
        <v>6145</v>
      </c>
      <c r="E4017" s="13" t="s">
        <v>4996</v>
      </c>
      <c r="F4017" t="str">
        <f t="shared" si="310"/>
        <v>Markville</v>
      </c>
      <c r="G4017" t="str">
        <f t="shared" si="311"/>
        <v>Markville9010Dallas</v>
      </c>
      <c r="H4017" t="s">
        <v>34874</v>
      </c>
      <c r="I4017" t="s">
        <v>26297</v>
      </c>
      <c r="J4017" t="str">
        <f t="shared" si="312"/>
        <v>E:\PropInv\MF</v>
      </c>
      <c r="K4017" s="103" t="str">
        <f>HYPERLINK("E:\PropInv\MF\Dallas\Markville Dr_9010_Reflections of Highpoint_Dallas_13921","Markville Dr_9010_Reflections of Highpoint_Dallas_13921" )</f>
        <v>Markville Dr_9010_Reflections of Highpoint_Dallas_13921</v>
      </c>
      <c r="L4017" s="104" t="s">
        <v>22253</v>
      </c>
      <c r="M4017" s="103" t="str">
        <f t="shared" si="313"/>
        <v>http://oconnordata.com/mlink/modules/profile/index.cfm?action=profile&amp;prop_id=13921</v>
      </c>
      <c r="N4017" s="1">
        <f t="shared" si="314"/>
        <v>13921</v>
      </c>
    </row>
    <row r="4018" spans="1:14" x14ac:dyDescent="0.3">
      <c r="A4018" s="1">
        <v>13922</v>
      </c>
      <c r="B4018" s="7" t="s">
        <v>6146</v>
      </c>
      <c r="C4018" s="12">
        <v>8801</v>
      </c>
      <c r="D4018" s="7" t="s">
        <v>6147</v>
      </c>
      <c r="E4018" s="13" t="s">
        <v>5046</v>
      </c>
      <c r="F4018" t="str">
        <f t="shared" si="310"/>
        <v>Rodeo</v>
      </c>
      <c r="G4018" t="str">
        <f t="shared" si="311"/>
        <v>Rodeo8801Irving</v>
      </c>
      <c r="H4018" t="s">
        <v>34875</v>
      </c>
      <c r="I4018" t="s">
        <v>26298</v>
      </c>
      <c r="J4018" t="str">
        <f t="shared" si="312"/>
        <v>E:\PropInv\MF</v>
      </c>
      <c r="K4018" s="103" t="str">
        <f>HYPERLINK("E:\PropInv\MF\Irving\Rodeo Dr_8801_Reflections at Valley Ranch_Irving_13922","Rodeo Dr_8801_Reflections at Valley Ranch_Irving_13922" )</f>
        <v>Rodeo Dr_8801_Reflections at Valley Ranch_Irving_13922</v>
      </c>
      <c r="L4018" s="104" t="s">
        <v>22253</v>
      </c>
      <c r="M4018" s="103" t="str">
        <f t="shared" si="313"/>
        <v>http://oconnordata.com/mlink/modules/profile/index.cfm?action=profile&amp;prop_id=13922</v>
      </c>
      <c r="N4018" s="1">
        <f t="shared" si="314"/>
        <v>13922</v>
      </c>
    </row>
    <row r="4019" spans="1:14" x14ac:dyDescent="0.3">
      <c r="A4019" s="1">
        <v>13923</v>
      </c>
      <c r="B4019" s="7" t="s">
        <v>5170</v>
      </c>
      <c r="C4019" s="12">
        <v>2414</v>
      </c>
      <c r="D4019" s="7" t="s">
        <v>6148</v>
      </c>
      <c r="E4019" s="13" t="s">
        <v>5046</v>
      </c>
      <c r="F4019" t="str">
        <f t="shared" si="310"/>
        <v>Macarthur</v>
      </c>
      <c r="G4019" t="str">
        <f t="shared" si="311"/>
        <v>Macarthur2414Irving</v>
      </c>
      <c r="H4019" t="s">
        <v>34876</v>
      </c>
      <c r="I4019" t="s">
        <v>26299</v>
      </c>
      <c r="J4019" t="str">
        <f t="shared" si="312"/>
        <v>E:\PropInv\MF</v>
      </c>
      <c r="K4019" s="103" t="str">
        <f>HYPERLINK("E:\PropInv\MF\Irving\Macarthur_2414_Regal Parc_Irving_13923","Macarthur_2414_Regal Parc_Irving_13923" )</f>
        <v>Macarthur_2414_Regal Parc_Irving_13923</v>
      </c>
      <c r="L4019" s="104" t="s">
        <v>22253</v>
      </c>
      <c r="M4019" s="103" t="str">
        <f t="shared" si="313"/>
        <v>http://oconnordata.com/mlink/modules/profile/index.cfm?action=profile&amp;prop_id=13923</v>
      </c>
      <c r="N4019" s="1">
        <f t="shared" si="314"/>
        <v>13923</v>
      </c>
    </row>
    <row r="4020" spans="1:14" x14ac:dyDescent="0.3">
      <c r="A4020" s="1">
        <v>13925</v>
      </c>
      <c r="B4020" s="7" t="s">
        <v>5300</v>
      </c>
      <c r="C4020" s="12">
        <v>13030</v>
      </c>
      <c r="D4020" s="7" t="s">
        <v>6149</v>
      </c>
      <c r="E4020" s="13" t="s">
        <v>4996</v>
      </c>
      <c r="F4020" t="str">
        <f t="shared" si="310"/>
        <v>Audelia</v>
      </c>
      <c r="G4020" t="str">
        <f t="shared" si="311"/>
        <v>Audelia13030Dallas</v>
      </c>
      <c r="H4020" t="s">
        <v>34877</v>
      </c>
      <c r="I4020" t="s">
        <v>26300</v>
      </c>
      <c r="J4020" t="str">
        <f t="shared" si="312"/>
        <v>E:\PropInv\MF</v>
      </c>
      <c r="K4020" s="103" t="str">
        <f>HYPERLINK("E:\PropInv\MF\Dallas\Audelia_13030_Regal Springs_Dallas_13925","Audelia_13030_Regal Springs_Dallas_13925" )</f>
        <v>Audelia_13030_Regal Springs_Dallas_13925</v>
      </c>
      <c r="L4020" s="104" t="s">
        <v>22253</v>
      </c>
      <c r="M4020" s="103" t="str">
        <f t="shared" si="313"/>
        <v>http://oconnordata.com/mlink/modules/profile/index.cfm?action=profile&amp;prop_id=13925</v>
      </c>
      <c r="N4020" s="1">
        <f t="shared" si="314"/>
        <v>13925</v>
      </c>
    </row>
    <row r="4021" spans="1:14" x14ac:dyDescent="0.3">
      <c r="A4021" s="97">
        <v>13926</v>
      </c>
      <c r="B4021" s="7" t="s">
        <v>6150</v>
      </c>
      <c r="C4021" s="12">
        <v>1319</v>
      </c>
      <c r="D4021" s="7" t="s">
        <v>6151</v>
      </c>
      <c r="E4021" s="13" t="s">
        <v>3328</v>
      </c>
      <c r="F4021" t="str">
        <f t="shared" si="310"/>
        <v>Cavalier</v>
      </c>
      <c r="G4021" t="str">
        <f t="shared" si="311"/>
        <v>Cavalier1319Richardson</v>
      </c>
      <c r="H4021" t="s">
        <v>34878</v>
      </c>
      <c r="I4021" t="s">
        <v>26301</v>
      </c>
      <c r="J4021" t="str">
        <f t="shared" si="312"/>
        <v>E:\PropInv\MF</v>
      </c>
      <c r="K4021" s="103" t="str">
        <f>HYPERLINK("E:\PropInv\MF\Richardson\Cavalier_1319_Worthing Pointe_Richardson_13926","Cavalier_1319_Worthing Pointe_Richardson_13926" )</f>
        <v>Cavalier_1319_Worthing Pointe_Richardson_13926</v>
      </c>
      <c r="L4021" s="104" t="s">
        <v>22253</v>
      </c>
      <c r="M4021" s="103" t="str">
        <f t="shared" si="313"/>
        <v>http://oconnordata.com/mlink/modules/profile/index.cfm?action=profile&amp;prop_id=13926</v>
      </c>
      <c r="N4021" s="1">
        <f t="shared" si="314"/>
        <v>13926</v>
      </c>
    </row>
    <row r="4022" spans="1:14" x14ac:dyDescent="0.3">
      <c r="A4022" s="1">
        <v>13927</v>
      </c>
      <c r="B4022" s="7" t="s">
        <v>5077</v>
      </c>
      <c r="C4022" s="12">
        <v>7474</v>
      </c>
      <c r="D4022" s="7" t="s">
        <v>6152</v>
      </c>
      <c r="E4022" s="13" t="s">
        <v>4996</v>
      </c>
      <c r="F4022" t="str">
        <f t="shared" si="310"/>
        <v>Skillman</v>
      </c>
      <c r="G4022" t="str">
        <f t="shared" si="311"/>
        <v>Skillman7474Dallas</v>
      </c>
      <c r="H4022" t="s">
        <v>34879</v>
      </c>
      <c r="I4022" t="s">
        <v>26302</v>
      </c>
      <c r="J4022" t="str">
        <f t="shared" si="312"/>
        <v>E:\PropInv\MF</v>
      </c>
      <c r="K4022" s="103" t="str">
        <f>HYPERLINK("E:\PropInv\MF\Dallas\Skillman_7474_Regency Condominiums_Dallas_13927","Skillman_7474_Regency Condominiums_Dallas_13927" )</f>
        <v>Skillman_7474_Regency Condominiums_Dallas_13927</v>
      </c>
      <c r="L4022" s="104" t="s">
        <v>22253</v>
      </c>
      <c r="M4022" s="103" t="str">
        <f t="shared" si="313"/>
        <v>http://oconnordata.com/mlink/modules/profile/index.cfm?action=profile&amp;prop_id=13927</v>
      </c>
      <c r="N4022" s="1">
        <f t="shared" si="314"/>
        <v>13927</v>
      </c>
    </row>
    <row r="4023" spans="1:14" x14ac:dyDescent="0.3">
      <c r="A4023" s="1">
        <v>13928</v>
      </c>
      <c r="B4023" s="7" t="s">
        <v>6153</v>
      </c>
      <c r="C4023" s="12">
        <v>1801</v>
      </c>
      <c r="D4023" s="7" t="s">
        <v>6154</v>
      </c>
      <c r="E4023" s="13" t="s">
        <v>5019</v>
      </c>
      <c r="F4023" t="str">
        <f t="shared" si="310"/>
        <v>Walnut</v>
      </c>
      <c r="G4023" t="str">
        <f t="shared" si="311"/>
        <v>Walnut1801Garland</v>
      </c>
      <c r="H4023" t="s">
        <v>34880</v>
      </c>
      <c r="I4023" t="s">
        <v>26303</v>
      </c>
      <c r="J4023" t="str">
        <f t="shared" si="312"/>
        <v>E:\PropInv\MF</v>
      </c>
      <c r="K4023" s="103" t="str">
        <f>HYPERLINK("E:\PropInv\MF\Garland\Walnut_1801_Regents Point TH_Garland_13928","Walnut_1801_Regents Point TH_Garland_13928" )</f>
        <v>Walnut_1801_Regents Point TH_Garland_13928</v>
      </c>
      <c r="L4023" s="104" t="s">
        <v>22253</v>
      </c>
      <c r="M4023" s="103" t="str">
        <f t="shared" si="313"/>
        <v>http://oconnordata.com/mlink/modules/profile/index.cfm?action=profile&amp;prop_id=13928</v>
      </c>
      <c r="N4023" s="1">
        <f t="shared" si="314"/>
        <v>13928</v>
      </c>
    </row>
    <row r="4024" spans="1:14" x14ac:dyDescent="0.3">
      <c r="A4024" s="1">
        <v>13929</v>
      </c>
      <c r="B4024" s="7" t="s">
        <v>6155</v>
      </c>
      <c r="C4024" s="12">
        <v>8707</v>
      </c>
      <c r="D4024" s="7" t="s">
        <v>6156</v>
      </c>
      <c r="E4024" s="13" t="s">
        <v>5046</v>
      </c>
      <c r="F4024" t="str">
        <f t="shared" si="310"/>
        <v>Valley</v>
      </c>
      <c r="G4024" t="str">
        <f t="shared" si="311"/>
        <v>Valley8707Irving</v>
      </c>
      <c r="H4024" t="s">
        <v>34881</v>
      </c>
      <c r="I4024" t="s">
        <v>26304</v>
      </c>
      <c r="J4024" t="str">
        <f t="shared" si="312"/>
        <v>E:\PropInv\MF</v>
      </c>
      <c r="K4024" s="103" t="str">
        <f>HYPERLINK("E:\PropInv\MF\Irving\Valley Ranch Pkwy_8707_Remington at Valley Ranch_Irving_13929","Valley Ranch Pkwy_8707_Remington at Valley Ranch_Irving_13929" )</f>
        <v>Valley Ranch Pkwy_8707_Remington at Valley Ranch_Irving_13929</v>
      </c>
      <c r="L4024" s="104" t="s">
        <v>22253</v>
      </c>
      <c r="M4024" s="103" t="str">
        <f t="shared" si="313"/>
        <v>http://oconnordata.com/mlink/modules/profile/index.cfm?action=profile&amp;prop_id=13929</v>
      </c>
      <c r="N4024" s="1">
        <f t="shared" si="314"/>
        <v>13929</v>
      </c>
    </row>
    <row r="4025" spans="1:14" x14ac:dyDescent="0.3">
      <c r="A4025" s="1">
        <v>13930</v>
      </c>
      <c r="B4025" s="7" t="s">
        <v>6157</v>
      </c>
      <c r="C4025" s="12">
        <v>1201</v>
      </c>
      <c r="D4025" s="7" t="s">
        <v>6158</v>
      </c>
      <c r="E4025" s="13" t="s">
        <v>5046</v>
      </c>
      <c r="F4025" t="str">
        <f t="shared" si="310"/>
        <v>Meadow</v>
      </c>
      <c r="G4025" t="str">
        <f t="shared" si="311"/>
        <v>Meadow1201Irving</v>
      </c>
      <c r="H4025" t="s">
        <v>34882</v>
      </c>
      <c r="I4025" t="s">
        <v>26305</v>
      </c>
      <c r="J4025" t="str">
        <f t="shared" si="312"/>
        <v>E:\PropInv\MF</v>
      </c>
      <c r="K4025" s="103" t="str">
        <f>HYPERLINK("E:\PropInv\MF\Irving\Meadow Creek Dr N_1201_Remington Hills at Las Colinas_Irving_13930","Meadow Creek Dr N_1201_Remington Hills at Las Colinas_Irving_13930" )</f>
        <v>Meadow Creek Dr N_1201_Remington Hills at Las Colinas_Irving_13930</v>
      </c>
      <c r="L4025" s="104" t="s">
        <v>22253</v>
      </c>
      <c r="M4025" s="103" t="str">
        <f t="shared" si="313"/>
        <v>http://oconnordata.com/mlink/modules/profile/index.cfm?action=profile&amp;prop_id=13930</v>
      </c>
      <c r="N4025" s="1">
        <f t="shared" si="314"/>
        <v>13930</v>
      </c>
    </row>
    <row r="4026" spans="1:14" x14ac:dyDescent="0.3">
      <c r="A4026" s="1">
        <v>13931</v>
      </c>
      <c r="B4026" s="7" t="s">
        <v>5841</v>
      </c>
      <c r="C4026" s="12">
        <v>18959</v>
      </c>
      <c r="D4026" s="7" t="s">
        <v>6159</v>
      </c>
      <c r="E4026" s="13" t="s">
        <v>4996</v>
      </c>
      <c r="F4026" t="str">
        <f t="shared" si="310"/>
        <v>Dallas</v>
      </c>
      <c r="G4026" t="str">
        <f t="shared" si="311"/>
        <v>Dallas18959Dallas</v>
      </c>
      <c r="H4026" t="s">
        <v>34883</v>
      </c>
      <c r="I4026" t="s">
        <v>26306</v>
      </c>
      <c r="J4026" t="str">
        <f t="shared" si="312"/>
        <v>E:\PropInv\MF</v>
      </c>
      <c r="K4026" s="103" t="str">
        <f>HYPERLINK("E:\PropInv\MF\Dallas\Dallas Pkwy N_18959_The Renaissance_Dallas_13931","Dallas Pkwy N_18959_The Renaissance_Dallas_13931" )</f>
        <v>Dallas Pkwy N_18959_The Renaissance_Dallas_13931</v>
      </c>
      <c r="L4026" s="104" t="s">
        <v>22253</v>
      </c>
      <c r="M4026" s="103" t="str">
        <f t="shared" si="313"/>
        <v>http://oconnordata.com/mlink/modules/profile/index.cfm?action=profile&amp;prop_id=13931</v>
      </c>
      <c r="N4026" s="1">
        <f t="shared" si="314"/>
        <v>13931</v>
      </c>
    </row>
    <row r="4027" spans="1:14" x14ac:dyDescent="0.3">
      <c r="A4027" s="1">
        <v>13932</v>
      </c>
      <c r="B4027" s="7" t="s">
        <v>6160</v>
      </c>
      <c r="C4027" s="12">
        <v>3839</v>
      </c>
      <c r="D4027" s="7" t="s">
        <v>6161</v>
      </c>
      <c r="E4027" s="13" t="s">
        <v>4996</v>
      </c>
      <c r="F4027" t="str">
        <f t="shared" si="310"/>
        <v>Gannon</v>
      </c>
      <c r="G4027" t="str">
        <f t="shared" si="311"/>
        <v>Gannon3839Dallas</v>
      </c>
      <c r="H4027" t="s">
        <v>34884</v>
      </c>
      <c r="I4027" t="s">
        <v>26307</v>
      </c>
      <c r="J4027" t="str">
        <f t="shared" si="312"/>
        <v>E:\PropInv\MF</v>
      </c>
      <c r="K4027" s="103" t="str">
        <f>HYPERLINK("E:\PropInv\MF\Dallas\Gannon_3839_Cielo Ranch II_Dallas_13932","Gannon_3839_Cielo Ranch II_Dallas_13932" )</f>
        <v>Gannon_3839_Cielo Ranch II_Dallas_13932</v>
      </c>
      <c r="L4027" s="104" t="s">
        <v>22253</v>
      </c>
      <c r="M4027" s="103" t="str">
        <f t="shared" si="313"/>
        <v>http://oconnordata.com/mlink/modules/profile/index.cfm?action=profile&amp;prop_id=13932</v>
      </c>
      <c r="N4027" s="1">
        <f t="shared" si="314"/>
        <v>13932</v>
      </c>
    </row>
    <row r="4028" spans="1:14" x14ac:dyDescent="0.3">
      <c r="A4028" s="1">
        <v>13933</v>
      </c>
      <c r="B4028" s="7" t="s">
        <v>6162</v>
      </c>
      <c r="C4028" s="12">
        <v>5151</v>
      </c>
      <c r="D4028" s="7" t="s">
        <v>6163</v>
      </c>
      <c r="E4028" s="13" t="s">
        <v>4996</v>
      </c>
      <c r="F4028" t="str">
        <f t="shared" si="310"/>
        <v>Verde</v>
      </c>
      <c r="G4028" t="str">
        <f t="shared" si="311"/>
        <v>Verde5151Dallas</v>
      </c>
      <c r="H4028" t="s">
        <v>34885</v>
      </c>
      <c r="I4028" t="s">
        <v>26308</v>
      </c>
      <c r="J4028" t="str">
        <f t="shared" si="312"/>
        <v>E:\PropInv\MF</v>
      </c>
      <c r="K4028" s="103" t="str">
        <f>HYPERLINK("E:\PropInv\MF\Dallas\Verde Valley Ln_5151_Renaissance Parc_Dallas_13933","Verde Valley Ln_5151_Renaissance Parc_Dallas_13933" )</f>
        <v>Verde Valley Ln_5151_Renaissance Parc_Dallas_13933</v>
      </c>
      <c r="L4028" s="104" t="s">
        <v>22253</v>
      </c>
      <c r="M4028" s="103" t="str">
        <f t="shared" si="313"/>
        <v>http://oconnordata.com/mlink/modules/profile/index.cfm?action=profile&amp;prop_id=13933</v>
      </c>
      <c r="N4028" s="1">
        <f t="shared" si="314"/>
        <v>13933</v>
      </c>
    </row>
    <row r="4029" spans="1:14" x14ac:dyDescent="0.3">
      <c r="A4029" s="1">
        <v>13934</v>
      </c>
      <c r="B4029" s="7" t="s">
        <v>6164</v>
      </c>
      <c r="C4029" s="12">
        <v>1716</v>
      </c>
      <c r="D4029" s="7" t="s">
        <v>6165</v>
      </c>
      <c r="E4029" s="13" t="s">
        <v>5055</v>
      </c>
      <c r="F4029" t="str">
        <f t="shared" si="310"/>
        <v>Edmonds</v>
      </c>
      <c r="G4029" t="str">
        <f t="shared" si="311"/>
        <v>Edmonds1716Lewisville</v>
      </c>
      <c r="H4029" t="s">
        <v>34886</v>
      </c>
      <c r="I4029" t="s">
        <v>26309</v>
      </c>
      <c r="J4029" t="str">
        <f t="shared" si="312"/>
        <v>E:\PropInv\MF</v>
      </c>
      <c r="K4029" s="103" t="str">
        <f>HYPERLINK("E:\PropInv\MF\Lewisville\Edmonds Ln S_1716_Renaissance Village_Lewisville_13934","Edmonds Ln S_1716_Renaissance Village_Lewisville_13934" )</f>
        <v>Edmonds Ln S_1716_Renaissance Village_Lewisville_13934</v>
      </c>
      <c r="L4029" s="104" t="s">
        <v>22253</v>
      </c>
      <c r="M4029" s="103" t="str">
        <f t="shared" si="313"/>
        <v>http://oconnordata.com/mlink/modules/profile/index.cfm?action=profile&amp;prop_id=13934</v>
      </c>
      <c r="N4029" s="1">
        <f t="shared" si="314"/>
        <v>13934</v>
      </c>
    </row>
    <row r="4030" spans="1:14" x14ac:dyDescent="0.3">
      <c r="A4030" s="1">
        <v>13935</v>
      </c>
      <c r="B4030" s="7" t="s">
        <v>6166</v>
      </c>
      <c r="C4030" s="12">
        <v>13907</v>
      </c>
      <c r="D4030" s="7" t="s">
        <v>6167</v>
      </c>
      <c r="E4030" s="13" t="s">
        <v>4996</v>
      </c>
      <c r="F4030" t="str">
        <f t="shared" si="310"/>
        <v>Montfort</v>
      </c>
      <c r="G4030" t="str">
        <f t="shared" si="311"/>
        <v>Montfort13907Dallas</v>
      </c>
      <c r="H4030" t="s">
        <v>34887</v>
      </c>
      <c r="I4030" t="s">
        <v>26310</v>
      </c>
      <c r="J4030" t="str">
        <f t="shared" si="312"/>
        <v>E:\PropInv\MF</v>
      </c>
      <c r="K4030" s="103" t="str">
        <f>HYPERLINK("E:\PropInv\MF\Dallas\Montfort Dr_13907_The Reserve at Galleria_Dallas_13935","Montfort Dr_13907_The Reserve at Galleria_Dallas_13935" )</f>
        <v>Montfort Dr_13907_The Reserve at Galleria_Dallas_13935</v>
      </c>
      <c r="L4030" s="104" t="s">
        <v>22253</v>
      </c>
      <c r="M4030" s="103" t="str">
        <f t="shared" si="313"/>
        <v>http://oconnordata.com/mlink/modules/profile/index.cfm?action=profile&amp;prop_id=13935</v>
      </c>
      <c r="N4030" s="1">
        <f t="shared" si="314"/>
        <v>13935</v>
      </c>
    </row>
    <row r="4031" spans="1:14" x14ac:dyDescent="0.3">
      <c r="A4031" s="1">
        <v>13936</v>
      </c>
      <c r="B4031" s="7" t="s">
        <v>5505</v>
      </c>
      <c r="C4031" s="12">
        <v>12009</v>
      </c>
      <c r="D4031" s="7" t="s">
        <v>6168</v>
      </c>
      <c r="E4031" s="13" t="s">
        <v>4996</v>
      </c>
      <c r="F4031" t="str">
        <f t="shared" si="310"/>
        <v>Coit</v>
      </c>
      <c r="G4031" t="str">
        <f t="shared" si="311"/>
        <v>Coit12009Dallas</v>
      </c>
      <c r="H4031" t="s">
        <v>34888</v>
      </c>
      <c r="I4031" t="s">
        <v>26311</v>
      </c>
      <c r="J4031" t="str">
        <f t="shared" si="312"/>
        <v>E:\PropInv\MF</v>
      </c>
      <c r="K4031" s="103" t="str">
        <f>HYPERLINK("E:\PropInv\MF\Dallas\Coit Rd_12009_Ansley at Park Central_Dallas_13936","Coit Rd_12009_Ansley at Park Central_Dallas_13936" )</f>
        <v>Coit Rd_12009_Ansley at Park Central_Dallas_13936</v>
      </c>
      <c r="L4031" s="104" t="s">
        <v>22253</v>
      </c>
      <c r="M4031" s="103" t="str">
        <f t="shared" si="313"/>
        <v>http://oconnordata.com/mlink/modules/profile/index.cfm?action=profile&amp;prop_id=13936</v>
      </c>
      <c r="N4031" s="1">
        <f t="shared" si="314"/>
        <v>13936</v>
      </c>
    </row>
    <row r="4032" spans="1:14" x14ac:dyDescent="0.3">
      <c r="A4032" s="1">
        <v>13937</v>
      </c>
      <c r="B4032" s="7" t="s">
        <v>6169</v>
      </c>
      <c r="C4032" s="12">
        <v>9215</v>
      </c>
      <c r="D4032" s="7" t="s">
        <v>6170</v>
      </c>
      <c r="E4032" s="13" t="s">
        <v>4996</v>
      </c>
      <c r="F4032" t="str">
        <f t="shared" si="310"/>
        <v>Garland</v>
      </c>
      <c r="G4032" t="str">
        <f t="shared" si="311"/>
        <v>Garland9215Dallas</v>
      </c>
      <c r="H4032" t="s">
        <v>34889</v>
      </c>
      <c r="I4032" t="s">
        <v>26312</v>
      </c>
      <c r="J4032" t="str">
        <f t="shared" si="312"/>
        <v>E:\PropInv\MF</v>
      </c>
      <c r="K4032" s="103" t="str">
        <f>HYPERLINK("E:\PropInv\MF\Dallas\Garland Rd_9215_The Reserve at White Rock_Dallas_13937","Garland Rd_9215_The Reserve at White Rock_Dallas_13937" )</f>
        <v>Garland Rd_9215_The Reserve at White Rock_Dallas_13937</v>
      </c>
      <c r="L4032" s="104" t="s">
        <v>22253</v>
      </c>
      <c r="M4032" s="103" t="str">
        <f t="shared" si="313"/>
        <v>http://oconnordata.com/mlink/modules/profile/index.cfm?action=profile&amp;prop_id=13937</v>
      </c>
      <c r="N4032" s="1">
        <f t="shared" si="314"/>
        <v>13937</v>
      </c>
    </row>
    <row r="4033" spans="1:14" x14ac:dyDescent="0.3">
      <c r="A4033" s="1">
        <v>13938</v>
      </c>
      <c r="B4033" s="7" t="s">
        <v>5912</v>
      </c>
      <c r="C4033" s="12">
        <v>2740</v>
      </c>
      <c r="D4033" s="7" t="s">
        <v>6171</v>
      </c>
      <c r="E4033" s="13" t="s">
        <v>4996</v>
      </c>
      <c r="F4033" t="str">
        <f t="shared" si="310"/>
        <v>Duncanville</v>
      </c>
      <c r="G4033" t="str">
        <f t="shared" si="311"/>
        <v>Duncanville2740Dallas</v>
      </c>
      <c r="H4033" t="s">
        <v>34890</v>
      </c>
      <c r="I4033" t="s">
        <v>26313</v>
      </c>
      <c r="J4033" t="str">
        <f t="shared" si="312"/>
        <v>E:\PropInv\MF</v>
      </c>
      <c r="K4033" s="103" t="str">
        <f>HYPERLINK("E:\PropInv\MF\Dallas\Duncanville Rd_2740_Residence at the Oaks_Dallas_13938","Duncanville Rd_2740_Residence at the Oaks_Dallas_13938" )</f>
        <v>Duncanville Rd_2740_Residence at the Oaks_Dallas_13938</v>
      </c>
      <c r="L4033" s="104" t="s">
        <v>22253</v>
      </c>
      <c r="M4033" s="103" t="str">
        <f t="shared" si="313"/>
        <v>http://oconnordata.com/mlink/modules/profile/index.cfm?action=profile&amp;prop_id=13938</v>
      </c>
      <c r="N4033" s="1">
        <f t="shared" si="314"/>
        <v>13938</v>
      </c>
    </row>
    <row r="4034" spans="1:14" x14ac:dyDescent="0.3">
      <c r="A4034" s="1">
        <v>13939</v>
      </c>
      <c r="B4034" s="7" t="s">
        <v>5043</v>
      </c>
      <c r="C4034" s="12">
        <v>3227</v>
      </c>
      <c r="D4034" s="7" t="s">
        <v>6172</v>
      </c>
      <c r="E4034" s="13" t="s">
        <v>4996</v>
      </c>
      <c r="F4034" t="str">
        <f t="shared" ref="F4034:F4097" si="315">IFERROR(LEFT(B4034,FIND(" ",B4034)-1),B4034)</f>
        <v>McKinney</v>
      </c>
      <c r="G4034" t="str">
        <f t="shared" ref="G4034:G4097" si="316">F4034&amp;C4034&amp;E4034</f>
        <v>McKinney3227Dallas</v>
      </c>
      <c r="H4034" t="s">
        <v>34891</v>
      </c>
      <c r="I4034" t="s">
        <v>26314</v>
      </c>
      <c r="J4034" t="str">
        <f t="shared" ref="J4034:J4097" si="317">IF(L4034="TX",Folder_Path,Folder_Path&amp;"\State_"&amp;L4034)</f>
        <v>E:\PropInv\MF</v>
      </c>
      <c r="K4034" s="103" t="str">
        <f>HYPERLINK("E:\PropInv\MF\Dallas\McKinney_3227_Gables Uptown Tower_Dallas_13939","McKinney_3227_Gables Uptown Tower_Dallas_13939" )</f>
        <v>McKinney_3227_Gables Uptown Tower_Dallas_13939</v>
      </c>
      <c r="L4034" s="104" t="s">
        <v>22253</v>
      </c>
      <c r="M4034" s="103" t="str">
        <f t="shared" ref="M4034:M4097" si="318">HYPERLINK("http://oconnordata.com/mlink/modules/profile/index.cfm?action=profile&amp;prop_id="&amp;A4034)</f>
        <v>http://oconnordata.com/mlink/modules/profile/index.cfm?action=profile&amp;prop_id=13939</v>
      </c>
      <c r="N4034" s="1">
        <f t="shared" ref="N4034:N4097" si="319">IF(LEN(A4034)=1,"0000"&amp;A4034,IF(LEN(A4034)=2,"000"&amp;A4034,IF(LEN(A4034)=3,"00"&amp;A4034,IF(LEN(A4034)=4,"0"&amp;A4034,IF(LEN(A4034)=5,IF(LEFT(A4034,1)="3",A4034+30000,A4034))))))</f>
        <v>13939</v>
      </c>
    </row>
    <row r="4035" spans="1:14" x14ac:dyDescent="0.3">
      <c r="A4035" s="1">
        <v>13940</v>
      </c>
      <c r="B4035" s="7" t="s">
        <v>6173</v>
      </c>
      <c r="C4035" s="12">
        <v>9401</v>
      </c>
      <c r="D4035" s="7" t="s">
        <v>6174</v>
      </c>
      <c r="E4035" s="13" t="s">
        <v>4996</v>
      </c>
      <c r="F4035" t="str">
        <f t="shared" si="315"/>
        <v>Mixon</v>
      </c>
      <c r="G4035" t="str">
        <f t="shared" si="316"/>
        <v>Mixon9401Dallas</v>
      </c>
      <c r="H4035" t="s">
        <v>34892</v>
      </c>
      <c r="I4035" t="s">
        <v>26315</v>
      </c>
      <c r="J4035" t="str">
        <f t="shared" si="317"/>
        <v>E:\PropInv\MF</v>
      </c>
      <c r="K4035" s="103" t="str">
        <f>HYPERLINK("E:\PropInv\MF\Dallas\Mixon_9401_Richelieu_Dallas_13940","Mixon_9401_Richelieu_Dallas_13940" )</f>
        <v>Mixon_9401_Richelieu_Dallas_13940</v>
      </c>
      <c r="L4035" s="104" t="s">
        <v>22253</v>
      </c>
      <c r="M4035" s="103" t="str">
        <f t="shared" si="318"/>
        <v>http://oconnordata.com/mlink/modules/profile/index.cfm?action=profile&amp;prop_id=13940</v>
      </c>
      <c r="N4035" s="1">
        <f t="shared" si="319"/>
        <v>13940</v>
      </c>
    </row>
    <row r="4036" spans="1:14" x14ac:dyDescent="0.3">
      <c r="A4036" s="1">
        <v>13941</v>
      </c>
      <c r="B4036" s="7" t="s">
        <v>5201</v>
      </c>
      <c r="C4036" s="12">
        <v>13015</v>
      </c>
      <c r="D4036" s="7" t="s">
        <v>6175</v>
      </c>
      <c r="E4036" s="13" t="s">
        <v>4996</v>
      </c>
      <c r="F4036" t="str">
        <f t="shared" si="315"/>
        <v>Audelia</v>
      </c>
      <c r="G4036" t="str">
        <f t="shared" si="316"/>
        <v>Audelia13015Dallas</v>
      </c>
      <c r="H4036" t="s">
        <v>34893</v>
      </c>
      <c r="I4036" t="s">
        <v>26316</v>
      </c>
      <c r="J4036" t="str">
        <f t="shared" si="317"/>
        <v>E:\PropInv\MF</v>
      </c>
      <c r="K4036" s="103" t="str">
        <f>HYPERLINK("E:\PropInv\MF\Dallas\Audelia Rd_13015_The Dunes at Richland Oaks_Dallas_13941","Audelia Rd_13015_The Dunes at Richland Oaks_Dallas_13941" )</f>
        <v>Audelia Rd_13015_The Dunes at Richland Oaks_Dallas_13941</v>
      </c>
      <c r="L4036" s="104" t="s">
        <v>22253</v>
      </c>
      <c r="M4036" s="103" t="str">
        <f t="shared" si="318"/>
        <v>http://oconnordata.com/mlink/modules/profile/index.cfm?action=profile&amp;prop_id=13941</v>
      </c>
      <c r="N4036" s="1">
        <f t="shared" si="319"/>
        <v>13941</v>
      </c>
    </row>
    <row r="4037" spans="1:14" x14ac:dyDescent="0.3">
      <c r="A4037" s="1">
        <v>13942</v>
      </c>
      <c r="B4037" s="7" t="s">
        <v>6176</v>
      </c>
      <c r="C4037" s="12">
        <v>9999</v>
      </c>
      <c r="D4037" s="7" t="s">
        <v>6177</v>
      </c>
      <c r="E4037" s="13" t="s">
        <v>4996</v>
      </c>
      <c r="F4037" t="str">
        <f t="shared" si="315"/>
        <v>Walnut</v>
      </c>
      <c r="G4037" t="str">
        <f t="shared" si="316"/>
        <v>Walnut9999Dallas</v>
      </c>
      <c r="H4037" t="s">
        <v>34894</v>
      </c>
      <c r="I4037" t="s">
        <v>26317</v>
      </c>
      <c r="J4037" t="str">
        <f t="shared" si="317"/>
        <v>E:\PropInv\MF</v>
      </c>
      <c r="K4037" s="103" t="str">
        <f>HYPERLINK("E:\PropInv\MF\Dallas\Walnut St_9999_Richland Village_Dallas_13942","Walnut St_9999_Richland Village_Dallas_13942" )</f>
        <v>Walnut St_9999_Richland Village_Dallas_13942</v>
      </c>
      <c r="L4037" s="104" t="s">
        <v>22253</v>
      </c>
      <c r="M4037" s="103" t="str">
        <f t="shared" si="318"/>
        <v>http://oconnordata.com/mlink/modules/profile/index.cfm?action=profile&amp;prop_id=13942</v>
      </c>
      <c r="N4037" s="1">
        <f t="shared" si="319"/>
        <v>13942</v>
      </c>
    </row>
    <row r="4038" spans="1:14" x14ac:dyDescent="0.3">
      <c r="A4038" s="1">
        <v>13944</v>
      </c>
      <c r="B4038" s="7" t="s">
        <v>5129</v>
      </c>
      <c r="C4038" s="12">
        <v>9737</v>
      </c>
      <c r="D4038" s="7" t="s">
        <v>6178</v>
      </c>
      <c r="E4038" s="13" t="s">
        <v>4996</v>
      </c>
      <c r="F4038" t="str">
        <f t="shared" si="315"/>
        <v>Forest</v>
      </c>
      <c r="G4038" t="str">
        <f t="shared" si="316"/>
        <v>Forest9737Dallas</v>
      </c>
      <c r="H4038" t="s">
        <v>34895</v>
      </c>
      <c r="I4038" t="s">
        <v>26318</v>
      </c>
      <c r="J4038" t="str">
        <f t="shared" si="317"/>
        <v>E:\PropInv\MF</v>
      </c>
      <c r="K4038" s="103" t="str">
        <f>HYPERLINK("E:\PropInv\MF\Dallas\Forest Ln_9737_Ridgegate_Dallas_13944","Forest Ln_9737_Ridgegate_Dallas_13944" )</f>
        <v>Forest Ln_9737_Ridgegate_Dallas_13944</v>
      </c>
      <c r="L4038" s="104" t="s">
        <v>22253</v>
      </c>
      <c r="M4038" s="103" t="str">
        <f t="shared" si="318"/>
        <v>http://oconnordata.com/mlink/modules/profile/index.cfm?action=profile&amp;prop_id=13944</v>
      </c>
      <c r="N4038" s="1">
        <f t="shared" si="319"/>
        <v>13944</v>
      </c>
    </row>
    <row r="4039" spans="1:14" x14ac:dyDescent="0.3">
      <c r="A4039" s="1">
        <v>13946</v>
      </c>
      <c r="B4039" s="7" t="s">
        <v>5595</v>
      </c>
      <c r="C4039" s="12">
        <v>9350</v>
      </c>
      <c r="D4039" s="7" t="s">
        <v>6179</v>
      </c>
      <c r="E4039" s="13" t="s">
        <v>4996</v>
      </c>
      <c r="F4039" t="str">
        <f t="shared" si="315"/>
        <v>Skillman</v>
      </c>
      <c r="G4039" t="str">
        <f t="shared" si="316"/>
        <v>Skillman9350Dallas</v>
      </c>
      <c r="H4039" t="s">
        <v>34896</v>
      </c>
      <c r="I4039" t="s">
        <v>26319</v>
      </c>
      <c r="J4039" t="str">
        <f t="shared" si="317"/>
        <v>E:\PropInv\MF</v>
      </c>
      <c r="K4039" s="103" t="str">
        <f>HYPERLINK("E:\PropInv\MF\Dallas\Skillman St_9350_Las Cascadas_Dallas_13946","Skillman St_9350_Las Cascadas_Dallas_13946" )</f>
        <v>Skillman St_9350_Las Cascadas_Dallas_13946</v>
      </c>
      <c r="L4039" s="104" t="s">
        <v>22253</v>
      </c>
      <c r="M4039" s="103" t="str">
        <f t="shared" si="318"/>
        <v>http://oconnordata.com/mlink/modules/profile/index.cfm?action=profile&amp;prop_id=13946</v>
      </c>
      <c r="N4039" s="1">
        <f t="shared" si="319"/>
        <v>13946</v>
      </c>
    </row>
    <row r="4040" spans="1:14" x14ac:dyDescent="0.3">
      <c r="A4040" s="1">
        <v>13947</v>
      </c>
      <c r="B4040" s="7" t="s">
        <v>6180</v>
      </c>
      <c r="C4040" s="12">
        <v>3500</v>
      </c>
      <c r="D4040" s="7" t="s">
        <v>6181</v>
      </c>
      <c r="E4040" s="13" t="s">
        <v>4996</v>
      </c>
      <c r="F4040" t="str">
        <f t="shared" si="315"/>
        <v>Fairmount</v>
      </c>
      <c r="G4040" t="str">
        <f t="shared" si="316"/>
        <v>Fairmount3500Dallas</v>
      </c>
      <c r="H4040" t="s">
        <v>34897</v>
      </c>
      <c r="I4040" t="s">
        <v>26320</v>
      </c>
      <c r="J4040" t="str">
        <f t="shared" si="317"/>
        <v>E:\PropInv\MF</v>
      </c>
      <c r="K4040" s="103" t="str">
        <f>HYPERLINK("E:\PropInv\MF\Dallas\Fairmount St_3500_Rienzi at Turtle Creek_Dallas_13947","Fairmount St_3500_Rienzi at Turtle Creek_Dallas_13947" )</f>
        <v>Fairmount St_3500_Rienzi at Turtle Creek_Dallas_13947</v>
      </c>
      <c r="L4040" s="104" t="s">
        <v>22253</v>
      </c>
      <c r="M4040" s="103" t="str">
        <f t="shared" si="318"/>
        <v>http://oconnordata.com/mlink/modules/profile/index.cfm?action=profile&amp;prop_id=13947</v>
      </c>
      <c r="N4040" s="1">
        <f t="shared" si="319"/>
        <v>13947</v>
      </c>
    </row>
    <row r="4041" spans="1:14" x14ac:dyDescent="0.3">
      <c r="A4041" s="1">
        <v>13948</v>
      </c>
      <c r="B4041" s="7" t="s">
        <v>5141</v>
      </c>
      <c r="C4041" s="12">
        <v>4040</v>
      </c>
      <c r="D4041" s="7" t="s">
        <v>6182</v>
      </c>
      <c r="E4041" s="13" t="s">
        <v>5198</v>
      </c>
      <c r="F4041" t="str">
        <f t="shared" si="315"/>
        <v>Spring</v>
      </c>
      <c r="G4041" t="str">
        <f t="shared" si="316"/>
        <v>Spring4040Farmers Branch</v>
      </c>
      <c r="H4041" t="s">
        <v>34898</v>
      </c>
      <c r="I4041" t="s">
        <v>26321</v>
      </c>
      <c r="J4041" t="str">
        <f t="shared" si="317"/>
        <v>E:\PropInv\MF</v>
      </c>
      <c r="K4041" s="103" t="str">
        <f>HYPERLINK("E:\PropInv\MF\Farmers Branch\Spring Valley Rd_4040_Chateau DeVille_Farmers Branch_13948","Spring Valley Rd_4040_Chateau DeVille_Farmers Branch_13948" )</f>
        <v>Spring Valley Rd_4040_Chateau DeVille_Farmers Branch_13948</v>
      </c>
      <c r="L4041" s="104" t="s">
        <v>22253</v>
      </c>
      <c r="M4041" s="103" t="str">
        <f t="shared" si="318"/>
        <v>http://oconnordata.com/mlink/modules/profile/index.cfm?action=profile&amp;prop_id=13948</v>
      </c>
      <c r="N4041" s="1">
        <f t="shared" si="319"/>
        <v>13948</v>
      </c>
    </row>
    <row r="4042" spans="1:14" x14ac:dyDescent="0.3">
      <c r="A4042" s="1">
        <v>13949</v>
      </c>
      <c r="B4042" s="7" t="s">
        <v>6183</v>
      </c>
      <c r="C4042" s="12">
        <v>1000</v>
      </c>
      <c r="D4042" s="7" t="s">
        <v>6183</v>
      </c>
      <c r="E4042" s="13" t="s">
        <v>5411</v>
      </c>
      <c r="F4042" t="str">
        <f t="shared" si="315"/>
        <v>River</v>
      </c>
      <c r="G4042" t="str">
        <f t="shared" si="316"/>
        <v>River1000Lancaster</v>
      </c>
      <c r="H4042" t="s">
        <v>34899</v>
      </c>
      <c r="I4042" t="s">
        <v>26322</v>
      </c>
      <c r="J4042" t="str">
        <f t="shared" si="317"/>
        <v>E:\PropInv\MF</v>
      </c>
      <c r="K4042" s="103" t="str">
        <f>HYPERLINK("E:\PropInv\MF\Lancaster\River Bend_1000_River Bend_Lancaster_13949","River Bend_1000_River Bend_Lancaster_13949" )</f>
        <v>River Bend_1000_River Bend_Lancaster_13949</v>
      </c>
      <c r="L4042" s="104" t="s">
        <v>22253</v>
      </c>
      <c r="M4042" s="103" t="str">
        <f t="shared" si="318"/>
        <v>http://oconnordata.com/mlink/modules/profile/index.cfm?action=profile&amp;prop_id=13949</v>
      </c>
      <c r="N4042" s="1">
        <f t="shared" si="319"/>
        <v>13949</v>
      </c>
    </row>
    <row r="4043" spans="1:14" x14ac:dyDescent="0.3">
      <c r="A4043" s="1">
        <v>13950</v>
      </c>
      <c r="B4043" s="7" t="s">
        <v>6184</v>
      </c>
      <c r="C4043" s="12">
        <v>600</v>
      </c>
      <c r="D4043" s="7" t="s">
        <v>6185</v>
      </c>
      <c r="E4043" s="13" t="s">
        <v>5612</v>
      </c>
      <c r="F4043" t="str">
        <f t="shared" si="315"/>
        <v>MacArthur</v>
      </c>
      <c r="G4043" t="str">
        <f t="shared" si="316"/>
        <v>MacArthur600Coppell</v>
      </c>
      <c r="H4043" t="s">
        <v>34900</v>
      </c>
      <c r="I4043" t="s">
        <v>26323</v>
      </c>
      <c r="J4043" t="str">
        <f t="shared" si="317"/>
        <v>E:\PropInv\MF</v>
      </c>
      <c r="K4043" s="103" t="str">
        <f>HYPERLINK("E:\PropInv\MF\Coppell\MacArthur Blvd S_600_Riverchase_Coppell_13950","MacArthur Blvd S_600_Riverchase_Coppell_13950" )</f>
        <v>MacArthur Blvd S_600_Riverchase_Coppell_13950</v>
      </c>
      <c r="L4043" s="104" t="s">
        <v>22253</v>
      </c>
      <c r="M4043" s="103" t="str">
        <f t="shared" si="318"/>
        <v>http://oconnordata.com/mlink/modules/profile/index.cfm?action=profile&amp;prop_id=13950</v>
      </c>
      <c r="N4043" s="1">
        <f t="shared" si="319"/>
        <v>13950</v>
      </c>
    </row>
    <row r="4044" spans="1:14" x14ac:dyDescent="0.3">
      <c r="A4044" s="1">
        <v>13951</v>
      </c>
      <c r="B4044" s="7" t="s">
        <v>6186</v>
      </c>
      <c r="C4044" s="12">
        <v>7879</v>
      </c>
      <c r="D4044" s="7" t="s">
        <v>6187</v>
      </c>
      <c r="E4044" s="13" t="s">
        <v>4996</v>
      </c>
      <c r="F4044" t="str">
        <f t="shared" si="315"/>
        <v>Riverfall</v>
      </c>
      <c r="G4044" t="str">
        <f t="shared" si="316"/>
        <v>Riverfall7879Dallas</v>
      </c>
      <c r="H4044" t="s">
        <v>34901</v>
      </c>
      <c r="I4044" t="s">
        <v>26324</v>
      </c>
      <c r="J4044" t="str">
        <f t="shared" si="317"/>
        <v>E:\PropInv\MF</v>
      </c>
      <c r="K4044" s="103" t="str">
        <f>HYPERLINK("E:\PropInv\MF\Dallas\Riverfall Dr_7879_Riverfall Square_Dallas_13951","Riverfall Dr_7879_Riverfall Square_Dallas_13951" )</f>
        <v>Riverfall Dr_7879_Riverfall Square_Dallas_13951</v>
      </c>
      <c r="L4044" s="104" t="s">
        <v>22253</v>
      </c>
      <c r="M4044" s="103" t="str">
        <f t="shared" si="318"/>
        <v>http://oconnordata.com/mlink/modules/profile/index.cfm?action=profile&amp;prop_id=13951</v>
      </c>
      <c r="N4044" s="1">
        <f t="shared" si="319"/>
        <v>13951</v>
      </c>
    </row>
    <row r="4045" spans="1:14" x14ac:dyDescent="0.3">
      <c r="A4045" s="1">
        <v>13952</v>
      </c>
      <c r="B4045" s="7" t="s">
        <v>5338</v>
      </c>
      <c r="C4045" s="12">
        <v>10570</v>
      </c>
      <c r="D4045" s="7" t="s">
        <v>6188</v>
      </c>
      <c r="E4045" s="13" t="s">
        <v>4996</v>
      </c>
      <c r="F4045" t="str">
        <f t="shared" si="315"/>
        <v>Stone</v>
      </c>
      <c r="G4045" t="str">
        <f t="shared" si="316"/>
        <v>Stone10570Dallas</v>
      </c>
      <c r="H4045" t="s">
        <v>34902</v>
      </c>
      <c r="I4045" t="s">
        <v>26325</v>
      </c>
      <c r="J4045" t="str">
        <f t="shared" si="317"/>
        <v>E:\PropInv\MF</v>
      </c>
      <c r="K4045" s="103" t="str">
        <f>HYPERLINK("E:\PropInv\MF\Dallas\Stone Canyon Rd_10570_Riverfalls Park_Dallas_13952","Stone Canyon Rd_10570_Riverfalls Park_Dallas_13952" )</f>
        <v>Stone Canyon Rd_10570_Riverfalls Park_Dallas_13952</v>
      </c>
      <c r="L4045" s="104" t="s">
        <v>22253</v>
      </c>
      <c r="M4045" s="103" t="str">
        <f t="shared" si="318"/>
        <v>http://oconnordata.com/mlink/modules/profile/index.cfm?action=profile&amp;prop_id=13952</v>
      </c>
      <c r="N4045" s="1">
        <f t="shared" si="319"/>
        <v>13952</v>
      </c>
    </row>
    <row r="4046" spans="1:14" x14ac:dyDescent="0.3">
      <c r="A4046" s="1">
        <v>13953</v>
      </c>
      <c r="B4046" s="7" t="s">
        <v>5316</v>
      </c>
      <c r="C4046" s="12">
        <v>2775</v>
      </c>
      <c r="D4046" s="7" t="s">
        <v>6189</v>
      </c>
      <c r="E4046" s="13" t="s">
        <v>5076</v>
      </c>
      <c r="F4046" t="str">
        <f t="shared" si="315"/>
        <v>360</v>
      </c>
      <c r="G4046" t="str">
        <f t="shared" si="316"/>
        <v>3602775Grand Prairie</v>
      </c>
      <c r="H4046" t="s">
        <v>34903</v>
      </c>
      <c r="I4046" t="s">
        <v>26326</v>
      </c>
      <c r="J4046" t="str">
        <f t="shared" si="317"/>
        <v>E:\PropInv\MF</v>
      </c>
      <c r="K4046" s="103" t="str">
        <f>HYPERLINK("E:\PropInv\MF\Grand Prairie\360 Hwy N_2775_Riverhill_Grand Prairie_13953","360 Hwy N_2775_Riverhill_Grand Prairie_13953" )</f>
        <v>360 Hwy N_2775_Riverhill_Grand Prairie_13953</v>
      </c>
      <c r="L4046" s="104" t="s">
        <v>22253</v>
      </c>
      <c r="M4046" s="103" t="str">
        <f t="shared" si="318"/>
        <v>http://oconnordata.com/mlink/modules/profile/index.cfm?action=profile&amp;prop_id=13953</v>
      </c>
      <c r="N4046" s="1">
        <f t="shared" si="319"/>
        <v>13953</v>
      </c>
    </row>
    <row r="4047" spans="1:14" x14ac:dyDescent="0.3">
      <c r="A4047" s="1">
        <v>13955</v>
      </c>
      <c r="B4047" s="7" t="s">
        <v>5300</v>
      </c>
      <c r="C4047" s="12">
        <v>12920</v>
      </c>
      <c r="D4047" s="7" t="s">
        <v>2593</v>
      </c>
      <c r="E4047" s="13" t="s">
        <v>4996</v>
      </c>
      <c r="F4047" t="str">
        <f t="shared" si="315"/>
        <v>Audelia</v>
      </c>
      <c r="G4047" t="str">
        <f t="shared" si="316"/>
        <v>Audelia12920Dallas</v>
      </c>
      <c r="H4047" t="s">
        <v>34904</v>
      </c>
      <c r="I4047" t="s">
        <v>26327</v>
      </c>
      <c r="J4047" t="str">
        <f t="shared" si="317"/>
        <v>E:\PropInv\MF</v>
      </c>
      <c r="K4047" s="103" t="str">
        <f>HYPERLINK("E:\PropInv\MF\Dallas\Audelia_12920_Riverwalk_Dallas_13955","Audelia_12920_Riverwalk_Dallas_13955" )</f>
        <v>Audelia_12920_Riverwalk_Dallas_13955</v>
      </c>
      <c r="L4047" s="104" t="s">
        <v>22253</v>
      </c>
      <c r="M4047" s="103" t="str">
        <f t="shared" si="318"/>
        <v>http://oconnordata.com/mlink/modules/profile/index.cfm?action=profile&amp;prop_id=13955</v>
      </c>
      <c r="N4047" s="1">
        <f t="shared" si="319"/>
        <v>13955</v>
      </c>
    </row>
    <row r="4048" spans="1:14" x14ac:dyDescent="0.3">
      <c r="A4048" s="1">
        <v>13956</v>
      </c>
      <c r="B4048" s="7" t="s">
        <v>6190</v>
      </c>
      <c r="C4048" s="12">
        <v>240</v>
      </c>
      <c r="D4048" s="7" t="s">
        <v>6191</v>
      </c>
      <c r="E4048" s="13" t="s">
        <v>5046</v>
      </c>
      <c r="F4048" t="str">
        <f t="shared" si="315"/>
        <v>Rochelle</v>
      </c>
      <c r="G4048" t="str">
        <f t="shared" si="316"/>
        <v>Rochelle240Irving</v>
      </c>
      <c r="H4048" t="s">
        <v>34905</v>
      </c>
      <c r="I4048" t="s">
        <v>26328</v>
      </c>
      <c r="J4048" t="str">
        <f t="shared" si="317"/>
        <v>E:\PropInv\MF</v>
      </c>
      <c r="K4048" s="103" t="str">
        <f>HYPERLINK("E:\PropInv\MF\Irving\Rochelle W_240_Rochelle Place_Irving_13956","Rochelle W_240_Rochelle Place_Irving_13956" )</f>
        <v>Rochelle W_240_Rochelle Place_Irving_13956</v>
      </c>
      <c r="L4048" s="104" t="s">
        <v>22253</v>
      </c>
      <c r="M4048" s="103" t="str">
        <f t="shared" si="318"/>
        <v>http://oconnordata.com/mlink/modules/profile/index.cfm?action=profile&amp;prop_id=13956</v>
      </c>
      <c r="N4048" s="1">
        <f t="shared" si="319"/>
        <v>13956</v>
      </c>
    </row>
    <row r="4049" spans="1:14" x14ac:dyDescent="0.3">
      <c r="A4049" s="1">
        <v>13957</v>
      </c>
      <c r="B4049" s="7" t="s">
        <v>6192</v>
      </c>
      <c r="C4049" s="12">
        <v>306</v>
      </c>
      <c r="D4049" s="7" t="s">
        <v>6193</v>
      </c>
      <c r="E4049" s="13" t="s">
        <v>5046</v>
      </c>
      <c r="F4049" t="str">
        <f t="shared" si="315"/>
        <v>Rochelle</v>
      </c>
      <c r="G4049" t="str">
        <f t="shared" si="316"/>
        <v>Rochelle306Irving</v>
      </c>
      <c r="H4049" t="s">
        <v>34906</v>
      </c>
      <c r="I4049" t="s">
        <v>26329</v>
      </c>
      <c r="J4049" t="str">
        <f t="shared" si="317"/>
        <v>E:\PropInv\MF</v>
      </c>
      <c r="K4049" s="103" t="str">
        <f>HYPERLINK("E:\PropInv\MF\Irving\Rochelle Rd W_306_Rochelle Plaza_Irving_13957","Rochelle Rd W_306_Rochelle Plaza_Irving_13957" )</f>
        <v>Rochelle Rd W_306_Rochelle Plaza_Irving_13957</v>
      </c>
      <c r="L4049" s="104" t="s">
        <v>22253</v>
      </c>
      <c r="M4049" s="103" t="str">
        <f t="shared" si="318"/>
        <v>http://oconnordata.com/mlink/modules/profile/index.cfm?action=profile&amp;prop_id=13957</v>
      </c>
      <c r="N4049" s="1">
        <f t="shared" si="319"/>
        <v>13957</v>
      </c>
    </row>
    <row r="4050" spans="1:14" x14ac:dyDescent="0.3">
      <c r="A4050" s="1">
        <v>13958</v>
      </c>
      <c r="B4050" s="7" t="s">
        <v>6194</v>
      </c>
      <c r="C4050" s="12">
        <v>5850</v>
      </c>
      <c r="D4050" s="7" t="s">
        <v>6195</v>
      </c>
      <c r="E4050" s="13" t="s">
        <v>4996</v>
      </c>
      <c r="F4050" t="str">
        <f t="shared" si="315"/>
        <v>Belt</v>
      </c>
      <c r="G4050" t="str">
        <f t="shared" si="316"/>
        <v>Belt5850Dallas</v>
      </c>
      <c r="H4050" t="s">
        <v>34907</v>
      </c>
      <c r="I4050" t="s">
        <v>26330</v>
      </c>
      <c r="J4050" t="str">
        <f t="shared" si="317"/>
        <v>E:\PropInv\MF</v>
      </c>
      <c r="K4050" s="103" t="str">
        <f>HYPERLINK("E:\PropInv\MF\Dallas\Belt Line Rd_5850_Rock Creek_Dallas_13958","Belt Line Rd_5850_Rock Creek_Dallas_13958" )</f>
        <v>Belt Line Rd_5850_Rock Creek_Dallas_13958</v>
      </c>
      <c r="L4050" s="104" t="s">
        <v>22253</v>
      </c>
      <c r="M4050" s="103" t="str">
        <f t="shared" si="318"/>
        <v>http://oconnordata.com/mlink/modules/profile/index.cfm?action=profile&amp;prop_id=13958</v>
      </c>
      <c r="N4050" s="1">
        <f t="shared" si="319"/>
        <v>13958</v>
      </c>
    </row>
    <row r="4051" spans="1:14" x14ac:dyDescent="0.3">
      <c r="A4051" s="1">
        <v>13959</v>
      </c>
      <c r="B4051" s="7" t="s">
        <v>6196</v>
      </c>
      <c r="C4051" s="12">
        <v>2002</v>
      </c>
      <c r="D4051" s="7" t="s">
        <v>6196</v>
      </c>
      <c r="E4051" s="13" t="s">
        <v>5046</v>
      </c>
      <c r="F4051" t="str">
        <f t="shared" si="315"/>
        <v>Rock</v>
      </c>
      <c r="G4051" t="str">
        <f t="shared" si="316"/>
        <v>Rock2002Irving</v>
      </c>
      <c r="H4051" t="s">
        <v>34908</v>
      </c>
      <c r="I4051" t="s">
        <v>26331</v>
      </c>
      <c r="J4051" t="str">
        <f t="shared" si="317"/>
        <v>E:\PropInv\MF</v>
      </c>
      <c r="K4051" s="103" t="str">
        <f>HYPERLINK("E:\PropInv\MF\Irving\Rock Island_2002_Rock Island_Irving_13959","Rock Island_2002_Rock Island_Irving_13959" )</f>
        <v>Rock Island_2002_Rock Island_Irving_13959</v>
      </c>
      <c r="L4051" s="104" t="s">
        <v>22253</v>
      </c>
      <c r="M4051" s="103" t="str">
        <f t="shared" si="318"/>
        <v>http://oconnordata.com/mlink/modules/profile/index.cfm?action=profile&amp;prop_id=13959</v>
      </c>
      <c r="N4051" s="1">
        <f t="shared" si="319"/>
        <v>13959</v>
      </c>
    </row>
    <row r="4052" spans="1:14" x14ac:dyDescent="0.3">
      <c r="A4052" s="1">
        <v>13960</v>
      </c>
      <c r="B4052" s="10" t="s">
        <v>6197</v>
      </c>
      <c r="C4052" s="9">
        <v>2200</v>
      </c>
      <c r="D4052" s="10" t="s">
        <v>6198</v>
      </c>
      <c r="E4052" s="11" t="s">
        <v>5055</v>
      </c>
      <c r="F4052" t="str">
        <f t="shared" si="315"/>
        <v>Uecker</v>
      </c>
      <c r="G4052" t="str">
        <f t="shared" si="316"/>
        <v>Uecker2200Lewisville</v>
      </c>
      <c r="H4052" t="s">
        <v>34909</v>
      </c>
      <c r="I4052" t="s">
        <v>26332</v>
      </c>
      <c r="J4052" t="str">
        <f t="shared" si="317"/>
        <v>E:\PropInv\MF</v>
      </c>
      <c r="K4052" s="103" t="str">
        <f>HYPERLINK("E:\PropInv\MF\Lewisville\Uecker Dr_2200_Rockbrook Creek_Lewisville_13960","Uecker Dr_2200_Rockbrook Creek_Lewisville_13960" )</f>
        <v>Uecker Dr_2200_Rockbrook Creek_Lewisville_13960</v>
      </c>
      <c r="L4052" s="104" t="s">
        <v>22253</v>
      </c>
      <c r="M4052" s="103" t="str">
        <f t="shared" si="318"/>
        <v>http://oconnordata.com/mlink/modules/profile/index.cfm?action=profile&amp;prop_id=13960</v>
      </c>
      <c r="N4052" s="1">
        <f t="shared" si="319"/>
        <v>13960</v>
      </c>
    </row>
    <row r="4053" spans="1:14" x14ac:dyDescent="0.3">
      <c r="A4053" s="1">
        <v>13961</v>
      </c>
      <c r="B4053" s="7" t="s">
        <v>5499</v>
      </c>
      <c r="C4053" s="12">
        <v>2010</v>
      </c>
      <c r="D4053" s="7" t="s">
        <v>6199</v>
      </c>
      <c r="E4053" s="13" t="s">
        <v>5046</v>
      </c>
      <c r="F4053" t="str">
        <f t="shared" si="315"/>
        <v>Estrada</v>
      </c>
      <c r="G4053" t="str">
        <f t="shared" si="316"/>
        <v>Estrada2010Irving</v>
      </c>
      <c r="H4053" t="s">
        <v>34910</v>
      </c>
      <c r="I4053" t="s">
        <v>26333</v>
      </c>
      <c r="J4053" t="str">
        <f t="shared" si="317"/>
        <v>E:\PropInv\MF</v>
      </c>
      <c r="K4053" s="103" t="str">
        <f>HYPERLINK("E:\PropInv\MF\Irving\Estrada Pkwy_2010_Rolling Hills_Irving_13961","Estrada Pkwy_2010_Rolling Hills_Irving_13961" )</f>
        <v>Estrada Pkwy_2010_Rolling Hills_Irving_13961</v>
      </c>
      <c r="L4053" s="104" t="s">
        <v>22253</v>
      </c>
      <c r="M4053" s="103" t="str">
        <f t="shared" si="318"/>
        <v>http://oconnordata.com/mlink/modules/profile/index.cfm?action=profile&amp;prop_id=13961</v>
      </c>
      <c r="N4053" s="1">
        <f t="shared" si="319"/>
        <v>13961</v>
      </c>
    </row>
    <row r="4054" spans="1:14" x14ac:dyDescent="0.3">
      <c r="A4054" s="1">
        <v>13962</v>
      </c>
      <c r="B4054" s="7" t="s">
        <v>5409</v>
      </c>
      <c r="C4054" s="12">
        <v>500</v>
      </c>
      <c r="D4054" s="7" t="s">
        <v>5409</v>
      </c>
      <c r="E4054" s="13" t="s">
        <v>5411</v>
      </c>
      <c r="F4054" t="str">
        <f t="shared" si="315"/>
        <v>Rolling</v>
      </c>
      <c r="G4054" t="str">
        <f t="shared" si="316"/>
        <v>Rolling500Lancaster</v>
      </c>
      <c r="H4054" t="s">
        <v>34911</v>
      </c>
      <c r="I4054" t="s">
        <v>26334</v>
      </c>
      <c r="J4054" t="str">
        <f t="shared" si="317"/>
        <v>E:\PropInv\MF</v>
      </c>
      <c r="K4054" s="103" t="str">
        <f>HYPERLINK("E:\PropInv\MF\Lancaster\Rolling Hills Place_500_Rolling Hills Place_Lancaster_13962","Rolling Hills Place_500_Rolling Hills Place_Lancaster_13962" )</f>
        <v>Rolling Hills Place_500_Rolling Hills Place_Lancaster_13962</v>
      </c>
      <c r="L4054" s="104" t="s">
        <v>22253</v>
      </c>
      <c r="M4054" s="103" t="str">
        <f t="shared" si="318"/>
        <v>http://oconnordata.com/mlink/modules/profile/index.cfm?action=profile&amp;prop_id=13962</v>
      </c>
      <c r="N4054" s="1">
        <f t="shared" si="319"/>
        <v>13962</v>
      </c>
    </row>
    <row r="4055" spans="1:14" x14ac:dyDescent="0.3">
      <c r="A4055" s="1">
        <v>13963</v>
      </c>
      <c r="B4055" s="7" t="s">
        <v>6200</v>
      </c>
      <c r="C4055" s="12">
        <v>4221</v>
      </c>
      <c r="D4055" s="7" t="s">
        <v>6201</v>
      </c>
      <c r="E4055" s="13" t="s">
        <v>5019</v>
      </c>
      <c r="F4055" t="str">
        <f t="shared" si="315"/>
        <v>Rosehill</v>
      </c>
      <c r="G4055" t="str">
        <f t="shared" si="316"/>
        <v>Rosehill4221Garland</v>
      </c>
      <c r="H4055" t="s">
        <v>34912</v>
      </c>
      <c r="I4055" t="s">
        <v>26335</v>
      </c>
      <c r="J4055" t="str">
        <f t="shared" si="317"/>
        <v>E:\PropInv\MF</v>
      </c>
      <c r="K4055" s="103" t="str">
        <f>HYPERLINK("E:\PropInv\MF\Garland\Rosehill Rd_4221_Rosegate Place_Garland_13963","Rosehill Rd_4221_Rosegate Place_Garland_13963" )</f>
        <v>Rosehill Rd_4221_Rosegate Place_Garland_13963</v>
      </c>
      <c r="L4055" s="104" t="s">
        <v>22253</v>
      </c>
      <c r="M4055" s="103" t="str">
        <f t="shared" si="318"/>
        <v>http://oconnordata.com/mlink/modules/profile/index.cfm?action=profile&amp;prop_id=13963</v>
      </c>
      <c r="N4055" s="1">
        <f t="shared" si="319"/>
        <v>13963</v>
      </c>
    </row>
    <row r="4056" spans="1:14" x14ac:dyDescent="0.3">
      <c r="A4056" s="1">
        <v>13965</v>
      </c>
      <c r="B4056" s="7" t="s">
        <v>5268</v>
      </c>
      <c r="C4056" s="12">
        <v>3939</v>
      </c>
      <c r="D4056" s="7" t="s">
        <v>6202</v>
      </c>
      <c r="E4056" s="13" t="s">
        <v>4996</v>
      </c>
      <c r="F4056" t="str">
        <f t="shared" si="315"/>
        <v>Rosemeade</v>
      </c>
      <c r="G4056" t="str">
        <f t="shared" si="316"/>
        <v>Rosemeade3939Dallas</v>
      </c>
      <c r="H4056" t="s">
        <v>34913</v>
      </c>
      <c r="I4056" t="s">
        <v>26336</v>
      </c>
      <c r="J4056" t="str">
        <f t="shared" si="317"/>
        <v>E:\PropInv\MF</v>
      </c>
      <c r="K4056" s="103" t="str">
        <f>HYPERLINK("E:\PropInv\MF\Dallas\Rosemeade Pkwy_3939_Sage Creek Ranch_Dallas_13965","Rosemeade Pkwy_3939_Sage Creek Ranch_Dallas_13965" )</f>
        <v>Rosemeade Pkwy_3939_Sage Creek Ranch_Dallas_13965</v>
      </c>
      <c r="L4056" s="104" t="s">
        <v>22253</v>
      </c>
      <c r="M4056" s="103" t="str">
        <f t="shared" si="318"/>
        <v>http://oconnordata.com/mlink/modules/profile/index.cfm?action=profile&amp;prop_id=13965</v>
      </c>
      <c r="N4056" s="1">
        <f t="shared" si="319"/>
        <v>13965</v>
      </c>
    </row>
    <row r="4057" spans="1:14" x14ac:dyDescent="0.3">
      <c r="A4057" s="1">
        <v>13966</v>
      </c>
      <c r="B4057" s="7" t="s">
        <v>5721</v>
      </c>
      <c r="C4057" s="12">
        <v>3830</v>
      </c>
      <c r="D4057" s="7" t="s">
        <v>6203</v>
      </c>
      <c r="E4057" s="13" t="s">
        <v>5060</v>
      </c>
      <c r="F4057" t="str">
        <f t="shared" si="315"/>
        <v>Old</v>
      </c>
      <c r="G4057" t="str">
        <f t="shared" si="316"/>
        <v>Old3830Carrollton</v>
      </c>
      <c r="H4057" t="s">
        <v>34914</v>
      </c>
      <c r="I4057" t="s">
        <v>26337</v>
      </c>
      <c r="J4057" t="str">
        <f t="shared" si="317"/>
        <v>E:\PropInv\MF</v>
      </c>
      <c r="K4057" s="103" t="str">
        <f>HYPERLINK("E:\PropInv\MF\Carrollton\Old Denton Rd_3830_Rosemeade TH_Carrollton_13966","Old Denton Rd_3830_Rosemeade TH_Carrollton_13966" )</f>
        <v>Old Denton Rd_3830_Rosemeade TH_Carrollton_13966</v>
      </c>
      <c r="L4057" s="104" t="s">
        <v>22253</v>
      </c>
      <c r="M4057" s="103" t="str">
        <f t="shared" si="318"/>
        <v>http://oconnordata.com/mlink/modules/profile/index.cfm?action=profile&amp;prop_id=13966</v>
      </c>
      <c r="N4057" s="1">
        <f t="shared" si="319"/>
        <v>13966</v>
      </c>
    </row>
    <row r="4058" spans="1:14" x14ac:dyDescent="0.3">
      <c r="A4058" s="1">
        <v>13967</v>
      </c>
      <c r="B4058" s="7" t="s">
        <v>6204</v>
      </c>
      <c r="C4058" s="12">
        <v>1100</v>
      </c>
      <c r="D4058" s="7" t="s">
        <v>6205</v>
      </c>
      <c r="E4058" s="13" t="s">
        <v>5046</v>
      </c>
      <c r="F4058" t="str">
        <f t="shared" si="315"/>
        <v>Hidden</v>
      </c>
      <c r="G4058" t="str">
        <f t="shared" si="316"/>
        <v>Hidden1100Irving</v>
      </c>
      <c r="H4058" t="s">
        <v>34915</v>
      </c>
      <c r="I4058" t="s">
        <v>26338</v>
      </c>
      <c r="J4058" t="str">
        <f t="shared" si="317"/>
        <v>E:\PropInv\MF</v>
      </c>
      <c r="K4058" s="103" t="str">
        <f>HYPERLINK("E:\PropInv\MF\Irving\Hidden Ridge Dr_1100_Archstone at MacArthur_Irving_13967","Hidden Ridge Dr_1100_Archstone at MacArthur_Irving_13967" )</f>
        <v>Hidden Ridge Dr_1100_Archstone at MacArthur_Irving_13967</v>
      </c>
      <c r="L4058" s="104" t="s">
        <v>22253</v>
      </c>
      <c r="M4058" s="103" t="str">
        <f t="shared" si="318"/>
        <v>http://oconnordata.com/mlink/modules/profile/index.cfm?action=profile&amp;prop_id=13967</v>
      </c>
      <c r="N4058" s="1">
        <f t="shared" si="319"/>
        <v>13967</v>
      </c>
    </row>
    <row r="4059" spans="1:14" x14ac:dyDescent="0.3">
      <c r="A4059" s="1">
        <v>13968</v>
      </c>
      <c r="B4059" s="7" t="s">
        <v>6192</v>
      </c>
      <c r="C4059" s="12">
        <v>601</v>
      </c>
      <c r="D4059" s="7" t="s">
        <v>6206</v>
      </c>
      <c r="E4059" s="13" t="s">
        <v>5046</v>
      </c>
      <c r="F4059" t="str">
        <f t="shared" si="315"/>
        <v>Rochelle</v>
      </c>
      <c r="G4059" t="str">
        <f t="shared" si="316"/>
        <v>Rochelle601Irving</v>
      </c>
      <c r="H4059" t="s">
        <v>34916</v>
      </c>
      <c r="I4059" t="s">
        <v>26339</v>
      </c>
      <c r="J4059" t="str">
        <f t="shared" si="317"/>
        <v>E:\PropInv\MF</v>
      </c>
      <c r="K4059" s="103" t="str">
        <f>HYPERLINK("E:\PropInv\MF\Irving\Rochelle Rd W_601_Rosewood Village_Irving_13968","Rochelle Rd W_601_Rosewood Village_Irving_13968" )</f>
        <v>Rochelle Rd W_601_Rosewood Village_Irving_13968</v>
      </c>
      <c r="L4059" s="104" t="s">
        <v>22253</v>
      </c>
      <c r="M4059" s="103" t="str">
        <f t="shared" si="318"/>
        <v>http://oconnordata.com/mlink/modules/profile/index.cfm?action=profile&amp;prop_id=13968</v>
      </c>
      <c r="N4059" s="1">
        <f t="shared" si="319"/>
        <v>13968</v>
      </c>
    </row>
    <row r="4060" spans="1:14" x14ac:dyDescent="0.3">
      <c r="A4060" s="1">
        <v>13970</v>
      </c>
      <c r="B4060" s="7" t="s">
        <v>6207</v>
      </c>
      <c r="C4060" s="12">
        <v>2811</v>
      </c>
      <c r="D4060" s="7" t="s">
        <v>6208</v>
      </c>
      <c r="E4060" s="13" t="s">
        <v>3328</v>
      </c>
      <c r="F4060" t="str">
        <f t="shared" si="315"/>
        <v>Custer</v>
      </c>
      <c r="G4060" t="str">
        <f t="shared" si="316"/>
        <v>Custer2811Richardson</v>
      </c>
      <c r="H4060" t="s">
        <v>34917</v>
      </c>
      <c r="I4060" t="s">
        <v>26340</v>
      </c>
      <c r="J4060" t="str">
        <f t="shared" si="317"/>
        <v>E:\PropInv\MF</v>
      </c>
      <c r="K4060" s="103" t="str">
        <f>HYPERLINK("E:\PropInv\MF\Richardson\Custer Pkwy_2811_Royal Arms_Richardson_13970","Custer Pkwy_2811_Royal Arms_Richardson_13970" )</f>
        <v>Custer Pkwy_2811_Royal Arms_Richardson_13970</v>
      </c>
      <c r="L4060" s="104" t="s">
        <v>22253</v>
      </c>
      <c r="M4060" s="103" t="str">
        <f t="shared" si="318"/>
        <v>http://oconnordata.com/mlink/modules/profile/index.cfm?action=profile&amp;prop_id=13970</v>
      </c>
      <c r="N4060" s="1">
        <f t="shared" si="319"/>
        <v>13970</v>
      </c>
    </row>
    <row r="4061" spans="1:14" x14ac:dyDescent="0.3">
      <c r="A4061" s="1">
        <v>13972</v>
      </c>
      <c r="B4061" s="7" t="s">
        <v>6209</v>
      </c>
      <c r="C4061" s="12">
        <v>4140</v>
      </c>
      <c r="D4061" s="7" t="s">
        <v>4446</v>
      </c>
      <c r="E4061" s="13" t="s">
        <v>4996</v>
      </c>
      <c r="F4061" t="str">
        <f t="shared" si="315"/>
        <v>Newton</v>
      </c>
      <c r="G4061" t="str">
        <f t="shared" si="316"/>
        <v>Newton4140Dallas</v>
      </c>
      <c r="H4061" t="s">
        <v>34918</v>
      </c>
      <c r="I4061" t="s">
        <v>26341</v>
      </c>
      <c r="J4061" t="str">
        <f t="shared" si="317"/>
        <v>E:\PropInv\MF</v>
      </c>
      <c r="K4061" s="103" t="str">
        <f>HYPERLINK("E:\PropInv\MF\Dallas\Newton_4140_Royal Oaks_Dallas_13972","Newton_4140_Royal Oaks_Dallas_13972" )</f>
        <v>Newton_4140_Royal Oaks_Dallas_13972</v>
      </c>
      <c r="L4061" s="104" t="s">
        <v>22253</v>
      </c>
      <c r="M4061" s="103" t="str">
        <f t="shared" si="318"/>
        <v>http://oconnordata.com/mlink/modules/profile/index.cfm?action=profile&amp;prop_id=13972</v>
      </c>
      <c r="N4061" s="1">
        <f t="shared" si="319"/>
        <v>13972</v>
      </c>
    </row>
    <row r="4062" spans="1:14" x14ac:dyDescent="0.3">
      <c r="A4062" s="1">
        <v>13973</v>
      </c>
      <c r="B4062" s="7" t="s">
        <v>6210</v>
      </c>
      <c r="C4062" s="12">
        <v>1540</v>
      </c>
      <c r="D4062" s="7" t="s">
        <v>6211</v>
      </c>
      <c r="E4062" s="13" t="s">
        <v>4996</v>
      </c>
      <c r="F4062" t="str">
        <f t="shared" si="315"/>
        <v>Chenault</v>
      </c>
      <c r="G4062" t="str">
        <f t="shared" si="316"/>
        <v>Chenault1540Dallas</v>
      </c>
      <c r="H4062" t="s">
        <v>34919</v>
      </c>
      <c r="I4062" t="s">
        <v>26342</v>
      </c>
      <c r="J4062" t="str">
        <f t="shared" si="317"/>
        <v>E:\PropInv\MF</v>
      </c>
      <c r="K4062" s="103" t="str">
        <f>HYPERLINK("E:\PropInv\MF\Dallas\Chenault St_1540_Royal Orleans_Dallas_13973","Chenault St_1540_Royal Orleans_Dallas_13973" )</f>
        <v>Chenault St_1540_Royal Orleans_Dallas_13973</v>
      </c>
      <c r="L4062" s="104" t="s">
        <v>22253</v>
      </c>
      <c r="M4062" s="103" t="str">
        <f t="shared" si="318"/>
        <v>http://oconnordata.com/mlink/modules/profile/index.cfm?action=profile&amp;prop_id=13973</v>
      </c>
      <c r="N4062" s="1">
        <f t="shared" si="319"/>
        <v>13973</v>
      </c>
    </row>
    <row r="4063" spans="1:14" x14ac:dyDescent="0.3">
      <c r="A4063" s="1">
        <v>13974</v>
      </c>
      <c r="B4063" s="7" t="s">
        <v>5850</v>
      </c>
      <c r="C4063" s="12">
        <v>2625</v>
      </c>
      <c r="D4063" s="7" t="s">
        <v>6212</v>
      </c>
      <c r="E4063" s="13" t="s">
        <v>4996</v>
      </c>
      <c r="F4063" t="str">
        <f t="shared" si="315"/>
        <v>Community</v>
      </c>
      <c r="G4063" t="str">
        <f t="shared" si="316"/>
        <v>Community2625Dallas</v>
      </c>
      <c r="H4063" t="s">
        <v>34920</v>
      </c>
      <c r="I4063" t="s">
        <v>26343</v>
      </c>
      <c r="J4063" t="str">
        <f t="shared" si="317"/>
        <v>E:\PropInv\MF</v>
      </c>
      <c r="K4063" s="103" t="str">
        <f>HYPERLINK("E:\PropInv\MF\Dallas\Community_2625_Rush Creek_Dallas_13974","Community_2625_Rush Creek_Dallas_13974" )</f>
        <v>Community_2625_Rush Creek_Dallas_13974</v>
      </c>
      <c r="L4063" s="104" t="s">
        <v>22253</v>
      </c>
      <c r="M4063" s="103" t="str">
        <f t="shared" si="318"/>
        <v>http://oconnordata.com/mlink/modules/profile/index.cfm?action=profile&amp;prop_id=13974</v>
      </c>
      <c r="N4063" s="1">
        <f t="shared" si="319"/>
        <v>13974</v>
      </c>
    </row>
    <row r="4064" spans="1:14" x14ac:dyDescent="0.3">
      <c r="A4064" s="1">
        <v>13975</v>
      </c>
      <c r="B4064" s="10" t="s">
        <v>6213</v>
      </c>
      <c r="C4064" s="9">
        <v>401</v>
      </c>
      <c r="D4064" s="10" t="s">
        <v>6214</v>
      </c>
      <c r="E4064" s="11" t="s">
        <v>6215</v>
      </c>
      <c r="F4064" t="str">
        <f t="shared" si="315"/>
        <v>Fleming</v>
      </c>
      <c r="G4064" t="str">
        <f t="shared" si="316"/>
        <v>Fleming401Wylie</v>
      </c>
      <c r="H4064" t="s">
        <v>34921</v>
      </c>
      <c r="I4064" t="s">
        <v>26344</v>
      </c>
      <c r="J4064" t="str">
        <f t="shared" si="317"/>
        <v>E:\PropInv\MF</v>
      </c>
      <c r="K4064" s="103" t="str">
        <f>HYPERLINK("E:\PropInv\MF\Wylie\Fleming St_401_Rustic Oaks_Wylie_13975","Fleming St_401_Rustic Oaks_Wylie_13975" )</f>
        <v>Fleming St_401_Rustic Oaks_Wylie_13975</v>
      </c>
      <c r="L4064" s="104" t="s">
        <v>22253</v>
      </c>
      <c r="M4064" s="103" t="str">
        <f t="shared" si="318"/>
        <v>http://oconnordata.com/mlink/modules/profile/index.cfm?action=profile&amp;prop_id=13975</v>
      </c>
      <c r="N4064" s="1">
        <f t="shared" si="319"/>
        <v>13975</v>
      </c>
    </row>
    <row r="4065" spans="1:14" x14ac:dyDescent="0.3">
      <c r="A4065" s="1">
        <v>13976</v>
      </c>
      <c r="B4065" s="10" t="s">
        <v>6216</v>
      </c>
      <c r="C4065" s="9">
        <v>4031</v>
      </c>
      <c r="D4065" s="10" t="s">
        <v>6217</v>
      </c>
      <c r="E4065" s="11" t="s">
        <v>5046</v>
      </c>
      <c r="F4065" t="str">
        <f t="shared" si="315"/>
        <v>Northstar</v>
      </c>
      <c r="G4065" t="str">
        <f t="shared" si="316"/>
        <v>Northstar4031Irving</v>
      </c>
      <c r="H4065" t="s">
        <v>34922</v>
      </c>
      <c r="I4065" t="s">
        <v>26345</v>
      </c>
      <c r="J4065" t="str">
        <f t="shared" si="317"/>
        <v>E:\PropInv\MF</v>
      </c>
      <c r="K4065" s="103" t="str">
        <f>HYPERLINK("E:\PropInv\MF\Irving\Northstar_4031_Sable Point_Irving_13976","Northstar_4031_Sable Point_Irving_13976" )</f>
        <v>Northstar_4031_Sable Point_Irving_13976</v>
      </c>
      <c r="L4065" s="104" t="s">
        <v>22253</v>
      </c>
      <c r="M4065" s="103" t="str">
        <f t="shared" si="318"/>
        <v>http://oconnordata.com/mlink/modules/profile/index.cfm?action=profile&amp;prop_id=13976</v>
      </c>
      <c r="N4065" s="1">
        <f t="shared" si="319"/>
        <v>13976</v>
      </c>
    </row>
    <row r="4066" spans="1:14" x14ac:dyDescent="0.3">
      <c r="A4066" s="1">
        <v>13977</v>
      </c>
      <c r="B4066" s="10" t="s">
        <v>5379</v>
      </c>
      <c r="C4066" s="9">
        <v>3420</v>
      </c>
      <c r="D4066" s="10" t="s">
        <v>6218</v>
      </c>
      <c r="E4066" s="11" t="s">
        <v>5060</v>
      </c>
      <c r="F4066" t="str">
        <f t="shared" si="315"/>
        <v>Country</v>
      </c>
      <c r="G4066" t="str">
        <f t="shared" si="316"/>
        <v>Country3420Carrollton</v>
      </c>
      <c r="H4066" t="s">
        <v>34923</v>
      </c>
      <c r="I4066" t="s">
        <v>26346</v>
      </c>
      <c r="J4066" t="str">
        <f t="shared" si="317"/>
        <v>E:\PropInv\MF</v>
      </c>
      <c r="K4066" s="103" t="str">
        <f>HYPERLINK("E:\PropInv\MF\Carrollton\Country Sq_3420_The Place at Saddle Creek_Carrollton_13977","Country Sq_3420_The Place at Saddle Creek_Carrollton_13977" )</f>
        <v>Country Sq_3420_The Place at Saddle Creek_Carrollton_13977</v>
      </c>
      <c r="L4066" s="104" t="s">
        <v>22253</v>
      </c>
      <c r="M4066" s="103" t="str">
        <f t="shared" si="318"/>
        <v>http://oconnordata.com/mlink/modules/profile/index.cfm?action=profile&amp;prop_id=13977</v>
      </c>
      <c r="N4066" s="1">
        <f t="shared" si="319"/>
        <v>13977</v>
      </c>
    </row>
    <row r="4067" spans="1:14" x14ac:dyDescent="0.3">
      <c r="A4067" s="1">
        <v>13978</v>
      </c>
      <c r="B4067" s="10" t="s">
        <v>5153</v>
      </c>
      <c r="C4067" s="9">
        <v>5710</v>
      </c>
      <c r="D4067" s="10" t="s">
        <v>6219</v>
      </c>
      <c r="E4067" s="11" t="s">
        <v>5019</v>
      </c>
      <c r="F4067" t="str">
        <f t="shared" si="315"/>
        <v>Duck</v>
      </c>
      <c r="G4067" t="str">
        <f t="shared" si="316"/>
        <v>Duck5710Garland</v>
      </c>
      <c r="H4067" t="s">
        <v>34924</v>
      </c>
      <c r="I4067" t="s">
        <v>26347</v>
      </c>
      <c r="J4067" t="str">
        <f t="shared" si="317"/>
        <v>E:\PropInv\MF</v>
      </c>
      <c r="K4067" s="103" t="str">
        <f>HYPERLINK("E:\PropInv\MF\Garland\Duck Creek_5710_Saddletree_Garland_13978","Duck Creek_5710_Saddletree_Garland_13978" )</f>
        <v>Duck Creek_5710_Saddletree_Garland_13978</v>
      </c>
      <c r="L4067" s="104" t="s">
        <v>22253</v>
      </c>
      <c r="M4067" s="103" t="str">
        <f t="shared" si="318"/>
        <v>http://oconnordata.com/mlink/modules/profile/index.cfm?action=profile&amp;prop_id=13978</v>
      </c>
      <c r="N4067" s="1">
        <f t="shared" si="319"/>
        <v>13978</v>
      </c>
    </row>
    <row r="4068" spans="1:14" x14ac:dyDescent="0.3">
      <c r="A4068" s="1">
        <v>13979</v>
      </c>
      <c r="B4068" s="10" t="s">
        <v>5566</v>
      </c>
      <c r="C4068" s="9">
        <v>4719</v>
      </c>
      <c r="D4068" s="10" t="s">
        <v>6220</v>
      </c>
      <c r="E4068" s="11" t="s">
        <v>4996</v>
      </c>
      <c r="F4068" t="str">
        <f t="shared" si="315"/>
        <v>Cole</v>
      </c>
      <c r="G4068" t="str">
        <f t="shared" si="316"/>
        <v>Cole4719Dallas</v>
      </c>
      <c r="H4068" t="s">
        <v>34925</v>
      </c>
      <c r="I4068" t="s">
        <v>26348</v>
      </c>
      <c r="J4068" t="str">
        <f t="shared" si="317"/>
        <v>E:\PropInv\MF</v>
      </c>
      <c r="K4068" s="103" t="str">
        <f>HYPERLINK("E:\PropInv\MF\Dallas\Cole_4719_Saltillo_Dallas_13979","Cole_4719_Saltillo_Dallas_13979" )</f>
        <v>Cole_4719_Saltillo_Dallas_13979</v>
      </c>
      <c r="L4068" s="104" t="s">
        <v>22253</v>
      </c>
      <c r="M4068" s="103" t="str">
        <f t="shared" si="318"/>
        <v>http://oconnordata.com/mlink/modules/profile/index.cfm?action=profile&amp;prop_id=13979</v>
      </c>
      <c r="N4068" s="1">
        <f t="shared" si="319"/>
        <v>13979</v>
      </c>
    </row>
    <row r="4069" spans="1:14" x14ac:dyDescent="0.3">
      <c r="A4069" s="1">
        <v>13980</v>
      </c>
      <c r="B4069" s="10" t="s">
        <v>6221</v>
      </c>
      <c r="C4069" s="9">
        <v>2516</v>
      </c>
      <c r="D4069" s="10" t="s">
        <v>6222</v>
      </c>
      <c r="E4069" s="11" t="s">
        <v>4996</v>
      </c>
      <c r="F4069" t="str">
        <f t="shared" si="315"/>
        <v>New</v>
      </c>
      <c r="G4069" t="str">
        <f t="shared" si="316"/>
        <v>New2516Dallas</v>
      </c>
      <c r="H4069" t="s">
        <v>34926</v>
      </c>
      <c r="I4069" t="s">
        <v>26349</v>
      </c>
      <c r="J4069" t="str">
        <f t="shared" si="317"/>
        <v>E:\PropInv\MF</v>
      </c>
      <c r="K4069" s="103" t="str">
        <f>HYPERLINK("E:\PropInv\MF\Dallas\New Orleans #138_2516_San Carlos_Dallas_13980","New Orleans #138_2516_San Carlos_Dallas_13980" )</f>
        <v>New Orleans #138_2516_San Carlos_Dallas_13980</v>
      </c>
      <c r="L4069" s="104" t="s">
        <v>22253</v>
      </c>
      <c r="M4069" s="103" t="str">
        <f t="shared" si="318"/>
        <v>http://oconnordata.com/mlink/modules/profile/index.cfm?action=profile&amp;prop_id=13980</v>
      </c>
      <c r="N4069" s="1">
        <f t="shared" si="319"/>
        <v>13980</v>
      </c>
    </row>
    <row r="4070" spans="1:14" x14ac:dyDescent="0.3">
      <c r="A4070" s="1">
        <v>13981</v>
      </c>
      <c r="B4070" s="7" t="s">
        <v>6223</v>
      </c>
      <c r="C4070" s="12">
        <v>7110</v>
      </c>
      <c r="D4070" s="7" t="s">
        <v>6224</v>
      </c>
      <c r="E4070" s="13" t="s">
        <v>4996</v>
      </c>
      <c r="F4070" t="str">
        <f t="shared" si="315"/>
        <v>San</v>
      </c>
      <c r="G4070" t="str">
        <f t="shared" si="316"/>
        <v>San7110Dallas</v>
      </c>
      <c r="H4070" t="s">
        <v>34927</v>
      </c>
      <c r="I4070" t="s">
        <v>26350</v>
      </c>
      <c r="J4070" t="str">
        <f t="shared" si="317"/>
        <v>E:\PropInv\MF</v>
      </c>
      <c r="K4070" s="103" t="str">
        <f>HYPERLINK("E:\PropInv\MF\Dallas\San Mateo_7110_San Mateo Forest_Dallas_13981","San Mateo_7110_San Mateo Forest_Dallas_13981" )</f>
        <v>San Mateo_7110_San Mateo Forest_Dallas_13981</v>
      </c>
      <c r="L4070" s="104" t="s">
        <v>22253</v>
      </c>
      <c r="M4070" s="103" t="str">
        <f t="shared" si="318"/>
        <v>http://oconnordata.com/mlink/modules/profile/index.cfm?action=profile&amp;prop_id=13981</v>
      </c>
      <c r="N4070" s="1">
        <f t="shared" si="319"/>
        <v>13981</v>
      </c>
    </row>
    <row r="4071" spans="1:14" x14ac:dyDescent="0.3">
      <c r="A4071" s="1">
        <v>13982</v>
      </c>
      <c r="B4071" s="7" t="s">
        <v>6190</v>
      </c>
      <c r="C4071" s="12">
        <v>900</v>
      </c>
      <c r="D4071" s="7" t="s">
        <v>6225</v>
      </c>
      <c r="E4071" s="13" t="s">
        <v>5046</v>
      </c>
      <c r="F4071" t="str">
        <f t="shared" si="315"/>
        <v>Rochelle</v>
      </c>
      <c r="G4071" t="str">
        <f t="shared" si="316"/>
        <v>Rochelle900Irving</v>
      </c>
      <c r="H4071" t="s">
        <v>34928</v>
      </c>
      <c r="I4071" t="s">
        <v>26351</v>
      </c>
      <c r="J4071" t="str">
        <f t="shared" si="317"/>
        <v>E:\PropInv\MF</v>
      </c>
      <c r="K4071" s="103" t="str">
        <f>HYPERLINK("E:\PropInv\MF\Irving\Rochelle W_900_Sandpebble_Irving_13982","Rochelle W_900_Sandpebble_Irving_13982" )</f>
        <v>Rochelle W_900_Sandpebble_Irving_13982</v>
      </c>
      <c r="L4071" s="104" t="s">
        <v>22253</v>
      </c>
      <c r="M4071" s="103" t="str">
        <f t="shared" si="318"/>
        <v>http://oconnordata.com/mlink/modules/profile/index.cfm?action=profile&amp;prop_id=13982</v>
      </c>
      <c r="N4071" s="1">
        <f t="shared" si="319"/>
        <v>13982</v>
      </c>
    </row>
    <row r="4072" spans="1:14" x14ac:dyDescent="0.3">
      <c r="A4072" s="1">
        <v>13983</v>
      </c>
      <c r="B4072" s="7" t="s">
        <v>5364</v>
      </c>
      <c r="C4072" s="12">
        <v>13350</v>
      </c>
      <c r="D4072" s="7" t="s">
        <v>6226</v>
      </c>
      <c r="E4072" s="13" t="s">
        <v>4996</v>
      </c>
      <c r="F4072" t="str">
        <f t="shared" si="315"/>
        <v>Maham</v>
      </c>
      <c r="G4072" t="str">
        <f t="shared" si="316"/>
        <v>Maham13350Dallas</v>
      </c>
      <c r="H4072" t="s">
        <v>34929</v>
      </c>
      <c r="I4072" t="s">
        <v>26352</v>
      </c>
      <c r="J4072" t="str">
        <f t="shared" si="317"/>
        <v>E:\PropInv\MF</v>
      </c>
      <c r="K4072" s="103" t="str">
        <f>HYPERLINK("E:\PropInv\MF\Dallas\Maham Rd_13350_Vista Buena_Dallas_13983","Maham Rd_13350_Vista Buena_Dallas_13983" )</f>
        <v>Maham Rd_13350_Vista Buena_Dallas_13983</v>
      </c>
      <c r="L4072" s="104" t="s">
        <v>22253</v>
      </c>
      <c r="M4072" s="103" t="str">
        <f t="shared" si="318"/>
        <v>http://oconnordata.com/mlink/modules/profile/index.cfm?action=profile&amp;prop_id=13983</v>
      </c>
      <c r="N4072" s="1">
        <f t="shared" si="319"/>
        <v>13983</v>
      </c>
    </row>
    <row r="4073" spans="1:14" x14ac:dyDescent="0.3">
      <c r="A4073" s="1">
        <v>13984</v>
      </c>
      <c r="B4073" s="7" t="s">
        <v>6227</v>
      </c>
      <c r="C4073" s="12">
        <v>8203</v>
      </c>
      <c r="D4073" s="7" t="s">
        <v>6228</v>
      </c>
      <c r="E4073" s="13" t="s">
        <v>5046</v>
      </c>
      <c r="F4073" t="str">
        <f t="shared" si="315"/>
        <v>Ranchview</v>
      </c>
      <c r="G4073" t="str">
        <f t="shared" si="316"/>
        <v>Ranchview8203Irving</v>
      </c>
      <c r="H4073" t="s">
        <v>34930</v>
      </c>
      <c r="I4073" t="s">
        <v>26353</v>
      </c>
      <c r="J4073" t="str">
        <f t="shared" si="317"/>
        <v>E:\PropInv\MF</v>
      </c>
      <c r="K4073" s="103" t="str">
        <f>HYPERLINK("E:\PropInv\MF\Irving\Ranchview_8203_Santa Fe Ranch_Irving_13984","Ranchview_8203_Santa Fe Ranch_Irving_13984" )</f>
        <v>Ranchview_8203_Santa Fe Ranch_Irving_13984</v>
      </c>
      <c r="L4073" s="104" t="s">
        <v>22253</v>
      </c>
      <c r="M4073" s="103" t="str">
        <f t="shared" si="318"/>
        <v>http://oconnordata.com/mlink/modules/profile/index.cfm?action=profile&amp;prop_id=13984</v>
      </c>
      <c r="N4073" s="1">
        <f t="shared" si="319"/>
        <v>13984</v>
      </c>
    </row>
    <row r="4074" spans="1:14" x14ac:dyDescent="0.3">
      <c r="A4074" s="1">
        <v>13986</v>
      </c>
      <c r="B4074" s="7" t="s">
        <v>5493</v>
      </c>
      <c r="C4074" s="12">
        <v>2940</v>
      </c>
      <c r="D4074" s="7" t="s">
        <v>6229</v>
      </c>
      <c r="E4074" s="13" t="s">
        <v>5046</v>
      </c>
      <c r="F4074" t="str">
        <f t="shared" si="315"/>
        <v>Royal</v>
      </c>
      <c r="G4074" t="str">
        <f t="shared" si="316"/>
        <v>Royal2940Irving</v>
      </c>
      <c r="H4074" t="s">
        <v>34931</v>
      </c>
      <c r="I4074" t="s">
        <v>26354</v>
      </c>
      <c r="J4074" t="str">
        <f t="shared" si="317"/>
        <v>E:\PropInv\MF</v>
      </c>
      <c r="K4074" s="103" t="str">
        <f>HYPERLINK("E:\PropInv\MF\Irving\Royal Ln W_2940_Santa Rosa_Irving_13986","Royal Ln W_2940_Santa Rosa_Irving_13986" )</f>
        <v>Royal Ln W_2940_Santa Rosa_Irving_13986</v>
      </c>
      <c r="L4074" s="104" t="s">
        <v>22253</v>
      </c>
      <c r="M4074" s="103" t="str">
        <f t="shared" si="318"/>
        <v>http://oconnordata.com/mlink/modules/profile/index.cfm?action=profile&amp;prop_id=13986</v>
      </c>
      <c r="N4074" s="1">
        <f t="shared" si="319"/>
        <v>13986</v>
      </c>
    </row>
    <row r="4075" spans="1:14" x14ac:dyDescent="0.3">
      <c r="A4075" s="1">
        <v>13987</v>
      </c>
      <c r="B4075" s="7" t="s">
        <v>6066</v>
      </c>
      <c r="C4075" s="12">
        <v>2600</v>
      </c>
      <c r="D4075" s="7" t="s">
        <v>6230</v>
      </c>
      <c r="E4075" s="13" t="s">
        <v>4996</v>
      </c>
      <c r="F4075" t="str">
        <f t="shared" si="315"/>
        <v>Arroyo</v>
      </c>
      <c r="G4075" t="str">
        <f t="shared" si="316"/>
        <v>Arroyo2600Dallas</v>
      </c>
      <c r="H4075" t="s">
        <v>34932</v>
      </c>
      <c r="I4075" t="s">
        <v>26355</v>
      </c>
      <c r="J4075" t="str">
        <f t="shared" si="317"/>
        <v>E:\PropInv\MF</v>
      </c>
      <c r="K4075" s="103" t="str">
        <f>HYPERLINK("E:\PropInv\MF\Dallas\Arroyo Ave_2600_Oaklawn Heights_Dallas_13987","Arroyo Ave_2600_Oaklawn Heights_Dallas_13987" )</f>
        <v>Arroyo Ave_2600_Oaklawn Heights_Dallas_13987</v>
      </c>
      <c r="L4075" s="104" t="s">
        <v>22253</v>
      </c>
      <c r="M4075" s="103" t="str">
        <f t="shared" si="318"/>
        <v>http://oconnordata.com/mlink/modules/profile/index.cfm?action=profile&amp;prop_id=13987</v>
      </c>
      <c r="N4075" s="1">
        <f t="shared" si="319"/>
        <v>13987</v>
      </c>
    </row>
    <row r="4076" spans="1:14" x14ac:dyDescent="0.3">
      <c r="A4076" s="1">
        <v>13988</v>
      </c>
      <c r="B4076" s="7" t="s">
        <v>5334</v>
      </c>
      <c r="C4076" s="12">
        <v>4490</v>
      </c>
      <c r="D4076" s="7" t="s">
        <v>6231</v>
      </c>
      <c r="E4076" s="13" t="s">
        <v>5043</v>
      </c>
      <c r="F4076" t="str">
        <f t="shared" si="315"/>
        <v>Eldorado</v>
      </c>
      <c r="G4076" t="str">
        <f t="shared" si="316"/>
        <v>Eldorado4490McKinney</v>
      </c>
      <c r="H4076" t="s">
        <v>34933</v>
      </c>
      <c r="I4076" t="s">
        <v>26356</v>
      </c>
      <c r="J4076" t="str">
        <f t="shared" si="317"/>
        <v>E:\PropInv\MF</v>
      </c>
      <c r="K4076" s="103" t="str">
        <f>HYPERLINK("E:\PropInv\MF\McKinney\Eldorado Pkwy_4490_Saxon Woods_McKinney_13988","Eldorado Pkwy_4490_Saxon Woods_McKinney_13988" )</f>
        <v>Eldorado Pkwy_4490_Saxon Woods_McKinney_13988</v>
      </c>
      <c r="L4076" s="104" t="s">
        <v>22253</v>
      </c>
      <c r="M4076" s="103" t="str">
        <f t="shared" si="318"/>
        <v>http://oconnordata.com/mlink/modules/profile/index.cfm?action=profile&amp;prop_id=13988</v>
      </c>
      <c r="N4076" s="1">
        <f t="shared" si="319"/>
        <v>13988</v>
      </c>
    </row>
    <row r="4077" spans="1:14" x14ac:dyDescent="0.3">
      <c r="A4077" s="1">
        <v>13989</v>
      </c>
      <c r="B4077" s="7" t="s">
        <v>6166</v>
      </c>
      <c r="C4077" s="12">
        <v>14601</v>
      </c>
      <c r="D4077" s="7" t="s">
        <v>6232</v>
      </c>
      <c r="E4077" s="13" t="s">
        <v>4996</v>
      </c>
      <c r="F4077" t="str">
        <f t="shared" si="315"/>
        <v>Montfort</v>
      </c>
      <c r="G4077" t="str">
        <f t="shared" si="316"/>
        <v>Montfort14601Dallas</v>
      </c>
      <c r="H4077" t="s">
        <v>34934</v>
      </c>
      <c r="I4077" t="s">
        <v>26357</v>
      </c>
      <c r="J4077" t="str">
        <f t="shared" si="317"/>
        <v>E:\PropInv\MF</v>
      </c>
      <c r="K4077" s="103" t="str">
        <f>HYPERLINK("E:\PropInv\MF\Dallas\Montfort Dr_14601_Saxony_Dallas_13989","Montfort Dr_14601_Saxony_Dallas_13989" )</f>
        <v>Montfort Dr_14601_Saxony_Dallas_13989</v>
      </c>
      <c r="L4077" s="104" t="s">
        <v>22253</v>
      </c>
      <c r="M4077" s="103" t="str">
        <f t="shared" si="318"/>
        <v>http://oconnordata.com/mlink/modules/profile/index.cfm?action=profile&amp;prop_id=13989</v>
      </c>
      <c r="N4077" s="1">
        <f t="shared" si="319"/>
        <v>13989</v>
      </c>
    </row>
    <row r="4078" spans="1:14" x14ac:dyDescent="0.3">
      <c r="A4078" s="1">
        <v>13990</v>
      </c>
      <c r="B4078" s="10" t="s">
        <v>5360</v>
      </c>
      <c r="C4078" s="9">
        <v>9911</v>
      </c>
      <c r="D4078" s="10" t="s">
        <v>6233</v>
      </c>
      <c r="E4078" s="11" t="s">
        <v>4996</v>
      </c>
      <c r="F4078" t="str">
        <f t="shared" si="315"/>
        <v>Whitehurst</v>
      </c>
      <c r="G4078" t="str">
        <f t="shared" si="316"/>
        <v>Whitehurst9911Dallas</v>
      </c>
      <c r="H4078" t="s">
        <v>34935</v>
      </c>
      <c r="I4078" t="s">
        <v>26358</v>
      </c>
      <c r="J4078" t="str">
        <f t="shared" si="317"/>
        <v>E:\PropInv\MF</v>
      </c>
      <c r="K4078" s="103" t="str">
        <f>HYPERLINK("E:\PropInv\MF\Dallas\Whitehurst_9911_The Family Place Apts_Dallas_13990","Whitehurst_9911_The Family Place Apts_Dallas_13990" )</f>
        <v>Whitehurst_9911_The Family Place Apts_Dallas_13990</v>
      </c>
      <c r="L4078" s="104" t="s">
        <v>22253</v>
      </c>
      <c r="M4078" s="103" t="str">
        <f t="shared" si="318"/>
        <v>http://oconnordata.com/mlink/modules/profile/index.cfm?action=profile&amp;prop_id=13990</v>
      </c>
      <c r="N4078" s="1">
        <f t="shared" si="319"/>
        <v>13990</v>
      </c>
    </row>
    <row r="4079" spans="1:14" x14ac:dyDescent="0.3">
      <c r="A4079" s="1">
        <v>13991</v>
      </c>
      <c r="B4079" s="10" t="s">
        <v>6234</v>
      </c>
      <c r="C4079" s="9">
        <v>1420</v>
      </c>
      <c r="D4079" s="10" t="s">
        <v>6235</v>
      </c>
      <c r="E4079" s="11" t="s">
        <v>5140</v>
      </c>
      <c r="F4079" t="str">
        <f t="shared" si="315"/>
        <v>McDermott</v>
      </c>
      <c r="G4079" t="str">
        <f t="shared" si="316"/>
        <v>McDermott1420Allen</v>
      </c>
      <c r="H4079" t="s">
        <v>34936</v>
      </c>
      <c r="I4079" t="s">
        <v>26359</v>
      </c>
      <c r="J4079" t="str">
        <f t="shared" si="317"/>
        <v>E:\PropInv\MF</v>
      </c>
      <c r="K4079" s="103" t="str">
        <f>HYPERLINK("E:\PropInv\MF\Allen\McDermott W_1420_Settler's Gate_Allen_13991","McDermott W_1420_Settler's Gate_Allen_13991" )</f>
        <v>McDermott W_1420_Settler's Gate_Allen_13991</v>
      </c>
      <c r="L4079" s="104" t="s">
        <v>22253</v>
      </c>
      <c r="M4079" s="103" t="str">
        <f t="shared" si="318"/>
        <v>http://oconnordata.com/mlink/modules/profile/index.cfm?action=profile&amp;prop_id=13991</v>
      </c>
      <c r="N4079" s="1">
        <f t="shared" si="319"/>
        <v>13991</v>
      </c>
    </row>
    <row r="4080" spans="1:14" x14ac:dyDescent="0.3">
      <c r="A4080" s="1">
        <v>13992</v>
      </c>
      <c r="B4080" s="10" t="s">
        <v>6236</v>
      </c>
      <c r="C4080" s="9">
        <v>2001</v>
      </c>
      <c r="D4080" s="10" t="s">
        <v>1298</v>
      </c>
      <c r="E4080" s="11" t="s">
        <v>5019</v>
      </c>
      <c r="F4080" t="str">
        <f t="shared" si="315"/>
        <v>Campbell</v>
      </c>
      <c r="G4080" t="str">
        <f t="shared" si="316"/>
        <v>Campbell2001Garland</v>
      </c>
      <c r="H4080" t="s">
        <v>34937</v>
      </c>
      <c r="I4080" t="s">
        <v>26360</v>
      </c>
      <c r="J4080" t="str">
        <f t="shared" si="317"/>
        <v>E:\PropInv\MF</v>
      </c>
      <c r="K4080" s="103" t="str">
        <f>HYPERLINK("E:\PropInv\MF\Garland\Campbell W_2001_Seven Oaks_Garland_13992","Campbell W_2001_Seven Oaks_Garland_13992" )</f>
        <v>Campbell W_2001_Seven Oaks_Garland_13992</v>
      </c>
      <c r="L4080" s="104" t="s">
        <v>22253</v>
      </c>
      <c r="M4080" s="103" t="str">
        <f t="shared" si="318"/>
        <v>http://oconnordata.com/mlink/modules/profile/index.cfm?action=profile&amp;prop_id=13992</v>
      </c>
      <c r="N4080" s="1">
        <f t="shared" si="319"/>
        <v>13992</v>
      </c>
    </row>
    <row r="4081" spans="1:14" x14ac:dyDescent="0.3">
      <c r="A4081" s="1">
        <v>13993</v>
      </c>
      <c r="B4081" s="10" t="s">
        <v>1889</v>
      </c>
      <c r="C4081" s="9">
        <v>1455</v>
      </c>
      <c r="D4081" s="10" t="s">
        <v>6237</v>
      </c>
      <c r="E4081" s="11" t="s">
        <v>5060</v>
      </c>
      <c r="F4081" t="str">
        <f t="shared" si="315"/>
        <v>Perry</v>
      </c>
      <c r="G4081" t="str">
        <f t="shared" si="316"/>
        <v>Perry1455Carrollton</v>
      </c>
      <c r="H4081" t="s">
        <v>34938</v>
      </c>
      <c r="I4081" t="s">
        <v>26361</v>
      </c>
      <c r="J4081" t="str">
        <f t="shared" si="317"/>
        <v>E:\PropInv\MF</v>
      </c>
      <c r="K4081" s="103" t="str">
        <f>HYPERLINK("E:\PropInv\MF\Carrollton\Perry Rd_1455_Sevilla Condos_Carrollton_13993","Perry Rd_1455_Sevilla Condos_Carrollton_13993" )</f>
        <v>Perry Rd_1455_Sevilla Condos_Carrollton_13993</v>
      </c>
      <c r="L4081" s="104" t="s">
        <v>22253</v>
      </c>
      <c r="M4081" s="103" t="str">
        <f t="shared" si="318"/>
        <v>http://oconnordata.com/mlink/modules/profile/index.cfm?action=profile&amp;prop_id=13993</v>
      </c>
      <c r="N4081" s="1">
        <f t="shared" si="319"/>
        <v>13993</v>
      </c>
    </row>
    <row r="4082" spans="1:14" x14ac:dyDescent="0.3">
      <c r="A4082" s="1">
        <v>13994</v>
      </c>
      <c r="B4082" s="10" t="s">
        <v>6238</v>
      </c>
      <c r="C4082" s="9">
        <v>10651</v>
      </c>
      <c r="D4082" s="10" t="s">
        <v>6239</v>
      </c>
      <c r="E4082" s="11" t="s">
        <v>4996</v>
      </c>
      <c r="F4082" t="str">
        <f t="shared" si="315"/>
        <v>Steppington</v>
      </c>
      <c r="G4082" t="str">
        <f t="shared" si="316"/>
        <v>Steppington10651Dallas</v>
      </c>
      <c r="H4082" t="s">
        <v>34939</v>
      </c>
      <c r="I4082" t="s">
        <v>26362</v>
      </c>
      <c r="J4082" t="str">
        <f t="shared" si="317"/>
        <v>E:\PropInv\MF</v>
      </c>
      <c r="K4082" s="103" t="str">
        <f>HYPERLINK("E:\PropInv\MF\Dallas\Steppington_10651_The Seville_Dallas_13994","Steppington_10651_The Seville_Dallas_13994" )</f>
        <v>Steppington_10651_The Seville_Dallas_13994</v>
      </c>
      <c r="L4082" s="104" t="s">
        <v>22253</v>
      </c>
      <c r="M4082" s="103" t="str">
        <f t="shared" si="318"/>
        <v>http://oconnordata.com/mlink/modules/profile/index.cfm?action=profile&amp;prop_id=13994</v>
      </c>
      <c r="N4082" s="1">
        <f t="shared" si="319"/>
        <v>13994</v>
      </c>
    </row>
    <row r="4083" spans="1:14" x14ac:dyDescent="0.3">
      <c r="A4083" s="1">
        <v>13996</v>
      </c>
      <c r="B4083" s="10" t="s">
        <v>5149</v>
      </c>
      <c r="C4083" s="9">
        <v>7414</v>
      </c>
      <c r="D4083" s="10" t="s">
        <v>6240</v>
      </c>
      <c r="E4083" s="11" t="s">
        <v>4996</v>
      </c>
      <c r="F4083" t="str">
        <f t="shared" si="315"/>
        <v>Grand</v>
      </c>
      <c r="G4083" t="str">
        <f t="shared" si="316"/>
        <v>Grand7414Dallas</v>
      </c>
      <c r="H4083" t="s">
        <v>34940</v>
      </c>
      <c r="I4083" t="s">
        <v>26363</v>
      </c>
      <c r="J4083" t="str">
        <f t="shared" si="317"/>
        <v>E:\PropInv\MF</v>
      </c>
      <c r="K4083" s="103" t="str">
        <f>HYPERLINK("E:\PropInv\MF\Dallas\Grand Ave E_7414_Coronado_Dallas_13996","Grand Ave E_7414_Coronado_Dallas_13996" )</f>
        <v>Grand Ave E_7414_Coronado_Dallas_13996</v>
      </c>
      <c r="L4083" s="104" t="s">
        <v>22253</v>
      </c>
      <c r="M4083" s="103" t="str">
        <f t="shared" si="318"/>
        <v>http://oconnordata.com/mlink/modules/profile/index.cfm?action=profile&amp;prop_id=13996</v>
      </c>
      <c r="N4083" s="1">
        <f t="shared" si="319"/>
        <v>13996</v>
      </c>
    </row>
    <row r="4084" spans="1:14" x14ac:dyDescent="0.3">
      <c r="A4084" s="1">
        <v>13997</v>
      </c>
      <c r="B4084" s="10" t="s">
        <v>5037</v>
      </c>
      <c r="C4084" s="9">
        <v>14500</v>
      </c>
      <c r="D4084" s="10" t="s">
        <v>6241</v>
      </c>
      <c r="E4084" s="11" t="s">
        <v>5005</v>
      </c>
      <c r="F4084" t="str">
        <f t="shared" si="315"/>
        <v>Marsh</v>
      </c>
      <c r="G4084" t="str">
        <f t="shared" si="316"/>
        <v>Marsh14500Addison</v>
      </c>
      <c r="H4084" t="s">
        <v>34941</v>
      </c>
      <c r="I4084" t="s">
        <v>26364</v>
      </c>
      <c r="J4084" t="str">
        <f t="shared" si="317"/>
        <v>E:\PropInv\MF</v>
      </c>
      <c r="K4084" s="103" t="str">
        <f>HYPERLINK("E:\PropInv\MF\Addison\Marsh Ln_14500_Shadowood_Addison_13997","Marsh Ln_14500_Shadowood_Addison_13997" )</f>
        <v>Marsh Ln_14500_Shadowood_Addison_13997</v>
      </c>
      <c r="L4084" s="104" t="s">
        <v>22253</v>
      </c>
      <c r="M4084" s="103" t="str">
        <f t="shared" si="318"/>
        <v>http://oconnordata.com/mlink/modules/profile/index.cfm?action=profile&amp;prop_id=13997</v>
      </c>
      <c r="N4084" s="1">
        <f t="shared" si="319"/>
        <v>13997</v>
      </c>
    </row>
    <row r="4085" spans="1:14" x14ac:dyDescent="0.3">
      <c r="A4085" s="1">
        <v>13998</v>
      </c>
      <c r="B4085" s="7" t="s">
        <v>5653</v>
      </c>
      <c r="C4085" s="12">
        <v>9701</v>
      </c>
      <c r="D4085" s="7" t="s">
        <v>6242</v>
      </c>
      <c r="E4085" s="13" t="s">
        <v>4996</v>
      </c>
      <c r="F4085" t="str">
        <f t="shared" si="315"/>
        <v>Ferris</v>
      </c>
      <c r="G4085" t="str">
        <f t="shared" si="316"/>
        <v>Ferris9701Dallas</v>
      </c>
      <c r="H4085" t="s">
        <v>34942</v>
      </c>
      <c r="I4085" t="s">
        <v>26365</v>
      </c>
      <c r="J4085" t="str">
        <f t="shared" si="317"/>
        <v>E:\PropInv\MF</v>
      </c>
      <c r="K4085" s="103" t="str">
        <f>HYPERLINK("E:\PropInv\MF\Dallas\Ferris Branch Blvd W_9701_Shadowridge Village_Dallas_13998","Ferris Branch Blvd W_9701_Shadowridge Village_Dallas_13998" )</f>
        <v>Ferris Branch Blvd W_9701_Shadowridge Village_Dallas_13998</v>
      </c>
      <c r="L4085" s="104" t="s">
        <v>22253</v>
      </c>
      <c r="M4085" s="103" t="str">
        <f t="shared" si="318"/>
        <v>http://oconnordata.com/mlink/modules/profile/index.cfm?action=profile&amp;prop_id=13998</v>
      </c>
      <c r="N4085" s="1">
        <f t="shared" si="319"/>
        <v>13998</v>
      </c>
    </row>
    <row r="4086" spans="1:14" x14ac:dyDescent="0.3">
      <c r="A4086" s="1">
        <v>14001</v>
      </c>
      <c r="B4086" s="7" t="s">
        <v>6243</v>
      </c>
      <c r="C4086" s="12" t="s">
        <v>6244</v>
      </c>
      <c r="D4086" s="7" t="s">
        <v>4786</v>
      </c>
      <c r="E4086" s="13" t="s">
        <v>3328</v>
      </c>
      <c r="F4086" t="str">
        <f t="shared" si="315"/>
        <v>Allegheny</v>
      </c>
      <c r="G4086" t="str">
        <f t="shared" si="316"/>
        <v>Allegheny939-ARichardson</v>
      </c>
      <c r="H4086" t="s">
        <v>34943</v>
      </c>
      <c r="I4086" t="s">
        <v>26366</v>
      </c>
      <c r="J4086" t="str">
        <f t="shared" si="317"/>
        <v>E:\PropInv\MF</v>
      </c>
      <c r="K4086" s="103" t="str">
        <f>HYPERLINK("E:\PropInv\MF\Richardson\Allegheny Ct_939-A_Shenandoah_Richardson_14001","Allegheny Ct_939-A_Shenandoah_Richardson_14001" )</f>
        <v>Allegheny Ct_939-A_Shenandoah_Richardson_14001</v>
      </c>
      <c r="L4086" s="104" t="s">
        <v>22253</v>
      </c>
      <c r="M4086" s="103" t="str">
        <f t="shared" si="318"/>
        <v>http://oconnordata.com/mlink/modules/profile/index.cfm?action=profile&amp;prop_id=14001</v>
      </c>
      <c r="N4086" s="1">
        <f t="shared" si="319"/>
        <v>14001</v>
      </c>
    </row>
    <row r="4087" spans="1:14" x14ac:dyDescent="0.3">
      <c r="A4087" s="1">
        <v>14002</v>
      </c>
      <c r="B4087" s="7" t="s">
        <v>5495</v>
      </c>
      <c r="C4087" s="12">
        <v>1302</v>
      </c>
      <c r="D4087" s="7" t="s">
        <v>6245</v>
      </c>
      <c r="E4087" s="13" t="s">
        <v>5019</v>
      </c>
      <c r="F4087" t="str">
        <f t="shared" si="315"/>
        <v>Shiloh</v>
      </c>
      <c r="G4087" t="str">
        <f t="shared" si="316"/>
        <v>Shiloh1302Garland</v>
      </c>
      <c r="H4087" t="s">
        <v>34944</v>
      </c>
      <c r="I4087" t="s">
        <v>26367</v>
      </c>
      <c r="J4087" t="str">
        <f t="shared" si="317"/>
        <v>E:\PropInv\MF</v>
      </c>
      <c r="K4087" s="103" t="str">
        <f>HYPERLINK("E:\PropInv\MF\Garland\Shiloh N_1302_Villa Del Rio_Garland_14002","Shiloh N_1302_Villa Del Rio_Garland_14002" )</f>
        <v>Shiloh N_1302_Villa Del Rio_Garland_14002</v>
      </c>
      <c r="L4087" s="104" t="s">
        <v>22253</v>
      </c>
      <c r="M4087" s="103" t="str">
        <f t="shared" si="318"/>
        <v>http://oconnordata.com/mlink/modules/profile/index.cfm?action=profile&amp;prop_id=14002</v>
      </c>
      <c r="N4087" s="1">
        <f t="shared" si="319"/>
        <v>14002</v>
      </c>
    </row>
    <row r="4088" spans="1:14" x14ac:dyDescent="0.3">
      <c r="A4088" s="1">
        <v>14003</v>
      </c>
      <c r="B4088" s="7" t="s">
        <v>5077</v>
      </c>
      <c r="C4088" s="12">
        <v>9455</v>
      </c>
      <c r="D4088" s="7" t="s">
        <v>6246</v>
      </c>
      <c r="E4088" s="13" t="s">
        <v>4996</v>
      </c>
      <c r="F4088" t="str">
        <f t="shared" si="315"/>
        <v>Skillman</v>
      </c>
      <c r="G4088" t="str">
        <f t="shared" si="316"/>
        <v>Skillman9455Dallas</v>
      </c>
      <c r="H4088" t="s">
        <v>34945</v>
      </c>
      <c r="I4088" t="s">
        <v>26368</v>
      </c>
      <c r="J4088" t="str">
        <f t="shared" si="317"/>
        <v>E:\PropInv\MF</v>
      </c>
      <c r="K4088" s="103" t="str">
        <f>HYPERLINK("E:\PropInv\MF\Dallas\Skillman_9455_Sienna Springs_Dallas_14003","Skillman_9455_Sienna Springs_Dallas_14003" )</f>
        <v>Skillman_9455_Sienna Springs_Dallas_14003</v>
      </c>
      <c r="L4088" s="104" t="s">
        <v>22253</v>
      </c>
      <c r="M4088" s="103" t="str">
        <f t="shared" si="318"/>
        <v>http://oconnordata.com/mlink/modules/profile/index.cfm?action=profile&amp;prop_id=14003</v>
      </c>
      <c r="N4088" s="1">
        <f t="shared" si="319"/>
        <v>14003</v>
      </c>
    </row>
    <row r="4089" spans="1:14" x14ac:dyDescent="0.3">
      <c r="A4089" s="1">
        <v>14004</v>
      </c>
      <c r="B4089" s="7" t="s">
        <v>3148</v>
      </c>
      <c r="C4089" s="12">
        <v>3800</v>
      </c>
      <c r="D4089" s="7" t="s">
        <v>6247</v>
      </c>
      <c r="E4089" s="13" t="s">
        <v>5046</v>
      </c>
      <c r="F4089" t="str">
        <f t="shared" si="315"/>
        <v>Portland</v>
      </c>
      <c r="G4089" t="str">
        <f t="shared" si="316"/>
        <v>Portland3800Irving</v>
      </c>
      <c r="H4089" t="s">
        <v>34946</v>
      </c>
      <c r="I4089" t="s">
        <v>26369</v>
      </c>
      <c r="J4089" t="str">
        <f t="shared" si="317"/>
        <v>E:\PropInv\MF</v>
      </c>
      <c r="K4089" s="103" t="str">
        <f>HYPERLINK("E:\PropInv\MF\Irving\Portland_3800_Sierra Point_Irving_14004","Portland_3800_Sierra Point_Irving_14004" )</f>
        <v>Portland_3800_Sierra Point_Irving_14004</v>
      </c>
      <c r="L4089" s="104" t="s">
        <v>22253</v>
      </c>
      <c r="M4089" s="103" t="str">
        <f t="shared" si="318"/>
        <v>http://oconnordata.com/mlink/modules/profile/index.cfm?action=profile&amp;prop_id=14004</v>
      </c>
      <c r="N4089" s="1">
        <f t="shared" si="319"/>
        <v>14004</v>
      </c>
    </row>
    <row r="4090" spans="1:14" x14ac:dyDescent="0.3">
      <c r="A4090" s="1">
        <v>14005</v>
      </c>
      <c r="B4090" s="7" t="s">
        <v>5486</v>
      </c>
      <c r="C4090" s="12">
        <v>8400</v>
      </c>
      <c r="D4090" s="7" t="s">
        <v>2662</v>
      </c>
      <c r="E4090" s="13" t="s">
        <v>5488</v>
      </c>
      <c r="F4090" t="str">
        <f t="shared" si="315"/>
        <v>Stonebrook</v>
      </c>
      <c r="G4090" t="str">
        <f t="shared" si="316"/>
        <v>Stonebrook8400Frisco</v>
      </c>
      <c r="H4090" t="s">
        <v>34947</v>
      </c>
      <c r="I4090" t="s">
        <v>26370</v>
      </c>
      <c r="J4090" t="str">
        <f t="shared" si="317"/>
        <v>E:\PropInv\MF</v>
      </c>
      <c r="K4090" s="103" t="str">
        <f>HYPERLINK("E:\PropInv\MF\Frisco\Stonebrook Pkwy_8400_Silverado_Frisco_14005","Stonebrook Pkwy_8400_Silverado_Frisco_14005" )</f>
        <v>Stonebrook Pkwy_8400_Silverado_Frisco_14005</v>
      </c>
      <c r="L4090" s="104" t="s">
        <v>22253</v>
      </c>
      <c r="M4090" s="103" t="str">
        <f t="shared" si="318"/>
        <v>http://oconnordata.com/mlink/modules/profile/index.cfm?action=profile&amp;prop_id=14005</v>
      </c>
      <c r="N4090" s="1">
        <f t="shared" si="319"/>
        <v>14005</v>
      </c>
    </row>
    <row r="4091" spans="1:14" x14ac:dyDescent="0.3">
      <c r="A4091" s="1">
        <v>14006</v>
      </c>
      <c r="B4091" s="7" t="s">
        <v>5470</v>
      </c>
      <c r="C4091" s="12">
        <v>1319</v>
      </c>
      <c r="D4091" s="7" t="s">
        <v>2662</v>
      </c>
      <c r="E4091" s="13" t="s">
        <v>5046</v>
      </c>
      <c r="F4091" t="str">
        <f t="shared" si="315"/>
        <v>Nursery</v>
      </c>
      <c r="G4091" t="str">
        <f t="shared" si="316"/>
        <v>Nursery1319Irving</v>
      </c>
      <c r="H4091" t="s">
        <v>34948</v>
      </c>
      <c r="I4091" t="s">
        <v>26371</v>
      </c>
      <c r="J4091" t="str">
        <f t="shared" si="317"/>
        <v>E:\PropInv\MF</v>
      </c>
      <c r="K4091" s="103" t="str">
        <f>HYPERLINK("E:\PropInv\MF\Irving\Nursery Rd N_1319_Silverado_Irving_14006","Nursery Rd N_1319_Silverado_Irving_14006" )</f>
        <v>Nursery Rd N_1319_Silverado_Irving_14006</v>
      </c>
      <c r="L4091" s="104" t="s">
        <v>22253</v>
      </c>
      <c r="M4091" s="103" t="str">
        <f t="shared" si="318"/>
        <v>http://oconnordata.com/mlink/modules/profile/index.cfm?action=profile&amp;prop_id=14006</v>
      </c>
      <c r="N4091" s="1">
        <f t="shared" si="319"/>
        <v>14006</v>
      </c>
    </row>
    <row r="4092" spans="1:14" x14ac:dyDescent="0.3">
      <c r="A4092" s="1">
        <v>14007</v>
      </c>
      <c r="B4092" s="10" t="s">
        <v>6248</v>
      </c>
      <c r="C4092" s="9">
        <v>2934</v>
      </c>
      <c r="D4092" s="10" t="s">
        <v>6249</v>
      </c>
      <c r="E4092" s="11" t="s">
        <v>5076</v>
      </c>
      <c r="F4092" t="str">
        <f t="shared" si="315"/>
        <v>Alouette</v>
      </c>
      <c r="G4092" t="str">
        <f t="shared" si="316"/>
        <v>Alouette2934Grand Prairie</v>
      </c>
      <c r="H4092" t="s">
        <v>34949</v>
      </c>
      <c r="I4092" t="s">
        <v>26372</v>
      </c>
      <c r="J4092" t="str">
        <f t="shared" si="317"/>
        <v>E:\PropInv\MF</v>
      </c>
      <c r="K4092" s="103" t="str">
        <f>HYPERLINK("E:\PropInv\MF\Grand Prairie\Alouette_2934_Silverbrook_Grand Prairie_14007","Alouette_2934_Silverbrook_Grand Prairie_14007" )</f>
        <v>Alouette_2934_Silverbrook_Grand Prairie_14007</v>
      </c>
      <c r="L4092" s="104" t="s">
        <v>22253</v>
      </c>
      <c r="M4092" s="103" t="str">
        <f t="shared" si="318"/>
        <v>http://oconnordata.com/mlink/modules/profile/index.cfm?action=profile&amp;prop_id=14007</v>
      </c>
      <c r="N4092" s="1">
        <f t="shared" si="319"/>
        <v>14007</v>
      </c>
    </row>
    <row r="4093" spans="1:14" x14ac:dyDescent="0.3">
      <c r="A4093" s="1">
        <v>14008</v>
      </c>
      <c r="B4093" s="10" t="s">
        <v>6250</v>
      </c>
      <c r="C4093" s="9">
        <v>4700</v>
      </c>
      <c r="D4093" s="10" t="s">
        <v>6251</v>
      </c>
      <c r="E4093" s="11" t="s">
        <v>4996</v>
      </c>
      <c r="F4093" t="str">
        <f t="shared" si="315"/>
        <v>Wimbleton</v>
      </c>
      <c r="G4093" t="str">
        <f t="shared" si="316"/>
        <v>Wimbleton4700Dallas</v>
      </c>
      <c r="H4093" t="s">
        <v>34950</v>
      </c>
      <c r="I4093" t="s">
        <v>26373</v>
      </c>
      <c r="J4093" t="str">
        <f t="shared" si="317"/>
        <v>E:\PropInv\MF</v>
      </c>
      <c r="K4093" s="103" t="str">
        <f>HYPERLINK("E:\PropInv\MF\Dallas\Wimbleton Way_4700_Skyline Place_Dallas_14008","Wimbleton Way_4700_Skyline Place_Dallas_14008" )</f>
        <v>Wimbleton Way_4700_Skyline Place_Dallas_14008</v>
      </c>
      <c r="L4093" s="104" t="s">
        <v>22253</v>
      </c>
      <c r="M4093" s="103" t="str">
        <f t="shared" si="318"/>
        <v>http://oconnordata.com/mlink/modules/profile/index.cfm?action=profile&amp;prop_id=14008</v>
      </c>
      <c r="N4093" s="1">
        <f t="shared" si="319"/>
        <v>14008</v>
      </c>
    </row>
    <row r="4094" spans="1:14" x14ac:dyDescent="0.3">
      <c r="A4094" s="1">
        <v>14009</v>
      </c>
      <c r="B4094" s="7" t="s">
        <v>2965</v>
      </c>
      <c r="C4094" s="12">
        <v>2003</v>
      </c>
      <c r="D4094" s="7" t="s">
        <v>4477</v>
      </c>
      <c r="E4094" s="13" t="s">
        <v>5043</v>
      </c>
      <c r="F4094" t="str">
        <f t="shared" si="315"/>
        <v>Skyline</v>
      </c>
      <c r="G4094" t="str">
        <f t="shared" si="316"/>
        <v>Skyline2003McKinney</v>
      </c>
      <c r="H4094" t="s">
        <v>34951</v>
      </c>
      <c r="I4094" t="s">
        <v>26374</v>
      </c>
      <c r="J4094" t="str">
        <f t="shared" si="317"/>
        <v>E:\PropInv\MF</v>
      </c>
      <c r="K4094" s="103" t="str">
        <f>HYPERLINK("E:\PropInv\MF\McKinney\Skyline Dr_2003_Ashton Oaks_McKinney_14009","Skyline Dr_2003_Ashton Oaks_McKinney_14009" )</f>
        <v>Skyline Dr_2003_Ashton Oaks_McKinney_14009</v>
      </c>
      <c r="L4094" s="104" t="s">
        <v>22253</v>
      </c>
      <c r="M4094" s="103" t="str">
        <f t="shared" si="318"/>
        <v>http://oconnordata.com/mlink/modules/profile/index.cfm?action=profile&amp;prop_id=14009</v>
      </c>
      <c r="N4094" s="1">
        <f t="shared" si="319"/>
        <v>14009</v>
      </c>
    </row>
    <row r="4095" spans="1:14" x14ac:dyDescent="0.3">
      <c r="A4095" s="1">
        <v>14010</v>
      </c>
      <c r="B4095" s="10" t="s">
        <v>6252</v>
      </c>
      <c r="C4095" s="9">
        <v>2101</v>
      </c>
      <c r="D4095" s="10" t="s">
        <v>6253</v>
      </c>
      <c r="E4095" s="11" t="s">
        <v>5088</v>
      </c>
      <c r="F4095" t="str">
        <f t="shared" si="315"/>
        <v>Pinehurst</v>
      </c>
      <c r="G4095" t="str">
        <f t="shared" si="316"/>
        <v>Pinehurst2101Mesquite</v>
      </c>
      <c r="H4095" t="s">
        <v>34952</v>
      </c>
      <c r="I4095" t="s">
        <v>26375</v>
      </c>
      <c r="J4095" t="str">
        <f t="shared" si="317"/>
        <v>E:\PropInv\MF</v>
      </c>
      <c r="K4095" s="103" t="str">
        <f>HYPERLINK("E:\PropInv\MF\Mesquite\Pinehurst_2101_Pinehurst Place_Mesquite_14010","Pinehurst_2101_Pinehurst Place_Mesquite_14010" )</f>
        <v>Pinehurst_2101_Pinehurst Place_Mesquite_14010</v>
      </c>
      <c r="L4095" s="104" t="s">
        <v>22253</v>
      </c>
      <c r="M4095" s="103" t="str">
        <f t="shared" si="318"/>
        <v>http://oconnordata.com/mlink/modules/profile/index.cfm?action=profile&amp;prop_id=14010</v>
      </c>
      <c r="N4095" s="1">
        <f t="shared" si="319"/>
        <v>14010</v>
      </c>
    </row>
    <row r="4096" spans="1:14" x14ac:dyDescent="0.3">
      <c r="A4096" s="1">
        <v>14011</v>
      </c>
      <c r="B4096" s="7" t="s">
        <v>5077</v>
      </c>
      <c r="C4096" s="12">
        <v>7610</v>
      </c>
      <c r="D4096" s="7" t="s">
        <v>6254</v>
      </c>
      <c r="E4096" s="13" t="s">
        <v>4996</v>
      </c>
      <c r="F4096" t="str">
        <f t="shared" si="315"/>
        <v>Skillman</v>
      </c>
      <c r="G4096" t="str">
        <f t="shared" si="316"/>
        <v>Skillman7610Dallas</v>
      </c>
      <c r="H4096" t="s">
        <v>34953</v>
      </c>
      <c r="I4096" t="s">
        <v>26376</v>
      </c>
      <c r="J4096" t="str">
        <f t="shared" si="317"/>
        <v>E:\PropInv\MF</v>
      </c>
      <c r="K4096" s="103" t="str">
        <f>HYPERLINK("E:\PropInv\MF\Dallas\Skillman_7610_Soho_Dallas_14011","Skillman_7610_Soho_Dallas_14011" )</f>
        <v>Skillman_7610_Soho_Dallas_14011</v>
      </c>
      <c r="L4096" s="104" t="s">
        <v>22253</v>
      </c>
      <c r="M4096" s="103" t="str">
        <f t="shared" si="318"/>
        <v>http://oconnordata.com/mlink/modules/profile/index.cfm?action=profile&amp;prop_id=14011</v>
      </c>
      <c r="N4096" s="1">
        <f t="shared" si="319"/>
        <v>14011</v>
      </c>
    </row>
    <row r="4097" spans="1:14" x14ac:dyDescent="0.3">
      <c r="A4097" s="1">
        <v>14012</v>
      </c>
      <c r="B4097" s="7" t="s">
        <v>5515</v>
      </c>
      <c r="C4097" s="12">
        <v>9275</v>
      </c>
      <c r="D4097" s="7" t="s">
        <v>6255</v>
      </c>
      <c r="E4097" s="13" t="s">
        <v>4996</v>
      </c>
      <c r="F4097" t="str">
        <f t="shared" si="315"/>
        <v>LBJ</v>
      </c>
      <c r="G4097" t="str">
        <f t="shared" si="316"/>
        <v>LBJ9275Dallas</v>
      </c>
      <c r="H4097" t="s">
        <v>34954</v>
      </c>
      <c r="I4097" t="s">
        <v>26377</v>
      </c>
      <c r="J4097" t="str">
        <f t="shared" si="317"/>
        <v>E:\PropInv\MF</v>
      </c>
      <c r="K4097" s="103" t="str">
        <f>HYPERLINK("E:\PropInv\MF\Dallas\LBJ Fwy_9275_Solarium_Dallas_14012","LBJ Fwy_9275_Solarium_Dallas_14012" )</f>
        <v>LBJ Fwy_9275_Solarium_Dallas_14012</v>
      </c>
      <c r="L4097" s="104" t="s">
        <v>22253</v>
      </c>
      <c r="M4097" s="103" t="str">
        <f t="shared" si="318"/>
        <v>http://oconnordata.com/mlink/modules/profile/index.cfm?action=profile&amp;prop_id=14012</v>
      </c>
      <c r="N4097" s="1">
        <f t="shared" si="319"/>
        <v>14012</v>
      </c>
    </row>
    <row r="4098" spans="1:14" x14ac:dyDescent="0.3">
      <c r="A4098" s="1">
        <v>14013</v>
      </c>
      <c r="B4098" s="7" t="s">
        <v>6256</v>
      </c>
      <c r="C4098" s="12">
        <v>256</v>
      </c>
      <c r="D4098" s="7" t="s">
        <v>6257</v>
      </c>
      <c r="E4098" s="13" t="s">
        <v>5055</v>
      </c>
      <c r="F4098" t="str">
        <f t="shared" ref="F4098:F4161" si="320">IFERROR(LEFT(B4098,FIND(" ",B4098)-1),B4098)</f>
        <v>Corporate</v>
      </c>
      <c r="G4098" t="str">
        <f t="shared" ref="G4098:G4161" si="321">F4098&amp;C4098&amp;E4098</f>
        <v>Corporate256Lewisville</v>
      </c>
      <c r="H4098" t="s">
        <v>34955</v>
      </c>
      <c r="I4098" t="s">
        <v>26378</v>
      </c>
      <c r="J4098" t="str">
        <f t="shared" ref="J4098:J4161" si="322">IF(L4098="TX",Folder_Path,Folder_Path&amp;"\State_"&amp;L4098)</f>
        <v>E:\PropInv\MF</v>
      </c>
      <c r="K4098" s="103" t="str">
        <f>HYPERLINK("E:\PropInv\MF\Lewisville\Corporate Dr E_256_Somerset_Lewisville_14013","Corporate Dr E_256_Somerset_Lewisville_14013" )</f>
        <v>Corporate Dr E_256_Somerset_Lewisville_14013</v>
      </c>
      <c r="L4098" s="104" t="s">
        <v>22253</v>
      </c>
      <c r="M4098" s="103" t="str">
        <f t="shared" ref="M4098:M4161" si="323">HYPERLINK("http://oconnordata.com/mlink/modules/profile/index.cfm?action=profile&amp;prop_id="&amp;A4098)</f>
        <v>http://oconnordata.com/mlink/modules/profile/index.cfm?action=profile&amp;prop_id=14013</v>
      </c>
      <c r="N4098" s="1">
        <f t="shared" ref="N4098:N4161" si="324">IF(LEN(A4098)=1,"0000"&amp;A4098,IF(LEN(A4098)=2,"000"&amp;A4098,IF(LEN(A4098)=3,"00"&amp;A4098,IF(LEN(A4098)=4,"0"&amp;A4098,IF(LEN(A4098)=5,IF(LEFT(A4098,1)="3",A4098+30000,A4098))))))</f>
        <v>14013</v>
      </c>
    </row>
    <row r="4099" spans="1:14" x14ac:dyDescent="0.3">
      <c r="A4099" s="1">
        <v>14014</v>
      </c>
      <c r="B4099" s="7" t="s">
        <v>6258</v>
      </c>
      <c r="C4099" s="12">
        <v>4418</v>
      </c>
      <c r="D4099" s="7" t="s">
        <v>6257</v>
      </c>
      <c r="E4099" s="13" t="s">
        <v>4996</v>
      </c>
      <c r="F4099" t="str">
        <f t="shared" si="320"/>
        <v>Travis</v>
      </c>
      <c r="G4099" t="str">
        <f t="shared" si="321"/>
        <v>Travis4418Dallas</v>
      </c>
      <c r="H4099" t="s">
        <v>34956</v>
      </c>
      <c r="I4099" t="s">
        <v>26379</v>
      </c>
      <c r="J4099" t="str">
        <f t="shared" si="322"/>
        <v>E:\PropInv\MF</v>
      </c>
      <c r="K4099" s="103" t="str">
        <f>HYPERLINK("E:\PropInv\MF\Dallas\Travis_4418_Somerset_Dallas_14014","Travis_4418_Somerset_Dallas_14014" )</f>
        <v>Travis_4418_Somerset_Dallas_14014</v>
      </c>
      <c r="L4099" s="104" t="s">
        <v>22253</v>
      </c>
      <c r="M4099" s="103" t="str">
        <f t="shared" si="323"/>
        <v>http://oconnordata.com/mlink/modules/profile/index.cfm?action=profile&amp;prop_id=14014</v>
      </c>
      <c r="N4099" s="1">
        <f t="shared" si="324"/>
        <v>14014</v>
      </c>
    </row>
    <row r="4100" spans="1:14" x14ac:dyDescent="0.3">
      <c r="A4100" s="1">
        <v>14015</v>
      </c>
      <c r="B4100" s="10" t="s">
        <v>6259</v>
      </c>
      <c r="C4100" s="9">
        <v>9425</v>
      </c>
      <c r="D4100" s="10" t="s">
        <v>6260</v>
      </c>
      <c r="E4100" s="11" t="s">
        <v>5488</v>
      </c>
      <c r="F4100" t="str">
        <f t="shared" si="320"/>
        <v>Rolater</v>
      </c>
      <c r="G4100" t="str">
        <f t="shared" si="321"/>
        <v>Rolater9425Frisco</v>
      </c>
      <c r="H4100" t="s">
        <v>34957</v>
      </c>
      <c r="I4100" t="s">
        <v>26380</v>
      </c>
      <c r="J4100" t="str">
        <f t="shared" si="322"/>
        <v>E:\PropInv\MF</v>
      </c>
      <c r="K4100" s="103" t="str">
        <f>HYPERLINK("E:\PropInv\MF\Frisco\Rolater Rd_9425_Sonsrena_Frisco_14015","Rolater Rd_9425_Sonsrena_Frisco_14015" )</f>
        <v>Rolater Rd_9425_Sonsrena_Frisco_14015</v>
      </c>
      <c r="L4100" s="104" t="s">
        <v>22253</v>
      </c>
      <c r="M4100" s="103" t="str">
        <f t="shared" si="323"/>
        <v>http://oconnordata.com/mlink/modules/profile/index.cfm?action=profile&amp;prop_id=14015</v>
      </c>
      <c r="N4100" s="1">
        <f t="shared" si="324"/>
        <v>14015</v>
      </c>
    </row>
    <row r="4101" spans="1:14" x14ac:dyDescent="0.3">
      <c r="A4101" s="1">
        <v>14016</v>
      </c>
      <c r="B4101" s="10" t="s">
        <v>6261</v>
      </c>
      <c r="C4101" s="9">
        <v>530</v>
      </c>
      <c r="D4101" s="10" t="s">
        <v>6262</v>
      </c>
      <c r="E4101" s="11" t="s">
        <v>3328</v>
      </c>
      <c r="F4101" t="str">
        <f t="shared" si="320"/>
        <v>Buckingham</v>
      </c>
      <c r="G4101" t="str">
        <f t="shared" si="321"/>
        <v>Buckingham530Richardson</v>
      </c>
      <c r="H4101" t="s">
        <v>34958</v>
      </c>
      <c r="I4101" t="s">
        <v>26381</v>
      </c>
      <c r="J4101" t="str">
        <f t="shared" si="322"/>
        <v>E:\PropInv\MF</v>
      </c>
      <c r="K4101" s="103" t="str">
        <f>HYPERLINK("E:\PropInv\MF\Richardson\Buckingham_530_Sonterra at Buckingham_Richardson_14016","Buckingham_530_Sonterra at Buckingham_Richardson_14016" )</f>
        <v>Buckingham_530_Sonterra at Buckingham_Richardson_14016</v>
      </c>
      <c r="L4101" s="104" t="s">
        <v>22253</v>
      </c>
      <c r="M4101" s="103" t="str">
        <f t="shared" si="323"/>
        <v>http://oconnordata.com/mlink/modules/profile/index.cfm?action=profile&amp;prop_id=14016</v>
      </c>
      <c r="N4101" s="1">
        <f t="shared" si="324"/>
        <v>14016</v>
      </c>
    </row>
    <row r="4102" spans="1:14" x14ac:dyDescent="0.3">
      <c r="A4102" s="1">
        <v>14018</v>
      </c>
      <c r="B4102" s="10" t="s">
        <v>6263</v>
      </c>
      <c r="C4102" s="9">
        <v>110</v>
      </c>
      <c r="D4102" s="10" t="s">
        <v>6264</v>
      </c>
      <c r="E4102" s="11" t="s">
        <v>5862</v>
      </c>
      <c r="F4102" t="str">
        <f t="shared" si="320"/>
        <v>Sierra</v>
      </c>
      <c r="G4102" t="str">
        <f t="shared" si="321"/>
        <v>Sierra110Red Oak</v>
      </c>
      <c r="H4102" t="s">
        <v>34959</v>
      </c>
      <c r="I4102" t="s">
        <v>26382</v>
      </c>
      <c r="J4102" t="str">
        <f t="shared" si="322"/>
        <v>E:\PropInv\MF</v>
      </c>
      <c r="K4102" s="103" t="str">
        <f>HYPERLINK("E:\PropInv\MF\Red Oak\Sierra Grande_110_South Meadows_Red Oak_14018","Sierra Grande_110_South Meadows_Red Oak_14018" )</f>
        <v>Sierra Grande_110_South Meadows_Red Oak_14018</v>
      </c>
      <c r="L4102" s="104" t="s">
        <v>22253</v>
      </c>
      <c r="M4102" s="103" t="str">
        <f t="shared" si="323"/>
        <v>http://oconnordata.com/mlink/modules/profile/index.cfm?action=profile&amp;prop_id=14018</v>
      </c>
      <c r="N4102" s="1">
        <f t="shared" si="324"/>
        <v>14018</v>
      </c>
    </row>
    <row r="4103" spans="1:14" ht="15" thickBot="1" x14ac:dyDescent="0.35">
      <c r="A4103" s="1">
        <v>14019</v>
      </c>
      <c r="B4103" s="26" t="s">
        <v>6265</v>
      </c>
      <c r="C4103" s="27">
        <v>3424</v>
      </c>
      <c r="D4103" s="26" t="s">
        <v>6266</v>
      </c>
      <c r="E4103" s="28" t="s">
        <v>4996</v>
      </c>
      <c r="F4103" t="str">
        <f t="shared" si="320"/>
        <v>Southern</v>
      </c>
      <c r="G4103" t="str">
        <f t="shared" si="321"/>
        <v>Southern3424Dallas</v>
      </c>
      <c r="H4103" t="s">
        <v>34960</v>
      </c>
      <c r="I4103" t="s">
        <v>26383</v>
      </c>
      <c r="J4103" t="str">
        <f t="shared" si="322"/>
        <v>E:\PropInv\MF</v>
      </c>
      <c r="K4103" s="103" t="str">
        <f>HYPERLINK("E:\PropInv\MF\Dallas\Southern Oaks Blvd #13_3424_Southern Oaks_Dallas_14019","Southern Oaks Blvd #13_3424_Southern Oaks_Dallas_14019" )</f>
        <v>Southern Oaks Blvd #13_3424_Southern Oaks_Dallas_14019</v>
      </c>
      <c r="L4103" s="104" t="s">
        <v>22253</v>
      </c>
      <c r="M4103" s="103" t="str">
        <f t="shared" si="323"/>
        <v>http://oconnordata.com/mlink/modules/profile/index.cfm?action=profile&amp;prop_id=14019</v>
      </c>
      <c r="N4103" s="1">
        <f t="shared" si="324"/>
        <v>14019</v>
      </c>
    </row>
    <row r="4104" spans="1:14" x14ac:dyDescent="0.3">
      <c r="A4104" s="1">
        <v>14020</v>
      </c>
      <c r="B4104" s="7" t="s">
        <v>6267</v>
      </c>
      <c r="C4104" s="12">
        <v>5383</v>
      </c>
      <c r="D4104" s="7" t="s">
        <v>6268</v>
      </c>
      <c r="E4104" s="13" t="s">
        <v>4996</v>
      </c>
      <c r="F4104" t="str">
        <f t="shared" si="320"/>
        <v>Southern</v>
      </c>
      <c r="G4104" t="str">
        <f t="shared" si="321"/>
        <v>Southern5383Dallas</v>
      </c>
      <c r="H4104" t="s">
        <v>34961</v>
      </c>
      <c r="I4104" t="s">
        <v>26384</v>
      </c>
      <c r="J4104" t="str">
        <f t="shared" si="322"/>
        <v>E:\PropInv\MF</v>
      </c>
      <c r="K4104" s="103" t="str">
        <f>HYPERLINK("E:\PropInv\MF\Dallas\Southern Blvd_5383_Southern Villas_Dallas_14020","Southern Blvd_5383_Southern Villas_Dallas_14020" )</f>
        <v>Southern Blvd_5383_Southern Villas_Dallas_14020</v>
      </c>
      <c r="L4104" s="104" t="s">
        <v>22253</v>
      </c>
      <c r="M4104" s="103" t="str">
        <f t="shared" si="323"/>
        <v>http://oconnordata.com/mlink/modules/profile/index.cfm?action=profile&amp;prop_id=14020</v>
      </c>
      <c r="N4104" s="1">
        <f t="shared" si="324"/>
        <v>14020</v>
      </c>
    </row>
    <row r="4105" spans="1:14" x14ac:dyDescent="0.3">
      <c r="A4105" s="1">
        <v>14021</v>
      </c>
      <c r="B4105" s="7" t="s">
        <v>6055</v>
      </c>
      <c r="C4105" s="12">
        <v>1021</v>
      </c>
      <c r="D4105" s="7" t="s">
        <v>4226</v>
      </c>
      <c r="E4105" s="13" t="s">
        <v>5195</v>
      </c>
      <c r="F4105" t="str">
        <f t="shared" si="320"/>
        <v>Pecan</v>
      </c>
      <c r="G4105" t="str">
        <f t="shared" si="321"/>
        <v>Pecan1021Desoto</v>
      </c>
      <c r="H4105" t="s">
        <v>34962</v>
      </c>
      <c r="I4105" t="s">
        <v>26385</v>
      </c>
      <c r="J4105" t="str">
        <f t="shared" si="322"/>
        <v>E:\PropInv\MF</v>
      </c>
      <c r="K4105" s="103" t="str">
        <f>HYPERLINK("E:\PropInv\MF\Desoto\Pecan Crossing_1021_Southpoint_Desoto_14021","Pecan Crossing_1021_Southpoint_Desoto_14021" )</f>
        <v>Pecan Crossing_1021_Southpoint_Desoto_14021</v>
      </c>
      <c r="L4105" s="104" t="s">
        <v>22253</v>
      </c>
      <c r="M4105" s="103" t="str">
        <f t="shared" si="323"/>
        <v>http://oconnordata.com/mlink/modules/profile/index.cfm?action=profile&amp;prop_id=14021</v>
      </c>
      <c r="N4105" s="1">
        <f t="shared" si="324"/>
        <v>14021</v>
      </c>
    </row>
    <row r="4106" spans="1:14" x14ac:dyDescent="0.3">
      <c r="A4106" s="1">
        <v>14022</v>
      </c>
      <c r="B4106" s="7" t="s">
        <v>6269</v>
      </c>
      <c r="C4106" s="12">
        <v>1409</v>
      </c>
      <c r="D4106" s="7" t="s">
        <v>6270</v>
      </c>
      <c r="E4106" s="13" t="s">
        <v>4996</v>
      </c>
      <c r="F4106" t="str">
        <f t="shared" si="320"/>
        <v>Lamar</v>
      </c>
      <c r="G4106" t="str">
        <f t="shared" si="321"/>
        <v>Lamar1409Dallas</v>
      </c>
      <c r="H4106" t="s">
        <v>34963</v>
      </c>
      <c r="I4106" t="s">
        <v>26386</v>
      </c>
      <c r="J4106" t="str">
        <f t="shared" si="322"/>
        <v>E:\PropInv\MF</v>
      </c>
      <c r="K4106" s="103" t="str">
        <f>HYPERLINK("E:\PropInv\MF\Dallas\Lamar S_1409_South Side on Lamar_Dallas_14022","Lamar S_1409_South Side on Lamar_Dallas_14022" )</f>
        <v>Lamar S_1409_South Side on Lamar_Dallas_14022</v>
      </c>
      <c r="L4106" s="104" t="s">
        <v>22253</v>
      </c>
      <c r="M4106" s="103" t="str">
        <f t="shared" si="323"/>
        <v>http://oconnordata.com/mlink/modules/profile/index.cfm?action=profile&amp;prop_id=14022</v>
      </c>
      <c r="N4106" s="1">
        <f t="shared" si="324"/>
        <v>14022</v>
      </c>
    </row>
    <row r="4107" spans="1:14" x14ac:dyDescent="0.3">
      <c r="A4107" s="1">
        <v>14023</v>
      </c>
      <c r="B4107" s="7" t="s">
        <v>5192</v>
      </c>
      <c r="C4107" s="12">
        <v>9877</v>
      </c>
      <c r="D4107" s="7" t="s">
        <v>6271</v>
      </c>
      <c r="E4107" s="13" t="s">
        <v>4996</v>
      </c>
      <c r="F4107" t="str">
        <f t="shared" si="320"/>
        <v>Brockbank</v>
      </c>
      <c r="G4107" t="str">
        <f t="shared" si="321"/>
        <v>Brockbank9877Dallas</v>
      </c>
      <c r="H4107" t="s">
        <v>34964</v>
      </c>
      <c r="I4107" t="s">
        <v>26387</v>
      </c>
      <c r="J4107" t="str">
        <f t="shared" si="322"/>
        <v>E:\PropInv\MF</v>
      </c>
      <c r="K4107" s="103" t="str">
        <f>HYPERLINK("E:\PropInv\MF\Dallas\Brockbank_9877_Southwinds Apts_Dallas_14023","Brockbank_9877_Southwinds Apts_Dallas_14023" )</f>
        <v>Brockbank_9877_Southwinds Apts_Dallas_14023</v>
      </c>
      <c r="L4107" s="104" t="s">
        <v>22253</v>
      </c>
      <c r="M4107" s="103" t="str">
        <f t="shared" si="323"/>
        <v>http://oconnordata.com/mlink/modules/profile/index.cfm?action=profile&amp;prop_id=14023</v>
      </c>
      <c r="N4107" s="1">
        <f t="shared" si="324"/>
        <v>14023</v>
      </c>
    </row>
    <row r="4108" spans="1:14" x14ac:dyDescent="0.3">
      <c r="A4108" s="1">
        <v>14024</v>
      </c>
      <c r="B4108" s="7" t="s">
        <v>5900</v>
      </c>
      <c r="C4108" s="12">
        <v>1927</v>
      </c>
      <c r="D4108" s="7" t="s">
        <v>6272</v>
      </c>
      <c r="E4108" s="13" t="s">
        <v>5046</v>
      </c>
      <c r="F4108" t="str">
        <f t="shared" si="320"/>
        <v>Grauwyler</v>
      </c>
      <c r="G4108" t="str">
        <f t="shared" si="321"/>
        <v>Grauwyler1927Irving</v>
      </c>
      <c r="H4108" t="s">
        <v>34965</v>
      </c>
      <c r="I4108" t="s">
        <v>26388</v>
      </c>
      <c r="J4108" t="str">
        <f t="shared" si="322"/>
        <v>E:\PropInv\MF</v>
      </c>
      <c r="K4108" s="103" t="str">
        <f>HYPERLINK("E:\PropInv\MF\Irving\Grauwyler E_1927_Spanish Trace_Irving_14024","Grauwyler E_1927_Spanish Trace_Irving_14024" )</f>
        <v>Grauwyler E_1927_Spanish Trace_Irving_14024</v>
      </c>
      <c r="L4108" s="104" t="s">
        <v>22253</v>
      </c>
      <c r="M4108" s="103" t="str">
        <f t="shared" si="323"/>
        <v>http://oconnordata.com/mlink/modules/profile/index.cfm?action=profile&amp;prop_id=14024</v>
      </c>
      <c r="N4108" s="1">
        <f t="shared" si="324"/>
        <v>14024</v>
      </c>
    </row>
    <row r="4109" spans="1:14" x14ac:dyDescent="0.3">
      <c r="A4109" s="1">
        <v>14025</v>
      </c>
      <c r="B4109" s="7" t="s">
        <v>5682</v>
      </c>
      <c r="C4109" s="12">
        <v>1000</v>
      </c>
      <c r="D4109" s="7" t="s">
        <v>6273</v>
      </c>
      <c r="E4109" s="13" t="s">
        <v>3328</v>
      </c>
      <c r="F4109" t="str">
        <f t="shared" si="320"/>
        <v>Spring</v>
      </c>
      <c r="G4109" t="str">
        <f t="shared" si="321"/>
        <v>Spring1000Richardson</v>
      </c>
      <c r="H4109" t="s">
        <v>34966</v>
      </c>
      <c r="I4109" t="s">
        <v>26389</v>
      </c>
      <c r="J4109" t="str">
        <f t="shared" si="322"/>
        <v>E:\PropInv\MF</v>
      </c>
      <c r="K4109" s="103" t="str">
        <f>HYPERLINK("E:\PropInv\MF\Richardson\Spring Valley W_1000_Lakeside On Spring Valley_Richardson_14025","Spring Valley W_1000_Lakeside On Spring Valley_Richardson_14025" )</f>
        <v>Spring Valley W_1000_Lakeside On Spring Valley_Richardson_14025</v>
      </c>
      <c r="L4109" s="104" t="s">
        <v>22253</v>
      </c>
      <c r="M4109" s="103" t="str">
        <f t="shared" si="323"/>
        <v>http://oconnordata.com/mlink/modules/profile/index.cfm?action=profile&amp;prop_id=14025</v>
      </c>
      <c r="N4109" s="1">
        <f t="shared" si="324"/>
        <v>14025</v>
      </c>
    </row>
    <row r="4110" spans="1:14" x14ac:dyDescent="0.3">
      <c r="A4110" s="1">
        <v>14026</v>
      </c>
      <c r="B4110" s="7" t="s">
        <v>5066</v>
      </c>
      <c r="C4110" s="12">
        <v>14833</v>
      </c>
      <c r="D4110" s="7" t="s">
        <v>5066</v>
      </c>
      <c r="E4110" s="13" t="s">
        <v>4996</v>
      </c>
      <c r="F4110" t="str">
        <f t="shared" si="320"/>
        <v>Spring</v>
      </c>
      <c r="G4110" t="str">
        <f t="shared" si="321"/>
        <v>Spring14833Dallas</v>
      </c>
      <c r="H4110" t="s">
        <v>34967</v>
      </c>
      <c r="I4110" t="s">
        <v>26390</v>
      </c>
      <c r="J4110" t="str">
        <f t="shared" si="322"/>
        <v>E:\PropInv\MF</v>
      </c>
      <c r="K4110" s="103" t="str">
        <f>HYPERLINK("E:\PropInv\MF\Dallas\Spring Creek_14833_Spring Creek_Dallas_14026","Spring Creek_14833_Spring Creek_Dallas_14026" )</f>
        <v>Spring Creek_14833_Spring Creek_Dallas_14026</v>
      </c>
      <c r="L4110" s="104" t="s">
        <v>22253</v>
      </c>
      <c r="M4110" s="103" t="str">
        <f t="shared" si="323"/>
        <v>http://oconnordata.com/mlink/modules/profile/index.cfm?action=profile&amp;prop_id=14026</v>
      </c>
      <c r="N4110" s="1">
        <f t="shared" si="324"/>
        <v>14026</v>
      </c>
    </row>
    <row r="4111" spans="1:14" x14ac:dyDescent="0.3">
      <c r="A4111" s="1">
        <v>14031</v>
      </c>
      <c r="B4111" s="7" t="s">
        <v>5377</v>
      </c>
      <c r="C4111" s="12">
        <v>3501</v>
      </c>
      <c r="D4111" s="7" t="s">
        <v>6274</v>
      </c>
      <c r="E4111" s="13" t="s">
        <v>3328</v>
      </c>
      <c r="F4111" t="str">
        <f t="shared" si="320"/>
        <v>Jupiter</v>
      </c>
      <c r="G4111" t="str">
        <f t="shared" si="321"/>
        <v>Jupiter3501Richardson</v>
      </c>
      <c r="H4111" t="s">
        <v>34968</v>
      </c>
      <c r="I4111" t="s">
        <v>26391</v>
      </c>
      <c r="J4111" t="str">
        <f t="shared" si="322"/>
        <v>E:\PropInv\MF</v>
      </c>
      <c r="K4111" s="103" t="str">
        <f>HYPERLINK("E:\PropInv\MF\Richardson\Jupiter N_3501_Spring Pointe_Richardson_14031","Jupiter N_3501_Spring Pointe_Richardson_14031" )</f>
        <v>Jupiter N_3501_Spring Pointe_Richardson_14031</v>
      </c>
      <c r="L4111" s="104" t="s">
        <v>22253</v>
      </c>
      <c r="M4111" s="103" t="str">
        <f t="shared" si="323"/>
        <v>http://oconnordata.com/mlink/modules/profile/index.cfm?action=profile&amp;prop_id=14031</v>
      </c>
      <c r="N4111" s="1">
        <f t="shared" si="324"/>
        <v>14031</v>
      </c>
    </row>
    <row r="4112" spans="1:14" x14ac:dyDescent="0.3">
      <c r="A4112" s="1">
        <v>14033</v>
      </c>
      <c r="B4112" s="7" t="s">
        <v>5247</v>
      </c>
      <c r="C4112" s="12">
        <v>18050</v>
      </c>
      <c r="D4112" s="7" t="s">
        <v>4540</v>
      </c>
      <c r="E4112" s="13" t="s">
        <v>4996</v>
      </c>
      <c r="F4112" t="str">
        <f t="shared" si="320"/>
        <v>Kelly</v>
      </c>
      <c r="G4112" t="str">
        <f t="shared" si="321"/>
        <v>Kelly18050Dallas</v>
      </c>
      <c r="H4112" t="s">
        <v>34969</v>
      </c>
      <c r="I4112" t="s">
        <v>26392</v>
      </c>
      <c r="J4112" t="str">
        <f t="shared" si="322"/>
        <v>E:\PropInv\MF</v>
      </c>
      <c r="K4112" s="103" t="str">
        <f>HYPERLINK("E:\PropInv\MF\Dallas\Kelly Blvd_18050_Springfield_Dallas_14033","Kelly Blvd_18050_Springfield_Dallas_14033" )</f>
        <v>Kelly Blvd_18050_Springfield_Dallas_14033</v>
      </c>
      <c r="L4112" s="104" t="s">
        <v>22253</v>
      </c>
      <c r="M4112" s="103" t="str">
        <f t="shared" si="323"/>
        <v>http://oconnordata.com/mlink/modules/profile/index.cfm?action=profile&amp;prop_id=14033</v>
      </c>
      <c r="N4112" s="1">
        <f t="shared" si="324"/>
        <v>14033</v>
      </c>
    </row>
    <row r="4113" spans="1:14" x14ac:dyDescent="0.3">
      <c r="A4113" s="1">
        <v>14034</v>
      </c>
      <c r="B4113" s="7" t="s">
        <v>6275</v>
      </c>
      <c r="C4113" s="12">
        <v>2305</v>
      </c>
      <c r="D4113" s="7" t="s">
        <v>4540</v>
      </c>
      <c r="E4113" s="13" t="s">
        <v>5088</v>
      </c>
      <c r="F4113" t="str">
        <f t="shared" si="320"/>
        <v>Driftwood</v>
      </c>
      <c r="G4113" t="str">
        <f t="shared" si="321"/>
        <v>Driftwood2305Mesquite</v>
      </c>
      <c r="H4113" t="s">
        <v>34970</v>
      </c>
      <c r="I4113" t="s">
        <v>26393</v>
      </c>
      <c r="J4113" t="str">
        <f t="shared" si="322"/>
        <v>E:\PropInv\MF</v>
      </c>
      <c r="K4113" s="103" t="str">
        <f>HYPERLINK("E:\PropInv\MF\Mesquite\Driftwood Dr_2305_Springfield_Mesquite_14034","Driftwood Dr_2305_Springfield_Mesquite_14034" )</f>
        <v>Driftwood Dr_2305_Springfield_Mesquite_14034</v>
      </c>
      <c r="L4113" s="104" t="s">
        <v>22253</v>
      </c>
      <c r="M4113" s="103" t="str">
        <f t="shared" si="323"/>
        <v>http://oconnordata.com/mlink/modules/profile/index.cfm?action=profile&amp;prop_id=14034</v>
      </c>
      <c r="N4113" s="1">
        <f t="shared" si="324"/>
        <v>14034</v>
      </c>
    </row>
    <row r="4114" spans="1:14" x14ac:dyDescent="0.3">
      <c r="A4114" s="1">
        <v>14035</v>
      </c>
      <c r="B4114" s="7" t="s">
        <v>5015</v>
      </c>
      <c r="C4114" s="12">
        <v>3820</v>
      </c>
      <c r="D4114" s="7" t="s">
        <v>6276</v>
      </c>
      <c r="E4114" s="13" t="s">
        <v>5005</v>
      </c>
      <c r="F4114" t="str">
        <f t="shared" si="320"/>
        <v>Spring</v>
      </c>
      <c r="G4114" t="str">
        <f t="shared" si="321"/>
        <v>Spring3820Addison</v>
      </c>
      <c r="H4114" t="s">
        <v>34971</v>
      </c>
      <c r="I4114" t="s">
        <v>26394</v>
      </c>
      <c r="J4114" t="str">
        <f t="shared" si="322"/>
        <v>E:\PropInv\MF</v>
      </c>
      <c r="K4114" s="103" t="str">
        <f>HYPERLINK("E:\PropInv\MF\Addison\Spring Valley_3820_Brookhaven Village North-Springhaven_Addison_14035","Spring Valley_3820_Brookhaven Village North-Springhaven_Addison_14035" )</f>
        <v>Spring Valley_3820_Brookhaven Village North-Springhaven_Addison_14035</v>
      </c>
      <c r="L4114" s="104" t="s">
        <v>22253</v>
      </c>
      <c r="M4114" s="103" t="str">
        <f t="shared" si="323"/>
        <v>http://oconnordata.com/mlink/modules/profile/index.cfm?action=profile&amp;prop_id=14035</v>
      </c>
      <c r="N4114" s="1">
        <f t="shared" si="324"/>
        <v>14035</v>
      </c>
    </row>
    <row r="4115" spans="1:14" x14ac:dyDescent="0.3">
      <c r="A4115" s="1">
        <v>14037</v>
      </c>
      <c r="B4115" s="7" t="s">
        <v>5413</v>
      </c>
      <c r="C4115" s="12">
        <v>2057</v>
      </c>
      <c r="D4115" s="7" t="s">
        <v>6277</v>
      </c>
      <c r="E4115" s="13" t="s">
        <v>5060</v>
      </c>
      <c r="F4115" t="str">
        <f t="shared" si="320"/>
        <v>Hebron</v>
      </c>
      <c r="G4115" t="str">
        <f t="shared" si="321"/>
        <v>Hebron2057Carrollton</v>
      </c>
      <c r="H4115" t="s">
        <v>34972</v>
      </c>
      <c r="I4115" t="s">
        <v>26395</v>
      </c>
      <c r="J4115" t="str">
        <f t="shared" si="322"/>
        <v>E:\PropInv\MF</v>
      </c>
      <c r="K4115" s="103" t="str">
        <f>HYPERLINK("E:\PropInv\MF\Carrollton\Hebron Pkwy_2057_Springs of Indian Creek_Carrollton_14037","Hebron Pkwy_2057_Springs of Indian Creek_Carrollton_14037" )</f>
        <v>Hebron Pkwy_2057_Springs of Indian Creek_Carrollton_14037</v>
      </c>
      <c r="L4115" s="104" t="s">
        <v>22253</v>
      </c>
      <c r="M4115" s="103" t="str">
        <f t="shared" si="323"/>
        <v>http://oconnordata.com/mlink/modules/profile/index.cfm?action=profile&amp;prop_id=14037</v>
      </c>
      <c r="N4115" s="1">
        <f t="shared" si="324"/>
        <v>14037</v>
      </c>
    </row>
    <row r="4116" spans="1:14" x14ac:dyDescent="0.3">
      <c r="A4116" s="1">
        <v>14039</v>
      </c>
      <c r="B4116" s="7" t="s">
        <v>6278</v>
      </c>
      <c r="C4116" s="12">
        <v>442</v>
      </c>
      <c r="D4116" s="7" t="s">
        <v>6279</v>
      </c>
      <c r="E4116" s="13" t="s">
        <v>4996</v>
      </c>
      <c r="F4116" t="str">
        <f t="shared" si="320"/>
        <v>Saint</v>
      </c>
      <c r="G4116" t="str">
        <f t="shared" si="321"/>
        <v>Saint442Dallas</v>
      </c>
      <c r="H4116" t="s">
        <v>34973</v>
      </c>
      <c r="I4116" t="s">
        <v>26396</v>
      </c>
      <c r="J4116" t="str">
        <f t="shared" si="322"/>
        <v>E:\PropInv\MF</v>
      </c>
      <c r="K4116" s="103" t="str">
        <f>HYPERLINK("E:\PropInv\MF\Dallas\Saint Augustine S_442_Spruce Square_Dallas_14039","Saint Augustine S_442_Spruce Square_Dallas_14039" )</f>
        <v>Saint Augustine S_442_Spruce Square_Dallas_14039</v>
      </c>
      <c r="L4116" s="104" t="s">
        <v>22253</v>
      </c>
      <c r="M4116" s="103" t="str">
        <f t="shared" si="323"/>
        <v>http://oconnordata.com/mlink/modules/profile/index.cfm?action=profile&amp;prop_id=14039</v>
      </c>
      <c r="N4116" s="1">
        <f t="shared" si="324"/>
        <v>14039</v>
      </c>
    </row>
    <row r="4117" spans="1:14" x14ac:dyDescent="0.3">
      <c r="A4117" s="1">
        <v>14040</v>
      </c>
      <c r="B4117" s="7" t="s">
        <v>6280</v>
      </c>
      <c r="C4117" s="12">
        <v>5200</v>
      </c>
      <c r="D4117" s="7" t="s">
        <v>6281</v>
      </c>
      <c r="E4117" s="13" t="s">
        <v>5488</v>
      </c>
      <c r="F4117" t="str">
        <f t="shared" si="320"/>
        <v>Town</v>
      </c>
      <c r="G4117" t="str">
        <f t="shared" si="321"/>
        <v>Town5200Frisco</v>
      </c>
      <c r="H4117" t="s">
        <v>34974</v>
      </c>
      <c r="I4117" t="s">
        <v>26397</v>
      </c>
      <c r="J4117" t="str">
        <f t="shared" si="322"/>
        <v>E:\PropInv\MF</v>
      </c>
      <c r="K4117" s="103" t="str">
        <f>HYPERLINK("E:\PropInv\MF\Frisco\Town &amp; Country Blvd_5200_Stonebriar of Frisco_Frisco_14040","Town &amp; Country Blvd_5200_Stonebriar of Frisco_Frisco_14040" )</f>
        <v>Town &amp; Country Blvd_5200_Stonebriar of Frisco_Frisco_14040</v>
      </c>
      <c r="L4117" s="104" t="s">
        <v>22253</v>
      </c>
      <c r="M4117" s="103" t="str">
        <f t="shared" si="323"/>
        <v>http://oconnordata.com/mlink/modules/profile/index.cfm?action=profile&amp;prop_id=14040</v>
      </c>
      <c r="N4117" s="1">
        <f t="shared" si="324"/>
        <v>14040</v>
      </c>
    </row>
    <row r="4118" spans="1:14" x14ac:dyDescent="0.3">
      <c r="A4118" s="1">
        <v>14042</v>
      </c>
      <c r="B4118" s="7" t="s">
        <v>6282</v>
      </c>
      <c r="C4118" s="12">
        <v>9001</v>
      </c>
      <c r="D4118" s="7" t="s">
        <v>6283</v>
      </c>
      <c r="E4118" s="13" t="s">
        <v>4996</v>
      </c>
      <c r="F4118" t="str">
        <f t="shared" si="320"/>
        <v>Markville</v>
      </c>
      <c r="G4118" t="str">
        <f t="shared" si="321"/>
        <v>Markville9001Dallas</v>
      </c>
      <c r="H4118" t="s">
        <v>34975</v>
      </c>
      <c r="I4118" t="s">
        <v>26398</v>
      </c>
      <c r="J4118" t="str">
        <f t="shared" si="322"/>
        <v>E:\PropInv\MF</v>
      </c>
      <c r="K4118" s="103" t="str">
        <f>HYPERLINK("E:\PropInv\MF\Dallas\Markville_9001_St. Andrews I &amp; II_Dallas_14042","Markville_9001_St. Andrews I &amp; II_Dallas_14042" )</f>
        <v>Markville_9001_St. Andrews I &amp; II_Dallas_14042</v>
      </c>
      <c r="L4118" s="104" t="s">
        <v>22253</v>
      </c>
      <c r="M4118" s="103" t="str">
        <f t="shared" si="323"/>
        <v>http://oconnordata.com/mlink/modules/profile/index.cfm?action=profile&amp;prop_id=14042</v>
      </c>
      <c r="N4118" s="1">
        <f t="shared" si="324"/>
        <v>14042</v>
      </c>
    </row>
    <row r="4119" spans="1:14" x14ac:dyDescent="0.3">
      <c r="A4119" s="1">
        <v>14044</v>
      </c>
      <c r="B4119" s="7" t="s">
        <v>6284</v>
      </c>
      <c r="C4119" s="12">
        <v>3969</v>
      </c>
      <c r="D4119" s="7" t="s">
        <v>4925</v>
      </c>
      <c r="E4119" s="13" t="s">
        <v>4996</v>
      </c>
      <c r="F4119" t="str">
        <f t="shared" si="320"/>
        <v>Altoona</v>
      </c>
      <c r="G4119" t="str">
        <f t="shared" si="321"/>
        <v>Altoona3969Dallas</v>
      </c>
      <c r="H4119" t="s">
        <v>34976</v>
      </c>
      <c r="I4119" t="s">
        <v>26399</v>
      </c>
      <c r="J4119" t="str">
        <f t="shared" si="322"/>
        <v>E:\PropInv\MF</v>
      </c>
      <c r="K4119" s="103" t="str">
        <f>HYPERLINK("E:\PropInv\MF\Dallas\Altoona_3969_Buena Vista TH_Dallas_14044","Altoona_3969_Buena Vista TH_Dallas_14044" )</f>
        <v>Altoona_3969_Buena Vista TH_Dallas_14044</v>
      </c>
      <c r="L4119" s="104" t="s">
        <v>22253</v>
      </c>
      <c r="M4119" s="103" t="str">
        <f t="shared" si="323"/>
        <v>http://oconnordata.com/mlink/modules/profile/index.cfm?action=profile&amp;prop_id=14044</v>
      </c>
      <c r="N4119" s="1">
        <f t="shared" si="324"/>
        <v>14044</v>
      </c>
    </row>
    <row r="4120" spans="1:14" x14ac:dyDescent="0.3">
      <c r="A4120" s="1">
        <v>14045</v>
      </c>
      <c r="B4120" s="7" t="s">
        <v>5425</v>
      </c>
      <c r="C4120" s="12">
        <v>12250</v>
      </c>
      <c r="D4120" s="7" t="s">
        <v>6285</v>
      </c>
      <c r="E4120" s="13" t="s">
        <v>4996</v>
      </c>
      <c r="F4120" t="str">
        <f t="shared" si="320"/>
        <v>Abrams</v>
      </c>
      <c r="G4120" t="str">
        <f t="shared" si="321"/>
        <v>Abrams12250Dallas</v>
      </c>
      <c r="H4120" t="s">
        <v>34977</v>
      </c>
      <c r="I4120" t="s">
        <v>26400</v>
      </c>
      <c r="J4120" t="str">
        <f t="shared" si="322"/>
        <v>E:\PropInv\MF</v>
      </c>
      <c r="K4120" s="103" t="str">
        <f>HYPERLINK("E:\PropInv\MF\Dallas\Abrams Rd_12250_St. Croix_Dallas_14045","Abrams Rd_12250_St. Croix_Dallas_14045" )</f>
        <v>Abrams Rd_12250_St. Croix_Dallas_14045</v>
      </c>
      <c r="L4120" s="104" t="s">
        <v>22253</v>
      </c>
      <c r="M4120" s="103" t="str">
        <f t="shared" si="323"/>
        <v>http://oconnordata.com/mlink/modules/profile/index.cfm?action=profile&amp;prop_id=14045</v>
      </c>
      <c r="N4120" s="1">
        <f t="shared" si="324"/>
        <v>14045</v>
      </c>
    </row>
    <row r="4121" spans="1:14" x14ac:dyDescent="0.3">
      <c r="A4121" s="1">
        <v>14047</v>
      </c>
      <c r="B4121" s="7" t="s">
        <v>6286</v>
      </c>
      <c r="C4121" s="12">
        <v>8943</v>
      </c>
      <c r="D4121" s="7" t="s">
        <v>6287</v>
      </c>
      <c r="E4121" s="13" t="s">
        <v>4996</v>
      </c>
      <c r="F4121" t="str">
        <f t="shared" si="320"/>
        <v>Senate</v>
      </c>
      <c r="G4121" t="str">
        <f t="shared" si="321"/>
        <v>Senate8943Dallas</v>
      </c>
      <c r="H4121" t="s">
        <v>34978</v>
      </c>
      <c r="I4121" t="s">
        <v>26401</v>
      </c>
      <c r="J4121" t="str">
        <f t="shared" si="322"/>
        <v>E:\PropInv\MF</v>
      </c>
      <c r="K4121" s="103" t="str">
        <f>HYPERLINK("E:\PropInv\MF\Dallas\Senate_8943_St. Francis_Dallas_14047","Senate_8943_St. Francis_Dallas_14047" )</f>
        <v>Senate_8943_St. Francis_Dallas_14047</v>
      </c>
      <c r="L4121" s="104" t="s">
        <v>22253</v>
      </c>
      <c r="M4121" s="103" t="str">
        <f t="shared" si="323"/>
        <v>http://oconnordata.com/mlink/modules/profile/index.cfm?action=profile&amp;prop_id=14047</v>
      </c>
      <c r="N4121" s="1">
        <f t="shared" si="324"/>
        <v>14047</v>
      </c>
    </row>
    <row r="4122" spans="1:14" x14ac:dyDescent="0.3">
      <c r="A4122" s="1">
        <v>14048</v>
      </c>
      <c r="B4122" s="7" t="s">
        <v>5753</v>
      </c>
      <c r="C4122" s="12">
        <v>1717</v>
      </c>
      <c r="D4122" s="7" t="s">
        <v>6288</v>
      </c>
      <c r="E4122" s="13" t="s">
        <v>5612</v>
      </c>
      <c r="F4122" t="str">
        <f t="shared" si="320"/>
        <v>Beltline</v>
      </c>
      <c r="G4122" t="str">
        <f t="shared" si="321"/>
        <v>Beltline1717Coppell</v>
      </c>
      <c r="H4122" t="s">
        <v>34979</v>
      </c>
      <c r="I4122" t="s">
        <v>26402</v>
      </c>
      <c r="J4122" t="str">
        <f t="shared" si="322"/>
        <v>E:\PropInv\MF</v>
      </c>
      <c r="K4122" s="103" t="str">
        <f>HYPERLINK("E:\PropInv\MF\Coppell\Beltline Rd E_1717_St. Marin_Coppell_14048","Beltline Rd E_1717_St. Marin_Coppell_14048" )</f>
        <v>Beltline Rd E_1717_St. Marin_Coppell_14048</v>
      </c>
      <c r="L4122" s="104" t="s">
        <v>22253</v>
      </c>
      <c r="M4122" s="103" t="str">
        <f t="shared" si="323"/>
        <v>http://oconnordata.com/mlink/modules/profile/index.cfm?action=profile&amp;prop_id=14048</v>
      </c>
      <c r="N4122" s="1">
        <f t="shared" si="324"/>
        <v>14048</v>
      </c>
    </row>
    <row r="4123" spans="1:14" x14ac:dyDescent="0.3">
      <c r="A4123" s="1">
        <v>14049</v>
      </c>
      <c r="B4123" s="7" t="s">
        <v>6289</v>
      </c>
      <c r="C4123" s="12">
        <v>18175</v>
      </c>
      <c r="D4123" s="7" t="s">
        <v>6290</v>
      </c>
      <c r="E4123" s="13" t="s">
        <v>4996</v>
      </c>
      <c r="F4123" t="str">
        <f t="shared" si="320"/>
        <v>Midway</v>
      </c>
      <c r="G4123" t="str">
        <f t="shared" si="321"/>
        <v>Midway18175Dallas</v>
      </c>
      <c r="H4123" t="s">
        <v>34980</v>
      </c>
      <c r="I4123" t="s">
        <v>26403</v>
      </c>
      <c r="J4123" t="str">
        <f t="shared" si="322"/>
        <v>E:\PropInv\MF</v>
      </c>
      <c r="K4123" s="103" t="str">
        <f>HYPERLINK("E:\PropInv\MF\Dallas\Midway Rd_18175_Stanford Court_Dallas_14049","Midway Rd_18175_Stanford Court_Dallas_14049" )</f>
        <v>Midway Rd_18175_Stanford Court_Dallas_14049</v>
      </c>
      <c r="L4123" s="104" t="s">
        <v>22253</v>
      </c>
      <c r="M4123" s="103" t="str">
        <f t="shared" si="323"/>
        <v>http://oconnordata.com/mlink/modules/profile/index.cfm?action=profile&amp;prop_id=14049</v>
      </c>
      <c r="N4123" s="1">
        <f t="shared" si="324"/>
        <v>14049</v>
      </c>
    </row>
    <row r="4124" spans="1:14" x14ac:dyDescent="0.3">
      <c r="A4124" s="1">
        <v>14050</v>
      </c>
      <c r="B4124" s="10" t="s">
        <v>5486</v>
      </c>
      <c r="C4124" s="9">
        <v>7549</v>
      </c>
      <c r="D4124" s="10" t="s">
        <v>6291</v>
      </c>
      <c r="E4124" s="11" t="s">
        <v>5488</v>
      </c>
      <c r="F4124" t="str">
        <f t="shared" si="320"/>
        <v>Stonebrook</v>
      </c>
      <c r="G4124" t="str">
        <f t="shared" si="321"/>
        <v>Stonebrook7549Frisco</v>
      </c>
      <c r="H4124" t="s">
        <v>34981</v>
      </c>
      <c r="I4124" t="s">
        <v>26404</v>
      </c>
      <c r="J4124" t="str">
        <f t="shared" si="322"/>
        <v>E:\PropInv\MF</v>
      </c>
      <c r="K4124" s="103" t="str">
        <f>HYPERLINK("E:\PropInv\MF\Frisco\Stonebrook Pkwy_7549_Stewart Creek_Frisco_14050","Stonebrook Pkwy_7549_Stewart Creek_Frisco_14050" )</f>
        <v>Stonebrook Pkwy_7549_Stewart Creek_Frisco_14050</v>
      </c>
      <c r="L4124" s="104" t="s">
        <v>22253</v>
      </c>
      <c r="M4124" s="103" t="str">
        <f t="shared" si="323"/>
        <v>http://oconnordata.com/mlink/modules/profile/index.cfm?action=profile&amp;prop_id=14050</v>
      </c>
      <c r="N4124" s="1">
        <f t="shared" si="324"/>
        <v>14050</v>
      </c>
    </row>
    <row r="4125" spans="1:14" x14ac:dyDescent="0.3">
      <c r="A4125" s="1">
        <v>14051</v>
      </c>
      <c r="B4125" s="21" t="s">
        <v>686</v>
      </c>
      <c r="C4125" s="12">
        <v>328</v>
      </c>
      <c r="D4125" s="7" t="s">
        <v>6292</v>
      </c>
      <c r="E4125" s="13" t="s">
        <v>5055</v>
      </c>
      <c r="F4125" t="str">
        <f t="shared" si="320"/>
        <v>SW</v>
      </c>
      <c r="G4125" t="str">
        <f t="shared" si="321"/>
        <v>SW328Lewisville</v>
      </c>
      <c r="H4125" t="s">
        <v>34982</v>
      </c>
      <c r="I4125" t="s">
        <v>26405</v>
      </c>
      <c r="J4125" t="str">
        <f t="shared" si="322"/>
        <v>E:\PropInv\MF</v>
      </c>
      <c r="K4125" s="103" t="str">
        <f>HYPERLINK("E:\PropInv\MF\Lewisville\SW Pkwy_328_Stone Creek_Lewisville_14051","SW Pkwy_328_Stone Creek_Lewisville_14051" )</f>
        <v>SW Pkwy_328_Stone Creek_Lewisville_14051</v>
      </c>
      <c r="L4125" s="104" t="s">
        <v>22253</v>
      </c>
      <c r="M4125" s="103" t="str">
        <f t="shared" si="323"/>
        <v>http://oconnordata.com/mlink/modules/profile/index.cfm?action=profile&amp;prop_id=14051</v>
      </c>
      <c r="N4125" s="1">
        <f t="shared" si="324"/>
        <v>14051</v>
      </c>
    </row>
    <row r="4126" spans="1:14" x14ac:dyDescent="0.3">
      <c r="A4126" s="1">
        <v>14053</v>
      </c>
      <c r="B4126" s="7" t="s">
        <v>6293</v>
      </c>
      <c r="C4126" s="12">
        <v>6595</v>
      </c>
      <c r="D4126" s="7" t="s">
        <v>6294</v>
      </c>
      <c r="E4126" s="13" t="s">
        <v>5488</v>
      </c>
      <c r="F4126" t="str">
        <f t="shared" si="320"/>
        <v>Lebanon</v>
      </c>
      <c r="G4126" t="str">
        <f t="shared" si="321"/>
        <v>Lebanon6595Frisco</v>
      </c>
      <c r="H4126" t="s">
        <v>34983</v>
      </c>
      <c r="I4126" t="s">
        <v>26406</v>
      </c>
      <c r="J4126" t="str">
        <f t="shared" si="322"/>
        <v>E:\PropInv\MF</v>
      </c>
      <c r="K4126" s="103" t="str">
        <f>HYPERLINK("E:\PropInv\MF\Frisco\Lebanon Rd_6595_Residences at Starwood_Frisco_14053","Lebanon Rd_6595_Residences at Starwood_Frisco_14053" )</f>
        <v>Lebanon Rd_6595_Residences at Starwood_Frisco_14053</v>
      </c>
      <c r="L4126" s="104" t="s">
        <v>22253</v>
      </c>
      <c r="M4126" s="103" t="str">
        <f t="shared" si="323"/>
        <v>http://oconnordata.com/mlink/modules/profile/index.cfm?action=profile&amp;prop_id=14053</v>
      </c>
      <c r="N4126" s="1">
        <f t="shared" si="324"/>
        <v>14053</v>
      </c>
    </row>
    <row r="4127" spans="1:14" x14ac:dyDescent="0.3">
      <c r="A4127" s="1">
        <v>14054</v>
      </c>
      <c r="B4127" s="7" t="s">
        <v>6295</v>
      </c>
      <c r="C4127" s="12">
        <v>7500</v>
      </c>
      <c r="D4127" s="7" t="s">
        <v>6296</v>
      </c>
      <c r="E4127" s="13" t="s">
        <v>5488</v>
      </c>
      <c r="F4127" t="str">
        <f t="shared" si="320"/>
        <v>Rolling</v>
      </c>
      <c r="G4127" t="str">
        <f t="shared" si="321"/>
        <v>Rolling7500Frisco</v>
      </c>
      <c r="H4127" t="s">
        <v>34984</v>
      </c>
      <c r="I4127" t="s">
        <v>26407</v>
      </c>
      <c r="J4127" t="str">
        <f t="shared" si="322"/>
        <v>E:\PropInv\MF</v>
      </c>
      <c r="K4127" s="103" t="str">
        <f>HYPERLINK("E:\PropInv\MF\Frisco\Rolling Brook Dr_7500_Stonebrook Village_Frisco_14054","Rolling Brook Dr_7500_Stonebrook Village_Frisco_14054" )</f>
        <v>Rolling Brook Dr_7500_Stonebrook Village_Frisco_14054</v>
      </c>
      <c r="L4127" s="104" t="s">
        <v>22253</v>
      </c>
      <c r="M4127" s="103" t="str">
        <f t="shared" si="323"/>
        <v>http://oconnordata.com/mlink/modules/profile/index.cfm?action=profile&amp;prop_id=14054</v>
      </c>
      <c r="N4127" s="1">
        <f t="shared" si="324"/>
        <v>14054</v>
      </c>
    </row>
    <row r="4128" spans="1:14" x14ac:dyDescent="0.3">
      <c r="A4128" s="1">
        <v>14055</v>
      </c>
      <c r="B4128" s="7" t="s">
        <v>6297</v>
      </c>
      <c r="C4128" s="12">
        <v>2521</v>
      </c>
      <c r="D4128" s="7" t="s">
        <v>6298</v>
      </c>
      <c r="E4128" s="13" t="s">
        <v>5043</v>
      </c>
      <c r="F4128" t="str">
        <f t="shared" si="320"/>
        <v>Wolford</v>
      </c>
      <c r="G4128" t="str">
        <f t="shared" si="321"/>
        <v>Wolford2521McKinney</v>
      </c>
      <c r="H4128" t="s">
        <v>34985</v>
      </c>
      <c r="I4128" t="s">
        <v>26408</v>
      </c>
      <c r="J4128" t="str">
        <f t="shared" si="322"/>
        <v>E:\PropInv\MF</v>
      </c>
      <c r="K4128" s="103" t="str">
        <f>HYPERLINK("E:\PropInv\MF\McKinney\Wolford_2521_Stone Gate_McKinney_14055","Wolford_2521_Stone Gate_McKinney_14055" )</f>
        <v>Wolford_2521_Stone Gate_McKinney_14055</v>
      </c>
      <c r="L4128" s="104" t="s">
        <v>22253</v>
      </c>
      <c r="M4128" s="103" t="str">
        <f t="shared" si="323"/>
        <v>http://oconnordata.com/mlink/modules/profile/index.cfm?action=profile&amp;prop_id=14055</v>
      </c>
      <c r="N4128" s="1">
        <f t="shared" si="324"/>
        <v>14055</v>
      </c>
    </row>
    <row r="4129" spans="1:14" x14ac:dyDescent="0.3">
      <c r="A4129" s="1">
        <v>14056</v>
      </c>
      <c r="B4129" s="7" t="s">
        <v>6299</v>
      </c>
      <c r="C4129" s="12">
        <v>3101</v>
      </c>
      <c r="D4129" s="7" t="s">
        <v>6300</v>
      </c>
      <c r="E4129" s="13" t="s">
        <v>5046</v>
      </c>
      <c r="F4129" t="str">
        <f t="shared" si="320"/>
        <v>Northgate</v>
      </c>
      <c r="G4129" t="str">
        <f t="shared" si="321"/>
        <v>Northgate3101Irving</v>
      </c>
      <c r="H4129" t="s">
        <v>34986</v>
      </c>
      <c r="I4129" t="s">
        <v>26409</v>
      </c>
      <c r="J4129" t="str">
        <f t="shared" si="322"/>
        <v>E:\PropInv\MF</v>
      </c>
      <c r="K4129" s="103" t="str">
        <f>HYPERLINK("E:\PropInv\MF\Irving\Northgate W_3101_Stonehill Terrace_Irving_14056","Northgate W_3101_Stonehill Terrace_Irving_14056" )</f>
        <v>Northgate W_3101_Stonehill Terrace_Irving_14056</v>
      </c>
      <c r="L4129" s="104" t="s">
        <v>22253</v>
      </c>
      <c r="M4129" s="103" t="str">
        <f t="shared" si="323"/>
        <v>http://oconnordata.com/mlink/modules/profile/index.cfm?action=profile&amp;prop_id=14056</v>
      </c>
      <c r="N4129" s="1">
        <f t="shared" si="324"/>
        <v>14056</v>
      </c>
    </row>
    <row r="4130" spans="1:14" x14ac:dyDescent="0.3">
      <c r="A4130" s="1">
        <v>14057</v>
      </c>
      <c r="B4130" s="7" t="s">
        <v>6301</v>
      </c>
      <c r="C4130" s="12">
        <v>1315</v>
      </c>
      <c r="D4130" s="7" t="s">
        <v>6302</v>
      </c>
      <c r="E4130" s="13" t="s">
        <v>5612</v>
      </c>
      <c r="F4130" t="str">
        <f t="shared" si="320"/>
        <v>Riverchase</v>
      </c>
      <c r="G4130" t="str">
        <f t="shared" si="321"/>
        <v>Riverchase1315Coppell</v>
      </c>
      <c r="H4130" t="s">
        <v>34987</v>
      </c>
      <c r="I4130" t="s">
        <v>26410</v>
      </c>
      <c r="J4130" t="str">
        <f t="shared" si="322"/>
        <v>E:\PropInv\MF</v>
      </c>
      <c r="K4130" s="103" t="str">
        <f>HYPERLINK("E:\PropInv\MF\Coppell\Riverchase Dr_1315_The Marquis at Riverchase_Coppell_14057","Riverchase Dr_1315_The Marquis at Riverchase_Coppell_14057" )</f>
        <v>Riverchase Dr_1315_The Marquis at Riverchase_Coppell_14057</v>
      </c>
      <c r="L4130" s="104" t="s">
        <v>22253</v>
      </c>
      <c r="M4130" s="103" t="str">
        <f t="shared" si="323"/>
        <v>http://oconnordata.com/mlink/modules/profile/index.cfm?action=profile&amp;prop_id=14057</v>
      </c>
      <c r="N4130" s="1">
        <f t="shared" si="324"/>
        <v>14057</v>
      </c>
    </row>
    <row r="4131" spans="1:14" x14ac:dyDescent="0.3">
      <c r="A4131" s="1">
        <v>14058</v>
      </c>
      <c r="B4131" s="7" t="s">
        <v>6303</v>
      </c>
      <c r="C4131" s="12">
        <v>8605</v>
      </c>
      <c r="D4131" s="7" t="s">
        <v>6304</v>
      </c>
      <c r="E4131" s="13" t="s">
        <v>5046</v>
      </c>
      <c r="F4131" t="str">
        <f t="shared" si="320"/>
        <v>Macarthur</v>
      </c>
      <c r="G4131" t="str">
        <f t="shared" si="321"/>
        <v>Macarthur8605Irving</v>
      </c>
      <c r="H4131" t="s">
        <v>34988</v>
      </c>
      <c r="I4131" t="s">
        <v>26411</v>
      </c>
      <c r="J4131" t="str">
        <f t="shared" si="322"/>
        <v>E:\PropInv\MF</v>
      </c>
      <c r="K4131" s="103" t="str">
        <f>HYPERLINK("E:\PropInv\MF\Irving\Macarthur Blvd N_8605_Stoneleigh at Valley Ranch_Irving_14058","Macarthur Blvd N_8605_Stoneleigh at Valley Ranch_Irving_14058" )</f>
        <v>Macarthur Blvd N_8605_Stoneleigh at Valley Ranch_Irving_14058</v>
      </c>
      <c r="L4131" s="104" t="s">
        <v>22253</v>
      </c>
      <c r="M4131" s="103" t="str">
        <f t="shared" si="323"/>
        <v>http://oconnordata.com/mlink/modules/profile/index.cfm?action=profile&amp;prop_id=14058</v>
      </c>
      <c r="N4131" s="1">
        <f t="shared" si="324"/>
        <v>14058</v>
      </c>
    </row>
    <row r="4132" spans="1:14" x14ac:dyDescent="0.3">
      <c r="A4132" s="1">
        <v>14059</v>
      </c>
      <c r="B4132" s="7" t="s">
        <v>6305</v>
      </c>
      <c r="C4132" s="12">
        <v>3700</v>
      </c>
      <c r="D4132" s="7" t="s">
        <v>6306</v>
      </c>
      <c r="E4132" s="13" t="s">
        <v>5088</v>
      </c>
      <c r="F4132" t="str">
        <f t="shared" si="320"/>
        <v>Poteet</v>
      </c>
      <c r="G4132" t="str">
        <f t="shared" si="321"/>
        <v>Poteet3700Mesquite</v>
      </c>
      <c r="H4132" t="s">
        <v>34989</v>
      </c>
      <c r="I4132" t="s">
        <v>26412</v>
      </c>
      <c r="J4132" t="str">
        <f t="shared" si="322"/>
        <v>E:\PropInv\MF</v>
      </c>
      <c r="K4132" s="103" t="str">
        <f>HYPERLINK("E:\PropInv\MF\Mesquite\Poteet_3700_Stoneleigh at Mesquite_Mesquite_14059","Poteet_3700_Stoneleigh at Mesquite_Mesquite_14059" )</f>
        <v>Poteet_3700_Stoneleigh at Mesquite_Mesquite_14059</v>
      </c>
      <c r="L4132" s="104" t="s">
        <v>22253</v>
      </c>
      <c r="M4132" s="103" t="str">
        <f t="shared" si="323"/>
        <v>http://oconnordata.com/mlink/modules/profile/index.cfm?action=profile&amp;prop_id=14059</v>
      </c>
      <c r="N4132" s="1">
        <f t="shared" si="324"/>
        <v>14059</v>
      </c>
    </row>
    <row r="4133" spans="1:14" x14ac:dyDescent="0.3">
      <c r="A4133" s="1">
        <v>14060</v>
      </c>
      <c r="B4133" s="7" t="s">
        <v>6307</v>
      </c>
      <c r="C4133" s="12">
        <v>5501</v>
      </c>
      <c r="D4133" s="7" t="s">
        <v>6308</v>
      </c>
      <c r="E4133" s="13" t="s">
        <v>5019</v>
      </c>
      <c r="F4133" t="str">
        <f t="shared" si="320"/>
        <v>Naaman</v>
      </c>
      <c r="G4133" t="str">
        <f t="shared" si="321"/>
        <v>Naaman5501Garland</v>
      </c>
      <c r="H4133" t="s">
        <v>34990</v>
      </c>
      <c r="I4133" t="s">
        <v>26413</v>
      </c>
      <c r="J4133" t="str">
        <f t="shared" si="322"/>
        <v>E:\PropInv\MF</v>
      </c>
      <c r="K4133" s="103" t="str">
        <f>HYPERLINK("E:\PropInv\MF\Garland\Naaman Forest Blvd_5501_Stoneleigh on Spring Creek_Garland_14060","Naaman Forest Blvd_5501_Stoneleigh on Spring Creek_Garland_14060" )</f>
        <v>Naaman Forest Blvd_5501_Stoneleigh on Spring Creek_Garland_14060</v>
      </c>
      <c r="L4133" s="104" t="s">
        <v>22253</v>
      </c>
      <c r="M4133" s="103" t="str">
        <f t="shared" si="323"/>
        <v>http://oconnordata.com/mlink/modules/profile/index.cfm?action=profile&amp;prop_id=14060</v>
      </c>
      <c r="N4133" s="1">
        <f t="shared" si="324"/>
        <v>14060</v>
      </c>
    </row>
    <row r="4134" spans="1:14" x14ac:dyDescent="0.3">
      <c r="A4134" s="1">
        <v>14061</v>
      </c>
      <c r="B4134" s="7" t="s">
        <v>6261</v>
      </c>
      <c r="C4134" s="12">
        <v>2261</v>
      </c>
      <c r="D4134" s="7" t="s">
        <v>6309</v>
      </c>
      <c r="E4134" s="13" t="s">
        <v>5019</v>
      </c>
      <c r="F4134" t="str">
        <f t="shared" si="320"/>
        <v>Buckingham</v>
      </c>
      <c r="G4134" t="str">
        <f t="shared" si="321"/>
        <v>Buckingham2261Garland</v>
      </c>
      <c r="H4134" t="s">
        <v>34991</v>
      </c>
      <c r="I4134" t="s">
        <v>26414</v>
      </c>
      <c r="J4134" t="str">
        <f t="shared" si="322"/>
        <v>E:\PropInv\MF</v>
      </c>
      <c r="K4134" s="103" t="str">
        <f>HYPERLINK("E:\PropInv\MF\Garland\Buckingham_2261_Stoneleigh Place_Garland_14061","Buckingham_2261_Stoneleigh Place_Garland_14061" )</f>
        <v>Buckingham_2261_Stoneleigh Place_Garland_14061</v>
      </c>
      <c r="L4134" s="104" t="s">
        <v>22253</v>
      </c>
      <c r="M4134" s="103" t="str">
        <f t="shared" si="323"/>
        <v>http://oconnordata.com/mlink/modules/profile/index.cfm?action=profile&amp;prop_id=14061</v>
      </c>
      <c r="N4134" s="1">
        <f t="shared" si="324"/>
        <v>14061</v>
      </c>
    </row>
    <row r="4135" spans="1:14" x14ac:dyDescent="0.3">
      <c r="A4135" s="1">
        <v>14062</v>
      </c>
      <c r="B4135" s="7" t="s">
        <v>5299</v>
      </c>
      <c r="C4135" s="12">
        <v>4209</v>
      </c>
      <c r="D4135" s="7" t="s">
        <v>4868</v>
      </c>
      <c r="E4135" s="13" t="s">
        <v>5019</v>
      </c>
      <c r="F4135" t="str">
        <f t="shared" si="320"/>
        <v>Walnut</v>
      </c>
      <c r="G4135" t="str">
        <f t="shared" si="321"/>
        <v>Walnut4209Garland</v>
      </c>
      <c r="H4135" t="s">
        <v>34992</v>
      </c>
      <c r="I4135" t="s">
        <v>26415</v>
      </c>
      <c r="J4135" t="str">
        <f t="shared" si="322"/>
        <v>E:\PropInv\MF</v>
      </c>
      <c r="K4135" s="103" t="str">
        <f>HYPERLINK("E:\PropInv\MF\Garland\Walnut St W_4209_Stonewood_Garland_14062","Walnut St W_4209_Stonewood_Garland_14062" )</f>
        <v>Walnut St W_4209_Stonewood_Garland_14062</v>
      </c>
      <c r="L4135" s="104" t="s">
        <v>22253</v>
      </c>
      <c r="M4135" s="103" t="str">
        <f t="shared" si="323"/>
        <v>http://oconnordata.com/mlink/modules/profile/index.cfm?action=profile&amp;prop_id=14062</v>
      </c>
      <c r="N4135" s="1">
        <f t="shared" si="324"/>
        <v>14062</v>
      </c>
    </row>
    <row r="4136" spans="1:14" x14ac:dyDescent="0.3">
      <c r="A4136" s="1">
        <v>14063</v>
      </c>
      <c r="B4136" s="7" t="s">
        <v>6310</v>
      </c>
      <c r="C4136" s="12">
        <v>800</v>
      </c>
      <c r="D4136" s="7" t="s">
        <v>3988</v>
      </c>
      <c r="E4136" s="13" t="s">
        <v>5088</v>
      </c>
      <c r="F4136" t="str">
        <f t="shared" si="320"/>
        <v>Cartwright</v>
      </c>
      <c r="G4136" t="str">
        <f t="shared" si="321"/>
        <v>Cartwright800Mesquite</v>
      </c>
      <c r="H4136" t="s">
        <v>34993</v>
      </c>
      <c r="I4136" t="s">
        <v>26416</v>
      </c>
      <c r="J4136" t="str">
        <f t="shared" si="322"/>
        <v>E:\PropInv\MF</v>
      </c>
      <c r="K4136" s="103" t="str">
        <f>HYPERLINK("E:\PropInv\MF\Mesquite\Cartwright Rd_800_Strawberry Hill_Mesquite_14063","Cartwright Rd_800_Strawberry Hill_Mesquite_14063" )</f>
        <v>Cartwright Rd_800_Strawberry Hill_Mesquite_14063</v>
      </c>
      <c r="L4136" s="104" t="s">
        <v>22253</v>
      </c>
      <c r="M4136" s="103" t="str">
        <f t="shared" si="323"/>
        <v>http://oconnordata.com/mlink/modules/profile/index.cfm?action=profile&amp;prop_id=14063</v>
      </c>
      <c r="N4136" s="1">
        <f t="shared" si="324"/>
        <v>14063</v>
      </c>
    </row>
    <row r="4137" spans="1:14" x14ac:dyDescent="0.3">
      <c r="A4137" s="1">
        <v>14064</v>
      </c>
      <c r="B4137" s="7" t="s">
        <v>6311</v>
      </c>
      <c r="C4137" s="12">
        <v>950</v>
      </c>
      <c r="D4137" s="7" t="s">
        <v>6312</v>
      </c>
      <c r="E4137" s="13" t="s">
        <v>5076</v>
      </c>
      <c r="F4137" t="str">
        <f t="shared" si="320"/>
        <v>Duncan</v>
      </c>
      <c r="G4137" t="str">
        <f t="shared" si="321"/>
        <v>Duncan950Grand Prairie</v>
      </c>
      <c r="H4137" t="s">
        <v>34994</v>
      </c>
      <c r="I4137" t="s">
        <v>26417</v>
      </c>
      <c r="J4137" t="str">
        <f t="shared" si="322"/>
        <v>E:\PropInv\MF</v>
      </c>
      <c r="K4137" s="103" t="str">
        <f>HYPERLINK("E:\PropInv\MF\Grand Prairie\Duncan Perry_950_Sugar Creek_Grand Prairie_14064","Duncan Perry_950_Sugar Creek_Grand Prairie_14064" )</f>
        <v>Duncan Perry_950_Sugar Creek_Grand Prairie_14064</v>
      </c>
      <c r="L4137" s="104" t="s">
        <v>22253</v>
      </c>
      <c r="M4137" s="103" t="str">
        <f t="shared" si="323"/>
        <v>http://oconnordata.com/mlink/modules/profile/index.cfm?action=profile&amp;prop_id=14064</v>
      </c>
      <c r="N4137" s="1">
        <f t="shared" si="324"/>
        <v>14064</v>
      </c>
    </row>
    <row r="4138" spans="1:14" x14ac:dyDescent="0.3">
      <c r="A4138" s="1">
        <v>14065</v>
      </c>
      <c r="B4138" s="7" t="s">
        <v>6313</v>
      </c>
      <c r="C4138" s="12">
        <v>1301</v>
      </c>
      <c r="D4138" s="7" t="s">
        <v>6314</v>
      </c>
      <c r="E4138" s="13" t="s">
        <v>5046</v>
      </c>
      <c r="F4138" t="str">
        <f t="shared" si="320"/>
        <v>Meadow</v>
      </c>
      <c r="G4138" t="str">
        <f t="shared" si="321"/>
        <v>Meadow1301Irving</v>
      </c>
      <c r="H4138" t="s">
        <v>34995</v>
      </c>
      <c r="I4138" t="s">
        <v>26418</v>
      </c>
      <c r="J4138" t="str">
        <f t="shared" si="322"/>
        <v>E:\PropInv\MF</v>
      </c>
      <c r="K4138" s="103" t="str">
        <f>HYPERLINK("E:\PropInv\MF\Irving\Meadow Creek Dr_1301_Summer Bend_Irving_14065","Meadow Creek Dr_1301_Summer Bend_Irving_14065" )</f>
        <v>Meadow Creek Dr_1301_Summer Bend_Irving_14065</v>
      </c>
      <c r="L4138" s="104" t="s">
        <v>22253</v>
      </c>
      <c r="M4138" s="103" t="str">
        <f t="shared" si="323"/>
        <v>http://oconnordata.com/mlink/modules/profile/index.cfm?action=profile&amp;prop_id=14065</v>
      </c>
      <c r="N4138" s="1">
        <f t="shared" si="324"/>
        <v>14065</v>
      </c>
    </row>
    <row r="4139" spans="1:14" x14ac:dyDescent="0.3">
      <c r="A4139" s="1">
        <v>14066</v>
      </c>
      <c r="B4139" s="7" t="s">
        <v>6315</v>
      </c>
      <c r="C4139" s="12">
        <v>9837</v>
      </c>
      <c r="D4139" s="7" t="s">
        <v>6316</v>
      </c>
      <c r="E4139" s="13" t="s">
        <v>4996</v>
      </c>
      <c r="F4139" t="str">
        <f t="shared" si="320"/>
        <v>Central</v>
      </c>
      <c r="G4139" t="str">
        <f t="shared" si="321"/>
        <v>Central9837Dallas</v>
      </c>
      <c r="H4139" t="s">
        <v>34996</v>
      </c>
      <c r="I4139" t="s">
        <v>26419</v>
      </c>
      <c r="J4139" t="str">
        <f t="shared" si="322"/>
        <v>E:\PropInv\MF</v>
      </c>
      <c r="K4139" s="103" t="str">
        <f>HYPERLINK("E:\PropInv\MF\Dallas\Central Expwy N_9837_Lakeside at Walnut Hill_Dallas_14066","Central Expwy N_9837_Lakeside at Walnut Hill_Dallas_14066" )</f>
        <v>Central Expwy N_9837_Lakeside at Walnut Hill_Dallas_14066</v>
      </c>
      <c r="L4139" s="104" t="s">
        <v>22253</v>
      </c>
      <c r="M4139" s="103" t="str">
        <f t="shared" si="323"/>
        <v>http://oconnordata.com/mlink/modules/profile/index.cfm?action=profile&amp;prop_id=14066</v>
      </c>
      <c r="N4139" s="1">
        <f t="shared" si="324"/>
        <v>14066</v>
      </c>
    </row>
    <row r="4140" spans="1:14" x14ac:dyDescent="0.3">
      <c r="A4140" s="1">
        <v>14067</v>
      </c>
      <c r="B4140" s="10" t="s">
        <v>5970</v>
      </c>
      <c r="C4140" s="9">
        <v>13250</v>
      </c>
      <c r="D4140" s="10" t="s">
        <v>6317</v>
      </c>
      <c r="E4140" s="11" t="s">
        <v>4996</v>
      </c>
      <c r="F4140" t="str">
        <f t="shared" si="320"/>
        <v>Emily</v>
      </c>
      <c r="G4140" t="str">
        <f t="shared" si="321"/>
        <v>Emily13250Dallas</v>
      </c>
      <c r="H4140" t="s">
        <v>34997</v>
      </c>
      <c r="I4140" t="s">
        <v>26420</v>
      </c>
      <c r="J4140" t="str">
        <f t="shared" si="322"/>
        <v>E:\PropInv\MF</v>
      </c>
      <c r="K4140" s="103" t="str">
        <f>HYPERLINK("E:\PropInv\MF\Dallas\Emily Rd_13250_Landmark at Rosewood_Dallas_14067","Emily Rd_13250_Landmark at Rosewood_Dallas_14067" )</f>
        <v>Emily Rd_13250_Landmark at Rosewood_Dallas_14067</v>
      </c>
      <c r="L4140" s="104" t="s">
        <v>22253</v>
      </c>
      <c r="M4140" s="103" t="str">
        <f t="shared" si="323"/>
        <v>http://oconnordata.com/mlink/modules/profile/index.cfm?action=profile&amp;prop_id=14067</v>
      </c>
      <c r="N4140" s="1">
        <f t="shared" si="324"/>
        <v>14067</v>
      </c>
    </row>
    <row r="4141" spans="1:14" x14ac:dyDescent="0.3">
      <c r="A4141" s="1">
        <v>14068</v>
      </c>
      <c r="B4141" s="7" t="s">
        <v>5691</v>
      </c>
      <c r="C4141" s="12">
        <v>3801</v>
      </c>
      <c r="D4141" s="7" t="s">
        <v>6318</v>
      </c>
      <c r="E4141" s="13" t="s">
        <v>5046</v>
      </c>
      <c r="F4141" t="str">
        <f t="shared" si="320"/>
        <v>Belt</v>
      </c>
      <c r="G4141" t="str">
        <f t="shared" si="321"/>
        <v>Belt3801Irving</v>
      </c>
      <c r="H4141" t="s">
        <v>34998</v>
      </c>
      <c r="I4141" t="s">
        <v>26421</v>
      </c>
      <c r="J4141" t="str">
        <f t="shared" si="322"/>
        <v>E:\PropInv\MF</v>
      </c>
      <c r="K4141" s="103" t="str">
        <f>HYPERLINK("E:\PropInv\MF\Irving\Belt Line_3801_Summergate_Irving_14068","Belt Line_3801_Summergate_Irving_14068" )</f>
        <v>Belt Line_3801_Summergate_Irving_14068</v>
      </c>
      <c r="L4141" s="104" t="s">
        <v>22253</v>
      </c>
      <c r="M4141" s="103" t="str">
        <f t="shared" si="323"/>
        <v>http://oconnordata.com/mlink/modules/profile/index.cfm?action=profile&amp;prop_id=14068</v>
      </c>
      <c r="N4141" s="1">
        <f t="shared" si="324"/>
        <v>14068</v>
      </c>
    </row>
    <row r="4142" spans="1:14" x14ac:dyDescent="0.3">
      <c r="A4142" s="1">
        <v>14069</v>
      </c>
      <c r="B4142" s="7" t="s">
        <v>5360</v>
      </c>
      <c r="C4142" s="12">
        <v>10010</v>
      </c>
      <c r="D4142" s="7" t="s">
        <v>6319</v>
      </c>
      <c r="E4142" s="13" t="s">
        <v>4996</v>
      </c>
      <c r="F4142" t="str">
        <f t="shared" si="320"/>
        <v>Whitehurst</v>
      </c>
      <c r="G4142" t="str">
        <f t="shared" si="321"/>
        <v>Whitehurst10010Dallas</v>
      </c>
      <c r="H4142" t="s">
        <v>34999</v>
      </c>
      <c r="I4142" t="s">
        <v>26422</v>
      </c>
      <c r="J4142" t="str">
        <f t="shared" si="322"/>
        <v>E:\PropInv\MF</v>
      </c>
      <c r="K4142" s="103" t="str">
        <f>HYPERLINK("E:\PropInv\MF\Dallas\Whitehurst_10010_Summerhill_Dallas_14069","Whitehurst_10010_Summerhill_Dallas_14069" )</f>
        <v>Whitehurst_10010_Summerhill_Dallas_14069</v>
      </c>
      <c r="L4142" s="104" t="s">
        <v>22253</v>
      </c>
      <c r="M4142" s="103" t="str">
        <f t="shared" si="323"/>
        <v>http://oconnordata.com/mlink/modules/profile/index.cfm?action=profile&amp;prop_id=14069</v>
      </c>
      <c r="N4142" s="1">
        <f t="shared" si="324"/>
        <v>14069</v>
      </c>
    </row>
    <row r="4143" spans="1:14" x14ac:dyDescent="0.3">
      <c r="A4143" s="1">
        <v>14070</v>
      </c>
      <c r="B4143" s="7" t="s">
        <v>5691</v>
      </c>
      <c r="C4143" s="12">
        <v>4132</v>
      </c>
      <c r="D4143" s="7" t="s">
        <v>6320</v>
      </c>
      <c r="E4143" s="13" t="s">
        <v>5046</v>
      </c>
      <c r="F4143" t="str">
        <f t="shared" si="320"/>
        <v>Belt</v>
      </c>
      <c r="G4143" t="str">
        <f t="shared" si="321"/>
        <v>Belt4132Irving</v>
      </c>
      <c r="H4143" t="s">
        <v>35000</v>
      </c>
      <c r="I4143" t="s">
        <v>26423</v>
      </c>
      <c r="J4143" t="str">
        <f t="shared" si="322"/>
        <v>E:\PropInv\MF</v>
      </c>
      <c r="K4143" s="103" t="str">
        <f>HYPERLINK("E:\PropInv\MF\Irving\Belt Line_4132_Summerwood_Irving_14070","Belt Line_4132_Summerwood_Irving_14070" )</f>
        <v>Belt Line_4132_Summerwood_Irving_14070</v>
      </c>
      <c r="L4143" s="104" t="s">
        <v>22253</v>
      </c>
      <c r="M4143" s="103" t="str">
        <f t="shared" si="323"/>
        <v>http://oconnordata.com/mlink/modules/profile/index.cfm?action=profile&amp;prop_id=14070</v>
      </c>
      <c r="N4143" s="1">
        <f t="shared" si="324"/>
        <v>14070</v>
      </c>
    </row>
    <row r="4144" spans="1:14" x14ac:dyDescent="0.3">
      <c r="A4144" s="1">
        <v>14071</v>
      </c>
      <c r="B4144" s="7" t="s">
        <v>6321</v>
      </c>
      <c r="C4144" s="12">
        <v>1057</v>
      </c>
      <c r="D4144" s="7" t="s">
        <v>6322</v>
      </c>
      <c r="E4144" s="13" t="s">
        <v>5088</v>
      </c>
      <c r="F4144" t="str">
        <f t="shared" si="320"/>
        <v>Americana</v>
      </c>
      <c r="G4144" t="str">
        <f t="shared" si="321"/>
        <v>Americana1057Mesquite</v>
      </c>
      <c r="H4144" t="s">
        <v>35001</v>
      </c>
      <c r="I4144" t="s">
        <v>26424</v>
      </c>
      <c r="J4144" t="str">
        <f t="shared" si="322"/>
        <v>E:\PropInv\MF</v>
      </c>
      <c r="K4144" s="103" t="str">
        <f>HYPERLINK("E:\PropInv\MF\Mesquite\Americana Ln_1057_Summit_Mesquite_14071","Americana Ln_1057_Summit_Mesquite_14071" )</f>
        <v>Americana Ln_1057_Summit_Mesquite_14071</v>
      </c>
      <c r="L4144" s="104" t="s">
        <v>22253</v>
      </c>
      <c r="M4144" s="103" t="str">
        <f t="shared" si="323"/>
        <v>http://oconnordata.com/mlink/modules/profile/index.cfm?action=profile&amp;prop_id=14071</v>
      </c>
      <c r="N4144" s="1">
        <f t="shared" si="324"/>
        <v>14071</v>
      </c>
    </row>
    <row r="4145" spans="1:14" x14ac:dyDescent="0.3">
      <c r="A4145" s="1">
        <v>14072</v>
      </c>
      <c r="B4145" s="7" t="s">
        <v>4889</v>
      </c>
      <c r="C4145" s="12">
        <v>4650</v>
      </c>
      <c r="D4145" s="7" t="s">
        <v>6323</v>
      </c>
      <c r="E4145" s="13" t="s">
        <v>4996</v>
      </c>
      <c r="F4145" t="str">
        <f t="shared" si="320"/>
        <v>Cole</v>
      </c>
      <c r="G4145" t="str">
        <f t="shared" si="321"/>
        <v>Cole4650Dallas</v>
      </c>
      <c r="H4145" t="s">
        <v>35002</v>
      </c>
      <c r="I4145" t="s">
        <v>26425</v>
      </c>
      <c r="J4145" t="str">
        <f t="shared" si="322"/>
        <v>E:\PropInv\MF</v>
      </c>
      <c r="K4145" s="103" t="str">
        <f>HYPERLINK("E:\PropInv\MF\Dallas\Cole Ave_4650_AMLI at Knox-Henderson_Dallas_14072","Cole Ave_4650_AMLI at Knox-Henderson_Dallas_14072" )</f>
        <v>Cole Ave_4650_AMLI at Knox-Henderson_Dallas_14072</v>
      </c>
      <c r="L4145" s="104" t="s">
        <v>22253</v>
      </c>
      <c r="M4145" s="103" t="str">
        <f t="shared" si="323"/>
        <v>http://oconnordata.com/mlink/modules/profile/index.cfm?action=profile&amp;prop_id=14072</v>
      </c>
      <c r="N4145" s="1">
        <f t="shared" si="324"/>
        <v>14072</v>
      </c>
    </row>
    <row r="4146" spans="1:14" x14ac:dyDescent="0.3">
      <c r="A4146" s="1">
        <v>14073</v>
      </c>
      <c r="B4146" s="7" t="s">
        <v>6324</v>
      </c>
      <c r="C4146" s="12">
        <v>621</v>
      </c>
      <c r="D4146" s="7" t="s">
        <v>6325</v>
      </c>
      <c r="E4146" s="13" t="s">
        <v>5046</v>
      </c>
      <c r="F4146" t="str">
        <f t="shared" si="320"/>
        <v>Cowboys</v>
      </c>
      <c r="G4146" t="str">
        <f t="shared" si="321"/>
        <v>Cowboys621Irving</v>
      </c>
      <c r="H4146" t="s">
        <v>35003</v>
      </c>
      <c r="I4146" t="s">
        <v>26426</v>
      </c>
      <c r="J4146" t="str">
        <f t="shared" si="322"/>
        <v>E:\PropInv\MF</v>
      </c>
      <c r="K4146" s="103" t="str">
        <f>HYPERLINK("E:\PropInv\MF\Irving\Cowboys Pkwy_621_Summit by Norstar_Irving_14073","Cowboys Pkwy_621_Summit by Norstar_Irving_14073" )</f>
        <v>Cowboys Pkwy_621_Summit by Norstar_Irving_14073</v>
      </c>
      <c r="L4146" s="104" t="s">
        <v>22253</v>
      </c>
      <c r="M4146" s="103" t="str">
        <f t="shared" si="323"/>
        <v>http://oconnordata.com/mlink/modules/profile/index.cfm?action=profile&amp;prop_id=14073</v>
      </c>
      <c r="N4146" s="1">
        <f t="shared" si="324"/>
        <v>14073</v>
      </c>
    </row>
    <row r="4147" spans="1:14" x14ac:dyDescent="0.3">
      <c r="A4147" s="1">
        <v>14075</v>
      </c>
      <c r="B4147" s="7" t="s">
        <v>5164</v>
      </c>
      <c r="C4147" s="12">
        <v>4200</v>
      </c>
      <c r="D4147" s="7" t="s">
        <v>85</v>
      </c>
      <c r="E4147" s="13" t="s">
        <v>4996</v>
      </c>
      <c r="F4147" t="str">
        <f t="shared" si="320"/>
        <v>Horizon</v>
      </c>
      <c r="G4147" t="str">
        <f t="shared" si="321"/>
        <v>Horizon4200Dallas</v>
      </c>
      <c r="H4147" t="s">
        <v>35004</v>
      </c>
      <c r="I4147" t="s">
        <v>26427</v>
      </c>
      <c r="J4147" t="str">
        <f t="shared" si="322"/>
        <v>E:\PropInv\MF</v>
      </c>
      <c r="K4147" s="103" t="str">
        <f>HYPERLINK("E:\PropInv\MF\Dallas\Horizon Pkwy N_4200_Camino Real_Dallas_14075","Horizon Pkwy N_4200_Camino Real_Dallas_14075" )</f>
        <v>Horizon Pkwy N_4200_Camino Real_Dallas_14075</v>
      </c>
      <c r="L4147" s="104" t="s">
        <v>22253</v>
      </c>
      <c r="M4147" s="103" t="str">
        <f t="shared" si="323"/>
        <v>http://oconnordata.com/mlink/modules/profile/index.cfm?action=profile&amp;prop_id=14075</v>
      </c>
      <c r="N4147" s="1">
        <f t="shared" si="324"/>
        <v>14075</v>
      </c>
    </row>
    <row r="4148" spans="1:14" x14ac:dyDescent="0.3">
      <c r="A4148" s="1">
        <v>14076</v>
      </c>
      <c r="B4148" s="7" t="s">
        <v>6326</v>
      </c>
      <c r="C4148" s="12">
        <v>1050</v>
      </c>
      <c r="D4148" s="7" t="s">
        <v>6327</v>
      </c>
      <c r="E4148" s="13" t="s">
        <v>5060</v>
      </c>
      <c r="F4148" t="str">
        <f t="shared" si="320"/>
        <v>Park</v>
      </c>
      <c r="G4148" t="str">
        <f t="shared" si="321"/>
        <v>Park1050Carrollton</v>
      </c>
      <c r="H4148" t="s">
        <v>35005</v>
      </c>
      <c r="I4148" t="s">
        <v>26428</v>
      </c>
      <c r="J4148" t="str">
        <f t="shared" si="322"/>
        <v>E:\PropInv\MF</v>
      </c>
      <c r="K4148" s="103" t="str">
        <f>HYPERLINK("E:\PropInv\MF\Carrollton\Park Ave_1050_Summit Park_Carrollton_14076","Park Ave_1050_Summit Park_Carrollton_14076" )</f>
        <v>Park Ave_1050_Summit Park_Carrollton_14076</v>
      </c>
      <c r="L4148" s="104" t="s">
        <v>22253</v>
      </c>
      <c r="M4148" s="103" t="str">
        <f t="shared" si="323"/>
        <v>http://oconnordata.com/mlink/modules/profile/index.cfm?action=profile&amp;prop_id=14076</v>
      </c>
      <c r="N4148" s="1">
        <f t="shared" si="324"/>
        <v>14076</v>
      </c>
    </row>
    <row r="4149" spans="1:14" x14ac:dyDescent="0.3">
      <c r="A4149" s="1">
        <v>14078</v>
      </c>
      <c r="B4149" s="7" t="s">
        <v>5550</v>
      </c>
      <c r="C4149" s="12">
        <v>10075</v>
      </c>
      <c r="D4149" s="7" t="s">
        <v>6328</v>
      </c>
      <c r="E4149" s="13" t="s">
        <v>4996</v>
      </c>
      <c r="F4149" t="str">
        <f t="shared" si="320"/>
        <v>Royal</v>
      </c>
      <c r="G4149" t="str">
        <f t="shared" si="321"/>
        <v>Royal10075Dallas</v>
      </c>
      <c r="H4149" t="s">
        <v>35006</v>
      </c>
      <c r="I4149" t="s">
        <v>26429</v>
      </c>
      <c r="J4149" t="str">
        <f t="shared" si="322"/>
        <v>E:\PropInv\MF</v>
      </c>
      <c r="K4149" s="103" t="str">
        <f>HYPERLINK("E:\PropInv\MF\Dallas\Royal Ln_10075_Sun Colony_Dallas_14078","Royal Ln_10075_Sun Colony_Dallas_14078" )</f>
        <v>Royal Ln_10075_Sun Colony_Dallas_14078</v>
      </c>
      <c r="L4149" s="104" t="s">
        <v>22253</v>
      </c>
      <c r="M4149" s="103" t="str">
        <f t="shared" si="323"/>
        <v>http://oconnordata.com/mlink/modules/profile/index.cfm?action=profile&amp;prop_id=14078</v>
      </c>
      <c r="N4149" s="1">
        <f t="shared" si="324"/>
        <v>14078</v>
      </c>
    </row>
    <row r="4150" spans="1:14" x14ac:dyDescent="0.3">
      <c r="A4150" s="1">
        <v>14080</v>
      </c>
      <c r="B4150" s="7" t="s">
        <v>5077</v>
      </c>
      <c r="C4150" s="12">
        <v>8401</v>
      </c>
      <c r="D4150" s="7" t="s">
        <v>6329</v>
      </c>
      <c r="E4150" s="13" t="s">
        <v>4996</v>
      </c>
      <c r="F4150" t="str">
        <f t="shared" si="320"/>
        <v>Skillman</v>
      </c>
      <c r="G4150" t="str">
        <f t="shared" si="321"/>
        <v>Skillman8401Dallas</v>
      </c>
      <c r="H4150" t="s">
        <v>35007</v>
      </c>
      <c r="I4150" t="s">
        <v>26430</v>
      </c>
      <c r="J4150" t="str">
        <f t="shared" si="322"/>
        <v>E:\PropInv\MF</v>
      </c>
      <c r="K4150" s="103" t="str">
        <f>HYPERLINK("E:\PropInv\MF\Dallas\Skillman_8401_Montecito Palms_Dallas_14080","Skillman_8401_Montecito Palms_Dallas_14080" )</f>
        <v>Skillman_8401_Montecito Palms_Dallas_14080</v>
      </c>
      <c r="L4150" s="104" t="s">
        <v>22253</v>
      </c>
      <c r="M4150" s="103" t="str">
        <f t="shared" si="323"/>
        <v>http://oconnordata.com/mlink/modules/profile/index.cfm?action=profile&amp;prop_id=14080</v>
      </c>
      <c r="N4150" s="1">
        <f t="shared" si="324"/>
        <v>14080</v>
      </c>
    </row>
    <row r="4151" spans="1:14" x14ac:dyDescent="0.3">
      <c r="A4151" s="1">
        <v>14081</v>
      </c>
      <c r="B4151" s="7" t="s">
        <v>6330</v>
      </c>
      <c r="C4151" s="12">
        <v>145</v>
      </c>
      <c r="D4151" s="7" t="s">
        <v>6331</v>
      </c>
      <c r="E4151" s="13" t="s">
        <v>5076</v>
      </c>
      <c r="F4151" t="str">
        <f t="shared" si="320"/>
        <v>303</v>
      </c>
      <c r="G4151" t="str">
        <f t="shared" si="321"/>
        <v>303145Grand Prairie</v>
      </c>
      <c r="H4151" t="s">
        <v>35008</v>
      </c>
      <c r="I4151" t="s">
        <v>26431</v>
      </c>
      <c r="J4151" t="str">
        <f t="shared" si="322"/>
        <v>E:\PropInv\MF</v>
      </c>
      <c r="K4151" s="103" t="str">
        <f>HYPERLINK("E:\PropInv\MF\Grand Prairie\303 Hwy E_145_Sunridge_Grand Prairie_14081","303 Hwy E_145_Sunridge_Grand Prairie_14081" )</f>
        <v>303 Hwy E_145_Sunridge_Grand Prairie_14081</v>
      </c>
      <c r="L4151" s="104" t="s">
        <v>22253</v>
      </c>
      <c r="M4151" s="103" t="str">
        <f t="shared" si="323"/>
        <v>http://oconnordata.com/mlink/modules/profile/index.cfm?action=profile&amp;prop_id=14081</v>
      </c>
      <c r="N4151" s="1">
        <f t="shared" si="324"/>
        <v>14081</v>
      </c>
    </row>
    <row r="4152" spans="1:14" x14ac:dyDescent="0.3">
      <c r="A4152" s="1">
        <v>14083</v>
      </c>
      <c r="B4152" s="7" t="s">
        <v>5047</v>
      </c>
      <c r="C4152" s="12">
        <v>3550</v>
      </c>
      <c r="D4152" s="7" t="s">
        <v>6332</v>
      </c>
      <c r="E4152" s="13" t="s">
        <v>4996</v>
      </c>
      <c r="F4152" t="str">
        <f t="shared" si="320"/>
        <v>Timberglen</v>
      </c>
      <c r="G4152" t="str">
        <f t="shared" si="321"/>
        <v>Timberglen3550Dallas</v>
      </c>
      <c r="H4152" t="s">
        <v>35009</v>
      </c>
      <c r="I4152" t="s">
        <v>26432</v>
      </c>
      <c r="J4152" t="str">
        <f t="shared" si="322"/>
        <v>E:\PropInv\MF</v>
      </c>
      <c r="K4152" s="103" t="str">
        <f>HYPERLINK("E:\PropInv\MF\Dallas\Timberglen_3550_Sunset Oaks_Dallas_14083","Timberglen_3550_Sunset Oaks_Dallas_14083" )</f>
        <v>Timberglen_3550_Sunset Oaks_Dallas_14083</v>
      </c>
      <c r="L4152" s="104" t="s">
        <v>22253</v>
      </c>
      <c r="M4152" s="103" t="str">
        <f t="shared" si="323"/>
        <v>http://oconnordata.com/mlink/modules/profile/index.cfm?action=profile&amp;prop_id=14083</v>
      </c>
      <c r="N4152" s="1">
        <f t="shared" si="324"/>
        <v>14083</v>
      </c>
    </row>
    <row r="4153" spans="1:14" x14ac:dyDescent="0.3">
      <c r="A4153" s="1">
        <v>14084</v>
      </c>
      <c r="B4153" s="7" t="s">
        <v>5129</v>
      </c>
      <c r="C4153" s="12">
        <v>9180</v>
      </c>
      <c r="D4153" s="7" t="s">
        <v>6333</v>
      </c>
      <c r="E4153" s="13" t="s">
        <v>4996</v>
      </c>
      <c r="F4153" t="str">
        <f t="shared" si="320"/>
        <v>Forest</v>
      </c>
      <c r="G4153" t="str">
        <f t="shared" si="321"/>
        <v>Forest9180Dallas</v>
      </c>
      <c r="H4153" t="s">
        <v>35010</v>
      </c>
      <c r="I4153" t="s">
        <v>26433</v>
      </c>
      <c r="J4153" t="str">
        <f t="shared" si="322"/>
        <v>E:\PropInv\MF</v>
      </c>
      <c r="K4153" s="103" t="str">
        <f>HYPERLINK("E:\PropInv\MF\Dallas\Forest Ln_9180_Advenir at Forest Lane_Dallas_14084","Forest Ln_9180_Advenir at Forest Lane_Dallas_14084" )</f>
        <v>Forest Ln_9180_Advenir at Forest Lane_Dallas_14084</v>
      </c>
      <c r="L4153" s="104" t="s">
        <v>22253</v>
      </c>
      <c r="M4153" s="103" t="str">
        <f t="shared" si="323"/>
        <v>http://oconnordata.com/mlink/modules/profile/index.cfm?action=profile&amp;prop_id=14084</v>
      </c>
      <c r="N4153" s="1">
        <f t="shared" si="324"/>
        <v>14084</v>
      </c>
    </row>
    <row r="4154" spans="1:14" x14ac:dyDescent="0.3">
      <c r="A4154" s="1">
        <v>14085</v>
      </c>
      <c r="B4154" s="7" t="s">
        <v>5499</v>
      </c>
      <c r="C4154" s="12">
        <v>1814</v>
      </c>
      <c r="D4154" s="7" t="s">
        <v>6334</v>
      </c>
      <c r="E4154" s="13" t="s">
        <v>5046</v>
      </c>
      <c r="F4154" t="str">
        <f t="shared" si="320"/>
        <v>Estrada</v>
      </c>
      <c r="G4154" t="str">
        <f t="shared" si="321"/>
        <v>Estrada1814Irving</v>
      </c>
      <c r="H4154" t="s">
        <v>35011</v>
      </c>
      <c r="I4154" t="s">
        <v>26434</v>
      </c>
      <c r="J4154" t="str">
        <f t="shared" si="322"/>
        <v>E:\PropInv\MF</v>
      </c>
      <c r="K4154" s="103" t="str">
        <f>HYPERLINK("E:\PropInv\MF\Irving\Estrada Pkwy_1814_Surrey Oaks East_Irving_14085","Estrada Pkwy_1814_Surrey Oaks East_Irving_14085" )</f>
        <v>Estrada Pkwy_1814_Surrey Oaks East_Irving_14085</v>
      </c>
      <c r="L4154" s="104" t="s">
        <v>22253</v>
      </c>
      <c r="M4154" s="103" t="str">
        <f t="shared" si="323"/>
        <v>http://oconnordata.com/mlink/modules/profile/index.cfm?action=profile&amp;prop_id=14085</v>
      </c>
      <c r="N4154" s="1">
        <f t="shared" si="324"/>
        <v>14085</v>
      </c>
    </row>
    <row r="4155" spans="1:14" x14ac:dyDescent="0.3">
      <c r="A4155" s="1">
        <v>14086</v>
      </c>
      <c r="B4155" s="7" t="s">
        <v>6009</v>
      </c>
      <c r="C4155" s="12">
        <v>7272</v>
      </c>
      <c r="D4155" s="7" t="s">
        <v>6335</v>
      </c>
      <c r="E4155" s="13" t="s">
        <v>4996</v>
      </c>
      <c r="F4155" t="str">
        <f t="shared" si="320"/>
        <v>Marvin</v>
      </c>
      <c r="G4155" t="str">
        <f t="shared" si="321"/>
        <v>Marvin7272Dallas</v>
      </c>
      <c r="H4155" t="s">
        <v>35012</v>
      </c>
      <c r="I4155" t="s">
        <v>26435</v>
      </c>
      <c r="J4155" t="str">
        <f t="shared" si="322"/>
        <v>E:\PropInv\MF</v>
      </c>
      <c r="K4155" s="103" t="str">
        <f>HYPERLINK("E:\PropInv\MF\Dallas\Marvin D. Love Fwy_7272_Surrey Row_Dallas_14086","Marvin D. Love Fwy_7272_Surrey Row_Dallas_14086" )</f>
        <v>Marvin D. Love Fwy_7272_Surrey Row_Dallas_14086</v>
      </c>
      <c r="L4155" s="104" t="s">
        <v>22253</v>
      </c>
      <c r="M4155" s="103" t="str">
        <f t="shared" si="323"/>
        <v>http://oconnordata.com/mlink/modules/profile/index.cfm?action=profile&amp;prop_id=14086</v>
      </c>
      <c r="N4155" s="1">
        <f t="shared" si="324"/>
        <v>14086</v>
      </c>
    </row>
    <row r="4156" spans="1:14" x14ac:dyDescent="0.3">
      <c r="A4156" s="1">
        <v>14087</v>
      </c>
      <c r="B4156" s="7" t="s">
        <v>6336</v>
      </c>
      <c r="C4156" s="12">
        <v>18600</v>
      </c>
      <c r="D4156" s="7" t="s">
        <v>6337</v>
      </c>
      <c r="E4156" s="13" t="s">
        <v>4996</v>
      </c>
      <c r="F4156" t="str">
        <f t="shared" si="320"/>
        <v>Dallas</v>
      </c>
      <c r="G4156" t="str">
        <f t="shared" si="321"/>
        <v>Dallas18600Dallas</v>
      </c>
      <c r="H4156" t="s">
        <v>35013</v>
      </c>
      <c r="I4156" t="s">
        <v>26436</v>
      </c>
      <c r="J4156" t="str">
        <f t="shared" si="322"/>
        <v>E:\PropInv\MF</v>
      </c>
      <c r="K4156" s="103" t="str">
        <f>HYPERLINK("E:\PropInv\MF\Dallas\Dallas N Pkwy_18600_Sutton Place_Dallas_14087","Dallas N Pkwy_18600_Sutton Place_Dallas_14087" )</f>
        <v>Dallas N Pkwy_18600_Sutton Place_Dallas_14087</v>
      </c>
      <c r="L4156" s="104" t="s">
        <v>22253</v>
      </c>
      <c r="M4156" s="103" t="str">
        <f t="shared" si="323"/>
        <v>http://oconnordata.com/mlink/modules/profile/index.cfm?action=profile&amp;prop_id=14087</v>
      </c>
      <c r="N4156" s="1">
        <f t="shared" si="324"/>
        <v>14087</v>
      </c>
    </row>
    <row r="4157" spans="1:14" x14ac:dyDescent="0.3">
      <c r="A4157" s="1">
        <v>14089</v>
      </c>
      <c r="B4157" s="7" t="s">
        <v>6261</v>
      </c>
      <c r="C4157" s="12">
        <v>540</v>
      </c>
      <c r="D4157" s="7" t="s">
        <v>6338</v>
      </c>
      <c r="E4157" s="13" t="s">
        <v>3328</v>
      </c>
      <c r="F4157" t="str">
        <f t="shared" si="320"/>
        <v>Buckingham</v>
      </c>
      <c r="G4157" t="str">
        <f t="shared" si="321"/>
        <v>Buckingham540Richardson</v>
      </c>
      <c r="H4157" t="s">
        <v>35014</v>
      </c>
      <c r="I4157" t="s">
        <v>26437</v>
      </c>
      <c r="J4157" t="str">
        <f t="shared" si="322"/>
        <v>E:\PropInv\MF</v>
      </c>
      <c r="K4157" s="103" t="str">
        <f>HYPERLINK("E:\PropInv\MF\Richardson\Buckingham_540_Sweetwater Ranch_Richardson_14089","Buckingham_540_Sweetwater Ranch_Richardson_14089" )</f>
        <v>Buckingham_540_Sweetwater Ranch_Richardson_14089</v>
      </c>
      <c r="L4157" s="104" t="s">
        <v>22253</v>
      </c>
      <c r="M4157" s="103" t="str">
        <f t="shared" si="323"/>
        <v>http://oconnordata.com/mlink/modules/profile/index.cfm?action=profile&amp;prop_id=14089</v>
      </c>
      <c r="N4157" s="1">
        <f t="shared" si="324"/>
        <v>14089</v>
      </c>
    </row>
    <row r="4158" spans="1:14" x14ac:dyDescent="0.3">
      <c r="A4158" s="1">
        <v>14090</v>
      </c>
      <c r="B4158" s="7" t="s">
        <v>6339</v>
      </c>
      <c r="C4158" s="12">
        <v>5051</v>
      </c>
      <c r="D4158" s="7" t="s">
        <v>6340</v>
      </c>
      <c r="E4158" s="13" t="s">
        <v>4996</v>
      </c>
      <c r="F4158" t="str">
        <f t="shared" si="320"/>
        <v>Lahoma</v>
      </c>
      <c r="G4158" t="str">
        <f t="shared" si="321"/>
        <v>Lahoma5051Dallas</v>
      </c>
      <c r="H4158" t="s">
        <v>35015</v>
      </c>
      <c r="I4158" t="s">
        <v>26438</v>
      </c>
      <c r="J4158" t="str">
        <f t="shared" si="322"/>
        <v>E:\PropInv\MF</v>
      </c>
      <c r="K4158" s="103" t="str">
        <f>HYPERLINK("E:\PropInv\MF\Dallas\Lahoma St_5051_Advenir at Highland Park_Dallas_14090","Lahoma St_5051_Advenir at Highland Park_Dallas_14090" )</f>
        <v>Lahoma St_5051_Advenir at Highland Park_Dallas_14090</v>
      </c>
      <c r="L4158" s="104" t="s">
        <v>22253</v>
      </c>
      <c r="M4158" s="103" t="str">
        <f t="shared" si="323"/>
        <v>http://oconnordata.com/mlink/modules/profile/index.cfm?action=profile&amp;prop_id=14090</v>
      </c>
      <c r="N4158" s="1">
        <f t="shared" si="324"/>
        <v>14090</v>
      </c>
    </row>
    <row r="4159" spans="1:14" x14ac:dyDescent="0.3">
      <c r="A4159" s="1">
        <v>14091</v>
      </c>
      <c r="B4159" s="7" t="s">
        <v>5006</v>
      </c>
      <c r="C4159" s="12">
        <v>3925</v>
      </c>
      <c r="D4159" s="7" t="s">
        <v>6341</v>
      </c>
      <c r="E4159" s="13" t="s">
        <v>5005</v>
      </c>
      <c r="F4159" t="str">
        <f t="shared" si="320"/>
        <v>Brookhaven</v>
      </c>
      <c r="G4159" t="str">
        <f t="shared" si="321"/>
        <v>Brookhaven3925Addison</v>
      </c>
      <c r="H4159" t="s">
        <v>35016</v>
      </c>
      <c r="I4159" t="s">
        <v>26439</v>
      </c>
      <c r="J4159" t="str">
        <f t="shared" si="322"/>
        <v>E:\PropInv\MF</v>
      </c>
      <c r="K4159" s="103" t="str">
        <f>HYPERLINK("E:\PropInv\MF\Addison\Brookhaven Club Dr_3925_Brookhaven Village South-The Talisker of Addison_Addison_14091","Brookhaven Club Dr_3925_Brookhaven Village South-The Talisker of Addison_Addison_14091" )</f>
        <v>Brookhaven Club Dr_3925_Brookhaven Village South-The Talisker of Addison_Addison_14091</v>
      </c>
      <c r="L4159" s="104" t="s">
        <v>22253</v>
      </c>
      <c r="M4159" s="103" t="str">
        <f t="shared" si="323"/>
        <v>http://oconnordata.com/mlink/modules/profile/index.cfm?action=profile&amp;prop_id=14091</v>
      </c>
      <c r="N4159" s="1">
        <f t="shared" si="324"/>
        <v>14091</v>
      </c>
    </row>
    <row r="4160" spans="1:14" x14ac:dyDescent="0.3">
      <c r="A4160" s="1">
        <v>14092</v>
      </c>
      <c r="B4160" s="7" t="s">
        <v>5277</v>
      </c>
      <c r="C4160" s="12">
        <v>1602</v>
      </c>
      <c r="D4160" s="7" t="s">
        <v>6342</v>
      </c>
      <c r="E4160" s="13" t="s">
        <v>5060</v>
      </c>
      <c r="F4160" t="str">
        <f t="shared" si="320"/>
        <v>Frankford</v>
      </c>
      <c r="G4160" t="str">
        <f t="shared" si="321"/>
        <v>Frankford1602Carrollton</v>
      </c>
      <c r="H4160" t="s">
        <v>35017</v>
      </c>
      <c r="I4160" t="s">
        <v>26440</v>
      </c>
      <c r="J4160" t="str">
        <f t="shared" si="322"/>
        <v>E:\PropInv\MF</v>
      </c>
      <c r="K4160" s="103" t="str">
        <f>HYPERLINK("E:\PropInv\MF\Carrollton\Frankford_1602_Tallows of Carrollton_Carrollton_14092","Frankford_1602_Tallows of Carrollton_Carrollton_14092" )</f>
        <v>Frankford_1602_Tallows of Carrollton_Carrollton_14092</v>
      </c>
      <c r="L4160" s="104" t="s">
        <v>22253</v>
      </c>
      <c r="M4160" s="103" t="str">
        <f t="shared" si="323"/>
        <v>http://oconnordata.com/mlink/modules/profile/index.cfm?action=profile&amp;prop_id=14092</v>
      </c>
      <c r="N4160" s="1">
        <f t="shared" si="324"/>
        <v>14092</v>
      </c>
    </row>
    <row r="4161" spans="1:14" x14ac:dyDescent="0.3">
      <c r="A4161" s="1">
        <v>14093</v>
      </c>
      <c r="B4161" s="7" t="s">
        <v>4997</v>
      </c>
      <c r="C4161" s="12">
        <v>4533</v>
      </c>
      <c r="D4161" s="7" t="s">
        <v>6343</v>
      </c>
      <c r="E4161" s="13" t="s">
        <v>4996</v>
      </c>
      <c r="F4161" t="str">
        <f t="shared" si="320"/>
        <v>Cedar</v>
      </c>
      <c r="G4161" t="str">
        <f t="shared" si="321"/>
        <v>Cedar4533Dallas</v>
      </c>
      <c r="H4161" t="s">
        <v>35018</v>
      </c>
      <c r="I4161" t="s">
        <v>26441</v>
      </c>
      <c r="J4161" t="str">
        <f t="shared" si="322"/>
        <v>E:\PropInv\MF</v>
      </c>
      <c r="K4161" s="103" t="str">
        <f>HYPERLINK("E:\PropInv\MF\Dallas\Cedar Springs_4533_Tecali_Dallas_14093","Cedar Springs_4533_Tecali_Dallas_14093" )</f>
        <v>Cedar Springs_4533_Tecali_Dallas_14093</v>
      </c>
      <c r="L4161" s="104" t="s">
        <v>22253</v>
      </c>
      <c r="M4161" s="103" t="str">
        <f t="shared" si="323"/>
        <v>http://oconnordata.com/mlink/modules/profile/index.cfm?action=profile&amp;prop_id=14093</v>
      </c>
      <c r="N4161" s="1">
        <f t="shared" si="324"/>
        <v>14093</v>
      </c>
    </row>
    <row r="4162" spans="1:14" x14ac:dyDescent="0.3">
      <c r="A4162" s="1">
        <v>14094</v>
      </c>
      <c r="B4162" s="7" t="s">
        <v>5203</v>
      </c>
      <c r="C4162" s="12">
        <v>3726</v>
      </c>
      <c r="D4162" s="7" t="s">
        <v>6344</v>
      </c>
      <c r="E4162" s="13" t="s">
        <v>5046</v>
      </c>
      <c r="F4162" t="str">
        <f t="shared" ref="F4162:F4225" si="325">IFERROR(LEFT(B4162,FIND(" ",B4162)-1),B4162)</f>
        <v>Block</v>
      </c>
      <c r="G4162" t="str">
        <f t="shared" ref="G4162:G4225" si="326">F4162&amp;C4162&amp;E4162</f>
        <v>Block3726Irving</v>
      </c>
      <c r="H4162" t="s">
        <v>35019</v>
      </c>
      <c r="I4162" t="s">
        <v>26442</v>
      </c>
      <c r="J4162" t="str">
        <f t="shared" ref="J4162:J4225" si="327">IF(L4162="TX",Folder_Path,Folder_Path&amp;"\State_"&amp;L4162)</f>
        <v>E:\PropInv\MF</v>
      </c>
      <c r="K4162" s="103" t="str">
        <f>HYPERLINK("E:\PropInv\MF\Irving\Block Dr_3726_Terrace_Irving_14094","Block Dr_3726_Terrace_Irving_14094" )</f>
        <v>Block Dr_3726_Terrace_Irving_14094</v>
      </c>
      <c r="L4162" s="104" t="s">
        <v>22253</v>
      </c>
      <c r="M4162" s="103" t="str">
        <f t="shared" ref="M4162:M4225" si="328">HYPERLINK("http://oconnordata.com/mlink/modules/profile/index.cfm?action=profile&amp;prop_id="&amp;A4162)</f>
        <v>http://oconnordata.com/mlink/modules/profile/index.cfm?action=profile&amp;prop_id=14094</v>
      </c>
      <c r="N4162" s="1">
        <f t="shared" ref="N4162:N4225" si="329">IF(LEN(A4162)=1,"0000"&amp;A4162,IF(LEN(A4162)=2,"000"&amp;A4162,IF(LEN(A4162)=3,"00"&amp;A4162,IF(LEN(A4162)=4,"0"&amp;A4162,IF(LEN(A4162)=5,IF(LEFT(A4162,1)="3",A4162+30000,A4162))))))</f>
        <v>14094</v>
      </c>
    </row>
    <row r="4163" spans="1:14" x14ac:dyDescent="0.3">
      <c r="A4163" s="1">
        <v>14095</v>
      </c>
      <c r="B4163" s="7" t="s">
        <v>6345</v>
      </c>
      <c r="C4163" s="12">
        <v>3131</v>
      </c>
      <c r="D4163" s="7" t="s">
        <v>1403</v>
      </c>
      <c r="E4163" s="13" t="s">
        <v>4996</v>
      </c>
      <c r="F4163" t="str">
        <f t="shared" si="325"/>
        <v>Maple</v>
      </c>
      <c r="G4163" t="str">
        <f t="shared" si="326"/>
        <v>Maple3131Dallas</v>
      </c>
      <c r="H4163" t="s">
        <v>35020</v>
      </c>
      <c r="I4163" t="s">
        <v>26443</v>
      </c>
      <c r="J4163" t="str">
        <f t="shared" si="327"/>
        <v>E:\PropInv\MF</v>
      </c>
      <c r="K4163" s="103" t="str">
        <f>HYPERLINK("E:\PropInv\MF\Dallas\Maple_3131_Terrace House_Dallas_14095","Maple_3131_Terrace House_Dallas_14095" )</f>
        <v>Maple_3131_Terrace House_Dallas_14095</v>
      </c>
      <c r="L4163" s="104" t="s">
        <v>22253</v>
      </c>
      <c r="M4163" s="103" t="str">
        <f t="shared" si="328"/>
        <v>http://oconnordata.com/mlink/modules/profile/index.cfm?action=profile&amp;prop_id=14095</v>
      </c>
      <c r="N4163" s="1">
        <f t="shared" si="329"/>
        <v>14095</v>
      </c>
    </row>
    <row r="4164" spans="1:14" x14ac:dyDescent="0.3">
      <c r="A4164" s="1">
        <v>14096</v>
      </c>
      <c r="B4164" s="7" t="s">
        <v>6346</v>
      </c>
      <c r="C4164" s="12">
        <v>300</v>
      </c>
      <c r="D4164" s="7" t="s">
        <v>6347</v>
      </c>
      <c r="E4164" s="13" t="s">
        <v>5195</v>
      </c>
      <c r="F4164" t="str">
        <f t="shared" si="325"/>
        <v>Wintergreen</v>
      </c>
      <c r="G4164" t="str">
        <f t="shared" si="326"/>
        <v>Wintergreen300Desoto</v>
      </c>
      <c r="H4164" t="s">
        <v>35021</v>
      </c>
      <c r="I4164" t="s">
        <v>26444</v>
      </c>
      <c r="J4164" t="str">
        <f t="shared" si="327"/>
        <v>E:\PropInv\MF</v>
      </c>
      <c r="K4164" s="103" t="str">
        <f>HYPERLINK("E:\PropInv\MF\Desoto\Wintergreen W_300_Thorn Manor_Desoto_14096","Wintergreen W_300_Thorn Manor_Desoto_14096" )</f>
        <v>Wintergreen W_300_Thorn Manor_Desoto_14096</v>
      </c>
      <c r="L4164" s="104" t="s">
        <v>22253</v>
      </c>
      <c r="M4164" s="103" t="str">
        <f t="shared" si="328"/>
        <v>http://oconnordata.com/mlink/modules/profile/index.cfm?action=profile&amp;prop_id=14096</v>
      </c>
      <c r="N4164" s="1">
        <f t="shared" si="329"/>
        <v>14096</v>
      </c>
    </row>
    <row r="4165" spans="1:14" x14ac:dyDescent="0.3">
      <c r="A4165" s="1">
        <v>14098</v>
      </c>
      <c r="B4165" s="7" t="s">
        <v>6348</v>
      </c>
      <c r="C4165" s="12">
        <v>6001</v>
      </c>
      <c r="D4165" s="7" t="s">
        <v>420</v>
      </c>
      <c r="E4165" s="13" t="s">
        <v>4996</v>
      </c>
      <c r="F4165" t="str">
        <f t="shared" si="325"/>
        <v>Skillman</v>
      </c>
      <c r="G4165" t="str">
        <f t="shared" si="326"/>
        <v>Skillman6001Dallas</v>
      </c>
      <c r="H4165" t="s">
        <v>35022</v>
      </c>
      <c r="I4165" t="s">
        <v>26445</v>
      </c>
      <c r="J4165" t="str">
        <f t="shared" si="327"/>
        <v>E:\PropInv\MF</v>
      </c>
      <c r="K4165" s="103" t="str">
        <f>HYPERLINK("E:\PropInv\MF\Dallas\Skillman Rd_6001_Timbercreek_Dallas_14098","Skillman Rd_6001_Timbercreek_Dallas_14098" )</f>
        <v>Skillman Rd_6001_Timbercreek_Dallas_14098</v>
      </c>
      <c r="L4165" s="104" t="s">
        <v>22253</v>
      </c>
      <c r="M4165" s="103" t="str">
        <f t="shared" si="328"/>
        <v>http://oconnordata.com/mlink/modules/profile/index.cfm?action=profile&amp;prop_id=14098</v>
      </c>
      <c r="N4165" s="1">
        <f t="shared" si="329"/>
        <v>14098</v>
      </c>
    </row>
    <row r="4166" spans="1:14" x14ac:dyDescent="0.3">
      <c r="A4166" s="1">
        <v>14099</v>
      </c>
      <c r="B4166" s="7" t="s">
        <v>5047</v>
      </c>
      <c r="C4166" s="12">
        <v>3773</v>
      </c>
      <c r="D4166" s="7" t="s">
        <v>5047</v>
      </c>
      <c r="E4166" s="13" t="s">
        <v>4996</v>
      </c>
      <c r="F4166" t="str">
        <f t="shared" si="325"/>
        <v>Timberglen</v>
      </c>
      <c r="G4166" t="str">
        <f t="shared" si="326"/>
        <v>Timberglen3773Dallas</v>
      </c>
      <c r="H4166" t="s">
        <v>35023</v>
      </c>
      <c r="I4166" t="s">
        <v>26446</v>
      </c>
      <c r="J4166" t="str">
        <f t="shared" si="327"/>
        <v>E:\PropInv\MF</v>
      </c>
      <c r="K4166" s="103" t="str">
        <f>HYPERLINK("E:\PropInv\MF\Dallas\Timberglen_3773_Timberglen_Dallas_14099","Timberglen_3773_Timberglen_Dallas_14099" )</f>
        <v>Timberglen_3773_Timberglen_Dallas_14099</v>
      </c>
      <c r="L4166" s="104" t="s">
        <v>22253</v>
      </c>
      <c r="M4166" s="103" t="str">
        <f t="shared" si="328"/>
        <v>http://oconnordata.com/mlink/modules/profile/index.cfm?action=profile&amp;prop_id=14099</v>
      </c>
      <c r="N4166" s="1">
        <f t="shared" si="329"/>
        <v>14099</v>
      </c>
    </row>
    <row r="4167" spans="1:14" x14ac:dyDescent="0.3">
      <c r="A4167" s="1">
        <v>14101</v>
      </c>
      <c r="B4167" s="7" t="s">
        <v>5201</v>
      </c>
      <c r="C4167" s="12">
        <v>11600</v>
      </c>
      <c r="D4167" s="7" t="s">
        <v>6349</v>
      </c>
      <c r="E4167" s="13" t="s">
        <v>4996</v>
      </c>
      <c r="F4167" t="str">
        <f t="shared" si="325"/>
        <v>Audelia</v>
      </c>
      <c r="G4167" t="str">
        <f t="shared" si="326"/>
        <v>Audelia11600Dallas</v>
      </c>
      <c r="H4167" t="s">
        <v>35024</v>
      </c>
      <c r="I4167" t="s">
        <v>26447</v>
      </c>
      <c r="J4167" t="str">
        <f t="shared" si="327"/>
        <v>E:\PropInv\MF</v>
      </c>
      <c r="K4167" s="103" t="str">
        <f>HYPERLINK("E:\PropInv\MF\Dallas\Audelia Rd_11600_Timberlodge_Dallas_14101","Audelia Rd_11600_Timberlodge_Dallas_14101" )</f>
        <v>Audelia Rd_11600_Timberlodge_Dallas_14101</v>
      </c>
      <c r="L4167" s="104" t="s">
        <v>22253</v>
      </c>
      <c r="M4167" s="103" t="str">
        <f t="shared" si="328"/>
        <v>http://oconnordata.com/mlink/modules/profile/index.cfm?action=profile&amp;prop_id=14101</v>
      </c>
      <c r="N4167" s="1">
        <f t="shared" si="329"/>
        <v>14101</v>
      </c>
    </row>
    <row r="4168" spans="1:14" x14ac:dyDescent="0.3">
      <c r="A4168" s="1">
        <v>14102</v>
      </c>
      <c r="B4168" s="7" t="s">
        <v>6350</v>
      </c>
      <c r="C4168" s="12">
        <v>9850</v>
      </c>
      <c r="D4168" s="7" t="s">
        <v>6351</v>
      </c>
      <c r="E4168" s="13" t="s">
        <v>4996</v>
      </c>
      <c r="F4168" t="str">
        <f t="shared" si="325"/>
        <v>Whitehurst</v>
      </c>
      <c r="G4168" t="str">
        <f t="shared" si="326"/>
        <v>Whitehurst9850Dallas</v>
      </c>
      <c r="H4168" t="s">
        <v>35025</v>
      </c>
      <c r="I4168" t="s">
        <v>26448</v>
      </c>
      <c r="J4168" t="str">
        <f t="shared" si="327"/>
        <v>E:\PropInv\MF</v>
      </c>
      <c r="K4168" s="103" t="str">
        <f>HYPERLINK("E:\PropInv\MF\Dallas\Whitehurst Dr_9850_Arbor Vista_Dallas_14102","Whitehurst Dr_9850_Arbor Vista_Dallas_14102" )</f>
        <v>Whitehurst Dr_9850_Arbor Vista_Dallas_14102</v>
      </c>
      <c r="L4168" s="104" t="s">
        <v>22253</v>
      </c>
      <c r="M4168" s="103" t="str">
        <f t="shared" si="328"/>
        <v>http://oconnordata.com/mlink/modules/profile/index.cfm?action=profile&amp;prop_id=14102</v>
      </c>
      <c r="N4168" s="1">
        <f t="shared" si="329"/>
        <v>14102</v>
      </c>
    </row>
    <row r="4169" spans="1:14" x14ac:dyDescent="0.3">
      <c r="A4169" s="1">
        <v>14104</v>
      </c>
      <c r="B4169" s="7" t="s">
        <v>6352</v>
      </c>
      <c r="C4169" s="12">
        <v>17910</v>
      </c>
      <c r="D4169" s="7" t="s">
        <v>796</v>
      </c>
      <c r="E4169" s="13" t="s">
        <v>4996</v>
      </c>
      <c r="F4169" t="str">
        <f t="shared" si="325"/>
        <v>Kelly</v>
      </c>
      <c r="G4169" t="str">
        <f t="shared" si="326"/>
        <v>Kelly17910Dallas</v>
      </c>
      <c r="H4169" t="s">
        <v>35026</v>
      </c>
      <c r="I4169" t="s">
        <v>26449</v>
      </c>
      <c r="J4169" t="str">
        <f t="shared" si="327"/>
        <v>E:\PropInv\MF</v>
      </c>
      <c r="K4169" s="103" t="str">
        <f>HYPERLINK("E:\PropInv\MF\Dallas\Kelly_17910_Toscana_Dallas_14104","Kelly_17910_Toscana_Dallas_14104" )</f>
        <v>Kelly_17910_Toscana_Dallas_14104</v>
      </c>
      <c r="L4169" s="104" t="s">
        <v>22253</v>
      </c>
      <c r="M4169" s="103" t="str">
        <f t="shared" si="328"/>
        <v>http://oconnordata.com/mlink/modules/profile/index.cfm?action=profile&amp;prop_id=14104</v>
      </c>
      <c r="N4169" s="1">
        <f t="shared" si="329"/>
        <v>14104</v>
      </c>
    </row>
    <row r="4170" spans="1:14" x14ac:dyDescent="0.3">
      <c r="A4170" s="1">
        <v>14105</v>
      </c>
      <c r="B4170" s="7" t="s">
        <v>5595</v>
      </c>
      <c r="C4170" s="12">
        <v>6854</v>
      </c>
      <c r="D4170" s="7" t="s">
        <v>6353</v>
      </c>
      <c r="E4170" s="13" t="s">
        <v>4996</v>
      </c>
      <c r="F4170" t="str">
        <f t="shared" si="325"/>
        <v>Skillman</v>
      </c>
      <c r="G4170" t="str">
        <f t="shared" si="326"/>
        <v>Skillman6854Dallas</v>
      </c>
      <c r="H4170" t="s">
        <v>35027</v>
      </c>
      <c r="I4170" t="s">
        <v>26450</v>
      </c>
      <c r="J4170" t="str">
        <f t="shared" si="327"/>
        <v>E:\PropInv\MF</v>
      </c>
      <c r="K4170" s="103" t="str">
        <f>HYPERLINK("E:\PropInv\MF\Dallas\Skillman St_6854_Toscana on Skillman_Dallas_14105","Skillman St_6854_Toscana on Skillman_Dallas_14105" )</f>
        <v>Skillman St_6854_Toscana on Skillman_Dallas_14105</v>
      </c>
      <c r="L4170" s="104" t="s">
        <v>22253</v>
      </c>
      <c r="M4170" s="103" t="str">
        <f t="shared" si="328"/>
        <v>http://oconnordata.com/mlink/modules/profile/index.cfm?action=profile&amp;prop_id=14105</v>
      </c>
      <c r="N4170" s="1">
        <f t="shared" si="329"/>
        <v>14105</v>
      </c>
    </row>
    <row r="4171" spans="1:14" x14ac:dyDescent="0.3">
      <c r="A4171" s="1">
        <v>14106</v>
      </c>
      <c r="B4171" s="7" t="s">
        <v>6354</v>
      </c>
      <c r="C4171" s="12">
        <v>1700</v>
      </c>
      <c r="D4171" s="7" t="s">
        <v>6355</v>
      </c>
      <c r="E4171" s="13" t="s">
        <v>5046</v>
      </c>
      <c r="F4171" t="str">
        <f t="shared" si="325"/>
        <v>Northgate</v>
      </c>
      <c r="G4171" t="str">
        <f t="shared" si="326"/>
        <v>Northgate1700Irving</v>
      </c>
      <c r="H4171" t="s">
        <v>35028</v>
      </c>
      <c r="I4171" t="s">
        <v>26451</v>
      </c>
      <c r="J4171" t="str">
        <f t="shared" si="327"/>
        <v>E:\PropInv\MF</v>
      </c>
      <c r="K4171" s="103" t="str">
        <f>HYPERLINK("E:\PropInv\MF\Irving\Northgate Dr E_1700_Tower Village_Irving_14106","Northgate Dr E_1700_Tower Village_Irving_14106" )</f>
        <v>Northgate Dr E_1700_Tower Village_Irving_14106</v>
      </c>
      <c r="L4171" s="104" t="s">
        <v>22253</v>
      </c>
      <c r="M4171" s="103" t="str">
        <f t="shared" si="328"/>
        <v>http://oconnordata.com/mlink/modules/profile/index.cfm?action=profile&amp;prop_id=14106</v>
      </c>
      <c r="N4171" s="1">
        <f t="shared" si="329"/>
        <v>14106</v>
      </c>
    </row>
    <row r="4172" spans="1:14" x14ac:dyDescent="0.3">
      <c r="A4172" s="1">
        <v>14107</v>
      </c>
      <c r="B4172" s="7" t="s">
        <v>6356</v>
      </c>
      <c r="C4172" s="12">
        <v>190</v>
      </c>
      <c r="D4172" s="7" t="s">
        <v>6357</v>
      </c>
      <c r="E4172" s="13" t="s">
        <v>5612</v>
      </c>
      <c r="F4172" t="str">
        <f t="shared" si="325"/>
        <v>Moore</v>
      </c>
      <c r="G4172" t="str">
        <f t="shared" si="326"/>
        <v>Moore190Coppell</v>
      </c>
      <c r="H4172" t="s">
        <v>35029</v>
      </c>
      <c r="I4172" t="s">
        <v>26452</v>
      </c>
      <c r="J4172" t="str">
        <f t="shared" si="327"/>
        <v>E:\PropInv\MF</v>
      </c>
      <c r="K4172" s="103" t="str">
        <f>HYPERLINK("E:\PropInv\MF\Coppell\Moore N_190_Town Creek_Coppell_14107","Moore N_190_Town Creek_Coppell_14107" )</f>
        <v>Moore N_190_Town Creek_Coppell_14107</v>
      </c>
      <c r="L4172" s="104" t="s">
        <v>22253</v>
      </c>
      <c r="M4172" s="103" t="str">
        <f t="shared" si="328"/>
        <v>http://oconnordata.com/mlink/modules/profile/index.cfm?action=profile&amp;prop_id=14107</v>
      </c>
      <c r="N4172" s="1">
        <f t="shared" si="329"/>
        <v>14107</v>
      </c>
    </row>
    <row r="4173" spans="1:14" x14ac:dyDescent="0.3">
      <c r="A4173" s="1">
        <v>14108</v>
      </c>
      <c r="B4173" s="7" t="s">
        <v>6358</v>
      </c>
      <c r="C4173" s="12">
        <v>847</v>
      </c>
      <c r="D4173" s="7" t="s">
        <v>6359</v>
      </c>
      <c r="E4173" s="13" t="s">
        <v>5046</v>
      </c>
      <c r="F4173" t="str">
        <f t="shared" si="325"/>
        <v>Mary</v>
      </c>
      <c r="G4173" t="str">
        <f t="shared" si="326"/>
        <v>Mary847Irving</v>
      </c>
      <c r="H4173" t="s">
        <v>35030</v>
      </c>
      <c r="I4173" t="s">
        <v>26453</v>
      </c>
      <c r="J4173" t="str">
        <f t="shared" si="327"/>
        <v>E:\PropInv\MF</v>
      </c>
      <c r="K4173" s="103" t="str">
        <f>HYPERLINK("E:\PropInv\MF\Irving\Mary Lee_847_Towne Oaks TH_Irving_14108","Mary Lee_847_Towne Oaks TH_Irving_14108" )</f>
        <v>Mary Lee_847_Towne Oaks TH_Irving_14108</v>
      </c>
      <c r="L4173" s="104" t="s">
        <v>22253</v>
      </c>
      <c r="M4173" s="103" t="str">
        <f t="shared" si="328"/>
        <v>http://oconnordata.com/mlink/modules/profile/index.cfm?action=profile&amp;prop_id=14108</v>
      </c>
      <c r="N4173" s="1">
        <f t="shared" si="329"/>
        <v>14108</v>
      </c>
    </row>
    <row r="4174" spans="1:14" x14ac:dyDescent="0.3">
      <c r="A4174" s="1">
        <v>14109</v>
      </c>
      <c r="B4174" s="7" t="s">
        <v>5440</v>
      </c>
      <c r="C4174" s="12">
        <v>4999</v>
      </c>
      <c r="D4174" s="7" t="s">
        <v>6360</v>
      </c>
      <c r="E4174" s="13" t="s">
        <v>4996</v>
      </c>
      <c r="F4174" t="str">
        <f t="shared" si="325"/>
        <v>Buckner</v>
      </c>
      <c r="G4174" t="str">
        <f t="shared" si="326"/>
        <v>Buckner4999Dallas</v>
      </c>
      <c r="H4174" t="s">
        <v>35031</v>
      </c>
      <c r="I4174" t="s">
        <v>26454</v>
      </c>
      <c r="J4174" t="str">
        <f t="shared" si="327"/>
        <v>E:\PropInv\MF</v>
      </c>
      <c r="K4174" s="103" t="str">
        <f>HYPERLINK("E:\PropInv\MF\Dallas\Buckner S_4999_Town View_Dallas_14109","Buckner S_4999_Town View_Dallas_14109" )</f>
        <v>Buckner S_4999_Town View_Dallas_14109</v>
      </c>
      <c r="L4174" s="104" t="s">
        <v>22253</v>
      </c>
      <c r="M4174" s="103" t="str">
        <f t="shared" si="328"/>
        <v>http://oconnordata.com/mlink/modules/profile/index.cfm?action=profile&amp;prop_id=14109</v>
      </c>
      <c r="N4174" s="1">
        <f t="shared" si="329"/>
        <v>14109</v>
      </c>
    </row>
    <row r="4175" spans="1:14" x14ac:dyDescent="0.3">
      <c r="A4175" s="1">
        <v>14110</v>
      </c>
      <c r="B4175" s="7" t="s">
        <v>5322</v>
      </c>
      <c r="C4175" s="12">
        <v>8620</v>
      </c>
      <c r="D4175" s="7" t="s">
        <v>1426</v>
      </c>
      <c r="E4175" s="13" t="s">
        <v>4996</v>
      </c>
      <c r="F4175" t="str">
        <f t="shared" si="325"/>
        <v>Park</v>
      </c>
      <c r="G4175" t="str">
        <f t="shared" si="326"/>
        <v>Park8620Dallas</v>
      </c>
      <c r="H4175" t="s">
        <v>35032</v>
      </c>
      <c r="I4175" t="s">
        <v>26455</v>
      </c>
      <c r="J4175" t="str">
        <f t="shared" si="327"/>
        <v>E:\PropInv\MF</v>
      </c>
      <c r="K4175" s="103" t="str">
        <f>HYPERLINK("E:\PropInv\MF\Dallas\Park Ln_8620_Towne Center_Dallas_14110","Park Ln_8620_Towne Center_Dallas_14110" )</f>
        <v>Park Ln_8620_Towne Center_Dallas_14110</v>
      </c>
      <c r="L4175" s="104" t="s">
        <v>22253</v>
      </c>
      <c r="M4175" s="103" t="str">
        <f t="shared" si="328"/>
        <v>http://oconnordata.com/mlink/modules/profile/index.cfm?action=profile&amp;prop_id=14110</v>
      </c>
      <c r="N4175" s="1">
        <f t="shared" si="329"/>
        <v>14110</v>
      </c>
    </row>
    <row r="4176" spans="1:14" x14ac:dyDescent="0.3">
      <c r="A4176" s="1">
        <v>14111</v>
      </c>
      <c r="B4176" s="7" t="s">
        <v>6321</v>
      </c>
      <c r="C4176" s="12">
        <v>1208</v>
      </c>
      <c r="D4176" s="7" t="s">
        <v>6361</v>
      </c>
      <c r="E4176" s="13" t="s">
        <v>5088</v>
      </c>
      <c r="F4176" t="str">
        <f t="shared" si="325"/>
        <v>Americana</v>
      </c>
      <c r="G4176" t="str">
        <f t="shared" si="326"/>
        <v>Americana1208Mesquite</v>
      </c>
      <c r="H4176" t="s">
        <v>35033</v>
      </c>
      <c r="I4176" t="s">
        <v>26456</v>
      </c>
      <c r="J4176" t="str">
        <f t="shared" si="327"/>
        <v>E:\PropInv\MF</v>
      </c>
      <c r="K4176" s="103" t="str">
        <f>HYPERLINK("E:\PropInv\MF\Mesquite\Americana Ln_1208_Towne Centre Village_Mesquite_14111","Americana Ln_1208_Towne Centre Village_Mesquite_14111" )</f>
        <v>Americana Ln_1208_Towne Centre Village_Mesquite_14111</v>
      </c>
      <c r="L4176" s="104" t="s">
        <v>22253</v>
      </c>
      <c r="M4176" s="103" t="str">
        <f t="shared" si="328"/>
        <v>http://oconnordata.com/mlink/modules/profile/index.cfm?action=profile&amp;prop_id=14111</v>
      </c>
      <c r="N4176" s="1">
        <f t="shared" si="329"/>
        <v>14111</v>
      </c>
    </row>
    <row r="4177" spans="1:14" x14ac:dyDescent="0.3">
      <c r="A4177" s="97">
        <v>14112</v>
      </c>
      <c r="B4177" s="7" t="s">
        <v>6362</v>
      </c>
      <c r="C4177" s="12">
        <v>9633</v>
      </c>
      <c r="D4177" s="7" t="s">
        <v>6363</v>
      </c>
      <c r="E4177" s="13" t="s">
        <v>4996</v>
      </c>
      <c r="F4177" t="str">
        <f t="shared" si="325"/>
        <v>Ferris</v>
      </c>
      <c r="G4177" t="str">
        <f t="shared" si="326"/>
        <v>Ferris9633Dallas</v>
      </c>
      <c r="H4177" t="s">
        <v>35034</v>
      </c>
      <c r="I4177" t="s">
        <v>26457</v>
      </c>
      <c r="J4177" t="str">
        <f t="shared" si="327"/>
        <v>E:\PropInv\MF</v>
      </c>
      <c r="K4177" s="103" t="str">
        <f>HYPERLINK("E:\PropInv\MF\Dallas\Ferris Branch Blvd_9633_Wyndham On The Creek_Dallas_14112","Ferris Branch Blvd_9633_Wyndham On The Creek_Dallas_14112" )</f>
        <v>Ferris Branch Blvd_9633_Wyndham On The Creek_Dallas_14112</v>
      </c>
      <c r="L4177" s="104" t="s">
        <v>22253</v>
      </c>
      <c r="M4177" s="103" t="str">
        <f t="shared" si="328"/>
        <v>http://oconnordata.com/mlink/modules/profile/index.cfm?action=profile&amp;prop_id=14112</v>
      </c>
      <c r="N4177" s="1">
        <f t="shared" si="329"/>
        <v>14112</v>
      </c>
    </row>
    <row r="4178" spans="1:14" x14ac:dyDescent="0.3">
      <c r="A4178" s="1">
        <v>14113</v>
      </c>
      <c r="B4178" s="7" t="s">
        <v>5397</v>
      </c>
      <c r="C4178" s="12">
        <v>4525</v>
      </c>
      <c r="D4178" s="7" t="s">
        <v>6364</v>
      </c>
      <c r="E4178" s="13" t="s">
        <v>5046</v>
      </c>
      <c r="F4178" t="str">
        <f t="shared" si="325"/>
        <v>Pioneer</v>
      </c>
      <c r="G4178" t="str">
        <f t="shared" si="326"/>
        <v>Pioneer4525Irving</v>
      </c>
      <c r="H4178" t="s">
        <v>35035</v>
      </c>
      <c r="I4178" t="s">
        <v>26458</v>
      </c>
      <c r="J4178" t="str">
        <f t="shared" si="327"/>
        <v>E:\PropInv\MF</v>
      </c>
      <c r="K4178" s="103" t="str">
        <f>HYPERLINK("E:\PropInv\MF\Irving\Pioneer W_4525_Towne Lake Village_Irving_14113","Pioneer W_4525_Towne Lake Village_Irving_14113" )</f>
        <v>Pioneer W_4525_Towne Lake Village_Irving_14113</v>
      </c>
      <c r="L4178" s="104" t="s">
        <v>22253</v>
      </c>
      <c r="M4178" s="103" t="str">
        <f t="shared" si="328"/>
        <v>http://oconnordata.com/mlink/modules/profile/index.cfm?action=profile&amp;prop_id=14113</v>
      </c>
      <c r="N4178" s="1">
        <f t="shared" si="329"/>
        <v>14113</v>
      </c>
    </row>
    <row r="4179" spans="1:14" x14ac:dyDescent="0.3">
      <c r="A4179" s="1">
        <v>14114</v>
      </c>
      <c r="B4179" s="7" t="s">
        <v>6365</v>
      </c>
      <c r="C4179" s="12">
        <v>2803</v>
      </c>
      <c r="D4179" s="7" t="s">
        <v>6366</v>
      </c>
      <c r="E4179" s="13" t="s">
        <v>5076</v>
      </c>
      <c r="F4179" t="str">
        <f t="shared" si="325"/>
        <v>Riverside</v>
      </c>
      <c r="G4179" t="str">
        <f t="shared" si="326"/>
        <v>Riverside2803Grand Prairie</v>
      </c>
      <c r="H4179" t="s">
        <v>35036</v>
      </c>
      <c r="I4179" t="s">
        <v>26459</v>
      </c>
      <c r="J4179" t="str">
        <f t="shared" si="327"/>
        <v>E:\PropInv\MF</v>
      </c>
      <c r="K4179" s="103" t="str">
        <f>HYPERLINK("E:\PropInv\MF\Grand Prairie\Riverside Pkwy_2803_Towns of Riverside_Grand Prairie_14114","Riverside Pkwy_2803_Towns of Riverside_Grand Prairie_14114" )</f>
        <v>Riverside Pkwy_2803_Towns of Riverside_Grand Prairie_14114</v>
      </c>
      <c r="L4179" s="104" t="s">
        <v>22253</v>
      </c>
      <c r="M4179" s="103" t="str">
        <f t="shared" si="328"/>
        <v>http://oconnordata.com/mlink/modules/profile/index.cfm?action=profile&amp;prop_id=14114</v>
      </c>
      <c r="N4179" s="1">
        <f t="shared" si="329"/>
        <v>14114</v>
      </c>
    </row>
    <row r="4180" spans="1:14" x14ac:dyDescent="0.3">
      <c r="A4180" s="1">
        <v>14115</v>
      </c>
      <c r="B4180" s="7" t="s">
        <v>6367</v>
      </c>
      <c r="C4180" s="12">
        <v>2136</v>
      </c>
      <c r="D4180" s="7" t="s">
        <v>4573</v>
      </c>
      <c r="E4180" s="13" t="s">
        <v>5088</v>
      </c>
      <c r="F4180" t="str">
        <f t="shared" si="325"/>
        <v>Trade</v>
      </c>
      <c r="G4180" t="str">
        <f t="shared" si="326"/>
        <v>Trade2136Mesquite</v>
      </c>
      <c r="H4180" t="s">
        <v>35037</v>
      </c>
      <c r="I4180" t="s">
        <v>26460</v>
      </c>
      <c r="J4180" t="str">
        <f t="shared" si="327"/>
        <v>E:\PropInv\MF</v>
      </c>
      <c r="K4180" s="103" t="str">
        <f>HYPERLINK("E:\PropInv\MF\Mesquite\Trade Wind Dr_2136_Trade Winds_Mesquite_14115","Trade Wind Dr_2136_Trade Winds_Mesquite_14115" )</f>
        <v>Trade Wind Dr_2136_Trade Winds_Mesquite_14115</v>
      </c>
      <c r="L4180" s="104" t="s">
        <v>22253</v>
      </c>
      <c r="M4180" s="103" t="str">
        <f t="shared" si="328"/>
        <v>http://oconnordata.com/mlink/modules/profile/index.cfm?action=profile&amp;prop_id=14115</v>
      </c>
      <c r="N4180" s="1">
        <f t="shared" si="329"/>
        <v>14115</v>
      </c>
    </row>
    <row r="4181" spans="1:14" x14ac:dyDescent="0.3">
      <c r="A4181" s="1">
        <v>14116</v>
      </c>
      <c r="B4181" s="7" t="s">
        <v>6368</v>
      </c>
      <c r="C4181" s="12">
        <v>3109</v>
      </c>
      <c r="D4181" s="7" t="s">
        <v>6369</v>
      </c>
      <c r="E4181" s="13" t="s">
        <v>4996</v>
      </c>
      <c r="F4181" t="str">
        <f t="shared" si="325"/>
        <v>Chapel</v>
      </c>
      <c r="G4181" t="str">
        <f t="shared" si="326"/>
        <v>Chapel3109Dallas</v>
      </c>
      <c r="H4181" t="s">
        <v>35038</v>
      </c>
      <c r="I4181" t="s">
        <v>26461</v>
      </c>
      <c r="J4181" t="str">
        <f t="shared" si="327"/>
        <v>E:\PropInv\MF</v>
      </c>
      <c r="K4181" s="103" t="str">
        <f>HYPERLINK("E:\PropInv\MF\Dallas\Chapel Creek_3109_Spanish Creek_Dallas_14116","Chapel Creek_3109_Spanish Creek_Dallas_14116" )</f>
        <v>Chapel Creek_3109_Spanish Creek_Dallas_14116</v>
      </c>
      <c r="L4181" s="104" t="s">
        <v>22253</v>
      </c>
      <c r="M4181" s="103" t="str">
        <f t="shared" si="328"/>
        <v>http://oconnordata.com/mlink/modules/profile/index.cfm?action=profile&amp;prop_id=14116</v>
      </c>
      <c r="N4181" s="1">
        <f t="shared" si="329"/>
        <v>14116</v>
      </c>
    </row>
    <row r="4182" spans="1:14" x14ac:dyDescent="0.3">
      <c r="A4182" s="1">
        <v>14117</v>
      </c>
      <c r="B4182" s="7" t="s">
        <v>5671</v>
      </c>
      <c r="C4182" s="12">
        <v>9478</v>
      </c>
      <c r="D4182" s="7" t="s">
        <v>6370</v>
      </c>
      <c r="E4182" s="13" t="s">
        <v>5046</v>
      </c>
      <c r="F4182" t="str">
        <f t="shared" si="325"/>
        <v>Valley</v>
      </c>
      <c r="G4182" t="str">
        <f t="shared" si="326"/>
        <v>Valley9478Irving</v>
      </c>
      <c r="H4182" t="s">
        <v>35039</v>
      </c>
      <c r="I4182" t="s">
        <v>26462</v>
      </c>
      <c r="J4182" t="str">
        <f t="shared" si="327"/>
        <v>E:\PropInv\MF</v>
      </c>
      <c r="K4182" s="103" t="str">
        <f>HYPERLINK("E:\PropInv\MF\Irving\Valley Ranch Pkwy E_9478_The Trails of Valley Ranch_Irving_14117","Valley Ranch Pkwy E_9478_The Trails of Valley Ranch_Irving_14117" )</f>
        <v>Valley Ranch Pkwy E_9478_The Trails of Valley Ranch_Irving_14117</v>
      </c>
      <c r="L4182" s="104" t="s">
        <v>22253</v>
      </c>
      <c r="M4182" s="103" t="str">
        <f t="shared" si="328"/>
        <v>http://oconnordata.com/mlink/modules/profile/index.cfm?action=profile&amp;prop_id=14117</v>
      </c>
      <c r="N4182" s="1">
        <f t="shared" si="329"/>
        <v>14117</v>
      </c>
    </row>
    <row r="4183" spans="1:14" x14ac:dyDescent="0.3">
      <c r="A4183" s="1">
        <v>14119</v>
      </c>
      <c r="B4183" s="21" t="s">
        <v>6371</v>
      </c>
      <c r="C4183" s="12">
        <v>1933</v>
      </c>
      <c r="D4183" s="7" t="s">
        <v>6372</v>
      </c>
      <c r="E4183" s="13" t="s">
        <v>5076</v>
      </c>
      <c r="F4183" t="str">
        <f t="shared" si="325"/>
        <v>W</v>
      </c>
      <c r="G4183" t="str">
        <f t="shared" si="326"/>
        <v>W1933Grand Prairie</v>
      </c>
      <c r="H4183" t="s">
        <v>35040</v>
      </c>
      <c r="I4183" t="s">
        <v>26463</v>
      </c>
      <c r="J4183" t="str">
        <f t="shared" si="327"/>
        <v>E:\PropInv\MF</v>
      </c>
      <c r="K4183" s="103" t="str">
        <f>HYPERLINK("E:\PropInv\MF\Grand Prairie\W Fwy_1933_Tree Top_Grand Prairie_14119","W Fwy_1933_Tree Top_Grand Prairie_14119" )</f>
        <v>W Fwy_1933_Tree Top_Grand Prairie_14119</v>
      </c>
      <c r="L4183" s="104" t="s">
        <v>22253</v>
      </c>
      <c r="M4183" s="103" t="str">
        <f t="shared" si="328"/>
        <v>http://oconnordata.com/mlink/modules/profile/index.cfm?action=profile&amp;prop_id=14119</v>
      </c>
      <c r="N4183" s="1">
        <f t="shared" si="329"/>
        <v>14119</v>
      </c>
    </row>
    <row r="4184" spans="1:14" x14ac:dyDescent="0.3">
      <c r="A4184" s="1">
        <v>14120</v>
      </c>
      <c r="B4184" s="7" t="s">
        <v>1472</v>
      </c>
      <c r="C4184" s="12">
        <v>3203</v>
      </c>
      <c r="D4184" s="7" t="s">
        <v>581</v>
      </c>
      <c r="E4184" s="13" t="s">
        <v>5046</v>
      </c>
      <c r="F4184" t="str">
        <f t="shared" si="325"/>
        <v>Walnut</v>
      </c>
      <c r="G4184" t="str">
        <f t="shared" si="326"/>
        <v>Walnut3203Irving</v>
      </c>
      <c r="H4184" t="s">
        <v>35041</v>
      </c>
      <c r="I4184" t="s">
        <v>26464</v>
      </c>
      <c r="J4184" t="str">
        <f t="shared" si="327"/>
        <v>E:\PropInv\MF</v>
      </c>
      <c r="K4184" s="103" t="str">
        <f>HYPERLINK("E:\PropInv\MF\Irving\Walnut Hill_3203_Treehouse_Irving_14120","Walnut Hill_3203_Treehouse_Irving_14120" )</f>
        <v>Walnut Hill_3203_Treehouse_Irving_14120</v>
      </c>
      <c r="L4184" s="104" t="s">
        <v>22253</v>
      </c>
      <c r="M4184" s="103" t="str">
        <f t="shared" si="328"/>
        <v>http://oconnordata.com/mlink/modules/profile/index.cfm?action=profile&amp;prop_id=14120</v>
      </c>
      <c r="N4184" s="1">
        <f t="shared" si="329"/>
        <v>14120</v>
      </c>
    </row>
    <row r="4185" spans="1:14" x14ac:dyDescent="0.3">
      <c r="A4185" s="1">
        <v>14121</v>
      </c>
      <c r="B4185" s="7" t="s">
        <v>6373</v>
      </c>
      <c r="C4185" s="12">
        <v>4207</v>
      </c>
      <c r="D4185" s="7" t="s">
        <v>6374</v>
      </c>
      <c r="E4185" s="13" t="s">
        <v>4996</v>
      </c>
      <c r="F4185" t="str">
        <f t="shared" si="325"/>
        <v>Bowser</v>
      </c>
      <c r="G4185" t="str">
        <f t="shared" si="326"/>
        <v>Bowser4207Dallas</v>
      </c>
      <c r="H4185" t="s">
        <v>35042</v>
      </c>
      <c r="I4185" t="s">
        <v>26465</v>
      </c>
      <c r="J4185" t="str">
        <f t="shared" si="327"/>
        <v>E:\PropInv\MF</v>
      </c>
      <c r="K4185" s="103" t="str">
        <f>HYPERLINK("E:\PropInv\MF\Dallas\Bowser_4207_Treetop_Dallas_14121","Bowser_4207_Treetop_Dallas_14121" )</f>
        <v>Bowser_4207_Treetop_Dallas_14121</v>
      </c>
      <c r="L4185" s="104" t="s">
        <v>22253</v>
      </c>
      <c r="M4185" s="103" t="str">
        <f t="shared" si="328"/>
        <v>http://oconnordata.com/mlink/modules/profile/index.cfm?action=profile&amp;prop_id=14121</v>
      </c>
      <c r="N4185" s="1">
        <f t="shared" si="329"/>
        <v>14121</v>
      </c>
    </row>
    <row r="4186" spans="1:14" x14ac:dyDescent="0.3">
      <c r="A4186" s="1">
        <v>14122</v>
      </c>
      <c r="B4186" s="7" t="s">
        <v>3171</v>
      </c>
      <c r="C4186" s="12">
        <v>7222</v>
      </c>
      <c r="D4186" s="7" t="s">
        <v>1988</v>
      </c>
      <c r="E4186" s="13" t="s">
        <v>4996</v>
      </c>
      <c r="F4186" t="str">
        <f t="shared" si="325"/>
        <v>Fair</v>
      </c>
      <c r="G4186" t="str">
        <f t="shared" si="326"/>
        <v>Fair7222Dallas</v>
      </c>
      <c r="H4186" t="s">
        <v>35043</v>
      </c>
      <c r="I4186" t="s">
        <v>26466</v>
      </c>
      <c r="J4186" t="str">
        <f t="shared" si="327"/>
        <v>E:\PropInv\MF</v>
      </c>
      <c r="K4186" s="103" t="str">
        <f>HYPERLINK("E:\PropInv\MF\Dallas\Fair Oaks_7222_Casa Verde_Dallas_14122","Fair Oaks_7222_Casa Verde_Dallas_14122" )</f>
        <v>Fair Oaks_7222_Casa Verde_Dallas_14122</v>
      </c>
      <c r="L4186" s="104" t="s">
        <v>22253</v>
      </c>
      <c r="M4186" s="103" t="str">
        <f t="shared" si="328"/>
        <v>http://oconnordata.com/mlink/modules/profile/index.cfm?action=profile&amp;prop_id=14122</v>
      </c>
      <c r="N4186" s="1">
        <f t="shared" si="329"/>
        <v>14122</v>
      </c>
    </row>
    <row r="4187" spans="1:14" x14ac:dyDescent="0.3">
      <c r="A4187" s="1">
        <v>14123</v>
      </c>
      <c r="B4187" s="7" t="s">
        <v>6375</v>
      </c>
      <c r="C4187" s="12">
        <v>4144</v>
      </c>
      <c r="D4187" s="7" t="s">
        <v>6376</v>
      </c>
      <c r="E4187" s="13" t="s">
        <v>4996</v>
      </c>
      <c r="F4187" t="str">
        <f t="shared" si="325"/>
        <v>Office</v>
      </c>
      <c r="G4187" t="str">
        <f t="shared" si="326"/>
        <v>Office4144Dallas</v>
      </c>
      <c r="H4187" t="s">
        <v>35044</v>
      </c>
      <c r="I4187" t="s">
        <v>26467</v>
      </c>
      <c r="J4187" t="str">
        <f t="shared" si="327"/>
        <v>E:\PropInv\MF</v>
      </c>
      <c r="K4187" s="103" t="str">
        <f>HYPERLINK("E:\PropInv\MF\Dallas\Office Pkwy_4144_Treymore North_Dallas_14123","Office Pkwy_4144_Treymore North_Dallas_14123" )</f>
        <v>Office Pkwy_4144_Treymore North_Dallas_14123</v>
      </c>
      <c r="L4187" s="104" t="s">
        <v>22253</v>
      </c>
      <c r="M4187" s="103" t="str">
        <f t="shared" si="328"/>
        <v>http://oconnordata.com/mlink/modules/profile/index.cfm?action=profile&amp;prop_id=14123</v>
      </c>
      <c r="N4187" s="1">
        <f t="shared" si="329"/>
        <v>14123</v>
      </c>
    </row>
    <row r="4188" spans="1:14" x14ac:dyDescent="0.3">
      <c r="A4188" s="1">
        <v>14124</v>
      </c>
      <c r="B4188" s="7" t="s">
        <v>6377</v>
      </c>
      <c r="C4188" s="12">
        <v>2101</v>
      </c>
      <c r="D4188" s="7" t="s">
        <v>6378</v>
      </c>
      <c r="E4188" s="13" t="s">
        <v>4996</v>
      </c>
      <c r="F4188" t="str">
        <f t="shared" si="325"/>
        <v>Haskell</v>
      </c>
      <c r="G4188" t="str">
        <f t="shared" si="326"/>
        <v>Haskell2101Dallas</v>
      </c>
      <c r="H4188" t="s">
        <v>35045</v>
      </c>
      <c r="I4188" t="s">
        <v>26468</v>
      </c>
      <c r="J4188" t="str">
        <f t="shared" si="327"/>
        <v>E:\PropInv\MF</v>
      </c>
      <c r="K4188" s="103" t="str">
        <f>HYPERLINK("E:\PropInv\MF\Dallas\Haskell_2101_Treymore at City Place_Dallas_14124","Haskell_2101_Treymore at City Place_Dallas_14124" )</f>
        <v>Haskell_2101_Treymore at City Place_Dallas_14124</v>
      </c>
      <c r="L4188" s="104" t="s">
        <v>22253</v>
      </c>
      <c r="M4188" s="103" t="str">
        <f t="shared" si="328"/>
        <v>http://oconnordata.com/mlink/modules/profile/index.cfm?action=profile&amp;prop_id=14124</v>
      </c>
      <c r="N4188" s="1">
        <f t="shared" si="329"/>
        <v>14124</v>
      </c>
    </row>
    <row r="4189" spans="1:14" x14ac:dyDescent="0.3">
      <c r="A4189" s="1">
        <v>14125</v>
      </c>
      <c r="B4189" s="7" t="s">
        <v>6379</v>
      </c>
      <c r="C4189" s="12">
        <v>901</v>
      </c>
      <c r="D4189" s="7" t="s">
        <v>6380</v>
      </c>
      <c r="E4189" s="13" t="s">
        <v>5043</v>
      </c>
      <c r="F4189" t="str">
        <f t="shared" si="325"/>
        <v>Wilson</v>
      </c>
      <c r="G4189" t="str">
        <f t="shared" si="326"/>
        <v>Wilson901McKinney</v>
      </c>
      <c r="H4189" t="s">
        <v>35046</v>
      </c>
      <c r="I4189" t="s">
        <v>26469</v>
      </c>
      <c r="J4189" t="str">
        <f t="shared" si="327"/>
        <v>E:\PropInv\MF</v>
      </c>
      <c r="K4189" s="103" t="str">
        <f>HYPERLINK("E:\PropInv\MF\McKinney\Wilson Creek_901_Treymore in McKinney_McKinney_14125","Wilson Creek_901_Treymore in McKinney_McKinney_14125" )</f>
        <v>Wilson Creek_901_Treymore in McKinney_McKinney_14125</v>
      </c>
      <c r="L4189" s="104" t="s">
        <v>22253</v>
      </c>
      <c r="M4189" s="103" t="str">
        <f t="shared" si="328"/>
        <v>http://oconnordata.com/mlink/modules/profile/index.cfm?action=profile&amp;prop_id=14125</v>
      </c>
      <c r="N4189" s="1">
        <f t="shared" si="329"/>
        <v>14125</v>
      </c>
    </row>
    <row r="4190" spans="1:14" x14ac:dyDescent="0.3">
      <c r="A4190" s="1">
        <v>14126</v>
      </c>
      <c r="B4190" s="7" t="s">
        <v>5181</v>
      </c>
      <c r="C4190" s="12">
        <v>2631</v>
      </c>
      <c r="D4190" s="7" t="s">
        <v>6381</v>
      </c>
      <c r="E4190" s="13" t="s">
        <v>4996</v>
      </c>
      <c r="F4190" t="str">
        <f t="shared" si="325"/>
        <v>John</v>
      </c>
      <c r="G4190" t="str">
        <f t="shared" si="326"/>
        <v>John2631Dallas</v>
      </c>
      <c r="H4190" t="s">
        <v>35047</v>
      </c>
      <c r="I4190" t="s">
        <v>26470</v>
      </c>
      <c r="J4190" t="str">
        <f t="shared" si="327"/>
        <v>E:\PropInv\MF</v>
      </c>
      <c r="K4190" s="103" t="str">
        <f>HYPERLINK("E:\PropInv\MF\Dallas\John Rd W_2631_Treymore at Eastfield_Dallas_14126","John Rd W_2631_Treymore at Eastfield_Dallas_14126" )</f>
        <v>John Rd W_2631_Treymore at Eastfield_Dallas_14126</v>
      </c>
      <c r="L4190" s="104" t="s">
        <v>22253</v>
      </c>
      <c r="M4190" s="103" t="str">
        <f t="shared" si="328"/>
        <v>http://oconnordata.com/mlink/modules/profile/index.cfm?action=profile&amp;prop_id=14126</v>
      </c>
      <c r="N4190" s="1">
        <f t="shared" si="329"/>
        <v>14126</v>
      </c>
    </row>
    <row r="4191" spans="1:14" x14ac:dyDescent="0.3">
      <c r="A4191" s="1">
        <v>14127</v>
      </c>
      <c r="B4191" s="7" t="s">
        <v>5639</v>
      </c>
      <c r="C4191" s="12">
        <v>1147</v>
      </c>
      <c r="D4191" s="7" t="s">
        <v>6382</v>
      </c>
      <c r="E4191" s="13" t="s">
        <v>5046</v>
      </c>
      <c r="F4191" t="str">
        <f t="shared" si="325"/>
        <v>Esters</v>
      </c>
      <c r="G4191" t="str">
        <f t="shared" si="326"/>
        <v>Esters1147Irving</v>
      </c>
      <c r="H4191" t="s">
        <v>35048</v>
      </c>
      <c r="I4191" t="s">
        <v>26471</v>
      </c>
      <c r="J4191" t="str">
        <f t="shared" si="327"/>
        <v>E:\PropInv\MF</v>
      </c>
      <c r="K4191" s="103" t="str">
        <f>HYPERLINK("E:\PropInv\MF\Irving\Esters_1147_Trinity_Irving_14127","Esters_1147_Trinity_Irving_14127" )</f>
        <v>Esters_1147_Trinity_Irving_14127</v>
      </c>
      <c r="L4191" s="104" t="s">
        <v>22253</v>
      </c>
      <c r="M4191" s="103" t="str">
        <f t="shared" si="328"/>
        <v>http://oconnordata.com/mlink/modules/profile/index.cfm?action=profile&amp;prop_id=14127</v>
      </c>
      <c r="N4191" s="1">
        <f t="shared" si="329"/>
        <v>14127</v>
      </c>
    </row>
    <row r="4192" spans="1:14" x14ac:dyDescent="0.3">
      <c r="A4192" s="1">
        <v>14128</v>
      </c>
      <c r="B4192" s="7" t="s">
        <v>6176</v>
      </c>
      <c r="C4192" s="12">
        <v>9696</v>
      </c>
      <c r="D4192" s="7" t="s">
        <v>6383</v>
      </c>
      <c r="E4192" s="13" t="s">
        <v>4996</v>
      </c>
      <c r="F4192" t="str">
        <f t="shared" si="325"/>
        <v>Walnut</v>
      </c>
      <c r="G4192" t="str">
        <f t="shared" si="326"/>
        <v>Walnut9696Dallas</v>
      </c>
      <c r="H4192" t="s">
        <v>35049</v>
      </c>
      <c r="I4192" t="s">
        <v>26472</v>
      </c>
      <c r="J4192" t="str">
        <f t="shared" si="327"/>
        <v>E:\PropInv\MF</v>
      </c>
      <c r="K4192" s="103" t="str">
        <f>HYPERLINK("E:\PropInv\MF\Dallas\Walnut St_9696_Trinity Meadows_Dallas_14128","Walnut St_9696_Trinity Meadows_Dallas_14128" )</f>
        <v>Walnut St_9696_Trinity Meadows_Dallas_14128</v>
      </c>
      <c r="L4192" s="104" t="s">
        <v>22253</v>
      </c>
      <c r="M4192" s="103" t="str">
        <f t="shared" si="328"/>
        <v>http://oconnordata.com/mlink/modules/profile/index.cfm?action=profile&amp;prop_id=14128</v>
      </c>
      <c r="N4192" s="1">
        <f t="shared" si="329"/>
        <v>14128</v>
      </c>
    </row>
    <row r="4193" spans="1:14" x14ac:dyDescent="0.3">
      <c r="A4193" s="1">
        <v>14129</v>
      </c>
      <c r="B4193" s="10" t="s">
        <v>6384</v>
      </c>
      <c r="C4193" s="9">
        <v>2750</v>
      </c>
      <c r="D4193" s="10" t="s">
        <v>5219</v>
      </c>
      <c r="E4193" s="11" t="s">
        <v>5060</v>
      </c>
      <c r="F4193" t="str">
        <f t="shared" si="325"/>
        <v>Trinity</v>
      </c>
      <c r="G4193" t="str">
        <f t="shared" si="326"/>
        <v>Trinity2750Carrollton</v>
      </c>
      <c r="H4193" t="s">
        <v>35050</v>
      </c>
      <c r="I4193" t="s">
        <v>26473</v>
      </c>
      <c r="J4193" t="str">
        <f t="shared" si="327"/>
        <v>E:\PropInv\MF</v>
      </c>
      <c r="K4193" s="103" t="str">
        <f>HYPERLINK("E:\PropInv\MF\Carrollton\Trinity Mills Rd_2750_Trinity Mills_Carrollton_14129","Trinity Mills Rd_2750_Trinity Mills_Carrollton_14129" )</f>
        <v>Trinity Mills Rd_2750_Trinity Mills_Carrollton_14129</v>
      </c>
      <c r="L4193" s="104" t="s">
        <v>22253</v>
      </c>
      <c r="M4193" s="103" t="str">
        <f t="shared" si="328"/>
        <v>http://oconnordata.com/mlink/modules/profile/index.cfm?action=profile&amp;prop_id=14129</v>
      </c>
      <c r="N4193" s="1">
        <f t="shared" si="329"/>
        <v>14129</v>
      </c>
    </row>
    <row r="4194" spans="1:14" x14ac:dyDescent="0.3">
      <c r="A4194" s="1">
        <v>14130</v>
      </c>
      <c r="B4194" s="10" t="s">
        <v>6289</v>
      </c>
      <c r="C4194" s="9">
        <v>17617</v>
      </c>
      <c r="D4194" s="10" t="s">
        <v>6385</v>
      </c>
      <c r="E4194" s="11" t="s">
        <v>4996</v>
      </c>
      <c r="F4194" t="str">
        <f t="shared" si="325"/>
        <v>Midway</v>
      </c>
      <c r="G4194" t="str">
        <f t="shared" si="326"/>
        <v>Midway17617Dallas</v>
      </c>
      <c r="H4194" t="s">
        <v>35051</v>
      </c>
      <c r="I4194" t="s">
        <v>26474</v>
      </c>
      <c r="J4194" t="str">
        <f t="shared" si="327"/>
        <v>E:\PropInv\MF</v>
      </c>
      <c r="K4194" s="103" t="str">
        <f>HYPERLINK("E:\PropInv\MF\Dallas\Midway Rd_17617_Trinity Oaks_Dallas_14130","Midway Rd_17617_Trinity Oaks_Dallas_14130" )</f>
        <v>Midway Rd_17617_Trinity Oaks_Dallas_14130</v>
      </c>
      <c r="L4194" s="104" t="s">
        <v>22253</v>
      </c>
      <c r="M4194" s="103" t="str">
        <f t="shared" si="328"/>
        <v>http://oconnordata.com/mlink/modules/profile/index.cfm?action=profile&amp;prop_id=14130</v>
      </c>
      <c r="N4194" s="1">
        <f t="shared" si="329"/>
        <v>14130</v>
      </c>
    </row>
    <row r="4195" spans="1:14" x14ac:dyDescent="0.3">
      <c r="A4195" s="1">
        <v>14131</v>
      </c>
      <c r="B4195" s="7" t="s">
        <v>6386</v>
      </c>
      <c r="C4195" s="12">
        <v>4709</v>
      </c>
      <c r="D4195" s="7" t="s">
        <v>6387</v>
      </c>
      <c r="E4195" s="13" t="s">
        <v>5088</v>
      </c>
      <c r="F4195" t="str">
        <f t="shared" si="325"/>
        <v>Samuel</v>
      </c>
      <c r="G4195" t="str">
        <f t="shared" si="326"/>
        <v>Samuel4709Mesquite</v>
      </c>
      <c r="H4195" t="s">
        <v>35052</v>
      </c>
      <c r="I4195" t="s">
        <v>26475</v>
      </c>
      <c r="J4195" t="str">
        <f t="shared" si="327"/>
        <v>E:\PropInv\MF</v>
      </c>
      <c r="K4195" s="103" t="str">
        <f>HYPERLINK("E:\PropInv\MF\Mesquite\Samuel Blvd_4709_Trinity Place_Mesquite_14131","Samuel Blvd_4709_Trinity Place_Mesquite_14131" )</f>
        <v>Samuel Blvd_4709_Trinity Place_Mesquite_14131</v>
      </c>
      <c r="L4195" s="104" t="s">
        <v>22253</v>
      </c>
      <c r="M4195" s="103" t="str">
        <f t="shared" si="328"/>
        <v>http://oconnordata.com/mlink/modules/profile/index.cfm?action=profile&amp;prop_id=14131</v>
      </c>
      <c r="N4195" s="1">
        <f t="shared" si="329"/>
        <v>14131</v>
      </c>
    </row>
    <row r="4196" spans="1:14" x14ac:dyDescent="0.3">
      <c r="A4196" s="1">
        <v>14132</v>
      </c>
      <c r="B4196" s="7" t="s">
        <v>5219</v>
      </c>
      <c r="C4196" s="12">
        <v>4350</v>
      </c>
      <c r="D4196" s="7" t="s">
        <v>6388</v>
      </c>
      <c r="E4196" s="13" t="s">
        <v>4996</v>
      </c>
      <c r="F4196" t="str">
        <f t="shared" si="325"/>
        <v>Trinity</v>
      </c>
      <c r="G4196" t="str">
        <f t="shared" si="326"/>
        <v>Trinity4350Dallas</v>
      </c>
      <c r="H4196" t="s">
        <v>35053</v>
      </c>
      <c r="I4196" t="s">
        <v>26476</v>
      </c>
      <c r="J4196" t="str">
        <f t="shared" si="327"/>
        <v>E:\PropInv\MF</v>
      </c>
      <c r="K4196" s="103" t="str">
        <f>HYPERLINK("E:\PropInv\MF\Dallas\Trinity Mills_4350_Trinity Square_Dallas_14132","Trinity Mills_4350_Trinity Square_Dallas_14132" )</f>
        <v>Trinity Mills_4350_Trinity Square_Dallas_14132</v>
      </c>
      <c r="L4196" s="104" t="s">
        <v>22253</v>
      </c>
      <c r="M4196" s="103" t="str">
        <f t="shared" si="328"/>
        <v>http://oconnordata.com/mlink/modules/profile/index.cfm?action=profile&amp;prop_id=14132</v>
      </c>
      <c r="N4196" s="1">
        <f t="shared" si="329"/>
        <v>14132</v>
      </c>
    </row>
    <row r="4197" spans="1:14" x14ac:dyDescent="0.3">
      <c r="A4197" s="1">
        <v>14133</v>
      </c>
      <c r="B4197" s="7" t="s">
        <v>6389</v>
      </c>
      <c r="C4197" s="12">
        <v>1635</v>
      </c>
      <c r="D4197" s="7" t="s">
        <v>6390</v>
      </c>
      <c r="E4197" s="13" t="s">
        <v>5046</v>
      </c>
      <c r="F4197" t="str">
        <f t="shared" si="325"/>
        <v>Darr</v>
      </c>
      <c r="G4197" t="str">
        <f t="shared" si="326"/>
        <v>Darr1635Irving</v>
      </c>
      <c r="H4197" t="s">
        <v>35054</v>
      </c>
      <c r="I4197" t="s">
        <v>26477</v>
      </c>
      <c r="J4197" t="str">
        <f t="shared" si="327"/>
        <v>E:\PropInv\MF</v>
      </c>
      <c r="K4197" s="103" t="str">
        <f>HYPERLINK("E:\PropInv\MF\Irving\Darr St_1635_Tu Casa TH_Irving_14133","Darr St_1635_Tu Casa TH_Irving_14133" )</f>
        <v>Darr St_1635_Tu Casa TH_Irving_14133</v>
      </c>
      <c r="L4197" s="104" t="s">
        <v>22253</v>
      </c>
      <c r="M4197" s="103" t="str">
        <f t="shared" si="328"/>
        <v>http://oconnordata.com/mlink/modules/profile/index.cfm?action=profile&amp;prop_id=14133</v>
      </c>
      <c r="N4197" s="1">
        <f t="shared" si="329"/>
        <v>14133</v>
      </c>
    </row>
    <row r="4198" spans="1:14" x14ac:dyDescent="0.3">
      <c r="A4198" s="97">
        <v>14134</v>
      </c>
      <c r="B4198" s="7" t="s">
        <v>6391</v>
      </c>
      <c r="C4198" s="12">
        <v>2217</v>
      </c>
      <c r="D4198" s="7" t="s">
        <v>6392</v>
      </c>
      <c r="E4198" s="13" t="s">
        <v>4996</v>
      </c>
      <c r="F4198" t="str">
        <f t="shared" si="325"/>
        <v>Ivan</v>
      </c>
      <c r="G4198" t="str">
        <f t="shared" si="326"/>
        <v>Ivan2217Dallas</v>
      </c>
      <c r="H4198" t="s">
        <v>35055</v>
      </c>
      <c r="I4198" t="s">
        <v>26478</v>
      </c>
      <c r="J4198" t="str">
        <f t="shared" si="327"/>
        <v>E:\PropInv\MF</v>
      </c>
      <c r="K4198" s="103" t="str">
        <f>HYPERLINK("E:\PropInv\MF\Dallas\Ivan St_2217_Windsor at Turtle Creek_Dallas_14134","Ivan St_2217_Windsor at Turtle Creek_Dallas_14134" )</f>
        <v>Ivan St_2217_Windsor at Turtle Creek_Dallas_14134</v>
      </c>
      <c r="L4198" s="104" t="s">
        <v>22253</v>
      </c>
      <c r="M4198" s="103" t="str">
        <f t="shared" si="328"/>
        <v>http://oconnordata.com/mlink/modules/profile/index.cfm?action=profile&amp;prop_id=14134</v>
      </c>
      <c r="N4198" s="1">
        <f t="shared" si="329"/>
        <v>14134</v>
      </c>
    </row>
    <row r="4199" spans="1:14" x14ac:dyDescent="0.3">
      <c r="A4199" s="1">
        <v>14135</v>
      </c>
      <c r="B4199" s="7" t="s">
        <v>6393</v>
      </c>
      <c r="C4199" s="12">
        <v>3516</v>
      </c>
      <c r="D4199" s="7" t="s">
        <v>6394</v>
      </c>
      <c r="E4199" s="13" t="s">
        <v>4996</v>
      </c>
      <c r="F4199" t="str">
        <f t="shared" si="325"/>
        <v>Matilda</v>
      </c>
      <c r="G4199" t="str">
        <f t="shared" si="326"/>
        <v>Matilda3516Dallas</v>
      </c>
      <c r="H4199" t="s">
        <v>35056</v>
      </c>
      <c r="I4199" t="s">
        <v>26479</v>
      </c>
      <c r="J4199" t="str">
        <f t="shared" si="327"/>
        <v>E:\PropInv\MF</v>
      </c>
      <c r="K4199" s="103" t="str">
        <f>HYPERLINK("E:\PropInv\MF\Dallas\Matilda_3516_Turtle Dove_Dallas_14135","Matilda_3516_Turtle Dove_Dallas_14135" )</f>
        <v>Matilda_3516_Turtle Dove_Dallas_14135</v>
      </c>
      <c r="L4199" s="104" t="s">
        <v>22253</v>
      </c>
      <c r="M4199" s="103" t="str">
        <f t="shared" si="328"/>
        <v>http://oconnordata.com/mlink/modules/profile/index.cfm?action=profile&amp;prop_id=14135</v>
      </c>
      <c r="N4199" s="1">
        <f t="shared" si="329"/>
        <v>14135</v>
      </c>
    </row>
    <row r="4200" spans="1:14" x14ac:dyDescent="0.3">
      <c r="A4200" s="1">
        <v>14136</v>
      </c>
      <c r="B4200" s="7" t="s">
        <v>6209</v>
      </c>
      <c r="C4200" s="12">
        <v>4111</v>
      </c>
      <c r="D4200" s="7" t="s">
        <v>6395</v>
      </c>
      <c r="E4200" s="13" t="s">
        <v>5014</v>
      </c>
      <c r="F4200" t="str">
        <f t="shared" si="325"/>
        <v>Newton</v>
      </c>
      <c r="G4200" t="str">
        <f t="shared" si="326"/>
        <v>Newton4111Fort Worth</v>
      </c>
      <c r="H4200" t="s">
        <v>35057</v>
      </c>
      <c r="I4200" t="s">
        <v>26480</v>
      </c>
      <c r="J4200" t="str">
        <f t="shared" si="327"/>
        <v>E:\PropInv\MF</v>
      </c>
      <c r="K4200" s="103" t="str">
        <f>HYPERLINK("E:\PropInv\MF\Fort Worth\Newton_4111_Turtle Oaks_Fort Worth_14136","Newton_4111_Turtle Oaks_Fort Worth_14136" )</f>
        <v>Newton_4111_Turtle Oaks_Fort Worth_14136</v>
      </c>
      <c r="L4200" s="104" t="s">
        <v>22253</v>
      </c>
      <c r="M4200" s="103" t="str">
        <f t="shared" si="328"/>
        <v>http://oconnordata.com/mlink/modules/profile/index.cfm?action=profile&amp;prop_id=14136</v>
      </c>
      <c r="N4200" s="1">
        <f t="shared" si="329"/>
        <v>14136</v>
      </c>
    </row>
    <row r="4201" spans="1:14" x14ac:dyDescent="0.3">
      <c r="A4201" s="1">
        <v>14137</v>
      </c>
      <c r="B4201" s="7" t="s">
        <v>6396</v>
      </c>
      <c r="C4201" s="12">
        <v>13731</v>
      </c>
      <c r="D4201" s="7" t="s">
        <v>6397</v>
      </c>
      <c r="E4201" s="13" t="s">
        <v>4996</v>
      </c>
      <c r="F4201" t="str">
        <f t="shared" si="325"/>
        <v>Goldmark</v>
      </c>
      <c r="G4201" t="str">
        <f t="shared" si="326"/>
        <v>Goldmark13731Dallas</v>
      </c>
      <c r="H4201" t="s">
        <v>35058</v>
      </c>
      <c r="I4201" t="s">
        <v>26481</v>
      </c>
      <c r="J4201" t="str">
        <f t="shared" si="327"/>
        <v>E:\PropInv\MF</v>
      </c>
      <c r="K4201" s="103" t="str">
        <f>HYPERLINK("E:\PropInv\MF\Dallas\Goldmark Dr_13731_Tuscany at Goldmark_Dallas_14137","Goldmark Dr_13731_Tuscany at Goldmark_Dallas_14137" )</f>
        <v>Goldmark Dr_13731_Tuscany at Goldmark_Dallas_14137</v>
      </c>
      <c r="L4201" s="104" t="s">
        <v>22253</v>
      </c>
      <c r="M4201" s="103" t="str">
        <f t="shared" si="328"/>
        <v>http://oconnordata.com/mlink/modules/profile/index.cfm?action=profile&amp;prop_id=14137</v>
      </c>
      <c r="N4201" s="1">
        <f t="shared" si="329"/>
        <v>14137</v>
      </c>
    </row>
    <row r="4202" spans="1:14" x14ac:dyDescent="0.3">
      <c r="A4202" s="1">
        <v>14138</v>
      </c>
      <c r="B4202" s="7" t="s">
        <v>5480</v>
      </c>
      <c r="C4202" s="12">
        <v>805</v>
      </c>
      <c r="D4202" s="7" t="s">
        <v>6398</v>
      </c>
      <c r="E4202" s="13" t="s">
        <v>5055</v>
      </c>
      <c r="F4202" t="str">
        <f t="shared" si="325"/>
        <v>Lakeside</v>
      </c>
      <c r="G4202" t="str">
        <f t="shared" si="326"/>
        <v>Lakeside805Lewisville</v>
      </c>
      <c r="H4202" t="s">
        <v>35059</v>
      </c>
      <c r="I4202" t="s">
        <v>26482</v>
      </c>
      <c r="J4202" t="str">
        <f t="shared" si="327"/>
        <v>E:\PropInv\MF</v>
      </c>
      <c r="K4202" s="103" t="str">
        <f>HYPERLINK("E:\PropInv\MF\Lewisville\Lakeside Cir_805_Tuscany at Lakepointe_Lewisville_14138","Lakeside Cir_805_Tuscany at Lakepointe_Lewisville_14138" )</f>
        <v>Lakeside Cir_805_Tuscany at Lakepointe_Lewisville_14138</v>
      </c>
      <c r="L4202" s="104" t="s">
        <v>22253</v>
      </c>
      <c r="M4202" s="103" t="str">
        <f t="shared" si="328"/>
        <v>http://oconnordata.com/mlink/modules/profile/index.cfm?action=profile&amp;prop_id=14138</v>
      </c>
      <c r="N4202" s="1">
        <f t="shared" si="329"/>
        <v>14138</v>
      </c>
    </row>
    <row r="4203" spans="1:14" x14ac:dyDescent="0.3">
      <c r="A4203" s="1">
        <v>14139</v>
      </c>
      <c r="B4203" s="7" t="s">
        <v>5128</v>
      </c>
      <c r="C4203" s="12">
        <v>451</v>
      </c>
      <c r="D4203" s="7" t="s">
        <v>6399</v>
      </c>
      <c r="E4203" s="13" t="s">
        <v>5043</v>
      </c>
      <c r="F4203" t="str">
        <f t="shared" si="325"/>
        <v>Wilson</v>
      </c>
      <c r="G4203" t="str">
        <f t="shared" si="326"/>
        <v>Wilson451McKinney</v>
      </c>
      <c r="H4203" t="s">
        <v>35060</v>
      </c>
      <c r="I4203" t="s">
        <v>26483</v>
      </c>
      <c r="J4203" t="str">
        <f t="shared" si="327"/>
        <v>E:\PropInv\MF</v>
      </c>
      <c r="K4203" s="103" t="str">
        <f>HYPERLINK("E:\PropInv\MF\McKinney\Wilson Creek Blvd_451_Tuscany at Wilson Creek_McKinney_14139","Wilson Creek Blvd_451_Tuscany at Wilson Creek_McKinney_14139" )</f>
        <v>Wilson Creek Blvd_451_Tuscany at Wilson Creek_McKinney_14139</v>
      </c>
      <c r="L4203" s="104" t="s">
        <v>22253</v>
      </c>
      <c r="M4203" s="103" t="str">
        <f t="shared" si="328"/>
        <v>http://oconnordata.com/mlink/modules/profile/index.cfm?action=profile&amp;prop_id=14139</v>
      </c>
      <c r="N4203" s="1">
        <f t="shared" si="329"/>
        <v>14139</v>
      </c>
    </row>
    <row r="4204" spans="1:14" x14ac:dyDescent="0.3">
      <c r="A4204" s="1">
        <v>14141</v>
      </c>
      <c r="B4204" s="7" t="s">
        <v>5277</v>
      </c>
      <c r="C4204" s="12">
        <v>3840</v>
      </c>
      <c r="D4204" s="7" t="s">
        <v>6400</v>
      </c>
      <c r="E4204" s="13" t="s">
        <v>4996</v>
      </c>
      <c r="F4204" t="str">
        <f t="shared" si="325"/>
        <v>Frankford</v>
      </c>
      <c r="G4204" t="str">
        <f t="shared" si="326"/>
        <v>Frankford3840Dallas</v>
      </c>
      <c r="H4204" t="s">
        <v>35061</v>
      </c>
      <c r="I4204" t="s">
        <v>26484</v>
      </c>
      <c r="J4204" t="str">
        <f t="shared" si="327"/>
        <v>E:\PropInv\MF</v>
      </c>
      <c r="K4204" s="103" t="str">
        <f>HYPERLINK("E:\PropInv\MF\Dallas\Frankford_3840_Vail Village_Dallas_14141","Frankford_3840_Vail Village_Dallas_14141" )</f>
        <v>Frankford_3840_Vail Village_Dallas_14141</v>
      </c>
      <c r="L4204" s="104" t="s">
        <v>22253</v>
      </c>
      <c r="M4204" s="103" t="str">
        <f t="shared" si="328"/>
        <v>http://oconnordata.com/mlink/modules/profile/index.cfm?action=profile&amp;prop_id=14141</v>
      </c>
      <c r="N4204" s="1">
        <f t="shared" si="329"/>
        <v>14141</v>
      </c>
    </row>
    <row r="4205" spans="1:14" x14ac:dyDescent="0.3">
      <c r="A4205" s="1">
        <v>14142</v>
      </c>
      <c r="B4205" s="7" t="s">
        <v>5049</v>
      </c>
      <c r="C4205" s="12">
        <v>3839</v>
      </c>
      <c r="D4205" s="7" t="s">
        <v>6401</v>
      </c>
      <c r="E4205" s="13" t="s">
        <v>4996</v>
      </c>
      <c r="F4205" t="str">
        <f t="shared" si="325"/>
        <v>Briargrove</v>
      </c>
      <c r="G4205" t="str">
        <f t="shared" si="326"/>
        <v>Briargrove3839Dallas</v>
      </c>
      <c r="H4205" t="s">
        <v>35062</v>
      </c>
      <c r="I4205" t="s">
        <v>26485</v>
      </c>
      <c r="J4205" t="str">
        <f t="shared" si="327"/>
        <v>E:\PropInv\MF</v>
      </c>
      <c r="K4205" s="103" t="str">
        <f>HYPERLINK("E:\PropInv\MF\Dallas\Briargrove Ln_3839_Vail Village Club_Dallas_14142","Briargrove Ln_3839_Vail Village Club_Dallas_14142" )</f>
        <v>Briargrove Ln_3839_Vail Village Club_Dallas_14142</v>
      </c>
      <c r="L4205" s="104" t="s">
        <v>22253</v>
      </c>
      <c r="M4205" s="103" t="str">
        <f t="shared" si="328"/>
        <v>http://oconnordata.com/mlink/modules/profile/index.cfm?action=profile&amp;prop_id=14142</v>
      </c>
      <c r="N4205" s="1">
        <f t="shared" si="329"/>
        <v>14142</v>
      </c>
    </row>
    <row r="4206" spans="1:14" x14ac:dyDescent="0.3">
      <c r="A4206" s="1">
        <v>14143</v>
      </c>
      <c r="B4206" s="7" t="s">
        <v>6402</v>
      </c>
      <c r="C4206" s="12">
        <v>2822</v>
      </c>
      <c r="D4206" s="7" t="s">
        <v>6403</v>
      </c>
      <c r="E4206" s="13" t="s">
        <v>5019</v>
      </c>
      <c r="F4206" t="str">
        <f t="shared" si="325"/>
        <v>Guthrie</v>
      </c>
      <c r="G4206" t="str">
        <f t="shared" si="326"/>
        <v>Guthrie2822Garland</v>
      </c>
      <c r="H4206" t="s">
        <v>35063</v>
      </c>
      <c r="I4206" t="s">
        <v>26486</v>
      </c>
      <c r="J4206" t="str">
        <f t="shared" si="327"/>
        <v>E:\PropInv\MF</v>
      </c>
      <c r="K4206" s="103" t="str">
        <f>HYPERLINK("E:\PropInv\MF\Garland\Guthrie_2822_Valley Creek_Garland_14143","Guthrie_2822_Valley Creek_Garland_14143" )</f>
        <v>Guthrie_2822_Valley Creek_Garland_14143</v>
      </c>
      <c r="L4206" s="104" t="s">
        <v>22253</v>
      </c>
      <c r="M4206" s="103" t="str">
        <f t="shared" si="328"/>
        <v>http://oconnordata.com/mlink/modules/profile/index.cfm?action=profile&amp;prop_id=14143</v>
      </c>
      <c r="N4206" s="1">
        <f t="shared" si="329"/>
        <v>14143</v>
      </c>
    </row>
    <row r="4207" spans="1:14" x14ac:dyDescent="0.3">
      <c r="A4207" s="1">
        <v>14144</v>
      </c>
      <c r="B4207" s="7" t="s">
        <v>5453</v>
      </c>
      <c r="C4207" s="12">
        <v>4608</v>
      </c>
      <c r="D4207" s="7" t="s">
        <v>6404</v>
      </c>
      <c r="E4207" s="13" t="s">
        <v>5046</v>
      </c>
      <c r="F4207" t="str">
        <f t="shared" si="325"/>
        <v>Northgate</v>
      </c>
      <c r="G4207" t="str">
        <f t="shared" si="326"/>
        <v>Northgate4608Irving</v>
      </c>
      <c r="H4207" t="s">
        <v>35064</v>
      </c>
      <c r="I4207" t="s">
        <v>26487</v>
      </c>
      <c r="J4207" t="str">
        <f t="shared" si="327"/>
        <v>E:\PropInv\MF</v>
      </c>
      <c r="K4207" s="103" t="str">
        <f>HYPERLINK("E:\PropInv\MF\Irving\Northgate Dr W_4608_Promenade at Valley Creek_Irving_14144","Northgate Dr W_4608_Promenade at Valley Creek_Irving_14144" )</f>
        <v>Northgate Dr W_4608_Promenade at Valley Creek_Irving_14144</v>
      </c>
      <c r="L4207" s="104" t="s">
        <v>22253</v>
      </c>
      <c r="M4207" s="103" t="str">
        <f t="shared" si="328"/>
        <v>http://oconnordata.com/mlink/modules/profile/index.cfm?action=profile&amp;prop_id=14144</v>
      </c>
      <c r="N4207" s="1">
        <f t="shared" si="329"/>
        <v>14144</v>
      </c>
    </row>
    <row r="4208" spans="1:14" x14ac:dyDescent="0.3">
      <c r="A4208" s="1">
        <v>14145</v>
      </c>
      <c r="B4208" s="7" t="s">
        <v>5791</v>
      </c>
      <c r="C4208" s="12">
        <v>7373</v>
      </c>
      <c r="D4208" s="7" t="s">
        <v>1991</v>
      </c>
      <c r="E4208" s="13" t="s">
        <v>4996</v>
      </c>
      <c r="F4208" t="str">
        <f t="shared" si="325"/>
        <v>Valley</v>
      </c>
      <c r="G4208" t="str">
        <f t="shared" si="326"/>
        <v>Valley7373Dallas</v>
      </c>
      <c r="H4208" t="s">
        <v>35065</v>
      </c>
      <c r="I4208" t="s">
        <v>26488</v>
      </c>
      <c r="J4208" t="str">
        <f t="shared" si="327"/>
        <v>E:\PropInv\MF</v>
      </c>
      <c r="K4208" s="103" t="str">
        <f>HYPERLINK("E:\PropInv\MF\Dallas\Valley View Ln_7373_Valley Oaks_Dallas_14145","Valley View Ln_7373_Valley Oaks_Dallas_14145" )</f>
        <v>Valley View Ln_7373_Valley Oaks_Dallas_14145</v>
      </c>
      <c r="L4208" s="104" t="s">
        <v>22253</v>
      </c>
      <c r="M4208" s="103" t="str">
        <f t="shared" si="328"/>
        <v>http://oconnordata.com/mlink/modules/profile/index.cfm?action=profile&amp;prop_id=14145</v>
      </c>
      <c r="N4208" s="1">
        <f t="shared" si="329"/>
        <v>14145</v>
      </c>
    </row>
    <row r="4209" spans="1:14" x14ac:dyDescent="0.3">
      <c r="A4209" s="1">
        <v>14146</v>
      </c>
      <c r="B4209" s="7" t="s">
        <v>5791</v>
      </c>
      <c r="C4209" s="12">
        <v>3700</v>
      </c>
      <c r="D4209" s="7" t="s">
        <v>6405</v>
      </c>
      <c r="E4209" s="13" t="s">
        <v>5046</v>
      </c>
      <c r="F4209" t="str">
        <f t="shared" si="325"/>
        <v>Valley</v>
      </c>
      <c r="G4209" t="str">
        <f t="shared" si="326"/>
        <v>Valley3700Irving</v>
      </c>
      <c r="H4209" t="s">
        <v>35066</v>
      </c>
      <c r="I4209" t="s">
        <v>26489</v>
      </c>
      <c r="J4209" t="str">
        <f t="shared" si="327"/>
        <v>E:\PropInv\MF</v>
      </c>
      <c r="K4209" s="103" t="str">
        <f>HYPERLINK("E:\PropInv\MF\Irving\Valley View Ln_3700_Promenade at Valley Ridge_Irving_14146","Valley View Ln_3700_Promenade at Valley Ridge_Irving_14146" )</f>
        <v>Valley View Ln_3700_Promenade at Valley Ridge_Irving_14146</v>
      </c>
      <c r="L4209" s="104" t="s">
        <v>22253</v>
      </c>
      <c r="M4209" s="103" t="str">
        <f t="shared" si="328"/>
        <v>http://oconnordata.com/mlink/modules/profile/index.cfm?action=profile&amp;prop_id=14146</v>
      </c>
      <c r="N4209" s="1">
        <f t="shared" si="329"/>
        <v>14146</v>
      </c>
    </row>
    <row r="4210" spans="1:14" x14ac:dyDescent="0.3">
      <c r="A4210" s="1">
        <v>14147</v>
      </c>
      <c r="B4210" s="7" t="s">
        <v>6406</v>
      </c>
      <c r="C4210" s="12">
        <v>1000</v>
      </c>
      <c r="D4210" s="7" t="s">
        <v>6407</v>
      </c>
      <c r="E4210" s="13" t="s">
        <v>5055</v>
      </c>
      <c r="F4210" t="str">
        <f t="shared" si="325"/>
        <v>Valley</v>
      </c>
      <c r="G4210" t="str">
        <f t="shared" si="326"/>
        <v>Valley1000Lewisville</v>
      </c>
      <c r="H4210" t="s">
        <v>35067</v>
      </c>
      <c r="I4210" t="s">
        <v>26490</v>
      </c>
      <c r="J4210" t="str">
        <f t="shared" si="327"/>
        <v>E:\PropInv\MF</v>
      </c>
      <c r="K4210" s="103" t="str">
        <f>HYPERLINK("E:\PropInv\MF\Lewisville\Valley Ridge Blvd W_1000_Valley Ridge_Lewisville_14147","Valley Ridge Blvd W_1000_Valley Ridge_Lewisville_14147" )</f>
        <v>Valley Ridge Blvd W_1000_Valley Ridge_Lewisville_14147</v>
      </c>
      <c r="L4210" s="104" t="s">
        <v>22253</v>
      </c>
      <c r="M4210" s="103" t="str">
        <f t="shared" si="328"/>
        <v>http://oconnordata.com/mlink/modules/profile/index.cfm?action=profile&amp;prop_id=14147</v>
      </c>
      <c r="N4210" s="1">
        <f t="shared" si="329"/>
        <v>14147</v>
      </c>
    </row>
    <row r="4211" spans="1:14" x14ac:dyDescent="0.3">
      <c r="A4211" s="1">
        <v>14148</v>
      </c>
      <c r="B4211" s="7" t="s">
        <v>5671</v>
      </c>
      <c r="C4211" s="12">
        <v>8903</v>
      </c>
      <c r="D4211" s="7" t="s">
        <v>6408</v>
      </c>
      <c r="E4211" s="13" t="s">
        <v>5046</v>
      </c>
      <c r="F4211" t="str">
        <f t="shared" si="325"/>
        <v>Valley</v>
      </c>
      <c r="G4211" t="str">
        <f t="shared" si="326"/>
        <v>Valley8903Irving</v>
      </c>
      <c r="H4211" t="s">
        <v>35068</v>
      </c>
      <c r="I4211" t="s">
        <v>26491</v>
      </c>
      <c r="J4211" t="str">
        <f t="shared" si="327"/>
        <v>E:\PropInv\MF</v>
      </c>
      <c r="K4211" s="103" t="str">
        <f>HYPERLINK("E:\PropInv\MF\Irving\Valley Ranch Pkwy E_8903_Valley Trails_Irving_14148","Valley Ranch Pkwy E_8903_Valley Trails_Irving_14148" )</f>
        <v>Valley Ranch Pkwy E_8903_Valley Trails_Irving_14148</v>
      </c>
      <c r="L4211" s="104" t="s">
        <v>22253</v>
      </c>
      <c r="M4211" s="103" t="str">
        <f t="shared" si="328"/>
        <v>http://oconnordata.com/mlink/modules/profile/index.cfm?action=profile&amp;prop_id=14148</v>
      </c>
      <c r="N4211" s="1">
        <f t="shared" si="329"/>
        <v>14148</v>
      </c>
    </row>
    <row r="4212" spans="1:14" x14ac:dyDescent="0.3">
      <c r="A4212" s="1">
        <v>14149</v>
      </c>
      <c r="B4212" s="7" t="s">
        <v>5141</v>
      </c>
      <c r="C4212" s="12">
        <v>5555</v>
      </c>
      <c r="D4212" s="7" t="s">
        <v>1444</v>
      </c>
      <c r="E4212" s="13" t="s">
        <v>4996</v>
      </c>
      <c r="F4212" t="str">
        <f t="shared" si="325"/>
        <v>Spring</v>
      </c>
      <c r="G4212" t="str">
        <f t="shared" si="326"/>
        <v>Spring5555Dallas</v>
      </c>
      <c r="H4212" t="s">
        <v>35069</v>
      </c>
      <c r="I4212" t="s">
        <v>26492</v>
      </c>
      <c r="J4212" t="str">
        <f t="shared" si="327"/>
        <v>E:\PropInv\MF</v>
      </c>
      <c r="K4212" s="103" t="str">
        <f>HYPERLINK("E:\PropInv\MF\Dallas\Spring Valley Rd_5555_Ventana_Dallas_14149","Spring Valley Rd_5555_Ventana_Dallas_14149" )</f>
        <v>Spring Valley Rd_5555_Ventana_Dallas_14149</v>
      </c>
      <c r="L4212" s="104" t="s">
        <v>22253</v>
      </c>
      <c r="M4212" s="103" t="str">
        <f t="shared" si="328"/>
        <v>http://oconnordata.com/mlink/modules/profile/index.cfm?action=profile&amp;prop_id=14149</v>
      </c>
      <c r="N4212" s="1">
        <f t="shared" si="329"/>
        <v>14149</v>
      </c>
    </row>
    <row r="4213" spans="1:14" x14ac:dyDescent="0.3">
      <c r="A4213" s="1">
        <v>14150</v>
      </c>
      <c r="B4213" s="7" t="s">
        <v>6409</v>
      </c>
      <c r="C4213" s="12">
        <v>7130</v>
      </c>
      <c r="D4213" s="7" t="s">
        <v>6410</v>
      </c>
      <c r="E4213" s="13" t="s">
        <v>4996</v>
      </c>
      <c r="F4213" t="str">
        <f t="shared" si="325"/>
        <v>Gaston</v>
      </c>
      <c r="G4213" t="str">
        <f t="shared" si="326"/>
        <v>Gaston7130Dallas</v>
      </c>
      <c r="H4213" t="s">
        <v>35070</v>
      </c>
      <c r="I4213" t="s">
        <v>26493</v>
      </c>
      <c r="J4213" t="str">
        <f t="shared" si="327"/>
        <v>E:\PropInv\MF</v>
      </c>
      <c r="K4213" s="103" t="str">
        <f>HYPERLINK("E:\PropInv\MF\Dallas\Gaston Ave #102_7130_Verandahs_Dallas_14150","Gaston Ave #102_7130_Verandahs_Dallas_14150" )</f>
        <v>Gaston Ave #102_7130_Verandahs_Dallas_14150</v>
      </c>
      <c r="L4213" s="104" t="s">
        <v>22253</v>
      </c>
      <c r="M4213" s="103" t="str">
        <f t="shared" si="328"/>
        <v>http://oconnordata.com/mlink/modules/profile/index.cfm?action=profile&amp;prop_id=14150</v>
      </c>
      <c r="N4213" s="1">
        <f t="shared" si="329"/>
        <v>14150</v>
      </c>
    </row>
    <row r="4214" spans="1:14" x14ac:dyDescent="0.3">
      <c r="A4214" s="1">
        <v>14151</v>
      </c>
      <c r="B4214" s="7" t="s">
        <v>5562</v>
      </c>
      <c r="C4214" s="12">
        <v>13330</v>
      </c>
      <c r="D4214" s="7" t="s">
        <v>6411</v>
      </c>
      <c r="E4214" s="13" t="s">
        <v>4996</v>
      </c>
      <c r="F4214" t="str">
        <f t="shared" si="325"/>
        <v>Noel</v>
      </c>
      <c r="G4214" t="str">
        <f t="shared" si="326"/>
        <v>Noel13330Dallas</v>
      </c>
      <c r="H4214" t="s">
        <v>35071</v>
      </c>
      <c r="I4214" t="s">
        <v>26494</v>
      </c>
      <c r="J4214" t="str">
        <f t="shared" si="327"/>
        <v>E:\PropInv\MF</v>
      </c>
      <c r="K4214" s="103" t="str">
        <f>HYPERLINK("E:\PropInv\MF\Dallas\Noel Rd_13330_Verona Tower_Dallas_14151","Noel Rd_13330_Verona Tower_Dallas_14151" )</f>
        <v>Noel Rd_13330_Verona Tower_Dallas_14151</v>
      </c>
      <c r="L4214" s="104" t="s">
        <v>22253</v>
      </c>
      <c r="M4214" s="103" t="str">
        <f t="shared" si="328"/>
        <v>http://oconnordata.com/mlink/modules/profile/index.cfm?action=profile&amp;prop_id=14151</v>
      </c>
      <c r="N4214" s="1">
        <f t="shared" si="329"/>
        <v>14151</v>
      </c>
    </row>
    <row r="4215" spans="1:14" x14ac:dyDescent="0.3">
      <c r="A4215" s="1">
        <v>14152</v>
      </c>
      <c r="B4215" s="7" t="s">
        <v>5562</v>
      </c>
      <c r="C4215" s="12">
        <v>13330</v>
      </c>
      <c r="D4215" s="7" t="s">
        <v>6412</v>
      </c>
      <c r="E4215" s="13" t="s">
        <v>4996</v>
      </c>
      <c r="F4215" t="str">
        <f t="shared" si="325"/>
        <v>Noel</v>
      </c>
      <c r="G4215" t="str">
        <f t="shared" si="326"/>
        <v>Noel13330Dallas</v>
      </c>
      <c r="H4215" t="s">
        <v>35072</v>
      </c>
      <c r="I4215" t="s">
        <v>26495</v>
      </c>
      <c r="J4215" t="str">
        <f t="shared" si="327"/>
        <v>E:\PropInv\MF</v>
      </c>
      <c r="K4215" s="103" t="str">
        <f>HYPERLINK("E:\PropInv\MF\Dallas\Noel Rd_13330_Verona Midrise_Dallas_14152","Noel Rd_13330_Verona Midrise_Dallas_14152" )</f>
        <v>Noel Rd_13330_Verona Midrise_Dallas_14152</v>
      </c>
      <c r="L4215" s="104" t="s">
        <v>22253</v>
      </c>
      <c r="M4215" s="103" t="str">
        <f t="shared" si="328"/>
        <v>http://oconnordata.com/mlink/modules/profile/index.cfm?action=profile&amp;prop_id=14152</v>
      </c>
      <c r="N4215" s="1">
        <f t="shared" si="329"/>
        <v>14152</v>
      </c>
    </row>
    <row r="4216" spans="1:14" x14ac:dyDescent="0.3">
      <c r="A4216" s="1">
        <v>14153</v>
      </c>
      <c r="B4216" s="7" t="s">
        <v>6413</v>
      </c>
      <c r="C4216" s="12">
        <v>4900</v>
      </c>
      <c r="D4216" s="7" t="s">
        <v>6414</v>
      </c>
      <c r="E4216" s="13" t="s">
        <v>4996</v>
      </c>
      <c r="F4216" t="str">
        <f t="shared" si="325"/>
        <v>Pear</v>
      </c>
      <c r="G4216" t="str">
        <f t="shared" si="326"/>
        <v>Pear4900Dallas</v>
      </c>
      <c r="H4216" t="s">
        <v>35073</v>
      </c>
      <c r="I4216" t="s">
        <v>26496</v>
      </c>
      <c r="J4216" t="str">
        <f t="shared" si="327"/>
        <v>E:\PropInv\MF</v>
      </c>
      <c r="K4216" s="103" t="str">
        <f>HYPERLINK("E:\PropInv\MF\Dallas\Pear Ridge Dr_4900_The Versailles_Dallas_14153","Pear Ridge Dr_4900_The Versailles_Dallas_14153" )</f>
        <v>Pear Ridge Dr_4900_The Versailles_Dallas_14153</v>
      </c>
      <c r="L4216" s="104" t="s">
        <v>22253</v>
      </c>
      <c r="M4216" s="103" t="str">
        <f t="shared" si="328"/>
        <v>http://oconnordata.com/mlink/modules/profile/index.cfm?action=profile&amp;prop_id=14153</v>
      </c>
      <c r="N4216" s="1">
        <f t="shared" si="329"/>
        <v>14153</v>
      </c>
    </row>
    <row r="4217" spans="1:14" x14ac:dyDescent="0.3">
      <c r="A4217" s="1">
        <v>14154</v>
      </c>
      <c r="B4217" s="7" t="s">
        <v>5761</v>
      </c>
      <c r="C4217" s="12">
        <v>2930</v>
      </c>
      <c r="D4217" s="7" t="s">
        <v>6415</v>
      </c>
      <c r="E4217" s="13" t="s">
        <v>4996</v>
      </c>
      <c r="F4217" t="str">
        <f t="shared" si="325"/>
        <v>Kings</v>
      </c>
      <c r="G4217" t="str">
        <f t="shared" si="326"/>
        <v>Kings2930Dallas</v>
      </c>
      <c r="H4217" t="s">
        <v>35074</v>
      </c>
      <c r="I4217" t="s">
        <v>26497</v>
      </c>
      <c r="J4217" t="str">
        <f t="shared" si="327"/>
        <v>E:\PropInv\MF</v>
      </c>
      <c r="K4217" s="103" t="str">
        <f>HYPERLINK("E:\PropInv\MF\Dallas\Kings Rd_2930_Versailles on Cedar Springs_Dallas_14154","Kings Rd_2930_Versailles on Cedar Springs_Dallas_14154" )</f>
        <v>Kings Rd_2930_Versailles on Cedar Springs_Dallas_14154</v>
      </c>
      <c r="L4217" s="104" t="s">
        <v>22253</v>
      </c>
      <c r="M4217" s="103" t="str">
        <f t="shared" si="328"/>
        <v>http://oconnordata.com/mlink/modules/profile/index.cfm?action=profile&amp;prop_id=14154</v>
      </c>
      <c r="N4217" s="1">
        <f t="shared" si="329"/>
        <v>14154</v>
      </c>
    </row>
    <row r="4218" spans="1:14" x14ac:dyDescent="0.3">
      <c r="A4218" s="1">
        <v>14155</v>
      </c>
      <c r="B4218" s="7" t="s">
        <v>6416</v>
      </c>
      <c r="C4218" s="12">
        <v>2700</v>
      </c>
      <c r="D4218" s="7" t="s">
        <v>1447</v>
      </c>
      <c r="E4218" s="13" t="s">
        <v>5046</v>
      </c>
      <c r="F4218" t="str">
        <f t="shared" si="325"/>
        <v>Grauwyler</v>
      </c>
      <c r="G4218" t="str">
        <f t="shared" si="326"/>
        <v>Grauwyler2700Irving</v>
      </c>
      <c r="H4218" t="s">
        <v>35075</v>
      </c>
      <c r="I4218" t="s">
        <v>26498</v>
      </c>
      <c r="J4218" t="str">
        <f t="shared" si="327"/>
        <v>E:\PropInv\MF</v>
      </c>
      <c r="K4218" s="103" t="str">
        <f>HYPERLINK("E:\PropInv\MF\Irving\Grauwyler Rd E_2700_View Point_Irving_14155","Grauwyler Rd E_2700_View Point_Irving_14155" )</f>
        <v>Grauwyler Rd E_2700_View Point_Irving_14155</v>
      </c>
      <c r="L4218" s="104" t="s">
        <v>22253</v>
      </c>
      <c r="M4218" s="103" t="str">
        <f t="shared" si="328"/>
        <v>http://oconnordata.com/mlink/modules/profile/index.cfm?action=profile&amp;prop_id=14155</v>
      </c>
      <c r="N4218" s="1">
        <f t="shared" si="329"/>
        <v>14155</v>
      </c>
    </row>
    <row r="4219" spans="1:14" x14ac:dyDescent="0.3">
      <c r="A4219" s="1">
        <v>14156</v>
      </c>
      <c r="B4219" s="7" t="s">
        <v>6417</v>
      </c>
      <c r="C4219" s="12">
        <v>6800</v>
      </c>
      <c r="D4219" s="7" t="s">
        <v>6418</v>
      </c>
      <c r="E4219" s="13" t="s">
        <v>4996</v>
      </c>
      <c r="F4219" t="str">
        <f t="shared" si="325"/>
        <v>Del</v>
      </c>
      <c r="G4219" t="str">
        <f t="shared" si="326"/>
        <v>Del6800Dallas</v>
      </c>
      <c r="H4219" t="s">
        <v>35076</v>
      </c>
      <c r="I4219" t="s">
        <v>26499</v>
      </c>
      <c r="J4219" t="str">
        <f t="shared" si="327"/>
        <v>E:\PropInv\MF</v>
      </c>
      <c r="K4219" s="103" t="str">
        <f>HYPERLINK("E:\PropInv\MF\Dallas\Del Norte Ln_6800_Villa del Norte_Dallas_14156","Del Norte Ln_6800_Villa del Norte_Dallas_14156" )</f>
        <v>Del Norte Ln_6800_Villa del Norte_Dallas_14156</v>
      </c>
      <c r="L4219" s="104" t="s">
        <v>22253</v>
      </c>
      <c r="M4219" s="103" t="str">
        <f t="shared" si="328"/>
        <v>http://oconnordata.com/mlink/modules/profile/index.cfm?action=profile&amp;prop_id=14156</v>
      </c>
      <c r="N4219" s="1">
        <f t="shared" si="329"/>
        <v>14156</v>
      </c>
    </row>
    <row r="4220" spans="1:14" x14ac:dyDescent="0.3">
      <c r="A4220" s="1">
        <v>14157</v>
      </c>
      <c r="B4220" s="10" t="s">
        <v>5397</v>
      </c>
      <c r="C4220" s="9">
        <v>1831</v>
      </c>
      <c r="D4220" s="10" t="s">
        <v>6419</v>
      </c>
      <c r="E4220" s="11" t="s">
        <v>5046</v>
      </c>
      <c r="F4220" t="str">
        <f t="shared" si="325"/>
        <v>Pioneer</v>
      </c>
      <c r="G4220" t="str">
        <f t="shared" si="326"/>
        <v>Pioneer1831Irving</v>
      </c>
      <c r="H4220" t="s">
        <v>35077</v>
      </c>
      <c r="I4220" t="s">
        <v>26500</v>
      </c>
      <c r="J4220" t="str">
        <f t="shared" si="327"/>
        <v>E:\PropInv\MF</v>
      </c>
      <c r="K4220" s="103" t="str">
        <f>HYPERLINK("E:\PropInv\MF\Irving\Pioneer W_1831_Villa France_Irving_14157","Pioneer W_1831_Villa France_Irving_14157" )</f>
        <v>Pioneer W_1831_Villa France_Irving_14157</v>
      </c>
      <c r="L4220" s="104" t="s">
        <v>22253</v>
      </c>
      <c r="M4220" s="103" t="str">
        <f t="shared" si="328"/>
        <v>http://oconnordata.com/mlink/modules/profile/index.cfm?action=profile&amp;prop_id=14157</v>
      </c>
      <c r="N4220" s="1">
        <f t="shared" si="329"/>
        <v>14157</v>
      </c>
    </row>
    <row r="4221" spans="1:14" x14ac:dyDescent="0.3">
      <c r="A4221" s="1">
        <v>14158</v>
      </c>
      <c r="B4221" s="7" t="s">
        <v>6420</v>
      </c>
      <c r="C4221" s="12">
        <v>2730</v>
      </c>
      <c r="D4221" s="7" t="s">
        <v>6421</v>
      </c>
      <c r="E4221" s="13" t="s">
        <v>5198</v>
      </c>
      <c r="F4221" t="str">
        <f t="shared" si="325"/>
        <v>Fyke</v>
      </c>
      <c r="G4221" t="str">
        <f t="shared" si="326"/>
        <v>Fyke2730Farmers Branch</v>
      </c>
      <c r="H4221" t="s">
        <v>35078</v>
      </c>
      <c r="I4221" t="s">
        <v>26501</v>
      </c>
      <c r="J4221" t="str">
        <f t="shared" si="327"/>
        <v>E:\PropInv\MF</v>
      </c>
      <c r="K4221" s="103" t="str">
        <f>HYPERLINK("E:\PropInv\MF\Farmers Branch\Fyke Rd_2730_Villa Marquis_Farmers Branch_14158","Fyke Rd_2730_Villa Marquis_Farmers Branch_14158" )</f>
        <v>Fyke Rd_2730_Villa Marquis_Farmers Branch_14158</v>
      </c>
      <c r="L4221" s="104" t="s">
        <v>22253</v>
      </c>
      <c r="M4221" s="103" t="str">
        <f t="shared" si="328"/>
        <v>http://oconnordata.com/mlink/modules/profile/index.cfm?action=profile&amp;prop_id=14158</v>
      </c>
      <c r="N4221" s="1">
        <f t="shared" si="329"/>
        <v>14158</v>
      </c>
    </row>
    <row r="4222" spans="1:14" x14ac:dyDescent="0.3">
      <c r="A4222" s="1">
        <v>14159</v>
      </c>
      <c r="B4222" s="7" t="s">
        <v>6422</v>
      </c>
      <c r="C4222" s="12">
        <v>418</v>
      </c>
      <c r="D4222" s="7" t="s">
        <v>6423</v>
      </c>
      <c r="E4222" s="13" t="s">
        <v>5046</v>
      </c>
      <c r="F4222" t="str">
        <f t="shared" si="325"/>
        <v>MacArthur</v>
      </c>
      <c r="G4222" t="str">
        <f t="shared" si="326"/>
        <v>MacArthur418Irving</v>
      </c>
      <c r="H4222" t="s">
        <v>35079</v>
      </c>
      <c r="I4222" t="s">
        <v>26502</v>
      </c>
      <c r="J4222" t="str">
        <f t="shared" si="327"/>
        <v>E:\PropInv\MF</v>
      </c>
      <c r="K4222" s="103" t="str">
        <f>HYPERLINK("E:\PropInv\MF\Irving\MacArthur S_418_Villa Martinique_Irving_14159","MacArthur S_418_Villa Martinique_Irving_14159" )</f>
        <v>MacArthur S_418_Villa Martinique_Irving_14159</v>
      </c>
      <c r="L4222" s="104" t="s">
        <v>22253</v>
      </c>
      <c r="M4222" s="103" t="str">
        <f t="shared" si="328"/>
        <v>http://oconnordata.com/mlink/modules/profile/index.cfm?action=profile&amp;prop_id=14159</v>
      </c>
      <c r="N4222" s="1">
        <f t="shared" si="329"/>
        <v>14159</v>
      </c>
    </row>
    <row r="4223" spans="1:14" x14ac:dyDescent="0.3">
      <c r="A4223" s="1">
        <v>14160</v>
      </c>
      <c r="B4223" s="7" t="s">
        <v>6424</v>
      </c>
      <c r="C4223" s="12">
        <v>7904</v>
      </c>
      <c r="D4223" s="7" t="s">
        <v>6425</v>
      </c>
      <c r="E4223" s="13" t="s">
        <v>5046</v>
      </c>
      <c r="F4223" t="str">
        <f t="shared" si="325"/>
        <v>Glen</v>
      </c>
      <c r="G4223" t="str">
        <f t="shared" si="326"/>
        <v>Glen7904Irving</v>
      </c>
      <c r="H4223" t="s">
        <v>35080</v>
      </c>
      <c r="I4223" t="s">
        <v>26503</v>
      </c>
      <c r="J4223" t="str">
        <f t="shared" si="327"/>
        <v>E:\PropInv\MF</v>
      </c>
      <c r="K4223" s="103" t="str">
        <f>HYPERLINK("E:\PropInv\MF\Irving\Glen Dr N_7904_Villa Miranda_Irving_14160","Glen Dr N_7904_Villa Miranda_Irving_14160" )</f>
        <v>Glen Dr N_7904_Villa Miranda_Irving_14160</v>
      </c>
      <c r="L4223" s="104" t="s">
        <v>22253</v>
      </c>
      <c r="M4223" s="103" t="str">
        <f t="shared" si="328"/>
        <v>http://oconnordata.com/mlink/modules/profile/index.cfm?action=profile&amp;prop_id=14160</v>
      </c>
      <c r="N4223" s="1">
        <f t="shared" si="329"/>
        <v>14160</v>
      </c>
    </row>
    <row r="4224" spans="1:14" x14ac:dyDescent="0.3">
      <c r="A4224" s="1">
        <v>14161</v>
      </c>
      <c r="B4224" s="10" t="s">
        <v>6426</v>
      </c>
      <c r="C4224" s="9">
        <v>2415</v>
      </c>
      <c r="D4224" s="10" t="s">
        <v>4693</v>
      </c>
      <c r="E4224" s="11" t="s">
        <v>5046</v>
      </c>
      <c r="F4224" t="str">
        <f t="shared" si="325"/>
        <v>Finley</v>
      </c>
      <c r="G4224" t="str">
        <f t="shared" si="326"/>
        <v>Finley2415Irving</v>
      </c>
      <c r="H4224" t="s">
        <v>35081</v>
      </c>
      <c r="I4224" t="s">
        <v>26504</v>
      </c>
      <c r="J4224" t="str">
        <f t="shared" si="327"/>
        <v>E:\PropInv\MF</v>
      </c>
      <c r="K4224" s="103" t="str">
        <f>HYPERLINK("E:\PropInv\MF\Irving\Finley_2415_Village Square_Irving_14161","Finley_2415_Village Square_Irving_14161" )</f>
        <v>Finley_2415_Village Square_Irving_14161</v>
      </c>
      <c r="L4224" s="104" t="s">
        <v>22253</v>
      </c>
      <c r="M4224" s="103" t="str">
        <f t="shared" si="328"/>
        <v>http://oconnordata.com/mlink/modules/profile/index.cfm?action=profile&amp;prop_id=14161</v>
      </c>
      <c r="N4224" s="1">
        <f t="shared" si="329"/>
        <v>14161</v>
      </c>
    </row>
    <row r="4225" spans="1:14" x14ac:dyDescent="0.3">
      <c r="A4225" s="1">
        <v>14162</v>
      </c>
      <c r="B4225" s="7" t="s">
        <v>6427</v>
      </c>
      <c r="C4225" s="12">
        <v>5959</v>
      </c>
      <c r="D4225" s="7" t="s">
        <v>4693</v>
      </c>
      <c r="E4225" s="13" t="s">
        <v>4996</v>
      </c>
      <c r="F4225" t="str">
        <f t="shared" si="325"/>
        <v>Watership</v>
      </c>
      <c r="G4225" t="str">
        <f t="shared" si="326"/>
        <v>Watership5959Dallas</v>
      </c>
      <c r="H4225" t="s">
        <v>35082</v>
      </c>
      <c r="I4225" t="s">
        <v>26505</v>
      </c>
      <c r="J4225" t="str">
        <f t="shared" si="327"/>
        <v>E:\PropInv\MF</v>
      </c>
      <c r="K4225" s="103" t="str">
        <f>HYPERLINK("E:\PropInv\MF\Dallas\Watership Ln_5959_Village Square_Dallas_14162","Watership Ln_5959_Village Square_Dallas_14162" )</f>
        <v>Watership Ln_5959_Village Square_Dallas_14162</v>
      </c>
      <c r="L4225" s="104" t="s">
        <v>22253</v>
      </c>
      <c r="M4225" s="103" t="str">
        <f t="shared" si="328"/>
        <v>http://oconnordata.com/mlink/modules/profile/index.cfm?action=profile&amp;prop_id=14162</v>
      </c>
      <c r="N4225" s="1">
        <f t="shared" si="329"/>
        <v>14162</v>
      </c>
    </row>
    <row r="4226" spans="1:14" x14ac:dyDescent="0.3">
      <c r="A4226" s="1">
        <v>14163</v>
      </c>
      <c r="B4226" s="10" t="s">
        <v>6428</v>
      </c>
      <c r="C4226" s="9">
        <v>6172</v>
      </c>
      <c r="D4226" s="10" t="s">
        <v>6429</v>
      </c>
      <c r="E4226" s="11" t="s">
        <v>4996</v>
      </c>
      <c r="F4226" t="str">
        <f t="shared" ref="F4226:F4289" si="330">IFERROR(LEFT(B4226,FIND(" ",B4226)-1),B4226)</f>
        <v>Fisher</v>
      </c>
      <c r="G4226" t="str">
        <f t="shared" ref="G4226:G4289" si="331">F4226&amp;C4226&amp;E4226</f>
        <v>Fisher6172Dallas</v>
      </c>
      <c r="H4226" t="s">
        <v>35083</v>
      </c>
      <c r="I4226" t="s">
        <v>26506</v>
      </c>
      <c r="J4226" t="str">
        <f t="shared" ref="J4226:J4289" si="332">IF(L4226="TX",Folder_Path,Folder_Path&amp;"\State_"&amp;L4226)</f>
        <v>E:\PropInv\MF</v>
      </c>
      <c r="K4226" s="103" t="str">
        <f>HYPERLINK("E:\PropInv\MF\Dallas\Fisher_6172_Village View_Dallas_14163","Fisher_6172_Village View_Dallas_14163" )</f>
        <v>Fisher_6172_Village View_Dallas_14163</v>
      </c>
      <c r="L4226" s="104" t="s">
        <v>22253</v>
      </c>
      <c r="M4226" s="103" t="str">
        <f t="shared" ref="M4226:M4289" si="333">HYPERLINK("http://oconnordata.com/mlink/modules/profile/index.cfm?action=profile&amp;prop_id="&amp;A4226)</f>
        <v>http://oconnordata.com/mlink/modules/profile/index.cfm?action=profile&amp;prop_id=14163</v>
      </c>
      <c r="N4226" s="1">
        <f t="shared" ref="N4226:N4289" si="334">IF(LEN(A4226)=1,"0000"&amp;A4226,IF(LEN(A4226)=2,"000"&amp;A4226,IF(LEN(A4226)=3,"00"&amp;A4226,IF(LEN(A4226)=4,"0"&amp;A4226,IF(LEN(A4226)=5,IF(LEFT(A4226,1)="3",A4226+30000,A4226))))))</f>
        <v>14163</v>
      </c>
    </row>
    <row r="4227" spans="1:14" x14ac:dyDescent="0.3">
      <c r="A4227" s="1">
        <v>14164</v>
      </c>
      <c r="B4227" s="10" t="s">
        <v>6430</v>
      </c>
      <c r="C4227" s="9">
        <v>2600</v>
      </c>
      <c r="D4227" s="10" t="s">
        <v>6431</v>
      </c>
      <c r="E4227" s="11" t="s">
        <v>3328</v>
      </c>
      <c r="F4227" t="str">
        <f t="shared" si="330"/>
        <v>Clear</v>
      </c>
      <c r="G4227" t="str">
        <f t="shared" si="331"/>
        <v>Clear2600Richardson</v>
      </c>
      <c r="H4227" t="s">
        <v>35084</v>
      </c>
      <c r="I4227" t="s">
        <v>26507</v>
      </c>
      <c r="J4227" t="str">
        <f t="shared" si="332"/>
        <v>E:\PropInv\MF</v>
      </c>
      <c r="K4227" s="103" t="str">
        <f>HYPERLINK("E:\PropInv\MF\Richardson\Clear Springs Dr_2600_The Villages at Clear Springs_Richardson_14164","Clear Springs Dr_2600_The Villages at Clear Springs_Richardson_14164" )</f>
        <v>Clear Springs Dr_2600_The Villages at Clear Springs_Richardson_14164</v>
      </c>
      <c r="L4227" s="104" t="s">
        <v>22253</v>
      </c>
      <c r="M4227" s="103" t="str">
        <f t="shared" si="333"/>
        <v>http://oconnordata.com/mlink/modules/profile/index.cfm?action=profile&amp;prop_id=14164</v>
      </c>
      <c r="N4227" s="1">
        <f t="shared" si="334"/>
        <v>14164</v>
      </c>
    </row>
    <row r="4228" spans="1:14" x14ac:dyDescent="0.3">
      <c r="A4228" s="1">
        <v>14165</v>
      </c>
      <c r="B4228" s="10" t="s">
        <v>2074</v>
      </c>
      <c r="C4228" s="9">
        <v>1000</v>
      </c>
      <c r="D4228" s="10" t="s">
        <v>6432</v>
      </c>
      <c r="E4228" s="11" t="s">
        <v>5046</v>
      </c>
      <c r="F4228" t="str">
        <f t="shared" si="330"/>
        <v>Meadow</v>
      </c>
      <c r="G4228" t="str">
        <f t="shared" si="331"/>
        <v>Meadow1000Irving</v>
      </c>
      <c r="H4228" t="s">
        <v>35085</v>
      </c>
      <c r="I4228" t="s">
        <v>26508</v>
      </c>
      <c r="J4228" t="str">
        <f t="shared" si="332"/>
        <v>E:\PropInv\MF</v>
      </c>
      <c r="K4228" s="103" t="str">
        <f>HYPERLINK("E:\PropInv\MF\Irving\Meadow Creek_1000_Villas at Beaver Creek_Irving_14165","Meadow Creek_1000_Villas at Beaver Creek_Irving_14165" )</f>
        <v>Meadow Creek_1000_Villas at Beaver Creek_Irving_14165</v>
      </c>
      <c r="L4228" s="104" t="s">
        <v>22253</v>
      </c>
      <c r="M4228" s="103" t="str">
        <f t="shared" si="333"/>
        <v>http://oconnordata.com/mlink/modules/profile/index.cfm?action=profile&amp;prop_id=14165</v>
      </c>
      <c r="N4228" s="1">
        <f t="shared" si="334"/>
        <v>14165</v>
      </c>
    </row>
    <row r="4229" spans="1:14" x14ac:dyDescent="0.3">
      <c r="A4229" s="1">
        <v>14167</v>
      </c>
      <c r="B4229" s="10" t="s">
        <v>6433</v>
      </c>
      <c r="C4229" s="9">
        <v>165</v>
      </c>
      <c r="D4229" s="10" t="s">
        <v>6434</v>
      </c>
      <c r="E4229" s="11" t="s">
        <v>5055</v>
      </c>
      <c r="F4229" t="str">
        <f t="shared" si="330"/>
        <v>Old</v>
      </c>
      <c r="G4229" t="str">
        <f t="shared" si="331"/>
        <v>Old165Lewisville</v>
      </c>
      <c r="H4229" t="s">
        <v>35086</v>
      </c>
      <c r="I4229" t="s">
        <v>26509</v>
      </c>
      <c r="J4229" t="str">
        <f t="shared" si="332"/>
        <v>E:\PropInv\MF</v>
      </c>
      <c r="K4229" s="103" t="str">
        <f>HYPERLINK("E:\PropInv\MF\Lewisville\Old Orchard N_165_Villas at Waterchase_Lewisville_14167","Old Orchard N_165_Villas at Waterchase_Lewisville_14167" )</f>
        <v>Old Orchard N_165_Villas at Waterchase_Lewisville_14167</v>
      </c>
      <c r="L4229" s="104" t="s">
        <v>22253</v>
      </c>
      <c r="M4229" s="103" t="str">
        <f t="shared" si="333"/>
        <v>http://oconnordata.com/mlink/modules/profile/index.cfm?action=profile&amp;prop_id=14167</v>
      </c>
      <c r="N4229" s="1">
        <f t="shared" si="334"/>
        <v>14167</v>
      </c>
    </row>
    <row r="4230" spans="1:14" x14ac:dyDescent="0.3">
      <c r="A4230" s="1">
        <v>14168</v>
      </c>
      <c r="B4230" s="10" t="s">
        <v>6435</v>
      </c>
      <c r="C4230" s="9">
        <v>2050</v>
      </c>
      <c r="D4230" s="10" t="s">
        <v>6436</v>
      </c>
      <c r="E4230" s="11" t="s">
        <v>5060</v>
      </c>
      <c r="F4230" t="str">
        <f t="shared" si="330"/>
        <v>Keller</v>
      </c>
      <c r="G4230" t="str">
        <f t="shared" si="331"/>
        <v>Keller2050Carrollton</v>
      </c>
      <c r="H4230" t="s">
        <v>35087</v>
      </c>
      <c r="I4230" t="s">
        <v>26510</v>
      </c>
      <c r="J4230" t="str">
        <f t="shared" si="332"/>
        <v>E:\PropInv\MF</v>
      </c>
      <c r="K4230" s="103" t="str">
        <f>HYPERLINK("E:\PropInv\MF\Carrollton\Keller Springs_2050_The Villas of Josey Ranch_Carrollton_14168","Keller Springs_2050_The Villas of Josey Ranch_Carrollton_14168" )</f>
        <v>Keller Springs_2050_The Villas of Josey Ranch_Carrollton_14168</v>
      </c>
      <c r="L4230" s="104" t="s">
        <v>22253</v>
      </c>
      <c r="M4230" s="103" t="str">
        <f t="shared" si="333"/>
        <v>http://oconnordata.com/mlink/modules/profile/index.cfm?action=profile&amp;prop_id=14168</v>
      </c>
      <c r="N4230" s="1">
        <f t="shared" si="334"/>
        <v>14168</v>
      </c>
    </row>
    <row r="4231" spans="1:14" x14ac:dyDescent="0.3">
      <c r="A4231" s="1">
        <v>14169</v>
      </c>
      <c r="B4231" s="7" t="s">
        <v>6437</v>
      </c>
      <c r="C4231" s="12">
        <v>3050</v>
      </c>
      <c r="D4231" s="7" t="s">
        <v>6438</v>
      </c>
      <c r="E4231" s="13" t="s">
        <v>4996</v>
      </c>
      <c r="F4231" t="str">
        <f t="shared" si="330"/>
        <v>Remond</v>
      </c>
      <c r="G4231" t="str">
        <f t="shared" si="331"/>
        <v>Remond3050Dallas</v>
      </c>
      <c r="H4231" t="s">
        <v>35088</v>
      </c>
      <c r="I4231" t="s">
        <v>26511</v>
      </c>
      <c r="J4231" t="str">
        <f t="shared" si="332"/>
        <v>E:\PropInv\MF</v>
      </c>
      <c r="K4231" s="103" t="str">
        <f>HYPERLINK("E:\PropInv\MF\Dallas\Remond_3050_Villas of Remond_Dallas_14169","Remond_3050_Villas of Remond_Dallas_14169" )</f>
        <v>Remond_3050_Villas of Remond_Dallas_14169</v>
      </c>
      <c r="L4231" s="104" t="s">
        <v>22253</v>
      </c>
      <c r="M4231" s="103" t="str">
        <f t="shared" si="333"/>
        <v>http://oconnordata.com/mlink/modules/profile/index.cfm?action=profile&amp;prop_id=14169</v>
      </c>
      <c r="N4231" s="1">
        <f t="shared" si="334"/>
        <v>14169</v>
      </c>
    </row>
    <row r="4232" spans="1:14" x14ac:dyDescent="0.3">
      <c r="A4232" s="1">
        <v>14170</v>
      </c>
      <c r="B4232" s="7" t="s">
        <v>6439</v>
      </c>
      <c r="C4232" s="12">
        <v>8850</v>
      </c>
      <c r="D4232" s="7" t="s">
        <v>6440</v>
      </c>
      <c r="E4232" s="13" t="s">
        <v>4996</v>
      </c>
      <c r="F4232" t="str">
        <f t="shared" si="330"/>
        <v>Ferguson</v>
      </c>
      <c r="G4232" t="str">
        <f t="shared" si="331"/>
        <v>Ferguson8850Dallas</v>
      </c>
      <c r="H4232" t="s">
        <v>35089</v>
      </c>
      <c r="I4232" t="s">
        <v>26512</v>
      </c>
      <c r="J4232" t="str">
        <f t="shared" si="332"/>
        <v>E:\PropInv\MF</v>
      </c>
      <c r="K4232" s="103" t="str">
        <f>HYPERLINK("E:\PropInv\MF\Dallas\Ferguson_8850_The Vineyards_Dallas_14170","Ferguson_8850_The Vineyards_Dallas_14170" )</f>
        <v>Ferguson_8850_The Vineyards_Dallas_14170</v>
      </c>
      <c r="L4232" s="104" t="s">
        <v>22253</v>
      </c>
      <c r="M4232" s="103" t="str">
        <f t="shared" si="333"/>
        <v>http://oconnordata.com/mlink/modules/profile/index.cfm?action=profile&amp;prop_id=14170</v>
      </c>
      <c r="N4232" s="1">
        <f t="shared" si="334"/>
        <v>14170</v>
      </c>
    </row>
    <row r="4233" spans="1:14" x14ac:dyDescent="0.3">
      <c r="A4233" s="1">
        <v>14171</v>
      </c>
      <c r="B4233" s="7" t="s">
        <v>6441</v>
      </c>
      <c r="C4233" s="12">
        <v>9400</v>
      </c>
      <c r="D4233" s="7" t="s">
        <v>6440</v>
      </c>
      <c r="E4233" s="13" t="s">
        <v>5488</v>
      </c>
      <c r="F4233" t="str">
        <f t="shared" si="330"/>
        <v>Wade</v>
      </c>
      <c r="G4233" t="str">
        <f t="shared" si="331"/>
        <v>Wade9400Frisco</v>
      </c>
      <c r="H4233" t="s">
        <v>35090</v>
      </c>
      <c r="I4233" t="s">
        <v>26513</v>
      </c>
      <c r="J4233" t="str">
        <f t="shared" si="332"/>
        <v>E:\PropInv\MF</v>
      </c>
      <c r="K4233" s="103" t="str">
        <f>HYPERLINK("E:\PropInv\MF\Frisco\Wade Blvd_9400_The Vineyards_Frisco_14171","Wade Blvd_9400_The Vineyards_Frisco_14171" )</f>
        <v>Wade Blvd_9400_The Vineyards_Frisco_14171</v>
      </c>
      <c r="L4233" s="104" t="s">
        <v>22253</v>
      </c>
      <c r="M4233" s="103" t="str">
        <f t="shared" si="333"/>
        <v>http://oconnordata.com/mlink/modules/profile/index.cfm?action=profile&amp;prop_id=14171</v>
      </c>
      <c r="N4233" s="1">
        <f t="shared" si="334"/>
        <v>14171</v>
      </c>
    </row>
    <row r="4234" spans="1:14" x14ac:dyDescent="0.3">
      <c r="A4234" s="1">
        <v>14172</v>
      </c>
      <c r="B4234" s="10" t="s">
        <v>4889</v>
      </c>
      <c r="C4234" s="9">
        <v>3310</v>
      </c>
      <c r="D4234" s="10" t="s">
        <v>6442</v>
      </c>
      <c r="E4234" s="11" t="s">
        <v>4996</v>
      </c>
      <c r="F4234" t="str">
        <f t="shared" si="330"/>
        <v>Cole</v>
      </c>
      <c r="G4234" t="str">
        <f t="shared" si="331"/>
        <v>Cole3310Dallas</v>
      </c>
      <c r="H4234" t="s">
        <v>35091</v>
      </c>
      <c r="I4234" t="s">
        <v>26514</v>
      </c>
      <c r="J4234" t="str">
        <f t="shared" si="332"/>
        <v>E:\PropInv\MF</v>
      </c>
      <c r="K4234" s="103" t="str">
        <f>HYPERLINK("E:\PropInv\MF\Dallas\Cole Ave_3310_Post Vineyard_Dallas_14172","Cole Ave_3310_Post Vineyard_Dallas_14172" )</f>
        <v>Cole Ave_3310_Post Vineyard_Dallas_14172</v>
      </c>
      <c r="L4234" s="104" t="s">
        <v>22253</v>
      </c>
      <c r="M4234" s="103" t="str">
        <f t="shared" si="333"/>
        <v>http://oconnordata.com/mlink/modules/profile/index.cfm?action=profile&amp;prop_id=14172</v>
      </c>
      <c r="N4234" s="1">
        <f t="shared" si="334"/>
        <v>14172</v>
      </c>
    </row>
    <row r="4235" spans="1:14" x14ac:dyDescent="0.3">
      <c r="A4235" s="1">
        <v>14173</v>
      </c>
      <c r="B4235" s="7" t="s">
        <v>6315</v>
      </c>
      <c r="C4235" s="12">
        <v>13447</v>
      </c>
      <c r="D4235" s="7" t="s">
        <v>6443</v>
      </c>
      <c r="E4235" s="13" t="s">
        <v>4996</v>
      </c>
      <c r="F4235" t="str">
        <f t="shared" si="330"/>
        <v>Central</v>
      </c>
      <c r="G4235" t="str">
        <f t="shared" si="331"/>
        <v>Central13447Dallas</v>
      </c>
      <c r="H4235" t="s">
        <v>35092</v>
      </c>
      <c r="I4235" t="s">
        <v>26515</v>
      </c>
      <c r="J4235" t="str">
        <f t="shared" si="332"/>
        <v>E:\PropInv\MF</v>
      </c>
      <c r="K4235" s="103" t="str">
        <f>HYPERLINK("E:\PropInv\MF\Dallas\Central Expwy N_13447_Vinings at Central_Dallas_14173","Central Expwy N_13447_Vinings at Central_Dallas_14173" )</f>
        <v>Central Expwy N_13447_Vinings at Central_Dallas_14173</v>
      </c>
      <c r="L4235" s="104" t="s">
        <v>22253</v>
      </c>
      <c r="M4235" s="103" t="str">
        <f t="shared" si="333"/>
        <v>http://oconnordata.com/mlink/modules/profile/index.cfm?action=profile&amp;prop_id=14173</v>
      </c>
      <c r="N4235" s="1">
        <f t="shared" si="334"/>
        <v>14173</v>
      </c>
    </row>
    <row r="4236" spans="1:14" x14ac:dyDescent="0.3">
      <c r="A4236" s="1">
        <v>14174</v>
      </c>
      <c r="B4236" s="7" t="s">
        <v>6444</v>
      </c>
      <c r="C4236" s="12">
        <v>3700</v>
      </c>
      <c r="D4236" s="7" t="s">
        <v>6445</v>
      </c>
      <c r="E4236" s="13" t="s">
        <v>5488</v>
      </c>
      <c r="F4236" t="str">
        <f t="shared" si="330"/>
        <v>Legacy</v>
      </c>
      <c r="G4236" t="str">
        <f t="shared" si="331"/>
        <v>Legacy3700Frisco</v>
      </c>
      <c r="H4236" t="s">
        <v>35093</v>
      </c>
      <c r="I4236" t="s">
        <v>26516</v>
      </c>
      <c r="J4236" t="str">
        <f t="shared" si="332"/>
        <v>E:\PropInv\MF</v>
      </c>
      <c r="K4236" s="103" t="str">
        <f>HYPERLINK("E:\PropInv\MF\Frisco\Legacy Dr_3700_The Vintage at Legacy_Frisco_14174","Legacy Dr_3700_The Vintage at Legacy_Frisco_14174" )</f>
        <v>Legacy Dr_3700_The Vintage at Legacy_Frisco_14174</v>
      </c>
      <c r="L4236" s="104" t="s">
        <v>22253</v>
      </c>
      <c r="M4236" s="103" t="str">
        <f t="shared" si="333"/>
        <v>http://oconnordata.com/mlink/modules/profile/index.cfm?action=profile&amp;prop_id=14174</v>
      </c>
      <c r="N4236" s="1">
        <f t="shared" si="334"/>
        <v>14174</v>
      </c>
    </row>
    <row r="4237" spans="1:14" x14ac:dyDescent="0.3">
      <c r="A4237" s="1">
        <v>14175</v>
      </c>
      <c r="B4237" s="7" t="s">
        <v>6446</v>
      </c>
      <c r="C4237" s="12">
        <v>1902</v>
      </c>
      <c r="D4237" s="7" t="s">
        <v>6447</v>
      </c>
      <c r="E4237" s="13" t="s">
        <v>4996</v>
      </c>
      <c r="F4237" t="str">
        <f t="shared" si="330"/>
        <v>Tarrant</v>
      </c>
      <c r="G4237" t="str">
        <f t="shared" si="331"/>
        <v>Tarrant1902Dallas</v>
      </c>
      <c r="H4237" t="s">
        <v>35094</v>
      </c>
      <c r="I4237" t="s">
        <v>26517</v>
      </c>
      <c r="J4237" t="str">
        <f t="shared" si="332"/>
        <v>E:\PropInv\MF</v>
      </c>
      <c r="K4237" s="103" t="str">
        <f>HYPERLINK("E:\PropInv\MF\Dallas\Tarrant Place_1902_Virginia Manor_Dallas_14175","Tarrant Place_1902_Virginia Manor_Dallas_14175" )</f>
        <v>Tarrant Place_1902_Virginia Manor_Dallas_14175</v>
      </c>
      <c r="L4237" s="104" t="s">
        <v>22253</v>
      </c>
      <c r="M4237" s="103" t="str">
        <f t="shared" si="333"/>
        <v>http://oconnordata.com/mlink/modules/profile/index.cfm?action=profile&amp;prop_id=14175</v>
      </c>
      <c r="N4237" s="1">
        <f t="shared" si="334"/>
        <v>14175</v>
      </c>
    </row>
    <row r="4238" spans="1:14" x14ac:dyDescent="0.3">
      <c r="A4238" s="1">
        <v>14176</v>
      </c>
      <c r="B4238" s="10" t="s">
        <v>6169</v>
      </c>
      <c r="C4238" s="9">
        <v>9191</v>
      </c>
      <c r="D4238" s="10" t="s">
        <v>6448</v>
      </c>
      <c r="E4238" s="11" t="s">
        <v>4996</v>
      </c>
      <c r="F4238" t="str">
        <f t="shared" si="330"/>
        <v>Garland</v>
      </c>
      <c r="G4238" t="str">
        <f t="shared" si="331"/>
        <v>Garland9191Dallas</v>
      </c>
      <c r="H4238" t="s">
        <v>35095</v>
      </c>
      <c r="I4238" t="s">
        <v>26518</v>
      </c>
      <c r="J4238" t="str">
        <f t="shared" si="332"/>
        <v>E:\PropInv\MF</v>
      </c>
      <c r="K4238" s="103" t="str">
        <f>HYPERLINK("E:\PropInv\MF\Dallas\Garland Rd_9191_White Rock Lake Villas_Dallas_14176","Garland Rd_9191_White Rock Lake Villas_Dallas_14176" )</f>
        <v>Garland Rd_9191_White Rock Lake Villas_Dallas_14176</v>
      </c>
      <c r="L4238" s="104" t="s">
        <v>22253</v>
      </c>
      <c r="M4238" s="103" t="str">
        <f t="shared" si="333"/>
        <v>http://oconnordata.com/mlink/modules/profile/index.cfm?action=profile&amp;prop_id=14176</v>
      </c>
      <c r="N4238" s="1">
        <f t="shared" si="334"/>
        <v>14176</v>
      </c>
    </row>
    <row r="4239" spans="1:14" x14ac:dyDescent="0.3">
      <c r="A4239" s="1">
        <v>14177</v>
      </c>
      <c r="B4239" s="7" t="s">
        <v>6324</v>
      </c>
      <c r="C4239" s="12">
        <v>701</v>
      </c>
      <c r="D4239" s="7" t="s">
        <v>6449</v>
      </c>
      <c r="E4239" s="13" t="s">
        <v>5046</v>
      </c>
      <c r="F4239" t="str">
        <f t="shared" si="330"/>
        <v>Cowboys</v>
      </c>
      <c r="G4239" t="str">
        <f t="shared" si="331"/>
        <v>Cowboys701Irving</v>
      </c>
      <c r="H4239" t="s">
        <v>35096</v>
      </c>
      <c r="I4239" t="s">
        <v>26519</v>
      </c>
      <c r="J4239" t="str">
        <f t="shared" si="332"/>
        <v>E:\PropInv\MF</v>
      </c>
      <c r="K4239" s="103" t="str">
        <f>HYPERLINK("E:\PropInv\MF\Irving\Cowboys Pkwy_701_Vista Pointe at the Valley_Irving_14177","Cowboys Pkwy_701_Vista Pointe at the Valley_Irving_14177" )</f>
        <v>Cowboys Pkwy_701_Vista Pointe at the Valley_Irving_14177</v>
      </c>
      <c r="L4239" s="104" t="s">
        <v>22253</v>
      </c>
      <c r="M4239" s="103" t="str">
        <f t="shared" si="333"/>
        <v>http://oconnordata.com/mlink/modules/profile/index.cfm?action=profile&amp;prop_id=14177</v>
      </c>
      <c r="N4239" s="1">
        <f t="shared" si="334"/>
        <v>14177</v>
      </c>
    </row>
    <row r="4240" spans="1:14" x14ac:dyDescent="0.3">
      <c r="A4240" s="1">
        <v>14178</v>
      </c>
      <c r="B4240" s="7" t="s">
        <v>6256</v>
      </c>
      <c r="C4240" s="12">
        <v>265</v>
      </c>
      <c r="D4240" s="7" t="s">
        <v>6450</v>
      </c>
      <c r="E4240" s="13" t="s">
        <v>5055</v>
      </c>
      <c r="F4240" t="str">
        <f t="shared" si="330"/>
        <v>Corporate</v>
      </c>
      <c r="G4240" t="str">
        <f t="shared" si="331"/>
        <v>Corporate265Lewisville</v>
      </c>
      <c r="H4240" t="s">
        <v>35097</v>
      </c>
      <c r="I4240" t="s">
        <v>26520</v>
      </c>
      <c r="J4240" t="str">
        <f t="shared" si="332"/>
        <v>E:\PropInv\MF</v>
      </c>
      <c r="K4240" s="103" t="str">
        <f>HYPERLINK("E:\PropInv\MF\Lewisville\Corporate Dr E_265_Vista Springs_Lewisville_14178","Corporate Dr E_265_Vista Springs_Lewisville_14178" )</f>
        <v>Corporate Dr E_265_Vista Springs_Lewisville_14178</v>
      </c>
      <c r="L4240" s="104" t="s">
        <v>22253</v>
      </c>
      <c r="M4240" s="103" t="str">
        <f t="shared" si="333"/>
        <v>http://oconnordata.com/mlink/modules/profile/index.cfm?action=profile&amp;prop_id=14178</v>
      </c>
      <c r="N4240" s="1">
        <f t="shared" si="334"/>
        <v>14178</v>
      </c>
    </row>
    <row r="4241" spans="1:14" x14ac:dyDescent="0.3">
      <c r="A4241" s="1">
        <v>14179</v>
      </c>
      <c r="B4241" s="7" t="s">
        <v>6441</v>
      </c>
      <c r="C4241" s="12">
        <v>9399</v>
      </c>
      <c r="D4241" s="7" t="s">
        <v>6451</v>
      </c>
      <c r="E4241" s="13" t="s">
        <v>5488</v>
      </c>
      <c r="F4241" t="str">
        <f t="shared" si="330"/>
        <v>Wade</v>
      </c>
      <c r="G4241" t="str">
        <f t="shared" si="331"/>
        <v>Wade9399Frisco</v>
      </c>
      <c r="H4241" t="s">
        <v>35098</v>
      </c>
      <c r="I4241" t="s">
        <v>26521</v>
      </c>
      <c r="J4241" t="str">
        <f t="shared" si="332"/>
        <v>E:\PropInv\MF</v>
      </c>
      <c r="K4241" s="103" t="str">
        <f>HYPERLINK("E:\PropInv\MF\Frisco\Wade Blvd_9399_Wade Crossing_Frisco_14179","Wade Blvd_9399_Wade Crossing_Frisco_14179" )</f>
        <v>Wade Blvd_9399_Wade Crossing_Frisco_14179</v>
      </c>
      <c r="L4241" s="104" t="s">
        <v>22253</v>
      </c>
      <c r="M4241" s="103" t="str">
        <f t="shared" si="333"/>
        <v>http://oconnordata.com/mlink/modules/profile/index.cfm?action=profile&amp;prop_id=14179</v>
      </c>
      <c r="N4241" s="1">
        <f t="shared" si="334"/>
        <v>14179</v>
      </c>
    </row>
    <row r="4242" spans="1:14" x14ac:dyDescent="0.3">
      <c r="A4242" s="1">
        <v>14180</v>
      </c>
      <c r="B4242" s="7" t="s">
        <v>6452</v>
      </c>
      <c r="C4242" s="12">
        <v>3880</v>
      </c>
      <c r="D4242" s="7" t="s">
        <v>6453</v>
      </c>
      <c r="E4242" s="13" t="s">
        <v>4996</v>
      </c>
      <c r="F4242" t="str">
        <f t="shared" si="330"/>
        <v>Walton</v>
      </c>
      <c r="G4242" t="str">
        <f t="shared" si="331"/>
        <v>Walton3880Dallas</v>
      </c>
      <c r="H4242" t="s">
        <v>35099</v>
      </c>
      <c r="I4242" t="s">
        <v>26522</v>
      </c>
      <c r="J4242" t="str">
        <f t="shared" si="332"/>
        <v>E:\PropInv\MF</v>
      </c>
      <c r="K4242" s="103" t="str">
        <f>HYPERLINK("E:\PropInv\MF\Dallas\Walton Walker S_3880_Walker Place_Dallas_14180","Walton Walker S_3880_Walker Place_Dallas_14180" )</f>
        <v>Walton Walker S_3880_Walker Place_Dallas_14180</v>
      </c>
      <c r="L4242" s="104" t="s">
        <v>22253</v>
      </c>
      <c r="M4242" s="103" t="str">
        <f t="shared" si="333"/>
        <v>http://oconnordata.com/mlink/modules/profile/index.cfm?action=profile&amp;prop_id=14180</v>
      </c>
      <c r="N4242" s="1">
        <f t="shared" si="334"/>
        <v>14180</v>
      </c>
    </row>
    <row r="4243" spans="1:14" x14ac:dyDescent="0.3">
      <c r="A4243" s="1">
        <v>14181</v>
      </c>
      <c r="B4243" s="7" t="s">
        <v>5581</v>
      </c>
      <c r="C4243" s="12">
        <v>4055</v>
      </c>
      <c r="D4243" s="7" t="s">
        <v>6454</v>
      </c>
      <c r="E4243" s="13" t="s">
        <v>4996</v>
      </c>
      <c r="F4243" t="str">
        <f t="shared" si="330"/>
        <v>Frankford</v>
      </c>
      <c r="G4243" t="str">
        <f t="shared" si="331"/>
        <v>Frankford4055Dallas</v>
      </c>
      <c r="H4243" t="s">
        <v>35100</v>
      </c>
      <c r="I4243" t="s">
        <v>26523</v>
      </c>
      <c r="J4243" t="str">
        <f t="shared" si="332"/>
        <v>E:\PropInv\MF</v>
      </c>
      <c r="K4243" s="103" t="str">
        <f>HYPERLINK("E:\PropInv\MF\Dallas\Frankford Rd_4055_Walker's Mark_Dallas_14181","Frankford Rd_4055_Walker's Mark_Dallas_14181" )</f>
        <v>Frankford Rd_4055_Walker's Mark_Dallas_14181</v>
      </c>
      <c r="L4243" s="104" t="s">
        <v>22253</v>
      </c>
      <c r="M4243" s="103" t="str">
        <f t="shared" si="333"/>
        <v>http://oconnordata.com/mlink/modules/profile/index.cfm?action=profile&amp;prop_id=14181</v>
      </c>
      <c r="N4243" s="1">
        <f t="shared" si="334"/>
        <v>14181</v>
      </c>
    </row>
    <row r="4244" spans="1:14" x14ac:dyDescent="0.3">
      <c r="A4244" s="1">
        <v>14182</v>
      </c>
      <c r="B4244" s="7" t="s">
        <v>6176</v>
      </c>
      <c r="C4244" s="12">
        <v>9944</v>
      </c>
      <c r="D4244" s="7" t="s">
        <v>2794</v>
      </c>
      <c r="E4244" s="13" t="s">
        <v>4996</v>
      </c>
      <c r="F4244" t="str">
        <f t="shared" si="330"/>
        <v>Walnut</v>
      </c>
      <c r="G4244" t="str">
        <f t="shared" si="331"/>
        <v>Walnut9944Dallas</v>
      </c>
      <c r="H4244" t="s">
        <v>35101</v>
      </c>
      <c r="I4244" t="s">
        <v>26524</v>
      </c>
      <c r="J4244" t="str">
        <f t="shared" si="332"/>
        <v>E:\PropInv\MF</v>
      </c>
      <c r="K4244" s="103" t="str">
        <f>HYPERLINK("E:\PropInv\MF\Dallas\Walnut St_9944_Walnut Bend_Dallas_14182","Walnut St_9944_Walnut Bend_Dallas_14182" )</f>
        <v>Walnut St_9944_Walnut Bend_Dallas_14182</v>
      </c>
      <c r="L4244" s="104" t="s">
        <v>22253</v>
      </c>
      <c r="M4244" s="103" t="str">
        <f t="shared" si="333"/>
        <v>http://oconnordata.com/mlink/modules/profile/index.cfm?action=profile&amp;prop_id=14182</v>
      </c>
      <c r="N4244" s="1">
        <f t="shared" si="334"/>
        <v>14182</v>
      </c>
    </row>
    <row r="4245" spans="1:14" x14ac:dyDescent="0.3">
      <c r="A4245" s="1">
        <v>14183</v>
      </c>
      <c r="B4245" s="7" t="s">
        <v>6455</v>
      </c>
      <c r="C4245" s="12">
        <v>4051</v>
      </c>
      <c r="D4245" s="7" t="s">
        <v>6456</v>
      </c>
      <c r="E4245" s="13" t="s">
        <v>5005</v>
      </c>
      <c r="F4245" t="str">
        <f t="shared" si="330"/>
        <v>Beltway</v>
      </c>
      <c r="G4245" t="str">
        <f t="shared" si="331"/>
        <v>Beltway4051Addison</v>
      </c>
      <c r="H4245" t="s">
        <v>35102</v>
      </c>
      <c r="I4245" t="s">
        <v>26525</v>
      </c>
      <c r="J4245" t="str">
        <f t="shared" si="332"/>
        <v>E:\PropInv\MF</v>
      </c>
      <c r="K4245" s="103" t="str">
        <f>HYPERLINK("E:\PropInv\MF\Addison\Beltway Dr_4051_Walnut Square_Addison_14183","Beltway Dr_4051_Walnut Square_Addison_14183" )</f>
        <v>Beltway Dr_4051_Walnut Square_Addison_14183</v>
      </c>
      <c r="L4245" s="104" t="s">
        <v>22253</v>
      </c>
      <c r="M4245" s="103" t="str">
        <f t="shared" si="333"/>
        <v>http://oconnordata.com/mlink/modules/profile/index.cfm?action=profile&amp;prop_id=14183</v>
      </c>
      <c r="N4245" s="1">
        <f t="shared" si="334"/>
        <v>14183</v>
      </c>
    </row>
    <row r="4246" spans="1:14" x14ac:dyDescent="0.3">
      <c r="A4246" s="1">
        <v>14184</v>
      </c>
      <c r="B4246" s="7" t="s">
        <v>5101</v>
      </c>
      <c r="C4246" s="12">
        <v>3330</v>
      </c>
      <c r="D4246" s="7" t="s">
        <v>6457</v>
      </c>
      <c r="E4246" s="13" t="s">
        <v>4996</v>
      </c>
      <c r="F4246" t="str">
        <f t="shared" si="330"/>
        <v>Webb</v>
      </c>
      <c r="G4246" t="str">
        <f t="shared" si="331"/>
        <v>Webb3330Dallas</v>
      </c>
      <c r="H4246" t="s">
        <v>35103</v>
      </c>
      <c r="I4246" t="s">
        <v>26526</v>
      </c>
      <c r="J4246" t="str">
        <f t="shared" si="332"/>
        <v>E:\PropInv\MF</v>
      </c>
      <c r="K4246" s="103" t="str">
        <f>HYPERLINK("E:\PropInv\MF\Dallas\Webb Chapel Extension_3330_Plaza Del Lago_Dallas_14184","Webb Chapel Extension_3330_Plaza Del Lago_Dallas_14184" )</f>
        <v>Webb Chapel Extension_3330_Plaza Del Lago_Dallas_14184</v>
      </c>
      <c r="L4246" s="104" t="s">
        <v>22253</v>
      </c>
      <c r="M4246" s="103" t="str">
        <f t="shared" si="333"/>
        <v>http://oconnordata.com/mlink/modules/profile/index.cfm?action=profile&amp;prop_id=14184</v>
      </c>
      <c r="N4246" s="1">
        <f t="shared" si="334"/>
        <v>14184</v>
      </c>
    </row>
    <row r="4247" spans="1:14" x14ac:dyDescent="0.3">
      <c r="A4247" s="1">
        <v>14185</v>
      </c>
      <c r="B4247" s="7" t="s">
        <v>6458</v>
      </c>
      <c r="C4247" s="12">
        <v>12365</v>
      </c>
      <c r="D4247" s="7" t="s">
        <v>2044</v>
      </c>
      <c r="E4247" s="13" t="s">
        <v>4996</v>
      </c>
      <c r="F4247" t="str">
        <f t="shared" si="330"/>
        <v>Plano</v>
      </c>
      <c r="G4247" t="str">
        <f t="shared" si="331"/>
        <v>Plano12365Dallas</v>
      </c>
      <c r="H4247" t="s">
        <v>35104</v>
      </c>
      <c r="I4247" t="s">
        <v>26527</v>
      </c>
      <c r="J4247" t="str">
        <f t="shared" si="332"/>
        <v>E:\PropInv\MF</v>
      </c>
      <c r="K4247" s="103" t="str">
        <f>HYPERLINK("E:\PropInv\MF\Dallas\Plano Rd_12365_Waterchase_Dallas_14185","Plano Rd_12365_Waterchase_Dallas_14185" )</f>
        <v>Plano Rd_12365_Waterchase_Dallas_14185</v>
      </c>
      <c r="L4247" s="104" t="s">
        <v>22253</v>
      </c>
      <c r="M4247" s="103" t="str">
        <f t="shared" si="333"/>
        <v>http://oconnordata.com/mlink/modules/profile/index.cfm?action=profile&amp;prop_id=14185</v>
      </c>
      <c r="N4247" s="1">
        <f t="shared" si="334"/>
        <v>14185</v>
      </c>
    </row>
    <row r="4248" spans="1:14" x14ac:dyDescent="0.3">
      <c r="A4248" s="1">
        <v>14186</v>
      </c>
      <c r="B4248" s="7" t="s">
        <v>6160</v>
      </c>
      <c r="C4248" s="12">
        <v>3829</v>
      </c>
      <c r="D4248" s="7" t="s">
        <v>6459</v>
      </c>
      <c r="E4248" s="13" t="s">
        <v>4996</v>
      </c>
      <c r="F4248" t="str">
        <f t="shared" si="330"/>
        <v>Gannon</v>
      </c>
      <c r="G4248" t="str">
        <f t="shared" si="331"/>
        <v>Gannon3829Dallas</v>
      </c>
      <c r="H4248" t="s">
        <v>35105</v>
      </c>
      <c r="I4248" t="s">
        <v>26528</v>
      </c>
      <c r="J4248" t="str">
        <f t="shared" si="332"/>
        <v>E:\PropInv\MF</v>
      </c>
      <c r="K4248" s="103" t="str">
        <f>HYPERLINK("E:\PropInv\MF\Dallas\Gannon_3829_Cielo Ranch I_Dallas_14186","Gannon_3829_Cielo Ranch I_Dallas_14186" )</f>
        <v>Gannon_3829_Cielo Ranch I_Dallas_14186</v>
      </c>
      <c r="L4248" s="104" t="s">
        <v>22253</v>
      </c>
      <c r="M4248" s="103" t="str">
        <f t="shared" si="333"/>
        <v>http://oconnordata.com/mlink/modules/profile/index.cfm?action=profile&amp;prop_id=14186</v>
      </c>
      <c r="N4248" s="1">
        <f t="shared" si="334"/>
        <v>14186</v>
      </c>
    </row>
    <row r="4249" spans="1:14" x14ac:dyDescent="0.3">
      <c r="A4249" s="1">
        <v>14187</v>
      </c>
      <c r="B4249" s="7" t="s">
        <v>6460</v>
      </c>
      <c r="C4249" s="12">
        <v>13695</v>
      </c>
      <c r="D4249" s="7" t="s">
        <v>6461</v>
      </c>
      <c r="E4249" s="13" t="s">
        <v>4996</v>
      </c>
      <c r="F4249" t="str">
        <f t="shared" si="330"/>
        <v>Goldmark</v>
      </c>
      <c r="G4249" t="str">
        <f t="shared" si="331"/>
        <v>Goldmark13695Dallas</v>
      </c>
      <c r="H4249" t="s">
        <v>35106</v>
      </c>
      <c r="I4249" t="s">
        <v>26529</v>
      </c>
      <c r="J4249" t="str">
        <f t="shared" si="332"/>
        <v>E:\PropInv\MF</v>
      </c>
      <c r="K4249" s="103" t="str">
        <f>HYPERLINK("E:\PropInv\MF\Dallas\Goldmark_13695_Waterford at Goldmark_Dallas_14187","Goldmark_13695_Waterford at Goldmark_Dallas_14187" )</f>
        <v>Goldmark_13695_Waterford at Goldmark_Dallas_14187</v>
      </c>
      <c r="L4249" s="104" t="s">
        <v>22253</v>
      </c>
      <c r="M4249" s="103" t="str">
        <f t="shared" si="333"/>
        <v>http://oconnordata.com/mlink/modules/profile/index.cfm?action=profile&amp;prop_id=14187</v>
      </c>
      <c r="N4249" s="1">
        <f t="shared" si="334"/>
        <v>14187</v>
      </c>
    </row>
    <row r="4250" spans="1:14" x14ac:dyDescent="0.3">
      <c r="A4250" s="1">
        <v>14188</v>
      </c>
      <c r="B4250" s="37" t="s">
        <v>5721</v>
      </c>
      <c r="C4250" s="38">
        <v>3640</v>
      </c>
      <c r="D4250" s="29" t="s">
        <v>6462</v>
      </c>
      <c r="E4250" s="39" t="s">
        <v>5060</v>
      </c>
      <c r="F4250" t="str">
        <f t="shared" si="330"/>
        <v>Old</v>
      </c>
      <c r="G4250" t="str">
        <f t="shared" si="331"/>
        <v>Old3640Carrollton</v>
      </c>
      <c r="H4250" t="s">
        <v>35107</v>
      </c>
      <c r="I4250" t="s">
        <v>26530</v>
      </c>
      <c r="J4250" t="str">
        <f t="shared" si="332"/>
        <v>E:\PropInv\MF</v>
      </c>
      <c r="K4250" s="103" t="str">
        <f>HYPERLINK("E:\PropInv\MF\Carrollton\Old Denton Rd_3640_Waterford at the Park_Carrollton_14188","Old Denton Rd_3640_Waterford at the Park_Carrollton_14188" )</f>
        <v>Old Denton Rd_3640_Waterford at the Park_Carrollton_14188</v>
      </c>
      <c r="L4250" s="104" t="s">
        <v>22253</v>
      </c>
      <c r="M4250" s="103" t="str">
        <f t="shared" si="333"/>
        <v>http://oconnordata.com/mlink/modules/profile/index.cfm?action=profile&amp;prop_id=14188</v>
      </c>
      <c r="N4250" s="1">
        <f t="shared" si="334"/>
        <v>14188</v>
      </c>
    </row>
    <row r="4251" spans="1:14" x14ac:dyDescent="0.3">
      <c r="A4251" s="1">
        <v>14189</v>
      </c>
      <c r="B4251" s="10" t="s">
        <v>6324</v>
      </c>
      <c r="C4251" s="9">
        <v>151</v>
      </c>
      <c r="D4251" s="10" t="s">
        <v>6463</v>
      </c>
      <c r="E4251" s="11" t="s">
        <v>5046</v>
      </c>
      <c r="F4251" t="str">
        <f t="shared" si="330"/>
        <v>Cowboys</v>
      </c>
      <c r="G4251" t="str">
        <f t="shared" si="331"/>
        <v>Cowboys151Irving</v>
      </c>
      <c r="H4251" t="s">
        <v>35108</v>
      </c>
      <c r="I4251" t="s">
        <v>26531</v>
      </c>
      <c r="J4251" t="str">
        <f t="shared" si="332"/>
        <v>E:\PropInv\MF</v>
      </c>
      <c r="K4251" s="103" t="str">
        <f>HYPERLINK("E:\PropInv\MF\Irving\Cowboys Pkwy_151_Waterford at Valley Ranch_Irving_14189","Cowboys Pkwy_151_Waterford at Valley Ranch_Irving_14189" )</f>
        <v>Cowboys Pkwy_151_Waterford at Valley Ranch_Irving_14189</v>
      </c>
      <c r="L4251" s="104" t="s">
        <v>22253</v>
      </c>
      <c r="M4251" s="103" t="str">
        <f t="shared" si="333"/>
        <v>http://oconnordata.com/mlink/modules/profile/index.cfm?action=profile&amp;prop_id=14189</v>
      </c>
      <c r="N4251" s="1">
        <f t="shared" si="334"/>
        <v>14189</v>
      </c>
    </row>
    <row r="4252" spans="1:14" x14ac:dyDescent="0.3">
      <c r="A4252" s="1">
        <v>14190</v>
      </c>
      <c r="B4252" s="10" t="s">
        <v>5037</v>
      </c>
      <c r="C4252" s="9">
        <v>14700</v>
      </c>
      <c r="D4252" s="10" t="s">
        <v>6464</v>
      </c>
      <c r="E4252" s="11" t="s">
        <v>5005</v>
      </c>
      <c r="F4252" t="str">
        <f t="shared" si="330"/>
        <v>Marsh</v>
      </c>
      <c r="G4252" t="str">
        <f t="shared" si="331"/>
        <v>Marsh14700Addison</v>
      </c>
      <c r="H4252" t="s">
        <v>35109</v>
      </c>
      <c r="I4252" t="s">
        <v>26532</v>
      </c>
      <c r="J4252" t="str">
        <f t="shared" si="332"/>
        <v>E:\PropInv\MF</v>
      </c>
      <c r="K4252" s="103" t="str">
        <f>HYPERLINK("E:\PropInv\MF\Addison\Marsh Ln_14700_Waterford Court_Addison_14190","Marsh Ln_14700_Waterford Court_Addison_14190" )</f>
        <v>Marsh Ln_14700_Waterford Court_Addison_14190</v>
      </c>
      <c r="L4252" s="104" t="s">
        <v>22253</v>
      </c>
      <c r="M4252" s="103" t="str">
        <f t="shared" si="333"/>
        <v>http://oconnordata.com/mlink/modules/profile/index.cfm?action=profile&amp;prop_id=14190</v>
      </c>
      <c r="N4252" s="1">
        <f t="shared" si="334"/>
        <v>14190</v>
      </c>
    </row>
    <row r="4253" spans="1:14" x14ac:dyDescent="0.3">
      <c r="A4253" s="1">
        <v>14191</v>
      </c>
      <c r="B4253" s="7" t="s">
        <v>6465</v>
      </c>
      <c r="C4253" s="12">
        <v>4501</v>
      </c>
      <c r="D4253" s="7" t="s">
        <v>2279</v>
      </c>
      <c r="E4253" s="13" t="s">
        <v>4996</v>
      </c>
      <c r="F4253" t="str">
        <f t="shared" si="330"/>
        <v>Druid</v>
      </c>
      <c r="G4253" t="str">
        <f t="shared" si="331"/>
        <v>Druid4501Dallas</v>
      </c>
      <c r="H4253" t="s">
        <v>35110</v>
      </c>
      <c r="I4253" t="s">
        <v>26533</v>
      </c>
      <c r="J4253" t="str">
        <f t="shared" si="332"/>
        <v>E:\PropInv\MF</v>
      </c>
      <c r="K4253" s="103" t="str">
        <f>HYPERLINK("E:\PropInv\MF\Dallas\Druid Ln_4501_Waterford Place_Dallas_14191","Druid Ln_4501_Waterford Place_Dallas_14191" )</f>
        <v>Druid Ln_4501_Waterford Place_Dallas_14191</v>
      </c>
      <c r="L4253" s="104" t="s">
        <v>22253</v>
      </c>
      <c r="M4253" s="103" t="str">
        <f t="shared" si="333"/>
        <v>http://oconnordata.com/mlink/modules/profile/index.cfm?action=profile&amp;prop_id=14191</v>
      </c>
      <c r="N4253" s="1">
        <f t="shared" si="334"/>
        <v>14191</v>
      </c>
    </row>
    <row r="4254" spans="1:14" x14ac:dyDescent="0.3">
      <c r="A4254" s="1">
        <v>14193</v>
      </c>
      <c r="B4254" s="7" t="s">
        <v>5550</v>
      </c>
      <c r="C4254" s="12">
        <v>9505</v>
      </c>
      <c r="D4254" s="7" t="s">
        <v>6466</v>
      </c>
      <c r="E4254" s="13" t="s">
        <v>4996</v>
      </c>
      <c r="F4254" t="str">
        <f t="shared" si="330"/>
        <v>Royal</v>
      </c>
      <c r="G4254" t="str">
        <f t="shared" si="331"/>
        <v>Royal9505Dallas</v>
      </c>
      <c r="H4254" t="s">
        <v>35111</v>
      </c>
      <c r="I4254" t="s">
        <v>26534</v>
      </c>
      <c r="J4254" t="str">
        <f t="shared" si="332"/>
        <v>E:\PropInv\MF</v>
      </c>
      <c r="K4254" s="103" t="str">
        <f>HYPERLINK("E:\PropInv\MF\Dallas\Royal Ln_9505_Sontera Palms_Dallas_14193","Royal Ln_9505_Sontera Palms_Dallas_14193" )</f>
        <v>Royal Ln_9505_Sontera Palms_Dallas_14193</v>
      </c>
      <c r="L4254" s="104" t="s">
        <v>22253</v>
      </c>
      <c r="M4254" s="103" t="str">
        <f t="shared" si="333"/>
        <v>http://oconnordata.com/mlink/modules/profile/index.cfm?action=profile&amp;prop_id=14193</v>
      </c>
      <c r="N4254" s="1">
        <f t="shared" si="334"/>
        <v>14193</v>
      </c>
    </row>
    <row r="4255" spans="1:14" x14ac:dyDescent="0.3">
      <c r="A4255" s="1">
        <v>14194</v>
      </c>
      <c r="B4255" s="7" t="s">
        <v>5300</v>
      </c>
      <c r="C4255" s="12">
        <v>9763</v>
      </c>
      <c r="D4255" s="7" t="s">
        <v>6467</v>
      </c>
      <c r="E4255" s="13" t="s">
        <v>4996</v>
      </c>
      <c r="F4255" t="str">
        <f t="shared" si="330"/>
        <v>Audelia</v>
      </c>
      <c r="G4255" t="str">
        <f t="shared" si="331"/>
        <v>Audelia9763Dallas</v>
      </c>
      <c r="H4255" t="s">
        <v>35112</v>
      </c>
      <c r="I4255" t="s">
        <v>26535</v>
      </c>
      <c r="J4255" t="str">
        <f t="shared" si="332"/>
        <v>E:\PropInv\MF</v>
      </c>
      <c r="K4255" s="103" t="str">
        <f>HYPERLINK("E:\PropInv\MF\Dallas\Audelia_9763_Watermarke at Lake Highlands_Dallas_14194","Audelia_9763_Watermarke at Lake Highlands_Dallas_14194" )</f>
        <v>Audelia_9763_Watermarke at Lake Highlands_Dallas_14194</v>
      </c>
      <c r="L4255" s="104" t="s">
        <v>22253</v>
      </c>
      <c r="M4255" s="103" t="str">
        <f t="shared" si="333"/>
        <v>http://oconnordata.com/mlink/modules/profile/index.cfm?action=profile&amp;prop_id=14194</v>
      </c>
      <c r="N4255" s="1">
        <f t="shared" si="334"/>
        <v>14194</v>
      </c>
    </row>
    <row r="4256" spans="1:14" x14ac:dyDescent="0.3">
      <c r="A4256" s="1">
        <v>14195</v>
      </c>
      <c r="B4256" s="7" t="s">
        <v>6468</v>
      </c>
      <c r="C4256" s="12">
        <v>14645</v>
      </c>
      <c r="D4256" s="7" t="s">
        <v>6469</v>
      </c>
      <c r="E4256" s="13" t="s">
        <v>4996</v>
      </c>
      <c r="F4256" t="str">
        <f t="shared" si="330"/>
        <v>Las</v>
      </c>
      <c r="G4256" t="str">
        <f t="shared" si="331"/>
        <v>Las14645Dallas</v>
      </c>
      <c r="H4256" t="s">
        <v>35113</v>
      </c>
      <c r="I4256" t="s">
        <v>26536</v>
      </c>
      <c r="J4256" t="str">
        <f t="shared" si="332"/>
        <v>E:\PropInv\MF</v>
      </c>
      <c r="K4256" s="103" t="str">
        <f>HYPERLINK("E:\PropInv\MF\Dallas\Las Flores_14645_Watersong Villas_Dallas_14195","Las Flores_14645_Watersong Villas_Dallas_14195" )</f>
        <v>Las Flores_14645_Watersong Villas_Dallas_14195</v>
      </c>
      <c r="L4256" s="104" t="s">
        <v>22253</v>
      </c>
      <c r="M4256" s="103" t="str">
        <f t="shared" si="333"/>
        <v>http://oconnordata.com/mlink/modules/profile/index.cfm?action=profile&amp;prop_id=14195</v>
      </c>
      <c r="N4256" s="1">
        <f t="shared" si="334"/>
        <v>14195</v>
      </c>
    </row>
    <row r="4257" spans="1:14" x14ac:dyDescent="0.3">
      <c r="A4257" s="1">
        <v>14196</v>
      </c>
      <c r="B4257" s="7" t="s">
        <v>5436</v>
      </c>
      <c r="C4257" s="12">
        <v>2479</v>
      </c>
      <c r="D4257" s="7" t="s">
        <v>6470</v>
      </c>
      <c r="E4257" s="13" t="s">
        <v>5055</v>
      </c>
      <c r="F4257" t="str">
        <f t="shared" si="330"/>
        <v>Deer</v>
      </c>
      <c r="G4257" t="str">
        <f t="shared" si="331"/>
        <v>Deer2479Lewisville</v>
      </c>
      <c r="H4257" t="s">
        <v>35114</v>
      </c>
      <c r="I4257" t="s">
        <v>26537</v>
      </c>
      <c r="J4257" t="str">
        <f t="shared" si="332"/>
        <v>E:\PropInv\MF</v>
      </c>
      <c r="K4257" s="103" t="str">
        <f>HYPERLINK("E:\PropInv\MF\Lewisville\Deer Run_2479_Wellington Park_Lewisville_14196","Deer Run_2479_Wellington Park_Lewisville_14196" )</f>
        <v>Deer Run_2479_Wellington Park_Lewisville_14196</v>
      </c>
      <c r="L4257" s="104" t="s">
        <v>22253</v>
      </c>
      <c r="M4257" s="103" t="str">
        <f t="shared" si="333"/>
        <v>http://oconnordata.com/mlink/modules/profile/index.cfm?action=profile&amp;prop_id=14196</v>
      </c>
      <c r="N4257" s="1">
        <f t="shared" si="334"/>
        <v>14196</v>
      </c>
    </row>
    <row r="4258" spans="1:14" x14ac:dyDescent="0.3">
      <c r="A4258" s="1">
        <v>14197</v>
      </c>
      <c r="B4258" s="7" t="s">
        <v>6184</v>
      </c>
      <c r="C4258" s="12">
        <v>230</v>
      </c>
      <c r="D4258" s="7" t="s">
        <v>6471</v>
      </c>
      <c r="E4258" s="13" t="s">
        <v>5612</v>
      </c>
      <c r="F4258" t="str">
        <f t="shared" si="330"/>
        <v>MacArthur</v>
      </c>
      <c r="G4258" t="str">
        <f t="shared" si="331"/>
        <v>MacArthur230Coppell</v>
      </c>
      <c r="H4258" t="s">
        <v>35115</v>
      </c>
      <c r="I4258" t="s">
        <v>26538</v>
      </c>
      <c r="J4258" t="str">
        <f t="shared" si="332"/>
        <v>E:\PropInv\MF</v>
      </c>
      <c r="K4258" s="103" t="str">
        <f>HYPERLINK("E:\PropInv\MF\Coppell\MacArthur Blvd S_230_Wellington Place_Coppell_14197","MacArthur Blvd S_230_Wellington Place_Coppell_14197" )</f>
        <v>MacArthur Blvd S_230_Wellington Place_Coppell_14197</v>
      </c>
      <c r="L4258" s="104" t="s">
        <v>22253</v>
      </c>
      <c r="M4258" s="103" t="str">
        <f t="shared" si="333"/>
        <v>http://oconnordata.com/mlink/modules/profile/index.cfm?action=profile&amp;prop_id=14197</v>
      </c>
      <c r="N4258" s="1">
        <f t="shared" si="334"/>
        <v>14197</v>
      </c>
    </row>
    <row r="4259" spans="1:14" x14ac:dyDescent="0.3">
      <c r="A4259" s="1">
        <v>14198</v>
      </c>
      <c r="B4259" s="7" t="s">
        <v>6472</v>
      </c>
      <c r="C4259" s="12">
        <v>4712</v>
      </c>
      <c r="D4259" s="7" t="s">
        <v>5924</v>
      </c>
      <c r="E4259" s="13" t="s">
        <v>6473</v>
      </c>
      <c r="F4259" t="str">
        <f t="shared" si="330"/>
        <v>Lemmon</v>
      </c>
      <c r="G4259" t="str">
        <f t="shared" si="331"/>
        <v>Lemmon4712Highland Park</v>
      </c>
      <c r="H4259" t="s">
        <v>35116</v>
      </c>
      <c r="I4259" t="s">
        <v>26539</v>
      </c>
      <c r="J4259" t="str">
        <f t="shared" si="332"/>
        <v>E:\PropInv\MF</v>
      </c>
      <c r="K4259" s="103" t="str">
        <f>HYPERLINK("E:\PropInv\MF\Highland Park\Lemmon Ave #10_4712_Westchester_Highland Park_14198","Lemmon Ave #10_4712_Westchester_Highland Park_14198" )</f>
        <v>Lemmon Ave #10_4712_Westchester_Highland Park_14198</v>
      </c>
      <c r="L4259" s="104" t="s">
        <v>22253</v>
      </c>
      <c r="M4259" s="103" t="str">
        <f t="shared" si="333"/>
        <v>http://oconnordata.com/mlink/modules/profile/index.cfm?action=profile&amp;prop_id=14198</v>
      </c>
      <c r="N4259" s="1">
        <f t="shared" si="334"/>
        <v>14198</v>
      </c>
    </row>
    <row r="4260" spans="1:14" x14ac:dyDescent="0.3">
      <c r="A4260" s="1">
        <v>14199</v>
      </c>
      <c r="B4260" s="7" t="s">
        <v>5602</v>
      </c>
      <c r="C4260" s="12">
        <v>620</v>
      </c>
      <c r="D4260" s="7" t="s">
        <v>6474</v>
      </c>
      <c r="E4260" s="13" t="s">
        <v>5076</v>
      </c>
      <c r="F4260" t="str">
        <f t="shared" si="330"/>
        <v>Westchester</v>
      </c>
      <c r="G4260" t="str">
        <f t="shared" si="331"/>
        <v>Westchester620Grand Prairie</v>
      </c>
      <c r="H4260" t="s">
        <v>35117</v>
      </c>
      <c r="I4260" t="s">
        <v>26540</v>
      </c>
      <c r="J4260" t="str">
        <f t="shared" si="332"/>
        <v>E:\PropInv\MF</v>
      </c>
      <c r="K4260" s="103" t="str">
        <f>HYPERLINK("E:\PropInv\MF\Grand Prairie\Westchester Pkwy W_620_Westchester by Norstar_Grand Prairie_14199","Westchester Pkwy W_620_Westchester by Norstar_Grand Prairie_14199" )</f>
        <v>Westchester Pkwy W_620_Westchester by Norstar_Grand Prairie_14199</v>
      </c>
      <c r="L4260" s="104" t="s">
        <v>22253</v>
      </c>
      <c r="M4260" s="103" t="str">
        <f t="shared" si="333"/>
        <v>http://oconnordata.com/mlink/modules/profile/index.cfm?action=profile&amp;prop_id=14199</v>
      </c>
      <c r="N4260" s="1">
        <f t="shared" si="334"/>
        <v>14199</v>
      </c>
    </row>
    <row r="4261" spans="1:14" x14ac:dyDescent="0.3">
      <c r="A4261" s="1">
        <v>14200</v>
      </c>
      <c r="B4261" s="7" t="s">
        <v>6475</v>
      </c>
      <c r="C4261" s="12">
        <v>3829</v>
      </c>
      <c r="D4261" s="7" t="s">
        <v>2927</v>
      </c>
      <c r="E4261" s="13" t="s">
        <v>5046</v>
      </c>
      <c r="F4261" t="str">
        <f t="shared" si="330"/>
        <v>William</v>
      </c>
      <c r="G4261" t="str">
        <f t="shared" si="331"/>
        <v>William3829Irving</v>
      </c>
      <c r="H4261" t="s">
        <v>35118</v>
      </c>
      <c r="I4261" t="s">
        <v>26541</v>
      </c>
      <c r="J4261" t="str">
        <f t="shared" si="332"/>
        <v>E:\PropInv\MF</v>
      </c>
      <c r="K4261" s="103" t="str">
        <f>HYPERLINK("E:\PropInv\MF\Irving\William Dehanes_3829_Westgate_Irving_14200","William Dehanes_3829_Westgate_Irving_14200" )</f>
        <v>William Dehanes_3829_Westgate_Irving_14200</v>
      </c>
      <c r="L4261" s="104" t="s">
        <v>22253</v>
      </c>
      <c r="M4261" s="103" t="str">
        <f t="shared" si="333"/>
        <v>http://oconnordata.com/mlink/modules/profile/index.cfm?action=profile&amp;prop_id=14200</v>
      </c>
      <c r="N4261" s="1">
        <f t="shared" si="334"/>
        <v>14200</v>
      </c>
    </row>
    <row r="4262" spans="1:14" x14ac:dyDescent="0.3">
      <c r="A4262" s="1">
        <v>14201</v>
      </c>
      <c r="B4262" s="7" t="s">
        <v>6476</v>
      </c>
      <c r="C4262" s="12">
        <v>1057</v>
      </c>
      <c r="D4262" s="7" t="s">
        <v>3557</v>
      </c>
      <c r="E4262" s="13" t="s">
        <v>5088</v>
      </c>
      <c r="F4262" t="str">
        <f t="shared" si="330"/>
        <v>Cascade</v>
      </c>
      <c r="G4262" t="str">
        <f t="shared" si="331"/>
        <v>Cascade1057Mesquite</v>
      </c>
      <c r="H4262" t="s">
        <v>35119</v>
      </c>
      <c r="I4262" t="s">
        <v>26542</v>
      </c>
      <c r="J4262" t="str">
        <f t="shared" si="332"/>
        <v>E:\PropInv\MF</v>
      </c>
      <c r="K4262" s="103" t="str">
        <f>HYPERLINK("E:\PropInv\MF\Mesquite\Cascade St_1057_Westlake Village_Mesquite_14201","Cascade St_1057_Westlake Village_Mesquite_14201" )</f>
        <v>Cascade St_1057_Westlake Village_Mesquite_14201</v>
      </c>
      <c r="L4262" s="104" t="s">
        <v>22253</v>
      </c>
      <c r="M4262" s="103" t="str">
        <f t="shared" si="333"/>
        <v>http://oconnordata.com/mlink/modules/profile/index.cfm?action=profile&amp;prop_id=14201</v>
      </c>
      <c r="N4262" s="1">
        <f t="shared" si="334"/>
        <v>14201</v>
      </c>
    </row>
    <row r="4263" spans="1:14" x14ac:dyDescent="0.3">
      <c r="A4263" s="1">
        <v>14203</v>
      </c>
      <c r="B4263" s="21" t="s">
        <v>6477</v>
      </c>
      <c r="C4263" s="12">
        <v>201</v>
      </c>
      <c r="D4263" s="7" t="s">
        <v>6478</v>
      </c>
      <c r="E4263" s="13" t="s">
        <v>5055</v>
      </c>
      <c r="F4263" t="str">
        <f t="shared" si="330"/>
        <v>SW</v>
      </c>
      <c r="G4263" t="str">
        <f t="shared" si="331"/>
        <v>SW201Lewisville</v>
      </c>
      <c r="H4263" t="s">
        <v>35120</v>
      </c>
      <c r="I4263" t="s">
        <v>26543</v>
      </c>
      <c r="J4263" t="str">
        <f t="shared" si="332"/>
        <v>E:\PropInv\MF</v>
      </c>
      <c r="K4263" s="103" t="str">
        <f>HYPERLINK("E:\PropInv\MF\Lewisville\SW Pkwy W_201_Camden Westview_Lewisville_14203","SW Pkwy W_201_Camden Westview_Lewisville_14203" )</f>
        <v>SW Pkwy W_201_Camden Westview_Lewisville_14203</v>
      </c>
      <c r="L4263" s="104" t="s">
        <v>22253</v>
      </c>
      <c r="M4263" s="103" t="str">
        <f t="shared" si="333"/>
        <v>http://oconnordata.com/mlink/modules/profile/index.cfm?action=profile&amp;prop_id=14203</v>
      </c>
      <c r="N4263" s="1">
        <f t="shared" si="334"/>
        <v>14203</v>
      </c>
    </row>
    <row r="4264" spans="1:14" x14ac:dyDescent="0.3">
      <c r="A4264" s="1">
        <v>14204</v>
      </c>
      <c r="B4264" s="7" t="s">
        <v>6479</v>
      </c>
      <c r="C4264" s="12">
        <v>603</v>
      </c>
      <c r="D4264" s="7" t="s">
        <v>730</v>
      </c>
      <c r="E4264" s="13" t="s">
        <v>5228</v>
      </c>
      <c r="F4264" t="str">
        <f t="shared" si="330"/>
        <v>Center</v>
      </c>
      <c r="G4264" t="str">
        <f t="shared" si="331"/>
        <v>Center603Duncanville</v>
      </c>
      <c r="H4264" t="s">
        <v>35121</v>
      </c>
      <c r="I4264" t="s">
        <v>26544</v>
      </c>
      <c r="J4264" t="str">
        <f t="shared" si="332"/>
        <v>E:\PropInv\MF</v>
      </c>
      <c r="K4264" s="103" t="str">
        <f>HYPERLINK("E:\PropInv\MF\Duncanville\Center St W_603_Westwood TH_Duncanville_14204","Center St W_603_Westwood TH_Duncanville_14204" )</f>
        <v>Center St W_603_Westwood TH_Duncanville_14204</v>
      </c>
      <c r="L4264" s="104" t="s">
        <v>22253</v>
      </c>
      <c r="M4264" s="103" t="str">
        <f t="shared" si="333"/>
        <v>http://oconnordata.com/mlink/modules/profile/index.cfm?action=profile&amp;prop_id=14204</v>
      </c>
      <c r="N4264" s="1">
        <f t="shared" si="334"/>
        <v>14204</v>
      </c>
    </row>
    <row r="4265" spans="1:14" x14ac:dyDescent="0.3">
      <c r="A4265" s="1">
        <v>14207</v>
      </c>
      <c r="B4265" s="7" t="s">
        <v>5077</v>
      </c>
      <c r="C4265" s="12">
        <v>7218</v>
      </c>
      <c r="D4265" s="7" t="s">
        <v>6480</v>
      </c>
      <c r="E4265" s="13" t="s">
        <v>4996</v>
      </c>
      <c r="F4265" t="str">
        <f t="shared" si="330"/>
        <v>Skillman</v>
      </c>
      <c r="G4265" t="str">
        <f t="shared" si="331"/>
        <v>Skillman7218Dallas</v>
      </c>
      <c r="H4265" t="s">
        <v>35122</v>
      </c>
      <c r="I4265" t="s">
        <v>26545</v>
      </c>
      <c r="J4265" t="str">
        <f t="shared" si="332"/>
        <v>E:\PropInv\MF</v>
      </c>
      <c r="K4265" s="103" t="str">
        <f>HYPERLINK("E:\PropInv\MF\Dallas\Skillman_7218_Whisper Creek I &amp; II (Demolished)_Dallas_14207","Skillman_7218_Whisper Creek I &amp; II (Demolished)_Dallas_14207" )</f>
        <v>Skillman_7218_Whisper Creek I &amp; II (Demolished)_Dallas_14207</v>
      </c>
      <c r="L4265" s="104" t="s">
        <v>22253</v>
      </c>
      <c r="M4265" s="103" t="str">
        <f t="shared" si="333"/>
        <v>http://oconnordata.com/mlink/modules/profile/index.cfm?action=profile&amp;prop_id=14207</v>
      </c>
      <c r="N4265" s="1">
        <f t="shared" si="334"/>
        <v>14207</v>
      </c>
    </row>
    <row r="4266" spans="1:14" x14ac:dyDescent="0.3">
      <c r="A4266" s="1">
        <v>14208</v>
      </c>
      <c r="B4266" s="7" t="s">
        <v>6481</v>
      </c>
      <c r="C4266" s="12">
        <v>6910</v>
      </c>
      <c r="D4266" s="7" t="s">
        <v>6482</v>
      </c>
      <c r="E4266" s="13" t="s">
        <v>4996</v>
      </c>
      <c r="F4266" t="str">
        <f t="shared" si="330"/>
        <v>Cockrell</v>
      </c>
      <c r="G4266" t="str">
        <f t="shared" si="331"/>
        <v>Cockrell6910Dallas</v>
      </c>
      <c r="H4266" t="s">
        <v>35123</v>
      </c>
      <c r="I4266" t="s">
        <v>26546</v>
      </c>
      <c r="J4266" t="str">
        <f t="shared" si="332"/>
        <v>E:\PropInv\MF</v>
      </c>
      <c r="K4266" s="103" t="str">
        <f>HYPERLINK("E:\PropInv\MF\Dallas\Cockrell Hill Rd S_6910_Whispering Hollow_Dallas_14208","Cockrell Hill Rd S_6910_Whispering Hollow_Dallas_14208" )</f>
        <v>Cockrell Hill Rd S_6910_Whispering Hollow_Dallas_14208</v>
      </c>
      <c r="L4266" s="104" t="s">
        <v>22253</v>
      </c>
      <c r="M4266" s="103" t="str">
        <f t="shared" si="333"/>
        <v>http://oconnordata.com/mlink/modules/profile/index.cfm?action=profile&amp;prop_id=14208</v>
      </c>
      <c r="N4266" s="1">
        <f t="shared" si="334"/>
        <v>14208</v>
      </c>
    </row>
    <row r="4267" spans="1:14" x14ac:dyDescent="0.3">
      <c r="A4267" s="1">
        <v>14209</v>
      </c>
      <c r="B4267" s="7" t="s">
        <v>6483</v>
      </c>
      <c r="C4267" s="12">
        <v>6031</v>
      </c>
      <c r="D4267" s="7" t="s">
        <v>452</v>
      </c>
      <c r="E4267" s="13" t="s">
        <v>4996</v>
      </c>
      <c r="F4267" t="str">
        <f t="shared" si="330"/>
        <v>Pineland</v>
      </c>
      <c r="G4267" t="str">
        <f t="shared" si="331"/>
        <v>Pineland6031Dallas</v>
      </c>
      <c r="H4267" t="s">
        <v>35124</v>
      </c>
      <c r="I4267" t="s">
        <v>26547</v>
      </c>
      <c r="J4267" t="str">
        <f t="shared" si="332"/>
        <v>E:\PropInv\MF</v>
      </c>
      <c r="K4267" s="103" t="str">
        <f>HYPERLINK("E:\PropInv\MF\Dallas\Pineland_6031_Wildflower_Dallas_14209","Pineland_6031_Wildflower_Dallas_14209" )</f>
        <v>Pineland_6031_Wildflower_Dallas_14209</v>
      </c>
      <c r="L4267" s="104" t="s">
        <v>22253</v>
      </c>
      <c r="M4267" s="103" t="str">
        <f t="shared" si="333"/>
        <v>http://oconnordata.com/mlink/modules/profile/index.cfm?action=profile&amp;prop_id=14209</v>
      </c>
      <c r="N4267" s="1">
        <f t="shared" si="334"/>
        <v>14209</v>
      </c>
    </row>
    <row r="4268" spans="1:14" x14ac:dyDescent="0.3">
      <c r="A4268" s="1">
        <v>14210</v>
      </c>
      <c r="B4268" s="7" t="s">
        <v>6484</v>
      </c>
      <c r="C4268" s="12">
        <v>1500</v>
      </c>
      <c r="D4268" s="7" t="s">
        <v>6485</v>
      </c>
      <c r="E4268" s="13" t="s">
        <v>5140</v>
      </c>
      <c r="F4268" t="str">
        <f t="shared" si="330"/>
        <v>Jupiter</v>
      </c>
      <c r="G4268" t="str">
        <f t="shared" si="331"/>
        <v>Jupiter1500Allen</v>
      </c>
      <c r="H4268" t="s">
        <v>35125</v>
      </c>
      <c r="I4268" t="s">
        <v>26548</v>
      </c>
      <c r="J4268" t="str">
        <f t="shared" si="332"/>
        <v>E:\PropInv\MF</v>
      </c>
      <c r="K4268" s="103" t="str">
        <f>HYPERLINK("E:\PropInv\MF\Allen\Jupiter Rd S_1500_Wildwood Village_Allen_14210","Jupiter Rd S_1500_Wildwood Village_Allen_14210" )</f>
        <v>Jupiter Rd S_1500_Wildwood Village_Allen_14210</v>
      </c>
      <c r="L4268" s="104" t="s">
        <v>22253</v>
      </c>
      <c r="M4268" s="103" t="str">
        <f t="shared" si="333"/>
        <v>http://oconnordata.com/mlink/modules/profile/index.cfm?action=profile&amp;prop_id=14210</v>
      </c>
      <c r="N4268" s="1">
        <f t="shared" si="334"/>
        <v>14210</v>
      </c>
    </row>
    <row r="4269" spans="1:14" x14ac:dyDescent="0.3">
      <c r="A4269" s="1">
        <v>14211</v>
      </c>
      <c r="B4269" s="7" t="s">
        <v>6486</v>
      </c>
      <c r="C4269" s="12">
        <v>7440</v>
      </c>
      <c r="D4269" s="7" t="s">
        <v>6487</v>
      </c>
      <c r="E4269" s="13" t="s">
        <v>4996</v>
      </c>
      <c r="F4269" t="str">
        <f t="shared" si="330"/>
        <v>La</v>
      </c>
      <c r="G4269" t="str">
        <f t="shared" si="331"/>
        <v>La7440Dallas</v>
      </c>
      <c r="H4269" t="s">
        <v>35126</v>
      </c>
      <c r="I4269" t="s">
        <v>26549</v>
      </c>
      <c r="J4269" t="str">
        <f t="shared" si="332"/>
        <v>E:\PropInv\MF</v>
      </c>
      <c r="K4269" s="103" t="str">
        <f>HYPERLINK("E:\PropInv\MF\Dallas\La Vista_7440_The Tenison at White Rock_Dallas_14211","La Vista_7440_The Tenison at White Rock_Dallas_14211" )</f>
        <v>La Vista_7440_The Tenison at White Rock_Dallas_14211</v>
      </c>
      <c r="L4269" s="104" t="s">
        <v>22253</v>
      </c>
      <c r="M4269" s="103" t="str">
        <f t="shared" si="333"/>
        <v>http://oconnordata.com/mlink/modules/profile/index.cfm?action=profile&amp;prop_id=14211</v>
      </c>
      <c r="N4269" s="1">
        <f t="shared" si="334"/>
        <v>14211</v>
      </c>
    </row>
    <row r="4270" spans="1:14" x14ac:dyDescent="0.3">
      <c r="A4270" s="1">
        <v>14213</v>
      </c>
      <c r="B4270" s="7" t="s">
        <v>5077</v>
      </c>
      <c r="C4270" s="12">
        <v>6910</v>
      </c>
      <c r="D4270" s="7" t="s">
        <v>6488</v>
      </c>
      <c r="E4270" s="13" t="s">
        <v>4996</v>
      </c>
      <c r="F4270" t="str">
        <f t="shared" si="330"/>
        <v>Skillman</v>
      </c>
      <c r="G4270" t="str">
        <f t="shared" si="331"/>
        <v>Skillman6910Dallas</v>
      </c>
      <c r="H4270" t="s">
        <v>35127</v>
      </c>
      <c r="I4270" t="s">
        <v>26550</v>
      </c>
      <c r="J4270" t="str">
        <f t="shared" si="332"/>
        <v>E:\PropInv\MF</v>
      </c>
      <c r="K4270" s="103" t="str">
        <f>HYPERLINK("E:\PropInv\MF\Dallas\Skillman_6910_Everwood_Dallas_14213","Skillman_6910_Everwood_Dallas_14213" )</f>
        <v>Skillman_6910_Everwood_Dallas_14213</v>
      </c>
      <c r="L4270" s="104" t="s">
        <v>22253</v>
      </c>
      <c r="M4270" s="103" t="str">
        <f t="shared" si="333"/>
        <v>http://oconnordata.com/mlink/modules/profile/index.cfm?action=profile&amp;prop_id=14213</v>
      </c>
      <c r="N4270" s="1">
        <f t="shared" si="334"/>
        <v>14213</v>
      </c>
    </row>
    <row r="4271" spans="1:14" x14ac:dyDescent="0.3">
      <c r="A4271" s="1">
        <v>14214</v>
      </c>
      <c r="B4271" s="7" t="s">
        <v>6489</v>
      </c>
      <c r="C4271" s="12">
        <v>6003</v>
      </c>
      <c r="D4271" s="7" t="s">
        <v>6490</v>
      </c>
      <c r="E4271" s="13" t="s">
        <v>4996</v>
      </c>
      <c r="F4271" t="str">
        <f t="shared" si="330"/>
        <v>Abrams</v>
      </c>
      <c r="G4271" t="str">
        <f t="shared" si="331"/>
        <v>Abrams6003Dallas</v>
      </c>
      <c r="H4271" t="s">
        <v>35128</v>
      </c>
      <c r="I4271" t="s">
        <v>26551</v>
      </c>
      <c r="J4271" t="str">
        <f t="shared" si="332"/>
        <v>E:\PropInv\MF</v>
      </c>
      <c r="K4271" s="103" t="str">
        <f>HYPERLINK("E:\PropInv\MF\Dallas\Abrams_6003_Willow Pond_Dallas_14214","Abrams_6003_Willow Pond_Dallas_14214" )</f>
        <v>Abrams_6003_Willow Pond_Dallas_14214</v>
      </c>
      <c r="L4271" s="104" t="s">
        <v>22253</v>
      </c>
      <c r="M4271" s="103" t="str">
        <f t="shared" si="333"/>
        <v>http://oconnordata.com/mlink/modules/profile/index.cfm?action=profile&amp;prop_id=14214</v>
      </c>
      <c r="N4271" s="1">
        <f t="shared" si="334"/>
        <v>14214</v>
      </c>
    </row>
    <row r="4272" spans="1:14" x14ac:dyDescent="0.3">
      <c r="A4272" s="1">
        <v>14215</v>
      </c>
      <c r="B4272" s="10" t="s">
        <v>5974</v>
      </c>
      <c r="C4272" s="9">
        <v>797</v>
      </c>
      <c r="D4272" s="10" t="s">
        <v>6491</v>
      </c>
      <c r="E4272" s="11" t="s">
        <v>5055</v>
      </c>
      <c r="F4272" t="str">
        <f t="shared" si="330"/>
        <v>Old</v>
      </c>
      <c r="G4272" t="str">
        <f t="shared" si="331"/>
        <v>Old797Lewisville</v>
      </c>
      <c r="H4272" t="s">
        <v>35129</v>
      </c>
      <c r="I4272" t="s">
        <v>26552</v>
      </c>
      <c r="J4272" t="str">
        <f t="shared" si="332"/>
        <v>E:\PropInv\MF</v>
      </c>
      <c r="K4272" s="103" t="str">
        <f>HYPERLINK("E:\PropInv\MF\Lewisville\Old Orchard S_797_Willow Ridge_Lewisville_14215","Old Orchard S_797_Willow Ridge_Lewisville_14215" )</f>
        <v>Old Orchard S_797_Willow Ridge_Lewisville_14215</v>
      </c>
      <c r="L4272" s="104" t="s">
        <v>22253</v>
      </c>
      <c r="M4272" s="103" t="str">
        <f t="shared" si="333"/>
        <v>http://oconnordata.com/mlink/modules/profile/index.cfm?action=profile&amp;prop_id=14215</v>
      </c>
      <c r="N4272" s="1">
        <f t="shared" si="334"/>
        <v>14215</v>
      </c>
    </row>
    <row r="4273" spans="1:14" x14ac:dyDescent="0.3">
      <c r="A4273" s="1">
        <v>14217</v>
      </c>
      <c r="B4273" s="7" t="s">
        <v>5375</v>
      </c>
      <c r="C4273" s="12">
        <v>909</v>
      </c>
      <c r="D4273" s="7" t="s">
        <v>6492</v>
      </c>
      <c r="E4273" s="13" t="s">
        <v>5019</v>
      </c>
      <c r="F4273" t="str">
        <f t="shared" si="330"/>
        <v>Centerville</v>
      </c>
      <c r="G4273" t="str">
        <f t="shared" si="331"/>
        <v>Centerville909Garland</v>
      </c>
      <c r="H4273" t="s">
        <v>35130</v>
      </c>
      <c r="I4273" t="s">
        <v>26553</v>
      </c>
      <c r="J4273" t="str">
        <f t="shared" si="332"/>
        <v>E:\PropInv\MF</v>
      </c>
      <c r="K4273" s="103" t="str">
        <f>HYPERLINK("E:\PropInv\MF\Garland\Centerville E_909_Willowgate_Garland_14217","Centerville E_909_Willowgate_Garland_14217" )</f>
        <v>Centerville E_909_Willowgate_Garland_14217</v>
      </c>
      <c r="L4273" s="104" t="s">
        <v>22253</v>
      </c>
      <c r="M4273" s="103" t="str">
        <f t="shared" si="333"/>
        <v>http://oconnordata.com/mlink/modules/profile/index.cfm?action=profile&amp;prop_id=14217</v>
      </c>
      <c r="N4273" s="1">
        <f t="shared" si="334"/>
        <v>14217</v>
      </c>
    </row>
    <row r="4274" spans="1:14" x14ac:dyDescent="0.3">
      <c r="A4274" s="1">
        <v>14218</v>
      </c>
      <c r="B4274" s="7" t="s">
        <v>5994</v>
      </c>
      <c r="C4274" s="12">
        <v>402</v>
      </c>
      <c r="D4274" s="7" t="s">
        <v>6493</v>
      </c>
      <c r="E4274" s="13" t="s">
        <v>5019</v>
      </c>
      <c r="F4274" t="str">
        <f t="shared" si="330"/>
        <v>Kingsley</v>
      </c>
      <c r="G4274" t="str">
        <f t="shared" si="331"/>
        <v>Kingsley402Garland</v>
      </c>
      <c r="H4274" t="s">
        <v>35131</v>
      </c>
      <c r="I4274" t="s">
        <v>26554</v>
      </c>
      <c r="J4274" t="str">
        <f t="shared" si="332"/>
        <v>E:\PropInv\MF</v>
      </c>
      <c r="K4274" s="103" t="str">
        <f>HYPERLINK("E:\PropInv\MF\Garland\Kingsley_402_Willows_Garland_14218","Kingsley_402_Willows_Garland_14218" )</f>
        <v>Kingsley_402_Willows_Garland_14218</v>
      </c>
      <c r="L4274" s="104" t="s">
        <v>22253</v>
      </c>
      <c r="M4274" s="103" t="str">
        <f t="shared" si="333"/>
        <v>http://oconnordata.com/mlink/modules/profile/index.cfm?action=profile&amp;prop_id=14218</v>
      </c>
      <c r="N4274" s="1">
        <f t="shared" si="334"/>
        <v>14218</v>
      </c>
    </row>
    <row r="4275" spans="1:14" x14ac:dyDescent="0.3">
      <c r="A4275" s="1">
        <v>14219</v>
      </c>
      <c r="B4275" s="7" t="s">
        <v>69</v>
      </c>
      <c r="C4275" s="12">
        <v>3304</v>
      </c>
      <c r="D4275" s="7" t="s">
        <v>479</v>
      </c>
      <c r="E4275" s="13" t="s">
        <v>5046</v>
      </c>
      <c r="F4275" t="str">
        <f t="shared" si="330"/>
        <v>Willow</v>
      </c>
      <c r="G4275" t="str">
        <f t="shared" si="331"/>
        <v>Willow3304Irving</v>
      </c>
      <c r="H4275" t="s">
        <v>35132</v>
      </c>
      <c r="I4275" t="s">
        <v>26555</v>
      </c>
      <c r="J4275" t="str">
        <f t="shared" si="332"/>
        <v>E:\PropInv\MF</v>
      </c>
      <c r="K4275" s="103" t="str">
        <f>HYPERLINK("E:\PropInv\MF\Irving\Willow Creek Dr_3304_The Willows_Irving_14219","Willow Creek Dr_3304_The Willows_Irving_14219" )</f>
        <v>Willow Creek Dr_3304_The Willows_Irving_14219</v>
      </c>
      <c r="L4275" s="104" t="s">
        <v>22253</v>
      </c>
      <c r="M4275" s="103" t="str">
        <f t="shared" si="333"/>
        <v>http://oconnordata.com/mlink/modules/profile/index.cfm?action=profile&amp;prop_id=14219</v>
      </c>
      <c r="N4275" s="1">
        <f t="shared" si="334"/>
        <v>14219</v>
      </c>
    </row>
    <row r="4276" spans="1:14" x14ac:dyDescent="0.3">
      <c r="A4276" s="1">
        <v>14220</v>
      </c>
      <c r="B4276" s="10" t="s">
        <v>6494</v>
      </c>
      <c r="C4276" s="9">
        <v>7526</v>
      </c>
      <c r="D4276" s="10" t="s">
        <v>6495</v>
      </c>
      <c r="E4276" s="11" t="s">
        <v>4996</v>
      </c>
      <c r="F4276" t="str">
        <f t="shared" si="330"/>
        <v>Hunnicut</v>
      </c>
      <c r="G4276" t="str">
        <f t="shared" si="331"/>
        <v>Hunnicut7526Dallas</v>
      </c>
      <c r="H4276" t="s">
        <v>35133</v>
      </c>
      <c r="I4276" t="s">
        <v>26556</v>
      </c>
      <c r="J4276" t="str">
        <f t="shared" si="332"/>
        <v>E:\PropInv\MF</v>
      </c>
      <c r="K4276" s="103" t="str">
        <f>HYPERLINK("E:\PropInv\MF\Dallas\Hunnicut_7526_Mayan Palms_Dallas_14220","Hunnicut_7526_Mayan Palms_Dallas_14220" )</f>
        <v>Hunnicut_7526_Mayan Palms_Dallas_14220</v>
      </c>
      <c r="L4276" s="104" t="s">
        <v>22253</v>
      </c>
      <c r="M4276" s="103" t="str">
        <f t="shared" si="333"/>
        <v>http://oconnordata.com/mlink/modules/profile/index.cfm?action=profile&amp;prop_id=14220</v>
      </c>
      <c r="N4276" s="1">
        <f t="shared" si="334"/>
        <v>14220</v>
      </c>
    </row>
    <row r="4277" spans="1:14" x14ac:dyDescent="0.3">
      <c r="A4277" s="1">
        <v>14221</v>
      </c>
      <c r="B4277" s="7" t="s">
        <v>5268</v>
      </c>
      <c r="C4277" s="12">
        <v>4300</v>
      </c>
      <c r="D4277" s="7" t="s">
        <v>6496</v>
      </c>
      <c r="E4277" s="13" t="s">
        <v>4996</v>
      </c>
      <c r="F4277" t="str">
        <f t="shared" si="330"/>
        <v>Rosemeade</v>
      </c>
      <c r="G4277" t="str">
        <f t="shared" si="331"/>
        <v>Rosemeade4300Dallas</v>
      </c>
      <c r="H4277" t="s">
        <v>35134</v>
      </c>
      <c r="I4277" t="s">
        <v>26557</v>
      </c>
      <c r="J4277" t="str">
        <f t="shared" si="332"/>
        <v>E:\PropInv\MF</v>
      </c>
      <c r="K4277" s="103" t="str">
        <f>HYPERLINK("E:\PropInv\MF\Dallas\Rosemeade Pkwy_4300_Willows on Rosemeade_Dallas_14221","Rosemeade Pkwy_4300_Willows on Rosemeade_Dallas_14221" )</f>
        <v>Rosemeade Pkwy_4300_Willows on Rosemeade_Dallas_14221</v>
      </c>
      <c r="L4277" s="104" t="s">
        <v>22253</v>
      </c>
      <c r="M4277" s="103" t="str">
        <f t="shared" si="333"/>
        <v>http://oconnordata.com/mlink/modules/profile/index.cfm?action=profile&amp;prop_id=14221</v>
      </c>
      <c r="N4277" s="1">
        <f t="shared" si="334"/>
        <v>14221</v>
      </c>
    </row>
    <row r="4278" spans="1:14" x14ac:dyDescent="0.3">
      <c r="A4278" s="1">
        <v>14222</v>
      </c>
      <c r="B4278" s="7" t="s">
        <v>6064</v>
      </c>
      <c r="C4278" s="12">
        <v>6151</v>
      </c>
      <c r="D4278" s="7" t="s">
        <v>6497</v>
      </c>
      <c r="E4278" s="13" t="s">
        <v>4996</v>
      </c>
      <c r="F4278" t="str">
        <f t="shared" si="330"/>
        <v>Mockingbird</v>
      </c>
      <c r="G4278" t="str">
        <f t="shared" si="331"/>
        <v>Mockingbird6151Dallas</v>
      </c>
      <c r="H4278" t="s">
        <v>35135</v>
      </c>
      <c r="I4278" t="s">
        <v>26558</v>
      </c>
      <c r="J4278" t="str">
        <f t="shared" si="332"/>
        <v>E:\PropInv\MF</v>
      </c>
      <c r="K4278" s="103" t="str">
        <f>HYPERLINK("E:\PropInv\MF\Dallas\Mockingbird E_6151_Wilshire on Mockingbird_Dallas_14222","Mockingbird E_6151_Wilshire on Mockingbird_Dallas_14222" )</f>
        <v>Mockingbird E_6151_Wilshire on Mockingbird_Dallas_14222</v>
      </c>
      <c r="L4278" s="104" t="s">
        <v>22253</v>
      </c>
      <c r="M4278" s="103" t="str">
        <f t="shared" si="333"/>
        <v>http://oconnordata.com/mlink/modules/profile/index.cfm?action=profile&amp;prop_id=14222</v>
      </c>
      <c r="N4278" s="1">
        <f t="shared" si="334"/>
        <v>14222</v>
      </c>
    </row>
    <row r="4279" spans="1:14" x14ac:dyDescent="0.3">
      <c r="A4279" s="1">
        <v>14223</v>
      </c>
      <c r="B4279" s="7" t="s">
        <v>5843</v>
      </c>
      <c r="C4279" s="12">
        <v>301</v>
      </c>
      <c r="D4279" s="7" t="s">
        <v>6498</v>
      </c>
      <c r="E4279" s="13" t="s">
        <v>5407</v>
      </c>
      <c r="F4279" t="str">
        <f t="shared" si="330"/>
        <v>Joe</v>
      </c>
      <c r="G4279" t="str">
        <f t="shared" si="331"/>
        <v>Joe301Cedar Hill</v>
      </c>
      <c r="H4279" t="s">
        <v>35136</v>
      </c>
      <c r="I4279" t="s">
        <v>26559</v>
      </c>
      <c r="J4279" t="str">
        <f t="shared" si="332"/>
        <v>E:\PropInv\MF</v>
      </c>
      <c r="K4279" s="103" t="str">
        <f>HYPERLINK("E:\PropInv\MF\Cedar Hill\Joe Wilson Rd N_301_Wilson Crossing_Cedar Hill_14223","Joe Wilson Rd N_301_Wilson Crossing_Cedar Hill_14223" )</f>
        <v>Joe Wilson Rd N_301_Wilson Crossing_Cedar Hill_14223</v>
      </c>
      <c r="L4279" s="104" t="s">
        <v>22253</v>
      </c>
      <c r="M4279" s="103" t="str">
        <f t="shared" si="333"/>
        <v>http://oconnordata.com/mlink/modules/profile/index.cfm?action=profile&amp;prop_id=14223</v>
      </c>
      <c r="N4279" s="1">
        <f t="shared" si="334"/>
        <v>14223</v>
      </c>
    </row>
    <row r="4280" spans="1:14" x14ac:dyDescent="0.3">
      <c r="A4280" s="1">
        <v>14224</v>
      </c>
      <c r="B4280" s="7" t="s">
        <v>5164</v>
      </c>
      <c r="C4280" s="12">
        <v>4141</v>
      </c>
      <c r="D4280" s="7" t="s">
        <v>6499</v>
      </c>
      <c r="E4280" s="13" t="s">
        <v>4996</v>
      </c>
      <c r="F4280" t="str">
        <f t="shared" si="330"/>
        <v>Horizon</v>
      </c>
      <c r="G4280" t="str">
        <f t="shared" si="331"/>
        <v>Horizon4141Dallas</v>
      </c>
      <c r="H4280" t="s">
        <v>35137</v>
      </c>
      <c r="I4280" t="s">
        <v>26560</v>
      </c>
      <c r="J4280" t="str">
        <f t="shared" si="332"/>
        <v>E:\PropInv\MF</v>
      </c>
      <c r="K4280" s="103" t="str">
        <f>HYPERLINK("E:\PropInv\MF\Dallas\Horizon Pkwy N_4141_The Wimberly_Dallas_14224","Horizon Pkwy N_4141_The Wimberly_Dallas_14224" )</f>
        <v>Horizon Pkwy N_4141_The Wimberly_Dallas_14224</v>
      </c>
      <c r="L4280" s="104" t="s">
        <v>22253</v>
      </c>
      <c r="M4280" s="103" t="str">
        <f t="shared" si="333"/>
        <v>http://oconnordata.com/mlink/modules/profile/index.cfm?action=profile&amp;prop_id=14224</v>
      </c>
      <c r="N4280" s="1">
        <f t="shared" si="334"/>
        <v>14224</v>
      </c>
    </row>
    <row r="4281" spans="1:14" x14ac:dyDescent="0.3">
      <c r="A4281" s="1">
        <v>14225</v>
      </c>
      <c r="B4281" s="10" t="s">
        <v>6500</v>
      </c>
      <c r="C4281" s="9">
        <v>800</v>
      </c>
      <c r="D4281" s="10" t="s">
        <v>6501</v>
      </c>
      <c r="E4281" s="11" t="s">
        <v>5228</v>
      </c>
      <c r="F4281" t="str">
        <f t="shared" si="330"/>
        <v>Link</v>
      </c>
      <c r="G4281" t="str">
        <f t="shared" si="331"/>
        <v>Link800Duncanville</v>
      </c>
      <c r="H4281" t="s">
        <v>35138</v>
      </c>
      <c r="I4281" t="s">
        <v>26561</v>
      </c>
      <c r="J4281" t="str">
        <f t="shared" si="332"/>
        <v>E:\PropInv\MF</v>
      </c>
      <c r="K4281" s="103" t="str">
        <f>HYPERLINK("E:\PropInv\MF\Duncanville\Link Dr_800_Wimberly Park_Duncanville_14225","Link Dr_800_Wimberly Park_Duncanville_14225" )</f>
        <v>Link Dr_800_Wimberly Park_Duncanville_14225</v>
      </c>
      <c r="L4281" s="104" t="s">
        <v>22253</v>
      </c>
      <c r="M4281" s="103" t="str">
        <f t="shared" si="333"/>
        <v>http://oconnordata.com/mlink/modules/profile/index.cfm?action=profile&amp;prop_id=14225</v>
      </c>
      <c r="N4281" s="1">
        <f t="shared" si="334"/>
        <v>14225</v>
      </c>
    </row>
    <row r="4282" spans="1:14" x14ac:dyDescent="0.3">
      <c r="A4282" s="1">
        <v>14226</v>
      </c>
      <c r="B4282" s="7" t="s">
        <v>3051</v>
      </c>
      <c r="C4282" s="12">
        <v>1420</v>
      </c>
      <c r="D4282" s="7" t="s">
        <v>1677</v>
      </c>
      <c r="E4282" s="13" t="s">
        <v>5055</v>
      </c>
      <c r="F4282" t="str">
        <f t="shared" si="330"/>
        <v>Main</v>
      </c>
      <c r="G4282" t="str">
        <f t="shared" si="331"/>
        <v>Main1420Lewisville</v>
      </c>
      <c r="H4282" t="s">
        <v>35139</v>
      </c>
      <c r="I4282" t="s">
        <v>26562</v>
      </c>
      <c r="J4282" t="str">
        <f t="shared" si="332"/>
        <v>E:\PropInv\MF</v>
      </c>
      <c r="K4282" s="103" t="str">
        <f>HYPERLINK("E:\PropInv\MF\Lewisville\Main W_1420_Wimbledon_Lewisville_14226","Main W_1420_Wimbledon_Lewisville_14226" )</f>
        <v>Main W_1420_Wimbledon_Lewisville_14226</v>
      </c>
      <c r="L4282" s="104" t="s">
        <v>22253</v>
      </c>
      <c r="M4282" s="103" t="str">
        <f t="shared" si="333"/>
        <v>http://oconnordata.com/mlink/modules/profile/index.cfm?action=profile&amp;prop_id=14226</v>
      </c>
      <c r="N4282" s="1">
        <f t="shared" si="334"/>
        <v>14226</v>
      </c>
    </row>
    <row r="4283" spans="1:14" x14ac:dyDescent="0.3">
      <c r="A4283" s="1">
        <v>14227</v>
      </c>
      <c r="B4283" s="7" t="s">
        <v>6330</v>
      </c>
      <c r="C4283" s="12">
        <v>501</v>
      </c>
      <c r="D4283" s="7" t="s">
        <v>2701</v>
      </c>
      <c r="E4283" s="13" t="s">
        <v>5076</v>
      </c>
      <c r="F4283" t="str">
        <f t="shared" si="330"/>
        <v>303</v>
      </c>
      <c r="G4283" t="str">
        <f t="shared" si="331"/>
        <v>303501Grand Prairie</v>
      </c>
      <c r="H4283" t="s">
        <v>35140</v>
      </c>
      <c r="I4283" t="s">
        <v>26563</v>
      </c>
      <c r="J4283" t="str">
        <f t="shared" si="332"/>
        <v>E:\PropInv\MF</v>
      </c>
      <c r="K4283" s="103" t="str">
        <f>HYPERLINK("E:\PropInv\MF\Grand Prairie\303 Hwy E_501_Windchase_Grand Prairie_14227","303 Hwy E_501_Windchase_Grand Prairie_14227" )</f>
        <v>303 Hwy E_501_Windchase_Grand Prairie_14227</v>
      </c>
      <c r="L4283" s="104" t="s">
        <v>22253</v>
      </c>
      <c r="M4283" s="103" t="str">
        <f t="shared" si="333"/>
        <v>http://oconnordata.com/mlink/modules/profile/index.cfm?action=profile&amp;prop_id=14227</v>
      </c>
      <c r="N4283" s="1">
        <f t="shared" si="334"/>
        <v>14227</v>
      </c>
    </row>
    <row r="4284" spans="1:14" x14ac:dyDescent="0.3">
      <c r="A4284" s="97">
        <v>14229</v>
      </c>
      <c r="B4284" s="7" t="s">
        <v>5682</v>
      </c>
      <c r="C4284" s="12">
        <v>1330</v>
      </c>
      <c r="D4284" s="7" t="s">
        <v>6502</v>
      </c>
      <c r="E4284" s="13" t="s">
        <v>3328</v>
      </c>
      <c r="F4284" t="str">
        <f t="shared" si="330"/>
        <v>Spring</v>
      </c>
      <c r="G4284" t="str">
        <f t="shared" si="331"/>
        <v>Spring1330Richardson</v>
      </c>
      <c r="H4284" t="s">
        <v>35141</v>
      </c>
      <c r="I4284" t="s">
        <v>26564</v>
      </c>
      <c r="J4284" t="str">
        <f t="shared" si="332"/>
        <v>E:\PropInv\MF</v>
      </c>
      <c r="K4284" s="103" t="str">
        <f>HYPERLINK("E:\PropInv\MF\Richardson\Spring Valley W_1330_Windham Chase_Richardson_14229","Spring Valley W_1330_Windham Chase_Richardson_14229" )</f>
        <v>Spring Valley W_1330_Windham Chase_Richardson_14229</v>
      </c>
      <c r="L4284" s="104" t="s">
        <v>22253</v>
      </c>
      <c r="M4284" s="103" t="str">
        <f t="shared" si="333"/>
        <v>http://oconnordata.com/mlink/modules/profile/index.cfm?action=profile&amp;prop_id=14229</v>
      </c>
      <c r="N4284" s="1">
        <f t="shared" si="334"/>
        <v>14229</v>
      </c>
    </row>
    <row r="4285" spans="1:14" x14ac:dyDescent="0.3">
      <c r="A4285" s="97">
        <v>14230</v>
      </c>
      <c r="B4285" s="7" t="s">
        <v>5970</v>
      </c>
      <c r="C4285" s="12">
        <v>13266</v>
      </c>
      <c r="D4285" s="7" t="s">
        <v>6503</v>
      </c>
      <c r="E4285" s="13" t="s">
        <v>4996</v>
      </c>
      <c r="F4285" t="str">
        <f t="shared" si="330"/>
        <v>Emily</v>
      </c>
      <c r="G4285" t="str">
        <f t="shared" si="331"/>
        <v>Emily13266Dallas</v>
      </c>
      <c r="H4285" t="s">
        <v>35142</v>
      </c>
      <c r="I4285" t="s">
        <v>26565</v>
      </c>
      <c r="J4285" t="str">
        <f t="shared" si="332"/>
        <v>E:\PropInv\MF</v>
      </c>
      <c r="K4285" s="103" t="str">
        <f>HYPERLINK("E:\PropInv\MF\Dallas\Emily Rd_13266_Winding Way_Dallas_14230","Emily Rd_13266_Winding Way_Dallas_14230" )</f>
        <v>Emily Rd_13266_Winding Way_Dallas_14230</v>
      </c>
      <c r="L4285" s="104" t="s">
        <v>22253</v>
      </c>
      <c r="M4285" s="103" t="str">
        <f t="shared" si="333"/>
        <v>http://oconnordata.com/mlink/modules/profile/index.cfm?action=profile&amp;prop_id=14230</v>
      </c>
      <c r="N4285" s="1">
        <f t="shared" si="334"/>
        <v>14230</v>
      </c>
    </row>
    <row r="4286" spans="1:14" x14ac:dyDescent="0.3">
      <c r="A4286" s="97">
        <v>14231</v>
      </c>
      <c r="B4286" s="7" t="s">
        <v>6336</v>
      </c>
      <c r="C4286" s="12">
        <v>14350</v>
      </c>
      <c r="D4286" s="7" t="s">
        <v>1492</v>
      </c>
      <c r="E4286" s="13" t="s">
        <v>4996</v>
      </c>
      <c r="F4286" t="str">
        <f t="shared" si="330"/>
        <v>Dallas</v>
      </c>
      <c r="G4286" t="str">
        <f t="shared" si="331"/>
        <v>Dallas14350Dallas</v>
      </c>
      <c r="H4286" t="s">
        <v>35143</v>
      </c>
      <c r="I4286" t="s">
        <v>26566</v>
      </c>
      <c r="J4286" t="str">
        <f t="shared" si="332"/>
        <v>E:\PropInv\MF</v>
      </c>
      <c r="K4286" s="103" t="str">
        <f>HYPERLINK("E:\PropInv\MF\Dallas\Dallas N Pkwy_14350_Windridge_Dallas_14231","Dallas N Pkwy_14350_Windridge_Dallas_14231" )</f>
        <v>Dallas N Pkwy_14350_Windridge_Dallas_14231</v>
      </c>
      <c r="L4286" s="104" t="s">
        <v>22253</v>
      </c>
      <c r="M4286" s="103" t="str">
        <f t="shared" si="333"/>
        <v>http://oconnordata.com/mlink/modules/profile/index.cfm?action=profile&amp;prop_id=14231</v>
      </c>
      <c r="N4286" s="1">
        <f t="shared" si="334"/>
        <v>14231</v>
      </c>
    </row>
    <row r="4287" spans="1:14" x14ac:dyDescent="0.3">
      <c r="A4287" s="1">
        <v>14232</v>
      </c>
      <c r="B4287" s="7" t="s">
        <v>5813</v>
      </c>
      <c r="C4287" s="12">
        <v>4845</v>
      </c>
      <c r="D4287" s="7" t="s">
        <v>6504</v>
      </c>
      <c r="E4287" s="13" t="s">
        <v>5088</v>
      </c>
      <c r="F4287" t="str">
        <f t="shared" si="330"/>
        <v>Galloway</v>
      </c>
      <c r="G4287" t="str">
        <f t="shared" si="331"/>
        <v>Galloway4845Mesquite</v>
      </c>
      <c r="H4287" t="s">
        <v>35144</v>
      </c>
      <c r="I4287" t="s">
        <v>26567</v>
      </c>
      <c r="J4287" t="str">
        <f t="shared" si="332"/>
        <v>E:\PropInv\MF</v>
      </c>
      <c r="K4287" s="103" t="str">
        <f>HYPERLINK("E:\PropInv\MF\Mesquite\Galloway Ave N_4845_Landmark at Laurel Heights II_Mesquite_14232","Galloway Ave N_4845_Landmark at Laurel Heights II_Mesquite_14232" )</f>
        <v>Galloway Ave N_4845_Landmark at Laurel Heights II_Mesquite_14232</v>
      </c>
      <c r="L4287" s="104" t="s">
        <v>22253</v>
      </c>
      <c r="M4287" s="103" t="str">
        <f t="shared" si="333"/>
        <v>http://oconnordata.com/mlink/modules/profile/index.cfm?action=profile&amp;prop_id=14232</v>
      </c>
      <c r="N4287" s="1">
        <f t="shared" si="334"/>
        <v>14232</v>
      </c>
    </row>
    <row r="4288" spans="1:14" x14ac:dyDescent="0.3">
      <c r="A4288" s="97">
        <v>14233</v>
      </c>
      <c r="B4288" s="7" t="s">
        <v>6505</v>
      </c>
      <c r="C4288" s="12">
        <v>2301</v>
      </c>
      <c r="D4288" s="7" t="s">
        <v>6506</v>
      </c>
      <c r="E4288" s="13" t="s">
        <v>5076</v>
      </c>
      <c r="F4288" t="str">
        <f t="shared" si="330"/>
        <v>Ave</v>
      </c>
      <c r="G4288" t="str">
        <f t="shared" si="331"/>
        <v>Ave2301Grand Prairie</v>
      </c>
      <c r="H4288" t="s">
        <v>35145</v>
      </c>
      <c r="I4288" t="s">
        <v>26568</v>
      </c>
      <c r="J4288" t="str">
        <f t="shared" si="332"/>
        <v>E:\PropInv\MF</v>
      </c>
      <c r="K4288" s="103" t="str">
        <f>HYPERLINK("E:\PropInv\MF\Grand Prairie\Ave H E_2301_Windridge I &amp; II_Grand Prairie_14233","Ave H E_2301_Windridge I &amp; II_Grand Prairie_14233" )</f>
        <v>Ave H E_2301_Windridge I &amp; II_Grand Prairie_14233</v>
      </c>
      <c r="L4288" s="104" t="s">
        <v>22253</v>
      </c>
      <c r="M4288" s="103" t="str">
        <f t="shared" si="333"/>
        <v>http://oconnordata.com/mlink/modules/profile/index.cfm?action=profile&amp;prop_id=14233</v>
      </c>
      <c r="N4288" s="1">
        <f t="shared" si="334"/>
        <v>14233</v>
      </c>
    </row>
    <row r="4289" spans="1:14" x14ac:dyDescent="0.3">
      <c r="A4289" s="97">
        <v>14234</v>
      </c>
      <c r="B4289" s="7" t="s">
        <v>6507</v>
      </c>
      <c r="C4289" s="12">
        <v>3099</v>
      </c>
      <c r="D4289" s="7" t="s">
        <v>6508</v>
      </c>
      <c r="E4289" s="13" t="s">
        <v>5076</v>
      </c>
      <c r="F4289" t="str">
        <f t="shared" si="330"/>
        <v>Parham</v>
      </c>
      <c r="G4289" t="str">
        <f t="shared" si="331"/>
        <v>Parham3099Grand Prairie</v>
      </c>
      <c r="H4289" t="s">
        <v>35146</v>
      </c>
      <c r="I4289" t="s">
        <v>26569</v>
      </c>
      <c r="J4289" t="str">
        <f t="shared" si="332"/>
        <v>E:\PropInv\MF</v>
      </c>
      <c r="K4289" s="103" t="str">
        <f>HYPERLINK("E:\PropInv\MF\Grand Prairie\Parham Dr_3099_Windscape II_Grand Prairie_14234","Parham Dr_3099_Windscape II_Grand Prairie_14234" )</f>
        <v>Parham Dr_3099_Windscape II_Grand Prairie_14234</v>
      </c>
      <c r="L4289" s="104" t="s">
        <v>22253</v>
      </c>
      <c r="M4289" s="103" t="str">
        <f t="shared" si="333"/>
        <v>http://oconnordata.com/mlink/modules/profile/index.cfm?action=profile&amp;prop_id=14234</v>
      </c>
      <c r="N4289" s="1">
        <f t="shared" si="334"/>
        <v>14234</v>
      </c>
    </row>
    <row r="4290" spans="1:14" x14ac:dyDescent="0.3">
      <c r="A4290" s="97">
        <v>14235</v>
      </c>
      <c r="B4290" s="7" t="s">
        <v>6509</v>
      </c>
      <c r="C4290" s="12">
        <v>17717</v>
      </c>
      <c r="D4290" s="7" t="s">
        <v>6510</v>
      </c>
      <c r="E4290" s="13" t="s">
        <v>4996</v>
      </c>
      <c r="F4290" t="str">
        <f t="shared" ref="F4290:F4353" si="335">IFERROR(LEFT(B4290,FIND(" ",B4290)-1),B4290)</f>
        <v>Vail</v>
      </c>
      <c r="G4290" t="str">
        <f t="shared" ref="G4290:G4353" si="336">F4290&amp;C4290&amp;E4290</f>
        <v>Vail17717Dallas</v>
      </c>
      <c r="H4290" t="s">
        <v>35147</v>
      </c>
      <c r="I4290" t="s">
        <v>26570</v>
      </c>
      <c r="J4290" t="str">
        <f t="shared" ref="J4290:J4353" si="337">IF(L4290="TX",Folder_Path,Folder_Path&amp;"\State_"&amp;L4290)</f>
        <v>E:\PropInv\MF</v>
      </c>
      <c r="K4290" s="103" t="str">
        <f>HYPERLINK("E:\PropInv\MF\Dallas\Vail Dr_17717_Windsong_Dallas_14235","Vail Dr_17717_Windsong_Dallas_14235" )</f>
        <v>Vail Dr_17717_Windsong_Dallas_14235</v>
      </c>
      <c r="L4290" s="104" t="s">
        <v>22253</v>
      </c>
      <c r="M4290" s="103" t="str">
        <f t="shared" ref="M4290:M4353" si="338">HYPERLINK("http://oconnordata.com/mlink/modules/profile/index.cfm?action=profile&amp;prop_id="&amp;A4290)</f>
        <v>http://oconnordata.com/mlink/modules/profile/index.cfm?action=profile&amp;prop_id=14235</v>
      </c>
      <c r="N4290" s="1">
        <f t="shared" ref="N4290:N4353" si="339">IF(LEN(A4290)=1,"0000"&amp;A4290,IF(LEN(A4290)=2,"000"&amp;A4290,IF(LEN(A4290)=3,"00"&amp;A4290,IF(LEN(A4290)=4,"0"&amp;A4290,IF(LEN(A4290)=5,IF(LEFT(A4290,1)="3",A4290+30000,A4290))))))</f>
        <v>14235</v>
      </c>
    </row>
    <row r="4291" spans="1:14" x14ac:dyDescent="0.3">
      <c r="A4291" s="97">
        <v>14236</v>
      </c>
      <c r="B4291" s="7" t="s">
        <v>5367</v>
      </c>
      <c r="C4291" s="12">
        <v>1110</v>
      </c>
      <c r="D4291" s="7" t="s">
        <v>6511</v>
      </c>
      <c r="E4291" s="13" t="s">
        <v>5195</v>
      </c>
      <c r="F4291" t="str">
        <f t="shared" si="335"/>
        <v>Wintergreen</v>
      </c>
      <c r="G4291" t="str">
        <f t="shared" si="336"/>
        <v>Wintergreen1110Desoto</v>
      </c>
      <c r="H4291" t="s">
        <v>35148</v>
      </c>
      <c r="I4291" t="s">
        <v>26571</v>
      </c>
      <c r="J4291" t="str">
        <f t="shared" si="337"/>
        <v>E:\PropInv\MF</v>
      </c>
      <c r="K4291" s="103" t="str">
        <f>HYPERLINK("E:\PropInv\MF\Desoto\Wintergreen E_1110_Windsong Place_Desoto_14236","Wintergreen E_1110_Windsong Place_Desoto_14236" )</f>
        <v>Wintergreen E_1110_Windsong Place_Desoto_14236</v>
      </c>
      <c r="L4291" s="104" t="s">
        <v>22253</v>
      </c>
      <c r="M4291" s="103" t="str">
        <f t="shared" si="338"/>
        <v>http://oconnordata.com/mlink/modules/profile/index.cfm?action=profile&amp;prop_id=14236</v>
      </c>
      <c r="N4291" s="1">
        <f t="shared" si="339"/>
        <v>14236</v>
      </c>
    </row>
    <row r="4292" spans="1:14" x14ac:dyDescent="0.3">
      <c r="A4292" s="97">
        <v>14237</v>
      </c>
      <c r="B4292" s="21" t="s">
        <v>686</v>
      </c>
      <c r="C4292" s="12">
        <v>247</v>
      </c>
      <c r="D4292" s="7" t="s">
        <v>6512</v>
      </c>
      <c r="E4292" s="13" t="s">
        <v>5055</v>
      </c>
      <c r="F4292" t="str">
        <f t="shared" si="335"/>
        <v>SW</v>
      </c>
      <c r="G4292" t="str">
        <f t="shared" si="336"/>
        <v>SW247Lewisville</v>
      </c>
      <c r="H4292" t="s">
        <v>35149</v>
      </c>
      <c r="I4292" t="s">
        <v>26572</v>
      </c>
      <c r="J4292" t="str">
        <f t="shared" si="337"/>
        <v>E:\PropInv\MF</v>
      </c>
      <c r="K4292" s="103" t="str">
        <f>HYPERLINK("E:\PropInv\MF\Lewisville\SW Pkwy_247_Windsor Court_Lewisville_14237","SW Pkwy_247_Windsor Court_Lewisville_14237" )</f>
        <v>SW Pkwy_247_Windsor Court_Lewisville_14237</v>
      </c>
      <c r="L4292" s="104" t="s">
        <v>22253</v>
      </c>
      <c r="M4292" s="103" t="str">
        <f t="shared" si="338"/>
        <v>http://oconnordata.com/mlink/modules/profile/index.cfm?action=profile&amp;prop_id=14237</v>
      </c>
      <c r="N4292" s="1">
        <f t="shared" si="339"/>
        <v>14237</v>
      </c>
    </row>
    <row r="4293" spans="1:14" x14ac:dyDescent="0.3">
      <c r="A4293" s="1">
        <v>14238</v>
      </c>
      <c r="B4293" s="7" t="s">
        <v>5749</v>
      </c>
      <c r="C4293" s="12">
        <v>8001</v>
      </c>
      <c r="D4293" s="7" t="s">
        <v>6513</v>
      </c>
      <c r="E4293" s="13" t="s">
        <v>5046</v>
      </c>
      <c r="F4293" t="str">
        <f t="shared" si="335"/>
        <v>Macarthur</v>
      </c>
      <c r="G4293" t="str">
        <f t="shared" si="336"/>
        <v>Macarthur8001Irving</v>
      </c>
      <c r="H4293" t="s">
        <v>35150</v>
      </c>
      <c r="I4293" t="s">
        <v>26573</v>
      </c>
      <c r="J4293" t="str">
        <f t="shared" si="337"/>
        <v>E:\PropInv\MF</v>
      </c>
      <c r="K4293" s="103" t="str">
        <f>HYPERLINK("E:\PropInv\MF\Irving\Macarthur N_8001_Colonial Grand at Valley Ranch_Irving_14238","Macarthur N_8001_Colonial Grand at Valley Ranch_Irving_14238" )</f>
        <v>Macarthur N_8001_Colonial Grand at Valley Ranch_Irving_14238</v>
      </c>
      <c r="L4293" s="104" t="s">
        <v>22253</v>
      </c>
      <c r="M4293" s="103" t="str">
        <f t="shared" si="338"/>
        <v>http://oconnordata.com/mlink/modules/profile/index.cfm?action=profile&amp;prop_id=14238</v>
      </c>
      <c r="N4293" s="1">
        <f t="shared" si="339"/>
        <v>14238</v>
      </c>
    </row>
    <row r="4294" spans="1:14" x14ac:dyDescent="0.3">
      <c r="A4294" s="97">
        <v>14239</v>
      </c>
      <c r="B4294" s="7" t="s">
        <v>6514</v>
      </c>
      <c r="C4294" s="12">
        <v>3501</v>
      </c>
      <c r="D4294" s="7" t="s">
        <v>6515</v>
      </c>
      <c r="E4294" s="13" t="s">
        <v>4996</v>
      </c>
      <c r="F4294" t="str">
        <f t="shared" si="335"/>
        <v>Buckner</v>
      </c>
      <c r="G4294" t="str">
        <f t="shared" si="336"/>
        <v>Buckner3501Dallas</v>
      </c>
      <c r="H4294" t="s">
        <v>35151</v>
      </c>
      <c r="I4294" t="s">
        <v>26574</v>
      </c>
      <c r="J4294" t="str">
        <f t="shared" si="337"/>
        <v>E:\PropInv\MF</v>
      </c>
      <c r="K4294" s="103" t="str">
        <f>HYPERLINK("E:\PropInv\MF\Dallas\Buckner N_3501_Windsor Station_Dallas_14239","Buckner N_3501_Windsor Station_Dallas_14239" )</f>
        <v>Buckner N_3501_Windsor Station_Dallas_14239</v>
      </c>
      <c r="L4294" s="104" t="s">
        <v>22253</v>
      </c>
      <c r="M4294" s="103" t="str">
        <f t="shared" si="338"/>
        <v>http://oconnordata.com/mlink/modules/profile/index.cfm?action=profile&amp;prop_id=14239</v>
      </c>
      <c r="N4294" s="1">
        <f t="shared" si="339"/>
        <v>14239</v>
      </c>
    </row>
    <row r="4295" spans="1:14" x14ac:dyDescent="0.3">
      <c r="A4295" s="97">
        <v>14240</v>
      </c>
      <c r="B4295" s="7" t="s">
        <v>5782</v>
      </c>
      <c r="C4295" s="12">
        <v>1021</v>
      </c>
      <c r="D4295" s="7" t="s">
        <v>6516</v>
      </c>
      <c r="E4295" s="13" t="s">
        <v>5019</v>
      </c>
      <c r="F4295" t="str">
        <f t="shared" si="335"/>
        <v>30</v>
      </c>
      <c r="G4295" t="str">
        <f t="shared" si="336"/>
        <v>301021Garland</v>
      </c>
      <c r="H4295" t="s">
        <v>35152</v>
      </c>
      <c r="I4295" t="s">
        <v>26575</v>
      </c>
      <c r="J4295" t="str">
        <f t="shared" si="337"/>
        <v>E:\PropInv\MF</v>
      </c>
      <c r="K4295" s="103" t="str">
        <f>HYPERLINK("E:\PropInv\MF\Garland\30 IH E_1021_Windward II_Garland_14240","30 IH E_1021_Windward II_Garland_14240" )</f>
        <v>30 IH E_1021_Windward II_Garland_14240</v>
      </c>
      <c r="L4295" s="104" t="s">
        <v>22253</v>
      </c>
      <c r="M4295" s="103" t="str">
        <f t="shared" si="338"/>
        <v>http://oconnordata.com/mlink/modules/profile/index.cfm?action=profile&amp;prop_id=14240</v>
      </c>
      <c r="N4295" s="1">
        <f t="shared" si="339"/>
        <v>14240</v>
      </c>
    </row>
    <row r="4296" spans="1:14" x14ac:dyDescent="0.3">
      <c r="A4296" s="1">
        <v>14241</v>
      </c>
      <c r="B4296" s="7" t="s">
        <v>6517</v>
      </c>
      <c r="C4296" s="12">
        <v>2210</v>
      </c>
      <c r="D4296" s="7" t="s">
        <v>6518</v>
      </c>
      <c r="E4296" s="13" t="s">
        <v>4996</v>
      </c>
      <c r="F4296" t="str">
        <f t="shared" si="335"/>
        <v>Winsted</v>
      </c>
      <c r="G4296" t="str">
        <f t="shared" si="336"/>
        <v>Winsted2210Dallas</v>
      </c>
      <c r="H4296" t="s">
        <v>35153</v>
      </c>
      <c r="I4296" t="s">
        <v>26576</v>
      </c>
      <c r="J4296" t="str">
        <f t="shared" si="337"/>
        <v>E:\PropInv\MF</v>
      </c>
      <c r="K4296" s="103" t="str">
        <f>HYPERLINK("E:\PropInv\MF\Dallas\Winsted Dr_2210_The Winsted at White Rock_Dallas_14241","Winsted Dr_2210_The Winsted at White Rock_Dallas_14241" )</f>
        <v>Winsted Dr_2210_The Winsted at White Rock_Dallas_14241</v>
      </c>
      <c r="L4296" s="104" t="s">
        <v>22253</v>
      </c>
      <c r="M4296" s="103" t="str">
        <f t="shared" si="338"/>
        <v>http://oconnordata.com/mlink/modules/profile/index.cfm?action=profile&amp;prop_id=14241</v>
      </c>
      <c r="N4296" s="1">
        <f t="shared" si="339"/>
        <v>14241</v>
      </c>
    </row>
    <row r="4297" spans="1:14" x14ac:dyDescent="0.3">
      <c r="A4297" s="97">
        <v>14242</v>
      </c>
      <c r="B4297" s="7" t="s">
        <v>5749</v>
      </c>
      <c r="C4297" s="12">
        <v>10501</v>
      </c>
      <c r="D4297" s="7" t="s">
        <v>6519</v>
      </c>
      <c r="E4297" s="13" t="s">
        <v>5046</v>
      </c>
      <c r="F4297" t="str">
        <f t="shared" si="335"/>
        <v>Macarthur</v>
      </c>
      <c r="G4297" t="str">
        <f t="shared" si="336"/>
        <v>Macarthur10501Irving</v>
      </c>
      <c r="H4297" t="s">
        <v>35154</v>
      </c>
      <c r="I4297" t="s">
        <v>26577</v>
      </c>
      <c r="J4297" t="str">
        <f t="shared" si="337"/>
        <v>E:\PropInv\MF</v>
      </c>
      <c r="K4297" s="103" t="str">
        <f>HYPERLINK("E:\PropInv\MF\Irving\Macarthur N_10501_Winsted_Irving_14242","Macarthur N_10501_Winsted_Irving_14242" )</f>
        <v>Macarthur N_10501_Winsted_Irving_14242</v>
      </c>
      <c r="L4297" s="104" t="s">
        <v>22253</v>
      </c>
      <c r="M4297" s="103" t="str">
        <f t="shared" si="338"/>
        <v>http://oconnordata.com/mlink/modules/profile/index.cfm?action=profile&amp;prop_id=14242</v>
      </c>
      <c r="N4297" s="1">
        <f t="shared" si="339"/>
        <v>14242</v>
      </c>
    </row>
    <row r="4298" spans="1:14" x14ac:dyDescent="0.3">
      <c r="A4298" s="1">
        <v>14243</v>
      </c>
      <c r="B4298" s="7" t="s">
        <v>5367</v>
      </c>
      <c r="C4298" s="12">
        <v>320</v>
      </c>
      <c r="D4298" s="7" t="s">
        <v>6520</v>
      </c>
      <c r="E4298" s="13" t="s">
        <v>5195</v>
      </c>
      <c r="F4298" t="str">
        <f t="shared" si="335"/>
        <v>Wintergreen</v>
      </c>
      <c r="G4298" t="str">
        <f t="shared" si="336"/>
        <v>Wintergreen320Desoto</v>
      </c>
      <c r="H4298" t="s">
        <v>35155</v>
      </c>
      <c r="I4298" t="s">
        <v>26578</v>
      </c>
      <c r="J4298" t="str">
        <f t="shared" si="337"/>
        <v>E:\PropInv\MF</v>
      </c>
      <c r="K4298" s="103" t="str">
        <f>HYPERLINK("E:\PropInv\MF\Desoto\Wintergreen E_320_The Park at Wintergreen_Desoto_14243","Wintergreen E_320_The Park at Wintergreen_Desoto_14243" )</f>
        <v>Wintergreen E_320_The Park at Wintergreen_Desoto_14243</v>
      </c>
      <c r="L4298" s="104" t="s">
        <v>22253</v>
      </c>
      <c r="M4298" s="103" t="str">
        <f t="shared" si="338"/>
        <v>http://oconnordata.com/mlink/modules/profile/index.cfm?action=profile&amp;prop_id=14243</v>
      </c>
      <c r="N4298" s="1">
        <f t="shared" si="339"/>
        <v>14243</v>
      </c>
    </row>
    <row r="4299" spans="1:14" x14ac:dyDescent="0.3">
      <c r="A4299" s="1">
        <v>14244</v>
      </c>
      <c r="B4299" s="7" t="s">
        <v>5233</v>
      </c>
      <c r="C4299" s="12">
        <v>8215</v>
      </c>
      <c r="D4299" s="7" t="s">
        <v>6521</v>
      </c>
      <c r="E4299" s="13" t="s">
        <v>4996</v>
      </c>
      <c r="F4299" t="str">
        <f t="shared" si="335"/>
        <v>Meadow</v>
      </c>
      <c r="G4299" t="str">
        <f t="shared" si="336"/>
        <v>Meadow8215Dallas</v>
      </c>
      <c r="H4299" t="s">
        <v>35156</v>
      </c>
      <c r="I4299" t="s">
        <v>26579</v>
      </c>
      <c r="J4299" t="str">
        <f t="shared" si="337"/>
        <v>E:\PropInv\MF</v>
      </c>
      <c r="K4299" s="103" t="str">
        <f>HYPERLINK("E:\PropInv\MF\Dallas\Meadow Rd_8215_Parks of Woodhollow_Dallas_14244","Meadow Rd_8215_Parks of Woodhollow_Dallas_14244" )</f>
        <v>Meadow Rd_8215_Parks of Woodhollow_Dallas_14244</v>
      </c>
      <c r="L4299" s="104" t="s">
        <v>22253</v>
      </c>
      <c r="M4299" s="103" t="str">
        <f t="shared" si="338"/>
        <v>http://oconnordata.com/mlink/modules/profile/index.cfm?action=profile&amp;prop_id=14244</v>
      </c>
      <c r="N4299" s="1">
        <f t="shared" si="339"/>
        <v>14244</v>
      </c>
    </row>
    <row r="4300" spans="1:14" x14ac:dyDescent="0.3">
      <c r="A4300" s="97">
        <v>14245</v>
      </c>
      <c r="B4300" s="7" t="s">
        <v>6054</v>
      </c>
      <c r="C4300" s="12">
        <v>825</v>
      </c>
      <c r="D4300" s="7" t="s">
        <v>6522</v>
      </c>
      <c r="E4300" s="13" t="s">
        <v>5195</v>
      </c>
      <c r="F4300" t="str">
        <f t="shared" si="335"/>
        <v>Pleasant</v>
      </c>
      <c r="G4300" t="str">
        <f t="shared" si="336"/>
        <v>Pleasant825Desoto</v>
      </c>
      <c r="H4300" t="s">
        <v>35157</v>
      </c>
      <c r="I4300" t="s">
        <v>26580</v>
      </c>
      <c r="J4300" t="str">
        <f t="shared" si="337"/>
        <v>E:\PropInv\MF</v>
      </c>
      <c r="K4300" s="103" t="str">
        <f>HYPERLINK("E:\PropInv\MF\Desoto\Pleasant Run E_825_Wooded Creek_Desoto_14245","Pleasant Run E_825_Wooded Creek_Desoto_14245" )</f>
        <v>Pleasant Run E_825_Wooded Creek_Desoto_14245</v>
      </c>
      <c r="L4300" s="104" t="s">
        <v>22253</v>
      </c>
      <c r="M4300" s="103" t="str">
        <f t="shared" si="338"/>
        <v>http://oconnordata.com/mlink/modules/profile/index.cfm?action=profile&amp;prop_id=14245</v>
      </c>
      <c r="N4300" s="1">
        <f t="shared" si="339"/>
        <v>14245</v>
      </c>
    </row>
    <row r="4301" spans="1:14" x14ac:dyDescent="0.3">
      <c r="A4301" s="97">
        <v>14246</v>
      </c>
      <c r="B4301" s="7" t="s">
        <v>6483</v>
      </c>
      <c r="C4301" s="12">
        <v>6161</v>
      </c>
      <c r="D4301" s="7" t="s">
        <v>4804</v>
      </c>
      <c r="E4301" s="13" t="s">
        <v>4996</v>
      </c>
      <c r="F4301" t="str">
        <f t="shared" si="335"/>
        <v>Pineland</v>
      </c>
      <c r="G4301" t="str">
        <f t="shared" si="336"/>
        <v>Pineland6161Dallas</v>
      </c>
      <c r="H4301" t="s">
        <v>35158</v>
      </c>
      <c r="I4301" t="s">
        <v>26581</v>
      </c>
      <c r="J4301" t="str">
        <f t="shared" si="337"/>
        <v>E:\PropInv\MF</v>
      </c>
      <c r="K4301" s="103" t="str">
        <f>HYPERLINK("E:\PropInv\MF\Dallas\Pineland_6161_Woodglen_Dallas_14246","Pineland_6161_Woodglen_Dallas_14246" )</f>
        <v>Pineland_6161_Woodglen_Dallas_14246</v>
      </c>
      <c r="L4301" s="104" t="s">
        <v>22253</v>
      </c>
      <c r="M4301" s="103" t="str">
        <f t="shared" si="338"/>
        <v>http://oconnordata.com/mlink/modules/profile/index.cfm?action=profile&amp;prop_id=14246</v>
      </c>
      <c r="N4301" s="1">
        <f t="shared" si="339"/>
        <v>14246</v>
      </c>
    </row>
    <row r="4302" spans="1:14" x14ac:dyDescent="0.3">
      <c r="A4302" s="97">
        <v>14247</v>
      </c>
      <c r="B4302" s="7" t="s">
        <v>6481</v>
      </c>
      <c r="C4302" s="12">
        <v>6800</v>
      </c>
      <c r="D4302" s="7" t="s">
        <v>6523</v>
      </c>
      <c r="E4302" s="13" t="s">
        <v>4996</v>
      </c>
      <c r="F4302" t="str">
        <f t="shared" si="335"/>
        <v>Cockrell</v>
      </c>
      <c r="G4302" t="str">
        <f t="shared" si="336"/>
        <v>Cockrell6800Dallas</v>
      </c>
      <c r="H4302" t="s">
        <v>35159</v>
      </c>
      <c r="I4302" t="s">
        <v>26582</v>
      </c>
      <c r="J4302" t="str">
        <f t="shared" si="337"/>
        <v>E:\PropInv\MF</v>
      </c>
      <c r="K4302" s="103" t="str">
        <f>HYPERLINK("E:\PropInv\MF\Dallas\Cockrell Hill Rd S_6800_Woodglen Park_Dallas_14247","Cockrell Hill Rd S_6800_Woodglen Park_Dallas_14247" )</f>
        <v>Cockrell Hill Rd S_6800_Woodglen Park_Dallas_14247</v>
      </c>
      <c r="L4302" s="104" t="s">
        <v>22253</v>
      </c>
      <c r="M4302" s="103" t="str">
        <f t="shared" si="338"/>
        <v>http://oconnordata.com/mlink/modules/profile/index.cfm?action=profile&amp;prop_id=14247</v>
      </c>
      <c r="N4302" s="1">
        <f t="shared" si="339"/>
        <v>14247</v>
      </c>
    </row>
    <row r="4303" spans="1:14" x14ac:dyDescent="0.3">
      <c r="A4303" s="1">
        <v>14248</v>
      </c>
      <c r="B4303" s="7" t="s">
        <v>6524</v>
      </c>
      <c r="C4303" s="12">
        <v>3022</v>
      </c>
      <c r="D4303" s="7" t="s">
        <v>6525</v>
      </c>
      <c r="E4303" s="13" t="s">
        <v>5060</v>
      </c>
      <c r="F4303" t="str">
        <f t="shared" si="335"/>
        <v>Josey</v>
      </c>
      <c r="G4303" t="str">
        <f t="shared" si="336"/>
        <v>Josey3022Carrollton</v>
      </c>
      <c r="H4303" t="s">
        <v>35160</v>
      </c>
      <c r="I4303" t="s">
        <v>26583</v>
      </c>
      <c r="J4303" t="str">
        <f t="shared" si="337"/>
        <v>E:\PropInv\MF</v>
      </c>
      <c r="K4303" s="103" t="str">
        <f>HYPERLINK("E:\PropInv\MF\Carrollton\Josey N_3022_Villa Siena_Carrollton_14248","Josey N_3022_Villa Siena_Carrollton_14248" )</f>
        <v>Josey N_3022_Villa Siena_Carrollton_14248</v>
      </c>
      <c r="L4303" s="104" t="s">
        <v>22253</v>
      </c>
      <c r="M4303" s="103" t="str">
        <f t="shared" si="338"/>
        <v>http://oconnordata.com/mlink/modules/profile/index.cfm?action=profile&amp;prop_id=14248</v>
      </c>
      <c r="N4303" s="1">
        <f t="shared" si="339"/>
        <v>14248</v>
      </c>
    </row>
    <row r="4304" spans="1:14" x14ac:dyDescent="0.3">
      <c r="A4304" s="97">
        <v>14249</v>
      </c>
      <c r="B4304" s="7" t="s">
        <v>6526</v>
      </c>
      <c r="C4304" s="12">
        <v>1313</v>
      </c>
      <c r="D4304" s="7" t="s">
        <v>6527</v>
      </c>
      <c r="E4304" s="13" t="s">
        <v>5046</v>
      </c>
      <c r="F4304" t="str">
        <f t="shared" si="335"/>
        <v>Shady</v>
      </c>
      <c r="G4304" t="str">
        <f t="shared" si="336"/>
        <v>Shady1313Irving</v>
      </c>
      <c r="H4304" t="s">
        <v>35161</v>
      </c>
      <c r="I4304" t="s">
        <v>26584</v>
      </c>
      <c r="J4304" t="str">
        <f t="shared" si="337"/>
        <v>E:\PropInv\MF</v>
      </c>
      <c r="K4304" s="103" t="str">
        <f>HYPERLINK("E:\PropInv\MF\Irving\Shady Grove E_1313_Woods_Irving_14249","Shady Grove E_1313_Woods_Irving_14249" )</f>
        <v>Shady Grove E_1313_Woods_Irving_14249</v>
      </c>
      <c r="L4304" s="104" t="s">
        <v>22253</v>
      </c>
      <c r="M4304" s="103" t="str">
        <f t="shared" si="338"/>
        <v>http://oconnordata.com/mlink/modules/profile/index.cfm?action=profile&amp;prop_id=14249</v>
      </c>
      <c r="N4304" s="1">
        <f t="shared" si="339"/>
        <v>14249</v>
      </c>
    </row>
    <row r="4305" spans="1:14" x14ac:dyDescent="0.3">
      <c r="A4305" s="97">
        <v>14250</v>
      </c>
      <c r="B4305" s="7" t="s">
        <v>5379</v>
      </c>
      <c r="C4305" s="12">
        <v>3560</v>
      </c>
      <c r="D4305" s="7" t="s">
        <v>6528</v>
      </c>
      <c r="E4305" s="13" t="s">
        <v>5060</v>
      </c>
      <c r="F4305" t="str">
        <f t="shared" si="335"/>
        <v>Country</v>
      </c>
      <c r="G4305" t="str">
        <f t="shared" si="336"/>
        <v>Country3560Carrollton</v>
      </c>
      <c r="H4305" t="s">
        <v>35162</v>
      </c>
      <c r="I4305" t="s">
        <v>26585</v>
      </c>
      <c r="J4305" t="str">
        <f t="shared" si="337"/>
        <v>E:\PropInv\MF</v>
      </c>
      <c r="K4305" s="103" t="str">
        <f>HYPERLINK("E:\PropInv\MF\Carrollton\Country Sq_3560_Woods at Lakeshore_Carrollton_14250","Country Sq_3560_Woods at Lakeshore_Carrollton_14250" )</f>
        <v>Country Sq_3560_Woods at Lakeshore_Carrollton_14250</v>
      </c>
      <c r="L4305" s="104" t="s">
        <v>22253</v>
      </c>
      <c r="M4305" s="103" t="str">
        <f t="shared" si="338"/>
        <v>http://oconnordata.com/mlink/modules/profile/index.cfm?action=profile&amp;prop_id=14250</v>
      </c>
      <c r="N4305" s="1">
        <f t="shared" si="339"/>
        <v>14250</v>
      </c>
    </row>
    <row r="4306" spans="1:14" x14ac:dyDescent="0.3">
      <c r="A4306" s="97">
        <v>14251</v>
      </c>
      <c r="B4306" s="7" t="s">
        <v>5947</v>
      </c>
      <c r="C4306" s="12">
        <v>13660</v>
      </c>
      <c r="D4306" s="7" t="s">
        <v>6093</v>
      </c>
      <c r="E4306" s="13" t="s">
        <v>4996</v>
      </c>
      <c r="F4306" t="str">
        <f t="shared" si="335"/>
        <v>CF</v>
      </c>
      <c r="G4306" t="str">
        <f t="shared" si="336"/>
        <v>CF13660Dallas</v>
      </c>
      <c r="H4306" t="s">
        <v>35163</v>
      </c>
      <c r="I4306" t="s">
        <v>26586</v>
      </c>
      <c r="J4306" t="str">
        <f t="shared" si="337"/>
        <v>E:\PropInv\MF</v>
      </c>
      <c r="K4306" s="103" t="str">
        <f>HYPERLINK("E:\PropInv\MF\Dallas\CF Hawn Fwy_13660_Woodside_Dallas_14251","CF Hawn Fwy_13660_Woodside_Dallas_14251" )</f>
        <v>CF Hawn Fwy_13660_Woodside_Dallas_14251</v>
      </c>
      <c r="L4306" s="104" t="s">
        <v>22253</v>
      </c>
      <c r="M4306" s="103" t="str">
        <f t="shared" si="338"/>
        <v>http://oconnordata.com/mlink/modules/profile/index.cfm?action=profile&amp;prop_id=14251</v>
      </c>
      <c r="N4306" s="1">
        <f t="shared" si="339"/>
        <v>14251</v>
      </c>
    </row>
    <row r="4307" spans="1:14" x14ac:dyDescent="0.3">
      <c r="A4307" s="1">
        <v>14252</v>
      </c>
      <c r="B4307" s="7" t="s">
        <v>5077</v>
      </c>
      <c r="C4307" s="12">
        <v>7160</v>
      </c>
      <c r="D4307" s="7" t="s">
        <v>6529</v>
      </c>
      <c r="E4307" s="13" t="s">
        <v>4996</v>
      </c>
      <c r="F4307" t="str">
        <f t="shared" si="335"/>
        <v>Skillman</v>
      </c>
      <c r="G4307" t="str">
        <f t="shared" si="336"/>
        <v>Skillman7160Dallas</v>
      </c>
      <c r="H4307" t="s">
        <v>35164</v>
      </c>
      <c r="I4307" t="s">
        <v>26587</v>
      </c>
      <c r="J4307" t="str">
        <f t="shared" si="337"/>
        <v>E:\PropInv\MF</v>
      </c>
      <c r="K4307" s="103" t="str">
        <f>HYPERLINK("E:\PropInv\MF\Dallas\Skillman_7160_Sutters Wood_Dallas_14252","Skillman_7160_Sutters Wood_Dallas_14252" )</f>
        <v>Skillman_7160_Sutters Wood_Dallas_14252</v>
      </c>
      <c r="L4307" s="104" t="s">
        <v>22253</v>
      </c>
      <c r="M4307" s="103" t="str">
        <f t="shared" si="338"/>
        <v>http://oconnordata.com/mlink/modules/profile/index.cfm?action=profile&amp;prop_id=14252</v>
      </c>
      <c r="N4307" s="1">
        <f t="shared" si="339"/>
        <v>14252</v>
      </c>
    </row>
    <row r="4308" spans="1:14" x14ac:dyDescent="0.3">
      <c r="A4308" s="1">
        <v>14253</v>
      </c>
      <c r="B4308" s="19" t="s">
        <v>5408</v>
      </c>
      <c r="C4308" s="12">
        <v>3701</v>
      </c>
      <c r="D4308" s="7" t="s">
        <v>6530</v>
      </c>
      <c r="E4308" s="13" t="s">
        <v>5046</v>
      </c>
      <c r="F4308" t="str">
        <f t="shared" si="335"/>
        <v>Pioneer</v>
      </c>
      <c r="G4308" t="str">
        <f t="shared" si="336"/>
        <v>Pioneer3701Irving</v>
      </c>
      <c r="H4308" t="s">
        <v>35165</v>
      </c>
      <c r="I4308" t="s">
        <v>26588</v>
      </c>
      <c r="J4308" t="str">
        <f t="shared" si="337"/>
        <v>E:\PropInv\MF</v>
      </c>
      <c r="K4308" s="103" t="str">
        <f>HYPERLINK("E:\PropInv\MF\Irving\Pioneer Dr W_3701_Montoro_Irving_14253","Pioneer Dr W_3701_Montoro_Irving_14253" )</f>
        <v>Pioneer Dr W_3701_Montoro_Irving_14253</v>
      </c>
      <c r="L4308" s="104" t="s">
        <v>22253</v>
      </c>
      <c r="M4308" s="103" t="str">
        <f t="shared" si="338"/>
        <v>http://oconnordata.com/mlink/modules/profile/index.cfm?action=profile&amp;prop_id=14253</v>
      </c>
      <c r="N4308" s="1">
        <f t="shared" si="339"/>
        <v>14253</v>
      </c>
    </row>
    <row r="4309" spans="1:14" x14ac:dyDescent="0.3">
      <c r="A4309" s="1">
        <v>14258</v>
      </c>
      <c r="B4309" s="7" t="s">
        <v>6176</v>
      </c>
      <c r="C4309" s="12">
        <v>10000</v>
      </c>
      <c r="D4309" s="7" t="s">
        <v>6531</v>
      </c>
      <c r="E4309" s="13" t="s">
        <v>4996</v>
      </c>
      <c r="F4309" t="str">
        <f t="shared" si="335"/>
        <v>Walnut</v>
      </c>
      <c r="G4309" t="str">
        <f t="shared" si="336"/>
        <v>Walnut10000Dallas</v>
      </c>
      <c r="H4309" t="s">
        <v>35166</v>
      </c>
      <c r="I4309" t="s">
        <v>26589</v>
      </c>
      <c r="J4309" t="str">
        <f t="shared" si="337"/>
        <v>E:\PropInv\MF</v>
      </c>
      <c r="K4309" s="103" t="str">
        <f>HYPERLINK("E:\PropInv\MF\Dallas\Walnut St_10000_The Parks at Walnut_Dallas_14258","Walnut St_10000_The Parks at Walnut_Dallas_14258" )</f>
        <v>Walnut St_10000_The Parks at Walnut_Dallas_14258</v>
      </c>
      <c r="L4309" s="104" t="s">
        <v>22253</v>
      </c>
      <c r="M4309" s="103" t="str">
        <f t="shared" si="338"/>
        <v>http://oconnordata.com/mlink/modules/profile/index.cfm?action=profile&amp;prop_id=14258</v>
      </c>
      <c r="N4309" s="1">
        <f t="shared" si="339"/>
        <v>14258</v>
      </c>
    </row>
    <row r="4310" spans="1:14" x14ac:dyDescent="0.3">
      <c r="A4310" s="97">
        <v>14259</v>
      </c>
      <c r="B4310" s="7" t="s">
        <v>5141</v>
      </c>
      <c r="C4310" s="12">
        <v>3721</v>
      </c>
      <c r="D4310" s="7" t="s">
        <v>6532</v>
      </c>
      <c r="E4310" s="13" t="s">
        <v>5005</v>
      </c>
      <c r="F4310" t="str">
        <f t="shared" si="335"/>
        <v>Spring</v>
      </c>
      <c r="G4310" t="str">
        <f t="shared" si="336"/>
        <v>Spring3721Addison</v>
      </c>
      <c r="H4310" t="s">
        <v>35167</v>
      </c>
      <c r="I4310" t="s">
        <v>26590</v>
      </c>
      <c r="J4310" t="str">
        <f t="shared" si="337"/>
        <v>E:\PropInv\MF</v>
      </c>
      <c r="K4310" s="103" t="str">
        <f>HYPERLINK("E:\PropInv\MF\Addison\Spring Valley Rd_3721_Wyndward Addison_Addison_14259","Spring Valley Rd_3721_Wyndward Addison_Addison_14259" )</f>
        <v>Spring Valley Rd_3721_Wyndward Addison_Addison_14259</v>
      </c>
      <c r="L4310" s="104" t="s">
        <v>22253</v>
      </c>
      <c r="M4310" s="103" t="str">
        <f t="shared" si="338"/>
        <v>http://oconnordata.com/mlink/modules/profile/index.cfm?action=profile&amp;prop_id=14259</v>
      </c>
      <c r="N4310" s="1">
        <f t="shared" si="339"/>
        <v>14259</v>
      </c>
    </row>
    <row r="4311" spans="1:14" x14ac:dyDescent="0.3">
      <c r="A4311" s="1">
        <v>14261</v>
      </c>
      <c r="B4311" s="7" t="s">
        <v>6533</v>
      </c>
      <c r="C4311" s="12">
        <v>6751</v>
      </c>
      <c r="D4311" s="7" t="s">
        <v>3259</v>
      </c>
      <c r="E4311" s="13" t="s">
        <v>5014</v>
      </c>
      <c r="F4311" t="str">
        <f t="shared" si="335"/>
        <v>Westcreek</v>
      </c>
      <c r="G4311" t="str">
        <f t="shared" si="336"/>
        <v>Westcreek6751Fort Worth</v>
      </c>
      <c r="H4311" t="s">
        <v>35168</v>
      </c>
      <c r="I4311" t="s">
        <v>26591</v>
      </c>
      <c r="J4311" t="str">
        <f t="shared" si="337"/>
        <v>E:\PropInv\MF</v>
      </c>
      <c r="K4311" s="103" t="str">
        <f>HYPERLINK("E:\PropInv\MF\Fort Worth\Westcreek Dr_6751_Creekside_Fort Worth_14261","Westcreek Dr_6751_Creekside_Fort Worth_14261" )</f>
        <v>Westcreek Dr_6751_Creekside_Fort Worth_14261</v>
      </c>
      <c r="L4311" s="104" t="s">
        <v>22253</v>
      </c>
      <c r="M4311" s="103" t="str">
        <f t="shared" si="338"/>
        <v>http://oconnordata.com/mlink/modules/profile/index.cfm?action=profile&amp;prop_id=14261</v>
      </c>
      <c r="N4311" s="1">
        <f t="shared" si="339"/>
        <v>14261</v>
      </c>
    </row>
    <row r="4312" spans="1:14" x14ac:dyDescent="0.3">
      <c r="A4312" s="1">
        <v>14264</v>
      </c>
      <c r="B4312" s="7" t="s">
        <v>6534</v>
      </c>
      <c r="C4312" s="12">
        <v>8301</v>
      </c>
      <c r="D4312" s="7" t="s">
        <v>6535</v>
      </c>
      <c r="E4312" s="13" t="s">
        <v>5014</v>
      </c>
      <c r="F4312" t="str">
        <f t="shared" si="335"/>
        <v>Boat</v>
      </c>
      <c r="G4312" t="str">
        <f t="shared" si="336"/>
        <v>Boat8301Fort Worth</v>
      </c>
      <c r="H4312" t="s">
        <v>35169</v>
      </c>
      <c r="I4312" t="s">
        <v>26592</v>
      </c>
      <c r="J4312" t="str">
        <f t="shared" si="337"/>
        <v>E:\PropInv\MF</v>
      </c>
      <c r="K4312" s="103" t="str">
        <f>HYPERLINK("E:\PropInv\MF\Fort Worth\Boat Club Rd_8301_Eagle's Point_Fort Worth_14264","Boat Club Rd_8301_Eagle's Point_Fort Worth_14264" )</f>
        <v>Boat Club Rd_8301_Eagle's Point_Fort Worth_14264</v>
      </c>
      <c r="L4312" s="104" t="s">
        <v>22253</v>
      </c>
      <c r="M4312" s="103" t="str">
        <f t="shared" si="338"/>
        <v>http://oconnordata.com/mlink/modules/profile/index.cfm?action=profile&amp;prop_id=14264</v>
      </c>
      <c r="N4312" s="1">
        <f t="shared" si="339"/>
        <v>14264</v>
      </c>
    </row>
    <row r="4313" spans="1:14" x14ac:dyDescent="0.3">
      <c r="A4313" s="1">
        <v>14265</v>
      </c>
      <c r="B4313" s="10" t="s">
        <v>3983</v>
      </c>
      <c r="C4313" s="9">
        <v>15411</v>
      </c>
      <c r="D4313" s="10" t="s">
        <v>6536</v>
      </c>
      <c r="E4313" s="11" t="s">
        <v>4996</v>
      </c>
      <c r="F4313" t="str">
        <f t="shared" si="335"/>
        <v>Preston</v>
      </c>
      <c r="G4313" t="str">
        <f t="shared" si="336"/>
        <v>Preston15411Dallas</v>
      </c>
      <c r="H4313" t="s">
        <v>35170</v>
      </c>
      <c r="I4313" t="s">
        <v>26593</v>
      </c>
      <c r="J4313" t="str">
        <f t="shared" si="337"/>
        <v>E:\PropInv\MF</v>
      </c>
      <c r="K4313" s="103" t="str">
        <f>HYPERLINK("E:\PropInv\MF\Dallas\Preston Rd_15411_Tiburon_Dallas_14265","Preston Rd_15411_Tiburon_Dallas_14265" )</f>
        <v>Preston Rd_15411_Tiburon_Dallas_14265</v>
      </c>
      <c r="L4313" s="104" t="s">
        <v>22253</v>
      </c>
      <c r="M4313" s="103" t="str">
        <f t="shared" si="338"/>
        <v>http://oconnordata.com/mlink/modules/profile/index.cfm?action=profile&amp;prop_id=14265</v>
      </c>
      <c r="N4313" s="1">
        <f t="shared" si="339"/>
        <v>14265</v>
      </c>
    </row>
    <row r="4314" spans="1:14" x14ac:dyDescent="0.3">
      <c r="A4314" s="1">
        <v>14266</v>
      </c>
      <c r="B4314" s="10" t="s">
        <v>6537</v>
      </c>
      <c r="C4314" s="9">
        <v>5401</v>
      </c>
      <c r="D4314" s="10" t="s">
        <v>6538</v>
      </c>
      <c r="E4314" s="11" t="s">
        <v>5014</v>
      </c>
      <c r="F4314" t="str">
        <f t="shared" si="335"/>
        <v>Overton</v>
      </c>
      <c r="G4314" t="str">
        <f t="shared" si="336"/>
        <v>Overton5401Fort Worth</v>
      </c>
      <c r="H4314" t="s">
        <v>35171</v>
      </c>
      <c r="I4314" t="s">
        <v>26594</v>
      </c>
      <c r="J4314" t="str">
        <f t="shared" si="337"/>
        <v>E:\PropInv\MF</v>
      </c>
      <c r="K4314" s="103" t="str">
        <f>HYPERLINK("E:\PropInv\MF\Fort Worth\Overton Ridge_5401_The Enclave at Cityview_Fort Worth_14266","Overton Ridge_5401_The Enclave at Cityview_Fort Worth_14266" )</f>
        <v>Overton Ridge_5401_The Enclave at Cityview_Fort Worth_14266</v>
      </c>
      <c r="L4314" s="104" t="s">
        <v>22253</v>
      </c>
      <c r="M4314" s="103" t="str">
        <f t="shared" si="338"/>
        <v>http://oconnordata.com/mlink/modules/profile/index.cfm?action=profile&amp;prop_id=14266</v>
      </c>
      <c r="N4314" s="1">
        <f t="shared" si="339"/>
        <v>14266</v>
      </c>
    </row>
    <row r="4315" spans="1:14" x14ac:dyDescent="0.3">
      <c r="A4315" s="1">
        <v>14267</v>
      </c>
      <c r="B4315" s="10" t="s">
        <v>6539</v>
      </c>
      <c r="C4315" s="9">
        <v>1601</v>
      </c>
      <c r="D4315" s="10" t="s">
        <v>6540</v>
      </c>
      <c r="E4315" s="11" t="s">
        <v>6541</v>
      </c>
      <c r="F4315" t="str">
        <f t="shared" si="335"/>
        <v>Weyland</v>
      </c>
      <c r="G4315" t="str">
        <f t="shared" si="336"/>
        <v>Weyland1601North Richland Hills</v>
      </c>
      <c r="H4315" t="s">
        <v>35172</v>
      </c>
      <c r="I4315" t="s">
        <v>26595</v>
      </c>
      <c r="J4315" t="str">
        <f t="shared" si="337"/>
        <v>E:\PropInv\MF</v>
      </c>
      <c r="K4315" s="103" t="str">
        <f>HYPERLINK("E:\PropInv\MF\North Richland Hills\Weyland Dr_1601_Remington Oaks_North Richland Hills_14267","Weyland Dr_1601_Remington Oaks_North Richland Hills_14267" )</f>
        <v>Weyland Dr_1601_Remington Oaks_North Richland Hills_14267</v>
      </c>
      <c r="L4315" s="104" t="s">
        <v>22253</v>
      </c>
      <c r="M4315" s="103" t="str">
        <f t="shared" si="338"/>
        <v>http://oconnordata.com/mlink/modules/profile/index.cfm?action=profile&amp;prop_id=14267</v>
      </c>
      <c r="N4315" s="1">
        <f t="shared" si="339"/>
        <v>14267</v>
      </c>
    </row>
    <row r="4316" spans="1:14" x14ac:dyDescent="0.3">
      <c r="A4316" s="1">
        <v>14268</v>
      </c>
      <c r="B4316" s="10" t="s">
        <v>6542</v>
      </c>
      <c r="C4316" s="9">
        <v>4701</v>
      </c>
      <c r="D4316" s="10" t="s">
        <v>6543</v>
      </c>
      <c r="E4316" s="11" t="s">
        <v>5009</v>
      </c>
      <c r="F4316" t="str">
        <f t="shared" si="335"/>
        <v>Charles</v>
      </c>
      <c r="G4316" t="str">
        <f t="shared" si="336"/>
        <v>Charles4701Plano</v>
      </c>
      <c r="H4316" t="s">
        <v>35173</v>
      </c>
      <c r="I4316" t="s">
        <v>26596</v>
      </c>
      <c r="J4316" t="str">
        <f t="shared" si="337"/>
        <v>E:\PropInv\MF</v>
      </c>
      <c r="K4316" s="103" t="str">
        <f>HYPERLINK("E:\PropInv\MF\Plano\Charles Place_4701_Reserve at Charles Place_Plano_14268","Charles Place_4701_Reserve at Charles Place_Plano_14268" )</f>
        <v>Charles Place_4701_Reserve at Charles Place_Plano_14268</v>
      </c>
      <c r="L4316" s="104" t="s">
        <v>22253</v>
      </c>
      <c r="M4316" s="103" t="str">
        <f t="shared" si="338"/>
        <v>http://oconnordata.com/mlink/modules/profile/index.cfm?action=profile&amp;prop_id=14268</v>
      </c>
      <c r="N4316" s="1">
        <f t="shared" si="339"/>
        <v>14268</v>
      </c>
    </row>
    <row r="4317" spans="1:14" x14ac:dyDescent="0.3">
      <c r="A4317" s="1">
        <v>14269</v>
      </c>
      <c r="B4317" s="7" t="s">
        <v>6544</v>
      </c>
      <c r="C4317" s="12">
        <v>4200</v>
      </c>
      <c r="D4317" s="7" t="s">
        <v>6545</v>
      </c>
      <c r="E4317" s="13" t="s">
        <v>5014</v>
      </c>
      <c r="F4317" t="str">
        <f t="shared" si="335"/>
        <v>Bridgeview</v>
      </c>
      <c r="G4317" t="str">
        <f t="shared" si="336"/>
        <v>Bridgeview4200Fort Worth</v>
      </c>
      <c r="H4317" t="s">
        <v>35174</v>
      </c>
      <c r="I4317" t="s">
        <v>26597</v>
      </c>
      <c r="J4317" t="str">
        <f t="shared" si="337"/>
        <v>E:\PropInv\MF</v>
      </c>
      <c r="K4317" s="103" t="str">
        <f>HYPERLINK("E:\PropInv\MF\Fort Worth\Bridgeview Dr_4200_The Marquis at Stonegate_Fort Worth_14269","Bridgeview Dr_4200_The Marquis at Stonegate_Fort Worth_14269" )</f>
        <v>Bridgeview Dr_4200_The Marquis at Stonegate_Fort Worth_14269</v>
      </c>
      <c r="L4317" s="104" t="s">
        <v>22253</v>
      </c>
      <c r="M4317" s="103" t="str">
        <f t="shared" si="338"/>
        <v>http://oconnordata.com/mlink/modules/profile/index.cfm?action=profile&amp;prop_id=14269</v>
      </c>
      <c r="N4317" s="1">
        <f t="shared" si="339"/>
        <v>14269</v>
      </c>
    </row>
    <row r="4318" spans="1:14" x14ac:dyDescent="0.3">
      <c r="A4318" s="1">
        <v>14270</v>
      </c>
      <c r="B4318" s="7" t="s">
        <v>6546</v>
      </c>
      <c r="C4318" s="12">
        <v>3800</v>
      </c>
      <c r="D4318" s="7" t="s">
        <v>6547</v>
      </c>
      <c r="E4318" s="13" t="s">
        <v>5009</v>
      </c>
      <c r="F4318" t="str">
        <f t="shared" si="335"/>
        <v>Pebble</v>
      </c>
      <c r="G4318" t="str">
        <f t="shared" si="336"/>
        <v>Pebble3800Plano</v>
      </c>
      <c r="H4318" t="s">
        <v>35175</v>
      </c>
      <c r="I4318" t="s">
        <v>26598</v>
      </c>
      <c r="J4318" t="str">
        <f t="shared" si="337"/>
        <v>E:\PropInv\MF</v>
      </c>
      <c r="K4318" s="103" t="str">
        <f>HYPERLINK("E:\PropInv\MF\Plano\Pebble Creek Cts_3800_Reserve at Pebble Creek_Plano_14270","Pebble Creek Cts_3800_Reserve at Pebble Creek_Plano_14270" )</f>
        <v>Pebble Creek Cts_3800_Reserve at Pebble Creek_Plano_14270</v>
      </c>
      <c r="L4318" s="104" t="s">
        <v>22253</v>
      </c>
      <c r="M4318" s="103" t="str">
        <f t="shared" si="338"/>
        <v>http://oconnordata.com/mlink/modules/profile/index.cfm?action=profile&amp;prop_id=14270</v>
      </c>
      <c r="N4318" s="1">
        <f t="shared" si="339"/>
        <v>14270</v>
      </c>
    </row>
    <row r="4319" spans="1:14" x14ac:dyDescent="0.3">
      <c r="A4319" s="1">
        <v>14271</v>
      </c>
      <c r="B4319" s="10" t="s">
        <v>6548</v>
      </c>
      <c r="C4319" s="9">
        <v>4101</v>
      </c>
      <c r="D4319" s="10" t="s">
        <v>6549</v>
      </c>
      <c r="E4319" s="11" t="s">
        <v>5014</v>
      </c>
      <c r="F4319" t="str">
        <f t="shared" si="335"/>
        <v>Hulen</v>
      </c>
      <c r="G4319" t="str">
        <f t="shared" si="336"/>
        <v>Hulen4101Fort Worth</v>
      </c>
      <c r="H4319" t="s">
        <v>35176</v>
      </c>
      <c r="I4319" t="s">
        <v>26599</v>
      </c>
      <c r="J4319" t="str">
        <f t="shared" si="337"/>
        <v>E:\PropInv\MF</v>
      </c>
      <c r="K4319" s="103" t="str">
        <f>HYPERLINK("E:\PropInv\MF\Fort Worth\Hulen S_4101_Marquis at Willow Lake_Fort Worth_14271","Hulen S_4101_Marquis at Willow Lake_Fort Worth_14271" )</f>
        <v>Hulen S_4101_Marquis at Willow Lake_Fort Worth_14271</v>
      </c>
      <c r="L4319" s="104" t="s">
        <v>22253</v>
      </c>
      <c r="M4319" s="103" t="str">
        <f t="shared" si="338"/>
        <v>http://oconnordata.com/mlink/modules/profile/index.cfm?action=profile&amp;prop_id=14271</v>
      </c>
      <c r="N4319" s="1">
        <f t="shared" si="339"/>
        <v>14271</v>
      </c>
    </row>
    <row r="4320" spans="1:14" x14ac:dyDescent="0.3">
      <c r="A4320" s="1">
        <v>14272</v>
      </c>
      <c r="B4320" s="7" t="s">
        <v>1149</v>
      </c>
      <c r="C4320" s="12">
        <v>1765</v>
      </c>
      <c r="D4320" s="7" t="s">
        <v>6550</v>
      </c>
      <c r="E4320" s="13" t="s">
        <v>5019</v>
      </c>
      <c r="F4320" t="str">
        <f t="shared" si="335"/>
        <v>Plaza</v>
      </c>
      <c r="G4320" t="str">
        <f t="shared" si="336"/>
        <v>Plaza1765Garland</v>
      </c>
      <c r="H4320" t="s">
        <v>35177</v>
      </c>
      <c r="I4320" t="s">
        <v>26600</v>
      </c>
      <c r="J4320" t="str">
        <f t="shared" si="337"/>
        <v>E:\PropInv\MF</v>
      </c>
      <c r="K4320" s="103" t="str">
        <f>HYPERLINK("E:\PropInv\MF\Garland\Plaza Dr_1765_Village of Eastgate_Garland_14272","Plaza Dr_1765_Village of Eastgate_Garland_14272" )</f>
        <v>Plaza Dr_1765_Village of Eastgate_Garland_14272</v>
      </c>
      <c r="L4320" s="104" t="s">
        <v>22253</v>
      </c>
      <c r="M4320" s="103" t="str">
        <f t="shared" si="338"/>
        <v>http://oconnordata.com/mlink/modules/profile/index.cfm?action=profile&amp;prop_id=14272</v>
      </c>
      <c r="N4320" s="1">
        <f t="shared" si="339"/>
        <v>14272</v>
      </c>
    </row>
    <row r="4321" spans="1:14" x14ac:dyDescent="0.3">
      <c r="A4321" s="1">
        <v>14274</v>
      </c>
      <c r="B4321" s="7" t="s">
        <v>6551</v>
      </c>
      <c r="C4321" s="12">
        <v>1001</v>
      </c>
      <c r="D4321" s="7" t="s">
        <v>6552</v>
      </c>
      <c r="E4321" s="13" t="s">
        <v>7</v>
      </c>
      <c r="F4321" t="str">
        <f t="shared" si="335"/>
        <v>Collinwood</v>
      </c>
      <c r="G4321" t="str">
        <f t="shared" si="336"/>
        <v>Collinwood1001Austin</v>
      </c>
      <c r="H4321" t="s">
        <v>35178</v>
      </c>
      <c r="I4321" t="s">
        <v>26601</v>
      </c>
      <c r="J4321" t="str">
        <f t="shared" si="337"/>
        <v>E:\PropInv\MF</v>
      </c>
      <c r="K4321" s="103" t="str">
        <f>HYPERLINK("E:\PropInv\MF\Austin\Collinwood W Dr_1001_Village at Collinwood_Austin_14274","Collinwood W Dr_1001_Village at Collinwood_Austin_14274" )</f>
        <v>Collinwood W Dr_1001_Village at Collinwood_Austin_14274</v>
      </c>
      <c r="L4321" s="104" t="s">
        <v>22253</v>
      </c>
      <c r="M4321" s="103" t="str">
        <f t="shared" si="338"/>
        <v>http://oconnordata.com/mlink/modules/profile/index.cfm?action=profile&amp;prop_id=14274</v>
      </c>
      <c r="N4321" s="1">
        <f t="shared" si="339"/>
        <v>14274</v>
      </c>
    </row>
    <row r="4322" spans="1:14" x14ac:dyDescent="0.3">
      <c r="A4322" s="1">
        <v>14283</v>
      </c>
      <c r="B4322" s="7" t="s">
        <v>6553</v>
      </c>
      <c r="C4322" s="12">
        <v>2104</v>
      </c>
      <c r="D4322" s="7" t="s">
        <v>6554</v>
      </c>
      <c r="E4322" s="13" t="s">
        <v>6555</v>
      </c>
      <c r="F4322" t="str">
        <f t="shared" si="335"/>
        <v>Worth</v>
      </c>
      <c r="G4322" t="str">
        <f t="shared" si="336"/>
        <v>Worth2104Arlington</v>
      </c>
      <c r="H4322" t="s">
        <v>35179</v>
      </c>
      <c r="I4322" t="s">
        <v>26602</v>
      </c>
      <c r="J4322" t="str">
        <f t="shared" si="337"/>
        <v>E:\PropInv\MF</v>
      </c>
      <c r="K4322" s="103" t="str">
        <f>HYPERLINK("E:\PropInv\MF\Arlington\Worth St_2104_Mayfield Park_Arlington_14283","Worth St_2104_Mayfield Park_Arlington_14283" )</f>
        <v>Worth St_2104_Mayfield Park_Arlington_14283</v>
      </c>
      <c r="L4322" s="104" t="s">
        <v>22253</v>
      </c>
      <c r="M4322" s="103" t="str">
        <f t="shared" si="338"/>
        <v>http://oconnordata.com/mlink/modules/profile/index.cfm?action=profile&amp;prop_id=14283</v>
      </c>
      <c r="N4322" s="1">
        <f t="shared" si="339"/>
        <v>14283</v>
      </c>
    </row>
    <row r="4323" spans="1:14" x14ac:dyDescent="0.3">
      <c r="A4323" s="1">
        <v>14284</v>
      </c>
      <c r="B4323" s="7" t="s">
        <v>6556</v>
      </c>
      <c r="C4323" s="12">
        <v>350</v>
      </c>
      <c r="D4323" s="7" t="s">
        <v>6557</v>
      </c>
      <c r="E4323" s="13" t="s">
        <v>5055</v>
      </c>
      <c r="F4323" t="str">
        <f t="shared" si="335"/>
        <v>Vista</v>
      </c>
      <c r="G4323" t="str">
        <f t="shared" si="336"/>
        <v>Vista350Lewisville</v>
      </c>
      <c r="H4323" t="s">
        <v>35180</v>
      </c>
      <c r="I4323" t="s">
        <v>26603</v>
      </c>
      <c r="J4323" t="str">
        <f t="shared" si="337"/>
        <v>E:\PropInv\MF</v>
      </c>
      <c r="K4323" s="103" t="str">
        <f>HYPERLINK("E:\PropInv\MF\Lewisville\Vista Ridge Mall Dr E_350_The Abby at Vista Ridge_Lewisville_14284","Vista Ridge Mall Dr E_350_The Abby at Vista Ridge_Lewisville_14284" )</f>
        <v>Vista Ridge Mall Dr E_350_The Abby at Vista Ridge_Lewisville_14284</v>
      </c>
      <c r="L4323" s="104" t="s">
        <v>22253</v>
      </c>
      <c r="M4323" s="103" t="str">
        <f t="shared" si="338"/>
        <v>http://oconnordata.com/mlink/modules/profile/index.cfm?action=profile&amp;prop_id=14284</v>
      </c>
      <c r="N4323" s="1">
        <f t="shared" si="339"/>
        <v>14284</v>
      </c>
    </row>
    <row r="4324" spans="1:14" x14ac:dyDescent="0.3">
      <c r="A4324" s="1">
        <v>14285</v>
      </c>
      <c r="B4324" s="7" t="s">
        <v>6558</v>
      </c>
      <c r="C4324" s="12">
        <v>1721</v>
      </c>
      <c r="D4324" s="7" t="s">
        <v>58</v>
      </c>
      <c r="E4324" s="13" t="s">
        <v>6559</v>
      </c>
      <c r="F4324" t="str">
        <f t="shared" si="335"/>
        <v>35</v>
      </c>
      <c r="G4324" t="str">
        <f t="shared" si="336"/>
        <v>351721Waxahachie</v>
      </c>
      <c r="H4324" t="s">
        <v>35181</v>
      </c>
      <c r="I4324" t="s">
        <v>26604</v>
      </c>
      <c r="J4324" t="str">
        <f t="shared" si="337"/>
        <v>E:\PropInv\MF</v>
      </c>
      <c r="K4324" s="103" t="str">
        <f>HYPERLINK("E:\PropInv\MF\Waxahachie\35 IH E S_1721_Bent Tree_Waxahachie_14285","35 IH E S_1721_Bent Tree_Waxahachie_14285" )</f>
        <v>35 IH E S_1721_Bent Tree_Waxahachie_14285</v>
      </c>
      <c r="L4324" s="104" t="s">
        <v>22253</v>
      </c>
      <c r="M4324" s="103" t="str">
        <f t="shared" si="338"/>
        <v>http://oconnordata.com/mlink/modules/profile/index.cfm?action=profile&amp;prop_id=14285</v>
      </c>
      <c r="N4324" s="1">
        <f t="shared" si="339"/>
        <v>14285</v>
      </c>
    </row>
    <row r="4325" spans="1:14" x14ac:dyDescent="0.3">
      <c r="A4325" s="1">
        <v>14286</v>
      </c>
      <c r="B4325" s="7" t="s">
        <v>6560</v>
      </c>
      <c r="C4325" s="12">
        <v>5301</v>
      </c>
      <c r="D4325" s="7" t="s">
        <v>6561</v>
      </c>
      <c r="E4325" s="13" t="s">
        <v>5009</v>
      </c>
      <c r="F4325" t="str">
        <f t="shared" si="335"/>
        <v>Spring</v>
      </c>
      <c r="G4325" t="str">
        <f t="shared" si="336"/>
        <v>Spring5301Plano</v>
      </c>
      <c r="H4325" t="s">
        <v>35182</v>
      </c>
      <c r="I4325" t="s">
        <v>26605</v>
      </c>
      <c r="J4325" t="str">
        <f t="shared" si="337"/>
        <v>E:\PropInv\MF</v>
      </c>
      <c r="K4325" s="103" t="str">
        <f>HYPERLINK("E:\PropInv\MF\Plano\Spring Creek Pkwy_5301_Century Legacy Village_Plano_14286","Spring Creek Pkwy_5301_Century Legacy Village_Plano_14286" )</f>
        <v>Spring Creek Pkwy_5301_Century Legacy Village_Plano_14286</v>
      </c>
      <c r="L4325" s="104" t="s">
        <v>22253</v>
      </c>
      <c r="M4325" s="103" t="str">
        <f t="shared" si="338"/>
        <v>http://oconnordata.com/mlink/modules/profile/index.cfm?action=profile&amp;prop_id=14286</v>
      </c>
      <c r="N4325" s="1">
        <f t="shared" si="339"/>
        <v>14286</v>
      </c>
    </row>
    <row r="4326" spans="1:14" x14ac:dyDescent="0.3">
      <c r="A4326" s="1">
        <v>14287</v>
      </c>
      <c r="B4326" s="7" t="s">
        <v>6562</v>
      </c>
      <c r="C4326" s="12">
        <v>2301</v>
      </c>
      <c r="D4326" s="7" t="s">
        <v>6563</v>
      </c>
      <c r="E4326" s="13" t="s">
        <v>5009</v>
      </c>
      <c r="F4326" t="str">
        <f t="shared" si="335"/>
        <v>Pebblevale</v>
      </c>
      <c r="G4326" t="str">
        <f t="shared" si="336"/>
        <v>Pebblevale2301Plano</v>
      </c>
      <c r="H4326" t="s">
        <v>35183</v>
      </c>
      <c r="I4326" t="s">
        <v>26606</v>
      </c>
      <c r="J4326" t="str">
        <f t="shared" si="337"/>
        <v>E:\PropInv\MF</v>
      </c>
      <c r="K4326" s="103" t="str">
        <f>HYPERLINK("E:\PropInv\MF\Plano\Pebblevale_2301_Mission Collin Creek_Plano_14287","Pebblevale_2301_Mission Collin Creek_Plano_14287" )</f>
        <v>Pebblevale_2301_Mission Collin Creek_Plano_14287</v>
      </c>
      <c r="L4326" s="104" t="s">
        <v>22253</v>
      </c>
      <c r="M4326" s="103" t="str">
        <f t="shared" si="338"/>
        <v>http://oconnordata.com/mlink/modules/profile/index.cfm?action=profile&amp;prop_id=14287</v>
      </c>
      <c r="N4326" s="1">
        <f t="shared" si="339"/>
        <v>14287</v>
      </c>
    </row>
    <row r="4327" spans="1:14" x14ac:dyDescent="0.3">
      <c r="A4327" s="1">
        <v>14288</v>
      </c>
      <c r="B4327" s="7" t="s">
        <v>6564</v>
      </c>
      <c r="C4327" s="12">
        <v>516</v>
      </c>
      <c r="D4327" s="7" t="s">
        <v>6565</v>
      </c>
      <c r="E4327" s="13" t="s">
        <v>3428</v>
      </c>
      <c r="F4327" t="str">
        <f t="shared" si="335"/>
        <v>Stafford</v>
      </c>
      <c r="G4327" t="str">
        <f t="shared" si="336"/>
        <v>Stafford516Stafford</v>
      </c>
      <c r="H4327" t="s">
        <v>35184</v>
      </c>
      <c r="I4327" t="s">
        <v>26607</v>
      </c>
      <c r="J4327" t="str">
        <f t="shared" si="337"/>
        <v>E:\PropInv\MF</v>
      </c>
      <c r="K4327" s="103" t="str">
        <f>HYPERLINK("E:\PropInv\MF\Stafford\Stafford Springs Ave_516_Waterstone Place_Stafford_14288","Stafford Springs Ave_516_Waterstone Place_Stafford_14288" )</f>
        <v>Stafford Springs Ave_516_Waterstone Place_Stafford_14288</v>
      </c>
      <c r="L4327" s="104" t="s">
        <v>22253</v>
      </c>
      <c r="M4327" s="103" t="str">
        <f t="shared" si="338"/>
        <v>http://oconnordata.com/mlink/modules/profile/index.cfm?action=profile&amp;prop_id=14288</v>
      </c>
      <c r="N4327" s="1">
        <f t="shared" si="339"/>
        <v>14288</v>
      </c>
    </row>
    <row r="4328" spans="1:14" x14ac:dyDescent="0.3">
      <c r="A4328" s="1">
        <v>14292</v>
      </c>
      <c r="B4328" s="7" t="s">
        <v>427</v>
      </c>
      <c r="C4328" s="12">
        <v>1026</v>
      </c>
      <c r="D4328" s="7" t="s">
        <v>6566</v>
      </c>
      <c r="E4328" s="13" t="s">
        <v>7</v>
      </c>
      <c r="F4328" t="str">
        <f t="shared" si="335"/>
        <v>Clayton</v>
      </c>
      <c r="G4328" t="str">
        <f t="shared" si="336"/>
        <v>Clayton1026Austin</v>
      </c>
      <c r="H4328" t="s">
        <v>35185</v>
      </c>
      <c r="I4328" t="s">
        <v>26608</v>
      </c>
      <c r="J4328" t="str">
        <f t="shared" si="337"/>
        <v>E:\PropInv\MF</v>
      </c>
      <c r="K4328" s="103" t="str">
        <f>HYPERLINK("E:\PropInv\MF\Austin\Clayton Ln_1026_Primrose of Shadow Creek_Austin_14292","Clayton Ln_1026_Primrose of Shadow Creek_Austin_14292" )</f>
        <v>Clayton Ln_1026_Primrose of Shadow Creek_Austin_14292</v>
      </c>
      <c r="L4328" s="104" t="s">
        <v>22253</v>
      </c>
      <c r="M4328" s="103" t="str">
        <f t="shared" si="338"/>
        <v>http://oconnordata.com/mlink/modules/profile/index.cfm?action=profile&amp;prop_id=14292</v>
      </c>
      <c r="N4328" s="1">
        <f t="shared" si="339"/>
        <v>14292</v>
      </c>
    </row>
    <row r="4329" spans="1:14" x14ac:dyDescent="0.3">
      <c r="A4329" s="1">
        <v>14293</v>
      </c>
      <c r="B4329" s="7" t="s">
        <v>576</v>
      </c>
      <c r="C4329" s="12">
        <v>1441</v>
      </c>
      <c r="D4329" s="7" t="s">
        <v>6567</v>
      </c>
      <c r="E4329" s="13" t="s">
        <v>498</v>
      </c>
      <c r="F4329" t="str">
        <f t="shared" si="335"/>
        <v>Leah</v>
      </c>
      <c r="G4329" t="str">
        <f t="shared" si="336"/>
        <v>Leah1441San Marcos</v>
      </c>
      <c r="H4329" t="s">
        <v>35186</v>
      </c>
      <c r="I4329" t="s">
        <v>26609</v>
      </c>
      <c r="J4329" t="str">
        <f t="shared" si="337"/>
        <v>E:\PropInv\MF</v>
      </c>
      <c r="K4329" s="103" t="str">
        <f>HYPERLINK("E:\PropInv\MF\San Marcos\Leah Ave_1441_University Club Apts of San Marcos_San Marcos_14293","Leah Ave_1441_University Club Apts of San Marcos_San Marcos_14293" )</f>
        <v>Leah Ave_1441_University Club Apts of San Marcos_San Marcos_14293</v>
      </c>
      <c r="L4329" s="104" t="s">
        <v>22253</v>
      </c>
      <c r="M4329" s="103" t="str">
        <f t="shared" si="338"/>
        <v>http://oconnordata.com/mlink/modules/profile/index.cfm?action=profile&amp;prop_id=14293</v>
      </c>
      <c r="N4329" s="1">
        <f t="shared" si="339"/>
        <v>14293</v>
      </c>
    </row>
    <row r="4330" spans="1:14" x14ac:dyDescent="0.3">
      <c r="A4330" s="1">
        <v>14296</v>
      </c>
      <c r="B4330" s="7" t="s">
        <v>6568</v>
      </c>
      <c r="C4330" s="12">
        <v>3700</v>
      </c>
      <c r="D4330" s="7" t="s">
        <v>6569</v>
      </c>
      <c r="E4330" s="13" t="s">
        <v>6570</v>
      </c>
      <c r="F4330" t="str">
        <f t="shared" si="335"/>
        <v>85</v>
      </c>
      <c r="G4330" t="str">
        <f t="shared" si="336"/>
        <v>853700Ennis</v>
      </c>
      <c r="H4330" t="s">
        <v>35187</v>
      </c>
      <c r="I4330" t="s">
        <v>26610</v>
      </c>
      <c r="J4330" t="str">
        <f t="shared" si="337"/>
        <v>E:\PropInv\MF</v>
      </c>
      <c r="K4330" s="103" t="str">
        <f>HYPERLINK("E:\PropInv\MF\Ennis\85 FM Hwy E_3700_Silverton Village_Ennis_14296","85 FM Hwy E_3700_Silverton Village_Ennis_14296" )</f>
        <v>85 FM Hwy E_3700_Silverton Village_Ennis_14296</v>
      </c>
      <c r="L4330" s="104" t="s">
        <v>22253</v>
      </c>
      <c r="M4330" s="103" t="str">
        <f t="shared" si="338"/>
        <v>http://oconnordata.com/mlink/modules/profile/index.cfm?action=profile&amp;prop_id=14296</v>
      </c>
      <c r="N4330" s="1">
        <f t="shared" si="339"/>
        <v>14296</v>
      </c>
    </row>
    <row r="4331" spans="1:14" x14ac:dyDescent="0.3">
      <c r="A4331" s="1">
        <v>14299</v>
      </c>
      <c r="B4331" s="7" t="s">
        <v>6571</v>
      </c>
      <c r="C4331" s="12">
        <v>6201</v>
      </c>
      <c r="D4331" s="7" t="s">
        <v>6572</v>
      </c>
      <c r="E4331" s="13" t="s">
        <v>5009</v>
      </c>
      <c r="F4331" t="str">
        <f t="shared" si="335"/>
        <v>Chapel</v>
      </c>
      <c r="G4331" t="str">
        <f t="shared" si="336"/>
        <v>Chapel6201Plano</v>
      </c>
      <c r="H4331" t="s">
        <v>35188</v>
      </c>
      <c r="I4331" t="s">
        <v>26611</v>
      </c>
      <c r="J4331" t="str">
        <f t="shared" si="337"/>
        <v>E:\PropInv\MF</v>
      </c>
      <c r="K4331" s="103" t="str">
        <f>HYPERLINK("E:\PropInv\MF\Plano\Chapel Hill_6201_Towns of Chapel Hill_Plano_14299","Chapel Hill_6201_Towns of Chapel Hill_Plano_14299" )</f>
        <v>Chapel Hill_6201_Towns of Chapel Hill_Plano_14299</v>
      </c>
      <c r="L4331" s="104" t="s">
        <v>22253</v>
      </c>
      <c r="M4331" s="103" t="str">
        <f t="shared" si="338"/>
        <v>http://oconnordata.com/mlink/modules/profile/index.cfm?action=profile&amp;prop_id=14299</v>
      </c>
      <c r="N4331" s="1">
        <f t="shared" si="339"/>
        <v>14299</v>
      </c>
    </row>
    <row r="4332" spans="1:14" x14ac:dyDescent="0.3">
      <c r="A4332" s="1">
        <v>14301</v>
      </c>
      <c r="B4332" s="7" t="s">
        <v>4400</v>
      </c>
      <c r="C4332" s="12">
        <v>6705</v>
      </c>
      <c r="D4332" s="7" t="s">
        <v>6573</v>
      </c>
      <c r="E4332" s="13" t="s">
        <v>1657</v>
      </c>
      <c r="F4332" t="str">
        <f t="shared" si="335"/>
        <v>Fairway</v>
      </c>
      <c r="G4332" t="str">
        <f t="shared" si="336"/>
        <v>Fairway6705Houston</v>
      </c>
      <c r="H4332" t="s">
        <v>35189</v>
      </c>
      <c r="I4332" t="s">
        <v>26612</v>
      </c>
      <c r="J4332" t="str">
        <f t="shared" si="337"/>
        <v>E:\PropInv\MF</v>
      </c>
      <c r="K4332" s="103" t="str">
        <f>HYPERLINK("E:\PropInv\MF\Houston\Fairway_6705_Sunset Valley_Houston_14301","Fairway_6705_Sunset Valley_Houston_14301" )</f>
        <v>Fairway_6705_Sunset Valley_Houston_14301</v>
      </c>
      <c r="L4332" s="104" t="s">
        <v>22253</v>
      </c>
      <c r="M4332" s="103" t="str">
        <f t="shared" si="338"/>
        <v>http://oconnordata.com/mlink/modules/profile/index.cfm?action=profile&amp;prop_id=14301</v>
      </c>
      <c r="N4332" s="1">
        <f t="shared" si="339"/>
        <v>14301</v>
      </c>
    </row>
    <row r="4333" spans="1:14" x14ac:dyDescent="0.3">
      <c r="A4333" s="1">
        <v>14315</v>
      </c>
      <c r="B4333" s="7" t="s">
        <v>6574</v>
      </c>
      <c r="C4333" s="12">
        <v>941</v>
      </c>
      <c r="D4333" s="7" t="s">
        <v>6575</v>
      </c>
      <c r="E4333" s="13" t="s">
        <v>18</v>
      </c>
      <c r="F4333" t="str">
        <f t="shared" si="335"/>
        <v>Hesters</v>
      </c>
      <c r="G4333" t="str">
        <f t="shared" si="336"/>
        <v>Hesters941Round Rock</v>
      </c>
      <c r="H4333" t="s">
        <v>35190</v>
      </c>
      <c r="I4333" t="s">
        <v>26613</v>
      </c>
      <c r="J4333" t="str">
        <f t="shared" si="337"/>
        <v>E:\PropInv\MF</v>
      </c>
      <c r="K4333" s="103" t="str">
        <f>HYPERLINK("E:\PropInv\MF\Round Rock\Hesters Crossing_941_Lakeside at La Frontera_Round Rock_14315","Hesters Crossing_941_Lakeside at La Frontera_Round Rock_14315" )</f>
        <v>Hesters Crossing_941_Lakeside at La Frontera_Round Rock_14315</v>
      </c>
      <c r="L4333" s="104" t="s">
        <v>22253</v>
      </c>
      <c r="M4333" s="103" t="str">
        <f t="shared" si="338"/>
        <v>http://oconnordata.com/mlink/modules/profile/index.cfm?action=profile&amp;prop_id=14315</v>
      </c>
      <c r="N4333" s="1">
        <f t="shared" si="339"/>
        <v>14315</v>
      </c>
    </row>
    <row r="4334" spans="1:14" x14ac:dyDescent="0.3">
      <c r="A4334" s="1">
        <v>14318</v>
      </c>
      <c r="B4334" s="7" t="s">
        <v>75</v>
      </c>
      <c r="C4334" s="12">
        <v>7707</v>
      </c>
      <c r="D4334" s="7" t="s">
        <v>6576</v>
      </c>
      <c r="E4334" s="13" t="s">
        <v>7</v>
      </c>
      <c r="F4334" t="str">
        <f t="shared" si="335"/>
        <v>35</v>
      </c>
      <c r="G4334" t="str">
        <f t="shared" si="336"/>
        <v>357707Austin</v>
      </c>
      <c r="H4334" t="s">
        <v>35191</v>
      </c>
      <c r="I4334" t="s">
        <v>26614</v>
      </c>
      <c r="J4334" t="str">
        <f t="shared" si="337"/>
        <v>E:\PropInv\MF</v>
      </c>
      <c r="K4334" s="103" t="str">
        <f>HYPERLINK("E:\PropInv\MF\Austin\35 IH S_7707_Waters at Bluff Springs_Austin_14318","35 IH S_7707_Waters at Bluff Springs_Austin_14318" )</f>
        <v>35 IH S_7707_Waters at Bluff Springs_Austin_14318</v>
      </c>
      <c r="L4334" s="104" t="s">
        <v>22253</v>
      </c>
      <c r="M4334" s="103" t="str">
        <f t="shared" si="338"/>
        <v>http://oconnordata.com/mlink/modules/profile/index.cfm?action=profile&amp;prop_id=14318</v>
      </c>
      <c r="N4334" s="1">
        <f t="shared" si="339"/>
        <v>14318</v>
      </c>
    </row>
    <row r="4335" spans="1:14" x14ac:dyDescent="0.3">
      <c r="A4335" s="1">
        <v>14322</v>
      </c>
      <c r="B4335" s="7" t="s">
        <v>5961</v>
      </c>
      <c r="C4335" s="12">
        <v>2400</v>
      </c>
      <c r="D4335" s="7" t="s">
        <v>6577</v>
      </c>
      <c r="E4335" s="13" t="s">
        <v>6578</v>
      </c>
      <c r="F4335" t="str">
        <f t="shared" si="335"/>
        <v>Timberline</v>
      </c>
      <c r="G4335" t="str">
        <f t="shared" si="336"/>
        <v>Timberline2400Grapevine</v>
      </c>
      <c r="H4335" t="s">
        <v>35192</v>
      </c>
      <c r="I4335" t="s">
        <v>26615</v>
      </c>
      <c r="J4335" t="str">
        <f t="shared" si="337"/>
        <v>E:\PropInv\MF</v>
      </c>
      <c r="K4335" s="103" t="str">
        <f>HYPERLINK("E:\PropInv\MF\Grapevine\Timberline Dr_2400_The Ridge at Timberline_Grapevine_14322","Timberline Dr_2400_The Ridge at Timberline_Grapevine_14322" )</f>
        <v>Timberline Dr_2400_The Ridge at Timberline_Grapevine_14322</v>
      </c>
      <c r="L4335" s="104" t="s">
        <v>22253</v>
      </c>
      <c r="M4335" s="103" t="str">
        <f t="shared" si="338"/>
        <v>http://oconnordata.com/mlink/modules/profile/index.cfm?action=profile&amp;prop_id=14322</v>
      </c>
      <c r="N4335" s="1">
        <f t="shared" si="339"/>
        <v>14322</v>
      </c>
    </row>
    <row r="4336" spans="1:14" x14ac:dyDescent="0.3">
      <c r="A4336" s="1">
        <v>14323</v>
      </c>
      <c r="B4336" s="7" t="s">
        <v>6579</v>
      </c>
      <c r="C4336" s="12">
        <v>4699</v>
      </c>
      <c r="D4336" s="7" t="s">
        <v>6580</v>
      </c>
      <c r="E4336" s="13" t="s">
        <v>6581</v>
      </c>
      <c r="F4336" t="str">
        <f t="shared" si="335"/>
        <v>Fossil</v>
      </c>
      <c r="G4336" t="str">
        <f t="shared" si="336"/>
        <v>Fossil4699Haltom City</v>
      </c>
      <c r="H4336" t="s">
        <v>35193</v>
      </c>
      <c r="I4336" t="s">
        <v>26616</v>
      </c>
      <c r="J4336" t="str">
        <f t="shared" si="337"/>
        <v>E:\PropInv\MF</v>
      </c>
      <c r="K4336" s="103" t="str">
        <f>HYPERLINK("E:\PropInv\MF\Haltom City\Fossil Vista Dr_4699_Amesbury Court_Haltom City_14323","Fossil Vista Dr_4699_Amesbury Court_Haltom City_14323" )</f>
        <v>Fossil Vista Dr_4699_Amesbury Court_Haltom City_14323</v>
      </c>
      <c r="L4336" s="104" t="s">
        <v>22253</v>
      </c>
      <c r="M4336" s="103" t="str">
        <f t="shared" si="338"/>
        <v>http://oconnordata.com/mlink/modules/profile/index.cfm?action=profile&amp;prop_id=14323</v>
      </c>
      <c r="N4336" s="1">
        <f t="shared" si="339"/>
        <v>14323</v>
      </c>
    </row>
    <row r="4337" spans="1:14" x14ac:dyDescent="0.3">
      <c r="A4337" s="1">
        <v>14324</v>
      </c>
      <c r="B4337" s="7" t="s">
        <v>6582</v>
      </c>
      <c r="C4337" s="12">
        <v>6111</v>
      </c>
      <c r="D4337" s="7" t="s">
        <v>6583</v>
      </c>
      <c r="E4337" s="13" t="s">
        <v>5014</v>
      </c>
      <c r="F4337" t="str">
        <f t="shared" si="335"/>
        <v>Beach</v>
      </c>
      <c r="G4337" t="str">
        <f t="shared" si="336"/>
        <v>Beach6111Fort Worth</v>
      </c>
      <c r="H4337" t="s">
        <v>35194</v>
      </c>
      <c r="I4337" t="s">
        <v>26617</v>
      </c>
      <c r="J4337" t="str">
        <f t="shared" si="337"/>
        <v>E:\PropInv\MF</v>
      </c>
      <c r="K4337" s="103" t="str">
        <f>HYPERLINK("E:\PropInv\MF\Fort Worth\Beach St N_6111_The Retreat at Fossil Creek_Fort Worth_14324","Beach St N_6111_The Retreat at Fossil Creek_Fort Worth_14324" )</f>
        <v>Beach St N_6111_The Retreat at Fossil Creek_Fort Worth_14324</v>
      </c>
      <c r="L4337" s="104" t="s">
        <v>22253</v>
      </c>
      <c r="M4337" s="103" t="str">
        <f t="shared" si="338"/>
        <v>http://oconnordata.com/mlink/modules/profile/index.cfm?action=profile&amp;prop_id=14324</v>
      </c>
      <c r="N4337" s="1">
        <f t="shared" si="339"/>
        <v>14324</v>
      </c>
    </row>
    <row r="4338" spans="1:14" x14ac:dyDescent="0.3">
      <c r="A4338" s="1">
        <v>14325</v>
      </c>
      <c r="B4338" s="7" t="s">
        <v>6584</v>
      </c>
      <c r="C4338" s="12">
        <v>1705</v>
      </c>
      <c r="D4338" s="7" t="s">
        <v>6585</v>
      </c>
      <c r="E4338" s="13" t="s">
        <v>6555</v>
      </c>
      <c r="F4338" t="str">
        <f t="shared" si="335"/>
        <v>Green</v>
      </c>
      <c r="G4338" t="str">
        <f t="shared" si="336"/>
        <v>Green1705Arlington</v>
      </c>
      <c r="H4338" t="s">
        <v>35195</v>
      </c>
      <c r="I4338" t="s">
        <v>26618</v>
      </c>
      <c r="J4338" t="str">
        <f t="shared" si="337"/>
        <v>E:\PropInv\MF</v>
      </c>
      <c r="K4338" s="103" t="str">
        <f>HYPERLINK("E:\PropInv\MF\Arlington\Green Oaks Blvd NE_1705_Verandahs at Cliffside_Arlington_14325","Green Oaks Blvd NE_1705_Verandahs at Cliffside_Arlington_14325" )</f>
        <v>Green Oaks Blvd NE_1705_Verandahs at Cliffside_Arlington_14325</v>
      </c>
      <c r="L4338" s="104" t="s">
        <v>22253</v>
      </c>
      <c r="M4338" s="103" t="str">
        <f t="shared" si="338"/>
        <v>http://oconnordata.com/mlink/modules/profile/index.cfm?action=profile&amp;prop_id=14325</v>
      </c>
      <c r="N4338" s="1">
        <f t="shared" si="339"/>
        <v>14325</v>
      </c>
    </row>
    <row r="4339" spans="1:14" x14ac:dyDescent="0.3">
      <c r="A4339" s="1">
        <v>14326</v>
      </c>
      <c r="B4339" s="7" t="s">
        <v>6586</v>
      </c>
      <c r="C4339" s="12">
        <v>3400</v>
      </c>
      <c r="D4339" s="7" t="s">
        <v>6587</v>
      </c>
      <c r="E4339" s="13" t="s">
        <v>5014</v>
      </c>
      <c r="F4339" t="str">
        <f t="shared" si="335"/>
        <v>Western</v>
      </c>
      <c r="G4339" t="str">
        <f t="shared" si="336"/>
        <v>Western3400Fort Worth</v>
      </c>
      <c r="H4339" t="s">
        <v>35196</v>
      </c>
      <c r="I4339" t="s">
        <v>26619</v>
      </c>
      <c r="J4339" t="str">
        <f t="shared" si="337"/>
        <v>E:\PropInv\MF</v>
      </c>
      <c r="K4339" s="103" t="str">
        <f>HYPERLINK("E:\PropInv\MF\Fort Worth\Western Center Blvd_3400_The Club at Fossil Creek_Fort Worth_14326","Western Center Blvd_3400_The Club at Fossil Creek_Fort Worth_14326" )</f>
        <v>Western Center Blvd_3400_The Club at Fossil Creek_Fort Worth_14326</v>
      </c>
      <c r="L4339" s="104" t="s">
        <v>22253</v>
      </c>
      <c r="M4339" s="103" t="str">
        <f t="shared" si="338"/>
        <v>http://oconnordata.com/mlink/modules/profile/index.cfm?action=profile&amp;prop_id=14326</v>
      </c>
      <c r="N4339" s="1">
        <f t="shared" si="339"/>
        <v>14326</v>
      </c>
    </row>
    <row r="4340" spans="1:14" x14ac:dyDescent="0.3">
      <c r="A4340" s="1">
        <v>14327</v>
      </c>
      <c r="B4340" s="7" t="s">
        <v>6588</v>
      </c>
      <c r="C4340" s="12">
        <v>1610</v>
      </c>
      <c r="D4340" s="7" t="s">
        <v>6589</v>
      </c>
      <c r="E4340" s="13" t="s">
        <v>5097</v>
      </c>
      <c r="F4340" t="str">
        <f t="shared" si="335"/>
        <v>McKinney</v>
      </c>
      <c r="G4340" t="str">
        <f t="shared" si="336"/>
        <v>McKinney1610Denton</v>
      </c>
      <c r="H4340" t="s">
        <v>35197</v>
      </c>
      <c r="I4340" t="s">
        <v>26620</v>
      </c>
      <c r="J4340" t="str">
        <f t="shared" si="337"/>
        <v>E:\PropInv\MF</v>
      </c>
      <c r="K4340" s="103" t="str">
        <f>HYPERLINK("E:\PropInv\MF\Denton\McKinney Ave E_1610_The Parks of Denton_Denton_14327","McKinney Ave E_1610_The Parks of Denton_Denton_14327" )</f>
        <v>McKinney Ave E_1610_The Parks of Denton_Denton_14327</v>
      </c>
      <c r="L4340" s="104" t="s">
        <v>22253</v>
      </c>
      <c r="M4340" s="103" t="str">
        <f t="shared" si="338"/>
        <v>http://oconnordata.com/mlink/modules/profile/index.cfm?action=profile&amp;prop_id=14327</v>
      </c>
      <c r="N4340" s="1">
        <f t="shared" si="339"/>
        <v>14327</v>
      </c>
    </row>
    <row r="4341" spans="1:14" x14ac:dyDescent="0.3">
      <c r="A4341" s="1">
        <v>14328</v>
      </c>
      <c r="B4341" s="7" t="s">
        <v>6590</v>
      </c>
      <c r="C4341" s="12">
        <v>1012</v>
      </c>
      <c r="D4341" s="7" t="s">
        <v>6591</v>
      </c>
      <c r="E4341" s="13" t="s">
        <v>6555</v>
      </c>
      <c r="F4341" t="str">
        <f t="shared" si="335"/>
        <v>Pioneer</v>
      </c>
      <c r="G4341" t="str">
        <f t="shared" si="336"/>
        <v>Pioneer1012Arlington</v>
      </c>
      <c r="H4341" t="s">
        <v>35198</v>
      </c>
      <c r="I4341" t="s">
        <v>26621</v>
      </c>
      <c r="J4341" t="str">
        <f t="shared" si="337"/>
        <v>E:\PropInv\MF</v>
      </c>
      <c r="K4341" s="103" t="str">
        <f>HYPERLINK("E:\PropInv\MF\Arlington\Pioneer #1 W_1012_Olive Branch Apts_Arlington_14328","Pioneer #1 W_1012_Olive Branch Apts_Arlington_14328" )</f>
        <v>Pioneer #1 W_1012_Olive Branch Apts_Arlington_14328</v>
      </c>
      <c r="L4341" s="104" t="s">
        <v>22253</v>
      </c>
      <c r="M4341" s="103" t="str">
        <f t="shared" si="338"/>
        <v>http://oconnordata.com/mlink/modules/profile/index.cfm?action=profile&amp;prop_id=14328</v>
      </c>
      <c r="N4341" s="1">
        <f t="shared" si="339"/>
        <v>14328</v>
      </c>
    </row>
    <row r="4342" spans="1:14" x14ac:dyDescent="0.3">
      <c r="A4342" s="1">
        <v>14329</v>
      </c>
      <c r="B4342" s="7" t="s">
        <v>6592</v>
      </c>
      <c r="C4342" s="12">
        <v>2701</v>
      </c>
      <c r="D4342" s="7" t="s">
        <v>6593</v>
      </c>
      <c r="E4342" s="13" t="s">
        <v>4942</v>
      </c>
      <c r="F4342" t="str">
        <f t="shared" si="335"/>
        <v>Parkview</v>
      </c>
      <c r="G4342" t="str">
        <f t="shared" si="336"/>
        <v>Parkview2701Bedford</v>
      </c>
      <c r="H4342" t="s">
        <v>35199</v>
      </c>
      <c r="I4342" t="s">
        <v>26622</v>
      </c>
      <c r="J4342" t="str">
        <f t="shared" si="337"/>
        <v>E:\PropInv\MF</v>
      </c>
      <c r="K4342" s="103" t="str">
        <f>HYPERLINK("E:\PropInv\MF\Bedford\Parkview Ln_2701_The Arbors of Central Park_Bedford_14329","Parkview Ln_2701_The Arbors of Central Park_Bedford_14329" )</f>
        <v>Parkview Ln_2701_The Arbors of Central Park_Bedford_14329</v>
      </c>
      <c r="L4342" s="104" t="s">
        <v>22253</v>
      </c>
      <c r="M4342" s="103" t="str">
        <f t="shared" si="338"/>
        <v>http://oconnordata.com/mlink/modules/profile/index.cfm?action=profile&amp;prop_id=14329</v>
      </c>
      <c r="N4342" s="1">
        <f t="shared" si="339"/>
        <v>14329</v>
      </c>
    </row>
    <row r="4343" spans="1:14" x14ac:dyDescent="0.3">
      <c r="A4343" s="1">
        <v>14330</v>
      </c>
      <c r="B4343" s="7" t="s">
        <v>6594</v>
      </c>
      <c r="C4343" s="12">
        <v>2200</v>
      </c>
      <c r="D4343" s="7" t="s">
        <v>6595</v>
      </c>
      <c r="E4343" s="13" t="s">
        <v>4942</v>
      </c>
      <c r="F4343" t="str">
        <f t="shared" si="335"/>
        <v>Forest</v>
      </c>
      <c r="G4343" t="str">
        <f t="shared" si="336"/>
        <v>Forest2200Bedford</v>
      </c>
      <c r="H4343" t="s">
        <v>35200</v>
      </c>
      <c r="I4343" t="s">
        <v>26623</v>
      </c>
      <c r="J4343" t="str">
        <f t="shared" si="337"/>
        <v>E:\PropInv\MF</v>
      </c>
      <c r="K4343" s="103" t="str">
        <f>HYPERLINK("E:\PropInv\MF\Bedford\Forest Ridge Dr_2200_Arbors on Forest Ridge_Bedford_14330","Forest Ridge Dr_2200_Arbors on Forest Ridge_Bedford_14330" )</f>
        <v>Forest Ridge Dr_2200_Arbors on Forest Ridge_Bedford_14330</v>
      </c>
      <c r="L4343" s="104" t="s">
        <v>22253</v>
      </c>
      <c r="M4343" s="103" t="str">
        <f t="shared" si="338"/>
        <v>http://oconnordata.com/mlink/modules/profile/index.cfm?action=profile&amp;prop_id=14330</v>
      </c>
      <c r="N4343" s="1">
        <f t="shared" si="339"/>
        <v>14330</v>
      </c>
    </row>
    <row r="4344" spans="1:14" x14ac:dyDescent="0.3">
      <c r="A4344" s="1">
        <v>14332</v>
      </c>
      <c r="B4344" s="7" t="s">
        <v>6596</v>
      </c>
      <c r="C4344" s="12">
        <v>1401</v>
      </c>
      <c r="D4344" s="7" t="s">
        <v>6597</v>
      </c>
      <c r="E4344" s="13" t="s">
        <v>6555</v>
      </c>
      <c r="F4344" t="str">
        <f t="shared" si="335"/>
        <v>Nandina</v>
      </c>
      <c r="G4344" t="str">
        <f t="shared" si="336"/>
        <v>Nandina1401Arlington</v>
      </c>
      <c r="H4344" t="s">
        <v>35201</v>
      </c>
      <c r="I4344" t="s">
        <v>26624</v>
      </c>
      <c r="J4344" t="str">
        <f t="shared" si="337"/>
        <v>E:\PropInv\MF</v>
      </c>
      <c r="K4344" s="103" t="str">
        <f>HYPERLINK("E:\PropInv\MF\Arlington\Nandina Dr_1401_Arbrook Park_Arlington_14332","Nandina Dr_1401_Arbrook Park_Arlington_14332" )</f>
        <v>Nandina Dr_1401_Arbrook Park_Arlington_14332</v>
      </c>
      <c r="L4344" s="104" t="s">
        <v>22253</v>
      </c>
      <c r="M4344" s="103" t="str">
        <f t="shared" si="338"/>
        <v>http://oconnordata.com/mlink/modules/profile/index.cfm?action=profile&amp;prop_id=14332</v>
      </c>
      <c r="N4344" s="1">
        <f t="shared" si="339"/>
        <v>14332</v>
      </c>
    </row>
    <row r="4345" spans="1:14" x14ac:dyDescent="0.3">
      <c r="A4345" s="1">
        <v>14333</v>
      </c>
      <c r="B4345" s="7" t="s">
        <v>6598</v>
      </c>
      <c r="C4345" s="12">
        <v>3121</v>
      </c>
      <c r="D4345" s="7" t="s">
        <v>6599</v>
      </c>
      <c r="E4345" s="13" t="s">
        <v>6555</v>
      </c>
      <c r="F4345" t="str">
        <f t="shared" si="335"/>
        <v>Park</v>
      </c>
      <c r="G4345" t="str">
        <f t="shared" si="336"/>
        <v>Park3121Arlington</v>
      </c>
      <c r="H4345" t="s">
        <v>35202</v>
      </c>
      <c r="I4345" t="s">
        <v>26625</v>
      </c>
      <c r="J4345" t="str">
        <f t="shared" si="337"/>
        <v>E:\PropInv\MF</v>
      </c>
      <c r="K4345" s="103" t="str">
        <f>HYPERLINK("E:\PropInv\MF\Arlington\Park Row Dr E_3121_Arlington Park_Arlington_14333","Park Row Dr E_3121_Arlington Park_Arlington_14333" )</f>
        <v>Park Row Dr E_3121_Arlington Park_Arlington_14333</v>
      </c>
      <c r="L4345" s="104" t="s">
        <v>22253</v>
      </c>
      <c r="M4345" s="103" t="str">
        <f t="shared" si="338"/>
        <v>http://oconnordata.com/mlink/modules/profile/index.cfm?action=profile&amp;prop_id=14333</v>
      </c>
      <c r="N4345" s="1">
        <f t="shared" si="339"/>
        <v>14333</v>
      </c>
    </row>
    <row r="4346" spans="1:14" x14ac:dyDescent="0.3">
      <c r="A4346" s="1">
        <v>14334</v>
      </c>
      <c r="B4346" s="7" t="s">
        <v>6600</v>
      </c>
      <c r="C4346" s="12">
        <v>601</v>
      </c>
      <c r="D4346" s="7" t="s">
        <v>6601</v>
      </c>
      <c r="E4346" s="13" t="s">
        <v>5781</v>
      </c>
      <c r="F4346" t="str">
        <f t="shared" si="335"/>
        <v>Ash</v>
      </c>
      <c r="G4346" t="str">
        <f t="shared" si="336"/>
        <v>Ash601Euless</v>
      </c>
      <c r="H4346" t="s">
        <v>35203</v>
      </c>
      <c r="I4346" t="s">
        <v>26626</v>
      </c>
      <c r="J4346" t="str">
        <f t="shared" si="337"/>
        <v>E:\PropInv\MF</v>
      </c>
      <c r="K4346" s="103" t="str">
        <f>HYPERLINK("E:\PropInv\MF\Euless\Ash Ln E_601_Ash Lane_Euless_14334","Ash Ln E_601_Ash Lane_Euless_14334" )</f>
        <v>Ash Ln E_601_Ash Lane_Euless_14334</v>
      </c>
      <c r="L4346" s="104" t="s">
        <v>22253</v>
      </c>
      <c r="M4346" s="103" t="str">
        <f t="shared" si="338"/>
        <v>http://oconnordata.com/mlink/modules/profile/index.cfm?action=profile&amp;prop_id=14334</v>
      </c>
      <c r="N4346" s="1">
        <f t="shared" si="339"/>
        <v>14334</v>
      </c>
    </row>
    <row r="4347" spans="1:14" x14ac:dyDescent="0.3">
      <c r="A4347" s="1">
        <v>14335</v>
      </c>
      <c r="B4347" s="7" t="s">
        <v>6602</v>
      </c>
      <c r="C4347" s="12">
        <v>1220</v>
      </c>
      <c r="D4347" s="7" t="s">
        <v>6603</v>
      </c>
      <c r="E4347" s="13" t="s">
        <v>6604</v>
      </c>
      <c r="F4347" t="str">
        <f t="shared" si="335"/>
        <v>Crawford</v>
      </c>
      <c r="G4347" t="str">
        <f t="shared" si="336"/>
        <v>Crawford1220Granbury</v>
      </c>
      <c r="H4347" t="s">
        <v>35204</v>
      </c>
      <c r="I4347" t="s">
        <v>26627</v>
      </c>
      <c r="J4347" t="str">
        <f t="shared" si="337"/>
        <v>E:\PropInv\MF</v>
      </c>
      <c r="K4347" s="103" t="str">
        <f>HYPERLINK("E:\PropInv\MF\Granbury\Crawford Ct_1220_The Reserve On Lake Granbury_Granbury_14335","Crawford Ct_1220_The Reserve On Lake Granbury_Granbury_14335" )</f>
        <v>Crawford Ct_1220_The Reserve On Lake Granbury_Granbury_14335</v>
      </c>
      <c r="L4347" s="104" t="s">
        <v>22253</v>
      </c>
      <c r="M4347" s="103" t="str">
        <f t="shared" si="338"/>
        <v>http://oconnordata.com/mlink/modules/profile/index.cfm?action=profile&amp;prop_id=14335</v>
      </c>
      <c r="N4347" s="1">
        <f t="shared" si="339"/>
        <v>14335</v>
      </c>
    </row>
    <row r="4348" spans="1:14" x14ac:dyDescent="0.3">
      <c r="A4348" s="1">
        <v>14336</v>
      </c>
      <c r="B4348" s="7" t="s">
        <v>6605</v>
      </c>
      <c r="C4348" s="12">
        <v>5230</v>
      </c>
      <c r="D4348" s="7" t="s">
        <v>6606</v>
      </c>
      <c r="E4348" s="13" t="s">
        <v>5014</v>
      </c>
      <c r="F4348" t="str">
        <f t="shared" si="335"/>
        <v>Bryant</v>
      </c>
      <c r="G4348" t="str">
        <f t="shared" si="336"/>
        <v>Bryant5230Fort Worth</v>
      </c>
      <c r="H4348" t="s">
        <v>35205</v>
      </c>
      <c r="I4348" t="s">
        <v>26628</v>
      </c>
      <c r="J4348" t="str">
        <f t="shared" si="337"/>
        <v>E:\PropInv\MF</v>
      </c>
      <c r="K4348" s="103" t="str">
        <f>HYPERLINK("E:\PropInv\MF\Fort Worth\Bryant Irvin Rd_5230_Avery Pointe at Cityview_Fort Worth_14336","Bryant Irvin Rd_5230_Avery Pointe at Cityview_Fort Worth_14336" )</f>
        <v>Bryant Irvin Rd_5230_Avery Pointe at Cityview_Fort Worth_14336</v>
      </c>
      <c r="L4348" s="104" t="s">
        <v>22253</v>
      </c>
      <c r="M4348" s="103" t="str">
        <f t="shared" si="338"/>
        <v>http://oconnordata.com/mlink/modules/profile/index.cfm?action=profile&amp;prop_id=14336</v>
      </c>
      <c r="N4348" s="1">
        <f t="shared" si="339"/>
        <v>14336</v>
      </c>
    </row>
    <row r="4349" spans="1:14" x14ac:dyDescent="0.3">
      <c r="A4349" s="1">
        <v>14337</v>
      </c>
      <c r="B4349" s="7" t="s">
        <v>6607</v>
      </c>
      <c r="C4349" s="12">
        <v>300</v>
      </c>
      <c r="D4349" s="7" t="s">
        <v>6608</v>
      </c>
      <c r="E4349" s="13" t="s">
        <v>6555</v>
      </c>
      <c r="F4349" t="str">
        <f t="shared" si="335"/>
        <v>Bardin</v>
      </c>
      <c r="G4349" t="str">
        <f t="shared" si="336"/>
        <v>Bardin300Arlington</v>
      </c>
      <c r="H4349" t="s">
        <v>35206</v>
      </c>
      <c r="I4349" t="s">
        <v>26629</v>
      </c>
      <c r="J4349" t="str">
        <f t="shared" si="337"/>
        <v>E:\PropInv\MF</v>
      </c>
      <c r="K4349" s="103" t="str">
        <f>HYPERLINK("E:\PropInv\MF\Arlington\Bardin Rd E_300_Bardin Greene_Arlington_14337","Bardin Rd E_300_Bardin Greene_Arlington_14337" )</f>
        <v>Bardin Rd E_300_Bardin Greene_Arlington_14337</v>
      </c>
      <c r="L4349" s="104" t="s">
        <v>22253</v>
      </c>
      <c r="M4349" s="103" t="str">
        <f t="shared" si="338"/>
        <v>http://oconnordata.com/mlink/modules/profile/index.cfm?action=profile&amp;prop_id=14337</v>
      </c>
      <c r="N4349" s="1">
        <f t="shared" si="339"/>
        <v>14337</v>
      </c>
    </row>
    <row r="4350" spans="1:14" x14ac:dyDescent="0.3">
      <c r="A4350" s="1">
        <v>14338</v>
      </c>
      <c r="B4350" s="7" t="s">
        <v>6609</v>
      </c>
      <c r="C4350" s="12">
        <v>4200</v>
      </c>
      <c r="D4350" s="7" t="s">
        <v>6610</v>
      </c>
      <c r="E4350" s="13" t="s">
        <v>6581</v>
      </c>
      <c r="F4350" t="str">
        <f t="shared" si="335"/>
        <v>Northern</v>
      </c>
      <c r="G4350" t="str">
        <f t="shared" si="336"/>
        <v>Northern4200Haltom City</v>
      </c>
      <c r="H4350" t="s">
        <v>35207</v>
      </c>
      <c r="I4350" t="s">
        <v>26630</v>
      </c>
      <c r="J4350" t="str">
        <f t="shared" si="337"/>
        <v>E:\PropInv\MF</v>
      </c>
      <c r="K4350" s="103" t="str">
        <f>HYPERLINK("E:\PropInv\MF\Haltom City\Northern Cross Blvd_4200_The Bellagio at Beach Street_Haltom City_14338","Northern Cross Blvd_4200_The Bellagio at Beach Street_Haltom City_14338" )</f>
        <v>Northern Cross Blvd_4200_The Bellagio at Beach Street_Haltom City_14338</v>
      </c>
      <c r="L4350" s="104" t="s">
        <v>22253</v>
      </c>
      <c r="M4350" s="103" t="str">
        <f t="shared" si="338"/>
        <v>http://oconnordata.com/mlink/modules/profile/index.cfm?action=profile&amp;prop_id=14338</v>
      </c>
      <c r="N4350" s="1">
        <f t="shared" si="339"/>
        <v>14338</v>
      </c>
    </row>
    <row r="4351" spans="1:14" x14ac:dyDescent="0.3">
      <c r="A4351" s="1">
        <v>14339</v>
      </c>
      <c r="B4351" s="7" t="s">
        <v>548</v>
      </c>
      <c r="C4351" s="12">
        <v>1301</v>
      </c>
      <c r="D4351" s="7" t="s">
        <v>6611</v>
      </c>
      <c r="E4351" s="13" t="s">
        <v>6612</v>
      </c>
      <c r="F4351" t="str">
        <f t="shared" si="335"/>
        <v>Park</v>
      </c>
      <c r="G4351" t="str">
        <f t="shared" si="336"/>
        <v>Park1301Hurst</v>
      </c>
      <c r="H4351" t="s">
        <v>35208</v>
      </c>
      <c r="I4351" t="s">
        <v>26631</v>
      </c>
      <c r="J4351" t="str">
        <f t="shared" si="337"/>
        <v>E:\PropInv\MF</v>
      </c>
      <c r="K4351" s="103" t="str">
        <f>HYPERLINK("E:\PropInv\MF\Hurst\Park Place_1301_Barrington Crossing_Hurst_14339","Park Place_1301_Barrington Crossing_Hurst_14339" )</f>
        <v>Park Place_1301_Barrington Crossing_Hurst_14339</v>
      </c>
      <c r="L4351" s="104" t="s">
        <v>22253</v>
      </c>
      <c r="M4351" s="103" t="str">
        <f t="shared" si="338"/>
        <v>http://oconnordata.com/mlink/modules/profile/index.cfm?action=profile&amp;prop_id=14339</v>
      </c>
      <c r="N4351" s="1">
        <f t="shared" si="339"/>
        <v>14339</v>
      </c>
    </row>
    <row r="4352" spans="1:14" x14ac:dyDescent="0.3">
      <c r="A4352" s="1">
        <v>14340</v>
      </c>
      <c r="B4352" s="7" t="s">
        <v>6613</v>
      </c>
      <c r="C4352" s="12">
        <v>6100</v>
      </c>
      <c r="D4352" s="7" t="s">
        <v>6614</v>
      </c>
      <c r="E4352" s="13" t="s">
        <v>6541</v>
      </c>
      <c r="F4352" t="str">
        <f t="shared" si="335"/>
        <v>Browning</v>
      </c>
      <c r="G4352" t="str">
        <f t="shared" si="336"/>
        <v>Browning6100North Richland Hills</v>
      </c>
      <c r="H4352" t="s">
        <v>35209</v>
      </c>
      <c r="I4352" t="s">
        <v>26632</v>
      </c>
      <c r="J4352" t="str">
        <f t="shared" si="337"/>
        <v>E:\PropInv\MF</v>
      </c>
      <c r="K4352" s="103" t="str">
        <f>HYPERLINK("E:\PropInv\MF\North Richland Hills\Browning Dr_6100_The Bluffs at Iron Horse_North Richland Hills_14340","Browning Dr_6100_The Bluffs at Iron Horse_North Richland Hills_14340" )</f>
        <v>Browning Dr_6100_The Bluffs at Iron Horse_North Richland Hills_14340</v>
      </c>
      <c r="L4352" s="104" t="s">
        <v>22253</v>
      </c>
      <c r="M4352" s="103" t="str">
        <f t="shared" si="338"/>
        <v>http://oconnordata.com/mlink/modules/profile/index.cfm?action=profile&amp;prop_id=14340</v>
      </c>
      <c r="N4352" s="1">
        <f t="shared" si="339"/>
        <v>14340</v>
      </c>
    </row>
    <row r="4353" spans="1:14" x14ac:dyDescent="0.3">
      <c r="A4353" s="1">
        <v>14341</v>
      </c>
      <c r="B4353" s="10" t="s">
        <v>6615</v>
      </c>
      <c r="C4353" s="9">
        <v>1515</v>
      </c>
      <c r="D4353" s="10" t="s">
        <v>6616</v>
      </c>
      <c r="E4353" s="11" t="s">
        <v>6617</v>
      </c>
      <c r="F4353" t="str">
        <f t="shared" si="335"/>
        <v>Cannon</v>
      </c>
      <c r="G4353" t="str">
        <f t="shared" si="336"/>
        <v>Cannon1515Roanoke</v>
      </c>
      <c r="H4353" t="s">
        <v>35210</v>
      </c>
      <c r="I4353" t="s">
        <v>26633</v>
      </c>
      <c r="J4353" t="str">
        <f t="shared" si="337"/>
        <v>E:\PropInv\MF</v>
      </c>
      <c r="K4353" s="103" t="str">
        <f>HYPERLINK("E:\PropInv\MF\Roanoke\Cannon Pkwy_1515_Boulder Ridge_Roanoke_14341","Cannon Pkwy_1515_Boulder Ridge_Roanoke_14341" )</f>
        <v>Cannon Pkwy_1515_Boulder Ridge_Roanoke_14341</v>
      </c>
      <c r="L4353" s="104" t="s">
        <v>22253</v>
      </c>
      <c r="M4353" s="103" t="str">
        <f t="shared" si="338"/>
        <v>http://oconnordata.com/mlink/modules/profile/index.cfm?action=profile&amp;prop_id=14341</v>
      </c>
      <c r="N4353" s="1">
        <f t="shared" si="339"/>
        <v>14341</v>
      </c>
    </row>
    <row r="4354" spans="1:14" x14ac:dyDescent="0.3">
      <c r="A4354" s="1">
        <v>14342</v>
      </c>
      <c r="B4354" s="7" t="s">
        <v>6618</v>
      </c>
      <c r="C4354" s="12">
        <v>1000</v>
      </c>
      <c r="D4354" s="7" t="s">
        <v>6619</v>
      </c>
      <c r="E4354" s="13" t="s">
        <v>5014</v>
      </c>
      <c r="F4354" t="str">
        <f t="shared" ref="F4354:F4417" si="340">IFERROR(LEFT(B4354,FIND(" ",B4354)-1),B4354)</f>
        <v>Burton</v>
      </c>
      <c r="G4354" t="str">
        <f t="shared" ref="G4354:G4417" si="341">F4354&amp;C4354&amp;E4354</f>
        <v>Burton1000Fort Worth</v>
      </c>
      <c r="H4354" t="s">
        <v>35211</v>
      </c>
      <c r="I4354" t="s">
        <v>26634</v>
      </c>
      <c r="J4354" t="str">
        <f t="shared" ref="J4354:J4417" si="342">IF(L4354="TX",Folder_Path,Folder_Path&amp;"\State_"&amp;L4354)</f>
        <v>E:\PropInv\MF</v>
      </c>
      <c r="K4354" s="103" t="str">
        <f>HYPERLINK("E:\PropInv\MF\Fort Worth\Burton Hill_1000_The Park at Westover_Fort Worth_14342","Burton Hill_1000_The Park at Westover_Fort Worth_14342" )</f>
        <v>Burton Hill_1000_The Park at Westover_Fort Worth_14342</v>
      </c>
      <c r="L4354" s="104" t="s">
        <v>22253</v>
      </c>
      <c r="M4354" s="103" t="str">
        <f t="shared" ref="M4354:M4417" si="343">HYPERLINK("http://oconnordata.com/mlink/modules/profile/index.cfm?action=profile&amp;prop_id="&amp;A4354)</f>
        <v>http://oconnordata.com/mlink/modules/profile/index.cfm?action=profile&amp;prop_id=14342</v>
      </c>
      <c r="N4354" s="1">
        <f t="shared" ref="N4354:N4417" si="344">IF(LEN(A4354)=1,"0000"&amp;A4354,IF(LEN(A4354)=2,"000"&amp;A4354,IF(LEN(A4354)=3,"00"&amp;A4354,IF(LEN(A4354)=4,"0"&amp;A4354,IF(LEN(A4354)=5,IF(LEFT(A4354,1)="3",A4354+30000,A4354))))))</f>
        <v>14342</v>
      </c>
    </row>
    <row r="4355" spans="1:14" x14ac:dyDescent="0.3">
      <c r="A4355" s="1">
        <v>14343</v>
      </c>
      <c r="B4355" s="7" t="s">
        <v>6620</v>
      </c>
      <c r="C4355" s="12">
        <v>765</v>
      </c>
      <c r="D4355" s="7" t="s">
        <v>6621</v>
      </c>
      <c r="E4355" s="13" t="s">
        <v>6555</v>
      </c>
      <c r="F4355" t="str">
        <f t="shared" si="340"/>
        <v>Polk</v>
      </c>
      <c r="G4355" t="str">
        <f t="shared" si="341"/>
        <v>Polk765Arlington</v>
      </c>
      <c r="H4355" t="s">
        <v>35212</v>
      </c>
      <c r="I4355" t="s">
        <v>26635</v>
      </c>
      <c r="J4355" t="str">
        <f t="shared" si="342"/>
        <v>E:\PropInv\MF</v>
      </c>
      <c r="K4355" s="103" t="str">
        <f>HYPERLINK("E:\PropInv\MF\Arlington\Polk Dr_765_The Valencia_Arlington_14343","Polk Dr_765_The Valencia_Arlington_14343" )</f>
        <v>Polk Dr_765_The Valencia_Arlington_14343</v>
      </c>
      <c r="L4355" s="104" t="s">
        <v>22253</v>
      </c>
      <c r="M4355" s="103" t="str">
        <f t="shared" si="343"/>
        <v>http://oconnordata.com/mlink/modules/profile/index.cfm?action=profile&amp;prop_id=14343</v>
      </c>
      <c r="N4355" s="1">
        <f t="shared" si="344"/>
        <v>14343</v>
      </c>
    </row>
    <row r="4356" spans="1:14" x14ac:dyDescent="0.3">
      <c r="A4356" s="1">
        <v>14344</v>
      </c>
      <c r="B4356" s="10" t="s">
        <v>6622</v>
      </c>
      <c r="C4356" s="9">
        <v>2502</v>
      </c>
      <c r="D4356" s="10" t="s">
        <v>6623</v>
      </c>
      <c r="E4356" s="11" t="s">
        <v>6555</v>
      </c>
      <c r="F4356" t="str">
        <f t="shared" si="340"/>
        <v>Burney</v>
      </c>
      <c r="G4356" t="str">
        <f t="shared" si="341"/>
        <v>Burney2502Arlington</v>
      </c>
      <c r="H4356" t="s">
        <v>35213</v>
      </c>
      <c r="I4356" t="s">
        <v>26636</v>
      </c>
      <c r="J4356" t="str">
        <f t="shared" si="342"/>
        <v>E:\PropInv\MF</v>
      </c>
      <c r="K4356" s="103" t="str">
        <f>HYPERLINK("E:\PropInv\MF\Arlington\Burney Oaks Ln_2502_Colonial Village at North Arlington_Arlington_14344","Burney Oaks Ln_2502_Colonial Village at North Arlington_Arlington_14344" )</f>
        <v>Burney Oaks Ln_2502_Colonial Village at North Arlington_Arlington_14344</v>
      </c>
      <c r="L4356" s="104" t="s">
        <v>22253</v>
      </c>
      <c r="M4356" s="103" t="str">
        <f t="shared" si="343"/>
        <v>http://oconnordata.com/mlink/modules/profile/index.cfm?action=profile&amp;prop_id=14344</v>
      </c>
      <c r="N4356" s="1">
        <f t="shared" si="344"/>
        <v>14344</v>
      </c>
    </row>
    <row r="4357" spans="1:14" x14ac:dyDescent="0.3">
      <c r="A4357" s="1">
        <v>14345</v>
      </c>
      <c r="B4357" s="7" t="s">
        <v>6605</v>
      </c>
      <c r="C4357" s="12">
        <v>5209</v>
      </c>
      <c r="D4357" s="7" t="s">
        <v>6624</v>
      </c>
      <c r="E4357" s="13" t="s">
        <v>5014</v>
      </c>
      <c r="F4357" t="str">
        <f t="shared" si="340"/>
        <v>Bryant</v>
      </c>
      <c r="G4357" t="str">
        <f t="shared" si="341"/>
        <v>Bryant5209Fort Worth</v>
      </c>
      <c r="H4357" t="s">
        <v>35214</v>
      </c>
      <c r="I4357" t="s">
        <v>26637</v>
      </c>
      <c r="J4357" t="str">
        <f t="shared" si="342"/>
        <v>E:\PropInv\MF</v>
      </c>
      <c r="K4357" s="103" t="str">
        <f>HYPERLINK("E:\PropInv\MF\Fort Worth\Bryant Irvin Rd_5209_Cameron Creek_Fort Worth_14345","Bryant Irvin Rd_5209_Cameron Creek_Fort Worth_14345" )</f>
        <v>Bryant Irvin Rd_5209_Cameron Creek_Fort Worth_14345</v>
      </c>
      <c r="L4357" s="104" t="s">
        <v>22253</v>
      </c>
      <c r="M4357" s="103" t="str">
        <f t="shared" si="343"/>
        <v>http://oconnordata.com/mlink/modules/profile/index.cfm?action=profile&amp;prop_id=14345</v>
      </c>
      <c r="N4357" s="1">
        <f t="shared" si="344"/>
        <v>14345</v>
      </c>
    </row>
    <row r="4358" spans="1:14" x14ac:dyDescent="0.3">
      <c r="A4358" s="1">
        <v>14346</v>
      </c>
      <c r="B4358" s="7" t="s">
        <v>6548</v>
      </c>
      <c r="C4358" s="12">
        <v>7425</v>
      </c>
      <c r="D4358" s="7" t="s">
        <v>6625</v>
      </c>
      <c r="E4358" s="13" t="s">
        <v>5014</v>
      </c>
      <c r="F4358" t="str">
        <f t="shared" si="340"/>
        <v>Hulen</v>
      </c>
      <c r="G4358" t="str">
        <f t="shared" si="341"/>
        <v>Hulen7425Fort Worth</v>
      </c>
      <c r="H4358" t="s">
        <v>35215</v>
      </c>
      <c r="I4358" t="s">
        <v>26638</v>
      </c>
      <c r="J4358" t="str">
        <f t="shared" si="342"/>
        <v>E:\PropInv\MF</v>
      </c>
      <c r="K4358" s="103" t="str">
        <f>HYPERLINK("E:\PropInv\MF\Fort Worth\Hulen S_7425_Candletree_Fort Worth_14346","Hulen S_7425_Candletree_Fort Worth_14346" )</f>
        <v>Hulen S_7425_Candletree_Fort Worth_14346</v>
      </c>
      <c r="L4358" s="104" t="s">
        <v>22253</v>
      </c>
      <c r="M4358" s="103" t="str">
        <f t="shared" si="343"/>
        <v>http://oconnordata.com/mlink/modules/profile/index.cfm?action=profile&amp;prop_id=14346</v>
      </c>
      <c r="N4358" s="1">
        <f t="shared" si="344"/>
        <v>14346</v>
      </c>
    </row>
    <row r="4359" spans="1:14" x14ac:dyDescent="0.3">
      <c r="A4359" s="1">
        <v>14347</v>
      </c>
      <c r="B4359" s="7" t="s">
        <v>6626</v>
      </c>
      <c r="C4359" s="12">
        <v>1950</v>
      </c>
      <c r="D4359" s="7" t="s">
        <v>6627</v>
      </c>
      <c r="E4359" s="13" t="s">
        <v>4942</v>
      </c>
      <c r="F4359" t="str">
        <f t="shared" si="340"/>
        <v>Oak</v>
      </c>
      <c r="G4359" t="str">
        <f t="shared" si="341"/>
        <v>Oak1950Bedford</v>
      </c>
      <c r="H4359" t="s">
        <v>35216</v>
      </c>
      <c r="I4359" t="s">
        <v>26639</v>
      </c>
      <c r="J4359" t="str">
        <f t="shared" si="342"/>
        <v>E:\PropInv\MF</v>
      </c>
      <c r="K4359" s="103" t="str">
        <f>HYPERLINK("E:\PropInv\MF\Bedford\Oak Creek Ln_1950_Cantebria Crossing_Bedford_14347","Oak Creek Ln_1950_Cantebria Crossing_Bedford_14347" )</f>
        <v>Oak Creek Ln_1950_Cantebria Crossing_Bedford_14347</v>
      </c>
      <c r="L4359" s="104" t="s">
        <v>22253</v>
      </c>
      <c r="M4359" s="103" t="str">
        <f t="shared" si="343"/>
        <v>http://oconnordata.com/mlink/modules/profile/index.cfm?action=profile&amp;prop_id=14347</v>
      </c>
      <c r="N4359" s="1">
        <f t="shared" si="344"/>
        <v>14347</v>
      </c>
    </row>
    <row r="4360" spans="1:14" x14ac:dyDescent="0.3">
      <c r="A4360" s="1">
        <v>14349</v>
      </c>
      <c r="B4360" s="7" t="s">
        <v>6628</v>
      </c>
      <c r="C4360" s="12">
        <v>7412</v>
      </c>
      <c r="D4360" s="7" t="s">
        <v>6629</v>
      </c>
      <c r="E4360" s="13" t="s">
        <v>5014</v>
      </c>
      <c r="F4360" t="str">
        <f t="shared" si="340"/>
        <v>Ederville</v>
      </c>
      <c r="G4360" t="str">
        <f t="shared" si="341"/>
        <v>Ederville7412Fort Worth</v>
      </c>
      <c r="H4360" t="s">
        <v>35217</v>
      </c>
      <c r="I4360" t="s">
        <v>26640</v>
      </c>
      <c r="J4360" t="str">
        <f t="shared" si="342"/>
        <v>E:\PropInv\MF</v>
      </c>
      <c r="K4360" s="103" t="str">
        <f>HYPERLINK("E:\PropInv\MF\Fort Worth\Ederville Rd_7412_Carol Oaks_Fort Worth_14349","Ederville Rd_7412_Carol Oaks_Fort Worth_14349" )</f>
        <v>Ederville Rd_7412_Carol Oaks_Fort Worth_14349</v>
      </c>
      <c r="L4360" s="104" t="s">
        <v>22253</v>
      </c>
      <c r="M4360" s="103" t="str">
        <f t="shared" si="343"/>
        <v>http://oconnordata.com/mlink/modules/profile/index.cfm?action=profile&amp;prop_id=14349</v>
      </c>
      <c r="N4360" s="1">
        <f t="shared" si="344"/>
        <v>14349</v>
      </c>
    </row>
    <row r="4361" spans="1:14" x14ac:dyDescent="0.3">
      <c r="A4361" s="1">
        <v>14350</v>
      </c>
      <c r="B4361" s="7" t="s">
        <v>6630</v>
      </c>
      <c r="C4361" s="12">
        <v>1500</v>
      </c>
      <c r="D4361" s="7" t="s">
        <v>4666</v>
      </c>
      <c r="E4361" s="13" t="s">
        <v>6555</v>
      </c>
      <c r="F4361" t="str">
        <f t="shared" si="340"/>
        <v>Lamar</v>
      </c>
      <c r="G4361" t="str">
        <f t="shared" si="341"/>
        <v>Lamar1500Arlington</v>
      </c>
      <c r="H4361" t="s">
        <v>35218</v>
      </c>
      <c r="I4361" t="s">
        <v>26641</v>
      </c>
      <c r="J4361" t="str">
        <f t="shared" si="342"/>
        <v>E:\PropInv\MF</v>
      </c>
      <c r="K4361" s="103" t="str">
        <f>HYPERLINK("E:\PropInv\MF\Arlington\Lamar Blvd E_1500_Carriage House_Arlington_14350","Lamar Blvd E_1500_Carriage House_Arlington_14350" )</f>
        <v>Lamar Blvd E_1500_Carriage House_Arlington_14350</v>
      </c>
      <c r="L4361" s="104" t="s">
        <v>22253</v>
      </c>
      <c r="M4361" s="103" t="str">
        <f t="shared" si="343"/>
        <v>http://oconnordata.com/mlink/modules/profile/index.cfm?action=profile&amp;prop_id=14350</v>
      </c>
      <c r="N4361" s="1">
        <f t="shared" si="344"/>
        <v>14350</v>
      </c>
    </row>
    <row r="4362" spans="1:14" x14ac:dyDescent="0.3">
      <c r="A4362" s="1">
        <v>14351</v>
      </c>
      <c r="B4362" s="7" t="s">
        <v>6631</v>
      </c>
      <c r="C4362" s="12">
        <v>4205</v>
      </c>
      <c r="D4362" s="7" t="s">
        <v>6632</v>
      </c>
      <c r="E4362" s="13" t="s">
        <v>6541</v>
      </c>
      <c r="F4362" t="str">
        <f t="shared" si="340"/>
        <v>Rufe</v>
      </c>
      <c r="G4362" t="str">
        <f t="shared" si="341"/>
        <v>Rufe4205North Richland Hills</v>
      </c>
      <c r="H4362" t="s">
        <v>35219</v>
      </c>
      <c r="I4362" t="s">
        <v>26642</v>
      </c>
      <c r="J4362" t="str">
        <f t="shared" si="342"/>
        <v>E:\PropInv\MF</v>
      </c>
      <c r="K4362" s="103" t="str">
        <f>HYPERLINK("E:\PropInv\MF\North Richland Hills\Rufe Snow Dr_4205_Castlewinds_North Richland Hills_14351","Rufe Snow Dr_4205_Castlewinds_North Richland Hills_14351" )</f>
        <v>Rufe Snow Dr_4205_Castlewinds_North Richland Hills_14351</v>
      </c>
      <c r="L4362" s="104" t="s">
        <v>22253</v>
      </c>
      <c r="M4362" s="103" t="str">
        <f t="shared" si="343"/>
        <v>http://oconnordata.com/mlink/modules/profile/index.cfm?action=profile&amp;prop_id=14351</v>
      </c>
      <c r="N4362" s="1">
        <f t="shared" si="344"/>
        <v>14351</v>
      </c>
    </row>
    <row r="4363" spans="1:14" x14ac:dyDescent="0.3">
      <c r="A4363" s="1">
        <v>14353</v>
      </c>
      <c r="B4363" s="7" t="s">
        <v>6633</v>
      </c>
      <c r="C4363" s="12">
        <v>3532</v>
      </c>
      <c r="D4363" s="7" t="s">
        <v>6634</v>
      </c>
      <c r="E4363" s="13" t="s">
        <v>6555</v>
      </c>
      <c r="F4363" t="str">
        <f t="shared" si="340"/>
        <v>Chatham</v>
      </c>
      <c r="G4363" t="str">
        <f t="shared" si="341"/>
        <v>Chatham3532Arlington</v>
      </c>
      <c r="H4363" t="s">
        <v>35220</v>
      </c>
      <c r="I4363" t="s">
        <v>26643</v>
      </c>
      <c r="J4363" t="str">
        <f t="shared" si="342"/>
        <v>E:\PropInv\MF</v>
      </c>
      <c r="K4363" s="103" t="str">
        <f>HYPERLINK("E:\PropInv\MF\Arlington\Chatham Green Ln_3532_Chatham Green Village_Arlington_14353","Chatham Green Ln_3532_Chatham Green Village_Arlington_14353" )</f>
        <v>Chatham Green Ln_3532_Chatham Green Village_Arlington_14353</v>
      </c>
      <c r="L4363" s="104" t="s">
        <v>22253</v>
      </c>
      <c r="M4363" s="103" t="str">
        <f t="shared" si="343"/>
        <v>http://oconnordata.com/mlink/modules/profile/index.cfm?action=profile&amp;prop_id=14353</v>
      </c>
      <c r="N4363" s="1">
        <f t="shared" si="344"/>
        <v>14353</v>
      </c>
    </row>
    <row r="4364" spans="1:14" x14ac:dyDescent="0.3">
      <c r="A4364" s="1">
        <v>14354</v>
      </c>
      <c r="B4364" s="7" t="s">
        <v>6635</v>
      </c>
      <c r="C4364" s="12">
        <v>5700</v>
      </c>
      <c r="D4364" s="7" t="s">
        <v>6636</v>
      </c>
      <c r="E4364" s="13" t="s">
        <v>6555</v>
      </c>
      <c r="F4364" t="str">
        <f t="shared" si="340"/>
        <v>Median</v>
      </c>
      <c r="G4364" t="str">
        <f t="shared" si="341"/>
        <v>Median5700Arlington</v>
      </c>
      <c r="H4364" t="s">
        <v>35221</v>
      </c>
      <c r="I4364" t="s">
        <v>26644</v>
      </c>
      <c r="J4364" t="str">
        <f t="shared" si="342"/>
        <v>E:\PropInv\MF</v>
      </c>
      <c r="K4364" s="103" t="str">
        <f>HYPERLINK("E:\PropInv\MF\Arlington\Median Way_5700_Chesterfield Apts_Arlington_14354","Median Way_5700_Chesterfield Apts_Arlington_14354" )</f>
        <v>Median Way_5700_Chesterfield Apts_Arlington_14354</v>
      </c>
      <c r="L4364" s="104" t="s">
        <v>22253</v>
      </c>
      <c r="M4364" s="103" t="str">
        <f t="shared" si="343"/>
        <v>http://oconnordata.com/mlink/modules/profile/index.cfm?action=profile&amp;prop_id=14354</v>
      </c>
      <c r="N4364" s="1">
        <f t="shared" si="344"/>
        <v>14354</v>
      </c>
    </row>
    <row r="4365" spans="1:14" x14ac:dyDescent="0.3">
      <c r="A4365" s="1">
        <v>14355</v>
      </c>
      <c r="B4365" s="7" t="s">
        <v>6637</v>
      </c>
      <c r="C4365" s="12">
        <v>8951</v>
      </c>
      <c r="D4365" s="7" t="s">
        <v>6638</v>
      </c>
      <c r="E4365" s="13" t="s">
        <v>5014</v>
      </c>
      <c r="F4365" t="str">
        <f t="shared" si="340"/>
        <v>Randol</v>
      </c>
      <c r="G4365" t="str">
        <f t="shared" si="341"/>
        <v>Randol8951Fort Worth</v>
      </c>
      <c r="H4365" t="s">
        <v>35222</v>
      </c>
      <c r="I4365" t="s">
        <v>26645</v>
      </c>
      <c r="J4365" t="str">
        <f t="shared" si="342"/>
        <v>E:\PropInv\MF</v>
      </c>
      <c r="K4365" s="103" t="str">
        <f>HYPERLINK("E:\PropInv\MF\Fort Worth\Randol Mill Rd_8951_Chestnut Ridge I &amp; II_Fort Worth_14355","Randol Mill Rd_8951_Chestnut Ridge I &amp; II_Fort Worth_14355" )</f>
        <v>Randol Mill Rd_8951_Chestnut Ridge I &amp; II_Fort Worth_14355</v>
      </c>
      <c r="L4365" s="104" t="s">
        <v>22253</v>
      </c>
      <c r="M4365" s="103" t="str">
        <f t="shared" si="343"/>
        <v>http://oconnordata.com/mlink/modules/profile/index.cfm?action=profile&amp;prop_id=14355</v>
      </c>
      <c r="N4365" s="1">
        <f t="shared" si="344"/>
        <v>14355</v>
      </c>
    </row>
    <row r="4366" spans="1:14" x14ac:dyDescent="0.3">
      <c r="A4366" s="1">
        <v>14357</v>
      </c>
      <c r="B4366" s="10" t="s">
        <v>6639</v>
      </c>
      <c r="C4366" s="9">
        <v>2612</v>
      </c>
      <c r="D4366" s="10" t="s">
        <v>6640</v>
      </c>
      <c r="E4366" s="11" t="s">
        <v>6555</v>
      </c>
      <c r="F4366" t="str">
        <f t="shared" si="340"/>
        <v>Cinnamon</v>
      </c>
      <c r="G4366" t="str">
        <f t="shared" si="341"/>
        <v>Cinnamon2612Arlington</v>
      </c>
      <c r="H4366" t="s">
        <v>35223</v>
      </c>
      <c r="I4366" t="s">
        <v>26646</v>
      </c>
      <c r="J4366" t="str">
        <f t="shared" si="342"/>
        <v>E:\PropInv\MF</v>
      </c>
      <c r="K4366" s="103" t="str">
        <f>HYPERLINK("E:\PropInv\MF\Arlington\Cinnamon Park Cir_2612_Cinnamon Park_Arlington_14357","Cinnamon Park Cir_2612_Cinnamon Park_Arlington_14357" )</f>
        <v>Cinnamon Park Cir_2612_Cinnamon Park_Arlington_14357</v>
      </c>
      <c r="L4366" s="104" t="s">
        <v>22253</v>
      </c>
      <c r="M4366" s="103" t="str">
        <f t="shared" si="343"/>
        <v>http://oconnordata.com/mlink/modules/profile/index.cfm?action=profile&amp;prop_id=14357</v>
      </c>
      <c r="N4366" s="1">
        <f t="shared" si="344"/>
        <v>14357</v>
      </c>
    </row>
    <row r="4367" spans="1:14" x14ac:dyDescent="0.3">
      <c r="A4367" s="1">
        <v>14358</v>
      </c>
      <c r="B4367" s="7" t="s">
        <v>6641</v>
      </c>
      <c r="C4367" s="12">
        <v>1635</v>
      </c>
      <c r="D4367" s="7" t="s">
        <v>5333</v>
      </c>
      <c r="E4367" s="13" t="s">
        <v>6555</v>
      </c>
      <c r="F4367" t="str">
        <f t="shared" si="340"/>
        <v>Jefferson</v>
      </c>
      <c r="G4367" t="str">
        <f t="shared" si="341"/>
        <v>Jefferson1635Arlington</v>
      </c>
      <c r="H4367" t="s">
        <v>35224</v>
      </c>
      <c r="I4367" t="s">
        <v>26647</v>
      </c>
      <c r="J4367" t="str">
        <f t="shared" si="342"/>
        <v>E:\PropInv\MF</v>
      </c>
      <c r="K4367" s="103" t="str">
        <f>HYPERLINK("E:\PropInv\MF\Arlington\Jefferson Cliffs Way_1635_The Cliffs_Arlington_14358","Jefferson Cliffs Way_1635_The Cliffs_Arlington_14358" )</f>
        <v>Jefferson Cliffs Way_1635_The Cliffs_Arlington_14358</v>
      </c>
      <c r="L4367" s="104" t="s">
        <v>22253</v>
      </c>
      <c r="M4367" s="103" t="str">
        <f t="shared" si="343"/>
        <v>http://oconnordata.com/mlink/modules/profile/index.cfm?action=profile&amp;prop_id=14358</v>
      </c>
      <c r="N4367" s="1">
        <f t="shared" si="344"/>
        <v>14358</v>
      </c>
    </row>
    <row r="4368" spans="1:14" x14ac:dyDescent="0.3">
      <c r="A4368" s="1">
        <v>14359</v>
      </c>
      <c r="B4368" s="7" t="s">
        <v>6642</v>
      </c>
      <c r="C4368" s="12">
        <v>951</v>
      </c>
      <c r="D4368" s="7" t="s">
        <v>968</v>
      </c>
      <c r="E4368" s="13" t="s">
        <v>6578</v>
      </c>
      <c r="F4368" t="str">
        <f t="shared" si="340"/>
        <v>Turner</v>
      </c>
      <c r="G4368" t="str">
        <f t="shared" si="341"/>
        <v>Turner951Grapevine</v>
      </c>
      <c r="H4368" t="s">
        <v>35225</v>
      </c>
      <c r="I4368" t="s">
        <v>26648</v>
      </c>
      <c r="J4368" t="str">
        <f t="shared" si="342"/>
        <v>E:\PropInv\MF</v>
      </c>
      <c r="K4368" s="103" t="str">
        <f>HYPERLINK("E:\PropInv\MF\Grapevine\Turner Rd_951_Cobblestone Village_Grapevine_14359","Turner Rd_951_Cobblestone Village_Grapevine_14359" )</f>
        <v>Turner Rd_951_Cobblestone Village_Grapevine_14359</v>
      </c>
      <c r="L4368" s="104" t="s">
        <v>22253</v>
      </c>
      <c r="M4368" s="103" t="str">
        <f t="shared" si="343"/>
        <v>http://oconnordata.com/mlink/modules/profile/index.cfm?action=profile&amp;prop_id=14359</v>
      </c>
      <c r="N4368" s="1">
        <f t="shared" si="344"/>
        <v>14359</v>
      </c>
    </row>
    <row r="4369" spans="1:14" x14ac:dyDescent="0.3">
      <c r="A4369" s="1">
        <v>14360</v>
      </c>
      <c r="B4369" s="7" t="s">
        <v>6643</v>
      </c>
      <c r="C4369" s="12">
        <v>2001</v>
      </c>
      <c r="D4369" s="7" t="s">
        <v>6644</v>
      </c>
      <c r="E4369" s="13" t="s">
        <v>5781</v>
      </c>
      <c r="F4369" t="str">
        <f t="shared" si="340"/>
        <v>360</v>
      </c>
      <c r="G4369" t="str">
        <f t="shared" si="341"/>
        <v>3602001Euless</v>
      </c>
      <c r="H4369" t="s">
        <v>35226</v>
      </c>
      <c r="I4369" t="s">
        <v>26649</v>
      </c>
      <c r="J4369" t="str">
        <f t="shared" si="342"/>
        <v>E:\PropInv\MF</v>
      </c>
      <c r="K4369" s="103" t="str">
        <f>HYPERLINK("E:\PropInv\MF\Euless\360 SH_2001_Collins Park At Bear Creek_Euless_14360","360 SH_2001_Collins Park At Bear Creek_Euless_14360" )</f>
        <v>360 SH_2001_Collins Park At Bear Creek_Euless_14360</v>
      </c>
      <c r="L4369" s="104" t="s">
        <v>22253</v>
      </c>
      <c r="M4369" s="103" t="str">
        <f t="shared" si="343"/>
        <v>http://oconnordata.com/mlink/modules/profile/index.cfm?action=profile&amp;prop_id=14360</v>
      </c>
      <c r="N4369" s="1">
        <f t="shared" si="344"/>
        <v>14360</v>
      </c>
    </row>
    <row r="4370" spans="1:14" x14ac:dyDescent="0.3">
      <c r="A4370" s="1">
        <v>14361</v>
      </c>
      <c r="B4370" s="7" t="s">
        <v>6645</v>
      </c>
      <c r="C4370" s="12">
        <v>2601</v>
      </c>
      <c r="D4370" s="7" t="s">
        <v>6646</v>
      </c>
      <c r="E4370" s="13" t="s">
        <v>6555</v>
      </c>
      <c r="F4370" t="str">
        <f t="shared" si="340"/>
        <v>Furrs</v>
      </c>
      <c r="G4370" t="str">
        <f t="shared" si="341"/>
        <v>Furrs2601Arlington</v>
      </c>
      <c r="H4370" t="s">
        <v>35227</v>
      </c>
      <c r="I4370" t="s">
        <v>26650</v>
      </c>
      <c r="J4370" t="str">
        <f t="shared" si="342"/>
        <v>E:\PropInv\MF</v>
      </c>
      <c r="K4370" s="103" t="str">
        <f>HYPERLINK("E:\PropInv\MF\Arlington\Furrs St_2601_The Lodge at Legacy Park_Arlington_14361","Furrs St_2601_The Lodge at Legacy Park_Arlington_14361" )</f>
        <v>Furrs St_2601_The Lodge at Legacy Park_Arlington_14361</v>
      </c>
      <c r="L4370" s="104" t="s">
        <v>22253</v>
      </c>
      <c r="M4370" s="103" t="str">
        <f t="shared" si="343"/>
        <v>http://oconnordata.com/mlink/modules/profile/index.cfm?action=profile&amp;prop_id=14361</v>
      </c>
      <c r="N4370" s="1">
        <f t="shared" si="344"/>
        <v>14361</v>
      </c>
    </row>
    <row r="4371" spans="1:14" x14ac:dyDescent="0.3">
      <c r="A4371" s="1">
        <v>14363</v>
      </c>
      <c r="B4371" s="7" t="s">
        <v>6647</v>
      </c>
      <c r="C4371" s="12">
        <v>2115</v>
      </c>
      <c r="D4371" s="7" t="s">
        <v>6648</v>
      </c>
      <c r="E4371" s="13" t="s">
        <v>6555</v>
      </c>
      <c r="F4371" t="str">
        <f t="shared" si="340"/>
        <v>Park</v>
      </c>
      <c r="G4371" t="str">
        <f t="shared" si="341"/>
        <v>Park2115Arlington</v>
      </c>
      <c r="H4371" t="s">
        <v>35228</v>
      </c>
      <c r="I4371" t="s">
        <v>26651</v>
      </c>
      <c r="J4371" t="str">
        <f t="shared" si="342"/>
        <v>E:\PropInv\MF</v>
      </c>
      <c r="K4371" s="103" t="str">
        <f>HYPERLINK("E:\PropInv\MF\Arlington\Park Springs Cir_2115_Commons on Park Springs_Arlington_14363","Park Springs Cir_2115_Commons on Park Springs_Arlington_14363" )</f>
        <v>Park Springs Cir_2115_Commons on Park Springs_Arlington_14363</v>
      </c>
      <c r="L4371" s="104" t="s">
        <v>22253</v>
      </c>
      <c r="M4371" s="103" t="str">
        <f t="shared" si="343"/>
        <v>http://oconnordata.com/mlink/modules/profile/index.cfm?action=profile&amp;prop_id=14363</v>
      </c>
      <c r="N4371" s="1">
        <f t="shared" si="344"/>
        <v>14363</v>
      </c>
    </row>
    <row r="4372" spans="1:14" x14ac:dyDescent="0.3">
      <c r="A4372" s="1">
        <v>14364</v>
      </c>
      <c r="B4372" s="7" t="s">
        <v>6649</v>
      </c>
      <c r="C4372" s="12">
        <v>420</v>
      </c>
      <c r="D4372" s="7" t="s">
        <v>6650</v>
      </c>
      <c r="E4372" s="13" t="s">
        <v>6555</v>
      </c>
      <c r="F4372" t="str">
        <f t="shared" si="340"/>
        <v>Park</v>
      </c>
      <c r="G4372" t="str">
        <f t="shared" si="341"/>
        <v>Park420Arlington</v>
      </c>
      <c r="H4372" t="s">
        <v>35229</v>
      </c>
      <c r="I4372" t="s">
        <v>26652</v>
      </c>
      <c r="J4372" t="str">
        <f t="shared" si="342"/>
        <v>E:\PropInv\MF</v>
      </c>
      <c r="K4372" s="103" t="str">
        <f>HYPERLINK("E:\PropInv\MF\Arlington\Park Row W_420_Spanish Park_Arlington_14364","Park Row W_420_Spanish Park_Arlington_14364" )</f>
        <v>Park Row W_420_Spanish Park_Arlington_14364</v>
      </c>
      <c r="L4372" s="104" t="s">
        <v>22253</v>
      </c>
      <c r="M4372" s="103" t="str">
        <f t="shared" si="343"/>
        <v>http://oconnordata.com/mlink/modules/profile/index.cfm?action=profile&amp;prop_id=14364</v>
      </c>
      <c r="N4372" s="1">
        <f t="shared" si="344"/>
        <v>14364</v>
      </c>
    </row>
    <row r="4373" spans="1:14" x14ac:dyDescent="0.3">
      <c r="A4373" s="1">
        <v>14365</v>
      </c>
      <c r="B4373" s="7" t="s">
        <v>6651</v>
      </c>
      <c r="C4373" s="12">
        <v>6011</v>
      </c>
      <c r="D4373" s="7" t="s">
        <v>6652</v>
      </c>
      <c r="E4373" s="13" t="s">
        <v>5014</v>
      </c>
      <c r="F4373" t="str">
        <f t="shared" si="340"/>
        <v>Oakland</v>
      </c>
      <c r="G4373" t="str">
        <f t="shared" si="341"/>
        <v>Oakland6011Fort Worth</v>
      </c>
      <c r="H4373" t="s">
        <v>35230</v>
      </c>
      <c r="I4373" t="s">
        <v>26653</v>
      </c>
      <c r="J4373" t="str">
        <f t="shared" si="342"/>
        <v>E:\PropInv\MF</v>
      </c>
      <c r="K4373" s="103" t="str">
        <f>HYPERLINK("E:\PropInv\MF\Fort Worth\Oakland Hills Dr_6011_Copper Creek_Fort Worth_14365","Oakland Hills Dr_6011_Copper Creek_Fort Worth_14365" )</f>
        <v>Oakland Hills Dr_6011_Copper Creek_Fort Worth_14365</v>
      </c>
      <c r="L4373" s="104" t="s">
        <v>22253</v>
      </c>
      <c r="M4373" s="103" t="str">
        <f t="shared" si="343"/>
        <v>http://oconnordata.com/mlink/modules/profile/index.cfm?action=profile&amp;prop_id=14365</v>
      </c>
      <c r="N4373" s="1">
        <f t="shared" si="344"/>
        <v>14365</v>
      </c>
    </row>
    <row r="4374" spans="1:14" x14ac:dyDescent="0.3">
      <c r="A4374" s="1">
        <v>14366</v>
      </c>
      <c r="B4374" s="7" t="s">
        <v>6653</v>
      </c>
      <c r="C4374" s="12">
        <v>6051</v>
      </c>
      <c r="D4374" s="7" t="s">
        <v>976</v>
      </c>
      <c r="E4374" s="13" t="s">
        <v>5014</v>
      </c>
      <c r="F4374" t="str">
        <f t="shared" si="340"/>
        <v>Hulen</v>
      </c>
      <c r="G4374" t="str">
        <f t="shared" si="341"/>
        <v>Hulen6051Fort Worth</v>
      </c>
      <c r="H4374" t="s">
        <v>35231</v>
      </c>
      <c r="I4374" t="s">
        <v>26654</v>
      </c>
      <c r="J4374" t="str">
        <f t="shared" si="342"/>
        <v>E:\PropInv\MF</v>
      </c>
      <c r="K4374" s="103" t="str">
        <f>HYPERLINK("E:\PropInv\MF\Fort Worth\Hulen St S_6051_Copperfield_Fort Worth_14366","Hulen St S_6051_Copperfield_Fort Worth_14366" )</f>
        <v>Hulen St S_6051_Copperfield_Fort Worth_14366</v>
      </c>
      <c r="L4374" s="104" t="s">
        <v>22253</v>
      </c>
      <c r="M4374" s="103" t="str">
        <f t="shared" si="343"/>
        <v>http://oconnordata.com/mlink/modules/profile/index.cfm?action=profile&amp;prop_id=14366</v>
      </c>
      <c r="N4374" s="1">
        <f t="shared" si="344"/>
        <v>14366</v>
      </c>
    </row>
    <row r="4375" spans="1:14" x14ac:dyDescent="0.3">
      <c r="A4375" s="1">
        <v>14367</v>
      </c>
      <c r="B4375" s="7" t="s">
        <v>6654</v>
      </c>
      <c r="C4375" s="12">
        <v>2105</v>
      </c>
      <c r="D4375" s="7" t="s">
        <v>6655</v>
      </c>
      <c r="E4375" s="13" t="s">
        <v>6555</v>
      </c>
      <c r="F4375" t="str">
        <f t="shared" si="340"/>
        <v>Cottonwood</v>
      </c>
      <c r="G4375" t="str">
        <f t="shared" si="341"/>
        <v>Cottonwood2105Arlington</v>
      </c>
      <c r="H4375" t="s">
        <v>35232</v>
      </c>
      <c r="I4375" t="s">
        <v>26655</v>
      </c>
      <c r="J4375" t="str">
        <f t="shared" si="342"/>
        <v>E:\PropInv\MF</v>
      </c>
      <c r="K4375" s="103" t="str">
        <f>HYPERLINK("E:\PropInv\MF\Arlington\Cottonwood Club Dr_2105_Monterra Point_Arlington_14367","Cottonwood Club Dr_2105_Monterra Point_Arlington_14367" )</f>
        <v>Cottonwood Club Dr_2105_Monterra Point_Arlington_14367</v>
      </c>
      <c r="L4375" s="104" t="s">
        <v>22253</v>
      </c>
      <c r="M4375" s="103" t="str">
        <f t="shared" si="343"/>
        <v>http://oconnordata.com/mlink/modules/profile/index.cfm?action=profile&amp;prop_id=14367</v>
      </c>
      <c r="N4375" s="1">
        <f t="shared" si="344"/>
        <v>14367</v>
      </c>
    </row>
    <row r="4376" spans="1:14" x14ac:dyDescent="0.3">
      <c r="A4376" s="1">
        <v>14368</v>
      </c>
      <c r="B4376" s="7" t="s">
        <v>6630</v>
      </c>
      <c r="C4376" s="12">
        <v>525</v>
      </c>
      <c r="D4376" s="7" t="s">
        <v>6656</v>
      </c>
      <c r="E4376" s="13" t="s">
        <v>6555</v>
      </c>
      <c r="F4376" t="str">
        <f t="shared" si="340"/>
        <v>Lamar</v>
      </c>
      <c r="G4376" t="str">
        <f t="shared" si="341"/>
        <v>Lamar525Arlington</v>
      </c>
      <c r="H4376" t="s">
        <v>35233</v>
      </c>
      <c r="I4376" t="s">
        <v>26656</v>
      </c>
      <c r="J4376" t="str">
        <f t="shared" si="342"/>
        <v>E:\PropInv\MF</v>
      </c>
      <c r="K4376" s="103" t="str">
        <f>HYPERLINK("E:\PropInv\MF\Arlington\Lamar Blvd E_525_Countrywood_Arlington_14368","Lamar Blvd E_525_Countrywood_Arlington_14368" )</f>
        <v>Lamar Blvd E_525_Countrywood_Arlington_14368</v>
      </c>
      <c r="L4376" s="104" t="s">
        <v>22253</v>
      </c>
      <c r="M4376" s="103" t="str">
        <f t="shared" si="343"/>
        <v>http://oconnordata.com/mlink/modules/profile/index.cfm?action=profile&amp;prop_id=14368</v>
      </c>
      <c r="N4376" s="1">
        <f t="shared" si="344"/>
        <v>14368</v>
      </c>
    </row>
    <row r="4377" spans="1:14" x14ac:dyDescent="0.3">
      <c r="A4377" s="1">
        <v>14369</v>
      </c>
      <c r="B4377" s="7" t="s">
        <v>6657</v>
      </c>
      <c r="C4377" s="12">
        <v>1501</v>
      </c>
      <c r="D4377" s="7" t="s">
        <v>6658</v>
      </c>
      <c r="E4377" s="13" t="s">
        <v>4942</v>
      </c>
      <c r="F4377" t="str">
        <f t="shared" si="340"/>
        <v>Tennis</v>
      </c>
      <c r="G4377" t="str">
        <f t="shared" si="341"/>
        <v>Tennis1501Bedford</v>
      </c>
      <c r="H4377" t="s">
        <v>35234</v>
      </c>
      <c r="I4377" t="s">
        <v>26657</v>
      </c>
      <c r="J4377" t="str">
        <f t="shared" si="342"/>
        <v>E:\PropInv\MF</v>
      </c>
      <c r="K4377" s="103" t="str">
        <f>HYPERLINK("E:\PropInv\MF\Bedford\Tennis Dr_1501_Courts of Bedford_Bedford_14369","Tennis Dr_1501_Courts of Bedford_Bedford_14369" )</f>
        <v>Tennis Dr_1501_Courts of Bedford_Bedford_14369</v>
      </c>
      <c r="L4377" s="104" t="s">
        <v>22253</v>
      </c>
      <c r="M4377" s="103" t="str">
        <f t="shared" si="343"/>
        <v>http://oconnordata.com/mlink/modules/profile/index.cfm?action=profile&amp;prop_id=14369</v>
      </c>
      <c r="N4377" s="1">
        <f t="shared" si="344"/>
        <v>14369</v>
      </c>
    </row>
    <row r="4378" spans="1:14" x14ac:dyDescent="0.3">
      <c r="A4378" s="1">
        <v>14370</v>
      </c>
      <c r="B4378" s="7" t="s">
        <v>6659</v>
      </c>
      <c r="C4378" s="12">
        <v>1301</v>
      </c>
      <c r="D4378" s="7" t="s">
        <v>6660</v>
      </c>
      <c r="E4378" s="13" t="s">
        <v>6555</v>
      </c>
      <c r="F4378" t="str">
        <f t="shared" si="340"/>
        <v>Watson</v>
      </c>
      <c r="G4378" t="str">
        <f t="shared" si="341"/>
        <v>Watson1301Arlington</v>
      </c>
      <c r="H4378" t="s">
        <v>35235</v>
      </c>
      <c r="I4378" t="s">
        <v>26658</v>
      </c>
      <c r="J4378" t="str">
        <f t="shared" si="342"/>
        <v>E:\PropInv\MF</v>
      </c>
      <c r="K4378" s="103" t="str">
        <f>HYPERLINK("E:\PropInv\MF\Arlington\Watson Rd N_1301_The Creek at Brookhollow_Arlington_14370","Watson Rd N_1301_The Creek at Brookhollow_Arlington_14370" )</f>
        <v>Watson Rd N_1301_The Creek at Brookhollow_Arlington_14370</v>
      </c>
      <c r="L4378" s="104" t="s">
        <v>22253</v>
      </c>
      <c r="M4378" s="103" t="str">
        <f t="shared" si="343"/>
        <v>http://oconnordata.com/mlink/modules/profile/index.cfm?action=profile&amp;prop_id=14370</v>
      </c>
      <c r="N4378" s="1">
        <f t="shared" si="344"/>
        <v>14370</v>
      </c>
    </row>
    <row r="4379" spans="1:14" x14ac:dyDescent="0.3">
      <c r="A4379" s="1">
        <v>14371</v>
      </c>
      <c r="B4379" s="7" t="s">
        <v>6661</v>
      </c>
      <c r="C4379" s="12">
        <v>8299</v>
      </c>
      <c r="D4379" s="7" t="s">
        <v>6662</v>
      </c>
      <c r="E4379" s="107" t="s">
        <v>6663</v>
      </c>
      <c r="F4379" t="str">
        <f t="shared" si="340"/>
        <v>Small</v>
      </c>
      <c r="G4379" t="str">
        <f t="shared" si="341"/>
        <v>Small8299Northlake</v>
      </c>
      <c r="H4379" t="s">
        <v>35236</v>
      </c>
      <c r="I4379" t="s">
        <v>26659</v>
      </c>
      <c r="J4379" t="str">
        <f t="shared" si="342"/>
        <v>E:\PropInv\MF</v>
      </c>
      <c r="K4379" s="103" t="str">
        <f>HYPERLINK("E:\PropInv\MF\Northlake\Small Block Rd_8299_Creekside at Northlake_Northlake_14371","Small Block Rd_8299_Creekside at Northlake_Northlake_14371" )</f>
        <v>Small Block Rd_8299_Creekside at Northlake_Northlake_14371</v>
      </c>
      <c r="L4379" s="104" t="s">
        <v>22253</v>
      </c>
      <c r="M4379" s="103" t="str">
        <f t="shared" si="343"/>
        <v>http://oconnordata.com/mlink/modules/profile/index.cfm?action=profile&amp;prop_id=14371</v>
      </c>
      <c r="N4379" s="1">
        <f t="shared" si="344"/>
        <v>14371</v>
      </c>
    </row>
    <row r="4380" spans="1:14" x14ac:dyDescent="0.3">
      <c r="A4380" s="1">
        <v>14372</v>
      </c>
      <c r="B4380" s="7" t="s">
        <v>6664</v>
      </c>
      <c r="C4380" s="12">
        <v>3001</v>
      </c>
      <c r="D4380" s="7" t="s">
        <v>3515</v>
      </c>
      <c r="E4380" s="13" t="s">
        <v>5014</v>
      </c>
      <c r="F4380" t="str">
        <f t="shared" si="340"/>
        <v>Normandale</v>
      </c>
      <c r="G4380" t="str">
        <f t="shared" si="341"/>
        <v>Normandale3001Fort Worth</v>
      </c>
      <c r="H4380" t="s">
        <v>35237</v>
      </c>
      <c r="I4380" t="s">
        <v>26660</v>
      </c>
      <c r="J4380" t="str">
        <f t="shared" si="342"/>
        <v>E:\PropInv\MF</v>
      </c>
      <c r="K4380" s="103" t="str">
        <f>HYPERLINK("E:\PropInv\MF\Fort Worth\Normandale St W_3001_Crescent Oaks_Fort Worth_14372","Normandale St W_3001_Crescent Oaks_Fort Worth_14372" )</f>
        <v>Normandale St W_3001_Crescent Oaks_Fort Worth_14372</v>
      </c>
      <c r="L4380" s="104" t="s">
        <v>22253</v>
      </c>
      <c r="M4380" s="103" t="str">
        <f t="shared" si="343"/>
        <v>http://oconnordata.com/mlink/modules/profile/index.cfm?action=profile&amp;prop_id=14372</v>
      </c>
      <c r="N4380" s="1">
        <f t="shared" si="344"/>
        <v>14372</v>
      </c>
    </row>
    <row r="4381" spans="1:14" x14ac:dyDescent="0.3">
      <c r="A4381" s="1">
        <v>14373</v>
      </c>
      <c r="B4381" s="7" t="s">
        <v>6665</v>
      </c>
      <c r="C4381" s="12">
        <v>2701</v>
      </c>
      <c r="D4381" s="7" t="s">
        <v>6666</v>
      </c>
      <c r="E4381" s="13" t="s">
        <v>6578</v>
      </c>
      <c r="F4381" t="str">
        <f t="shared" si="340"/>
        <v>Grapevine</v>
      </c>
      <c r="G4381" t="str">
        <f t="shared" si="341"/>
        <v>Grapevine2701Grapevine</v>
      </c>
      <c r="H4381" t="s">
        <v>35238</v>
      </c>
      <c r="I4381" t="s">
        <v>26661</v>
      </c>
      <c r="J4381" t="str">
        <f t="shared" si="342"/>
        <v>E:\PropInv\MF</v>
      </c>
      <c r="K4381" s="103" t="str">
        <f>HYPERLINK("E:\PropInv\MF\Grapevine\Grapevine Mills Blvd N_2701_Cross Creek at Grapevine Ranch_Grapevine_14373","Grapevine Mills Blvd N_2701_Cross Creek at Grapevine Ranch_Grapevine_14373" )</f>
        <v>Grapevine Mills Blvd N_2701_Cross Creek at Grapevine Ranch_Grapevine_14373</v>
      </c>
      <c r="L4381" s="104" t="s">
        <v>22253</v>
      </c>
      <c r="M4381" s="103" t="str">
        <f t="shared" si="343"/>
        <v>http://oconnordata.com/mlink/modules/profile/index.cfm?action=profile&amp;prop_id=14373</v>
      </c>
      <c r="N4381" s="1">
        <f t="shared" si="344"/>
        <v>14373</v>
      </c>
    </row>
    <row r="4382" spans="1:14" x14ac:dyDescent="0.3">
      <c r="A4382" s="1">
        <v>14374</v>
      </c>
      <c r="B4382" s="7" t="s">
        <v>6667</v>
      </c>
      <c r="C4382" s="12">
        <v>2004</v>
      </c>
      <c r="D4382" s="7" t="s">
        <v>6668</v>
      </c>
      <c r="E4382" s="13" t="s">
        <v>6555</v>
      </c>
      <c r="F4382" t="str">
        <f t="shared" si="340"/>
        <v>Sherry</v>
      </c>
      <c r="G4382" t="str">
        <f t="shared" si="341"/>
        <v>Sherry2004Arlington</v>
      </c>
      <c r="H4382" t="s">
        <v>35239</v>
      </c>
      <c r="I4382" t="s">
        <v>26662</v>
      </c>
      <c r="J4382" t="str">
        <f t="shared" si="342"/>
        <v>E:\PropInv\MF</v>
      </c>
      <c r="K4382" s="103" t="str">
        <f>HYPERLINK("E:\PropInv\MF\Arlington\Sherry St_2004_Cypress Club_Arlington_14374","Sherry St_2004_Cypress Club_Arlington_14374" )</f>
        <v>Sherry St_2004_Cypress Club_Arlington_14374</v>
      </c>
      <c r="L4382" s="104" t="s">
        <v>22253</v>
      </c>
      <c r="M4382" s="103" t="str">
        <f t="shared" si="343"/>
        <v>http://oconnordata.com/mlink/modules/profile/index.cfm?action=profile&amp;prop_id=14374</v>
      </c>
      <c r="N4382" s="1">
        <f t="shared" si="344"/>
        <v>14374</v>
      </c>
    </row>
    <row r="4383" spans="1:14" x14ac:dyDescent="0.3">
      <c r="A4383" s="1">
        <v>14375</v>
      </c>
      <c r="B4383" s="7" t="s">
        <v>6669</v>
      </c>
      <c r="C4383" s="12">
        <v>5709</v>
      </c>
      <c r="D4383" s="7" t="s">
        <v>1039</v>
      </c>
      <c r="E4383" s="13" t="s">
        <v>6581</v>
      </c>
      <c r="F4383" t="str">
        <f t="shared" si="340"/>
        <v>Belknap</v>
      </c>
      <c r="G4383" t="str">
        <f t="shared" si="341"/>
        <v>Belknap5709Haltom City</v>
      </c>
      <c r="H4383" t="s">
        <v>35240</v>
      </c>
      <c r="I4383" t="s">
        <v>26663</v>
      </c>
      <c r="J4383" t="str">
        <f t="shared" si="342"/>
        <v>E:\PropInv\MF</v>
      </c>
      <c r="K4383" s="103" t="str">
        <f>HYPERLINK("E:\PropInv\MF\Haltom City\Belknap St E_5709_Desert Sands_Haltom City_14375","Belknap St E_5709_Desert Sands_Haltom City_14375" )</f>
        <v>Belknap St E_5709_Desert Sands_Haltom City_14375</v>
      </c>
      <c r="L4383" s="104" t="s">
        <v>22253</v>
      </c>
      <c r="M4383" s="103" t="str">
        <f t="shared" si="343"/>
        <v>http://oconnordata.com/mlink/modules/profile/index.cfm?action=profile&amp;prop_id=14375</v>
      </c>
      <c r="N4383" s="1">
        <f t="shared" si="344"/>
        <v>14375</v>
      </c>
    </row>
    <row r="4384" spans="1:14" x14ac:dyDescent="0.3">
      <c r="A4384" s="1">
        <v>14376</v>
      </c>
      <c r="B4384" s="37" t="s">
        <v>6670</v>
      </c>
      <c r="C4384" s="12">
        <v>1300</v>
      </c>
      <c r="D4384" s="7" t="s">
        <v>6671</v>
      </c>
      <c r="E4384" s="13" t="s">
        <v>6672</v>
      </c>
      <c r="F4384" t="str">
        <f t="shared" si="340"/>
        <v>Keller</v>
      </c>
      <c r="G4384" t="str">
        <f t="shared" si="341"/>
        <v>Keller1300Keller</v>
      </c>
      <c r="H4384" t="s">
        <v>35241</v>
      </c>
      <c r="I4384" t="s">
        <v>26664</v>
      </c>
      <c r="J4384" t="str">
        <f t="shared" si="342"/>
        <v>E:\PropInv\MF</v>
      </c>
      <c r="K4384" s="103" t="str">
        <f>HYPERLINK("E:\PropInv\MF\Keller\Keller Pkwy_1300_Dominion Town Center_Keller_14376","Keller Pkwy_1300_Dominion Town Center_Keller_14376" )</f>
        <v>Keller Pkwy_1300_Dominion Town Center_Keller_14376</v>
      </c>
      <c r="L4384" s="104" t="s">
        <v>22253</v>
      </c>
      <c r="M4384" s="103" t="str">
        <f t="shared" si="343"/>
        <v>http://oconnordata.com/mlink/modules/profile/index.cfm?action=profile&amp;prop_id=14376</v>
      </c>
      <c r="N4384" s="1">
        <f t="shared" si="344"/>
        <v>14376</v>
      </c>
    </row>
    <row r="4385" spans="1:14" x14ac:dyDescent="0.3">
      <c r="A4385" s="1">
        <v>14377</v>
      </c>
      <c r="B4385" s="7" t="s">
        <v>6673</v>
      </c>
      <c r="C4385" s="12">
        <v>9001</v>
      </c>
      <c r="D4385" s="7" t="s">
        <v>6674</v>
      </c>
      <c r="E4385" s="13" t="s">
        <v>5014</v>
      </c>
      <c r="F4385" t="str">
        <f t="shared" si="340"/>
        <v>Meadowbrook</v>
      </c>
      <c r="G4385" t="str">
        <f t="shared" si="341"/>
        <v>Meadowbrook9001Fort Worth</v>
      </c>
      <c r="H4385" t="s">
        <v>35242</v>
      </c>
      <c r="I4385" t="s">
        <v>26665</v>
      </c>
      <c r="J4385" t="str">
        <f t="shared" si="342"/>
        <v>E:\PropInv\MF</v>
      </c>
      <c r="K4385" s="103" t="str">
        <f>HYPERLINK("E:\PropInv\MF\Fort Worth\Meadowbrook Dr_9001_Horizon at Sunridge_Fort Worth_14377","Meadowbrook Dr_9001_Horizon at Sunridge_Fort Worth_14377" )</f>
        <v>Meadowbrook Dr_9001_Horizon at Sunridge_Fort Worth_14377</v>
      </c>
      <c r="L4385" s="104" t="s">
        <v>22253</v>
      </c>
      <c r="M4385" s="103" t="str">
        <f t="shared" si="343"/>
        <v>http://oconnordata.com/mlink/modules/profile/index.cfm?action=profile&amp;prop_id=14377</v>
      </c>
      <c r="N4385" s="1">
        <f t="shared" si="344"/>
        <v>14377</v>
      </c>
    </row>
    <row r="4386" spans="1:14" x14ac:dyDescent="0.3">
      <c r="A4386" s="1">
        <v>14378</v>
      </c>
      <c r="B4386" s="7" t="s">
        <v>6675</v>
      </c>
      <c r="C4386" s="12">
        <v>8950</v>
      </c>
      <c r="D4386" s="7" t="s">
        <v>6676</v>
      </c>
      <c r="E4386" s="13" t="s">
        <v>5014</v>
      </c>
      <c r="F4386" t="str">
        <f t="shared" si="340"/>
        <v>Normandale</v>
      </c>
      <c r="G4386" t="str">
        <f t="shared" si="341"/>
        <v>Normandale8950Fort Worth</v>
      </c>
      <c r="H4386" t="s">
        <v>35243</v>
      </c>
      <c r="I4386" t="s">
        <v>26666</v>
      </c>
      <c r="J4386" t="str">
        <f t="shared" si="342"/>
        <v>E:\PropInv\MF</v>
      </c>
      <c r="K4386" s="103" t="str">
        <f>HYPERLINK("E:\PropInv\MF\Fort Worth\Normandale N_8950_Emerald Hills_Fort Worth_14378","Normandale N_8950_Emerald Hills_Fort Worth_14378" )</f>
        <v>Normandale N_8950_Emerald Hills_Fort Worth_14378</v>
      </c>
      <c r="L4386" s="104" t="s">
        <v>22253</v>
      </c>
      <c r="M4386" s="103" t="str">
        <f t="shared" si="343"/>
        <v>http://oconnordata.com/mlink/modules/profile/index.cfm?action=profile&amp;prop_id=14378</v>
      </c>
      <c r="N4386" s="1">
        <f t="shared" si="344"/>
        <v>14378</v>
      </c>
    </row>
    <row r="4387" spans="1:14" x14ac:dyDescent="0.3">
      <c r="A4387" s="1">
        <v>14379</v>
      </c>
      <c r="B4387" s="7" t="s">
        <v>6677</v>
      </c>
      <c r="C4387" s="12">
        <v>1249</v>
      </c>
      <c r="D4387" s="7" t="s">
        <v>6678</v>
      </c>
      <c r="E4387" s="13" t="s">
        <v>6555</v>
      </c>
      <c r="F4387" t="str">
        <f t="shared" si="340"/>
        <v>Enclave</v>
      </c>
      <c r="G4387" t="str">
        <f t="shared" si="341"/>
        <v>Enclave1249Arlington</v>
      </c>
      <c r="H4387" t="s">
        <v>35244</v>
      </c>
      <c r="I4387" t="s">
        <v>26667</v>
      </c>
      <c r="J4387" t="str">
        <f t="shared" si="342"/>
        <v>E:\PropInv\MF</v>
      </c>
      <c r="K4387" s="103" t="str">
        <f>HYPERLINK("E:\PropInv\MF\Arlington\Enclave Cir_1249_The Enclave at Arlington_Arlington_14379","Enclave Cir_1249_The Enclave at Arlington_Arlington_14379" )</f>
        <v>Enclave Cir_1249_The Enclave at Arlington_Arlington_14379</v>
      </c>
      <c r="L4387" s="104" t="s">
        <v>22253</v>
      </c>
      <c r="M4387" s="103" t="str">
        <f t="shared" si="343"/>
        <v>http://oconnordata.com/mlink/modules/profile/index.cfm?action=profile&amp;prop_id=14379</v>
      </c>
      <c r="N4387" s="1">
        <f t="shared" si="344"/>
        <v>14379</v>
      </c>
    </row>
    <row r="4388" spans="1:14" x14ac:dyDescent="0.3">
      <c r="A4388" s="1">
        <v>14380</v>
      </c>
      <c r="B4388" s="7" t="s">
        <v>6600</v>
      </c>
      <c r="C4388" s="12">
        <v>855</v>
      </c>
      <c r="D4388" s="7" t="s">
        <v>6679</v>
      </c>
      <c r="E4388" s="13" t="s">
        <v>5781</v>
      </c>
      <c r="F4388" t="str">
        <f t="shared" si="340"/>
        <v>Ash</v>
      </c>
      <c r="G4388" t="str">
        <f t="shared" si="341"/>
        <v>Ash855Euless</v>
      </c>
      <c r="H4388" t="s">
        <v>35245</v>
      </c>
      <c r="I4388" t="s">
        <v>26668</v>
      </c>
      <c r="J4388" t="str">
        <f t="shared" si="342"/>
        <v>E:\PropInv\MF</v>
      </c>
      <c r="K4388" s="103" t="str">
        <f>HYPERLINK("E:\PropInv\MF\Euless\Ash Ln E_855_Enclave at Bear Creek_Euless_14380","Ash Ln E_855_Enclave at Bear Creek_Euless_14380" )</f>
        <v>Ash Ln E_855_Enclave at Bear Creek_Euless_14380</v>
      </c>
      <c r="L4388" s="104" t="s">
        <v>22253</v>
      </c>
      <c r="M4388" s="103" t="str">
        <f t="shared" si="343"/>
        <v>http://oconnordata.com/mlink/modules/profile/index.cfm?action=profile&amp;prop_id=14380</v>
      </c>
      <c r="N4388" s="1">
        <f t="shared" si="344"/>
        <v>14380</v>
      </c>
    </row>
    <row r="4389" spans="1:14" x14ac:dyDescent="0.3">
      <c r="A4389" s="1">
        <v>14382</v>
      </c>
      <c r="B4389" s="7" t="s">
        <v>6680</v>
      </c>
      <c r="C4389" s="12">
        <v>8500</v>
      </c>
      <c r="D4389" s="7" t="s">
        <v>6681</v>
      </c>
      <c r="E4389" s="13" t="s">
        <v>6541</v>
      </c>
      <c r="F4389" t="str">
        <f t="shared" si="340"/>
        <v>Harwood</v>
      </c>
      <c r="G4389" t="str">
        <f t="shared" si="341"/>
        <v>Harwood8500North Richland Hills</v>
      </c>
      <c r="H4389" t="s">
        <v>35246</v>
      </c>
      <c r="I4389" t="s">
        <v>26669</v>
      </c>
      <c r="J4389" t="str">
        <f t="shared" si="342"/>
        <v>E:\PropInv\MF</v>
      </c>
      <c r="K4389" s="103" t="str">
        <f>HYPERLINK("E:\PropInv\MF\North Richland Hills\Harwood Rd_8500_8500 Harwood_North Richland Hills_14382","Harwood Rd_8500_8500 Harwood_North Richland Hills_14382" )</f>
        <v>Harwood Rd_8500_8500 Harwood_North Richland Hills_14382</v>
      </c>
      <c r="L4389" s="104" t="s">
        <v>22253</v>
      </c>
      <c r="M4389" s="103" t="str">
        <f t="shared" si="343"/>
        <v>http://oconnordata.com/mlink/modules/profile/index.cfm?action=profile&amp;prop_id=14382</v>
      </c>
      <c r="N4389" s="1">
        <f t="shared" si="344"/>
        <v>14382</v>
      </c>
    </row>
    <row r="4390" spans="1:14" x14ac:dyDescent="0.3">
      <c r="A4390" s="1">
        <v>14383</v>
      </c>
      <c r="B4390" s="7" t="s">
        <v>6682</v>
      </c>
      <c r="C4390" s="12">
        <v>1304</v>
      </c>
      <c r="D4390" s="7" t="s">
        <v>6683</v>
      </c>
      <c r="E4390" s="13" t="s">
        <v>5781</v>
      </c>
      <c r="F4390" t="str">
        <f t="shared" si="340"/>
        <v>Raider</v>
      </c>
      <c r="G4390" t="str">
        <f t="shared" si="341"/>
        <v>Raider1304Euless</v>
      </c>
      <c r="H4390" t="s">
        <v>35247</v>
      </c>
      <c r="I4390" t="s">
        <v>26670</v>
      </c>
      <c r="J4390" t="str">
        <f t="shared" si="342"/>
        <v>E:\PropInv\MF</v>
      </c>
      <c r="K4390" s="103" t="str">
        <f>HYPERLINK("E:\PropInv\MF\Euless\Raider Dr_1304_Euless Square_Euless_14383","Raider Dr_1304_Euless Square_Euless_14383" )</f>
        <v>Raider Dr_1304_Euless Square_Euless_14383</v>
      </c>
      <c r="L4390" s="104" t="s">
        <v>22253</v>
      </c>
      <c r="M4390" s="103" t="str">
        <f t="shared" si="343"/>
        <v>http://oconnordata.com/mlink/modules/profile/index.cfm?action=profile&amp;prop_id=14383</v>
      </c>
      <c r="N4390" s="1">
        <f t="shared" si="344"/>
        <v>14383</v>
      </c>
    </row>
    <row r="4391" spans="1:14" x14ac:dyDescent="0.3">
      <c r="A4391" s="1">
        <v>14384</v>
      </c>
      <c r="B4391" s="7" t="s">
        <v>6684</v>
      </c>
      <c r="C4391" s="12">
        <v>5613</v>
      </c>
      <c r="D4391" s="7" t="s">
        <v>6685</v>
      </c>
      <c r="E4391" s="13" t="s">
        <v>5014</v>
      </c>
      <c r="F4391" t="str">
        <f t="shared" si="340"/>
        <v>Coventry</v>
      </c>
      <c r="G4391" t="str">
        <f t="shared" si="341"/>
        <v>Coventry5613Fort Worth</v>
      </c>
      <c r="H4391" t="s">
        <v>35248</v>
      </c>
      <c r="I4391" t="s">
        <v>26671</v>
      </c>
      <c r="J4391" t="str">
        <f t="shared" si="342"/>
        <v>E:\PropInv\MF</v>
      </c>
      <c r="K4391" s="103" t="str">
        <f>HYPERLINK("E:\PropInv\MF\Fort Worth\Coventry Park Dr_5613_Fairway on the Park_Fort Worth_14384","Coventry Park Dr_5613_Fairway on the Park_Fort Worth_14384" )</f>
        <v>Coventry Park Dr_5613_Fairway on the Park_Fort Worth_14384</v>
      </c>
      <c r="L4391" s="104" t="s">
        <v>22253</v>
      </c>
      <c r="M4391" s="103" t="str">
        <f t="shared" si="343"/>
        <v>http://oconnordata.com/mlink/modules/profile/index.cfm?action=profile&amp;prop_id=14384</v>
      </c>
      <c r="N4391" s="1">
        <f t="shared" si="344"/>
        <v>14384</v>
      </c>
    </row>
    <row r="4392" spans="1:14" x14ac:dyDescent="0.3">
      <c r="A4392" s="1">
        <v>14385</v>
      </c>
      <c r="B4392" s="7" t="s">
        <v>6686</v>
      </c>
      <c r="C4392" s="12">
        <v>1001</v>
      </c>
      <c r="D4392" s="7" t="s">
        <v>6687</v>
      </c>
      <c r="E4392" s="13" t="s">
        <v>5014</v>
      </c>
      <c r="F4392" t="str">
        <f t="shared" si="340"/>
        <v>7th</v>
      </c>
      <c r="G4392" t="str">
        <f t="shared" si="341"/>
        <v>7th1001Fort Worth</v>
      </c>
      <c r="H4392" t="s">
        <v>35249</v>
      </c>
      <c r="I4392" t="s">
        <v>26672</v>
      </c>
      <c r="J4392" t="str">
        <f t="shared" si="342"/>
        <v>E:\PropInv\MF</v>
      </c>
      <c r="K4392" s="103" t="str">
        <f>HYPERLINK("E:\PropInv\MF\Fort Worth\7th St W_1001_Firestone Upper West Side_Fort Worth_14385","7th St W_1001_Firestone Upper West Side_Fort Worth_14385" )</f>
        <v>7th St W_1001_Firestone Upper West Side_Fort Worth_14385</v>
      </c>
      <c r="L4392" s="104" t="s">
        <v>22253</v>
      </c>
      <c r="M4392" s="103" t="str">
        <f t="shared" si="343"/>
        <v>http://oconnordata.com/mlink/modules/profile/index.cfm?action=profile&amp;prop_id=14385</v>
      </c>
      <c r="N4392" s="1">
        <f t="shared" si="344"/>
        <v>14385</v>
      </c>
    </row>
    <row r="4393" spans="1:14" x14ac:dyDescent="0.3">
      <c r="A4393" s="1">
        <v>14386</v>
      </c>
      <c r="B4393" s="7" t="s">
        <v>6688</v>
      </c>
      <c r="C4393" s="12">
        <v>2508</v>
      </c>
      <c r="D4393" s="7" t="s">
        <v>6689</v>
      </c>
      <c r="E4393" s="13" t="s">
        <v>6555</v>
      </c>
      <c r="F4393" t="str">
        <f t="shared" si="340"/>
        <v>Forest</v>
      </c>
      <c r="G4393" t="str">
        <f t="shared" si="341"/>
        <v>Forest2508Arlington</v>
      </c>
      <c r="H4393" t="s">
        <v>35250</v>
      </c>
      <c r="I4393" t="s">
        <v>26673</v>
      </c>
      <c r="J4393" t="str">
        <f t="shared" si="342"/>
        <v>E:\PropInv\MF</v>
      </c>
      <c r="K4393" s="103" t="str">
        <f>HYPERLINK("E:\PropInv\MF\Arlington\Forest Point Dr_2508_Forest Ridge_Arlington_14386","Forest Point Dr_2508_Forest Ridge_Arlington_14386" )</f>
        <v>Forest Point Dr_2508_Forest Ridge_Arlington_14386</v>
      </c>
      <c r="L4393" s="104" t="s">
        <v>22253</v>
      </c>
      <c r="M4393" s="103" t="str">
        <f t="shared" si="343"/>
        <v>http://oconnordata.com/mlink/modules/profile/index.cfm?action=profile&amp;prop_id=14386</v>
      </c>
      <c r="N4393" s="1">
        <f t="shared" si="344"/>
        <v>14386</v>
      </c>
    </row>
    <row r="4394" spans="1:14" x14ac:dyDescent="0.3">
      <c r="A4394" s="1">
        <v>14387</v>
      </c>
      <c r="B4394" s="7" t="s">
        <v>6690</v>
      </c>
      <c r="C4394" s="12">
        <v>5700</v>
      </c>
      <c r="D4394" s="7" t="s">
        <v>6691</v>
      </c>
      <c r="E4394" s="13" t="s">
        <v>5014</v>
      </c>
      <c r="F4394" t="str">
        <f t="shared" si="340"/>
        <v>Beach</v>
      </c>
      <c r="G4394" t="str">
        <f t="shared" si="341"/>
        <v>Beach5700Fort Worth</v>
      </c>
      <c r="H4394" t="s">
        <v>35251</v>
      </c>
      <c r="I4394" t="s">
        <v>26674</v>
      </c>
      <c r="J4394" t="str">
        <f t="shared" si="342"/>
        <v>E:\PropInv\MF</v>
      </c>
      <c r="K4394" s="103" t="str">
        <f>HYPERLINK("E:\PropInv\MF\Fort Worth\Beach N_5700_Fossil Hill_Fort Worth_14387","Beach N_5700_Fossil Hill_Fort Worth_14387" )</f>
        <v>Beach N_5700_Fossil Hill_Fort Worth_14387</v>
      </c>
      <c r="L4394" s="104" t="s">
        <v>22253</v>
      </c>
      <c r="M4394" s="103" t="str">
        <f t="shared" si="343"/>
        <v>http://oconnordata.com/mlink/modules/profile/index.cfm?action=profile&amp;prop_id=14387</v>
      </c>
      <c r="N4394" s="1">
        <f t="shared" si="344"/>
        <v>14387</v>
      </c>
    </row>
    <row r="4395" spans="1:14" x14ac:dyDescent="0.3">
      <c r="A4395" s="1">
        <v>14388</v>
      </c>
      <c r="B4395" s="7" t="s">
        <v>6690</v>
      </c>
      <c r="C4395" s="12">
        <v>5600</v>
      </c>
      <c r="D4395" s="7" t="s">
        <v>6692</v>
      </c>
      <c r="E4395" s="13" t="s">
        <v>6581</v>
      </c>
      <c r="F4395" t="str">
        <f t="shared" si="340"/>
        <v>Beach</v>
      </c>
      <c r="G4395" t="str">
        <f t="shared" si="341"/>
        <v>Beach5600Haltom City</v>
      </c>
      <c r="H4395" t="s">
        <v>35252</v>
      </c>
      <c r="I4395" t="s">
        <v>26675</v>
      </c>
      <c r="J4395" t="str">
        <f t="shared" si="342"/>
        <v>E:\PropInv\MF</v>
      </c>
      <c r="K4395" s="103" t="str">
        <f>HYPERLINK("E:\PropInv\MF\Haltom City\Beach N_5600_Fossil Ridge_Haltom City_14388","Beach N_5600_Fossil Ridge_Haltom City_14388" )</f>
        <v>Beach N_5600_Fossil Ridge_Haltom City_14388</v>
      </c>
      <c r="L4395" s="104" t="s">
        <v>22253</v>
      </c>
      <c r="M4395" s="103" t="str">
        <f t="shared" si="343"/>
        <v>http://oconnordata.com/mlink/modules/profile/index.cfm?action=profile&amp;prop_id=14388</v>
      </c>
      <c r="N4395" s="1">
        <f t="shared" si="344"/>
        <v>14388</v>
      </c>
    </row>
    <row r="4396" spans="1:14" x14ac:dyDescent="0.3">
      <c r="A4396" s="1">
        <v>14389</v>
      </c>
      <c r="B4396" s="7" t="s">
        <v>6693</v>
      </c>
      <c r="C4396" s="12">
        <v>750</v>
      </c>
      <c r="D4396" s="7" t="s">
        <v>6694</v>
      </c>
      <c r="E4396" s="13" t="s">
        <v>5781</v>
      </c>
      <c r="F4396" t="str">
        <f t="shared" si="340"/>
        <v>Mid</v>
      </c>
      <c r="G4396" t="str">
        <f t="shared" si="341"/>
        <v>Mid750Euless</v>
      </c>
      <c r="H4396" t="s">
        <v>35253</v>
      </c>
      <c r="I4396" t="s">
        <v>26676</v>
      </c>
      <c r="J4396" t="str">
        <f t="shared" si="342"/>
        <v>E:\PropInv\MF</v>
      </c>
      <c r="K4396" s="103" t="str">
        <f>HYPERLINK("E:\PropInv\MF\Euless\Mid Cities Blvd E_750_Fountain Wood at Bear Creek_Euless_14389","Mid Cities Blvd E_750_Fountain Wood at Bear Creek_Euless_14389" )</f>
        <v>Mid Cities Blvd E_750_Fountain Wood at Bear Creek_Euless_14389</v>
      </c>
      <c r="L4396" s="104" t="s">
        <v>22253</v>
      </c>
      <c r="M4396" s="103" t="str">
        <f t="shared" si="343"/>
        <v>http://oconnordata.com/mlink/modules/profile/index.cfm?action=profile&amp;prop_id=14389</v>
      </c>
      <c r="N4396" s="1">
        <f t="shared" si="344"/>
        <v>14389</v>
      </c>
    </row>
    <row r="4397" spans="1:14" x14ac:dyDescent="0.3">
      <c r="A4397" s="1">
        <v>14390</v>
      </c>
      <c r="B4397" s="7" t="s">
        <v>6695</v>
      </c>
      <c r="C4397" s="12">
        <v>2401</v>
      </c>
      <c r="D4397" s="7" t="s">
        <v>6696</v>
      </c>
      <c r="E4397" s="13" t="s">
        <v>5097</v>
      </c>
      <c r="F4397" t="str">
        <f t="shared" si="340"/>
        <v>McKinney</v>
      </c>
      <c r="G4397" t="str">
        <f t="shared" si="341"/>
        <v>McKinney2401Denton</v>
      </c>
      <c r="H4397" t="s">
        <v>35254</v>
      </c>
      <c r="I4397" t="s">
        <v>26677</v>
      </c>
      <c r="J4397" t="str">
        <f t="shared" si="342"/>
        <v>E:\PropInv\MF</v>
      </c>
      <c r="K4397" s="103" t="str">
        <f>HYPERLINK("E:\PropInv\MF\Denton\McKinney E_2401_Fountains of Denton_Denton_14390","McKinney E_2401_Fountains of Denton_Denton_14390" )</f>
        <v>McKinney E_2401_Fountains of Denton_Denton_14390</v>
      </c>
      <c r="L4397" s="104" t="s">
        <v>22253</v>
      </c>
      <c r="M4397" s="103" t="str">
        <f t="shared" si="343"/>
        <v>http://oconnordata.com/mlink/modules/profile/index.cfm?action=profile&amp;prop_id=14390</v>
      </c>
      <c r="N4397" s="1">
        <f t="shared" si="344"/>
        <v>14390</v>
      </c>
    </row>
    <row r="4398" spans="1:14" x14ac:dyDescent="0.3">
      <c r="A4398" s="1">
        <v>14391</v>
      </c>
      <c r="B4398" s="7" t="s">
        <v>6697</v>
      </c>
      <c r="C4398" s="12">
        <v>1600</v>
      </c>
      <c r="D4398" s="7" t="s">
        <v>6698</v>
      </c>
      <c r="E4398" s="13" t="s">
        <v>5781</v>
      </c>
      <c r="F4398" t="str">
        <f t="shared" si="340"/>
        <v>Village</v>
      </c>
      <c r="G4398" t="str">
        <f t="shared" si="341"/>
        <v>Village1600Euless</v>
      </c>
      <c r="H4398" t="s">
        <v>35255</v>
      </c>
      <c r="I4398" t="s">
        <v>26678</v>
      </c>
      <c r="J4398" t="str">
        <f t="shared" si="342"/>
        <v>E:\PropInv\MF</v>
      </c>
      <c r="K4398" s="103" t="str">
        <f>HYPERLINK("E:\PropInv\MF\Euless\Village Dr_1600_The Franciscan at Bear Creek_Euless_14391","Village Dr_1600_The Franciscan at Bear Creek_Euless_14391" )</f>
        <v>Village Dr_1600_The Franciscan at Bear Creek_Euless_14391</v>
      </c>
      <c r="L4398" s="104" t="s">
        <v>22253</v>
      </c>
      <c r="M4398" s="103" t="str">
        <f t="shared" si="343"/>
        <v>http://oconnordata.com/mlink/modules/profile/index.cfm?action=profile&amp;prop_id=14391</v>
      </c>
      <c r="N4398" s="1">
        <f t="shared" si="344"/>
        <v>14391</v>
      </c>
    </row>
    <row r="4399" spans="1:14" x14ac:dyDescent="0.3">
      <c r="A4399" s="1">
        <v>14392</v>
      </c>
      <c r="B4399" s="7" t="s">
        <v>5555</v>
      </c>
      <c r="C4399" s="12">
        <v>3006</v>
      </c>
      <c r="D4399" s="7" t="s">
        <v>6699</v>
      </c>
      <c r="E4399" s="13" t="s">
        <v>6555</v>
      </c>
      <c r="F4399" t="str">
        <f t="shared" si="340"/>
        <v>Franciscan</v>
      </c>
      <c r="G4399" t="str">
        <f t="shared" si="341"/>
        <v>Franciscan3006Arlington</v>
      </c>
      <c r="H4399" t="s">
        <v>35256</v>
      </c>
      <c r="I4399" t="s">
        <v>26679</v>
      </c>
      <c r="J4399" t="str">
        <f t="shared" si="342"/>
        <v>E:\PropInv\MF</v>
      </c>
      <c r="K4399" s="103" t="str">
        <f>HYPERLINK("E:\PropInv\MF\Arlington\Franciscan_3006_Franciscan of Arlington_Arlington_14392","Franciscan_3006_Franciscan of Arlington_Arlington_14392" )</f>
        <v>Franciscan_3006_Franciscan of Arlington_Arlington_14392</v>
      </c>
      <c r="L4399" s="104" t="s">
        <v>22253</v>
      </c>
      <c r="M4399" s="103" t="str">
        <f t="shared" si="343"/>
        <v>http://oconnordata.com/mlink/modules/profile/index.cfm?action=profile&amp;prop_id=14392</v>
      </c>
      <c r="N4399" s="1">
        <f t="shared" si="344"/>
        <v>14392</v>
      </c>
    </row>
    <row r="4400" spans="1:14" x14ac:dyDescent="0.3">
      <c r="A4400" s="1">
        <v>14393</v>
      </c>
      <c r="B4400" s="7" t="s">
        <v>6690</v>
      </c>
      <c r="C4400" s="12">
        <v>6901</v>
      </c>
      <c r="D4400" s="7" t="s">
        <v>6700</v>
      </c>
      <c r="E4400" s="13" t="s">
        <v>5014</v>
      </c>
      <c r="F4400" t="str">
        <f t="shared" si="340"/>
        <v>Beach</v>
      </c>
      <c r="G4400" t="str">
        <f t="shared" si="341"/>
        <v>Beach6901Fort Worth</v>
      </c>
      <c r="H4400" t="s">
        <v>35257</v>
      </c>
      <c r="I4400" t="s">
        <v>26680</v>
      </c>
      <c r="J4400" t="str">
        <f t="shared" si="342"/>
        <v>E:\PropInv\MF</v>
      </c>
      <c r="K4400" s="103" t="str">
        <f>HYPERLINK("E:\PropInv\MF\Fort Worth\Beach N_6901_Garden Gate-Fort Worth_Fort Worth_14393","Beach N_6901_Garden Gate-Fort Worth_Fort Worth_14393" )</f>
        <v>Beach N_6901_Garden Gate-Fort Worth_Fort Worth_14393</v>
      </c>
      <c r="L4400" s="104" t="s">
        <v>22253</v>
      </c>
      <c r="M4400" s="103" t="str">
        <f t="shared" si="343"/>
        <v>http://oconnordata.com/mlink/modules/profile/index.cfm?action=profile&amp;prop_id=14393</v>
      </c>
      <c r="N4400" s="1">
        <f t="shared" si="344"/>
        <v>14393</v>
      </c>
    </row>
    <row r="4401" spans="1:14" x14ac:dyDescent="0.3">
      <c r="A4401" s="1">
        <v>14394</v>
      </c>
      <c r="B4401" s="7" t="s">
        <v>6686</v>
      </c>
      <c r="C4401" s="12">
        <v>2601</v>
      </c>
      <c r="D4401" s="7" t="s">
        <v>6701</v>
      </c>
      <c r="E4401" s="13" t="s">
        <v>5014</v>
      </c>
      <c r="F4401" t="str">
        <f t="shared" si="340"/>
        <v>7th</v>
      </c>
      <c r="G4401" t="str">
        <f t="shared" si="341"/>
        <v>7th2601Fort Worth</v>
      </c>
      <c r="H4401" t="s">
        <v>35258</v>
      </c>
      <c r="I4401" t="s">
        <v>26681</v>
      </c>
      <c r="J4401" t="str">
        <f t="shared" si="342"/>
        <v>E:\PropInv\MF</v>
      </c>
      <c r="K4401" s="103" t="str">
        <f>HYPERLINK("E:\PropInv\MF\Fort Worth\7th St W_2601_AMLI 7th Street Station_Fort Worth_14394","7th St W_2601_AMLI 7th Street Station_Fort Worth_14394" )</f>
        <v>7th St W_2601_AMLI 7th Street Station_Fort Worth_14394</v>
      </c>
      <c r="L4401" s="104" t="s">
        <v>22253</v>
      </c>
      <c r="M4401" s="103" t="str">
        <f t="shared" si="343"/>
        <v>http://oconnordata.com/mlink/modules/profile/index.cfm?action=profile&amp;prop_id=14394</v>
      </c>
      <c r="N4401" s="1">
        <f t="shared" si="344"/>
        <v>14394</v>
      </c>
    </row>
    <row r="4402" spans="1:14" x14ac:dyDescent="0.3">
      <c r="A4402" s="1">
        <v>14395</v>
      </c>
      <c r="B4402" s="7" t="s">
        <v>6702</v>
      </c>
      <c r="C4402" s="12">
        <v>7030</v>
      </c>
      <c r="D4402" s="7" t="s">
        <v>6703</v>
      </c>
      <c r="E4402" s="13" t="s">
        <v>6541</v>
      </c>
      <c r="F4402" t="str">
        <f t="shared" si="340"/>
        <v>Glenview</v>
      </c>
      <c r="G4402" t="str">
        <f t="shared" si="341"/>
        <v>Glenview7030North Richland Hills</v>
      </c>
      <c r="H4402" t="s">
        <v>35259</v>
      </c>
      <c r="I4402" t="s">
        <v>26682</v>
      </c>
      <c r="J4402" t="str">
        <f t="shared" si="342"/>
        <v>E:\PropInv\MF</v>
      </c>
      <c r="K4402" s="103" t="str">
        <f>HYPERLINK("E:\PropInv\MF\North Richland Hills\Glenview Dr_7030_Glenview Square_North Richland Hills_14395","Glenview Dr_7030_Glenview Square_North Richland Hills_14395" )</f>
        <v>Glenview Dr_7030_Glenview Square_North Richland Hills_14395</v>
      </c>
      <c r="L4402" s="104" t="s">
        <v>22253</v>
      </c>
      <c r="M4402" s="103" t="str">
        <f t="shared" si="343"/>
        <v>http://oconnordata.com/mlink/modules/profile/index.cfm?action=profile&amp;prop_id=14395</v>
      </c>
      <c r="N4402" s="1">
        <f t="shared" si="344"/>
        <v>14395</v>
      </c>
    </row>
    <row r="4403" spans="1:14" x14ac:dyDescent="0.3">
      <c r="A4403" s="1">
        <v>14396</v>
      </c>
      <c r="B4403" s="7" t="s">
        <v>6704</v>
      </c>
      <c r="C4403" s="12">
        <v>6901</v>
      </c>
      <c r="D4403" s="7" t="s">
        <v>6705</v>
      </c>
      <c r="E4403" s="13" t="s">
        <v>6541</v>
      </c>
      <c r="F4403" t="str">
        <f t="shared" si="340"/>
        <v>820</v>
      </c>
      <c r="G4403" t="str">
        <f t="shared" si="341"/>
        <v>8206901North Richland Hills</v>
      </c>
      <c r="H4403" t="s">
        <v>35260</v>
      </c>
      <c r="I4403" t="s">
        <v>26683</v>
      </c>
      <c r="J4403" t="str">
        <f t="shared" si="342"/>
        <v>E:\PropInv\MF</v>
      </c>
      <c r="K4403" s="103" t="str">
        <f>HYPERLINK("E:\PropInv\MF\North Richland Hills\820 Loop NE_6901_Grayson Ridge_North Richland Hills_14396","820 Loop NE_6901_Grayson Ridge_North Richland Hills_14396" )</f>
        <v>820 Loop NE_6901_Grayson Ridge_North Richland Hills_14396</v>
      </c>
      <c r="L4403" s="104" t="s">
        <v>22253</v>
      </c>
      <c r="M4403" s="103" t="str">
        <f t="shared" si="343"/>
        <v>http://oconnordata.com/mlink/modules/profile/index.cfm?action=profile&amp;prop_id=14396</v>
      </c>
      <c r="N4403" s="1">
        <f t="shared" si="344"/>
        <v>14396</v>
      </c>
    </row>
    <row r="4404" spans="1:14" x14ac:dyDescent="0.3">
      <c r="A4404" s="1">
        <v>14397</v>
      </c>
      <c r="B4404" s="7" t="s">
        <v>6706</v>
      </c>
      <c r="C4404" s="12">
        <v>2300</v>
      </c>
      <c r="D4404" s="7" t="s">
        <v>6707</v>
      </c>
      <c r="E4404" s="13" t="s">
        <v>6578</v>
      </c>
      <c r="F4404" t="str">
        <f t="shared" si="340"/>
        <v>Grayson</v>
      </c>
      <c r="G4404" t="str">
        <f t="shared" si="341"/>
        <v>Grayson2300Grapevine</v>
      </c>
      <c r="H4404" t="s">
        <v>35261</v>
      </c>
      <c r="I4404" t="s">
        <v>26684</v>
      </c>
      <c r="J4404" t="str">
        <f t="shared" si="342"/>
        <v>E:\PropInv\MF</v>
      </c>
      <c r="K4404" s="103" t="str">
        <f>HYPERLINK("E:\PropInv\MF\Grapevine\Grayson Dr_2300_Colonial Village at Grapevine_Grapevine_14397","Grayson Dr_2300_Colonial Village at Grapevine_Grapevine_14397" )</f>
        <v>Grayson Dr_2300_Colonial Village at Grapevine_Grapevine_14397</v>
      </c>
      <c r="L4404" s="104" t="s">
        <v>22253</v>
      </c>
      <c r="M4404" s="103" t="str">
        <f t="shared" si="343"/>
        <v>http://oconnordata.com/mlink/modules/profile/index.cfm?action=profile&amp;prop_id=14397</v>
      </c>
      <c r="N4404" s="1">
        <f t="shared" si="344"/>
        <v>14397</v>
      </c>
    </row>
    <row r="4405" spans="1:14" x14ac:dyDescent="0.3">
      <c r="A4405" s="1">
        <v>14398</v>
      </c>
      <c r="B4405" s="7" t="s">
        <v>6708</v>
      </c>
      <c r="C4405" s="12">
        <v>6501</v>
      </c>
      <c r="D4405" s="7" t="s">
        <v>6709</v>
      </c>
      <c r="E4405" s="13" t="s">
        <v>5014</v>
      </c>
      <c r="F4405" t="str">
        <f t="shared" si="340"/>
        <v>Boca</v>
      </c>
      <c r="G4405" t="str">
        <f t="shared" si="341"/>
        <v>Boca6501Fort Worth</v>
      </c>
      <c r="H4405" t="s">
        <v>35262</v>
      </c>
      <c r="I4405" t="s">
        <v>26685</v>
      </c>
      <c r="J4405" t="str">
        <f t="shared" si="342"/>
        <v>E:\PropInv\MF</v>
      </c>
      <c r="K4405" s="103" t="str">
        <f>HYPERLINK("E:\PropInv\MF\Fort Worth\Boca Raton Rd_6501_Havenwood_Fort Worth_14398","Boca Raton Rd_6501_Havenwood_Fort Worth_14398" )</f>
        <v>Boca Raton Rd_6501_Havenwood_Fort Worth_14398</v>
      </c>
      <c r="L4405" s="104" t="s">
        <v>22253</v>
      </c>
      <c r="M4405" s="103" t="str">
        <f t="shared" si="343"/>
        <v>http://oconnordata.com/mlink/modules/profile/index.cfm?action=profile&amp;prop_id=14398</v>
      </c>
      <c r="N4405" s="1">
        <f t="shared" si="344"/>
        <v>14398</v>
      </c>
    </row>
    <row r="4406" spans="1:14" x14ac:dyDescent="0.3">
      <c r="A4406" s="1">
        <v>14399</v>
      </c>
      <c r="B4406" s="7" t="s">
        <v>6710</v>
      </c>
      <c r="C4406" s="12">
        <v>2706</v>
      </c>
      <c r="D4406" s="7" t="s">
        <v>5640</v>
      </c>
      <c r="E4406" s="13" t="s">
        <v>6555</v>
      </c>
      <c r="F4406" t="str">
        <f t="shared" si="340"/>
        <v>Heather</v>
      </c>
      <c r="G4406" t="str">
        <f t="shared" si="341"/>
        <v>Heather2706Arlington</v>
      </c>
      <c r="H4406" t="s">
        <v>35263</v>
      </c>
      <c r="I4406" t="s">
        <v>26686</v>
      </c>
      <c r="J4406" t="str">
        <f t="shared" si="342"/>
        <v>E:\PropInv\MF</v>
      </c>
      <c r="K4406" s="103" t="str">
        <f>HYPERLINK("E:\PropInv\MF\Arlington\Heather Hill Ct_2706_Heather Ridge_Arlington_14399","Heather Hill Ct_2706_Heather Ridge_Arlington_14399" )</f>
        <v>Heather Hill Ct_2706_Heather Ridge_Arlington_14399</v>
      </c>
      <c r="L4406" s="104" t="s">
        <v>22253</v>
      </c>
      <c r="M4406" s="103" t="str">
        <f t="shared" si="343"/>
        <v>http://oconnordata.com/mlink/modules/profile/index.cfm?action=profile&amp;prop_id=14399</v>
      </c>
      <c r="N4406" s="1">
        <f t="shared" si="344"/>
        <v>14399</v>
      </c>
    </row>
    <row r="4407" spans="1:14" x14ac:dyDescent="0.3">
      <c r="A4407" s="1">
        <v>14400</v>
      </c>
      <c r="B4407" s="7" t="s">
        <v>6605</v>
      </c>
      <c r="C4407" s="12">
        <v>5720</v>
      </c>
      <c r="D4407" s="7" t="s">
        <v>6711</v>
      </c>
      <c r="E4407" s="13" t="s">
        <v>5014</v>
      </c>
      <c r="F4407" t="str">
        <f t="shared" si="340"/>
        <v>Bryant</v>
      </c>
      <c r="G4407" t="str">
        <f t="shared" si="341"/>
        <v>Bryant5720Fort Worth</v>
      </c>
      <c r="H4407" t="s">
        <v>35264</v>
      </c>
      <c r="I4407" t="s">
        <v>26687</v>
      </c>
      <c r="J4407" t="str">
        <f t="shared" si="342"/>
        <v>E:\PropInv\MF</v>
      </c>
      <c r="K4407" s="103" t="str">
        <f>HYPERLINK("E:\PropInv\MF\Fort Worth\Bryant Irvin Rd_5720_Heights of Cityview_Fort Worth_14400","Bryant Irvin Rd_5720_Heights of Cityview_Fort Worth_14400" )</f>
        <v>Bryant Irvin Rd_5720_Heights of Cityview_Fort Worth_14400</v>
      </c>
      <c r="L4407" s="104" t="s">
        <v>22253</v>
      </c>
      <c r="M4407" s="103" t="str">
        <f t="shared" si="343"/>
        <v>http://oconnordata.com/mlink/modules/profile/index.cfm?action=profile&amp;prop_id=14400</v>
      </c>
      <c r="N4407" s="1">
        <f t="shared" si="344"/>
        <v>14400</v>
      </c>
    </row>
    <row r="4408" spans="1:14" x14ac:dyDescent="0.3">
      <c r="A4408" s="1">
        <v>14401</v>
      </c>
      <c r="B4408" s="7" t="s">
        <v>6712</v>
      </c>
      <c r="C4408" s="12">
        <v>5836</v>
      </c>
      <c r="D4408" s="7" t="s">
        <v>6473</v>
      </c>
      <c r="E4408" s="13" t="s">
        <v>5014</v>
      </c>
      <c r="F4408" t="str">
        <f t="shared" si="340"/>
        <v>Highland</v>
      </c>
      <c r="G4408" t="str">
        <f t="shared" si="341"/>
        <v>Highland5836Fort Worth</v>
      </c>
      <c r="H4408" t="s">
        <v>35265</v>
      </c>
      <c r="I4408" t="s">
        <v>26688</v>
      </c>
      <c r="J4408" t="str">
        <f t="shared" si="342"/>
        <v>E:\PropInv\MF</v>
      </c>
      <c r="K4408" s="103" t="str">
        <f>HYPERLINK("E:\PropInv\MF\Fort Worth\Highland Park Dr_5836_Highland Park_Fort Worth_14401","Highland Park Dr_5836_Highland Park_Fort Worth_14401" )</f>
        <v>Highland Park Dr_5836_Highland Park_Fort Worth_14401</v>
      </c>
      <c r="L4408" s="104" t="s">
        <v>22253</v>
      </c>
      <c r="M4408" s="103" t="str">
        <f t="shared" si="343"/>
        <v>http://oconnordata.com/mlink/modules/profile/index.cfm?action=profile&amp;prop_id=14401</v>
      </c>
      <c r="N4408" s="1">
        <f t="shared" si="344"/>
        <v>14401</v>
      </c>
    </row>
    <row r="4409" spans="1:14" x14ac:dyDescent="0.3">
      <c r="A4409" s="1">
        <v>14402</v>
      </c>
      <c r="B4409" s="7" t="s">
        <v>6713</v>
      </c>
      <c r="C4409" s="12">
        <v>3750</v>
      </c>
      <c r="D4409" s="7" t="s">
        <v>5551</v>
      </c>
      <c r="E4409" s="13" t="s">
        <v>5781</v>
      </c>
      <c r="F4409" t="str">
        <f t="shared" si="340"/>
        <v>Post</v>
      </c>
      <c r="G4409" t="str">
        <f t="shared" si="341"/>
        <v>Post3750Euless</v>
      </c>
      <c r="H4409" t="s">
        <v>35266</v>
      </c>
      <c r="I4409" t="s">
        <v>26689</v>
      </c>
      <c r="J4409" t="str">
        <f t="shared" si="342"/>
        <v>E:\PropInv\MF</v>
      </c>
      <c r="K4409" s="103" t="str">
        <f>HYPERLINK("E:\PropInv\MF\Euless\Post Oak_3750_Hillcrest_Euless_14402","Post Oak_3750_Hillcrest_Euless_14402" )</f>
        <v>Post Oak_3750_Hillcrest_Euless_14402</v>
      </c>
      <c r="L4409" s="104" t="s">
        <v>22253</v>
      </c>
      <c r="M4409" s="103" t="str">
        <f t="shared" si="343"/>
        <v>http://oconnordata.com/mlink/modules/profile/index.cfm?action=profile&amp;prop_id=14402</v>
      </c>
      <c r="N4409" s="1">
        <f t="shared" si="344"/>
        <v>14402</v>
      </c>
    </row>
    <row r="4410" spans="1:14" x14ac:dyDescent="0.3">
      <c r="A4410" s="1">
        <v>14403</v>
      </c>
      <c r="B4410" s="7" t="s">
        <v>6714</v>
      </c>
      <c r="C4410" s="12">
        <v>300</v>
      </c>
      <c r="D4410" s="7" t="s">
        <v>5685</v>
      </c>
      <c r="E4410" s="13" t="s">
        <v>5014</v>
      </c>
      <c r="F4410" t="str">
        <f t="shared" si="340"/>
        <v>Crump</v>
      </c>
      <c r="G4410" t="str">
        <f t="shared" si="341"/>
        <v>Crump300Fort Worth</v>
      </c>
      <c r="H4410" t="s">
        <v>35267</v>
      </c>
      <c r="I4410" t="s">
        <v>26690</v>
      </c>
      <c r="J4410" t="str">
        <f t="shared" si="342"/>
        <v>E:\PropInv\MF</v>
      </c>
      <c r="K4410" s="103" t="str">
        <f>HYPERLINK("E:\PropInv\MF\Fort Worth\Crump St_300_Hillside_Fort Worth_14403","Crump St_300_Hillside_Fort Worth_14403" )</f>
        <v>Crump St_300_Hillside_Fort Worth_14403</v>
      </c>
      <c r="L4410" s="104" t="s">
        <v>22253</v>
      </c>
      <c r="M4410" s="103" t="str">
        <f t="shared" si="343"/>
        <v>http://oconnordata.com/mlink/modules/profile/index.cfm?action=profile&amp;prop_id=14403</v>
      </c>
      <c r="N4410" s="1">
        <f t="shared" si="344"/>
        <v>14403</v>
      </c>
    </row>
    <row r="4411" spans="1:14" x14ac:dyDescent="0.3">
      <c r="A4411" s="1">
        <v>14404</v>
      </c>
      <c r="B4411" s="7" t="s">
        <v>6686</v>
      </c>
      <c r="C4411" s="12">
        <v>410</v>
      </c>
      <c r="D4411" s="7" t="s">
        <v>6715</v>
      </c>
      <c r="E4411" s="13" t="s">
        <v>5014</v>
      </c>
      <c r="F4411" t="str">
        <f t="shared" si="340"/>
        <v>7th</v>
      </c>
      <c r="G4411" t="str">
        <f t="shared" si="341"/>
        <v>7th410Fort Worth</v>
      </c>
      <c r="H4411" t="s">
        <v>35268</v>
      </c>
      <c r="I4411" t="s">
        <v>26691</v>
      </c>
      <c r="J4411" t="str">
        <f t="shared" si="342"/>
        <v>E:\PropInv\MF</v>
      </c>
      <c r="K4411" s="103" t="str">
        <f>HYPERLINK("E:\PropInv\MF\Fort Worth\7th St W_410_Historic Electric Building_Fort Worth_14404","7th St W_410_Historic Electric Building_Fort Worth_14404" )</f>
        <v>7th St W_410_Historic Electric Building_Fort Worth_14404</v>
      </c>
      <c r="L4411" s="104" t="s">
        <v>22253</v>
      </c>
      <c r="M4411" s="103" t="str">
        <f t="shared" si="343"/>
        <v>http://oconnordata.com/mlink/modules/profile/index.cfm?action=profile&amp;prop_id=14404</v>
      </c>
      <c r="N4411" s="1">
        <f t="shared" si="344"/>
        <v>14404</v>
      </c>
    </row>
    <row r="4412" spans="1:14" x14ac:dyDescent="0.3">
      <c r="A4412" s="1">
        <v>14405</v>
      </c>
      <c r="B4412" s="10" t="s">
        <v>6716</v>
      </c>
      <c r="C4412" s="9">
        <v>112</v>
      </c>
      <c r="D4412" s="10" t="s">
        <v>6717</v>
      </c>
      <c r="E4412" s="11" t="s">
        <v>6555</v>
      </c>
      <c r="F4412" t="str">
        <f t="shared" si="340"/>
        <v>Holly</v>
      </c>
      <c r="G4412" t="str">
        <f t="shared" si="341"/>
        <v>Holly112Arlington</v>
      </c>
      <c r="H4412" t="s">
        <v>35269</v>
      </c>
      <c r="I4412" t="s">
        <v>26692</v>
      </c>
      <c r="J4412" t="str">
        <f t="shared" si="342"/>
        <v>E:\PropInv\MF</v>
      </c>
      <c r="K4412" s="103" t="str">
        <f>HYPERLINK("E:\PropInv\MF\Arlington\Holly Park Dr_112_Holly Park_Arlington_14405","Holly Park Dr_112_Holly Park_Arlington_14405" )</f>
        <v>Holly Park Dr_112_Holly Park_Arlington_14405</v>
      </c>
      <c r="L4412" s="104" t="s">
        <v>22253</v>
      </c>
      <c r="M4412" s="103" t="str">
        <f t="shared" si="343"/>
        <v>http://oconnordata.com/mlink/modules/profile/index.cfm?action=profile&amp;prop_id=14405</v>
      </c>
      <c r="N4412" s="1">
        <f t="shared" si="344"/>
        <v>14405</v>
      </c>
    </row>
    <row r="4413" spans="1:14" x14ac:dyDescent="0.3">
      <c r="A4413" s="1">
        <v>14406</v>
      </c>
      <c r="B4413" s="10" t="s">
        <v>6718</v>
      </c>
      <c r="C4413" s="9">
        <v>2504</v>
      </c>
      <c r="D4413" s="10" t="s">
        <v>6719</v>
      </c>
      <c r="E4413" s="11" t="s">
        <v>6555</v>
      </c>
      <c r="F4413" t="str">
        <f t="shared" si="340"/>
        <v>Ivy</v>
      </c>
      <c r="G4413" t="str">
        <f t="shared" si="341"/>
        <v>Ivy2504Arlington</v>
      </c>
      <c r="H4413" t="s">
        <v>35270</v>
      </c>
      <c r="I4413" t="s">
        <v>26693</v>
      </c>
      <c r="J4413" t="str">
        <f t="shared" si="342"/>
        <v>E:\PropInv\MF</v>
      </c>
      <c r="K4413" s="103" t="str">
        <f>HYPERLINK("E:\PropInv\MF\Arlington\Ivy Brook Ct_2504_Holly Ridge_Arlington_14406","Ivy Brook Ct_2504_Holly Ridge_Arlington_14406" )</f>
        <v>Ivy Brook Ct_2504_Holly Ridge_Arlington_14406</v>
      </c>
      <c r="L4413" s="104" t="s">
        <v>22253</v>
      </c>
      <c r="M4413" s="103" t="str">
        <f t="shared" si="343"/>
        <v>http://oconnordata.com/mlink/modules/profile/index.cfm?action=profile&amp;prop_id=14406</v>
      </c>
      <c r="N4413" s="1">
        <f t="shared" si="344"/>
        <v>14406</v>
      </c>
    </row>
    <row r="4414" spans="1:14" x14ac:dyDescent="0.3">
      <c r="A4414" s="1">
        <v>14407</v>
      </c>
      <c r="B4414" s="7" t="s">
        <v>6720</v>
      </c>
      <c r="C4414" s="12">
        <v>1015</v>
      </c>
      <c r="D4414" s="7" t="s">
        <v>6721</v>
      </c>
      <c r="E4414" s="13" t="s">
        <v>5014</v>
      </c>
      <c r="F4414" t="str">
        <f t="shared" si="340"/>
        <v>Jennings</v>
      </c>
      <c r="G4414" t="str">
        <f t="shared" si="341"/>
        <v>Jennings1015Fort Worth</v>
      </c>
      <c r="H4414" t="s">
        <v>35271</v>
      </c>
      <c r="I4414" t="s">
        <v>26694</v>
      </c>
      <c r="J4414" t="str">
        <f t="shared" si="342"/>
        <v>E:\PropInv\MF</v>
      </c>
      <c r="K4414" s="103" t="str">
        <f>HYPERLINK("E:\PropInv\MF\Fort Worth\Jennings Ave S_1015_Homes of Parker Commons_Fort Worth_14407","Jennings Ave S_1015_Homes of Parker Commons_Fort Worth_14407" )</f>
        <v>Jennings Ave S_1015_Homes of Parker Commons_Fort Worth_14407</v>
      </c>
      <c r="L4414" s="104" t="s">
        <v>22253</v>
      </c>
      <c r="M4414" s="103" t="str">
        <f t="shared" si="343"/>
        <v>http://oconnordata.com/mlink/modules/profile/index.cfm?action=profile&amp;prop_id=14407</v>
      </c>
      <c r="N4414" s="1">
        <f t="shared" si="344"/>
        <v>14407</v>
      </c>
    </row>
    <row r="4415" spans="1:14" x14ac:dyDescent="0.3">
      <c r="A4415" s="1">
        <v>14408</v>
      </c>
      <c r="B4415" s="7" t="s">
        <v>6722</v>
      </c>
      <c r="C4415" s="12">
        <v>5800</v>
      </c>
      <c r="D4415" s="7" t="s">
        <v>6723</v>
      </c>
      <c r="E4415" s="13" t="s">
        <v>5014</v>
      </c>
      <c r="F4415" t="str">
        <f t="shared" si="340"/>
        <v>Sandshell</v>
      </c>
      <c r="G4415" t="str">
        <f t="shared" si="341"/>
        <v>Sandshell5800Fort Worth</v>
      </c>
      <c r="H4415" t="s">
        <v>35272</v>
      </c>
      <c r="I4415" t="s">
        <v>26695</v>
      </c>
      <c r="J4415" t="str">
        <f t="shared" si="342"/>
        <v>E:\PropInv\MF</v>
      </c>
      <c r="K4415" s="103" t="str">
        <f>HYPERLINK("E:\PropInv\MF\Fort Worth\Sandshell Dr_5800_The Horizons at Fossil Creek_Fort Worth_14408","Sandshell Dr_5800_The Horizons at Fossil Creek_Fort Worth_14408" )</f>
        <v>Sandshell Dr_5800_The Horizons at Fossil Creek_Fort Worth_14408</v>
      </c>
      <c r="L4415" s="104" t="s">
        <v>22253</v>
      </c>
      <c r="M4415" s="103" t="str">
        <f t="shared" si="343"/>
        <v>http://oconnordata.com/mlink/modules/profile/index.cfm?action=profile&amp;prop_id=14408</v>
      </c>
      <c r="N4415" s="1">
        <f t="shared" si="344"/>
        <v>14408</v>
      </c>
    </row>
    <row r="4416" spans="1:14" x14ac:dyDescent="0.3">
      <c r="A4416" s="1">
        <v>14409</v>
      </c>
      <c r="B4416" s="7" t="s">
        <v>6548</v>
      </c>
      <c r="C4416" s="12">
        <v>5700</v>
      </c>
      <c r="D4416" s="7" t="s">
        <v>6724</v>
      </c>
      <c r="E4416" s="13" t="s">
        <v>5014</v>
      </c>
      <c r="F4416" t="str">
        <f t="shared" si="340"/>
        <v>Hulen</v>
      </c>
      <c r="G4416" t="str">
        <f t="shared" si="341"/>
        <v>Hulen5700Fort Worth</v>
      </c>
      <c r="H4416" t="s">
        <v>35273</v>
      </c>
      <c r="I4416" t="s">
        <v>26696</v>
      </c>
      <c r="J4416" t="str">
        <f t="shared" si="342"/>
        <v>E:\PropInv\MF</v>
      </c>
      <c r="K4416" s="103" t="str">
        <f>HYPERLINK("E:\PropInv\MF\Fort Worth\Hulen S_5700_Hulen Oaks_Fort Worth_14409","Hulen S_5700_Hulen Oaks_Fort Worth_14409" )</f>
        <v>Hulen S_5700_Hulen Oaks_Fort Worth_14409</v>
      </c>
      <c r="L4416" s="104" t="s">
        <v>22253</v>
      </c>
      <c r="M4416" s="103" t="str">
        <f t="shared" si="343"/>
        <v>http://oconnordata.com/mlink/modules/profile/index.cfm?action=profile&amp;prop_id=14409</v>
      </c>
      <c r="N4416" s="1">
        <f t="shared" si="344"/>
        <v>14409</v>
      </c>
    </row>
    <row r="4417" spans="1:14" x14ac:dyDescent="0.3">
      <c r="A4417" s="1">
        <v>14410</v>
      </c>
      <c r="B4417" s="7" t="s">
        <v>6725</v>
      </c>
      <c r="C4417" s="12">
        <v>1001</v>
      </c>
      <c r="D4417" s="7" t="s">
        <v>208</v>
      </c>
      <c r="E4417" s="13" t="s">
        <v>5781</v>
      </c>
      <c r="F4417" t="str">
        <f t="shared" si="340"/>
        <v>Fuller</v>
      </c>
      <c r="G4417" t="str">
        <f t="shared" si="341"/>
        <v>Fuller1001Euless</v>
      </c>
      <c r="H4417" t="s">
        <v>35274</v>
      </c>
      <c r="I4417" t="s">
        <v>26697</v>
      </c>
      <c r="J4417" t="str">
        <f t="shared" si="342"/>
        <v>E:\PropInv\MF</v>
      </c>
      <c r="K4417" s="103" t="str">
        <f>HYPERLINK("E:\PropInv\MF\Euless\Fuller Wiser Rd_1001_Hunt Club_Euless_14410","Fuller Wiser Rd_1001_Hunt Club_Euless_14410" )</f>
        <v>Fuller Wiser Rd_1001_Hunt Club_Euless_14410</v>
      </c>
      <c r="L4417" s="104" t="s">
        <v>22253</v>
      </c>
      <c r="M4417" s="103" t="str">
        <f t="shared" si="343"/>
        <v>http://oconnordata.com/mlink/modules/profile/index.cfm?action=profile&amp;prop_id=14410</v>
      </c>
      <c r="N4417" s="1">
        <f t="shared" si="344"/>
        <v>14410</v>
      </c>
    </row>
    <row r="4418" spans="1:14" x14ac:dyDescent="0.3">
      <c r="A4418" s="1">
        <v>14411</v>
      </c>
      <c r="B4418" s="7" t="s">
        <v>6584</v>
      </c>
      <c r="C4418" s="12">
        <v>1805</v>
      </c>
      <c r="D4418" s="7" t="s">
        <v>6726</v>
      </c>
      <c r="E4418" s="13" t="s">
        <v>6555</v>
      </c>
      <c r="F4418" t="str">
        <f t="shared" ref="F4418:F4481" si="345">IFERROR(LEFT(B4418,FIND(" ",B4418)-1),B4418)</f>
        <v>Green</v>
      </c>
      <c r="G4418" t="str">
        <f t="shared" ref="G4418:G4481" si="346">F4418&amp;C4418&amp;E4418</f>
        <v>Green1805Arlington</v>
      </c>
      <c r="H4418" t="s">
        <v>35275</v>
      </c>
      <c r="I4418" t="s">
        <v>26698</v>
      </c>
      <c r="J4418" t="str">
        <f t="shared" ref="J4418:J4481" si="347">IF(L4418="TX",Folder_Path,Folder_Path&amp;"\State_"&amp;L4418)</f>
        <v>E:\PropInv\MF</v>
      </c>
      <c r="K4418" s="103" t="str">
        <f>HYPERLINK("E:\PropInv\MF\Arlington\Green Oaks Blvd NE_1805_Hunter's Point_Arlington_14411","Green Oaks Blvd NE_1805_Hunter's Point_Arlington_14411" )</f>
        <v>Green Oaks Blvd NE_1805_Hunter's Point_Arlington_14411</v>
      </c>
      <c r="L4418" s="104" t="s">
        <v>22253</v>
      </c>
      <c r="M4418" s="103" t="str">
        <f t="shared" ref="M4418:M4481" si="348">HYPERLINK("http://oconnordata.com/mlink/modules/profile/index.cfm?action=profile&amp;prop_id="&amp;A4418)</f>
        <v>http://oconnordata.com/mlink/modules/profile/index.cfm?action=profile&amp;prop_id=14411</v>
      </c>
      <c r="N4418" s="1">
        <f t="shared" ref="N4418:N4481" si="349">IF(LEN(A4418)=1,"0000"&amp;A4418,IF(LEN(A4418)=2,"000"&amp;A4418,IF(LEN(A4418)=3,"00"&amp;A4418,IF(LEN(A4418)=4,"0"&amp;A4418,IF(LEN(A4418)=5,IF(LEFT(A4418,1)="3",A4418+30000,A4418))))))</f>
        <v>14411</v>
      </c>
    </row>
    <row r="4419" spans="1:14" x14ac:dyDescent="0.3">
      <c r="A4419" s="1">
        <v>14412</v>
      </c>
      <c r="B4419" s="7" t="s">
        <v>6727</v>
      </c>
      <c r="C4419" s="12">
        <v>425</v>
      </c>
      <c r="D4419" s="7" t="s">
        <v>6728</v>
      </c>
      <c r="E4419" s="13" t="s">
        <v>6555</v>
      </c>
      <c r="F4419" t="str">
        <f t="shared" si="345"/>
        <v>Lamar</v>
      </c>
      <c r="G4419" t="str">
        <f t="shared" si="346"/>
        <v>Lamar425Arlington</v>
      </c>
      <c r="H4419" t="s">
        <v>35276</v>
      </c>
      <c r="I4419" t="s">
        <v>26699</v>
      </c>
      <c r="J4419" t="str">
        <f t="shared" si="347"/>
        <v>E:\PropInv\MF</v>
      </c>
      <c r="K4419" s="103" t="str">
        <f>HYPERLINK("E:\PropInv\MF\Arlington\Lamar E_425_Huntington Chase_Arlington_14412","Lamar E_425_Huntington Chase_Arlington_14412" )</f>
        <v>Lamar E_425_Huntington Chase_Arlington_14412</v>
      </c>
      <c r="L4419" s="104" t="s">
        <v>22253</v>
      </c>
      <c r="M4419" s="103" t="str">
        <f t="shared" si="348"/>
        <v>http://oconnordata.com/mlink/modules/profile/index.cfm?action=profile&amp;prop_id=14412</v>
      </c>
      <c r="N4419" s="1">
        <f t="shared" si="349"/>
        <v>14412</v>
      </c>
    </row>
    <row r="4420" spans="1:14" x14ac:dyDescent="0.3">
      <c r="A4420" s="1">
        <v>14413</v>
      </c>
      <c r="B4420" s="7" t="s">
        <v>6680</v>
      </c>
      <c r="C4420" s="12">
        <v>2900</v>
      </c>
      <c r="D4420" s="7" t="s">
        <v>3417</v>
      </c>
      <c r="E4420" s="13" t="s">
        <v>4942</v>
      </c>
      <c r="F4420" t="str">
        <f t="shared" si="345"/>
        <v>Harwood</v>
      </c>
      <c r="G4420" t="str">
        <f t="shared" si="346"/>
        <v>Harwood2900Bedford</v>
      </c>
      <c r="H4420" t="s">
        <v>35277</v>
      </c>
      <c r="I4420" t="s">
        <v>26700</v>
      </c>
      <c r="J4420" t="str">
        <f t="shared" si="347"/>
        <v>E:\PropInv\MF</v>
      </c>
      <c r="K4420" s="103" t="str">
        <f>HYPERLINK("E:\PropInv\MF\Bedford\Harwood Rd_2900_Huntington Glen_Bedford_14413","Harwood Rd_2900_Huntington Glen_Bedford_14413" )</f>
        <v>Harwood Rd_2900_Huntington Glen_Bedford_14413</v>
      </c>
      <c r="L4420" s="104" t="s">
        <v>22253</v>
      </c>
      <c r="M4420" s="103" t="str">
        <f t="shared" si="348"/>
        <v>http://oconnordata.com/mlink/modules/profile/index.cfm?action=profile&amp;prop_id=14413</v>
      </c>
      <c r="N4420" s="1">
        <f t="shared" si="349"/>
        <v>14413</v>
      </c>
    </row>
    <row r="4421" spans="1:14" x14ac:dyDescent="0.3">
      <c r="A4421" s="1">
        <v>14414</v>
      </c>
      <c r="B4421" s="10" t="s">
        <v>6729</v>
      </c>
      <c r="C4421" s="9">
        <v>300</v>
      </c>
      <c r="D4421" s="10" t="s">
        <v>6730</v>
      </c>
      <c r="E4421" s="11" t="s">
        <v>6672</v>
      </c>
      <c r="F4421" t="str">
        <f t="shared" si="345"/>
        <v>Bourland</v>
      </c>
      <c r="G4421" t="str">
        <f t="shared" si="346"/>
        <v>Bourland300Keller</v>
      </c>
      <c r="H4421" t="s">
        <v>35278</v>
      </c>
      <c r="I4421" t="s">
        <v>26701</v>
      </c>
      <c r="J4421" t="str">
        <f t="shared" si="347"/>
        <v>E:\PropInv\MF</v>
      </c>
      <c r="K4421" s="103" t="str">
        <f>HYPERLINK("E:\PropInv\MF\Keller\Bourland Rd_300_Lakes of Stone Glen_Keller_14414","Bourland Rd_300_Lakes of Stone Glen_Keller_14414" )</f>
        <v>Bourland Rd_300_Lakes of Stone Glen_Keller_14414</v>
      </c>
      <c r="L4421" s="104" t="s">
        <v>22253</v>
      </c>
      <c r="M4421" s="103" t="str">
        <f t="shared" si="348"/>
        <v>http://oconnordata.com/mlink/modules/profile/index.cfm?action=profile&amp;prop_id=14414</v>
      </c>
      <c r="N4421" s="1">
        <f t="shared" si="349"/>
        <v>14414</v>
      </c>
    </row>
    <row r="4422" spans="1:14" x14ac:dyDescent="0.3">
      <c r="A4422" s="1">
        <v>14415</v>
      </c>
      <c r="B4422" s="10" t="s">
        <v>6731</v>
      </c>
      <c r="C4422" s="9">
        <v>6501</v>
      </c>
      <c r="D4422" s="10" t="s">
        <v>234</v>
      </c>
      <c r="E4422" s="11" t="s">
        <v>5014</v>
      </c>
      <c r="F4422" t="str">
        <f t="shared" si="345"/>
        <v>Shady</v>
      </c>
      <c r="G4422" t="str">
        <f t="shared" si="346"/>
        <v>Shady6501Fort Worth</v>
      </c>
      <c r="H4422" t="s">
        <v>35279</v>
      </c>
      <c r="I4422" t="s">
        <v>26702</v>
      </c>
      <c r="J4422" t="str">
        <f t="shared" si="347"/>
        <v>E:\PropInv\MF</v>
      </c>
      <c r="K4422" s="103" t="str">
        <f>HYPERLINK("E:\PropInv\MF\Fort Worth\Shady Oaks Manor Dr_6501_Lakeview_Fort Worth_14415","Shady Oaks Manor Dr_6501_Lakeview_Fort Worth_14415" )</f>
        <v>Shady Oaks Manor Dr_6501_Lakeview_Fort Worth_14415</v>
      </c>
      <c r="L4422" s="104" t="s">
        <v>22253</v>
      </c>
      <c r="M4422" s="103" t="str">
        <f t="shared" si="348"/>
        <v>http://oconnordata.com/mlink/modules/profile/index.cfm?action=profile&amp;prop_id=14415</v>
      </c>
      <c r="N4422" s="1">
        <f t="shared" si="349"/>
        <v>14415</v>
      </c>
    </row>
    <row r="4423" spans="1:14" x14ac:dyDescent="0.3">
      <c r="A4423" s="1">
        <v>14416</v>
      </c>
      <c r="B4423" s="7" t="s">
        <v>6732</v>
      </c>
      <c r="C4423" s="12">
        <v>5101</v>
      </c>
      <c r="D4423" s="7" t="s">
        <v>6733</v>
      </c>
      <c r="E4423" s="13" t="s">
        <v>6581</v>
      </c>
      <c r="F4423" t="str">
        <f t="shared" si="345"/>
        <v>Springlake</v>
      </c>
      <c r="G4423" t="str">
        <f t="shared" si="346"/>
        <v>Springlake5101Haltom City</v>
      </c>
      <c r="H4423" t="s">
        <v>35280</v>
      </c>
      <c r="I4423" t="s">
        <v>26703</v>
      </c>
      <c r="J4423" t="str">
        <f t="shared" si="347"/>
        <v>E:\PropInv\MF</v>
      </c>
      <c r="K4423" s="103" t="str">
        <f>HYPERLINK("E:\PropInv\MF\Haltom City\Springlake Pkwy_5101_Lakeview Terrace_Haltom City_14416","Springlake Pkwy_5101_Lakeview Terrace_Haltom City_14416" )</f>
        <v>Springlake Pkwy_5101_Lakeview Terrace_Haltom City_14416</v>
      </c>
      <c r="L4423" s="104" t="s">
        <v>22253</v>
      </c>
      <c r="M4423" s="103" t="str">
        <f t="shared" si="348"/>
        <v>http://oconnordata.com/mlink/modules/profile/index.cfm?action=profile&amp;prop_id=14416</v>
      </c>
      <c r="N4423" s="1">
        <f t="shared" si="349"/>
        <v>14416</v>
      </c>
    </row>
    <row r="4424" spans="1:14" x14ac:dyDescent="0.3">
      <c r="A4424" s="1">
        <v>14417</v>
      </c>
      <c r="B4424" s="7" t="s">
        <v>6734</v>
      </c>
      <c r="C4424" s="12">
        <v>1130</v>
      </c>
      <c r="D4424" s="7" t="s">
        <v>6735</v>
      </c>
      <c r="E4424" s="13" t="s">
        <v>5781</v>
      </c>
      <c r="F4424" t="str">
        <f t="shared" si="345"/>
        <v>Bear</v>
      </c>
      <c r="G4424" t="str">
        <f t="shared" si="346"/>
        <v>Bear1130Euless</v>
      </c>
      <c r="H4424" t="s">
        <v>35281</v>
      </c>
      <c r="I4424" t="s">
        <v>26704</v>
      </c>
      <c r="J4424" t="str">
        <f t="shared" si="347"/>
        <v>E:\PropInv\MF</v>
      </c>
      <c r="K4424" s="103" t="str">
        <f>HYPERLINK("E:\PropInv\MF\Euless\Bear Creek Pkwy_1130_The Landing at Bear Creek_Euless_14417","Bear Creek Pkwy_1130_The Landing at Bear Creek_Euless_14417" )</f>
        <v>Bear Creek Pkwy_1130_The Landing at Bear Creek_Euless_14417</v>
      </c>
      <c r="L4424" s="104" t="s">
        <v>22253</v>
      </c>
      <c r="M4424" s="103" t="str">
        <f t="shared" si="348"/>
        <v>http://oconnordata.com/mlink/modules/profile/index.cfm?action=profile&amp;prop_id=14417</v>
      </c>
      <c r="N4424" s="1">
        <f t="shared" si="349"/>
        <v>14417</v>
      </c>
    </row>
    <row r="4425" spans="1:14" x14ac:dyDescent="0.3">
      <c r="A4425" s="1">
        <v>14418</v>
      </c>
      <c r="B4425" s="7" t="s">
        <v>6584</v>
      </c>
      <c r="C4425" s="12">
        <v>1901</v>
      </c>
      <c r="D4425" s="7" t="s">
        <v>6736</v>
      </c>
      <c r="E4425" s="13" t="s">
        <v>6555</v>
      </c>
      <c r="F4425" t="str">
        <f t="shared" si="345"/>
        <v>Green</v>
      </c>
      <c r="G4425" t="str">
        <f t="shared" si="346"/>
        <v>Green1901Arlington</v>
      </c>
      <c r="H4425" t="s">
        <v>35282</v>
      </c>
      <c r="I4425" t="s">
        <v>26705</v>
      </c>
      <c r="J4425" t="str">
        <f t="shared" si="347"/>
        <v>E:\PropInv\MF</v>
      </c>
      <c r="K4425" s="103" t="str">
        <f>HYPERLINK("E:\PropInv\MF\Arlington\Green Oaks Blvd NE_1901_Legacy Point TH_Arlington_14418","Green Oaks Blvd NE_1901_Legacy Point TH_Arlington_14418" )</f>
        <v>Green Oaks Blvd NE_1901_Legacy Point TH_Arlington_14418</v>
      </c>
      <c r="L4425" s="104" t="s">
        <v>22253</v>
      </c>
      <c r="M4425" s="103" t="str">
        <f t="shared" si="348"/>
        <v>http://oconnordata.com/mlink/modules/profile/index.cfm?action=profile&amp;prop_id=14418</v>
      </c>
      <c r="N4425" s="1">
        <f t="shared" si="349"/>
        <v>14418</v>
      </c>
    </row>
    <row r="4426" spans="1:14" x14ac:dyDescent="0.3">
      <c r="A4426" s="1">
        <v>14419</v>
      </c>
      <c r="B4426" s="7" t="s">
        <v>6534</v>
      </c>
      <c r="C4426" s="12">
        <v>9385</v>
      </c>
      <c r="D4426" s="7" t="s">
        <v>6737</v>
      </c>
      <c r="E4426" s="13" t="s">
        <v>5014</v>
      </c>
      <c r="F4426" t="str">
        <f t="shared" si="345"/>
        <v>Boat</v>
      </c>
      <c r="G4426" t="str">
        <f t="shared" si="346"/>
        <v>Boat9385Fort Worth</v>
      </c>
      <c r="H4426" t="s">
        <v>35283</v>
      </c>
      <c r="I4426" t="s">
        <v>26706</v>
      </c>
      <c r="J4426" t="str">
        <f t="shared" si="347"/>
        <v>E:\PropInv\MF</v>
      </c>
      <c r="K4426" s="103" t="str">
        <f>HYPERLINK("E:\PropInv\MF\Fort Worth\Boat Club Rd_9385_Legends at Eagle Mountain Lake_Fort Worth_14419","Boat Club Rd_9385_Legends at Eagle Mountain Lake_Fort Worth_14419" )</f>
        <v>Boat Club Rd_9385_Legends at Eagle Mountain Lake_Fort Worth_14419</v>
      </c>
      <c r="L4426" s="104" t="s">
        <v>22253</v>
      </c>
      <c r="M4426" s="103" t="str">
        <f t="shared" si="348"/>
        <v>http://oconnordata.com/mlink/modules/profile/index.cfm?action=profile&amp;prop_id=14419</v>
      </c>
      <c r="N4426" s="1">
        <f t="shared" si="349"/>
        <v>14419</v>
      </c>
    </row>
    <row r="4427" spans="1:14" x14ac:dyDescent="0.3">
      <c r="A4427" s="1">
        <v>14420</v>
      </c>
      <c r="B4427" s="7" t="s">
        <v>6738</v>
      </c>
      <c r="C4427" s="12">
        <v>2551</v>
      </c>
      <c r="D4427" s="7" t="s">
        <v>6739</v>
      </c>
      <c r="E4427" s="13" t="s">
        <v>6578</v>
      </c>
      <c r="F4427" t="str">
        <f t="shared" si="345"/>
        <v>Hall</v>
      </c>
      <c r="G4427" t="str">
        <f t="shared" si="346"/>
        <v>Hall2551Grapevine</v>
      </c>
      <c r="H4427" t="s">
        <v>35284</v>
      </c>
      <c r="I4427" t="s">
        <v>26707</v>
      </c>
      <c r="J4427" t="str">
        <f t="shared" si="347"/>
        <v>E:\PropInv\MF</v>
      </c>
      <c r="K4427" s="103" t="str">
        <f>HYPERLINK("E:\PropInv\MF\Grapevine\Hall Johnson Rd_2551_Lincoln Vineyards_Grapevine_14420","Hall Johnson Rd_2551_Lincoln Vineyards_Grapevine_14420" )</f>
        <v>Hall Johnson Rd_2551_Lincoln Vineyards_Grapevine_14420</v>
      </c>
      <c r="L4427" s="104" t="s">
        <v>22253</v>
      </c>
      <c r="M4427" s="103" t="str">
        <f t="shared" si="348"/>
        <v>http://oconnordata.com/mlink/modules/profile/index.cfm?action=profile&amp;prop_id=14420</v>
      </c>
      <c r="N4427" s="1">
        <f t="shared" si="349"/>
        <v>14420</v>
      </c>
    </row>
    <row r="4428" spans="1:14" x14ac:dyDescent="0.3">
      <c r="A4428" s="1">
        <v>14421</v>
      </c>
      <c r="B4428" s="7" t="s">
        <v>6740</v>
      </c>
      <c r="C4428" s="12">
        <v>3101</v>
      </c>
      <c r="D4428" s="7" t="s">
        <v>6741</v>
      </c>
      <c r="E4428" s="13" t="s">
        <v>5014</v>
      </c>
      <c r="F4428" t="str">
        <f t="shared" si="345"/>
        <v>River</v>
      </c>
      <c r="G4428" t="str">
        <f t="shared" si="346"/>
        <v>River3101Fort Worth</v>
      </c>
      <c r="H4428" t="s">
        <v>35285</v>
      </c>
      <c r="I4428" t="s">
        <v>26708</v>
      </c>
      <c r="J4428" t="str">
        <f t="shared" si="347"/>
        <v>E:\PropInv\MF</v>
      </c>
      <c r="K4428" s="103" t="str">
        <f>HYPERLINK("E:\PropInv\MF\Fort Worth\River Park Dr_3101_The Lodge at River Park_Fort Worth_14421","River Park Dr_3101_The Lodge at River Park_Fort Worth_14421" )</f>
        <v>River Park Dr_3101_The Lodge at River Park_Fort Worth_14421</v>
      </c>
      <c r="L4428" s="104" t="s">
        <v>22253</v>
      </c>
      <c r="M4428" s="103" t="str">
        <f t="shared" si="348"/>
        <v>http://oconnordata.com/mlink/modules/profile/index.cfm?action=profile&amp;prop_id=14421</v>
      </c>
      <c r="N4428" s="1">
        <f t="shared" si="349"/>
        <v>14421</v>
      </c>
    </row>
    <row r="4429" spans="1:14" x14ac:dyDescent="0.3">
      <c r="A4429" s="1">
        <v>14422</v>
      </c>
      <c r="B4429" s="7" t="s">
        <v>6742</v>
      </c>
      <c r="C4429" s="12">
        <v>13450</v>
      </c>
      <c r="D4429" s="7" t="s">
        <v>6743</v>
      </c>
      <c r="E4429" s="13" t="s">
        <v>5014</v>
      </c>
      <c r="F4429" t="str">
        <f t="shared" si="345"/>
        <v>Alta</v>
      </c>
      <c r="G4429" t="str">
        <f t="shared" si="346"/>
        <v>Alta13450Fort Worth</v>
      </c>
      <c r="H4429" t="s">
        <v>35286</v>
      </c>
      <c r="I4429" t="s">
        <v>26709</v>
      </c>
      <c r="J4429" t="str">
        <f t="shared" si="347"/>
        <v>E:\PropInv\MF</v>
      </c>
      <c r="K4429" s="103" t="str">
        <f>HYPERLINK("E:\PropInv\MF\Fort Worth\Alta Vista Rd_13450_Lost Spurs Ranch_Fort Worth_14422","Alta Vista Rd_13450_Lost Spurs Ranch_Fort Worth_14422" )</f>
        <v>Alta Vista Rd_13450_Lost Spurs Ranch_Fort Worth_14422</v>
      </c>
      <c r="L4429" s="104" t="s">
        <v>22253</v>
      </c>
      <c r="M4429" s="103" t="str">
        <f t="shared" si="348"/>
        <v>http://oconnordata.com/mlink/modules/profile/index.cfm?action=profile&amp;prop_id=14422</v>
      </c>
      <c r="N4429" s="1">
        <f t="shared" si="349"/>
        <v>14422</v>
      </c>
    </row>
    <row r="4430" spans="1:14" x14ac:dyDescent="0.3">
      <c r="A4430" s="1">
        <v>14423</v>
      </c>
      <c r="B4430" s="7" t="s">
        <v>6744</v>
      </c>
      <c r="C4430" s="12">
        <v>2525</v>
      </c>
      <c r="D4430" s="7" t="s">
        <v>1815</v>
      </c>
      <c r="E4430" s="13" t="s">
        <v>5781</v>
      </c>
      <c r="F4430" t="str">
        <f t="shared" si="345"/>
        <v>360</v>
      </c>
      <c r="G4430" t="str">
        <f t="shared" si="346"/>
        <v>3602525Euless</v>
      </c>
      <c r="H4430" t="s">
        <v>35287</v>
      </c>
      <c r="I4430" t="s">
        <v>26710</v>
      </c>
      <c r="J4430" t="str">
        <f t="shared" si="347"/>
        <v>E:\PropInv\MF</v>
      </c>
      <c r="K4430" s="103" t="str">
        <f>HYPERLINK("E:\PropInv\MF\Euless\360 Hwy_2525_The Mandolin_Euless_14423","360 Hwy_2525_The Mandolin_Euless_14423" )</f>
        <v>360 Hwy_2525_The Mandolin_Euless_14423</v>
      </c>
      <c r="L4430" s="104" t="s">
        <v>22253</v>
      </c>
      <c r="M4430" s="103" t="str">
        <f t="shared" si="348"/>
        <v>http://oconnordata.com/mlink/modules/profile/index.cfm?action=profile&amp;prop_id=14423</v>
      </c>
      <c r="N4430" s="1">
        <f t="shared" si="349"/>
        <v>14423</v>
      </c>
    </row>
    <row r="4431" spans="1:14" x14ac:dyDescent="0.3">
      <c r="A4431" s="1">
        <v>14424</v>
      </c>
      <c r="B4431" s="7" t="s">
        <v>6745</v>
      </c>
      <c r="C4431" s="12">
        <v>2400</v>
      </c>
      <c r="D4431" s="7" t="s">
        <v>6746</v>
      </c>
      <c r="E4431" s="13" t="s">
        <v>6747</v>
      </c>
      <c r="F4431" t="str">
        <f t="shared" si="345"/>
        <v>121</v>
      </c>
      <c r="G4431" t="str">
        <f t="shared" si="346"/>
        <v>1212400Colleyville</v>
      </c>
      <c r="H4431" t="s">
        <v>35288</v>
      </c>
      <c r="I4431" t="s">
        <v>26711</v>
      </c>
      <c r="J4431" t="str">
        <f t="shared" si="347"/>
        <v>E:\PropInv\MF</v>
      </c>
      <c r="K4431" s="103" t="str">
        <f>HYPERLINK("E:\PropInv\MF\Colleyville\121 SH_2400_Regency by the Vineyard_Colleyville_14424","121 SH_2400_Regency by the Vineyard_Colleyville_14424" )</f>
        <v>121 SH_2400_Regency by the Vineyard_Colleyville_14424</v>
      </c>
      <c r="L4431" s="104" t="s">
        <v>22253</v>
      </c>
      <c r="M4431" s="103" t="str">
        <f t="shared" si="348"/>
        <v>http://oconnordata.com/mlink/modules/profile/index.cfm?action=profile&amp;prop_id=14424</v>
      </c>
      <c r="N4431" s="1">
        <f t="shared" si="349"/>
        <v>14424</v>
      </c>
    </row>
    <row r="4432" spans="1:14" x14ac:dyDescent="0.3">
      <c r="A4432" s="1">
        <v>14425</v>
      </c>
      <c r="B4432" s="7" t="s">
        <v>6748</v>
      </c>
      <c r="C4432" s="12">
        <v>4500</v>
      </c>
      <c r="D4432" s="7" t="s">
        <v>6749</v>
      </c>
      <c r="E4432" s="13" t="s">
        <v>5014</v>
      </c>
      <c r="F4432" t="str">
        <f t="shared" si="345"/>
        <v>Marine</v>
      </c>
      <c r="G4432" t="str">
        <f t="shared" si="346"/>
        <v>Marine4500Fort Worth</v>
      </c>
      <c r="H4432" t="s">
        <v>35289</v>
      </c>
      <c r="I4432" t="s">
        <v>26712</v>
      </c>
      <c r="J4432" t="str">
        <f t="shared" si="347"/>
        <v>E:\PropInv\MF</v>
      </c>
      <c r="K4432" s="103" t="str">
        <f>HYPERLINK("E:\PropInv\MF\Fort Worth\Marine Creek Pkwy_4500_Marine Creek_Fort Worth_14425","Marine Creek Pkwy_4500_Marine Creek_Fort Worth_14425" )</f>
        <v>Marine Creek Pkwy_4500_Marine Creek_Fort Worth_14425</v>
      </c>
      <c r="L4432" s="104" t="s">
        <v>22253</v>
      </c>
      <c r="M4432" s="103" t="str">
        <f t="shared" si="348"/>
        <v>http://oconnordata.com/mlink/modules/profile/index.cfm?action=profile&amp;prop_id=14425</v>
      </c>
      <c r="N4432" s="1">
        <f t="shared" si="349"/>
        <v>14425</v>
      </c>
    </row>
    <row r="4433" spans="1:14" x14ac:dyDescent="0.3">
      <c r="A4433" s="1">
        <v>14426</v>
      </c>
      <c r="B4433" s="7" t="s">
        <v>6750</v>
      </c>
      <c r="C4433" s="12">
        <v>2100</v>
      </c>
      <c r="D4433" s="7" t="s">
        <v>6751</v>
      </c>
      <c r="E4433" s="13" t="s">
        <v>5014</v>
      </c>
      <c r="F4433" t="str">
        <f t="shared" si="345"/>
        <v>820</v>
      </c>
      <c r="G4433" t="str">
        <f t="shared" si="346"/>
        <v>8202100Fort Worth</v>
      </c>
      <c r="H4433" t="s">
        <v>35290</v>
      </c>
      <c r="I4433" t="s">
        <v>26713</v>
      </c>
      <c r="J4433" t="str">
        <f t="shared" si="347"/>
        <v>E:\PropInv\MF</v>
      </c>
      <c r="K4433" s="103" t="str">
        <f>HYPERLINK("E:\PropInv\MF\Fort Worth\820 Loop E_2100_Brentwood_Fort Worth_14426","820 Loop E_2100_Brentwood_Fort Worth_14426" )</f>
        <v>820 Loop E_2100_Brentwood_Fort Worth_14426</v>
      </c>
      <c r="L4433" s="104" t="s">
        <v>22253</v>
      </c>
      <c r="M4433" s="103" t="str">
        <f t="shared" si="348"/>
        <v>http://oconnordata.com/mlink/modules/profile/index.cfm?action=profile&amp;prop_id=14426</v>
      </c>
      <c r="N4433" s="1">
        <f t="shared" si="349"/>
        <v>14426</v>
      </c>
    </row>
    <row r="4434" spans="1:14" x14ac:dyDescent="0.3">
      <c r="A4434" s="1">
        <v>14427</v>
      </c>
      <c r="B4434" s="7" t="s">
        <v>6752</v>
      </c>
      <c r="C4434" s="12">
        <v>1400</v>
      </c>
      <c r="D4434" s="7" t="s">
        <v>6753</v>
      </c>
      <c r="E4434" s="13" t="s">
        <v>4942</v>
      </c>
      <c r="F4434" t="str">
        <f t="shared" si="345"/>
        <v>Sierra</v>
      </c>
      <c r="G4434" t="str">
        <f t="shared" si="346"/>
        <v>Sierra1400Bedford</v>
      </c>
      <c r="H4434" t="s">
        <v>35291</v>
      </c>
      <c r="I4434" t="s">
        <v>26714</v>
      </c>
      <c r="J4434" t="str">
        <f t="shared" si="347"/>
        <v>E:\PropInv\MF</v>
      </c>
      <c r="K4434" s="103" t="str">
        <f>HYPERLINK("E:\PropInv\MF\Bedford\Sierra Springs Dr_1400_Meadows of Bedford I_Bedford_14427","Sierra Springs Dr_1400_Meadows of Bedford I_Bedford_14427" )</f>
        <v>Sierra Springs Dr_1400_Meadows of Bedford I_Bedford_14427</v>
      </c>
      <c r="L4434" s="104" t="s">
        <v>22253</v>
      </c>
      <c r="M4434" s="103" t="str">
        <f t="shared" si="348"/>
        <v>http://oconnordata.com/mlink/modules/profile/index.cfm?action=profile&amp;prop_id=14427</v>
      </c>
      <c r="N4434" s="1">
        <f t="shared" si="349"/>
        <v>14427</v>
      </c>
    </row>
    <row r="4435" spans="1:14" x14ac:dyDescent="0.3">
      <c r="A4435" s="1">
        <v>14428</v>
      </c>
      <c r="B4435" s="7" t="s">
        <v>6754</v>
      </c>
      <c r="C4435" s="12">
        <v>2801</v>
      </c>
      <c r="D4435" s="7" t="s">
        <v>6755</v>
      </c>
      <c r="E4435" s="13" t="s">
        <v>4942</v>
      </c>
      <c r="F4435" t="str">
        <f t="shared" si="345"/>
        <v>Airport</v>
      </c>
      <c r="G4435" t="str">
        <f t="shared" si="346"/>
        <v>Airport2801Bedford</v>
      </c>
      <c r="H4435" t="s">
        <v>35292</v>
      </c>
      <c r="I4435" t="s">
        <v>26715</v>
      </c>
      <c r="J4435" t="str">
        <f t="shared" si="347"/>
        <v>E:\PropInv\MF</v>
      </c>
      <c r="K4435" s="103" t="str">
        <f>HYPERLINK("E:\PropInv\MF\Bedford\Airport Fwy_2801_Colonial Village at Willow Creek_Bedford_14428","Airport Fwy_2801_Colonial Village at Willow Creek_Bedford_14428" )</f>
        <v>Airport Fwy_2801_Colonial Village at Willow Creek_Bedford_14428</v>
      </c>
      <c r="L4435" s="104" t="s">
        <v>22253</v>
      </c>
      <c r="M4435" s="103" t="str">
        <f t="shared" si="348"/>
        <v>http://oconnordata.com/mlink/modules/profile/index.cfm?action=profile&amp;prop_id=14428</v>
      </c>
      <c r="N4435" s="1">
        <f t="shared" si="349"/>
        <v>14428</v>
      </c>
    </row>
    <row r="4436" spans="1:14" x14ac:dyDescent="0.3">
      <c r="A4436" s="1">
        <v>14429</v>
      </c>
      <c r="B4436" s="7" t="s">
        <v>6725</v>
      </c>
      <c r="C4436" s="12">
        <v>1200</v>
      </c>
      <c r="D4436" s="7" t="s">
        <v>6756</v>
      </c>
      <c r="E4436" s="13" t="s">
        <v>5781</v>
      </c>
      <c r="F4436" t="str">
        <f t="shared" si="345"/>
        <v>Fuller</v>
      </c>
      <c r="G4436" t="str">
        <f t="shared" si="346"/>
        <v>Fuller1200Euless</v>
      </c>
      <c r="H4436" t="s">
        <v>35293</v>
      </c>
      <c r="I4436" t="s">
        <v>26716</v>
      </c>
      <c r="J4436" t="str">
        <f t="shared" si="347"/>
        <v>E:\PropInv\MF</v>
      </c>
      <c r="K4436" s="103" t="str">
        <f>HYPERLINK("E:\PropInv\MF\Euless\Fuller Wiser Rd_1200_Colonial Grand at Bear Creek_Euless_14429","Fuller Wiser Rd_1200_Colonial Grand at Bear Creek_Euless_14429" )</f>
        <v>Fuller Wiser Rd_1200_Colonial Grand at Bear Creek_Euless_14429</v>
      </c>
      <c r="L4436" s="104" t="s">
        <v>22253</v>
      </c>
      <c r="M4436" s="103" t="str">
        <f t="shared" si="348"/>
        <v>http://oconnordata.com/mlink/modules/profile/index.cfm?action=profile&amp;prop_id=14429</v>
      </c>
      <c r="N4436" s="1">
        <f t="shared" si="349"/>
        <v>14429</v>
      </c>
    </row>
    <row r="4437" spans="1:14" x14ac:dyDescent="0.3">
      <c r="A4437" s="1">
        <v>14432</v>
      </c>
      <c r="B4437" s="7" t="s">
        <v>6757</v>
      </c>
      <c r="C4437" s="12">
        <v>2300</v>
      </c>
      <c r="D4437" s="7" t="s">
        <v>6758</v>
      </c>
      <c r="E4437" s="13" t="s">
        <v>6555</v>
      </c>
      <c r="F4437" t="str">
        <f t="shared" si="345"/>
        <v>Misty</v>
      </c>
      <c r="G4437" t="str">
        <f t="shared" si="346"/>
        <v>Misty2300Arlington</v>
      </c>
      <c r="H4437" t="s">
        <v>35294</v>
      </c>
      <c r="I4437" t="s">
        <v>26717</v>
      </c>
      <c r="J4437" t="str">
        <f t="shared" si="347"/>
        <v>E:\PropInv\MF</v>
      </c>
      <c r="K4437" s="103" t="str">
        <f>HYPERLINK("E:\PropInv\MF\Arlington\Misty Ridge Cir_2300_The Biltmore_Arlington_14432","Misty Ridge Cir_2300_The Biltmore_Arlington_14432" )</f>
        <v>Misty Ridge Cir_2300_The Biltmore_Arlington_14432</v>
      </c>
      <c r="L4437" s="104" t="s">
        <v>22253</v>
      </c>
      <c r="M4437" s="103" t="str">
        <f t="shared" si="348"/>
        <v>http://oconnordata.com/mlink/modules/profile/index.cfm?action=profile&amp;prop_id=14432</v>
      </c>
      <c r="N4437" s="1">
        <f t="shared" si="349"/>
        <v>14432</v>
      </c>
    </row>
    <row r="4438" spans="1:14" x14ac:dyDescent="0.3">
      <c r="A4438" s="1">
        <v>14433</v>
      </c>
      <c r="B4438" s="7" t="s">
        <v>6759</v>
      </c>
      <c r="C4438" s="12">
        <v>501</v>
      </c>
      <c r="D4438" s="7" t="s">
        <v>741</v>
      </c>
      <c r="E4438" s="13" t="s">
        <v>6578</v>
      </c>
      <c r="F4438" t="str">
        <f t="shared" si="345"/>
        <v>Turner</v>
      </c>
      <c r="G4438" t="str">
        <f t="shared" si="346"/>
        <v>Turner501Grapevine</v>
      </c>
      <c r="H4438" t="s">
        <v>35295</v>
      </c>
      <c r="I4438" t="s">
        <v>26718</v>
      </c>
      <c r="J4438" t="str">
        <f t="shared" si="347"/>
        <v>E:\PropInv\MF</v>
      </c>
      <c r="K4438" s="103" t="str">
        <f>HYPERLINK("E:\PropInv\MF\Grapevine\Turner_501_Montelena_Grapevine_14433","Turner_501_Montelena_Grapevine_14433" )</f>
        <v>Turner_501_Montelena_Grapevine_14433</v>
      </c>
      <c r="L4438" s="104" t="s">
        <v>22253</v>
      </c>
      <c r="M4438" s="103" t="str">
        <f t="shared" si="348"/>
        <v>http://oconnordata.com/mlink/modules/profile/index.cfm?action=profile&amp;prop_id=14433</v>
      </c>
      <c r="N4438" s="1">
        <f t="shared" si="349"/>
        <v>14433</v>
      </c>
    </row>
    <row r="4439" spans="1:14" x14ac:dyDescent="0.3">
      <c r="A4439" s="1">
        <v>14434</v>
      </c>
      <c r="B4439" s="7" t="s">
        <v>6605</v>
      </c>
      <c r="C4439" s="12">
        <v>5350</v>
      </c>
      <c r="D4439" s="7" t="s">
        <v>6760</v>
      </c>
      <c r="E4439" s="13" t="s">
        <v>5014</v>
      </c>
      <c r="F4439" t="str">
        <f t="shared" si="345"/>
        <v>Bryant</v>
      </c>
      <c r="G4439" t="str">
        <f t="shared" si="346"/>
        <v>Bryant5350Fort Worth</v>
      </c>
      <c r="H4439" t="s">
        <v>35296</v>
      </c>
      <c r="I4439" t="s">
        <v>26719</v>
      </c>
      <c r="J4439" t="str">
        <f t="shared" si="347"/>
        <v>E:\PropInv\MF</v>
      </c>
      <c r="K4439" s="103" t="str">
        <f>HYPERLINK("E:\PropInv\MF\Fort Worth\Bryant Irvin Rd_5350_Montevista_Fort Worth_14434","Bryant Irvin Rd_5350_Montevista_Fort Worth_14434" )</f>
        <v>Bryant Irvin Rd_5350_Montevista_Fort Worth_14434</v>
      </c>
      <c r="L4439" s="104" t="s">
        <v>22253</v>
      </c>
      <c r="M4439" s="103" t="str">
        <f t="shared" si="348"/>
        <v>http://oconnordata.com/mlink/modules/profile/index.cfm?action=profile&amp;prop_id=14434</v>
      </c>
      <c r="N4439" s="1">
        <f t="shared" si="349"/>
        <v>14434</v>
      </c>
    </row>
    <row r="4440" spans="1:14" x14ac:dyDescent="0.3">
      <c r="A4440" s="1">
        <v>14435</v>
      </c>
      <c r="B4440" s="7" t="s">
        <v>6761</v>
      </c>
      <c r="C4440" s="12">
        <v>150</v>
      </c>
      <c r="D4440" s="7" t="s">
        <v>6762</v>
      </c>
      <c r="E4440" s="13" t="s">
        <v>5014</v>
      </c>
      <c r="F4440" t="str">
        <f t="shared" si="345"/>
        <v>Boland</v>
      </c>
      <c r="G4440" t="str">
        <f t="shared" si="346"/>
        <v>Boland150Fort Worth</v>
      </c>
      <c r="H4440" t="s">
        <v>35297</v>
      </c>
      <c r="I4440" t="s">
        <v>26720</v>
      </c>
      <c r="J4440" t="str">
        <f t="shared" si="347"/>
        <v>E:\PropInv\MF</v>
      </c>
      <c r="K4440" s="103" t="str">
        <f>HYPERLINK("E:\PropInv\MF\Fort Worth\Boland St_150_Monticello Oaks TH_Fort Worth_14435","Boland St_150_Monticello Oaks TH_Fort Worth_14435" )</f>
        <v>Boland St_150_Monticello Oaks TH_Fort Worth_14435</v>
      </c>
      <c r="L4440" s="104" t="s">
        <v>22253</v>
      </c>
      <c r="M4440" s="103" t="str">
        <f t="shared" si="348"/>
        <v>http://oconnordata.com/mlink/modules/profile/index.cfm?action=profile&amp;prop_id=14435</v>
      </c>
      <c r="N4440" s="1">
        <f t="shared" si="349"/>
        <v>14435</v>
      </c>
    </row>
    <row r="4441" spans="1:14" x14ac:dyDescent="0.3">
      <c r="A4441" s="1">
        <v>14436</v>
      </c>
      <c r="B4441" s="7" t="s">
        <v>6763</v>
      </c>
      <c r="C4441" s="12">
        <v>2900</v>
      </c>
      <c r="D4441" s="7" t="s">
        <v>6764</v>
      </c>
      <c r="E4441" s="13" t="s">
        <v>6555</v>
      </c>
      <c r="F4441" t="str">
        <f t="shared" si="345"/>
        <v>Matlock</v>
      </c>
      <c r="G4441" t="str">
        <f t="shared" si="346"/>
        <v>Matlock2900Arlington</v>
      </c>
      <c r="H4441" t="s">
        <v>35298</v>
      </c>
      <c r="I4441" t="s">
        <v>26721</v>
      </c>
      <c r="J4441" t="str">
        <f t="shared" si="347"/>
        <v>E:\PropInv\MF</v>
      </c>
      <c r="K4441" s="103" t="str">
        <f>HYPERLINK("E:\PropInv\MF\Arlington\Matlock Rd_2900_Mustang Creek_Arlington_14436","Matlock Rd_2900_Mustang Creek_Arlington_14436" )</f>
        <v>Matlock Rd_2900_Mustang Creek_Arlington_14436</v>
      </c>
      <c r="L4441" s="104" t="s">
        <v>22253</v>
      </c>
      <c r="M4441" s="103" t="str">
        <f t="shared" si="348"/>
        <v>http://oconnordata.com/mlink/modules/profile/index.cfm?action=profile&amp;prop_id=14436</v>
      </c>
      <c r="N4441" s="1">
        <f t="shared" si="349"/>
        <v>14436</v>
      </c>
    </row>
    <row r="4442" spans="1:14" x14ac:dyDescent="0.3">
      <c r="A4442" s="1">
        <v>14437</v>
      </c>
      <c r="B4442" s="7" t="s">
        <v>6600</v>
      </c>
      <c r="C4442" s="12">
        <v>700</v>
      </c>
      <c r="D4442" s="7" t="s">
        <v>6765</v>
      </c>
      <c r="E4442" s="13" t="s">
        <v>5781</v>
      </c>
      <c r="F4442" t="str">
        <f t="shared" si="345"/>
        <v>Ash</v>
      </c>
      <c r="G4442" t="str">
        <f t="shared" si="346"/>
        <v>Ash700Euless</v>
      </c>
      <c r="H4442" t="s">
        <v>35299</v>
      </c>
      <c r="I4442" t="s">
        <v>26722</v>
      </c>
      <c r="J4442" t="str">
        <f t="shared" si="347"/>
        <v>E:\PropInv\MF</v>
      </c>
      <c r="K4442" s="103" t="str">
        <f>HYPERLINK("E:\PropInv\MF\Euless\Ash Ln E_700_Norstar at Bear Creek_Euless_14437","Ash Ln E_700_Norstar at Bear Creek_Euless_14437" )</f>
        <v>Ash Ln E_700_Norstar at Bear Creek_Euless_14437</v>
      </c>
      <c r="L4442" s="104" t="s">
        <v>22253</v>
      </c>
      <c r="M4442" s="103" t="str">
        <f t="shared" si="348"/>
        <v>http://oconnordata.com/mlink/modules/profile/index.cfm?action=profile&amp;prop_id=14437</v>
      </c>
      <c r="N4442" s="1">
        <f t="shared" si="349"/>
        <v>14437</v>
      </c>
    </row>
    <row r="4443" spans="1:14" x14ac:dyDescent="0.3">
      <c r="A4443" s="1">
        <v>14438</v>
      </c>
      <c r="B4443" s="7" t="s">
        <v>6766</v>
      </c>
      <c r="C4443" s="12">
        <v>1108</v>
      </c>
      <c r="D4443" s="7" t="s">
        <v>2460</v>
      </c>
      <c r="E4443" s="13" t="s">
        <v>6555</v>
      </c>
      <c r="F4443" t="str">
        <f t="shared" si="345"/>
        <v>Wynncrest</v>
      </c>
      <c r="G4443" t="str">
        <f t="shared" si="346"/>
        <v>Wynncrest1108Arlington</v>
      </c>
      <c r="H4443" t="s">
        <v>35300</v>
      </c>
      <c r="I4443" t="s">
        <v>26723</v>
      </c>
      <c r="J4443" t="str">
        <f t="shared" si="347"/>
        <v>E:\PropInv\MF</v>
      </c>
      <c r="K4443" s="103" t="str">
        <f>HYPERLINK("E:\PropInv\MF\Arlington\Wynncrest Ln_1108_Oak Forest_Arlington_14438","Wynncrest Ln_1108_Oak Forest_Arlington_14438" )</f>
        <v>Wynncrest Ln_1108_Oak Forest_Arlington_14438</v>
      </c>
      <c r="L4443" s="104" t="s">
        <v>22253</v>
      </c>
      <c r="M4443" s="103" t="str">
        <f t="shared" si="348"/>
        <v>http://oconnordata.com/mlink/modules/profile/index.cfm?action=profile&amp;prop_id=14438</v>
      </c>
      <c r="N4443" s="1">
        <f t="shared" si="349"/>
        <v>14438</v>
      </c>
    </row>
    <row r="4444" spans="1:14" x14ac:dyDescent="0.3">
      <c r="A4444" s="1">
        <v>14440</v>
      </c>
      <c r="B4444" s="7" t="s">
        <v>5303</v>
      </c>
      <c r="C4444" s="12">
        <v>601</v>
      </c>
      <c r="D4444" s="7" t="s">
        <v>6767</v>
      </c>
      <c r="E4444" s="13" t="s">
        <v>6578</v>
      </c>
      <c r="F4444" t="str">
        <f t="shared" si="345"/>
        <v>Park</v>
      </c>
      <c r="G4444" t="str">
        <f t="shared" si="346"/>
        <v>Park601Grapevine</v>
      </c>
      <c r="H4444" t="s">
        <v>35301</v>
      </c>
      <c r="I4444" t="s">
        <v>26724</v>
      </c>
      <c r="J4444" t="str">
        <f t="shared" si="347"/>
        <v>E:\PropInv\MF</v>
      </c>
      <c r="K4444" s="103" t="str">
        <f>HYPERLINK("E:\PropInv\MF\Grapevine\Park Blvd_601_Oaks at Park Boulevard_Grapevine_14440","Park Blvd_601_Oaks at Park Boulevard_Grapevine_14440" )</f>
        <v>Park Blvd_601_Oaks at Park Boulevard_Grapevine_14440</v>
      </c>
      <c r="L4444" s="104" t="s">
        <v>22253</v>
      </c>
      <c r="M4444" s="103" t="str">
        <f t="shared" si="348"/>
        <v>http://oconnordata.com/mlink/modules/profile/index.cfm?action=profile&amp;prop_id=14440</v>
      </c>
      <c r="N4444" s="1">
        <f t="shared" si="349"/>
        <v>14440</v>
      </c>
    </row>
    <row r="4445" spans="1:14" x14ac:dyDescent="0.3">
      <c r="A4445" s="1">
        <v>14441</v>
      </c>
      <c r="B4445" s="7" t="s">
        <v>6768</v>
      </c>
      <c r="C4445" s="12">
        <v>2100</v>
      </c>
      <c r="D4445" s="7" t="s">
        <v>6769</v>
      </c>
      <c r="E4445" s="13" t="s">
        <v>6555</v>
      </c>
      <c r="F4445" t="str">
        <f t="shared" si="345"/>
        <v>Ascension</v>
      </c>
      <c r="G4445" t="str">
        <f t="shared" si="346"/>
        <v>Ascension2100Arlington</v>
      </c>
      <c r="H4445" t="s">
        <v>35302</v>
      </c>
      <c r="I4445" t="s">
        <v>26725</v>
      </c>
      <c r="J4445" t="str">
        <f t="shared" si="347"/>
        <v>E:\PropInv\MF</v>
      </c>
      <c r="K4445" s="103" t="str">
        <f>HYPERLINK("E:\PropInv\MF\Arlington\Ascension Blvd_2100_The Oaks of Arlington_Arlington_14441","Ascension Blvd_2100_The Oaks of Arlington_Arlington_14441" )</f>
        <v>Ascension Blvd_2100_The Oaks of Arlington_Arlington_14441</v>
      </c>
      <c r="L4445" s="104" t="s">
        <v>22253</v>
      </c>
      <c r="M4445" s="103" t="str">
        <f t="shared" si="348"/>
        <v>http://oconnordata.com/mlink/modules/profile/index.cfm?action=profile&amp;prop_id=14441</v>
      </c>
      <c r="N4445" s="1">
        <f t="shared" si="349"/>
        <v>14441</v>
      </c>
    </row>
    <row r="4446" spans="1:14" x14ac:dyDescent="0.3">
      <c r="A4446" s="1">
        <v>14442</v>
      </c>
      <c r="B4446" s="7" t="s">
        <v>6770</v>
      </c>
      <c r="C4446" s="12">
        <v>2001</v>
      </c>
      <c r="D4446" s="7" t="s">
        <v>6771</v>
      </c>
      <c r="E4446" s="13" t="s">
        <v>4942</v>
      </c>
      <c r="F4446" t="str">
        <f t="shared" si="345"/>
        <v>Park</v>
      </c>
      <c r="G4446" t="str">
        <f t="shared" si="346"/>
        <v>Park2001Bedford</v>
      </c>
      <c r="H4446" t="s">
        <v>35303</v>
      </c>
      <c r="I4446" t="s">
        <v>26726</v>
      </c>
      <c r="J4446" t="str">
        <f t="shared" si="347"/>
        <v>E:\PropInv\MF</v>
      </c>
      <c r="K4446" s="103" t="str">
        <f>HYPERLINK("E:\PropInv\MF\Bedford\Park Place Blvd_2001_The Creek on Park Place_Bedford_14442","Park Place Blvd_2001_The Creek on Park Place_Bedford_14442" )</f>
        <v>Park Place Blvd_2001_The Creek on Park Place_Bedford_14442</v>
      </c>
      <c r="L4446" s="104" t="s">
        <v>22253</v>
      </c>
      <c r="M4446" s="103" t="str">
        <f t="shared" si="348"/>
        <v>http://oconnordata.com/mlink/modules/profile/index.cfm?action=profile&amp;prop_id=14442</v>
      </c>
      <c r="N4446" s="1">
        <f t="shared" si="349"/>
        <v>14442</v>
      </c>
    </row>
    <row r="4447" spans="1:14" x14ac:dyDescent="0.3">
      <c r="A4447" s="1">
        <v>14443</v>
      </c>
      <c r="B4447" s="7" t="s">
        <v>6600</v>
      </c>
      <c r="C4447" s="12">
        <v>800</v>
      </c>
      <c r="D4447" s="7" t="s">
        <v>6772</v>
      </c>
      <c r="E4447" s="13" t="s">
        <v>5781</v>
      </c>
      <c r="F4447" t="str">
        <f t="shared" si="345"/>
        <v>Ash</v>
      </c>
      <c r="G4447" t="str">
        <f t="shared" si="346"/>
        <v>Ash800Euless</v>
      </c>
      <c r="H4447" t="s">
        <v>35304</v>
      </c>
      <c r="I4447" t="s">
        <v>26727</v>
      </c>
      <c r="J4447" t="str">
        <f t="shared" si="347"/>
        <v>E:\PropInv\MF</v>
      </c>
      <c r="K4447" s="103" t="str">
        <f>HYPERLINK("E:\PropInv\MF\Euless\Ash Ln E_800_Overlook at Bear Creek_Euless_14443","Ash Ln E_800_Overlook at Bear Creek_Euless_14443" )</f>
        <v>Ash Ln E_800_Overlook at Bear Creek_Euless_14443</v>
      </c>
      <c r="L4447" s="104" t="s">
        <v>22253</v>
      </c>
      <c r="M4447" s="103" t="str">
        <f t="shared" si="348"/>
        <v>http://oconnordata.com/mlink/modules/profile/index.cfm?action=profile&amp;prop_id=14443</v>
      </c>
      <c r="N4447" s="1">
        <f t="shared" si="349"/>
        <v>14443</v>
      </c>
    </row>
    <row r="4448" spans="1:14" x14ac:dyDescent="0.3">
      <c r="A4448" s="1">
        <v>14444</v>
      </c>
      <c r="B4448" s="7" t="s">
        <v>6773</v>
      </c>
      <c r="C4448" s="12">
        <v>8700</v>
      </c>
      <c r="D4448" s="7" t="s">
        <v>6774</v>
      </c>
      <c r="E4448" s="13" t="s">
        <v>5014</v>
      </c>
      <c r="F4448" t="str">
        <f t="shared" si="345"/>
        <v>John</v>
      </c>
      <c r="G4448" t="str">
        <f t="shared" si="346"/>
        <v>John8700Fort Worth</v>
      </c>
      <c r="H4448" t="s">
        <v>35305</v>
      </c>
      <c r="I4448" t="s">
        <v>26728</v>
      </c>
      <c r="J4448" t="str">
        <f t="shared" si="347"/>
        <v>E:\PropInv\MF</v>
      </c>
      <c r="K4448" s="103" t="str">
        <f>HYPERLINK("E:\PropInv\MF\Fort Worth\John T. White Rd_8700_Papillon Park TH_Fort Worth_14444","John T. White Rd_8700_Papillon Park TH_Fort Worth_14444" )</f>
        <v>John T. White Rd_8700_Papillon Park TH_Fort Worth_14444</v>
      </c>
      <c r="L4448" s="104" t="s">
        <v>22253</v>
      </c>
      <c r="M4448" s="103" t="str">
        <f t="shared" si="348"/>
        <v>http://oconnordata.com/mlink/modules/profile/index.cfm?action=profile&amp;prop_id=14444</v>
      </c>
      <c r="N4448" s="1">
        <f t="shared" si="349"/>
        <v>14444</v>
      </c>
    </row>
    <row r="4449" spans="1:14" x14ac:dyDescent="0.3">
      <c r="A4449" s="1">
        <v>14445</v>
      </c>
      <c r="B4449" s="7" t="s">
        <v>4921</v>
      </c>
      <c r="C4449" s="12">
        <v>3700</v>
      </c>
      <c r="D4449" s="7" t="s">
        <v>6775</v>
      </c>
      <c r="E4449" s="13" t="s">
        <v>5781</v>
      </c>
      <c r="F4449" t="str">
        <f t="shared" si="345"/>
        <v>Post</v>
      </c>
      <c r="G4449" t="str">
        <f t="shared" si="346"/>
        <v>Post3700Euless</v>
      </c>
      <c r="H4449" t="s">
        <v>35306</v>
      </c>
      <c r="I4449" t="s">
        <v>26729</v>
      </c>
      <c r="J4449" t="str">
        <f t="shared" si="347"/>
        <v>E:\PropInv\MF</v>
      </c>
      <c r="K4449" s="103" t="str">
        <f>HYPERLINK("E:\PropInv\MF\Euless\Post Oak Blvd_3700_Paradise Hills_Euless_14445","Post Oak Blvd_3700_Paradise Hills_Euless_14445" )</f>
        <v>Post Oak Blvd_3700_Paradise Hills_Euless_14445</v>
      </c>
      <c r="L4449" s="104" t="s">
        <v>22253</v>
      </c>
      <c r="M4449" s="103" t="str">
        <f t="shared" si="348"/>
        <v>http://oconnordata.com/mlink/modules/profile/index.cfm?action=profile&amp;prop_id=14445</v>
      </c>
      <c r="N4449" s="1">
        <f t="shared" si="349"/>
        <v>14445</v>
      </c>
    </row>
    <row r="4450" spans="1:14" x14ac:dyDescent="0.3">
      <c r="A4450" s="1">
        <v>14446</v>
      </c>
      <c r="B4450" s="7" t="s">
        <v>6776</v>
      </c>
      <c r="C4450" s="12">
        <v>333</v>
      </c>
      <c r="D4450" s="7" t="s">
        <v>6777</v>
      </c>
      <c r="E4450" s="13" t="s">
        <v>5781</v>
      </c>
      <c r="F4450" t="str">
        <f t="shared" si="345"/>
        <v>Denton</v>
      </c>
      <c r="G4450" t="str">
        <f t="shared" si="346"/>
        <v>Denton333Euless</v>
      </c>
      <c r="H4450" t="s">
        <v>35307</v>
      </c>
      <c r="I4450" t="s">
        <v>26730</v>
      </c>
      <c r="J4450" t="str">
        <f t="shared" si="347"/>
        <v>E:\PropInv\MF</v>
      </c>
      <c r="K4450" s="103" t="str">
        <f>HYPERLINK("E:\PropInv\MF\Euless\Denton Dr E_333_Parc Plaza_Euless_14446","Denton Dr E_333_Parc Plaza_Euless_14446" )</f>
        <v>Denton Dr E_333_Parc Plaza_Euless_14446</v>
      </c>
      <c r="L4450" s="104" t="s">
        <v>22253</v>
      </c>
      <c r="M4450" s="103" t="str">
        <f t="shared" si="348"/>
        <v>http://oconnordata.com/mlink/modules/profile/index.cfm?action=profile&amp;prop_id=14446</v>
      </c>
      <c r="N4450" s="1">
        <f t="shared" si="349"/>
        <v>14446</v>
      </c>
    </row>
    <row r="4451" spans="1:14" x14ac:dyDescent="0.3">
      <c r="A4451" s="1">
        <v>14447</v>
      </c>
      <c r="B4451" s="7" t="s">
        <v>6690</v>
      </c>
      <c r="C4451" s="12">
        <v>6960</v>
      </c>
      <c r="D4451" s="7" t="s">
        <v>6778</v>
      </c>
      <c r="E4451" s="13" t="s">
        <v>5014</v>
      </c>
      <c r="F4451" t="str">
        <f t="shared" si="345"/>
        <v>Beach</v>
      </c>
      <c r="G4451" t="str">
        <f t="shared" si="346"/>
        <v>Beach6960Fort Worth</v>
      </c>
      <c r="H4451" t="s">
        <v>35308</v>
      </c>
      <c r="I4451" t="s">
        <v>26731</v>
      </c>
      <c r="J4451" t="str">
        <f t="shared" si="347"/>
        <v>E:\PropInv\MF</v>
      </c>
      <c r="K4451" s="103" t="str">
        <f>HYPERLINK("E:\PropInv\MF\Fort Worth\Beach N_6960_Park Creek_Fort Worth_14447","Beach N_6960_Park Creek_Fort Worth_14447" )</f>
        <v>Beach N_6960_Park Creek_Fort Worth_14447</v>
      </c>
      <c r="L4451" s="104" t="s">
        <v>22253</v>
      </c>
      <c r="M4451" s="103" t="str">
        <f t="shared" si="348"/>
        <v>http://oconnordata.com/mlink/modules/profile/index.cfm?action=profile&amp;prop_id=14447</v>
      </c>
      <c r="N4451" s="1">
        <f t="shared" si="349"/>
        <v>14447</v>
      </c>
    </row>
    <row r="4452" spans="1:14" x14ac:dyDescent="0.3">
      <c r="A4452" s="1">
        <v>14448</v>
      </c>
      <c r="B4452" s="7" t="s">
        <v>6779</v>
      </c>
      <c r="C4452" s="12">
        <v>1505</v>
      </c>
      <c r="D4452" s="7" t="s">
        <v>548</v>
      </c>
      <c r="E4452" s="13" t="s">
        <v>5014</v>
      </c>
      <c r="F4452" t="str">
        <f t="shared" si="345"/>
        <v>Homedale</v>
      </c>
      <c r="G4452" t="str">
        <f t="shared" si="346"/>
        <v>Homedale1505Fort Worth</v>
      </c>
      <c r="H4452" t="s">
        <v>35309</v>
      </c>
      <c r="I4452" t="s">
        <v>26732</v>
      </c>
      <c r="J4452" t="str">
        <f t="shared" si="347"/>
        <v>E:\PropInv\MF</v>
      </c>
      <c r="K4452" s="103" t="str">
        <f>HYPERLINK("E:\PropInv\MF\Fort Worth\Homedale_1505_Park Place_Fort Worth_14448","Homedale_1505_Park Place_Fort Worth_14448" )</f>
        <v>Homedale_1505_Park Place_Fort Worth_14448</v>
      </c>
      <c r="L4452" s="104" t="s">
        <v>22253</v>
      </c>
      <c r="M4452" s="103" t="str">
        <f t="shared" si="348"/>
        <v>http://oconnordata.com/mlink/modules/profile/index.cfm?action=profile&amp;prop_id=14448</v>
      </c>
      <c r="N4452" s="1">
        <f t="shared" si="349"/>
        <v>14448</v>
      </c>
    </row>
    <row r="4453" spans="1:14" x14ac:dyDescent="0.3">
      <c r="A4453" s="1">
        <v>14449</v>
      </c>
      <c r="B4453" s="7" t="s">
        <v>6780</v>
      </c>
      <c r="C4453" s="12">
        <v>2401</v>
      </c>
      <c r="D4453" s="7" t="s">
        <v>6781</v>
      </c>
      <c r="E4453" s="13" t="s">
        <v>4942</v>
      </c>
      <c r="F4453" t="str">
        <f t="shared" si="345"/>
        <v>L.</v>
      </c>
      <c r="G4453" t="str">
        <f t="shared" si="346"/>
        <v>L.2401Bedford</v>
      </c>
      <c r="H4453" t="s">
        <v>35310</v>
      </c>
      <c r="I4453" t="s">
        <v>26733</v>
      </c>
      <c r="J4453" t="str">
        <f t="shared" si="347"/>
        <v>E:\PropInv\MF</v>
      </c>
      <c r="K4453" s="103" t="str">
        <f>HYPERLINK("E:\PropInv\MF\Bedford\L. Don Dodson_2401_Kensington Station_Bedford_14449","L. Don Dodson_2401_Kensington Station_Bedford_14449" )</f>
        <v>L. Don Dodson_2401_Kensington Station_Bedford_14449</v>
      </c>
      <c r="L4453" s="104" t="s">
        <v>22253</v>
      </c>
      <c r="M4453" s="103" t="str">
        <f t="shared" si="348"/>
        <v>http://oconnordata.com/mlink/modules/profile/index.cfm?action=profile&amp;prop_id=14449</v>
      </c>
      <c r="N4453" s="1">
        <f t="shared" si="349"/>
        <v>14449</v>
      </c>
    </row>
    <row r="4454" spans="1:14" x14ac:dyDescent="0.3">
      <c r="A4454" s="1">
        <v>14450</v>
      </c>
      <c r="B4454" s="7" t="s">
        <v>6782</v>
      </c>
      <c r="C4454" s="12">
        <v>907</v>
      </c>
      <c r="D4454" s="7" t="s">
        <v>6783</v>
      </c>
      <c r="E4454" s="13" t="s">
        <v>6555</v>
      </c>
      <c r="F4454" t="str">
        <f t="shared" si="345"/>
        <v>Pinion</v>
      </c>
      <c r="G4454" t="str">
        <f t="shared" si="346"/>
        <v>Pinion907Arlington</v>
      </c>
      <c r="H4454" t="s">
        <v>35311</v>
      </c>
      <c r="I4454" t="s">
        <v>26734</v>
      </c>
      <c r="J4454" t="str">
        <f t="shared" si="347"/>
        <v>E:\PropInv\MF</v>
      </c>
      <c r="K4454" s="103" t="str">
        <f>HYPERLINK("E:\PropInv\MF\Arlington\Pinion Dr_907_Parkland Pointe_Arlington_14450","Pinion Dr_907_Parkland Pointe_Arlington_14450" )</f>
        <v>Pinion Dr_907_Parkland Pointe_Arlington_14450</v>
      </c>
      <c r="L4454" s="104" t="s">
        <v>22253</v>
      </c>
      <c r="M4454" s="103" t="str">
        <f t="shared" si="348"/>
        <v>http://oconnordata.com/mlink/modules/profile/index.cfm?action=profile&amp;prop_id=14450</v>
      </c>
      <c r="N4454" s="1">
        <f t="shared" si="349"/>
        <v>14450</v>
      </c>
    </row>
    <row r="4455" spans="1:14" x14ac:dyDescent="0.3">
      <c r="A4455" s="1">
        <v>14452</v>
      </c>
      <c r="B4455" s="7" t="s">
        <v>6784</v>
      </c>
      <c r="C4455" s="12">
        <v>700</v>
      </c>
      <c r="D4455" s="7" t="s">
        <v>6785</v>
      </c>
      <c r="E4455" s="13" t="s">
        <v>5781</v>
      </c>
      <c r="F4455" t="str">
        <f t="shared" si="345"/>
        <v>Hill</v>
      </c>
      <c r="G4455" t="str">
        <f t="shared" si="346"/>
        <v>Hill700Euless</v>
      </c>
      <c r="H4455" t="s">
        <v>35312</v>
      </c>
      <c r="I4455" t="s">
        <v>26735</v>
      </c>
      <c r="J4455" t="str">
        <f t="shared" si="347"/>
        <v>E:\PropInv\MF</v>
      </c>
      <c r="K4455" s="103" t="str">
        <f>HYPERLINK("E:\PropInv\MF\Euless\Hill Trl Dr_700_Parkside on the Creek_Euless_14452","Hill Trl Dr_700_Parkside on the Creek_Euless_14452" )</f>
        <v>Hill Trl Dr_700_Parkside on the Creek_Euless_14452</v>
      </c>
      <c r="L4455" s="104" t="s">
        <v>22253</v>
      </c>
      <c r="M4455" s="103" t="str">
        <f t="shared" si="348"/>
        <v>http://oconnordata.com/mlink/modules/profile/index.cfm?action=profile&amp;prop_id=14452</v>
      </c>
      <c r="N4455" s="1">
        <f t="shared" si="349"/>
        <v>14452</v>
      </c>
    </row>
    <row r="4456" spans="1:14" x14ac:dyDescent="0.3">
      <c r="A4456" s="1">
        <v>14453</v>
      </c>
      <c r="B4456" s="7" t="s">
        <v>6786</v>
      </c>
      <c r="C4456" s="12">
        <v>3500</v>
      </c>
      <c r="D4456" s="7" t="s">
        <v>6787</v>
      </c>
      <c r="E4456" s="13" t="s">
        <v>6555</v>
      </c>
      <c r="F4456" t="str">
        <f t="shared" si="345"/>
        <v>Willowood</v>
      </c>
      <c r="G4456" t="str">
        <f t="shared" si="346"/>
        <v>Willowood3500Arlington</v>
      </c>
      <c r="H4456" t="s">
        <v>35313</v>
      </c>
      <c r="I4456" t="s">
        <v>26736</v>
      </c>
      <c r="J4456" t="str">
        <f t="shared" si="347"/>
        <v>E:\PropInv\MF</v>
      </c>
      <c r="K4456" s="103" t="str">
        <f>HYPERLINK("E:\PropInv\MF\Arlington\Willowood Cir_3500_The Pavilion_Arlington_14453","Willowood Cir_3500_The Pavilion_Arlington_14453" )</f>
        <v>Willowood Cir_3500_The Pavilion_Arlington_14453</v>
      </c>
      <c r="L4456" s="104" t="s">
        <v>22253</v>
      </c>
      <c r="M4456" s="103" t="str">
        <f t="shared" si="348"/>
        <v>http://oconnordata.com/mlink/modules/profile/index.cfm?action=profile&amp;prop_id=14453</v>
      </c>
      <c r="N4456" s="1">
        <f t="shared" si="349"/>
        <v>14453</v>
      </c>
    </row>
    <row r="4457" spans="1:14" x14ac:dyDescent="0.3">
      <c r="A4457" s="1">
        <v>14454</v>
      </c>
      <c r="B4457" s="7" t="s">
        <v>6788</v>
      </c>
      <c r="C4457" s="12">
        <v>3740</v>
      </c>
      <c r="D4457" s="7" t="s">
        <v>6789</v>
      </c>
      <c r="E4457" s="13" t="s">
        <v>6555</v>
      </c>
      <c r="F4457" t="str">
        <f t="shared" si="345"/>
        <v>Little</v>
      </c>
      <c r="G4457" t="str">
        <f t="shared" si="346"/>
        <v>Little3740Arlington</v>
      </c>
      <c r="H4457" t="s">
        <v>35314</v>
      </c>
      <c r="I4457" t="s">
        <v>26737</v>
      </c>
      <c r="J4457" t="str">
        <f t="shared" si="347"/>
        <v>E:\PropInv\MF</v>
      </c>
      <c r="K4457" s="103" t="str">
        <f>HYPERLINK("E:\PropInv\MF\Arlington\Little Rd_3740_Pineridge_Arlington_14454","Little Rd_3740_Pineridge_Arlington_14454" )</f>
        <v>Little Rd_3740_Pineridge_Arlington_14454</v>
      </c>
      <c r="L4457" s="104" t="s">
        <v>22253</v>
      </c>
      <c r="M4457" s="103" t="str">
        <f t="shared" si="348"/>
        <v>http://oconnordata.com/mlink/modules/profile/index.cfm?action=profile&amp;prop_id=14454</v>
      </c>
      <c r="N4457" s="1">
        <f t="shared" si="349"/>
        <v>14454</v>
      </c>
    </row>
    <row r="4458" spans="1:14" x14ac:dyDescent="0.3">
      <c r="A4458" s="1">
        <v>14455</v>
      </c>
      <c r="B4458" s="7" t="s">
        <v>6790</v>
      </c>
      <c r="C4458" s="12">
        <v>1300</v>
      </c>
      <c r="D4458" s="7" t="s">
        <v>6791</v>
      </c>
      <c r="E4458" s="13" t="s">
        <v>4942</v>
      </c>
      <c r="F4458" t="str">
        <f t="shared" si="345"/>
        <v>Shady</v>
      </c>
      <c r="G4458" t="str">
        <f t="shared" si="346"/>
        <v>Shady1300Bedford</v>
      </c>
      <c r="H4458" t="s">
        <v>35315</v>
      </c>
      <c r="I4458" t="s">
        <v>26738</v>
      </c>
      <c r="J4458" t="str">
        <f t="shared" si="347"/>
        <v>E:\PropInv\MF</v>
      </c>
      <c r="K4458" s="103" t="str">
        <f>HYPERLINK("E:\PropInv\MF\Bedford\Shady Ln Blvd_1300_Point Loma Woods_Bedford_14455","Shady Ln Blvd_1300_Point Loma Woods_Bedford_14455" )</f>
        <v>Shady Ln Blvd_1300_Point Loma Woods_Bedford_14455</v>
      </c>
      <c r="L4458" s="104" t="s">
        <v>22253</v>
      </c>
      <c r="M4458" s="103" t="str">
        <f t="shared" si="348"/>
        <v>http://oconnordata.com/mlink/modules/profile/index.cfm?action=profile&amp;prop_id=14455</v>
      </c>
      <c r="N4458" s="1">
        <f t="shared" si="349"/>
        <v>14455</v>
      </c>
    </row>
    <row r="4459" spans="1:14" x14ac:dyDescent="0.3">
      <c r="A4459" s="1">
        <v>14456</v>
      </c>
      <c r="B4459" s="7" t="s">
        <v>6792</v>
      </c>
      <c r="C4459" s="12">
        <v>901</v>
      </c>
      <c r="D4459" s="7" t="s">
        <v>6793</v>
      </c>
      <c r="E4459" s="13" t="s">
        <v>6555</v>
      </c>
      <c r="F4459" t="str">
        <f t="shared" si="345"/>
        <v>Greenway</v>
      </c>
      <c r="G4459" t="str">
        <f t="shared" si="346"/>
        <v>Greenway901Arlington</v>
      </c>
      <c r="H4459" t="s">
        <v>35316</v>
      </c>
      <c r="I4459" t="s">
        <v>26739</v>
      </c>
      <c r="J4459" t="str">
        <f t="shared" si="347"/>
        <v>E:\PropInv\MF</v>
      </c>
      <c r="K4459" s="103" t="str">
        <f>HYPERLINK("E:\PropInv\MF\Arlington\Greenway Glen_901_Polo Run_Arlington_14456","Greenway Glen_901_Polo Run_Arlington_14456" )</f>
        <v>Greenway Glen_901_Polo Run_Arlington_14456</v>
      </c>
      <c r="L4459" s="104" t="s">
        <v>22253</v>
      </c>
      <c r="M4459" s="103" t="str">
        <f t="shared" si="348"/>
        <v>http://oconnordata.com/mlink/modules/profile/index.cfm?action=profile&amp;prop_id=14456</v>
      </c>
      <c r="N4459" s="1">
        <f t="shared" si="349"/>
        <v>14456</v>
      </c>
    </row>
    <row r="4460" spans="1:14" x14ac:dyDescent="0.3">
      <c r="A4460" s="1">
        <v>14457</v>
      </c>
      <c r="B4460" s="7" t="s">
        <v>6630</v>
      </c>
      <c r="C4460" s="12">
        <v>1224</v>
      </c>
      <c r="D4460" s="7" t="s">
        <v>6794</v>
      </c>
      <c r="E4460" s="13" t="s">
        <v>6555</v>
      </c>
      <c r="F4460" t="str">
        <f t="shared" si="345"/>
        <v>Lamar</v>
      </c>
      <c r="G4460" t="str">
        <f t="shared" si="346"/>
        <v>Lamar1224Arlington</v>
      </c>
      <c r="H4460" t="s">
        <v>35317</v>
      </c>
      <c r="I4460" t="s">
        <v>26740</v>
      </c>
      <c r="J4460" t="str">
        <f t="shared" si="347"/>
        <v>E:\PropInv\MF</v>
      </c>
      <c r="K4460" s="103" t="str">
        <f>HYPERLINK("E:\PropInv\MF\Arlington\Lamar Blvd E_1224_The Ponde_Arlington_14457","Lamar Blvd E_1224_The Ponde_Arlington_14457" )</f>
        <v>Lamar Blvd E_1224_The Ponde_Arlington_14457</v>
      </c>
      <c r="L4460" s="104" t="s">
        <v>22253</v>
      </c>
      <c r="M4460" s="103" t="str">
        <f t="shared" si="348"/>
        <v>http://oconnordata.com/mlink/modules/profile/index.cfm?action=profile&amp;prop_id=14457</v>
      </c>
      <c r="N4460" s="1">
        <f t="shared" si="349"/>
        <v>14457</v>
      </c>
    </row>
    <row r="4461" spans="1:14" x14ac:dyDescent="0.3">
      <c r="A4461" s="1">
        <v>14458</v>
      </c>
      <c r="B4461" s="7" t="s">
        <v>6768</v>
      </c>
      <c r="C4461" s="12">
        <v>2500</v>
      </c>
      <c r="D4461" s="7" t="s">
        <v>6795</v>
      </c>
      <c r="E4461" s="13" t="s">
        <v>6555</v>
      </c>
      <c r="F4461" t="str">
        <f t="shared" si="345"/>
        <v>Ascension</v>
      </c>
      <c r="G4461" t="str">
        <f t="shared" si="346"/>
        <v>Ascension2500Arlington</v>
      </c>
      <c r="H4461" t="s">
        <v>35318</v>
      </c>
      <c r="I4461" t="s">
        <v>26741</v>
      </c>
      <c r="J4461" t="str">
        <f t="shared" si="347"/>
        <v>E:\PropInv\MF</v>
      </c>
      <c r="K4461" s="103" t="str">
        <f>HYPERLINK("E:\PropInv\MF\Arlington\Ascension Blvd_2500_Ascension Point_Arlington_14458","Ascension Blvd_2500_Ascension Point_Arlington_14458" )</f>
        <v>Ascension Blvd_2500_Ascension Point_Arlington_14458</v>
      </c>
      <c r="L4461" s="104" t="s">
        <v>22253</v>
      </c>
      <c r="M4461" s="103" t="str">
        <f t="shared" si="348"/>
        <v>http://oconnordata.com/mlink/modules/profile/index.cfm?action=profile&amp;prop_id=14458</v>
      </c>
      <c r="N4461" s="1">
        <f t="shared" si="349"/>
        <v>14458</v>
      </c>
    </row>
    <row r="4462" spans="1:14" x14ac:dyDescent="0.3">
      <c r="A4462" s="1">
        <v>14459</v>
      </c>
      <c r="B4462" s="7" t="s">
        <v>6796</v>
      </c>
      <c r="C4462" s="12">
        <v>1601</v>
      </c>
      <c r="D4462" s="7" t="s">
        <v>6797</v>
      </c>
      <c r="E4462" s="13" t="s">
        <v>6555</v>
      </c>
      <c r="F4462" t="str">
        <f t="shared" si="345"/>
        <v>Arbrook</v>
      </c>
      <c r="G4462" t="str">
        <f t="shared" si="346"/>
        <v>Arbrook1601Arlington</v>
      </c>
      <c r="H4462" t="s">
        <v>35319</v>
      </c>
      <c r="I4462" t="s">
        <v>26742</v>
      </c>
      <c r="J4462" t="str">
        <f t="shared" si="347"/>
        <v>E:\PropInv\MF</v>
      </c>
      <c r="K4462" s="103" t="str">
        <f>HYPERLINK("E:\PropInv\MF\Arlington\Arbrook Blvd W_1601_Providence In The Park_Arlington_14459","Arbrook Blvd W_1601_Providence In The Park_Arlington_14459" )</f>
        <v>Arbrook Blvd W_1601_Providence In The Park_Arlington_14459</v>
      </c>
      <c r="L4462" s="104" t="s">
        <v>22253</v>
      </c>
      <c r="M4462" s="103" t="str">
        <f t="shared" si="348"/>
        <v>http://oconnordata.com/mlink/modules/profile/index.cfm?action=profile&amp;prop_id=14459</v>
      </c>
      <c r="N4462" s="1">
        <f t="shared" si="349"/>
        <v>14459</v>
      </c>
    </row>
    <row r="4463" spans="1:14" x14ac:dyDescent="0.3">
      <c r="A4463" s="1">
        <v>14460</v>
      </c>
      <c r="B4463" s="7" t="s">
        <v>6798</v>
      </c>
      <c r="C4463" s="12">
        <v>3830</v>
      </c>
      <c r="D4463" s="7" t="s">
        <v>3311</v>
      </c>
      <c r="E4463" s="13" t="s">
        <v>6799</v>
      </c>
      <c r="F4463" t="str">
        <f t="shared" si="345"/>
        <v>Booth</v>
      </c>
      <c r="G4463" t="str">
        <f t="shared" si="346"/>
        <v>Booth3830Richland Hills</v>
      </c>
      <c r="H4463" t="s">
        <v>35320</v>
      </c>
      <c r="I4463" t="s">
        <v>26743</v>
      </c>
      <c r="J4463" t="str">
        <f t="shared" si="347"/>
        <v>E:\PropInv\MF</v>
      </c>
      <c r="K4463" s="103" t="str">
        <f>HYPERLINK("E:\PropInv\MF\Richland Hills\Booth Calloway_3830_Raintree_Richland Hills_14460","Booth Calloway_3830_Raintree_Richland Hills_14460" )</f>
        <v>Booth Calloway_3830_Raintree_Richland Hills_14460</v>
      </c>
      <c r="L4463" s="104" t="s">
        <v>22253</v>
      </c>
      <c r="M4463" s="103" t="str">
        <f t="shared" si="348"/>
        <v>http://oconnordata.com/mlink/modules/profile/index.cfm?action=profile&amp;prop_id=14460</v>
      </c>
      <c r="N4463" s="1">
        <f t="shared" si="349"/>
        <v>14460</v>
      </c>
    </row>
    <row r="4464" spans="1:14" x14ac:dyDescent="0.3">
      <c r="A4464" s="1">
        <v>14461</v>
      </c>
      <c r="B4464" s="10" t="s">
        <v>6800</v>
      </c>
      <c r="C4464" s="9">
        <v>8901</v>
      </c>
      <c r="D4464" s="10" t="s">
        <v>6801</v>
      </c>
      <c r="E4464" s="11" t="s">
        <v>5014</v>
      </c>
      <c r="F4464" t="str">
        <f t="shared" si="345"/>
        <v>Meadowbrook</v>
      </c>
      <c r="G4464" t="str">
        <f t="shared" si="346"/>
        <v>Meadowbrook8901Fort Worth</v>
      </c>
      <c r="H4464" t="s">
        <v>35321</v>
      </c>
      <c r="I4464" t="s">
        <v>26744</v>
      </c>
      <c r="J4464" t="str">
        <f t="shared" si="347"/>
        <v>E:\PropInv\MF</v>
      </c>
      <c r="K4464" s="103" t="str">
        <f>HYPERLINK("E:\PropInv\MF\Fort Worth\Meadowbrook Blvd_8901_La Jolla on Meadowbrook_Fort Worth_14461","Meadowbrook Blvd_8901_La Jolla on Meadowbrook_Fort Worth_14461" )</f>
        <v>Meadowbrook Blvd_8901_La Jolla on Meadowbrook_Fort Worth_14461</v>
      </c>
      <c r="L4464" s="104" t="s">
        <v>22253</v>
      </c>
      <c r="M4464" s="103" t="str">
        <f t="shared" si="348"/>
        <v>http://oconnordata.com/mlink/modules/profile/index.cfm?action=profile&amp;prop_id=14461</v>
      </c>
      <c r="N4464" s="1">
        <f t="shared" si="349"/>
        <v>14461</v>
      </c>
    </row>
    <row r="4465" spans="1:14" x14ac:dyDescent="0.3">
      <c r="A4465" s="1">
        <v>14462</v>
      </c>
      <c r="B4465" s="7" t="s">
        <v>6802</v>
      </c>
      <c r="C4465" s="12">
        <v>2450</v>
      </c>
      <c r="D4465" s="7" t="s">
        <v>6803</v>
      </c>
      <c r="E4465" s="13" t="s">
        <v>5014</v>
      </c>
      <c r="F4465" t="str">
        <f t="shared" si="345"/>
        <v>Oak</v>
      </c>
      <c r="G4465" t="str">
        <f t="shared" si="346"/>
        <v>Oak2450Fort Worth</v>
      </c>
      <c r="H4465" t="s">
        <v>35322</v>
      </c>
      <c r="I4465" t="s">
        <v>26745</v>
      </c>
      <c r="J4465" t="str">
        <f t="shared" si="347"/>
        <v>E:\PropInv\MF</v>
      </c>
      <c r="K4465" s="103" t="str">
        <f>HYPERLINK("E:\PropInv\MF\Fort Worth\Oak Hill Cir_2450_Orion at Oak Hill_Fort Worth_14462","Oak Hill Cir_2450_Orion at Oak Hill_Fort Worth_14462" )</f>
        <v>Oak Hill Cir_2450_Orion at Oak Hill_Fort Worth_14462</v>
      </c>
      <c r="L4465" s="104" t="s">
        <v>22253</v>
      </c>
      <c r="M4465" s="103" t="str">
        <f t="shared" si="348"/>
        <v>http://oconnordata.com/mlink/modules/profile/index.cfm?action=profile&amp;prop_id=14462</v>
      </c>
      <c r="N4465" s="1">
        <f t="shared" si="349"/>
        <v>14462</v>
      </c>
    </row>
    <row r="4466" spans="1:14" x14ac:dyDescent="0.3">
      <c r="A4466" s="1">
        <v>14463</v>
      </c>
      <c r="B4466" s="7" t="s">
        <v>6804</v>
      </c>
      <c r="C4466" s="12">
        <v>1000</v>
      </c>
      <c r="D4466" s="7" t="s">
        <v>6805</v>
      </c>
      <c r="E4466" s="13" t="s">
        <v>5014</v>
      </c>
      <c r="F4466" t="str">
        <f t="shared" si="345"/>
        <v>Henderson</v>
      </c>
      <c r="G4466" t="str">
        <f t="shared" si="346"/>
        <v>Henderson1000Fort Worth</v>
      </c>
      <c r="H4466" t="s">
        <v>35323</v>
      </c>
      <c r="I4466" t="s">
        <v>26746</v>
      </c>
      <c r="J4466" t="str">
        <f t="shared" si="347"/>
        <v>E:\PropInv\MF</v>
      </c>
      <c r="K4466" s="103" t="str">
        <f>HYPERLINK("E:\PropInv\MF\Fort Worth\Henderson St_1000_AMLI at Upper West Side_Fort Worth_14463","Henderson St_1000_AMLI at Upper West Side_Fort Worth_14463" )</f>
        <v>Henderson St_1000_AMLI at Upper West Side_Fort Worth_14463</v>
      </c>
      <c r="L4466" s="104" t="s">
        <v>22253</v>
      </c>
      <c r="M4466" s="103" t="str">
        <f t="shared" si="348"/>
        <v>http://oconnordata.com/mlink/modules/profile/index.cfm?action=profile&amp;prop_id=14463</v>
      </c>
      <c r="N4466" s="1">
        <f t="shared" si="349"/>
        <v>14463</v>
      </c>
    </row>
    <row r="4467" spans="1:14" x14ac:dyDescent="0.3">
      <c r="A4467" s="1">
        <v>14464</v>
      </c>
      <c r="B4467" s="7" t="s">
        <v>6806</v>
      </c>
      <c r="C4467" s="12">
        <v>2711</v>
      </c>
      <c r="D4467" s="7" t="s">
        <v>6807</v>
      </c>
      <c r="E4467" s="13" t="s">
        <v>6555</v>
      </c>
      <c r="F4467" t="str">
        <f t="shared" si="345"/>
        <v>Trinity</v>
      </c>
      <c r="G4467" t="str">
        <f t="shared" si="346"/>
        <v>Trinity2711Arlington</v>
      </c>
      <c r="H4467" t="s">
        <v>35324</v>
      </c>
      <c r="I4467" t="s">
        <v>26747</v>
      </c>
      <c r="J4467" t="str">
        <f t="shared" si="347"/>
        <v>E:\PropInv\MF</v>
      </c>
      <c r="K4467" s="103" t="str">
        <f>HYPERLINK("E:\PropInv\MF\Arlington\Trinity Bend Cir_2711_Riverbend Village_Arlington_14464","Trinity Bend Cir_2711_Riverbend Village_Arlington_14464" )</f>
        <v>Trinity Bend Cir_2711_Riverbend Village_Arlington_14464</v>
      </c>
      <c r="L4467" s="104" t="s">
        <v>22253</v>
      </c>
      <c r="M4467" s="103" t="str">
        <f t="shared" si="348"/>
        <v>http://oconnordata.com/mlink/modules/profile/index.cfm?action=profile&amp;prop_id=14464</v>
      </c>
      <c r="N4467" s="1">
        <f t="shared" si="349"/>
        <v>14464</v>
      </c>
    </row>
    <row r="4468" spans="1:14" x14ac:dyDescent="0.3">
      <c r="A4468" s="1">
        <v>14465</v>
      </c>
      <c r="B4468" s="7" t="s">
        <v>6740</v>
      </c>
      <c r="C4468" s="12">
        <v>3451</v>
      </c>
      <c r="D4468" s="7" t="s">
        <v>6808</v>
      </c>
      <c r="E4468" s="13" t="s">
        <v>5014</v>
      </c>
      <c r="F4468" t="str">
        <f t="shared" si="345"/>
        <v>River</v>
      </c>
      <c r="G4468" t="str">
        <f t="shared" si="346"/>
        <v>River3451Fort Worth</v>
      </c>
      <c r="H4468" t="s">
        <v>35325</v>
      </c>
      <c r="I4468" t="s">
        <v>26748</v>
      </c>
      <c r="J4468" t="str">
        <f t="shared" si="347"/>
        <v>E:\PropInv\MF</v>
      </c>
      <c r="K4468" s="103" t="str">
        <f>HYPERLINK("E:\PropInv\MF\Fort Worth\River Park Dr_3451_River Park Place_Fort Worth_14465","River Park Dr_3451_River Park Place_Fort Worth_14465" )</f>
        <v>River Park Dr_3451_River Park Place_Fort Worth_14465</v>
      </c>
      <c r="L4468" s="104" t="s">
        <v>22253</v>
      </c>
      <c r="M4468" s="103" t="str">
        <f t="shared" si="348"/>
        <v>http://oconnordata.com/mlink/modules/profile/index.cfm?action=profile&amp;prop_id=14465</v>
      </c>
      <c r="N4468" s="1">
        <f t="shared" si="349"/>
        <v>14465</v>
      </c>
    </row>
    <row r="4469" spans="1:14" x14ac:dyDescent="0.3">
      <c r="A4469" s="1">
        <v>14466</v>
      </c>
      <c r="B4469" s="7" t="s">
        <v>6809</v>
      </c>
      <c r="C4469" s="12">
        <v>5100</v>
      </c>
      <c r="D4469" s="7" t="s">
        <v>6810</v>
      </c>
      <c r="E4469" s="13" t="s">
        <v>5014</v>
      </c>
      <c r="F4469" t="str">
        <f t="shared" si="345"/>
        <v>River</v>
      </c>
      <c r="G4469" t="str">
        <f t="shared" si="346"/>
        <v>River5100Fort Worth</v>
      </c>
      <c r="H4469" t="s">
        <v>35326</v>
      </c>
      <c r="I4469" t="s">
        <v>26749</v>
      </c>
      <c r="J4469" t="str">
        <f t="shared" si="347"/>
        <v>E:\PropInv\MF</v>
      </c>
      <c r="K4469" s="103" t="str">
        <f>HYPERLINK("E:\PropInv\MF\Fort Worth\River Valley Blvd_5100_River Ranch_Fort Worth_14466","River Valley Blvd_5100_River Ranch_Fort Worth_14466" )</f>
        <v>River Valley Blvd_5100_River Ranch_Fort Worth_14466</v>
      </c>
      <c r="L4469" s="104" t="s">
        <v>22253</v>
      </c>
      <c r="M4469" s="103" t="str">
        <f t="shared" si="348"/>
        <v>http://oconnordata.com/mlink/modules/profile/index.cfm?action=profile&amp;prop_id=14466</v>
      </c>
      <c r="N4469" s="1">
        <f t="shared" si="349"/>
        <v>14466</v>
      </c>
    </row>
    <row r="4470" spans="1:14" x14ac:dyDescent="0.3">
      <c r="A4470" s="1">
        <v>14467</v>
      </c>
      <c r="B4470" s="7" t="s">
        <v>6740</v>
      </c>
      <c r="C4470" s="12">
        <v>3450</v>
      </c>
      <c r="D4470" s="7" t="s">
        <v>1313</v>
      </c>
      <c r="E4470" s="13" t="s">
        <v>5014</v>
      </c>
      <c r="F4470" t="str">
        <f t="shared" si="345"/>
        <v>River</v>
      </c>
      <c r="G4470" t="str">
        <f t="shared" si="346"/>
        <v>River3450Fort Worth</v>
      </c>
      <c r="H4470" t="s">
        <v>35327</v>
      </c>
      <c r="I4470" t="s">
        <v>26750</v>
      </c>
      <c r="J4470" t="str">
        <f t="shared" si="347"/>
        <v>E:\PropInv\MF</v>
      </c>
      <c r="K4470" s="103" t="str">
        <f>HYPERLINK("E:\PropInv\MF\Fort Worth\River Park Dr_3450_Riverstone_Fort Worth_14467","River Park Dr_3450_Riverstone_Fort Worth_14467" )</f>
        <v>River Park Dr_3450_Riverstone_Fort Worth_14467</v>
      </c>
      <c r="L4470" s="104" t="s">
        <v>22253</v>
      </c>
      <c r="M4470" s="103" t="str">
        <f t="shared" si="348"/>
        <v>http://oconnordata.com/mlink/modules/profile/index.cfm?action=profile&amp;prop_id=14467</v>
      </c>
      <c r="N4470" s="1">
        <f t="shared" si="349"/>
        <v>14467</v>
      </c>
    </row>
    <row r="4471" spans="1:14" x14ac:dyDescent="0.3">
      <c r="A4471" s="1">
        <v>14468</v>
      </c>
      <c r="B4471" s="10" t="s">
        <v>6706</v>
      </c>
      <c r="C4471" s="9">
        <v>2050</v>
      </c>
      <c r="D4471" s="10" t="s">
        <v>6811</v>
      </c>
      <c r="E4471" s="11" t="s">
        <v>6578</v>
      </c>
      <c r="F4471" t="str">
        <f t="shared" si="345"/>
        <v>Grayson</v>
      </c>
      <c r="G4471" t="str">
        <f t="shared" si="346"/>
        <v>Grayson2050Grapevine</v>
      </c>
      <c r="H4471" t="s">
        <v>35328</v>
      </c>
      <c r="I4471" t="s">
        <v>26751</v>
      </c>
      <c r="J4471" t="str">
        <f t="shared" si="347"/>
        <v>E:\PropInv\MF</v>
      </c>
      <c r="K4471" s="103" t="str">
        <f>HYPERLINK("E:\PropInv\MF\Grapevine\Grayson Dr_2050_The Royal St. Moritz_Grapevine_14468","Grayson Dr_2050_The Royal St. Moritz_Grapevine_14468" )</f>
        <v>Grayson Dr_2050_The Royal St. Moritz_Grapevine_14468</v>
      </c>
      <c r="L4471" s="104" t="s">
        <v>22253</v>
      </c>
      <c r="M4471" s="103" t="str">
        <f t="shared" si="348"/>
        <v>http://oconnordata.com/mlink/modules/profile/index.cfm?action=profile&amp;prop_id=14468</v>
      </c>
      <c r="N4471" s="1">
        <f t="shared" si="349"/>
        <v>14468</v>
      </c>
    </row>
    <row r="4472" spans="1:14" x14ac:dyDescent="0.3">
      <c r="A4472" s="1">
        <v>14470</v>
      </c>
      <c r="B4472" s="10" t="s">
        <v>6812</v>
      </c>
      <c r="C4472" s="9">
        <v>6250</v>
      </c>
      <c r="D4472" s="10" t="s">
        <v>6813</v>
      </c>
      <c r="E4472" s="11" t="s">
        <v>5014</v>
      </c>
      <c r="F4472" t="str">
        <f t="shared" si="345"/>
        <v>Granbury</v>
      </c>
      <c r="G4472" t="str">
        <f t="shared" si="346"/>
        <v>Granbury6250Fort Worth</v>
      </c>
      <c r="H4472" t="s">
        <v>35329</v>
      </c>
      <c r="I4472" t="s">
        <v>26752</v>
      </c>
      <c r="J4472" t="str">
        <f t="shared" si="347"/>
        <v>E:\PropInv\MF</v>
      </c>
      <c r="K4472" s="103" t="str">
        <f>HYPERLINK("E:\PropInv\MF\Fort Worth\Granbury Cut-Off_6250_The Villas at LeBlanc_Fort Worth_14470","Granbury Cut-Off_6250_The Villas at LeBlanc_Fort Worth_14470" )</f>
        <v>Granbury Cut-Off_6250_The Villas at LeBlanc_Fort Worth_14470</v>
      </c>
      <c r="L4472" s="104" t="s">
        <v>22253</v>
      </c>
      <c r="M4472" s="103" t="str">
        <f t="shared" si="348"/>
        <v>http://oconnordata.com/mlink/modules/profile/index.cfm?action=profile&amp;prop_id=14470</v>
      </c>
      <c r="N4472" s="1">
        <f t="shared" si="349"/>
        <v>14470</v>
      </c>
    </row>
    <row r="4473" spans="1:14" x14ac:dyDescent="0.3">
      <c r="A4473" s="1">
        <v>14471</v>
      </c>
      <c r="B4473" s="10" t="s">
        <v>6814</v>
      </c>
      <c r="C4473" s="9">
        <v>1516</v>
      </c>
      <c r="D4473" s="10" t="s">
        <v>613</v>
      </c>
      <c r="E4473" s="11" t="s">
        <v>6555</v>
      </c>
      <c r="F4473" t="str">
        <f t="shared" si="345"/>
        <v>Arbor</v>
      </c>
      <c r="G4473" t="str">
        <f t="shared" si="346"/>
        <v>Arbor1516Arlington</v>
      </c>
      <c r="H4473" t="s">
        <v>35330</v>
      </c>
      <c r="I4473" t="s">
        <v>26753</v>
      </c>
      <c r="J4473" t="str">
        <f t="shared" si="347"/>
        <v>E:\PropInv\MF</v>
      </c>
      <c r="K4473" s="103" t="str">
        <f>HYPERLINK("E:\PropInv\MF\Arlington\Arbor Town Cir_1516_Sedona Springs_Arlington_14471","Arbor Town Cir_1516_Sedona Springs_Arlington_14471" )</f>
        <v>Arbor Town Cir_1516_Sedona Springs_Arlington_14471</v>
      </c>
      <c r="L4473" s="104" t="s">
        <v>22253</v>
      </c>
      <c r="M4473" s="103" t="str">
        <f t="shared" si="348"/>
        <v>http://oconnordata.com/mlink/modules/profile/index.cfm?action=profile&amp;prop_id=14471</v>
      </c>
      <c r="N4473" s="1">
        <f t="shared" si="349"/>
        <v>14471</v>
      </c>
    </row>
    <row r="4474" spans="1:14" x14ac:dyDescent="0.3">
      <c r="A4474" s="1">
        <v>14472</v>
      </c>
      <c r="B4474" s="10" t="s">
        <v>6745</v>
      </c>
      <c r="C4474" s="9">
        <v>2500</v>
      </c>
      <c r="D4474" s="10" t="s">
        <v>6815</v>
      </c>
      <c r="E4474" s="11" t="s">
        <v>5781</v>
      </c>
      <c r="F4474" t="str">
        <f t="shared" si="345"/>
        <v>121</v>
      </c>
      <c r="G4474" t="str">
        <f t="shared" si="346"/>
        <v>1212500Euless</v>
      </c>
      <c r="H4474" t="s">
        <v>35331</v>
      </c>
      <c r="I4474" t="s">
        <v>26754</v>
      </c>
      <c r="J4474" t="str">
        <f t="shared" si="347"/>
        <v>E:\PropInv\MF</v>
      </c>
      <c r="K4474" s="103" t="str">
        <f>HYPERLINK("E:\PropInv\MF\Euless\121 SH_2500_Seramont_Euless_14472","121 SH_2500_Seramont_Euless_14472" )</f>
        <v>121 SH_2500_Seramont_Euless_14472</v>
      </c>
      <c r="L4474" s="104" t="s">
        <v>22253</v>
      </c>
      <c r="M4474" s="103" t="str">
        <f t="shared" si="348"/>
        <v>http://oconnordata.com/mlink/modules/profile/index.cfm?action=profile&amp;prop_id=14472</v>
      </c>
      <c r="N4474" s="1">
        <f t="shared" si="349"/>
        <v>14472</v>
      </c>
    </row>
    <row r="4475" spans="1:14" x14ac:dyDescent="0.3">
      <c r="A4475" s="1">
        <v>14473</v>
      </c>
      <c r="B4475" s="10" t="s">
        <v>6816</v>
      </c>
      <c r="C4475" s="9">
        <v>6715</v>
      </c>
      <c r="D4475" s="10" t="s">
        <v>396</v>
      </c>
      <c r="E4475" s="11" t="s">
        <v>6541</v>
      </c>
      <c r="F4475" t="str">
        <f t="shared" si="345"/>
        <v>Buenos</v>
      </c>
      <c r="G4475" t="str">
        <f t="shared" si="346"/>
        <v>Buenos6715North Richland Hills</v>
      </c>
      <c r="H4475" t="s">
        <v>35332</v>
      </c>
      <c r="I4475" t="s">
        <v>26755</v>
      </c>
      <c r="J4475" t="str">
        <f t="shared" si="347"/>
        <v>E:\PropInv\MF</v>
      </c>
      <c r="K4475" s="103" t="str">
        <f>HYPERLINK("E:\PropInv\MF\North Richland Hills\Buenos Aires Dr_6715_Shadow Creek_North Richland Hills_14473","Buenos Aires Dr_6715_Shadow Creek_North Richland Hills_14473" )</f>
        <v>Buenos Aires Dr_6715_Shadow Creek_North Richland Hills_14473</v>
      </c>
      <c r="L4475" s="104" t="s">
        <v>22253</v>
      </c>
      <c r="M4475" s="103" t="str">
        <f t="shared" si="348"/>
        <v>http://oconnordata.com/mlink/modules/profile/index.cfm?action=profile&amp;prop_id=14473</v>
      </c>
      <c r="N4475" s="1">
        <f t="shared" si="349"/>
        <v>14473</v>
      </c>
    </row>
    <row r="4476" spans="1:14" x14ac:dyDescent="0.3">
      <c r="A4476" s="1">
        <v>14474</v>
      </c>
      <c r="B4476" s="7" t="s">
        <v>6817</v>
      </c>
      <c r="C4476" s="12">
        <v>4001</v>
      </c>
      <c r="D4476" s="7" t="s">
        <v>3452</v>
      </c>
      <c r="E4476" s="13" t="s">
        <v>6555</v>
      </c>
      <c r="F4476" t="str">
        <f t="shared" si="345"/>
        <v>Hamilton</v>
      </c>
      <c r="G4476" t="str">
        <f t="shared" si="346"/>
        <v>Hamilton4001Arlington</v>
      </c>
      <c r="H4476" t="s">
        <v>35333</v>
      </c>
      <c r="I4476" t="s">
        <v>26756</v>
      </c>
      <c r="J4476" t="str">
        <f t="shared" si="347"/>
        <v>E:\PropInv\MF</v>
      </c>
      <c r="K4476" s="103" t="str">
        <f>HYPERLINK("E:\PropInv\MF\Arlington\Hamilton Cir_4001_Shadow Ridge_Arlington_14474","Hamilton Cir_4001_Shadow Ridge_Arlington_14474" )</f>
        <v>Hamilton Cir_4001_Shadow Ridge_Arlington_14474</v>
      </c>
      <c r="L4476" s="104" t="s">
        <v>22253</v>
      </c>
      <c r="M4476" s="103" t="str">
        <f t="shared" si="348"/>
        <v>http://oconnordata.com/mlink/modules/profile/index.cfm?action=profile&amp;prop_id=14474</v>
      </c>
      <c r="N4476" s="1">
        <f t="shared" si="349"/>
        <v>14474</v>
      </c>
    </row>
    <row r="4477" spans="1:14" x14ac:dyDescent="0.3">
      <c r="A4477" s="1">
        <v>14475</v>
      </c>
      <c r="B4477" s="7" t="s">
        <v>6818</v>
      </c>
      <c r="C4477" s="12">
        <v>2500</v>
      </c>
      <c r="D4477" s="7" t="s">
        <v>6819</v>
      </c>
      <c r="E4477" s="13" t="s">
        <v>4942</v>
      </c>
      <c r="F4477" t="str">
        <f t="shared" si="345"/>
        <v>Central</v>
      </c>
      <c r="G4477" t="str">
        <f t="shared" si="346"/>
        <v>Central2500Bedford</v>
      </c>
      <c r="H4477" t="s">
        <v>35334</v>
      </c>
      <c r="I4477" t="s">
        <v>26757</v>
      </c>
      <c r="J4477" t="str">
        <f t="shared" si="347"/>
        <v>E:\PropInv\MF</v>
      </c>
      <c r="K4477" s="103" t="str">
        <f>HYPERLINK("E:\PropInv\MF\Bedford\Central Park Blvd_2500_Colonial Village at Shoal Creek_Bedford_14475","Central Park Blvd_2500_Colonial Village at Shoal Creek_Bedford_14475" )</f>
        <v>Central Park Blvd_2500_Colonial Village at Shoal Creek_Bedford_14475</v>
      </c>
      <c r="L4477" s="104" t="s">
        <v>22253</v>
      </c>
      <c r="M4477" s="103" t="str">
        <f t="shared" si="348"/>
        <v>http://oconnordata.com/mlink/modules/profile/index.cfm?action=profile&amp;prop_id=14475</v>
      </c>
      <c r="N4477" s="1">
        <f t="shared" si="349"/>
        <v>14475</v>
      </c>
    </row>
    <row r="4478" spans="1:14" x14ac:dyDescent="0.3">
      <c r="A4478" s="1">
        <v>14476</v>
      </c>
      <c r="B4478" s="7" t="s">
        <v>6630</v>
      </c>
      <c r="C4478" s="12">
        <v>1100</v>
      </c>
      <c r="D4478" s="7" t="s">
        <v>6820</v>
      </c>
      <c r="E4478" s="13" t="s">
        <v>6555</v>
      </c>
      <c r="F4478" t="str">
        <f t="shared" si="345"/>
        <v>Lamar</v>
      </c>
      <c r="G4478" t="str">
        <f t="shared" si="346"/>
        <v>Lamar1100Arlington</v>
      </c>
      <c r="H4478" t="s">
        <v>35335</v>
      </c>
      <c r="I4478" t="s">
        <v>26758</v>
      </c>
      <c r="J4478" t="str">
        <f t="shared" si="347"/>
        <v>E:\PropInv\MF</v>
      </c>
      <c r="K4478" s="103" t="str">
        <f>HYPERLINK("E:\PropInv\MF\Arlington\Lamar Blvd E_1100_The Shores_Arlington_14476","Lamar Blvd E_1100_The Shores_Arlington_14476" )</f>
        <v>Lamar Blvd E_1100_The Shores_Arlington_14476</v>
      </c>
      <c r="L4478" s="104" t="s">
        <v>22253</v>
      </c>
      <c r="M4478" s="103" t="str">
        <f t="shared" si="348"/>
        <v>http://oconnordata.com/mlink/modules/profile/index.cfm?action=profile&amp;prop_id=14476</v>
      </c>
      <c r="N4478" s="1">
        <f t="shared" si="349"/>
        <v>14476</v>
      </c>
    </row>
    <row r="4479" spans="1:14" x14ac:dyDescent="0.3">
      <c r="A4479" s="1">
        <v>14477</v>
      </c>
      <c r="B4479" s="7" t="s">
        <v>6680</v>
      </c>
      <c r="C4479" s="12">
        <v>8359</v>
      </c>
      <c r="D4479" s="7" t="s">
        <v>6821</v>
      </c>
      <c r="E4479" s="13" t="s">
        <v>6541</v>
      </c>
      <c r="F4479" t="str">
        <f t="shared" si="345"/>
        <v>Harwood</v>
      </c>
      <c r="G4479" t="str">
        <f t="shared" si="346"/>
        <v>Harwood8359North Richland Hills</v>
      </c>
      <c r="H4479" t="s">
        <v>35336</v>
      </c>
      <c r="I4479" t="s">
        <v>26759</v>
      </c>
      <c r="J4479" t="str">
        <f t="shared" si="347"/>
        <v>E:\PropInv\MF</v>
      </c>
      <c r="K4479" s="103" t="str">
        <f>HYPERLINK("E:\PropInv\MF\North Richland Hills\Harwood Rd_8359_Silver Creek by Norstar_North Richland Hills_14477","Harwood Rd_8359_Silver Creek by Norstar_North Richland Hills_14477" )</f>
        <v>Harwood Rd_8359_Silver Creek by Norstar_North Richland Hills_14477</v>
      </c>
      <c r="L4479" s="104" t="s">
        <v>22253</v>
      </c>
      <c r="M4479" s="103" t="str">
        <f t="shared" si="348"/>
        <v>http://oconnordata.com/mlink/modules/profile/index.cfm?action=profile&amp;prop_id=14477</v>
      </c>
      <c r="N4479" s="1">
        <f t="shared" si="349"/>
        <v>14477</v>
      </c>
    </row>
    <row r="4480" spans="1:14" x14ac:dyDescent="0.3">
      <c r="A4480" s="1">
        <v>14478</v>
      </c>
      <c r="B4480" s="7" t="s">
        <v>6822</v>
      </c>
      <c r="C4480" s="12">
        <v>3701</v>
      </c>
      <c r="D4480" s="7" t="s">
        <v>6823</v>
      </c>
      <c r="E4480" s="13" t="s">
        <v>6578</v>
      </c>
      <c r="F4480" t="str">
        <f t="shared" si="345"/>
        <v>Grapevine</v>
      </c>
      <c r="G4480" t="str">
        <f t="shared" si="346"/>
        <v>Grapevine3701Grapevine</v>
      </c>
      <c r="H4480" t="s">
        <v>35337</v>
      </c>
      <c r="I4480" t="s">
        <v>26760</v>
      </c>
      <c r="J4480" t="str">
        <f t="shared" si="347"/>
        <v>E:\PropInv\MF</v>
      </c>
      <c r="K4480" s="103" t="str">
        <f>HYPERLINK("E:\PropInv\MF\Grapevine\Grapevine Mills Pkwy_3701_The Marquis at Silver Oaks_Grapevine_14478","Grapevine Mills Pkwy_3701_The Marquis at Silver Oaks_Grapevine_14478" )</f>
        <v>Grapevine Mills Pkwy_3701_The Marquis at Silver Oaks_Grapevine_14478</v>
      </c>
      <c r="L4480" s="104" t="s">
        <v>22253</v>
      </c>
      <c r="M4480" s="103" t="str">
        <f t="shared" si="348"/>
        <v>http://oconnordata.com/mlink/modules/profile/index.cfm?action=profile&amp;prop_id=14478</v>
      </c>
      <c r="N4480" s="1">
        <f t="shared" si="349"/>
        <v>14478</v>
      </c>
    </row>
    <row r="4481" spans="1:14" x14ac:dyDescent="0.3">
      <c r="A4481" s="1">
        <v>14479</v>
      </c>
      <c r="B4481" s="7" t="s">
        <v>6824</v>
      </c>
      <c r="C4481" s="12">
        <v>2624</v>
      </c>
      <c r="D4481" s="7" t="s">
        <v>6825</v>
      </c>
      <c r="E4481" s="13" t="s">
        <v>6555</v>
      </c>
      <c r="F4481" t="str">
        <f t="shared" si="345"/>
        <v>Southern</v>
      </c>
      <c r="G4481" t="str">
        <f t="shared" si="346"/>
        <v>Southern2624Arlington</v>
      </c>
      <c r="H4481" t="s">
        <v>35338</v>
      </c>
      <c r="I4481" t="s">
        <v>26761</v>
      </c>
      <c r="J4481" t="str">
        <f t="shared" si="347"/>
        <v>E:\PropInv\MF</v>
      </c>
      <c r="K4481" s="103" t="str">
        <f>HYPERLINK("E:\PropInv\MF\Arlington\Southern Hills Blvd_2624_Southern Hills_Arlington_14479","Southern Hills Blvd_2624_Southern Hills_Arlington_14479" )</f>
        <v>Southern Hills Blvd_2624_Southern Hills_Arlington_14479</v>
      </c>
      <c r="L4481" s="104" t="s">
        <v>22253</v>
      </c>
      <c r="M4481" s="103" t="str">
        <f t="shared" si="348"/>
        <v>http://oconnordata.com/mlink/modules/profile/index.cfm?action=profile&amp;prop_id=14479</v>
      </c>
      <c r="N4481" s="1">
        <f t="shared" si="349"/>
        <v>14479</v>
      </c>
    </row>
    <row r="4482" spans="1:14" x14ac:dyDescent="0.3">
      <c r="A4482" s="1">
        <v>14480</v>
      </c>
      <c r="B4482" s="10" t="s">
        <v>6732</v>
      </c>
      <c r="C4482" s="9">
        <v>5301</v>
      </c>
      <c r="D4482" s="10" t="s">
        <v>2316</v>
      </c>
      <c r="E4482" s="11" t="s">
        <v>6581</v>
      </c>
      <c r="F4482" t="str">
        <f t="shared" ref="F4482:F4545" si="350">IFERROR(LEFT(B4482,FIND(" ",B4482)-1),B4482)</f>
        <v>Springlake</v>
      </c>
      <c r="G4482" t="str">
        <f t="shared" ref="G4482:G4545" si="351">F4482&amp;C4482&amp;E4482</f>
        <v>Springlake5301Haltom City</v>
      </c>
      <c r="H4482" t="s">
        <v>35339</v>
      </c>
      <c r="I4482" t="s">
        <v>26762</v>
      </c>
      <c r="J4482" t="str">
        <f t="shared" ref="J4482:J4545" si="352">IF(L4482="TX",Folder_Path,Folder_Path&amp;"\State_"&amp;L4482)</f>
        <v>E:\PropInv\MF</v>
      </c>
      <c r="K4482" s="103" t="str">
        <f>HYPERLINK("E:\PropInv\MF\Haltom City\Springlake Pkwy_5301_Spring Lake_Haltom City_14480","Springlake Pkwy_5301_Spring Lake_Haltom City_14480" )</f>
        <v>Springlake Pkwy_5301_Spring Lake_Haltom City_14480</v>
      </c>
      <c r="L4482" s="104" t="s">
        <v>22253</v>
      </c>
      <c r="M4482" s="103" t="str">
        <f t="shared" ref="M4482:M4545" si="353">HYPERLINK("http://oconnordata.com/mlink/modules/profile/index.cfm?action=profile&amp;prop_id="&amp;A4482)</f>
        <v>http://oconnordata.com/mlink/modules/profile/index.cfm?action=profile&amp;prop_id=14480</v>
      </c>
      <c r="N4482" s="1">
        <f t="shared" ref="N4482:N4545" si="354">IF(LEN(A4482)=1,"0000"&amp;A4482,IF(LEN(A4482)=2,"000"&amp;A4482,IF(LEN(A4482)=3,"00"&amp;A4482,IF(LEN(A4482)=4,"0"&amp;A4482,IF(LEN(A4482)=5,IF(LEFT(A4482,1)="3",A4482+30000,A4482))))))</f>
        <v>14480</v>
      </c>
    </row>
    <row r="4483" spans="1:14" x14ac:dyDescent="0.3">
      <c r="A4483" s="1">
        <v>14481</v>
      </c>
      <c r="B4483" s="7" t="s">
        <v>6826</v>
      </c>
      <c r="C4483" s="12">
        <v>807</v>
      </c>
      <c r="D4483" s="7" t="s">
        <v>5015</v>
      </c>
      <c r="E4483" s="13" t="s">
        <v>5781</v>
      </c>
      <c r="F4483" t="str">
        <f t="shared" si="350"/>
        <v>Main</v>
      </c>
      <c r="G4483" t="str">
        <f t="shared" si="351"/>
        <v>Main807Euless</v>
      </c>
      <c r="H4483" t="s">
        <v>35340</v>
      </c>
      <c r="I4483" t="s">
        <v>26763</v>
      </c>
      <c r="J4483" t="str">
        <f t="shared" si="352"/>
        <v>E:\PropInv\MF</v>
      </c>
      <c r="K4483" s="103" t="str">
        <f>HYPERLINK("E:\PropInv\MF\Euless\Main S_807_Spring Valley_Euless_14481","Main S_807_Spring Valley_Euless_14481" )</f>
        <v>Main S_807_Spring Valley_Euless_14481</v>
      </c>
      <c r="L4483" s="104" t="s">
        <v>22253</v>
      </c>
      <c r="M4483" s="103" t="str">
        <f t="shared" si="353"/>
        <v>http://oconnordata.com/mlink/modules/profile/index.cfm?action=profile&amp;prop_id=14481</v>
      </c>
      <c r="N4483" s="1">
        <f t="shared" si="354"/>
        <v>14481</v>
      </c>
    </row>
    <row r="4484" spans="1:14" x14ac:dyDescent="0.3">
      <c r="A4484" s="1">
        <v>14483</v>
      </c>
      <c r="B4484" s="7" t="s">
        <v>6827</v>
      </c>
      <c r="C4484" s="12">
        <v>2801</v>
      </c>
      <c r="D4484" s="7" t="s">
        <v>6828</v>
      </c>
      <c r="E4484" s="13" t="s">
        <v>6555</v>
      </c>
      <c r="F4484" t="str">
        <f t="shared" si="350"/>
        <v>Turnberry</v>
      </c>
      <c r="G4484" t="str">
        <f t="shared" si="351"/>
        <v>Turnberry2801Arlington</v>
      </c>
      <c r="H4484" t="s">
        <v>35341</v>
      </c>
      <c r="I4484" t="s">
        <v>26764</v>
      </c>
      <c r="J4484" t="str">
        <f t="shared" si="352"/>
        <v>E:\PropInv\MF</v>
      </c>
      <c r="K4484" s="103" t="str">
        <f>HYPERLINK("E:\PropInv\MF\Arlington\Turnberry Dr_2801_St. Andrews at River Park_Arlington_14483","Turnberry Dr_2801_St. Andrews at River Park_Arlington_14483" )</f>
        <v>Turnberry Dr_2801_St. Andrews at River Park_Arlington_14483</v>
      </c>
      <c r="L4484" s="104" t="s">
        <v>22253</v>
      </c>
      <c r="M4484" s="103" t="str">
        <f t="shared" si="353"/>
        <v>http://oconnordata.com/mlink/modules/profile/index.cfm?action=profile&amp;prop_id=14483</v>
      </c>
      <c r="N4484" s="1">
        <f t="shared" si="354"/>
        <v>14483</v>
      </c>
    </row>
    <row r="4485" spans="1:14" x14ac:dyDescent="0.3">
      <c r="A4485" s="1">
        <v>14484</v>
      </c>
      <c r="B4485" s="7" t="s">
        <v>6802</v>
      </c>
      <c r="C4485" s="12">
        <v>2501</v>
      </c>
      <c r="D4485" s="7" t="s">
        <v>1817</v>
      </c>
      <c r="E4485" s="13" t="s">
        <v>5014</v>
      </c>
      <c r="F4485" t="str">
        <f t="shared" si="350"/>
        <v>Oak</v>
      </c>
      <c r="G4485" t="str">
        <f t="shared" si="351"/>
        <v>Oak2501Fort Worth</v>
      </c>
      <c r="H4485" t="s">
        <v>35342</v>
      </c>
      <c r="I4485" t="s">
        <v>26765</v>
      </c>
      <c r="J4485" t="str">
        <f t="shared" si="352"/>
        <v>E:\PropInv\MF</v>
      </c>
      <c r="K4485" s="103" t="str">
        <f>HYPERLINK("E:\PropInv\MF\Fort Worth\Oak Hill Cir_2501_Stonegate Villas_Fort Worth_14484","Oak Hill Cir_2501_Stonegate Villas_Fort Worth_14484" )</f>
        <v>Oak Hill Cir_2501_Stonegate Villas_Fort Worth_14484</v>
      </c>
      <c r="L4485" s="104" t="s">
        <v>22253</v>
      </c>
      <c r="M4485" s="103" t="str">
        <f t="shared" si="353"/>
        <v>http://oconnordata.com/mlink/modules/profile/index.cfm?action=profile&amp;prop_id=14484</v>
      </c>
      <c r="N4485" s="1">
        <f t="shared" si="354"/>
        <v>14484</v>
      </c>
    </row>
    <row r="4486" spans="1:14" x14ac:dyDescent="0.3">
      <c r="A4486" s="1">
        <v>14485</v>
      </c>
      <c r="B4486" s="7" t="s">
        <v>6690</v>
      </c>
      <c r="C4486" s="12">
        <v>7000</v>
      </c>
      <c r="D4486" s="7" t="s">
        <v>6829</v>
      </c>
      <c r="E4486" s="13" t="s">
        <v>5014</v>
      </c>
      <c r="F4486" t="str">
        <f t="shared" si="350"/>
        <v>Beach</v>
      </c>
      <c r="G4486" t="str">
        <f t="shared" si="351"/>
        <v>Beach7000Fort Worth</v>
      </c>
      <c r="H4486" t="s">
        <v>35343</v>
      </c>
      <c r="I4486" t="s">
        <v>26766</v>
      </c>
      <c r="J4486" t="str">
        <f t="shared" si="352"/>
        <v>E:\PropInv\MF</v>
      </c>
      <c r="K4486" s="103" t="str">
        <f>HYPERLINK("E:\PropInv\MF\Fort Worth\Beach N_7000_Summer Brook at North Beach_Fort Worth_14485","Beach N_7000_Summer Brook at North Beach_Fort Worth_14485" )</f>
        <v>Beach N_7000_Summer Brook at North Beach_Fort Worth_14485</v>
      </c>
      <c r="L4486" s="104" t="s">
        <v>22253</v>
      </c>
      <c r="M4486" s="103" t="str">
        <f t="shared" si="353"/>
        <v>http://oconnordata.com/mlink/modules/profile/index.cfm?action=profile&amp;prop_id=14485</v>
      </c>
      <c r="N4486" s="1">
        <f t="shared" si="354"/>
        <v>14485</v>
      </c>
    </row>
    <row r="4487" spans="1:14" x14ac:dyDescent="0.3">
      <c r="A4487" s="1">
        <v>14486</v>
      </c>
      <c r="B4487" s="7" t="s">
        <v>6780</v>
      </c>
      <c r="C4487" s="12">
        <v>2301</v>
      </c>
      <c r="D4487" s="7" t="s">
        <v>3322</v>
      </c>
      <c r="E4487" s="13" t="s">
        <v>4942</v>
      </c>
      <c r="F4487" t="str">
        <f t="shared" si="350"/>
        <v>L.</v>
      </c>
      <c r="G4487" t="str">
        <f t="shared" si="351"/>
        <v>L.2301Bedford</v>
      </c>
      <c r="H4487" t="s">
        <v>35344</v>
      </c>
      <c r="I4487" t="s">
        <v>26767</v>
      </c>
      <c r="J4487" t="str">
        <f t="shared" si="352"/>
        <v>E:\PropInv\MF</v>
      </c>
      <c r="K4487" s="103" t="str">
        <f>HYPERLINK("E:\PropInv\MF\Bedford\L. Don Dodson_2301_Summerstone_Bedford_14486","L. Don Dodson_2301_Summerstone_Bedford_14486" )</f>
        <v>L. Don Dodson_2301_Summerstone_Bedford_14486</v>
      </c>
      <c r="L4487" s="104" t="s">
        <v>22253</v>
      </c>
      <c r="M4487" s="103" t="str">
        <f t="shared" si="353"/>
        <v>http://oconnordata.com/mlink/modules/profile/index.cfm?action=profile&amp;prop_id=14486</v>
      </c>
      <c r="N4487" s="1">
        <f t="shared" si="354"/>
        <v>14486</v>
      </c>
    </row>
    <row r="4488" spans="1:14" x14ac:dyDescent="0.3">
      <c r="A4488" s="1">
        <v>14487</v>
      </c>
      <c r="B4488" s="7" t="s">
        <v>6830</v>
      </c>
      <c r="C4488" s="12">
        <v>1604</v>
      </c>
      <c r="D4488" s="7" t="s">
        <v>6831</v>
      </c>
      <c r="E4488" s="13" t="s">
        <v>6555</v>
      </c>
      <c r="F4488" t="str">
        <f t="shared" si="350"/>
        <v>Ridge</v>
      </c>
      <c r="G4488" t="str">
        <f t="shared" si="351"/>
        <v>Ridge1604Arlington</v>
      </c>
      <c r="H4488" t="s">
        <v>35345</v>
      </c>
      <c r="I4488" t="s">
        <v>26768</v>
      </c>
      <c r="J4488" t="str">
        <f t="shared" si="352"/>
        <v>E:\PropInv\MF</v>
      </c>
      <c r="K4488" s="103" t="str">
        <f>HYPERLINK("E:\PropInv\MF\Arlington\Ridge Haven Dr_1604_Summit Ridge_Arlington_14487","Ridge Haven Dr_1604_Summit Ridge_Arlington_14487" )</f>
        <v>Ridge Haven Dr_1604_Summit Ridge_Arlington_14487</v>
      </c>
      <c r="L4488" s="104" t="s">
        <v>22253</v>
      </c>
      <c r="M4488" s="103" t="str">
        <f t="shared" si="353"/>
        <v>http://oconnordata.com/mlink/modules/profile/index.cfm?action=profile&amp;prop_id=14487</v>
      </c>
      <c r="N4488" s="1">
        <f t="shared" si="354"/>
        <v>14487</v>
      </c>
    </row>
    <row r="4489" spans="1:14" x14ac:dyDescent="0.3">
      <c r="A4489" s="1">
        <v>14488</v>
      </c>
      <c r="B4489" s="7" t="s">
        <v>4166</v>
      </c>
      <c r="C4489" s="12">
        <v>3001</v>
      </c>
      <c r="D4489" s="7" t="s">
        <v>6832</v>
      </c>
      <c r="E4489" s="13" t="s">
        <v>4942</v>
      </c>
      <c r="F4489" t="str">
        <f t="shared" si="350"/>
        <v>Crystal</v>
      </c>
      <c r="G4489" t="str">
        <f t="shared" si="351"/>
        <v>Crystal3001Bedford</v>
      </c>
      <c r="H4489" t="s">
        <v>35346</v>
      </c>
      <c r="I4489" t="s">
        <v>26769</v>
      </c>
      <c r="J4489" t="str">
        <f t="shared" si="352"/>
        <v>E:\PropInv\MF</v>
      </c>
      <c r="K4489" s="103" t="str">
        <f>HYPERLINK("E:\PropInv\MF\Bedford\Crystal Springs_3001_Surrey Oaks_Bedford_14488","Crystal Springs_3001_Surrey Oaks_Bedford_14488" )</f>
        <v>Crystal Springs_3001_Surrey Oaks_Bedford_14488</v>
      </c>
      <c r="L4489" s="104" t="s">
        <v>22253</v>
      </c>
      <c r="M4489" s="103" t="str">
        <f t="shared" si="353"/>
        <v>http://oconnordata.com/mlink/modules/profile/index.cfm?action=profile&amp;prop_id=14488</v>
      </c>
      <c r="N4489" s="1">
        <f t="shared" si="354"/>
        <v>14488</v>
      </c>
    </row>
    <row r="4490" spans="1:14" x14ac:dyDescent="0.3">
      <c r="A4490" s="1">
        <v>14489</v>
      </c>
      <c r="B4490" s="7" t="s">
        <v>6833</v>
      </c>
      <c r="C4490" s="12">
        <v>4633</v>
      </c>
      <c r="D4490" s="7" t="s">
        <v>6834</v>
      </c>
      <c r="E4490" s="13" t="s">
        <v>5014</v>
      </c>
      <c r="F4490" t="str">
        <f t="shared" si="350"/>
        <v>Sycamore</v>
      </c>
      <c r="G4490" t="str">
        <f t="shared" si="351"/>
        <v>Sycamore4633Fort Worth</v>
      </c>
      <c r="H4490" t="s">
        <v>35347</v>
      </c>
      <c r="I4490" t="s">
        <v>26770</v>
      </c>
      <c r="J4490" t="str">
        <f t="shared" si="352"/>
        <v>E:\PropInv\MF</v>
      </c>
      <c r="K4490" s="103" t="str">
        <f>HYPERLINK("E:\PropInv\MF\Fort Worth\Sycamore School Rd_4633_Sycamore Hill_Fort Worth_14489","Sycamore School Rd_4633_Sycamore Hill_Fort Worth_14489" )</f>
        <v>Sycamore School Rd_4633_Sycamore Hill_Fort Worth_14489</v>
      </c>
      <c r="L4490" s="104" t="s">
        <v>22253</v>
      </c>
      <c r="M4490" s="103" t="str">
        <f t="shared" si="353"/>
        <v>http://oconnordata.com/mlink/modules/profile/index.cfm?action=profile&amp;prop_id=14489</v>
      </c>
      <c r="N4490" s="1">
        <f t="shared" si="354"/>
        <v>14489</v>
      </c>
    </row>
    <row r="4491" spans="1:14" x14ac:dyDescent="0.3">
      <c r="A4491" s="1">
        <v>14490</v>
      </c>
      <c r="B4491" s="7" t="s">
        <v>6833</v>
      </c>
      <c r="C4491" s="12">
        <v>2201</v>
      </c>
      <c r="D4491" s="7" t="s">
        <v>6835</v>
      </c>
      <c r="E4491" s="13" t="s">
        <v>5014</v>
      </c>
      <c r="F4491" t="str">
        <f t="shared" si="350"/>
        <v>Sycamore</v>
      </c>
      <c r="G4491" t="str">
        <f t="shared" si="351"/>
        <v>Sycamore2201Fort Worth</v>
      </c>
      <c r="H4491" t="s">
        <v>35348</v>
      </c>
      <c r="I4491" t="s">
        <v>26771</v>
      </c>
      <c r="J4491" t="str">
        <f t="shared" si="352"/>
        <v>E:\PropInv\MF</v>
      </c>
      <c r="K4491" s="103" t="str">
        <f>HYPERLINK("E:\PropInv\MF\Fort Worth\Sycamore School Rd_2201_Sycamore Pointe_Fort Worth_14490","Sycamore School Rd_2201_Sycamore Pointe_Fort Worth_14490" )</f>
        <v>Sycamore School Rd_2201_Sycamore Pointe_Fort Worth_14490</v>
      </c>
      <c r="L4491" s="104" t="s">
        <v>22253</v>
      </c>
      <c r="M4491" s="103" t="str">
        <f t="shared" si="353"/>
        <v>http://oconnordata.com/mlink/modules/profile/index.cfm?action=profile&amp;prop_id=14490</v>
      </c>
      <c r="N4491" s="1">
        <f t="shared" si="354"/>
        <v>14490</v>
      </c>
    </row>
    <row r="4492" spans="1:14" x14ac:dyDescent="0.3">
      <c r="A4492" s="1">
        <v>14491</v>
      </c>
      <c r="B4492" s="7" t="s">
        <v>6836</v>
      </c>
      <c r="C4492" s="12">
        <v>501</v>
      </c>
      <c r="D4492" s="7" t="s">
        <v>3232</v>
      </c>
      <c r="E4492" s="13" t="s">
        <v>5781</v>
      </c>
      <c r="F4492" t="str">
        <f t="shared" si="350"/>
        <v>Sycamore</v>
      </c>
      <c r="G4492" t="str">
        <f t="shared" si="351"/>
        <v>Sycamore501Euless</v>
      </c>
      <c r="H4492" t="s">
        <v>35349</v>
      </c>
      <c r="I4492" t="s">
        <v>26772</v>
      </c>
      <c r="J4492" t="str">
        <f t="shared" si="352"/>
        <v>E:\PropInv\MF</v>
      </c>
      <c r="K4492" s="103" t="str">
        <f>HYPERLINK("E:\PropInv\MF\Euless\Sycamore Ln_501_Tall Timbers_Euless_14491","Sycamore Ln_501_Tall Timbers_Euless_14491" )</f>
        <v>Sycamore Ln_501_Tall Timbers_Euless_14491</v>
      </c>
      <c r="L4492" s="104" t="s">
        <v>22253</v>
      </c>
      <c r="M4492" s="103" t="str">
        <f t="shared" si="353"/>
        <v>http://oconnordata.com/mlink/modules/profile/index.cfm?action=profile&amp;prop_id=14491</v>
      </c>
      <c r="N4492" s="1">
        <f t="shared" si="354"/>
        <v>14491</v>
      </c>
    </row>
    <row r="4493" spans="1:14" x14ac:dyDescent="0.3">
      <c r="A4493" s="1">
        <v>14492</v>
      </c>
      <c r="B4493" s="7" t="s">
        <v>6837</v>
      </c>
      <c r="C4493" s="12">
        <v>7784</v>
      </c>
      <c r="D4493" s="7" t="s">
        <v>6838</v>
      </c>
      <c r="E4493" s="13" t="s">
        <v>6541</v>
      </c>
      <c r="F4493" t="str">
        <f t="shared" si="350"/>
        <v>College</v>
      </c>
      <c r="G4493" t="str">
        <f t="shared" si="351"/>
        <v>College7784North Richland Hills</v>
      </c>
      <c r="H4493" t="s">
        <v>35350</v>
      </c>
      <c r="I4493" t="s">
        <v>26773</v>
      </c>
      <c r="J4493" t="str">
        <f t="shared" si="352"/>
        <v>E:\PropInv\MF</v>
      </c>
      <c r="K4493" s="103" t="str">
        <f>HYPERLINK("E:\PropInv\MF\North Richland Hills\College Cir N_7784_Tan Tara Club_North Richland Hills_14492","College Cir N_7784_Tan Tara Club_North Richland Hills_14492" )</f>
        <v>College Cir N_7784_Tan Tara Club_North Richland Hills_14492</v>
      </c>
      <c r="L4493" s="104" t="s">
        <v>22253</v>
      </c>
      <c r="M4493" s="103" t="str">
        <f t="shared" si="353"/>
        <v>http://oconnordata.com/mlink/modules/profile/index.cfm?action=profile&amp;prop_id=14492</v>
      </c>
      <c r="N4493" s="1">
        <f t="shared" si="354"/>
        <v>14492</v>
      </c>
    </row>
    <row r="4494" spans="1:14" x14ac:dyDescent="0.3">
      <c r="A4494" s="1">
        <v>14493</v>
      </c>
      <c r="B4494" s="7" t="s">
        <v>2835</v>
      </c>
      <c r="C4494" s="12">
        <v>6301</v>
      </c>
      <c r="D4494" s="7" t="s">
        <v>3028</v>
      </c>
      <c r="E4494" s="13" t="s">
        <v>5014</v>
      </c>
      <c r="F4494" t="str">
        <f t="shared" si="350"/>
        <v>Woodway</v>
      </c>
      <c r="G4494" t="str">
        <f t="shared" si="351"/>
        <v>Woodway6301Fort Worth</v>
      </c>
      <c r="H4494" t="s">
        <v>35351</v>
      </c>
      <c r="I4494" t="s">
        <v>26774</v>
      </c>
      <c r="J4494" t="str">
        <f t="shared" si="352"/>
        <v>E:\PropInv\MF</v>
      </c>
      <c r="K4494" s="103" t="str">
        <f>HYPERLINK("E:\PropInv\MF\Fort Worth\Woodway Dr_6301_The Carlton_Fort Worth_14493","Woodway Dr_6301_The Carlton_Fort Worth_14493" )</f>
        <v>Woodway Dr_6301_The Carlton_Fort Worth_14493</v>
      </c>
      <c r="L4494" s="104" t="s">
        <v>22253</v>
      </c>
      <c r="M4494" s="103" t="str">
        <f t="shared" si="353"/>
        <v>http://oconnordata.com/mlink/modules/profile/index.cfm?action=profile&amp;prop_id=14493</v>
      </c>
      <c r="N4494" s="1">
        <f t="shared" si="354"/>
        <v>14493</v>
      </c>
    </row>
    <row r="4495" spans="1:14" x14ac:dyDescent="0.3">
      <c r="A4495" s="1">
        <v>14494</v>
      </c>
      <c r="B4495" s="7" t="s">
        <v>4921</v>
      </c>
      <c r="C4495" s="12">
        <v>3720</v>
      </c>
      <c r="D4495" s="7" t="s">
        <v>6839</v>
      </c>
      <c r="E4495" s="13" t="s">
        <v>5781</v>
      </c>
      <c r="F4495" t="str">
        <f t="shared" si="350"/>
        <v>Post</v>
      </c>
      <c r="G4495" t="str">
        <f t="shared" si="351"/>
        <v>Post3720Euless</v>
      </c>
      <c r="H4495" t="s">
        <v>35352</v>
      </c>
      <c r="I4495" t="s">
        <v>26775</v>
      </c>
      <c r="J4495" t="str">
        <f t="shared" si="352"/>
        <v>E:\PropInv\MF</v>
      </c>
      <c r="K4495" s="103" t="str">
        <f>HYPERLINK("E:\PropInv\MF\Euless\Post Oak Blvd_3720_The Vaucluse_Euless_14494","Post Oak Blvd_3720_The Vaucluse_Euless_14494" )</f>
        <v>Post Oak Blvd_3720_The Vaucluse_Euless_14494</v>
      </c>
      <c r="L4495" s="104" t="s">
        <v>22253</v>
      </c>
      <c r="M4495" s="103" t="str">
        <f t="shared" si="353"/>
        <v>http://oconnordata.com/mlink/modules/profile/index.cfm?action=profile&amp;prop_id=14494</v>
      </c>
      <c r="N4495" s="1">
        <f t="shared" si="354"/>
        <v>14494</v>
      </c>
    </row>
    <row r="4496" spans="1:14" x14ac:dyDescent="0.3">
      <c r="A4496" s="1">
        <v>14495</v>
      </c>
      <c r="B4496" s="7" t="s">
        <v>1379</v>
      </c>
      <c r="C4496" s="12">
        <v>844</v>
      </c>
      <c r="D4496" s="7" t="s">
        <v>6840</v>
      </c>
      <c r="E4496" s="13" t="s">
        <v>6578</v>
      </c>
      <c r="F4496" t="str">
        <f t="shared" si="350"/>
        <v>Walnut</v>
      </c>
      <c r="G4496" t="str">
        <f t="shared" si="351"/>
        <v>Walnut844Grapevine</v>
      </c>
      <c r="H4496" t="s">
        <v>35353</v>
      </c>
      <c r="I4496" t="s">
        <v>26776</v>
      </c>
      <c r="J4496" t="str">
        <f t="shared" si="352"/>
        <v>E:\PropInv\MF</v>
      </c>
      <c r="K4496" s="103" t="str">
        <f>HYPERLINK("E:\PropInv\MF\Grapevine\Walnut St E_844_Ticknor Terrace_Grapevine_14495","Walnut St E_844_Ticknor Terrace_Grapevine_14495" )</f>
        <v>Walnut St E_844_Ticknor Terrace_Grapevine_14495</v>
      </c>
      <c r="L4496" s="104" t="s">
        <v>22253</v>
      </c>
      <c r="M4496" s="103" t="str">
        <f t="shared" si="353"/>
        <v>http://oconnordata.com/mlink/modules/profile/index.cfm?action=profile&amp;prop_id=14495</v>
      </c>
      <c r="N4496" s="1">
        <f t="shared" si="354"/>
        <v>14495</v>
      </c>
    </row>
    <row r="4497" spans="1:14" x14ac:dyDescent="0.3">
      <c r="A4497" s="1">
        <v>14496</v>
      </c>
      <c r="B4497" s="7" t="s">
        <v>6841</v>
      </c>
      <c r="C4497" s="12">
        <v>834</v>
      </c>
      <c r="D4497" s="7" t="s">
        <v>6842</v>
      </c>
      <c r="E4497" s="13" t="s">
        <v>6555</v>
      </c>
      <c r="F4497" t="str">
        <f t="shared" si="350"/>
        <v>Timberlake</v>
      </c>
      <c r="G4497" t="str">
        <f t="shared" si="351"/>
        <v>Timberlake834Arlington</v>
      </c>
      <c r="H4497" t="s">
        <v>35354</v>
      </c>
      <c r="I4497" t="s">
        <v>26777</v>
      </c>
      <c r="J4497" t="str">
        <f t="shared" si="352"/>
        <v>E:\PropInv\MF</v>
      </c>
      <c r="K4497" s="103" t="str">
        <f>HYPERLINK("E:\PropInv\MF\Arlington\Timberlake Dr_834_Las Lomas_Arlington_14496","Timberlake Dr_834_Las Lomas_Arlington_14496" )</f>
        <v>Timberlake Dr_834_Las Lomas_Arlington_14496</v>
      </c>
      <c r="L4497" s="104" t="s">
        <v>22253</v>
      </c>
      <c r="M4497" s="103" t="str">
        <f t="shared" si="353"/>
        <v>http://oconnordata.com/mlink/modules/profile/index.cfm?action=profile&amp;prop_id=14496</v>
      </c>
      <c r="N4497" s="1">
        <f t="shared" si="354"/>
        <v>14496</v>
      </c>
    </row>
    <row r="4498" spans="1:14" x14ac:dyDescent="0.3">
      <c r="A4498" s="1">
        <v>14497</v>
      </c>
      <c r="B4498" s="7" t="s">
        <v>6843</v>
      </c>
      <c r="C4498" s="12" t="s">
        <v>6844</v>
      </c>
      <c r="D4498" s="7" t="s">
        <v>6845</v>
      </c>
      <c r="E4498" s="13" t="s">
        <v>6541</v>
      </c>
      <c r="F4498" t="str">
        <f t="shared" si="350"/>
        <v>Glenview</v>
      </c>
      <c r="G4498" t="str">
        <f t="shared" si="351"/>
        <v>Glenview4401-ANorth Richland Hills</v>
      </c>
      <c r="H4498" t="s">
        <v>35355</v>
      </c>
      <c r="I4498" t="s">
        <v>26778</v>
      </c>
      <c r="J4498" t="str">
        <f t="shared" si="352"/>
        <v>E:\PropInv\MF</v>
      </c>
      <c r="K4498" s="103" t="str">
        <f>HYPERLINK("E:\PropInv\MF\North Richland Hills\Glenview Ct_4401-A_Towne Oaks_North Richland Hills_14497","Glenview Ct_4401-A_Towne Oaks_North Richland Hills_14497" )</f>
        <v>Glenview Ct_4401-A_Towne Oaks_North Richland Hills_14497</v>
      </c>
      <c r="L4498" s="104" t="s">
        <v>22253</v>
      </c>
      <c r="M4498" s="103" t="str">
        <f t="shared" si="353"/>
        <v>http://oconnordata.com/mlink/modules/profile/index.cfm?action=profile&amp;prop_id=14497</v>
      </c>
      <c r="N4498" s="1">
        <f t="shared" si="354"/>
        <v>14497</v>
      </c>
    </row>
    <row r="4499" spans="1:14" x14ac:dyDescent="0.3">
      <c r="A4499" s="1">
        <v>14498</v>
      </c>
      <c r="B4499" s="7" t="s">
        <v>6846</v>
      </c>
      <c r="C4499" s="12">
        <v>811</v>
      </c>
      <c r="D4499" s="7" t="s">
        <v>6385</v>
      </c>
      <c r="E4499" s="13" t="s">
        <v>6555</v>
      </c>
      <c r="F4499" t="str">
        <f t="shared" si="350"/>
        <v>Green</v>
      </c>
      <c r="G4499" t="str">
        <f t="shared" si="351"/>
        <v>Green811Arlington</v>
      </c>
      <c r="H4499" t="s">
        <v>35356</v>
      </c>
      <c r="I4499" t="s">
        <v>26779</v>
      </c>
      <c r="J4499" t="str">
        <f t="shared" si="352"/>
        <v>E:\PropInv\MF</v>
      </c>
      <c r="K4499" s="103" t="str">
        <f>HYPERLINK("E:\PropInv\MF\Arlington\Green Oaks NE_811_Trinity Oaks_Arlington_14498","Green Oaks NE_811_Trinity Oaks_Arlington_14498" )</f>
        <v>Green Oaks NE_811_Trinity Oaks_Arlington_14498</v>
      </c>
      <c r="L4499" s="104" t="s">
        <v>22253</v>
      </c>
      <c r="M4499" s="103" t="str">
        <f t="shared" si="353"/>
        <v>http://oconnordata.com/mlink/modules/profile/index.cfm?action=profile&amp;prop_id=14498</v>
      </c>
      <c r="N4499" s="1">
        <f t="shared" si="354"/>
        <v>14498</v>
      </c>
    </row>
    <row r="4500" spans="1:14" x14ac:dyDescent="0.3">
      <c r="A4500" s="1">
        <v>14499</v>
      </c>
      <c r="B4500" s="7" t="s">
        <v>6847</v>
      </c>
      <c r="C4500" s="12">
        <v>1707</v>
      </c>
      <c r="D4500" s="7" t="s">
        <v>6848</v>
      </c>
      <c r="E4500" s="13" t="s">
        <v>6555</v>
      </c>
      <c r="F4500" t="str">
        <f t="shared" si="350"/>
        <v>Trinity</v>
      </c>
      <c r="G4500" t="str">
        <f t="shared" si="351"/>
        <v>Trinity1707Arlington</v>
      </c>
      <c r="H4500" t="s">
        <v>35357</v>
      </c>
      <c r="I4500" t="s">
        <v>26780</v>
      </c>
      <c r="J4500" t="str">
        <f t="shared" si="352"/>
        <v>E:\PropInv\MF</v>
      </c>
      <c r="K4500" s="103" t="str">
        <f>HYPERLINK("E:\PropInv\MF\Arlington\Trinity Height_1707_Trinity Trace_Arlington_14499","Trinity Height_1707_Trinity Trace_Arlington_14499" )</f>
        <v>Trinity Height_1707_Trinity Trace_Arlington_14499</v>
      </c>
      <c r="L4500" s="104" t="s">
        <v>22253</v>
      </c>
      <c r="M4500" s="103" t="str">
        <f t="shared" si="353"/>
        <v>http://oconnordata.com/mlink/modules/profile/index.cfm?action=profile&amp;prop_id=14499</v>
      </c>
      <c r="N4500" s="1">
        <f t="shared" si="354"/>
        <v>14499</v>
      </c>
    </row>
    <row r="4501" spans="1:14" x14ac:dyDescent="0.3">
      <c r="A4501" s="1">
        <v>14500</v>
      </c>
      <c r="B4501" s="7" t="s">
        <v>6849</v>
      </c>
      <c r="C4501" s="12">
        <v>101</v>
      </c>
      <c r="D4501" s="7" t="s">
        <v>1991</v>
      </c>
      <c r="E4501" s="13" t="s">
        <v>6612</v>
      </c>
      <c r="F4501" t="str">
        <f t="shared" si="350"/>
        <v>Pipeline</v>
      </c>
      <c r="G4501" t="str">
        <f t="shared" si="351"/>
        <v>Pipeline101Hurst</v>
      </c>
      <c r="H4501" t="s">
        <v>35358</v>
      </c>
      <c r="I4501" t="s">
        <v>26781</v>
      </c>
      <c r="J4501" t="str">
        <f t="shared" si="352"/>
        <v>E:\PropInv\MF</v>
      </c>
      <c r="K4501" s="103" t="str">
        <f>HYPERLINK("E:\PropInv\MF\Hurst\Pipeline Rd E_101_Valley Oaks_Hurst_14500","Pipeline Rd E_101_Valley Oaks_Hurst_14500" )</f>
        <v>Pipeline Rd E_101_Valley Oaks_Hurst_14500</v>
      </c>
      <c r="L4501" s="104" t="s">
        <v>22253</v>
      </c>
      <c r="M4501" s="103" t="str">
        <f t="shared" si="353"/>
        <v>http://oconnordata.com/mlink/modules/profile/index.cfm?action=profile&amp;prop_id=14500</v>
      </c>
      <c r="N4501" s="1">
        <f t="shared" si="354"/>
        <v>14500</v>
      </c>
    </row>
    <row r="4502" spans="1:14" x14ac:dyDescent="0.3">
      <c r="A4502" s="1">
        <v>14502</v>
      </c>
      <c r="B4502" s="7" t="s">
        <v>6850</v>
      </c>
      <c r="C4502" s="12">
        <v>2300</v>
      </c>
      <c r="D4502" s="7" t="s">
        <v>6851</v>
      </c>
      <c r="E4502" s="13" t="s">
        <v>4942</v>
      </c>
      <c r="F4502" t="str">
        <f t="shared" si="350"/>
        <v>Central</v>
      </c>
      <c r="G4502" t="str">
        <f t="shared" si="351"/>
        <v>Central2300Bedford</v>
      </c>
      <c r="H4502" t="s">
        <v>35359</v>
      </c>
      <c r="I4502" t="s">
        <v>26782</v>
      </c>
      <c r="J4502" t="str">
        <f t="shared" si="352"/>
        <v>E:\PropInv\MF</v>
      </c>
      <c r="K4502" s="103" t="str">
        <f>HYPERLINK("E:\PropInv\MF\Bedford\Central Park Dr_2300_The Village at Central Park_Bedford_14502","Central Park Dr_2300_The Village at Central Park_Bedford_14502" )</f>
        <v>Central Park Dr_2300_The Village at Central Park_Bedford_14502</v>
      </c>
      <c r="L4502" s="104" t="s">
        <v>22253</v>
      </c>
      <c r="M4502" s="103" t="str">
        <f t="shared" si="353"/>
        <v>http://oconnordata.com/mlink/modules/profile/index.cfm?action=profile&amp;prop_id=14502</v>
      </c>
      <c r="N4502" s="1">
        <f t="shared" si="354"/>
        <v>14502</v>
      </c>
    </row>
    <row r="4503" spans="1:14" x14ac:dyDescent="0.3">
      <c r="A4503" s="1">
        <v>14503</v>
      </c>
      <c r="B4503" s="7" t="s">
        <v>6852</v>
      </c>
      <c r="C4503" s="12">
        <v>8515</v>
      </c>
      <c r="D4503" s="7" t="s">
        <v>6853</v>
      </c>
      <c r="E4503" s="13" t="s">
        <v>6541</v>
      </c>
      <c r="F4503" t="str">
        <f t="shared" si="350"/>
        <v>Grapevine</v>
      </c>
      <c r="G4503" t="str">
        <f t="shared" si="351"/>
        <v>Grapevine8515North Richland Hills</v>
      </c>
      <c r="H4503" t="s">
        <v>35360</v>
      </c>
      <c r="I4503" t="s">
        <v>26783</v>
      </c>
      <c r="J4503" t="str">
        <f t="shared" si="352"/>
        <v>E:\PropInv\MF</v>
      </c>
      <c r="K4503" s="103" t="str">
        <f>HYPERLINK("E:\PropInv\MF\North Richland Hills\Grapevine Hwy_8515_The Villas on the Green_North Richland Hills_14503","Grapevine Hwy_8515_The Villas on the Green_North Richland Hills_14503" )</f>
        <v>Grapevine Hwy_8515_The Villas on the Green_North Richland Hills_14503</v>
      </c>
      <c r="L4503" s="104" t="s">
        <v>22253</v>
      </c>
      <c r="M4503" s="103" t="str">
        <f t="shared" si="353"/>
        <v>http://oconnordata.com/mlink/modules/profile/index.cfm?action=profile&amp;prop_id=14503</v>
      </c>
      <c r="N4503" s="1">
        <f t="shared" si="354"/>
        <v>14503</v>
      </c>
    </row>
    <row r="4504" spans="1:14" x14ac:dyDescent="0.3">
      <c r="A4504" s="1">
        <v>14504</v>
      </c>
      <c r="B4504" s="7" t="s">
        <v>6854</v>
      </c>
      <c r="C4504" s="12">
        <v>6303</v>
      </c>
      <c r="D4504" s="7" t="s">
        <v>6855</v>
      </c>
      <c r="E4504" s="13" t="s">
        <v>5014</v>
      </c>
      <c r="F4504" t="str">
        <f t="shared" si="350"/>
        <v>Shady</v>
      </c>
      <c r="G4504" t="str">
        <f t="shared" si="351"/>
        <v>Shady6303Fort Worth</v>
      </c>
      <c r="H4504" t="s">
        <v>35361</v>
      </c>
      <c r="I4504" t="s">
        <v>26784</v>
      </c>
      <c r="J4504" t="str">
        <f t="shared" si="352"/>
        <v>E:\PropInv\MF</v>
      </c>
      <c r="K4504" s="103" t="str">
        <f>HYPERLINK("E:\PropInv\MF\Fort Worth\Shady Oaks Manor_6303_Vistas at Lake Worth_Fort Worth_14504","Shady Oaks Manor_6303_Vistas at Lake Worth_Fort Worth_14504" )</f>
        <v>Shady Oaks Manor_6303_Vistas at Lake Worth_Fort Worth_14504</v>
      </c>
      <c r="L4504" s="104" t="s">
        <v>22253</v>
      </c>
      <c r="M4504" s="103" t="str">
        <f t="shared" si="353"/>
        <v>http://oconnordata.com/mlink/modules/profile/index.cfm?action=profile&amp;prop_id=14504</v>
      </c>
      <c r="N4504" s="1">
        <f t="shared" si="354"/>
        <v>14504</v>
      </c>
    </row>
    <row r="4505" spans="1:14" x14ac:dyDescent="0.3">
      <c r="A4505" s="1">
        <v>14505</v>
      </c>
      <c r="B4505" s="7" t="s">
        <v>6856</v>
      </c>
      <c r="C4505" s="12">
        <v>5901</v>
      </c>
      <c r="D4505" s="7" t="s">
        <v>441</v>
      </c>
      <c r="E4505" s="13" t="s">
        <v>6555</v>
      </c>
      <c r="F4505" t="str">
        <f t="shared" si="350"/>
        <v>Valleycreek</v>
      </c>
      <c r="G4505" t="str">
        <f t="shared" si="351"/>
        <v>Valleycreek5901Arlington</v>
      </c>
      <c r="H4505" t="s">
        <v>35362</v>
      </c>
      <c r="I4505" t="s">
        <v>26785</v>
      </c>
      <c r="J4505" t="str">
        <f t="shared" si="352"/>
        <v>E:\PropInv\MF</v>
      </c>
      <c r="K4505" s="103" t="str">
        <f>HYPERLINK("E:\PropInv\MF\Arlington\Valleycreek Ln_5901_Walnut Creek_Arlington_14505","Valleycreek Ln_5901_Walnut Creek_Arlington_14505" )</f>
        <v>Valleycreek Ln_5901_Walnut Creek_Arlington_14505</v>
      </c>
      <c r="L4505" s="104" t="s">
        <v>22253</v>
      </c>
      <c r="M4505" s="103" t="str">
        <f t="shared" si="353"/>
        <v>http://oconnordata.com/mlink/modules/profile/index.cfm?action=profile&amp;prop_id=14505</v>
      </c>
      <c r="N4505" s="1">
        <f t="shared" si="354"/>
        <v>14505</v>
      </c>
    </row>
    <row r="4506" spans="1:14" x14ac:dyDescent="0.3">
      <c r="A4506" s="1">
        <v>14506</v>
      </c>
      <c r="B4506" s="7" t="s">
        <v>6727</v>
      </c>
      <c r="C4506" s="12">
        <v>611</v>
      </c>
      <c r="D4506" s="7" t="s">
        <v>2044</v>
      </c>
      <c r="E4506" s="13" t="s">
        <v>6555</v>
      </c>
      <c r="F4506" t="str">
        <f t="shared" si="350"/>
        <v>Lamar</v>
      </c>
      <c r="G4506" t="str">
        <f t="shared" si="351"/>
        <v>Lamar611Arlington</v>
      </c>
      <c r="H4506" t="s">
        <v>35363</v>
      </c>
      <c r="I4506" t="s">
        <v>26786</v>
      </c>
      <c r="J4506" t="str">
        <f t="shared" si="352"/>
        <v>E:\PropInv\MF</v>
      </c>
      <c r="K4506" s="103" t="str">
        <f>HYPERLINK("E:\PropInv\MF\Arlington\Lamar E_611_Waterchase_Arlington_14506","Lamar E_611_Waterchase_Arlington_14506" )</f>
        <v>Lamar E_611_Waterchase_Arlington_14506</v>
      </c>
      <c r="L4506" s="104" t="s">
        <v>22253</v>
      </c>
      <c r="M4506" s="103" t="str">
        <f t="shared" si="353"/>
        <v>http://oconnordata.com/mlink/modules/profile/index.cfm?action=profile&amp;prop_id=14506</v>
      </c>
      <c r="N4506" s="1">
        <f t="shared" si="354"/>
        <v>14506</v>
      </c>
    </row>
    <row r="4507" spans="1:14" x14ac:dyDescent="0.3">
      <c r="A4507" s="1">
        <v>14509</v>
      </c>
      <c r="B4507" s="7" t="s">
        <v>6773</v>
      </c>
      <c r="C4507" s="12">
        <v>7000</v>
      </c>
      <c r="D4507" s="7" t="s">
        <v>6857</v>
      </c>
      <c r="E4507" s="13" t="s">
        <v>5014</v>
      </c>
      <c r="F4507" t="str">
        <f t="shared" si="350"/>
        <v>John</v>
      </c>
      <c r="G4507" t="str">
        <f t="shared" si="351"/>
        <v>John7000Fort Worth</v>
      </c>
      <c r="H4507" t="s">
        <v>35364</v>
      </c>
      <c r="I4507" t="s">
        <v>26787</v>
      </c>
      <c r="J4507" t="str">
        <f t="shared" si="352"/>
        <v>E:\PropInv\MF</v>
      </c>
      <c r="K4507" s="103" t="str">
        <f>HYPERLINK("E:\PropInv\MF\Fort Worth\John T. White Rd_7000_Waters Landing_Fort Worth_14509","John T. White Rd_7000_Waters Landing_Fort Worth_14509" )</f>
        <v>John T. White Rd_7000_Waters Landing_Fort Worth_14509</v>
      </c>
      <c r="L4507" s="104" t="s">
        <v>22253</v>
      </c>
      <c r="M4507" s="103" t="str">
        <f t="shared" si="353"/>
        <v>http://oconnordata.com/mlink/modules/profile/index.cfm?action=profile&amp;prop_id=14509</v>
      </c>
      <c r="N4507" s="1">
        <f t="shared" si="354"/>
        <v>14509</v>
      </c>
    </row>
    <row r="4508" spans="1:14" x14ac:dyDescent="0.3">
      <c r="A4508" s="1">
        <v>14510</v>
      </c>
      <c r="B4508" s="7" t="s">
        <v>6858</v>
      </c>
      <c r="C4508" s="12">
        <v>1823</v>
      </c>
      <c r="D4508" s="7" t="s">
        <v>6859</v>
      </c>
      <c r="E4508" s="13" t="s">
        <v>5014</v>
      </c>
      <c r="F4508" t="str">
        <f t="shared" si="350"/>
        <v>Las</v>
      </c>
      <c r="G4508" t="str">
        <f t="shared" si="351"/>
        <v>Las1823Fort Worth</v>
      </c>
      <c r="H4508" t="s">
        <v>35365</v>
      </c>
      <c r="I4508" t="s">
        <v>26788</v>
      </c>
      <c r="J4508" t="str">
        <f t="shared" si="352"/>
        <v>E:\PropInv\MF</v>
      </c>
      <c r="K4508" s="103" t="str">
        <f>HYPERLINK("E:\PropInv\MF\Fort Worth\Las Vegas Trl_1823_Westlake Gardens_Fort Worth_14510","Las Vegas Trl_1823_Westlake Gardens_Fort Worth_14510" )</f>
        <v>Las Vegas Trl_1823_Westlake Gardens_Fort Worth_14510</v>
      </c>
      <c r="L4508" s="104" t="s">
        <v>22253</v>
      </c>
      <c r="M4508" s="103" t="str">
        <f t="shared" si="353"/>
        <v>http://oconnordata.com/mlink/modules/profile/index.cfm?action=profile&amp;prop_id=14510</v>
      </c>
      <c r="N4508" s="1">
        <f t="shared" si="354"/>
        <v>14510</v>
      </c>
    </row>
    <row r="4509" spans="1:14" x14ac:dyDescent="0.3">
      <c r="A4509" s="1">
        <v>14512</v>
      </c>
      <c r="B4509" s="7" t="s">
        <v>6860</v>
      </c>
      <c r="C4509" s="12">
        <v>820</v>
      </c>
      <c r="D4509" s="7" t="s">
        <v>6861</v>
      </c>
      <c r="E4509" s="13" t="s">
        <v>6578</v>
      </c>
      <c r="F4509" t="str">
        <f t="shared" si="350"/>
        <v>Dove</v>
      </c>
      <c r="G4509" t="str">
        <f t="shared" si="351"/>
        <v>Dove820Grapevine</v>
      </c>
      <c r="H4509" t="s">
        <v>35366</v>
      </c>
      <c r="I4509" t="s">
        <v>26789</v>
      </c>
      <c r="J4509" t="str">
        <f t="shared" si="352"/>
        <v>E:\PropInv\MF</v>
      </c>
      <c r="K4509" s="103" t="str">
        <f>HYPERLINK("E:\PropInv\MF\Grapevine\Dove Loop Rd E_820_Wildwood Creek_Grapevine_14512","Dove Loop Rd E_820_Wildwood Creek_Grapevine_14512" )</f>
        <v>Dove Loop Rd E_820_Wildwood Creek_Grapevine_14512</v>
      </c>
      <c r="L4509" s="104" t="s">
        <v>22253</v>
      </c>
      <c r="M4509" s="103" t="str">
        <f t="shared" si="353"/>
        <v>http://oconnordata.com/mlink/modules/profile/index.cfm?action=profile&amp;prop_id=14512</v>
      </c>
      <c r="N4509" s="1">
        <f t="shared" si="354"/>
        <v>14512</v>
      </c>
    </row>
    <row r="4510" spans="1:14" x14ac:dyDescent="0.3">
      <c r="A4510" s="1">
        <v>14513</v>
      </c>
      <c r="B4510" s="7" t="s">
        <v>6833</v>
      </c>
      <c r="C4510" s="12">
        <v>1301</v>
      </c>
      <c r="D4510" s="7" t="s">
        <v>6862</v>
      </c>
      <c r="E4510" s="13" t="s">
        <v>5014</v>
      </c>
      <c r="F4510" t="str">
        <f t="shared" si="350"/>
        <v>Sycamore</v>
      </c>
      <c r="G4510" t="str">
        <f t="shared" si="351"/>
        <v>Sycamore1301Fort Worth</v>
      </c>
      <c r="H4510" t="s">
        <v>35367</v>
      </c>
      <c r="I4510" t="s">
        <v>26790</v>
      </c>
      <c r="J4510" t="str">
        <f t="shared" si="352"/>
        <v>E:\PropInv\MF</v>
      </c>
      <c r="K4510" s="103" t="str">
        <f>HYPERLINK("E:\PropInv\MF\Fort Worth\Sycamore School Rd_1301_Willow Glen_Fort Worth_14513","Sycamore School Rd_1301_Willow Glen_Fort Worth_14513" )</f>
        <v>Sycamore School Rd_1301_Willow Glen_Fort Worth_14513</v>
      </c>
      <c r="L4510" s="104" t="s">
        <v>22253</v>
      </c>
      <c r="M4510" s="103" t="str">
        <f t="shared" si="353"/>
        <v>http://oconnordata.com/mlink/modules/profile/index.cfm?action=profile&amp;prop_id=14513</v>
      </c>
      <c r="N4510" s="1">
        <f t="shared" si="354"/>
        <v>14513</v>
      </c>
    </row>
    <row r="4511" spans="1:14" x14ac:dyDescent="0.3">
      <c r="A4511" s="1">
        <v>14514</v>
      </c>
      <c r="B4511" s="7" t="s">
        <v>6863</v>
      </c>
      <c r="C4511" s="12">
        <v>8725</v>
      </c>
      <c r="D4511" s="7" t="s">
        <v>6864</v>
      </c>
      <c r="E4511" s="13" t="s">
        <v>5014</v>
      </c>
      <c r="F4511" t="str">
        <f t="shared" si="350"/>
        <v>Calmont</v>
      </c>
      <c r="G4511" t="str">
        <f t="shared" si="351"/>
        <v>Calmont8725Fort Worth</v>
      </c>
      <c r="H4511" t="s">
        <v>35368</v>
      </c>
      <c r="I4511" t="s">
        <v>26791</v>
      </c>
      <c r="J4511" t="str">
        <f t="shared" si="352"/>
        <v>E:\PropInv\MF</v>
      </c>
      <c r="K4511" s="103" t="str">
        <f>HYPERLINK("E:\PropInv\MF\Fort Worth\Calmont_8725_Wind River_Fort Worth_14514","Calmont_8725_Wind River_Fort Worth_14514" )</f>
        <v>Calmont_8725_Wind River_Fort Worth_14514</v>
      </c>
      <c r="L4511" s="104" t="s">
        <v>22253</v>
      </c>
      <c r="M4511" s="103" t="str">
        <f t="shared" si="353"/>
        <v>http://oconnordata.com/mlink/modules/profile/index.cfm?action=profile&amp;prop_id=14514</v>
      </c>
      <c r="N4511" s="1">
        <f t="shared" si="354"/>
        <v>14514</v>
      </c>
    </row>
    <row r="4512" spans="1:14" x14ac:dyDescent="0.3">
      <c r="A4512" s="1">
        <v>14515</v>
      </c>
      <c r="B4512" s="7" t="s">
        <v>6865</v>
      </c>
      <c r="C4512" s="12">
        <v>4624</v>
      </c>
      <c r="D4512" s="7" t="s">
        <v>6866</v>
      </c>
      <c r="E4512" s="13" t="s">
        <v>6555</v>
      </c>
      <c r="F4512" t="str">
        <f t="shared" si="350"/>
        <v>Windstone</v>
      </c>
      <c r="G4512" t="str">
        <f t="shared" si="351"/>
        <v>Windstone4624Arlington</v>
      </c>
      <c r="H4512" t="s">
        <v>35369</v>
      </c>
      <c r="I4512" t="s">
        <v>26792</v>
      </c>
      <c r="J4512" t="str">
        <f t="shared" si="352"/>
        <v>E:\PropInv\MF</v>
      </c>
      <c r="K4512" s="103" t="str">
        <f>HYPERLINK("E:\PropInv\MF\Arlington\Windstone Dr_4624_Bardin Oaks_Arlington_14515","Windstone Dr_4624_Bardin Oaks_Arlington_14515" )</f>
        <v>Windstone Dr_4624_Bardin Oaks_Arlington_14515</v>
      </c>
      <c r="L4512" s="104" t="s">
        <v>22253</v>
      </c>
      <c r="M4512" s="103" t="str">
        <f t="shared" si="353"/>
        <v>http://oconnordata.com/mlink/modules/profile/index.cfm?action=profile&amp;prop_id=14515</v>
      </c>
      <c r="N4512" s="1">
        <f t="shared" si="354"/>
        <v>14515</v>
      </c>
    </row>
    <row r="4513" spans="1:14" x14ac:dyDescent="0.3">
      <c r="A4513" s="97">
        <v>14516</v>
      </c>
      <c r="B4513" s="7" t="s">
        <v>6867</v>
      </c>
      <c r="C4513" s="12">
        <v>2200</v>
      </c>
      <c r="D4513" s="7" t="s">
        <v>6868</v>
      </c>
      <c r="E4513" s="13" t="s">
        <v>4942</v>
      </c>
      <c r="F4513" t="str">
        <f t="shared" si="350"/>
        <v>Murphy</v>
      </c>
      <c r="G4513" t="str">
        <f t="shared" si="351"/>
        <v>Murphy2200Bedford</v>
      </c>
      <c r="H4513" t="s">
        <v>35370</v>
      </c>
      <c r="I4513" t="s">
        <v>26793</v>
      </c>
      <c r="J4513" t="str">
        <f t="shared" si="352"/>
        <v>E:\PropInv\MF</v>
      </c>
      <c r="K4513" s="103" t="str">
        <f>HYPERLINK("E:\PropInv\MF\Bedford\Murphy Rd_2200_Windmill Terrace Apts_Bedford_14516","Murphy Rd_2200_Windmill Terrace Apts_Bedford_14516" )</f>
        <v>Murphy Rd_2200_Windmill Terrace Apts_Bedford_14516</v>
      </c>
      <c r="L4513" s="104" t="s">
        <v>22253</v>
      </c>
      <c r="M4513" s="103" t="str">
        <f t="shared" si="353"/>
        <v>http://oconnordata.com/mlink/modules/profile/index.cfm?action=profile&amp;prop_id=14516</v>
      </c>
      <c r="N4513" s="1">
        <f t="shared" si="354"/>
        <v>14516</v>
      </c>
    </row>
    <row r="4514" spans="1:14" x14ac:dyDescent="0.3">
      <c r="A4514" s="97">
        <v>14517</v>
      </c>
      <c r="B4514" s="7" t="s">
        <v>6869</v>
      </c>
      <c r="C4514" s="12">
        <v>2305</v>
      </c>
      <c r="D4514" s="7" t="s">
        <v>6870</v>
      </c>
      <c r="E4514" s="13" t="s">
        <v>6555</v>
      </c>
      <c r="F4514" t="str">
        <f t="shared" si="350"/>
        <v>Windsprint</v>
      </c>
      <c r="G4514" t="str">
        <f t="shared" si="351"/>
        <v>Windsprint2305Arlington</v>
      </c>
      <c r="H4514" t="s">
        <v>35371</v>
      </c>
      <c r="I4514" t="s">
        <v>26794</v>
      </c>
      <c r="J4514" t="str">
        <f t="shared" si="352"/>
        <v>E:\PropInv\MF</v>
      </c>
      <c r="K4514" s="103" t="str">
        <f>HYPERLINK("E:\PropInv\MF\Arlington\Windsprint Way_2305_Windsprint_Arlington_14517","Windsprint Way_2305_Windsprint_Arlington_14517" )</f>
        <v>Windsprint Way_2305_Windsprint_Arlington_14517</v>
      </c>
      <c r="L4514" s="104" t="s">
        <v>22253</v>
      </c>
      <c r="M4514" s="103" t="str">
        <f t="shared" si="353"/>
        <v>http://oconnordata.com/mlink/modules/profile/index.cfm?action=profile&amp;prop_id=14517</v>
      </c>
      <c r="N4514" s="1">
        <f t="shared" si="354"/>
        <v>14517</v>
      </c>
    </row>
    <row r="4515" spans="1:14" x14ac:dyDescent="0.3">
      <c r="A4515" s="1">
        <v>14519</v>
      </c>
      <c r="B4515" s="7" t="s">
        <v>6871</v>
      </c>
      <c r="C4515" s="12">
        <v>3657</v>
      </c>
      <c r="D4515" s="7" t="s">
        <v>6872</v>
      </c>
      <c r="E4515" s="13" t="s">
        <v>6555</v>
      </c>
      <c r="F4515" t="str">
        <f t="shared" si="350"/>
        <v>Landers</v>
      </c>
      <c r="G4515" t="str">
        <f t="shared" si="351"/>
        <v>Landers3657Arlington</v>
      </c>
      <c r="H4515" t="s">
        <v>35372</v>
      </c>
      <c r="I4515" t="s">
        <v>26795</v>
      </c>
      <c r="J4515" t="str">
        <f t="shared" si="352"/>
        <v>E:\PropInv\MF</v>
      </c>
      <c r="K4515" s="103" t="str">
        <f>HYPERLINK("E:\PropInv\MF\Arlington\Landers Ln_3657_Landers Lane TH_Arlington_14519","Landers Ln_3657_Landers Lane TH_Arlington_14519" )</f>
        <v>Landers Ln_3657_Landers Lane TH_Arlington_14519</v>
      </c>
      <c r="L4515" s="104" t="s">
        <v>22253</v>
      </c>
      <c r="M4515" s="103" t="str">
        <f t="shared" si="353"/>
        <v>http://oconnordata.com/mlink/modules/profile/index.cfm?action=profile&amp;prop_id=14519</v>
      </c>
      <c r="N4515" s="1">
        <f t="shared" si="354"/>
        <v>14519</v>
      </c>
    </row>
    <row r="4516" spans="1:14" x14ac:dyDescent="0.3">
      <c r="A4516" s="97">
        <v>14520</v>
      </c>
      <c r="B4516" s="7" t="s">
        <v>4921</v>
      </c>
      <c r="C4516" s="12">
        <v>3875</v>
      </c>
      <c r="D4516" s="7" t="s">
        <v>2429</v>
      </c>
      <c r="E4516" s="13" t="s">
        <v>5781</v>
      </c>
      <c r="F4516" t="str">
        <f t="shared" si="350"/>
        <v>Post</v>
      </c>
      <c r="G4516" t="str">
        <f t="shared" si="351"/>
        <v>Post3875Euless</v>
      </c>
      <c r="H4516" t="s">
        <v>35373</v>
      </c>
      <c r="I4516" t="s">
        <v>26796</v>
      </c>
      <c r="J4516" t="str">
        <f t="shared" si="352"/>
        <v>E:\PropInv\MF</v>
      </c>
      <c r="K4516" s="103" t="str">
        <f>HYPERLINK("E:\PropInv\MF\Euless\Post Oak Blvd_3875_Wood Hollow_Euless_14520","Post Oak Blvd_3875_Wood Hollow_Euless_14520" )</f>
        <v>Post Oak Blvd_3875_Wood Hollow_Euless_14520</v>
      </c>
      <c r="L4516" s="104" t="s">
        <v>22253</v>
      </c>
      <c r="M4516" s="103" t="str">
        <f t="shared" si="353"/>
        <v>http://oconnordata.com/mlink/modules/profile/index.cfm?action=profile&amp;prop_id=14520</v>
      </c>
      <c r="N4516" s="1">
        <f t="shared" si="354"/>
        <v>14520</v>
      </c>
    </row>
    <row r="4517" spans="1:14" x14ac:dyDescent="0.3">
      <c r="A4517" s="97">
        <v>14521</v>
      </c>
      <c r="B4517" s="7" t="s">
        <v>6873</v>
      </c>
      <c r="C4517" s="12">
        <v>6897</v>
      </c>
      <c r="D4517" s="7" t="s">
        <v>6874</v>
      </c>
      <c r="E4517" s="13" t="s">
        <v>6541</v>
      </c>
      <c r="F4517" t="str">
        <f t="shared" si="350"/>
        <v>Meadow</v>
      </c>
      <c r="G4517" t="str">
        <f t="shared" si="351"/>
        <v>Meadow6897North Richland Hills</v>
      </c>
      <c r="H4517" t="s">
        <v>35374</v>
      </c>
      <c r="I4517" t="s">
        <v>26797</v>
      </c>
      <c r="J4517" t="str">
        <f t="shared" si="352"/>
        <v>E:\PropInv\MF</v>
      </c>
      <c r="K4517" s="103" t="str">
        <f>HYPERLINK("E:\PropInv\MF\North Richland Hills\Meadow Crest Dr_6897_Wood Meadow_North Richland Hills_14521","Meadow Crest Dr_6897_Wood Meadow_North Richland Hills_14521" )</f>
        <v>Meadow Crest Dr_6897_Wood Meadow_North Richland Hills_14521</v>
      </c>
      <c r="L4517" s="104" t="s">
        <v>22253</v>
      </c>
      <c r="M4517" s="103" t="str">
        <f t="shared" si="353"/>
        <v>http://oconnordata.com/mlink/modules/profile/index.cfm?action=profile&amp;prop_id=14521</v>
      </c>
      <c r="N4517" s="1">
        <f t="shared" si="354"/>
        <v>14521</v>
      </c>
    </row>
    <row r="4518" spans="1:14" x14ac:dyDescent="0.3">
      <c r="A4518" s="97">
        <v>14522</v>
      </c>
      <c r="B4518" s="7" t="s">
        <v>6875</v>
      </c>
      <c r="C4518" s="12">
        <v>2700</v>
      </c>
      <c r="D4518" s="7" t="s">
        <v>1501</v>
      </c>
      <c r="E4518" s="13" t="s">
        <v>4942</v>
      </c>
      <c r="F4518" t="str">
        <f t="shared" si="350"/>
        <v>Martin</v>
      </c>
      <c r="G4518" t="str">
        <f t="shared" si="351"/>
        <v>Martin2700Bedford</v>
      </c>
      <c r="H4518" t="s">
        <v>35375</v>
      </c>
      <c r="I4518" t="s">
        <v>26798</v>
      </c>
      <c r="J4518" t="str">
        <f t="shared" si="352"/>
        <v>E:\PropInv\MF</v>
      </c>
      <c r="K4518" s="103" t="str">
        <f>HYPERLINK("E:\PropInv\MF\Bedford\Martin Dr_2700_Woodbridge_Bedford_14522","Martin Dr_2700_Woodbridge_Bedford_14522" )</f>
        <v>Martin Dr_2700_Woodbridge_Bedford_14522</v>
      </c>
      <c r="L4518" s="104" t="s">
        <v>22253</v>
      </c>
      <c r="M4518" s="103" t="str">
        <f t="shared" si="353"/>
        <v>http://oconnordata.com/mlink/modules/profile/index.cfm?action=profile&amp;prop_id=14522</v>
      </c>
      <c r="N4518" s="1">
        <f t="shared" si="354"/>
        <v>14522</v>
      </c>
    </row>
    <row r="4519" spans="1:14" x14ac:dyDescent="0.3">
      <c r="A4519" s="97">
        <v>14523</v>
      </c>
      <c r="B4519" s="7" t="s">
        <v>6600</v>
      </c>
      <c r="C4519" s="12">
        <v>1000</v>
      </c>
      <c r="D4519" s="7" t="s">
        <v>463</v>
      </c>
      <c r="E4519" s="13" t="s">
        <v>5781</v>
      </c>
      <c r="F4519" t="str">
        <f t="shared" si="350"/>
        <v>Ash</v>
      </c>
      <c r="G4519" t="str">
        <f t="shared" si="351"/>
        <v>Ash1000Euless</v>
      </c>
      <c r="H4519" t="s">
        <v>35376</v>
      </c>
      <c r="I4519" t="s">
        <v>26799</v>
      </c>
      <c r="J4519" t="str">
        <f t="shared" si="352"/>
        <v>E:\PropInv\MF</v>
      </c>
      <c r="K4519" s="103" t="str">
        <f>HYPERLINK("E:\PropInv\MF\Euless\Ash Ln E_1000_Woodchase_Euless_14523","Ash Ln E_1000_Woodchase_Euless_14523" )</f>
        <v>Ash Ln E_1000_Woodchase_Euless_14523</v>
      </c>
      <c r="L4519" s="104" t="s">
        <v>22253</v>
      </c>
      <c r="M4519" s="103" t="str">
        <f t="shared" si="353"/>
        <v>http://oconnordata.com/mlink/modules/profile/index.cfm?action=profile&amp;prop_id=14523</v>
      </c>
      <c r="N4519" s="1">
        <f t="shared" si="354"/>
        <v>14523</v>
      </c>
    </row>
    <row r="4520" spans="1:14" x14ac:dyDescent="0.3">
      <c r="A4520" s="1">
        <v>14524</v>
      </c>
      <c r="B4520" s="7" t="s">
        <v>6876</v>
      </c>
      <c r="C4520" s="12">
        <v>6001</v>
      </c>
      <c r="D4520" s="7" t="s">
        <v>4981</v>
      </c>
      <c r="E4520" s="13" t="s">
        <v>5014</v>
      </c>
      <c r="F4520" t="str">
        <f t="shared" si="350"/>
        <v>Stoneybrook</v>
      </c>
      <c r="G4520" t="str">
        <f t="shared" si="351"/>
        <v>Stoneybrook6001Fort Worth</v>
      </c>
      <c r="H4520" t="s">
        <v>35377</v>
      </c>
      <c r="I4520" t="s">
        <v>26800</v>
      </c>
      <c r="J4520" t="str">
        <f t="shared" si="352"/>
        <v>E:\PropInv\MF</v>
      </c>
      <c r="K4520" s="103" t="str">
        <f>HYPERLINK("E:\PropInv\MF\Fort Worth\Stoneybrook Dr_6001_La Plaza_Fort Worth_14524","Stoneybrook Dr_6001_La Plaza_Fort Worth_14524" )</f>
        <v>Stoneybrook Dr_6001_La Plaza_Fort Worth_14524</v>
      </c>
      <c r="L4520" s="104" t="s">
        <v>22253</v>
      </c>
      <c r="M4520" s="103" t="str">
        <f t="shared" si="353"/>
        <v>http://oconnordata.com/mlink/modules/profile/index.cfm?action=profile&amp;prop_id=14524</v>
      </c>
      <c r="N4520" s="1">
        <f t="shared" si="354"/>
        <v>14524</v>
      </c>
    </row>
    <row r="4521" spans="1:14" x14ac:dyDescent="0.3">
      <c r="A4521" s="97">
        <v>14525</v>
      </c>
      <c r="B4521" s="7" t="s">
        <v>5303</v>
      </c>
      <c r="C4521" s="12">
        <v>655</v>
      </c>
      <c r="D4521" s="7" t="s">
        <v>6877</v>
      </c>
      <c r="E4521" s="13" t="s">
        <v>6578</v>
      </c>
      <c r="F4521" t="str">
        <f t="shared" si="350"/>
        <v>Park</v>
      </c>
      <c r="G4521" t="str">
        <f t="shared" si="351"/>
        <v>Park655Grapevine</v>
      </c>
      <c r="H4521" t="s">
        <v>35378</v>
      </c>
      <c r="I4521" t="s">
        <v>26801</v>
      </c>
      <c r="J4521" t="str">
        <f t="shared" si="352"/>
        <v>E:\PropInv\MF</v>
      </c>
      <c r="K4521" s="103" t="str">
        <f>HYPERLINK("E:\PropInv\MF\Grapevine\Park Blvd_655_Woodlake_Grapevine_14525","Park Blvd_655_Woodlake_Grapevine_14525" )</f>
        <v>Park Blvd_655_Woodlake_Grapevine_14525</v>
      </c>
      <c r="L4521" s="104" t="s">
        <v>22253</v>
      </c>
      <c r="M4521" s="103" t="str">
        <f t="shared" si="353"/>
        <v>http://oconnordata.com/mlink/modules/profile/index.cfm?action=profile&amp;prop_id=14525</v>
      </c>
      <c r="N4521" s="1">
        <f t="shared" si="354"/>
        <v>14525</v>
      </c>
    </row>
    <row r="4522" spans="1:14" x14ac:dyDescent="0.3">
      <c r="A4522" s="1">
        <v>14527</v>
      </c>
      <c r="B4522" s="7" t="s">
        <v>6878</v>
      </c>
      <c r="C4522" s="12">
        <v>2216</v>
      </c>
      <c r="D4522" s="7" t="s">
        <v>6879</v>
      </c>
      <c r="E4522" s="13" t="s">
        <v>6555</v>
      </c>
      <c r="F4522" t="str">
        <f t="shared" si="350"/>
        <v>Plum</v>
      </c>
      <c r="G4522" t="str">
        <f t="shared" si="351"/>
        <v>Plum2216Arlington</v>
      </c>
      <c r="H4522" t="s">
        <v>35379</v>
      </c>
      <c r="I4522" t="s">
        <v>26802</v>
      </c>
      <c r="J4522" t="str">
        <f t="shared" si="352"/>
        <v>E:\PropInv\MF</v>
      </c>
      <c r="K4522" s="103" t="str">
        <f>HYPERLINK("E:\PropInv\MF\Arlington\Plum Ln_2216_Sutter Creek_Arlington_14527","Plum Ln_2216_Sutter Creek_Arlington_14527" )</f>
        <v>Plum Ln_2216_Sutter Creek_Arlington_14527</v>
      </c>
      <c r="L4522" s="104" t="s">
        <v>22253</v>
      </c>
      <c r="M4522" s="103" t="str">
        <f t="shared" si="353"/>
        <v>http://oconnordata.com/mlink/modules/profile/index.cfm?action=profile&amp;prop_id=14527</v>
      </c>
      <c r="N4522" s="1">
        <f t="shared" si="354"/>
        <v>14527</v>
      </c>
    </row>
    <row r="4523" spans="1:14" x14ac:dyDescent="0.3">
      <c r="A4523" s="97">
        <v>14528</v>
      </c>
      <c r="B4523" s="7" t="s">
        <v>6880</v>
      </c>
      <c r="C4523" s="12">
        <v>6101</v>
      </c>
      <c r="D4523" s="7" t="s">
        <v>6881</v>
      </c>
      <c r="E4523" s="13" t="s">
        <v>5014</v>
      </c>
      <c r="F4523" t="str">
        <f t="shared" si="350"/>
        <v>Boca</v>
      </c>
      <c r="G4523" t="str">
        <f t="shared" si="351"/>
        <v>Boca6101Fort Worth</v>
      </c>
      <c r="H4523" t="s">
        <v>35380</v>
      </c>
      <c r="I4523" t="s">
        <v>26803</v>
      </c>
      <c r="J4523" t="str">
        <f t="shared" si="352"/>
        <v>E:\PropInv\MF</v>
      </c>
      <c r="K4523" s="103" t="str">
        <f>HYPERLINK("E:\PropInv\MF\Fort Worth\Boca Raton_6101_Wyndham Pointe_Fort Worth_14528","Boca Raton_6101_Wyndham Pointe_Fort Worth_14528" )</f>
        <v>Boca Raton_6101_Wyndham Pointe_Fort Worth_14528</v>
      </c>
      <c r="L4523" s="104" t="s">
        <v>22253</v>
      </c>
      <c r="M4523" s="103" t="str">
        <f t="shared" si="353"/>
        <v>http://oconnordata.com/mlink/modules/profile/index.cfm?action=profile&amp;prop_id=14528</v>
      </c>
      <c r="N4523" s="1">
        <f t="shared" si="354"/>
        <v>14528</v>
      </c>
    </row>
    <row r="4524" spans="1:14" x14ac:dyDescent="0.3">
      <c r="A4524" s="1">
        <v>14529</v>
      </c>
      <c r="B4524" s="7" t="s">
        <v>6882</v>
      </c>
      <c r="C4524" s="12">
        <v>1525</v>
      </c>
      <c r="D4524" s="7" t="s">
        <v>6883</v>
      </c>
      <c r="E4524" s="13" t="s">
        <v>367</v>
      </c>
      <c r="F4524" t="str">
        <f t="shared" si="350"/>
        <v>Grand</v>
      </c>
      <c r="G4524" t="str">
        <f t="shared" si="351"/>
        <v>Grand1525Pflugerville</v>
      </c>
      <c r="H4524" t="s">
        <v>35381</v>
      </c>
      <c r="I4524" t="s">
        <v>26804</v>
      </c>
      <c r="J4524" t="str">
        <f t="shared" si="352"/>
        <v>E:\PropInv\MF</v>
      </c>
      <c r="K4524" s="103" t="str">
        <f>HYPERLINK("E:\PropInv\MF\Pflugerville\Grand Ave Pkwy_1525_Riverhorse Ranch_Pflugerville_14529","Grand Ave Pkwy_1525_Riverhorse Ranch_Pflugerville_14529" )</f>
        <v>Grand Ave Pkwy_1525_Riverhorse Ranch_Pflugerville_14529</v>
      </c>
      <c r="L4524" s="104" t="s">
        <v>22253</v>
      </c>
      <c r="M4524" s="103" t="str">
        <f t="shared" si="353"/>
        <v>http://oconnordata.com/mlink/modules/profile/index.cfm?action=profile&amp;prop_id=14529</v>
      </c>
      <c r="N4524" s="1">
        <f t="shared" si="354"/>
        <v>14529</v>
      </c>
    </row>
    <row r="4525" spans="1:14" x14ac:dyDescent="0.3">
      <c r="A4525" s="1">
        <v>14530</v>
      </c>
      <c r="B4525" s="7" t="s">
        <v>5906</v>
      </c>
      <c r="C4525" s="12">
        <v>12825</v>
      </c>
      <c r="D4525" s="7" t="s">
        <v>6884</v>
      </c>
      <c r="E4525" s="13" t="s">
        <v>4996</v>
      </c>
      <c r="F4525" t="str">
        <f t="shared" si="350"/>
        <v>Jupiter</v>
      </c>
      <c r="G4525" t="str">
        <f t="shared" si="351"/>
        <v>Jupiter12825Dallas</v>
      </c>
      <c r="H4525" t="s">
        <v>35382</v>
      </c>
      <c r="I4525" t="s">
        <v>26805</v>
      </c>
      <c r="J4525" t="str">
        <f t="shared" si="352"/>
        <v>E:\PropInv\MF</v>
      </c>
      <c r="K4525" s="103" t="str">
        <f>HYPERLINK("E:\PropInv\MF\Dallas\Jupiter Rd_12825_Villas at La Risa_Dallas_14530","Jupiter Rd_12825_Villas at La Risa_Dallas_14530" )</f>
        <v>Jupiter Rd_12825_Villas at La Risa_Dallas_14530</v>
      </c>
      <c r="L4525" s="104" t="s">
        <v>22253</v>
      </c>
      <c r="M4525" s="103" t="str">
        <f t="shared" si="353"/>
        <v>http://oconnordata.com/mlink/modules/profile/index.cfm?action=profile&amp;prop_id=14530</v>
      </c>
      <c r="N4525" s="1">
        <f t="shared" si="354"/>
        <v>14530</v>
      </c>
    </row>
    <row r="4526" spans="1:14" x14ac:dyDescent="0.3">
      <c r="A4526" s="1">
        <v>14533</v>
      </c>
      <c r="B4526" s="7" t="s">
        <v>3983</v>
      </c>
      <c r="C4526" s="12">
        <v>6600</v>
      </c>
      <c r="D4526" s="7" t="s">
        <v>6885</v>
      </c>
      <c r="E4526" s="13" t="s">
        <v>5009</v>
      </c>
      <c r="F4526" t="str">
        <f t="shared" si="350"/>
        <v>Preston</v>
      </c>
      <c r="G4526" t="str">
        <f t="shared" si="351"/>
        <v>Preston6600Plano</v>
      </c>
      <c r="H4526" t="s">
        <v>35383</v>
      </c>
      <c r="I4526" t="s">
        <v>26806</v>
      </c>
      <c r="J4526" t="str">
        <f t="shared" si="352"/>
        <v>E:\PropInv\MF</v>
      </c>
      <c r="K4526" s="103" t="str">
        <f>HYPERLINK("E:\PropInv\MF\Plano\Preston Rd_6600_Camden Legacy Park_Plano_14533","Preston Rd_6600_Camden Legacy Park_Plano_14533" )</f>
        <v>Preston Rd_6600_Camden Legacy Park_Plano_14533</v>
      </c>
      <c r="L4526" s="104" t="s">
        <v>22253</v>
      </c>
      <c r="M4526" s="103" t="str">
        <f t="shared" si="353"/>
        <v>http://oconnordata.com/mlink/modules/profile/index.cfm?action=profile&amp;prop_id=14533</v>
      </c>
      <c r="N4526" s="1">
        <f t="shared" si="354"/>
        <v>14533</v>
      </c>
    </row>
    <row r="4527" spans="1:14" x14ac:dyDescent="0.3">
      <c r="A4527" s="1">
        <v>14541</v>
      </c>
      <c r="B4527" s="7" t="s">
        <v>6886</v>
      </c>
      <c r="C4527" s="12">
        <v>5400</v>
      </c>
      <c r="D4527" s="7" t="s">
        <v>6887</v>
      </c>
      <c r="E4527" s="13" t="s">
        <v>4996</v>
      </c>
      <c r="F4527" t="str">
        <f t="shared" si="350"/>
        <v>Liveoak</v>
      </c>
      <c r="G4527" t="str">
        <f t="shared" si="351"/>
        <v>Liveoak5400Dallas</v>
      </c>
      <c r="H4527" t="s">
        <v>35384</v>
      </c>
      <c r="I4527" t="s">
        <v>26807</v>
      </c>
      <c r="J4527" t="str">
        <f t="shared" si="352"/>
        <v>E:\PropInv\MF</v>
      </c>
      <c r="K4527" s="103" t="str">
        <f>HYPERLINK("E:\PropInv\MF\Dallas\Liveoak_5400_5400 Liveoak_Dallas_14541","Liveoak_5400_5400 Liveoak_Dallas_14541" )</f>
        <v>Liveoak_5400_5400 Liveoak_Dallas_14541</v>
      </c>
      <c r="L4527" s="104" t="s">
        <v>22253</v>
      </c>
      <c r="M4527" s="103" t="str">
        <f t="shared" si="353"/>
        <v>http://oconnordata.com/mlink/modules/profile/index.cfm?action=profile&amp;prop_id=14541</v>
      </c>
      <c r="N4527" s="1">
        <f t="shared" si="354"/>
        <v>14541</v>
      </c>
    </row>
    <row r="4528" spans="1:14" x14ac:dyDescent="0.3">
      <c r="A4528" s="1">
        <v>14543</v>
      </c>
      <c r="B4528" s="7" t="s">
        <v>6176</v>
      </c>
      <c r="C4528" s="12">
        <v>10110</v>
      </c>
      <c r="D4528" s="7" t="s">
        <v>6888</v>
      </c>
      <c r="E4528" s="13" t="s">
        <v>4996</v>
      </c>
      <c r="F4528" t="str">
        <f t="shared" si="350"/>
        <v>Walnut</v>
      </c>
      <c r="G4528" t="str">
        <f t="shared" si="351"/>
        <v>Walnut10110Dallas</v>
      </c>
      <c r="H4528" t="s">
        <v>35385</v>
      </c>
      <c r="I4528" t="s">
        <v>26808</v>
      </c>
      <c r="J4528" t="str">
        <f t="shared" si="352"/>
        <v>E:\PropInv\MF</v>
      </c>
      <c r="K4528" s="103" t="str">
        <f>HYPERLINK("E:\PropInv\MF\Dallas\Walnut St_10110_Briarwyck_Dallas_14543","Walnut St_10110_Briarwyck_Dallas_14543" )</f>
        <v>Walnut St_10110_Briarwyck_Dallas_14543</v>
      </c>
      <c r="L4528" s="104" t="s">
        <v>22253</v>
      </c>
      <c r="M4528" s="103" t="str">
        <f t="shared" si="353"/>
        <v>http://oconnordata.com/mlink/modules/profile/index.cfm?action=profile&amp;prop_id=14543</v>
      </c>
      <c r="N4528" s="1">
        <f t="shared" si="354"/>
        <v>14543</v>
      </c>
    </row>
    <row r="4529" spans="1:14" x14ac:dyDescent="0.3">
      <c r="A4529" s="1">
        <v>14545</v>
      </c>
      <c r="B4529" s="7" t="s">
        <v>6889</v>
      </c>
      <c r="C4529" s="12">
        <v>15190</v>
      </c>
      <c r="D4529" s="7" t="s">
        <v>6890</v>
      </c>
      <c r="E4529" s="13" t="s">
        <v>4996</v>
      </c>
      <c r="F4529" t="str">
        <f t="shared" si="350"/>
        <v>Prestonwood</v>
      </c>
      <c r="G4529" t="str">
        <f t="shared" si="351"/>
        <v>Prestonwood15190Dallas</v>
      </c>
      <c r="H4529" t="s">
        <v>35386</v>
      </c>
      <c r="I4529" t="s">
        <v>26809</v>
      </c>
      <c r="J4529" t="str">
        <f t="shared" si="352"/>
        <v>E:\PropInv\MF</v>
      </c>
      <c r="K4529" s="103" t="str">
        <f>HYPERLINK("E:\PropInv\MF\Dallas\Prestonwood Blvd_15190_Turnberry Isle_Dallas_14545","Prestonwood Blvd_15190_Turnberry Isle_Dallas_14545" )</f>
        <v>Prestonwood Blvd_15190_Turnberry Isle_Dallas_14545</v>
      </c>
      <c r="L4529" s="104" t="s">
        <v>22253</v>
      </c>
      <c r="M4529" s="103" t="str">
        <f t="shared" si="353"/>
        <v>http://oconnordata.com/mlink/modules/profile/index.cfm?action=profile&amp;prop_id=14545</v>
      </c>
      <c r="N4529" s="1">
        <f t="shared" si="354"/>
        <v>14545</v>
      </c>
    </row>
    <row r="4530" spans="1:14" x14ac:dyDescent="0.3">
      <c r="A4530" s="1">
        <v>14546</v>
      </c>
      <c r="B4530" s="7" t="s">
        <v>3983</v>
      </c>
      <c r="C4530" s="12">
        <v>19019</v>
      </c>
      <c r="D4530" s="7" t="s">
        <v>6891</v>
      </c>
      <c r="E4530" s="13" t="s">
        <v>4996</v>
      </c>
      <c r="F4530" t="str">
        <f t="shared" si="350"/>
        <v>Preston</v>
      </c>
      <c r="G4530" t="str">
        <f t="shared" si="351"/>
        <v>Preston19019Dallas</v>
      </c>
      <c r="H4530" t="s">
        <v>35387</v>
      </c>
      <c r="I4530" t="s">
        <v>26810</v>
      </c>
      <c r="J4530" t="str">
        <f t="shared" si="352"/>
        <v>E:\PropInv\MF</v>
      </c>
      <c r="K4530" s="103" t="str">
        <f>HYPERLINK("E:\PropInv\MF\Dallas\Preston Rd_19019_19019 Preston TH_Dallas_14546","Preston Rd_19019_19019 Preston TH_Dallas_14546" )</f>
        <v>Preston Rd_19019_19019 Preston TH_Dallas_14546</v>
      </c>
      <c r="L4530" s="104" t="s">
        <v>22253</v>
      </c>
      <c r="M4530" s="103" t="str">
        <f t="shared" si="353"/>
        <v>http://oconnordata.com/mlink/modules/profile/index.cfm?action=profile&amp;prop_id=14546</v>
      </c>
      <c r="N4530" s="1">
        <f t="shared" si="354"/>
        <v>14546</v>
      </c>
    </row>
    <row r="4531" spans="1:14" x14ac:dyDescent="0.3">
      <c r="A4531" s="1">
        <v>14549</v>
      </c>
      <c r="B4531" s="7" t="s">
        <v>6892</v>
      </c>
      <c r="C4531" s="12">
        <v>6011</v>
      </c>
      <c r="D4531" s="7" t="s">
        <v>6893</v>
      </c>
      <c r="E4531" s="13" t="s">
        <v>4996</v>
      </c>
      <c r="F4531" t="str">
        <f t="shared" si="350"/>
        <v>Gaston</v>
      </c>
      <c r="G4531" t="str">
        <f t="shared" si="351"/>
        <v>Gaston6011Dallas</v>
      </c>
      <c r="H4531" t="s">
        <v>35388</v>
      </c>
      <c r="I4531" t="s">
        <v>26811</v>
      </c>
      <c r="J4531" t="str">
        <f t="shared" si="352"/>
        <v>E:\PropInv\MF</v>
      </c>
      <c r="K4531" s="103" t="str">
        <f>HYPERLINK("E:\PropInv\MF\Dallas\Gaston Ave_6011_6011 Gaston_Dallas_14549","Gaston Ave_6011_6011 Gaston_Dallas_14549" )</f>
        <v>Gaston Ave_6011_6011 Gaston_Dallas_14549</v>
      </c>
      <c r="L4531" s="104" t="s">
        <v>22253</v>
      </c>
      <c r="M4531" s="103" t="str">
        <f t="shared" si="353"/>
        <v>http://oconnordata.com/mlink/modules/profile/index.cfm?action=profile&amp;prop_id=14549</v>
      </c>
      <c r="N4531" s="1">
        <f t="shared" si="354"/>
        <v>14549</v>
      </c>
    </row>
    <row r="4532" spans="1:14" x14ac:dyDescent="0.3">
      <c r="A4532" s="1">
        <v>14551</v>
      </c>
      <c r="B4532" s="7" t="s">
        <v>6894</v>
      </c>
      <c r="C4532" s="12">
        <v>2200</v>
      </c>
      <c r="D4532" s="7" t="s">
        <v>6895</v>
      </c>
      <c r="E4532" s="13" t="s">
        <v>5014</v>
      </c>
      <c r="F4532" t="str">
        <f t="shared" si="350"/>
        <v>Aden</v>
      </c>
      <c r="G4532" t="str">
        <f t="shared" si="351"/>
        <v>Aden2200Fort Worth</v>
      </c>
      <c r="H4532" t="s">
        <v>35389</v>
      </c>
      <c r="I4532" t="s">
        <v>26812</v>
      </c>
      <c r="J4532" t="str">
        <f t="shared" si="352"/>
        <v>E:\PropInv\MF</v>
      </c>
      <c r="K4532" s="103" t="str">
        <f>HYPERLINK("E:\PropInv\MF\Fort Worth\Aden Rd_2200_Aden Crest_Fort Worth_14551","Aden Rd_2200_Aden Crest_Fort Worth_14551" )</f>
        <v>Aden Rd_2200_Aden Crest_Fort Worth_14551</v>
      </c>
      <c r="L4532" s="104" t="s">
        <v>22253</v>
      </c>
      <c r="M4532" s="103" t="str">
        <f t="shared" si="353"/>
        <v>http://oconnordata.com/mlink/modules/profile/index.cfm?action=profile&amp;prop_id=14551</v>
      </c>
      <c r="N4532" s="1">
        <f t="shared" si="354"/>
        <v>14551</v>
      </c>
    </row>
    <row r="4533" spans="1:14" x14ac:dyDescent="0.3">
      <c r="A4533" s="1">
        <v>14552</v>
      </c>
      <c r="B4533" s="7" t="s">
        <v>6896</v>
      </c>
      <c r="C4533" s="12">
        <v>355</v>
      </c>
      <c r="D4533" s="7" t="s">
        <v>6897</v>
      </c>
      <c r="E4533" s="13" t="s">
        <v>6898</v>
      </c>
      <c r="F4533" t="str">
        <f t="shared" si="350"/>
        <v>NW</v>
      </c>
      <c r="G4533" t="str">
        <f t="shared" si="351"/>
        <v>NW355Burleson</v>
      </c>
      <c r="H4533" t="s">
        <v>35390</v>
      </c>
      <c r="I4533" t="s">
        <v>26813</v>
      </c>
      <c r="J4533" t="str">
        <f t="shared" si="352"/>
        <v>E:\PropInv\MF</v>
      </c>
      <c r="K4533" s="103" t="str">
        <f>HYPERLINK("E:\PropInv\MF\Burleson\NW Hillery_355_Arbors of Burleson_Burleson_14552","NW Hillery_355_Arbors of Burleson_Burleson_14552" )</f>
        <v>NW Hillery_355_Arbors of Burleson_Burleson_14552</v>
      </c>
      <c r="L4533" s="104" t="s">
        <v>22253</v>
      </c>
      <c r="M4533" s="103" t="str">
        <f t="shared" si="353"/>
        <v>http://oconnordata.com/mlink/modules/profile/index.cfm?action=profile&amp;prop_id=14552</v>
      </c>
      <c r="N4533" s="1">
        <f t="shared" si="354"/>
        <v>14552</v>
      </c>
    </row>
    <row r="4534" spans="1:14" x14ac:dyDescent="0.3">
      <c r="A4534" s="1">
        <v>14553</v>
      </c>
      <c r="B4534" s="7" t="s">
        <v>6899</v>
      </c>
      <c r="C4534" s="12">
        <v>1103</v>
      </c>
      <c r="D4534" s="7" t="s">
        <v>6900</v>
      </c>
      <c r="E4534" s="13" t="s">
        <v>5097</v>
      </c>
      <c r="F4534" t="str">
        <f t="shared" si="350"/>
        <v>Bernard</v>
      </c>
      <c r="G4534" t="str">
        <f t="shared" si="351"/>
        <v>Bernard1103Denton</v>
      </c>
      <c r="H4534" t="s">
        <v>35391</v>
      </c>
      <c r="I4534" t="s">
        <v>26814</v>
      </c>
      <c r="J4534" t="str">
        <f t="shared" si="352"/>
        <v>E:\PropInv\MF</v>
      </c>
      <c r="K4534" s="103" t="str">
        <f>HYPERLINK("E:\PropInv\MF\Denton\Bernard St_1103_Arbors of Denton_Denton_14553","Bernard St_1103_Arbors of Denton_Denton_14553" )</f>
        <v>Bernard St_1103_Arbors of Denton_Denton_14553</v>
      </c>
      <c r="L4534" s="104" t="s">
        <v>22253</v>
      </c>
      <c r="M4534" s="103" t="str">
        <f t="shared" si="353"/>
        <v>http://oconnordata.com/mlink/modules/profile/index.cfm?action=profile&amp;prop_id=14553</v>
      </c>
      <c r="N4534" s="1">
        <f t="shared" si="354"/>
        <v>14553</v>
      </c>
    </row>
    <row r="4535" spans="1:14" x14ac:dyDescent="0.3">
      <c r="A4535" s="1">
        <v>14554</v>
      </c>
      <c r="B4535" s="7" t="s">
        <v>6901</v>
      </c>
      <c r="C4535" s="12">
        <v>6000</v>
      </c>
      <c r="D4535" s="7" t="s">
        <v>6902</v>
      </c>
      <c r="E4535" s="13" t="s">
        <v>5014</v>
      </c>
      <c r="F4535" t="str">
        <f t="shared" si="350"/>
        <v>Oakmont</v>
      </c>
      <c r="G4535" t="str">
        <f t="shared" si="351"/>
        <v>Oakmont6000Fort Worth</v>
      </c>
      <c r="H4535" t="s">
        <v>35392</v>
      </c>
      <c r="I4535" t="s">
        <v>26815</v>
      </c>
      <c r="J4535" t="str">
        <f t="shared" si="352"/>
        <v>E:\PropInv\MF</v>
      </c>
      <c r="K4535" s="103" t="str">
        <f>HYPERLINK("E:\PropInv\MF\Fort Worth\Oakmont Trl_6000_Arbors on Oakmont_Fort Worth_14554","Oakmont Trl_6000_Arbors on Oakmont_Fort Worth_14554" )</f>
        <v>Oakmont Trl_6000_Arbors on Oakmont_Fort Worth_14554</v>
      </c>
      <c r="L4535" s="104" t="s">
        <v>22253</v>
      </c>
      <c r="M4535" s="103" t="str">
        <f t="shared" si="353"/>
        <v>http://oconnordata.com/mlink/modules/profile/index.cfm?action=profile&amp;prop_id=14554</v>
      </c>
      <c r="N4535" s="1">
        <f t="shared" si="354"/>
        <v>14554</v>
      </c>
    </row>
    <row r="4536" spans="1:14" x14ac:dyDescent="0.3">
      <c r="A4536" s="1">
        <v>14556</v>
      </c>
      <c r="B4536" s="7" t="s">
        <v>6903</v>
      </c>
      <c r="C4536" s="12">
        <v>1901</v>
      </c>
      <c r="D4536" s="7" t="s">
        <v>6904</v>
      </c>
      <c r="E4536" s="13" t="s">
        <v>5009</v>
      </c>
      <c r="F4536" t="str">
        <f t="shared" si="350"/>
        <v>15th</v>
      </c>
      <c r="G4536" t="str">
        <f t="shared" si="351"/>
        <v>15th1901Plano</v>
      </c>
      <c r="H4536" t="s">
        <v>35393</v>
      </c>
      <c r="I4536" t="s">
        <v>26816</v>
      </c>
      <c r="J4536" t="str">
        <f t="shared" si="352"/>
        <v>E:\PropInv\MF</v>
      </c>
      <c r="K4536" s="103" t="str">
        <f>HYPERLINK("E:\PropInv\MF\Plano\15th St E_1901_Amber Vista_Plano_14556","15th St E_1901_Amber Vista_Plano_14556" )</f>
        <v>15th St E_1901_Amber Vista_Plano_14556</v>
      </c>
      <c r="L4536" s="104" t="s">
        <v>22253</v>
      </c>
      <c r="M4536" s="103" t="str">
        <f t="shared" si="353"/>
        <v>http://oconnordata.com/mlink/modules/profile/index.cfm?action=profile&amp;prop_id=14556</v>
      </c>
      <c r="N4536" s="1">
        <f t="shared" si="354"/>
        <v>14556</v>
      </c>
    </row>
    <row r="4537" spans="1:14" x14ac:dyDescent="0.3">
      <c r="A4537" s="1">
        <v>14558</v>
      </c>
      <c r="B4537" s="7" t="s">
        <v>6905</v>
      </c>
      <c r="C4537" s="12">
        <v>4600</v>
      </c>
      <c r="D4537" s="7" t="s">
        <v>6906</v>
      </c>
      <c r="E4537" s="13" t="s">
        <v>5014</v>
      </c>
      <c r="F4537" t="str">
        <f t="shared" si="350"/>
        <v>Bellaire</v>
      </c>
      <c r="G4537" t="str">
        <f t="shared" si="351"/>
        <v>Bellaire4600Fort Worth</v>
      </c>
      <c r="H4537" t="s">
        <v>35394</v>
      </c>
      <c r="I4537" t="s">
        <v>26817</v>
      </c>
      <c r="J4537" t="str">
        <f t="shared" si="352"/>
        <v>E:\PropInv\MF</v>
      </c>
      <c r="K4537" s="103" t="str">
        <f>HYPERLINK("E:\PropInv\MF\Fort Worth\Bellaire Dr S_4600_Marquis at Bellaire Ranch_Fort Worth_14558","Bellaire Dr S_4600_Marquis at Bellaire Ranch_Fort Worth_14558" )</f>
        <v>Bellaire Dr S_4600_Marquis at Bellaire Ranch_Fort Worth_14558</v>
      </c>
      <c r="L4537" s="104" t="s">
        <v>22253</v>
      </c>
      <c r="M4537" s="103" t="str">
        <f t="shared" si="353"/>
        <v>http://oconnordata.com/mlink/modules/profile/index.cfm?action=profile&amp;prop_id=14558</v>
      </c>
      <c r="N4537" s="1">
        <f t="shared" si="354"/>
        <v>14558</v>
      </c>
    </row>
    <row r="4538" spans="1:14" x14ac:dyDescent="0.3">
      <c r="A4538" s="1">
        <v>14559</v>
      </c>
      <c r="B4538" s="7" t="s">
        <v>6907</v>
      </c>
      <c r="C4538" s="12">
        <v>5513</v>
      </c>
      <c r="D4538" s="7" t="s">
        <v>6908</v>
      </c>
      <c r="E4538" s="13" t="s">
        <v>6909</v>
      </c>
      <c r="F4538" t="str">
        <f t="shared" si="350"/>
        <v>Cross</v>
      </c>
      <c r="G4538" t="str">
        <f t="shared" si="351"/>
        <v>Cross5513Benbrook</v>
      </c>
      <c r="H4538" t="s">
        <v>35395</v>
      </c>
      <c r="I4538" t="s">
        <v>26818</v>
      </c>
      <c r="J4538" t="str">
        <f t="shared" si="352"/>
        <v>E:\PropInv\MF</v>
      </c>
      <c r="K4538" s="103" t="str">
        <f>HYPERLINK("E:\PropInv\MF\Benbrook\Cross Creek Ln_5513_Cross Creek Ranch_Benbrook_14559","Cross Creek Ln_5513_Cross Creek Ranch_Benbrook_14559" )</f>
        <v>Cross Creek Ln_5513_Cross Creek Ranch_Benbrook_14559</v>
      </c>
      <c r="L4538" s="104" t="s">
        <v>22253</v>
      </c>
      <c r="M4538" s="103" t="str">
        <f t="shared" si="353"/>
        <v>http://oconnordata.com/mlink/modules/profile/index.cfm?action=profile&amp;prop_id=14559</v>
      </c>
      <c r="N4538" s="1">
        <f t="shared" si="354"/>
        <v>14559</v>
      </c>
    </row>
    <row r="4539" spans="1:14" x14ac:dyDescent="0.3">
      <c r="A4539" s="1">
        <v>14560</v>
      </c>
      <c r="B4539" s="7" t="s">
        <v>6910</v>
      </c>
      <c r="C4539" s="12">
        <v>4635</v>
      </c>
      <c r="D4539" s="7" t="s">
        <v>6911</v>
      </c>
      <c r="E4539" s="13" t="s">
        <v>6909</v>
      </c>
      <c r="F4539" t="str">
        <f t="shared" si="350"/>
        <v>Williams</v>
      </c>
      <c r="G4539" t="str">
        <f t="shared" si="351"/>
        <v>Williams4635Benbrook</v>
      </c>
      <c r="H4539" t="s">
        <v>35396</v>
      </c>
      <c r="I4539" t="s">
        <v>26819</v>
      </c>
      <c r="J4539" t="str">
        <f t="shared" si="352"/>
        <v>E:\PropInv\MF</v>
      </c>
      <c r="K4539" s="103" t="str">
        <f>HYPERLINK("E:\PropInv\MF\Benbrook\Williams Rd_4635_Benbrook Manor_Benbrook_14560","Williams Rd_4635_Benbrook Manor_Benbrook_14560" )</f>
        <v>Williams Rd_4635_Benbrook Manor_Benbrook_14560</v>
      </c>
      <c r="L4539" s="104" t="s">
        <v>22253</v>
      </c>
      <c r="M4539" s="103" t="str">
        <f t="shared" si="353"/>
        <v>http://oconnordata.com/mlink/modules/profile/index.cfm?action=profile&amp;prop_id=14560</v>
      </c>
      <c r="N4539" s="1">
        <f t="shared" si="354"/>
        <v>14560</v>
      </c>
    </row>
    <row r="4540" spans="1:14" x14ac:dyDescent="0.3">
      <c r="A4540" s="1">
        <v>14563</v>
      </c>
      <c r="B4540" s="7" t="s">
        <v>6912</v>
      </c>
      <c r="C4540" s="12">
        <v>7301</v>
      </c>
      <c r="D4540" s="7" t="s">
        <v>631</v>
      </c>
      <c r="E4540" s="13" t="s">
        <v>5009</v>
      </c>
      <c r="F4540" t="str">
        <f t="shared" si="350"/>
        <v>Alma</v>
      </c>
      <c r="G4540" t="str">
        <f t="shared" si="351"/>
        <v>Alma7301Plano</v>
      </c>
      <c r="H4540" t="s">
        <v>35397</v>
      </c>
      <c r="I4540" t="s">
        <v>26820</v>
      </c>
      <c r="J4540" t="str">
        <f t="shared" si="352"/>
        <v>E:\PropInv\MF</v>
      </c>
      <c r="K4540" s="103" t="str">
        <f>HYPERLINK("E:\PropInv\MF\Plano\Alma Dr_7301_Steeplechase_Plano_14563","Alma Dr_7301_Steeplechase_Plano_14563" )</f>
        <v>Alma Dr_7301_Steeplechase_Plano_14563</v>
      </c>
      <c r="L4540" s="104" t="s">
        <v>22253</v>
      </c>
      <c r="M4540" s="103" t="str">
        <f t="shared" si="353"/>
        <v>http://oconnordata.com/mlink/modules/profile/index.cfm?action=profile&amp;prop_id=14563</v>
      </c>
      <c r="N4540" s="1">
        <f t="shared" si="354"/>
        <v>14563</v>
      </c>
    </row>
    <row r="4541" spans="1:14" x14ac:dyDescent="0.3">
      <c r="A4541" s="1">
        <v>14564</v>
      </c>
      <c r="B4541" s="7" t="s">
        <v>6238</v>
      </c>
      <c r="C4541" s="12">
        <v>10640</v>
      </c>
      <c r="D4541" s="7" t="s">
        <v>6913</v>
      </c>
      <c r="E4541" s="13" t="s">
        <v>4996</v>
      </c>
      <c r="F4541" t="str">
        <f t="shared" si="350"/>
        <v>Steppington</v>
      </c>
      <c r="G4541" t="str">
        <f t="shared" si="351"/>
        <v>Steppington10640Dallas</v>
      </c>
      <c r="H4541" t="s">
        <v>35398</v>
      </c>
      <c r="I4541" t="s">
        <v>26821</v>
      </c>
      <c r="J4541" t="str">
        <f t="shared" si="352"/>
        <v>E:\PropInv\MF</v>
      </c>
      <c r="K4541" s="103" t="str">
        <f>HYPERLINK("E:\PropInv\MF\Dallas\Steppington_10640_The Steppington_Dallas_14564","Steppington_10640_The Steppington_Dallas_14564" )</f>
        <v>Steppington_10640_The Steppington_Dallas_14564</v>
      </c>
      <c r="L4541" s="104" t="s">
        <v>22253</v>
      </c>
      <c r="M4541" s="103" t="str">
        <f t="shared" si="353"/>
        <v>http://oconnordata.com/mlink/modules/profile/index.cfm?action=profile&amp;prop_id=14564</v>
      </c>
      <c r="N4541" s="1">
        <f t="shared" si="354"/>
        <v>14564</v>
      </c>
    </row>
    <row r="4542" spans="1:14" x14ac:dyDescent="0.3">
      <c r="A4542" s="1">
        <v>14565</v>
      </c>
      <c r="B4542" s="7" t="s">
        <v>6914</v>
      </c>
      <c r="C4542" s="12">
        <v>7407</v>
      </c>
      <c r="D4542" s="7" t="s">
        <v>6915</v>
      </c>
      <c r="E4542" s="13" t="s">
        <v>4996</v>
      </c>
      <c r="F4542" t="str">
        <f t="shared" si="350"/>
        <v>Fair</v>
      </c>
      <c r="G4542" t="str">
        <f t="shared" si="351"/>
        <v>Fair7407Dallas</v>
      </c>
      <c r="H4542" t="s">
        <v>35399</v>
      </c>
      <c r="I4542" t="s">
        <v>26822</v>
      </c>
      <c r="J4542" t="str">
        <f t="shared" si="352"/>
        <v>E:\PropInv\MF</v>
      </c>
      <c r="K4542" s="103" t="str">
        <f>HYPERLINK("E:\PropInv\MF\Dallas\Fair Oaks Ave_7407_City Central_Dallas_14565","Fair Oaks Ave_7407_City Central_Dallas_14565" )</f>
        <v>Fair Oaks Ave_7407_City Central_Dallas_14565</v>
      </c>
      <c r="L4542" s="104" t="s">
        <v>22253</v>
      </c>
      <c r="M4542" s="103" t="str">
        <f t="shared" si="353"/>
        <v>http://oconnordata.com/mlink/modules/profile/index.cfm?action=profile&amp;prop_id=14565</v>
      </c>
      <c r="N4542" s="1">
        <f t="shared" si="354"/>
        <v>14565</v>
      </c>
    </row>
    <row r="4543" spans="1:14" x14ac:dyDescent="0.3">
      <c r="A4543" s="1">
        <v>14569</v>
      </c>
      <c r="B4543" s="7" t="s">
        <v>6916</v>
      </c>
      <c r="C4543" s="12">
        <v>9624</v>
      </c>
      <c r="D4543" s="7" t="s">
        <v>6917</v>
      </c>
      <c r="E4543" s="13" t="s">
        <v>4996</v>
      </c>
      <c r="F4543" t="str">
        <f t="shared" si="350"/>
        <v>Rolling</v>
      </c>
      <c r="G4543" t="str">
        <f t="shared" si="351"/>
        <v>Rolling9624Dallas</v>
      </c>
      <c r="H4543" t="s">
        <v>35400</v>
      </c>
      <c r="I4543" t="s">
        <v>26823</v>
      </c>
      <c r="J4543" t="str">
        <f t="shared" si="352"/>
        <v>E:\PropInv\MF</v>
      </c>
      <c r="K4543" s="103" t="str">
        <f>HYPERLINK("E:\PropInv\MF\Dallas\Rolling Rock_9624_Summer Glen_Dallas_14569","Rolling Rock_9624_Summer Glen_Dallas_14569" )</f>
        <v>Rolling Rock_9624_Summer Glen_Dallas_14569</v>
      </c>
      <c r="L4543" s="104" t="s">
        <v>22253</v>
      </c>
      <c r="M4543" s="103" t="str">
        <f t="shared" si="353"/>
        <v>http://oconnordata.com/mlink/modules/profile/index.cfm?action=profile&amp;prop_id=14569</v>
      </c>
      <c r="N4543" s="1">
        <f t="shared" si="354"/>
        <v>14569</v>
      </c>
    </row>
    <row r="4544" spans="1:14" x14ac:dyDescent="0.3">
      <c r="A4544" s="1">
        <v>14570</v>
      </c>
      <c r="B4544" s="7" t="s">
        <v>6918</v>
      </c>
      <c r="C4544" s="12">
        <v>6000</v>
      </c>
      <c r="D4544" s="7" t="s">
        <v>6919</v>
      </c>
      <c r="E4544" s="13" t="s">
        <v>5009</v>
      </c>
      <c r="F4544" t="str">
        <f t="shared" si="350"/>
        <v>Ohio</v>
      </c>
      <c r="G4544" t="str">
        <f t="shared" si="351"/>
        <v>Ohio6000Plano</v>
      </c>
      <c r="H4544" t="s">
        <v>35401</v>
      </c>
      <c r="I4544" t="s">
        <v>26824</v>
      </c>
      <c r="J4544" t="str">
        <f t="shared" si="352"/>
        <v>E:\PropInv\MF</v>
      </c>
      <c r="K4544" s="103" t="str">
        <f>HYPERLINK("E:\PropInv\MF\Plano\Ohio Dr_6000_Summer Meadows_Plano_14570","Ohio Dr_6000_Summer Meadows_Plano_14570" )</f>
        <v>Ohio Dr_6000_Summer Meadows_Plano_14570</v>
      </c>
      <c r="L4544" s="104" t="s">
        <v>22253</v>
      </c>
      <c r="M4544" s="103" t="str">
        <f t="shared" si="353"/>
        <v>http://oconnordata.com/mlink/modules/profile/index.cfm?action=profile&amp;prop_id=14570</v>
      </c>
      <c r="N4544" s="1">
        <f t="shared" si="354"/>
        <v>14570</v>
      </c>
    </row>
    <row r="4545" spans="1:14" x14ac:dyDescent="0.3">
      <c r="A4545" s="1">
        <v>14571</v>
      </c>
      <c r="B4545" s="7" t="s">
        <v>6920</v>
      </c>
      <c r="C4545" s="12">
        <v>8600</v>
      </c>
      <c r="D4545" s="7" t="s">
        <v>6921</v>
      </c>
      <c r="E4545" s="13" t="s">
        <v>4996</v>
      </c>
      <c r="F4545" t="str">
        <f t="shared" si="350"/>
        <v>Thackery</v>
      </c>
      <c r="G4545" t="str">
        <f t="shared" si="351"/>
        <v>Thackery8600Dallas</v>
      </c>
      <c r="H4545" t="s">
        <v>35402</v>
      </c>
      <c r="I4545" t="s">
        <v>26825</v>
      </c>
      <c r="J4545" t="str">
        <f t="shared" si="352"/>
        <v>E:\PropInv\MF</v>
      </c>
      <c r="K4545" s="103" t="str">
        <f>HYPERLINK("E:\PropInv\MF\Dallas\Thackery_8600_Renaissance Preston Hollow_Dallas_14571","Thackery_8600_Renaissance Preston Hollow_Dallas_14571" )</f>
        <v>Thackery_8600_Renaissance Preston Hollow_Dallas_14571</v>
      </c>
      <c r="L4545" s="104" t="s">
        <v>22253</v>
      </c>
      <c r="M4545" s="103" t="str">
        <f t="shared" si="353"/>
        <v>http://oconnordata.com/mlink/modules/profile/index.cfm?action=profile&amp;prop_id=14571</v>
      </c>
      <c r="N4545" s="1">
        <f t="shared" si="354"/>
        <v>14571</v>
      </c>
    </row>
    <row r="4546" spans="1:14" x14ac:dyDescent="0.3">
      <c r="A4546" s="1">
        <v>14572</v>
      </c>
      <c r="B4546" s="7" t="s">
        <v>3983</v>
      </c>
      <c r="C4546" s="12">
        <v>17717</v>
      </c>
      <c r="D4546" s="7" t="s">
        <v>6922</v>
      </c>
      <c r="E4546" s="13" t="s">
        <v>4996</v>
      </c>
      <c r="F4546" t="str">
        <f t="shared" ref="F4546:F4609" si="355">IFERROR(LEFT(B4546,FIND(" ",B4546)-1),B4546)</f>
        <v>Preston</v>
      </c>
      <c r="G4546" t="str">
        <f t="shared" ref="G4546:G4609" si="356">F4546&amp;C4546&amp;E4546</f>
        <v>Preston17717Dallas</v>
      </c>
      <c r="H4546" t="s">
        <v>35403</v>
      </c>
      <c r="I4546" t="s">
        <v>26826</v>
      </c>
      <c r="J4546" t="str">
        <f t="shared" ref="J4546:J4609" si="357">IF(L4546="TX",Folder_Path,Folder_Path&amp;"\State_"&amp;L4546)</f>
        <v>E:\PropInv\MF</v>
      </c>
      <c r="K4546" s="103" t="str">
        <f>HYPERLINK("E:\PropInv\MF\Dallas\Preston Rd_17717_Summer Villas_Dallas_14572","Preston Rd_17717_Summer Villas_Dallas_14572" )</f>
        <v>Preston Rd_17717_Summer Villas_Dallas_14572</v>
      </c>
      <c r="L4546" s="104" t="s">
        <v>22253</v>
      </c>
      <c r="M4546" s="103" t="str">
        <f t="shared" ref="M4546:M4609" si="358">HYPERLINK("http://oconnordata.com/mlink/modules/profile/index.cfm?action=profile&amp;prop_id="&amp;A4546)</f>
        <v>http://oconnordata.com/mlink/modules/profile/index.cfm?action=profile&amp;prop_id=14572</v>
      </c>
      <c r="N4546" s="1">
        <f t="shared" ref="N4546:N4609" si="359">IF(LEN(A4546)=1,"0000"&amp;A4546,IF(LEN(A4546)=2,"000"&amp;A4546,IF(LEN(A4546)=3,"00"&amp;A4546,IF(LEN(A4546)=4,"0"&amp;A4546,IF(LEN(A4546)=5,IF(LEFT(A4546,1)="3",A4546+30000,A4546))))))</f>
        <v>14572</v>
      </c>
    </row>
    <row r="4547" spans="1:14" x14ac:dyDescent="0.3">
      <c r="A4547" s="1">
        <v>14573</v>
      </c>
      <c r="B4547" s="7" t="s">
        <v>3983</v>
      </c>
      <c r="C4547" s="12">
        <v>1500</v>
      </c>
      <c r="D4547" s="7" t="s">
        <v>6923</v>
      </c>
      <c r="E4547" s="13" t="s">
        <v>5009</v>
      </c>
      <c r="F4547" t="str">
        <f t="shared" si="355"/>
        <v>Preston</v>
      </c>
      <c r="G4547" t="str">
        <f t="shared" si="356"/>
        <v>Preston1500Plano</v>
      </c>
      <c r="H4547" t="s">
        <v>35404</v>
      </c>
      <c r="I4547" t="s">
        <v>26827</v>
      </c>
      <c r="J4547" t="str">
        <f t="shared" si="357"/>
        <v>E:\PropInv\MF</v>
      </c>
      <c r="K4547" s="103" t="str">
        <f>HYPERLINK("E:\PropInv\MF\Plano\Preston Rd_1500_Summers Crossing_Plano_14573","Preston Rd_1500_Summers Crossing_Plano_14573" )</f>
        <v>Preston Rd_1500_Summers Crossing_Plano_14573</v>
      </c>
      <c r="L4547" s="104" t="s">
        <v>22253</v>
      </c>
      <c r="M4547" s="103" t="str">
        <f t="shared" si="358"/>
        <v>http://oconnordata.com/mlink/modules/profile/index.cfm?action=profile&amp;prop_id=14573</v>
      </c>
      <c r="N4547" s="1">
        <f t="shared" si="359"/>
        <v>14573</v>
      </c>
    </row>
    <row r="4548" spans="1:14" x14ac:dyDescent="0.3">
      <c r="A4548" s="1">
        <v>14574</v>
      </c>
      <c r="B4548" s="7" t="s">
        <v>5277</v>
      </c>
      <c r="C4548" s="12">
        <v>7575</v>
      </c>
      <c r="D4548" s="7" t="s">
        <v>6924</v>
      </c>
      <c r="E4548" s="13" t="s">
        <v>4996</v>
      </c>
      <c r="F4548" t="str">
        <f t="shared" si="355"/>
        <v>Frankford</v>
      </c>
      <c r="G4548" t="str">
        <f t="shared" si="356"/>
        <v>Frankford7575Dallas</v>
      </c>
      <c r="H4548" t="s">
        <v>35405</v>
      </c>
      <c r="I4548" t="s">
        <v>26828</v>
      </c>
      <c r="J4548" t="str">
        <f t="shared" si="357"/>
        <v>E:\PropInv\MF</v>
      </c>
      <c r="K4548" s="103" t="str">
        <f>HYPERLINK("E:\PropInv\MF\Dallas\Frankford_7575_Estates on Frankford_Dallas_14574","Frankford_7575_Estates on Frankford_Dallas_14574" )</f>
        <v>Frankford_7575_Estates on Frankford_Dallas_14574</v>
      </c>
      <c r="L4548" s="104" t="s">
        <v>22253</v>
      </c>
      <c r="M4548" s="103" t="str">
        <f t="shared" si="358"/>
        <v>http://oconnordata.com/mlink/modules/profile/index.cfm?action=profile&amp;prop_id=14574</v>
      </c>
      <c r="N4548" s="1">
        <f t="shared" si="359"/>
        <v>14574</v>
      </c>
    </row>
    <row r="4549" spans="1:14" x14ac:dyDescent="0.3">
      <c r="A4549" s="1">
        <v>14576</v>
      </c>
      <c r="B4549" s="7" t="s">
        <v>6925</v>
      </c>
      <c r="C4549" s="12">
        <v>7317</v>
      </c>
      <c r="D4549" s="7" t="s">
        <v>6926</v>
      </c>
      <c r="E4549" s="13" t="s">
        <v>4996</v>
      </c>
      <c r="F4549" t="str">
        <f t="shared" si="355"/>
        <v>Holly</v>
      </c>
      <c r="G4549" t="str">
        <f t="shared" si="356"/>
        <v>Holly7317Dallas</v>
      </c>
      <c r="H4549" t="s">
        <v>35406</v>
      </c>
      <c r="I4549" t="s">
        <v>26829</v>
      </c>
      <c r="J4549" t="str">
        <f t="shared" si="357"/>
        <v>E:\PropInv\MF</v>
      </c>
      <c r="K4549" s="103" t="str">
        <f>HYPERLINK("E:\PropInv\MF\Dallas\Holly Hill_7317_Sunchase Square_Dallas_14576","Holly Hill_7317_Sunchase Square_Dallas_14576" )</f>
        <v>Holly Hill_7317_Sunchase Square_Dallas_14576</v>
      </c>
      <c r="L4549" s="104" t="s">
        <v>22253</v>
      </c>
      <c r="M4549" s="103" t="str">
        <f t="shared" si="358"/>
        <v>http://oconnordata.com/mlink/modules/profile/index.cfm?action=profile&amp;prop_id=14576</v>
      </c>
      <c r="N4549" s="1">
        <f t="shared" si="359"/>
        <v>14576</v>
      </c>
    </row>
    <row r="4550" spans="1:14" x14ac:dyDescent="0.3">
      <c r="A4550" s="1">
        <v>14577</v>
      </c>
      <c r="B4550" s="7" t="s">
        <v>6426</v>
      </c>
      <c r="C4550" s="12">
        <v>3201</v>
      </c>
      <c r="D4550" s="7" t="s">
        <v>6927</v>
      </c>
      <c r="E4550" s="13" t="s">
        <v>5046</v>
      </c>
      <c r="F4550" t="str">
        <f t="shared" si="355"/>
        <v>Finley</v>
      </c>
      <c r="G4550" t="str">
        <f t="shared" si="356"/>
        <v>Finley3201Irving</v>
      </c>
      <c r="H4550" t="s">
        <v>35407</v>
      </c>
      <c r="I4550" t="s">
        <v>26830</v>
      </c>
      <c r="J4550" t="str">
        <f t="shared" si="357"/>
        <v>E:\PropInv\MF</v>
      </c>
      <c r="K4550" s="103" t="str">
        <f>HYPERLINK("E:\PropInv\MF\Irving\Finley_3201_Adrianna's El Morocco_Irving_14577","Finley_3201_Adrianna's El Morocco_Irving_14577" )</f>
        <v>Finley_3201_Adrianna's El Morocco_Irving_14577</v>
      </c>
      <c r="L4550" s="104" t="s">
        <v>22253</v>
      </c>
      <c r="M4550" s="103" t="str">
        <f t="shared" si="358"/>
        <v>http://oconnordata.com/mlink/modules/profile/index.cfm?action=profile&amp;prop_id=14577</v>
      </c>
      <c r="N4550" s="1">
        <f t="shared" si="359"/>
        <v>14577</v>
      </c>
    </row>
    <row r="4551" spans="1:14" x14ac:dyDescent="0.3">
      <c r="A4551" s="1">
        <v>14578</v>
      </c>
      <c r="B4551" s="7" t="s">
        <v>6928</v>
      </c>
      <c r="C4551" s="12">
        <v>5444</v>
      </c>
      <c r="D4551" s="7" t="s">
        <v>6929</v>
      </c>
      <c r="E4551" s="13" t="s">
        <v>4996</v>
      </c>
      <c r="F4551" t="str">
        <f t="shared" si="355"/>
        <v>Peterson</v>
      </c>
      <c r="G4551" t="str">
        <f t="shared" si="356"/>
        <v>Peterson5444Dallas</v>
      </c>
      <c r="H4551" t="s">
        <v>35408</v>
      </c>
      <c r="I4551" t="s">
        <v>26831</v>
      </c>
      <c r="J4551" t="str">
        <f t="shared" si="357"/>
        <v>E:\PropInv\MF</v>
      </c>
      <c r="K4551" s="103" t="str">
        <f>HYPERLINK("E:\PropInv\MF\Dallas\Peterson Ln_5444_Suncrest_Dallas_14578","Peterson Ln_5444_Suncrest_Dallas_14578" )</f>
        <v>Peterson Ln_5444_Suncrest_Dallas_14578</v>
      </c>
      <c r="L4551" s="104" t="s">
        <v>22253</v>
      </c>
      <c r="M4551" s="103" t="str">
        <f t="shared" si="358"/>
        <v>http://oconnordata.com/mlink/modules/profile/index.cfm?action=profile&amp;prop_id=14578</v>
      </c>
      <c r="N4551" s="1">
        <f t="shared" si="359"/>
        <v>14578</v>
      </c>
    </row>
    <row r="4552" spans="1:14" x14ac:dyDescent="0.3">
      <c r="A4552" s="1">
        <v>14579</v>
      </c>
      <c r="B4552" s="7" t="s">
        <v>6930</v>
      </c>
      <c r="C4552" s="12">
        <v>7101</v>
      </c>
      <c r="D4552" s="7" t="s">
        <v>6931</v>
      </c>
      <c r="E4552" s="13" t="s">
        <v>5009</v>
      </c>
      <c r="F4552" t="str">
        <f t="shared" si="355"/>
        <v>Chase</v>
      </c>
      <c r="G4552" t="str">
        <f t="shared" si="356"/>
        <v>Chase7101Plano</v>
      </c>
      <c r="H4552" t="s">
        <v>35409</v>
      </c>
      <c r="I4552" t="s">
        <v>26832</v>
      </c>
      <c r="J4552" t="str">
        <f t="shared" si="357"/>
        <v>E:\PropInv\MF</v>
      </c>
      <c r="K4552" s="103" t="str">
        <f>HYPERLINK("E:\PropInv\MF\Plano\Chase Oaks Blvd_7101_Thornbury at Chase Oaks_Plano_14579","Chase Oaks Blvd_7101_Thornbury at Chase Oaks_Plano_14579" )</f>
        <v>Chase Oaks Blvd_7101_Thornbury at Chase Oaks_Plano_14579</v>
      </c>
      <c r="L4552" s="104" t="s">
        <v>22253</v>
      </c>
      <c r="M4552" s="103" t="str">
        <f t="shared" si="358"/>
        <v>http://oconnordata.com/mlink/modules/profile/index.cfm?action=profile&amp;prop_id=14579</v>
      </c>
      <c r="N4552" s="1">
        <f t="shared" si="359"/>
        <v>14579</v>
      </c>
    </row>
    <row r="4553" spans="1:14" x14ac:dyDescent="0.3">
      <c r="A4553" s="1">
        <v>14580</v>
      </c>
      <c r="B4553" s="7" t="s">
        <v>6932</v>
      </c>
      <c r="C4553" s="12">
        <v>1025</v>
      </c>
      <c r="D4553" s="7" t="s">
        <v>6933</v>
      </c>
      <c r="E4553" s="13" t="s">
        <v>5088</v>
      </c>
      <c r="F4553" t="str">
        <f t="shared" si="355"/>
        <v>Military</v>
      </c>
      <c r="G4553" t="str">
        <f t="shared" si="356"/>
        <v>Military1025Mesquite</v>
      </c>
      <c r="H4553" t="s">
        <v>35410</v>
      </c>
      <c r="I4553" t="s">
        <v>26833</v>
      </c>
      <c r="J4553" t="str">
        <f t="shared" si="357"/>
        <v>E:\PropInv\MF</v>
      </c>
      <c r="K4553" s="103" t="str">
        <f>HYPERLINK("E:\PropInv\MF\Mesquite\Military Pkwy_1025_Allenhurst_Mesquite_14580","Military Pkwy_1025_Allenhurst_Mesquite_14580" )</f>
        <v>Military Pkwy_1025_Allenhurst_Mesquite_14580</v>
      </c>
      <c r="L4553" s="104" t="s">
        <v>22253</v>
      </c>
      <c r="M4553" s="103" t="str">
        <f t="shared" si="358"/>
        <v>http://oconnordata.com/mlink/modules/profile/index.cfm?action=profile&amp;prop_id=14580</v>
      </c>
      <c r="N4553" s="1">
        <f t="shared" si="359"/>
        <v>14580</v>
      </c>
    </row>
    <row r="4554" spans="1:14" x14ac:dyDescent="0.3">
      <c r="A4554" s="1">
        <v>14581</v>
      </c>
      <c r="B4554" s="7" t="s">
        <v>5148</v>
      </c>
      <c r="C4554" s="12">
        <v>6011</v>
      </c>
      <c r="D4554" s="7" t="s">
        <v>6934</v>
      </c>
      <c r="E4554" s="13" t="s">
        <v>4996</v>
      </c>
      <c r="F4554" t="str">
        <f t="shared" si="355"/>
        <v>Melody</v>
      </c>
      <c r="G4554" t="str">
        <f t="shared" si="356"/>
        <v>Melody6011Dallas</v>
      </c>
      <c r="H4554" t="s">
        <v>35411</v>
      </c>
      <c r="I4554" t="s">
        <v>26834</v>
      </c>
      <c r="J4554" t="str">
        <f t="shared" si="357"/>
        <v>E:\PropInv\MF</v>
      </c>
      <c r="K4554" s="103" t="str">
        <f>HYPERLINK("E:\PropInv\MF\Dallas\Melody Ln_6011_Three Fountains Retirement Center_Dallas_14581","Melody Ln_6011_Three Fountains Retirement Center_Dallas_14581" )</f>
        <v>Melody Ln_6011_Three Fountains Retirement Center_Dallas_14581</v>
      </c>
      <c r="L4554" s="104" t="s">
        <v>22253</v>
      </c>
      <c r="M4554" s="103" t="str">
        <f t="shared" si="358"/>
        <v>http://oconnordata.com/mlink/modules/profile/index.cfm?action=profile&amp;prop_id=14581</v>
      </c>
      <c r="N4554" s="1">
        <f t="shared" si="359"/>
        <v>14581</v>
      </c>
    </row>
    <row r="4555" spans="1:14" x14ac:dyDescent="0.3">
      <c r="A4555" s="1">
        <v>14583</v>
      </c>
      <c r="B4555" s="7" t="s">
        <v>6935</v>
      </c>
      <c r="C4555" s="12">
        <v>7777</v>
      </c>
      <c r="D4555" s="7" t="s">
        <v>6936</v>
      </c>
      <c r="E4555" s="13" t="s">
        <v>4996</v>
      </c>
      <c r="F4555" t="str">
        <f t="shared" si="355"/>
        <v>Glen</v>
      </c>
      <c r="G4555" t="str">
        <f t="shared" si="356"/>
        <v>Glen7777Dallas</v>
      </c>
      <c r="H4555" t="s">
        <v>35412</v>
      </c>
      <c r="I4555" t="s">
        <v>26835</v>
      </c>
      <c r="J4555" t="str">
        <f t="shared" si="357"/>
        <v>E:\PropInv\MF</v>
      </c>
      <c r="K4555" s="103" t="str">
        <f>HYPERLINK("E:\PropInv\MF\Dallas\Glen America_7777_Tonti Lakeside_Dallas_14583","Glen America_7777_Tonti Lakeside_Dallas_14583" )</f>
        <v>Glen America_7777_Tonti Lakeside_Dallas_14583</v>
      </c>
      <c r="L4555" s="104" t="s">
        <v>22253</v>
      </c>
      <c r="M4555" s="103" t="str">
        <f t="shared" si="358"/>
        <v>http://oconnordata.com/mlink/modules/profile/index.cfm?action=profile&amp;prop_id=14583</v>
      </c>
      <c r="N4555" s="1">
        <f t="shared" si="359"/>
        <v>14583</v>
      </c>
    </row>
    <row r="4556" spans="1:14" x14ac:dyDescent="0.3">
      <c r="A4556" s="1">
        <v>14584</v>
      </c>
      <c r="B4556" s="7" t="s">
        <v>4922</v>
      </c>
      <c r="C4556" s="12">
        <v>7120</v>
      </c>
      <c r="D4556" s="7" t="s">
        <v>6937</v>
      </c>
      <c r="E4556" s="13" t="s">
        <v>1657</v>
      </c>
      <c r="F4556" t="str">
        <f t="shared" si="355"/>
        <v>Village</v>
      </c>
      <c r="G4556" t="str">
        <f t="shared" si="356"/>
        <v>Village7120Houston</v>
      </c>
      <c r="H4556" t="s">
        <v>35413</v>
      </c>
      <c r="I4556" t="s">
        <v>26836</v>
      </c>
      <c r="J4556" t="str">
        <f t="shared" si="357"/>
        <v>E:\PropInv\MF</v>
      </c>
      <c r="K4556" s="103" t="str">
        <f>HYPERLINK("E:\PropInv\MF\Houston\Village Way_7120_Concord at Gulfgate_Houston_14584","Village Way_7120_Concord at Gulfgate_Houston_14584" )</f>
        <v>Village Way_7120_Concord at Gulfgate_Houston_14584</v>
      </c>
      <c r="L4556" s="104" t="s">
        <v>22253</v>
      </c>
      <c r="M4556" s="103" t="str">
        <f t="shared" si="358"/>
        <v>http://oconnordata.com/mlink/modules/profile/index.cfm?action=profile&amp;prop_id=14584</v>
      </c>
      <c r="N4556" s="1">
        <f t="shared" si="359"/>
        <v>14584</v>
      </c>
    </row>
    <row r="4557" spans="1:14" x14ac:dyDescent="0.3">
      <c r="A4557" s="1">
        <v>14587</v>
      </c>
      <c r="B4557" s="7" t="s">
        <v>5386</v>
      </c>
      <c r="C4557" s="12">
        <v>15678</v>
      </c>
      <c r="D4557" s="7" t="s">
        <v>6938</v>
      </c>
      <c r="E4557" s="13" t="s">
        <v>4996</v>
      </c>
      <c r="F4557" t="str">
        <f t="shared" si="355"/>
        <v>Knoll</v>
      </c>
      <c r="G4557" t="str">
        <f t="shared" si="356"/>
        <v>Knoll15678Dallas</v>
      </c>
      <c r="H4557" t="s">
        <v>35414</v>
      </c>
      <c r="I4557" t="s">
        <v>26837</v>
      </c>
      <c r="J4557" t="str">
        <f t="shared" si="357"/>
        <v>E:\PropInv\MF</v>
      </c>
      <c r="K4557" s="103" t="str">
        <f>HYPERLINK("E:\PropInv\MF\Dallas\Knoll Trl_15678_The Merce_Dallas_14587","Knoll Trl_15678_The Merce_Dallas_14587" )</f>
        <v>Knoll Trl_15678_The Merce_Dallas_14587</v>
      </c>
      <c r="L4557" s="104" t="s">
        <v>22253</v>
      </c>
      <c r="M4557" s="103" t="str">
        <f t="shared" si="358"/>
        <v>http://oconnordata.com/mlink/modules/profile/index.cfm?action=profile&amp;prop_id=14587</v>
      </c>
      <c r="N4557" s="1">
        <f t="shared" si="359"/>
        <v>14587</v>
      </c>
    </row>
    <row r="4558" spans="1:14" x14ac:dyDescent="0.3">
      <c r="A4558" s="1">
        <v>14588</v>
      </c>
      <c r="B4558" s="7" t="s">
        <v>6939</v>
      </c>
      <c r="C4558" s="12">
        <v>6418</v>
      </c>
      <c r="D4558" s="7" t="s">
        <v>6940</v>
      </c>
      <c r="E4558" s="13" t="s">
        <v>4996</v>
      </c>
      <c r="F4558" t="str">
        <f t="shared" si="355"/>
        <v>Fisher</v>
      </c>
      <c r="G4558" t="str">
        <f t="shared" si="356"/>
        <v>Fisher6418Dallas</v>
      </c>
      <c r="H4558" t="s">
        <v>35415</v>
      </c>
      <c r="I4558" t="s">
        <v>26838</v>
      </c>
      <c r="J4558" t="str">
        <f t="shared" si="357"/>
        <v>E:\PropInv\MF</v>
      </c>
      <c r="K4558" s="103" t="str">
        <f>HYPERLINK("E:\PropInv\MF\Dallas\Fisher Rd_6418_Treehaven_Dallas_14588","Fisher Rd_6418_Treehaven_Dallas_14588" )</f>
        <v>Fisher Rd_6418_Treehaven_Dallas_14588</v>
      </c>
      <c r="L4558" s="104" t="s">
        <v>22253</v>
      </c>
      <c r="M4558" s="103" t="str">
        <f t="shared" si="358"/>
        <v>http://oconnordata.com/mlink/modules/profile/index.cfm?action=profile&amp;prop_id=14588</v>
      </c>
      <c r="N4558" s="1">
        <f t="shared" si="359"/>
        <v>14588</v>
      </c>
    </row>
    <row r="4559" spans="1:14" x14ac:dyDescent="0.3">
      <c r="A4559" s="1">
        <v>14589</v>
      </c>
      <c r="B4559" s="7" t="s">
        <v>2632</v>
      </c>
      <c r="C4559" s="12">
        <v>4906</v>
      </c>
      <c r="D4559" s="7" t="s">
        <v>5722</v>
      </c>
      <c r="E4559" s="13" t="s">
        <v>4996</v>
      </c>
      <c r="F4559" t="str">
        <f t="shared" si="355"/>
        <v>Live</v>
      </c>
      <c r="G4559" t="str">
        <f t="shared" si="356"/>
        <v>Live4906Dallas</v>
      </c>
      <c r="H4559" t="s">
        <v>35416</v>
      </c>
      <c r="I4559" t="s">
        <v>26839</v>
      </c>
      <c r="J4559" t="str">
        <f t="shared" si="357"/>
        <v>E:\PropInv\MF</v>
      </c>
      <c r="K4559" s="103" t="str">
        <f>HYPERLINK("E:\PropInv\MF\Dallas\Live Oak_4906_Indian Creek_Dallas_14589","Live Oak_4906_Indian Creek_Dallas_14589" )</f>
        <v>Live Oak_4906_Indian Creek_Dallas_14589</v>
      </c>
      <c r="L4559" s="104" t="s">
        <v>22253</v>
      </c>
      <c r="M4559" s="103" t="str">
        <f t="shared" si="358"/>
        <v>http://oconnordata.com/mlink/modules/profile/index.cfm?action=profile&amp;prop_id=14589</v>
      </c>
      <c r="N4559" s="1">
        <f t="shared" si="359"/>
        <v>14589</v>
      </c>
    </row>
    <row r="4560" spans="1:14" x14ac:dyDescent="0.3">
      <c r="A4560" s="1">
        <v>14590</v>
      </c>
      <c r="B4560" s="7" t="s">
        <v>6941</v>
      </c>
      <c r="C4560" s="12">
        <v>206</v>
      </c>
      <c r="D4560" s="7" t="s">
        <v>6942</v>
      </c>
      <c r="E4560" s="13" t="s">
        <v>3328</v>
      </c>
      <c r="F4560" t="str">
        <f t="shared" si="355"/>
        <v>Trellis</v>
      </c>
      <c r="G4560" t="str">
        <f t="shared" si="356"/>
        <v>Trellis206Richardson</v>
      </c>
      <c r="H4560" t="s">
        <v>35417</v>
      </c>
      <c r="I4560" t="s">
        <v>26840</v>
      </c>
      <c r="J4560" t="str">
        <f t="shared" si="357"/>
        <v>E:\PropInv\MF</v>
      </c>
      <c r="K4560" s="103" t="str">
        <f>HYPERLINK("E:\PropInv\MF\Richardson\Trellis Pl_206_Trellis Place Duplexes_Richardson_14590","Trellis Pl_206_Trellis Place Duplexes_Richardson_14590" )</f>
        <v>Trellis Pl_206_Trellis Place Duplexes_Richardson_14590</v>
      </c>
      <c r="L4560" s="104" t="s">
        <v>22253</v>
      </c>
      <c r="M4560" s="103" t="str">
        <f t="shared" si="358"/>
        <v>http://oconnordata.com/mlink/modules/profile/index.cfm?action=profile&amp;prop_id=14590</v>
      </c>
      <c r="N4560" s="1">
        <f t="shared" si="359"/>
        <v>14590</v>
      </c>
    </row>
    <row r="4561" spans="1:14" x14ac:dyDescent="0.3">
      <c r="A4561" s="1">
        <v>14591</v>
      </c>
      <c r="B4561" s="7" t="s">
        <v>5219</v>
      </c>
      <c r="C4561" s="12">
        <v>2522</v>
      </c>
      <c r="D4561" s="7" t="s">
        <v>6943</v>
      </c>
      <c r="E4561" s="13" t="s">
        <v>5060</v>
      </c>
      <c r="F4561" t="str">
        <f t="shared" si="355"/>
        <v>Trinity</v>
      </c>
      <c r="G4561" t="str">
        <f t="shared" si="356"/>
        <v>Trinity2522Carrollton</v>
      </c>
      <c r="H4561" t="s">
        <v>35418</v>
      </c>
      <c r="I4561" t="s">
        <v>26841</v>
      </c>
      <c r="J4561" t="str">
        <f t="shared" si="357"/>
        <v>E:\PropInv\MF</v>
      </c>
      <c r="K4561" s="103" t="str">
        <f>HYPERLINK("E:\PropInv\MF\Carrollton\Trinity Mills_2522_Trinity Crossing_Carrollton_14591","Trinity Mills_2522_Trinity Crossing_Carrollton_14591" )</f>
        <v>Trinity Mills_2522_Trinity Crossing_Carrollton_14591</v>
      </c>
      <c r="L4561" s="104" t="s">
        <v>22253</v>
      </c>
      <c r="M4561" s="103" t="str">
        <f t="shared" si="358"/>
        <v>http://oconnordata.com/mlink/modules/profile/index.cfm?action=profile&amp;prop_id=14591</v>
      </c>
      <c r="N4561" s="1">
        <f t="shared" si="359"/>
        <v>14591</v>
      </c>
    </row>
    <row r="4562" spans="1:14" x14ac:dyDescent="0.3">
      <c r="A4562" s="1">
        <v>14592</v>
      </c>
      <c r="B4562" s="7" t="s">
        <v>984</v>
      </c>
      <c r="C4562" s="12">
        <v>2000</v>
      </c>
      <c r="D4562" s="7" t="s">
        <v>332</v>
      </c>
      <c r="E4562" s="13" t="s">
        <v>6215</v>
      </c>
      <c r="F4562" t="str">
        <f t="shared" si="355"/>
        <v>Country</v>
      </c>
      <c r="G4562" t="str">
        <f t="shared" si="356"/>
        <v>Country2000Wylie</v>
      </c>
      <c r="H4562" t="s">
        <v>35419</v>
      </c>
      <c r="I4562" t="s">
        <v>26842</v>
      </c>
      <c r="J4562" t="str">
        <f t="shared" si="357"/>
        <v>E:\PropInv\MF</v>
      </c>
      <c r="K4562" s="103" t="str">
        <f>HYPERLINK("E:\PropInv\MF\Wylie\Country Club Dr_2000_River Oaks_Wylie_14592","Country Club Dr_2000_River Oaks_Wylie_14592" )</f>
        <v>Country Club Dr_2000_River Oaks_Wylie_14592</v>
      </c>
      <c r="L4562" s="104" t="s">
        <v>22253</v>
      </c>
      <c r="M4562" s="103" t="str">
        <f t="shared" si="358"/>
        <v>http://oconnordata.com/mlink/modules/profile/index.cfm?action=profile&amp;prop_id=14592</v>
      </c>
      <c r="N4562" s="1">
        <f t="shared" si="359"/>
        <v>14592</v>
      </c>
    </row>
    <row r="4563" spans="1:14" x14ac:dyDescent="0.3">
      <c r="A4563" s="1">
        <v>14593</v>
      </c>
      <c r="B4563" s="7" t="s">
        <v>6918</v>
      </c>
      <c r="C4563" s="12">
        <v>2525</v>
      </c>
      <c r="D4563" s="7" t="s">
        <v>6944</v>
      </c>
      <c r="E4563" s="13" t="s">
        <v>5009</v>
      </c>
      <c r="F4563" t="str">
        <f t="shared" si="355"/>
        <v>Ohio</v>
      </c>
      <c r="G4563" t="str">
        <f t="shared" si="356"/>
        <v>Ohio2525Plano</v>
      </c>
      <c r="H4563" t="s">
        <v>35420</v>
      </c>
      <c r="I4563" t="s">
        <v>26843</v>
      </c>
      <c r="J4563" t="str">
        <f t="shared" si="357"/>
        <v>E:\PropInv\MF</v>
      </c>
      <c r="K4563" s="103" t="str">
        <f>HYPERLINK("E:\PropInv\MF\Plano\Ohio Dr_2525_Highlands of Preston II_Plano_14593","Ohio Dr_2525_Highlands of Preston II_Plano_14593" )</f>
        <v>Ohio Dr_2525_Highlands of Preston II_Plano_14593</v>
      </c>
      <c r="L4563" s="104" t="s">
        <v>22253</v>
      </c>
      <c r="M4563" s="103" t="str">
        <f t="shared" si="358"/>
        <v>http://oconnordata.com/mlink/modules/profile/index.cfm?action=profile&amp;prop_id=14593</v>
      </c>
      <c r="N4563" s="1">
        <f t="shared" si="359"/>
        <v>14593</v>
      </c>
    </row>
    <row r="4564" spans="1:14" x14ac:dyDescent="0.3">
      <c r="A4564" s="1">
        <v>14594</v>
      </c>
      <c r="B4564" s="7" t="s">
        <v>6435</v>
      </c>
      <c r="C4564" s="12">
        <v>5353</v>
      </c>
      <c r="D4564" s="7" t="s">
        <v>6945</v>
      </c>
      <c r="E4564" s="13" t="s">
        <v>4996</v>
      </c>
      <c r="F4564" t="str">
        <f t="shared" si="355"/>
        <v>Keller</v>
      </c>
      <c r="G4564" t="str">
        <f t="shared" si="356"/>
        <v>Keller5353Dallas</v>
      </c>
      <c r="H4564" t="s">
        <v>35421</v>
      </c>
      <c r="I4564" t="s">
        <v>26844</v>
      </c>
      <c r="J4564" t="str">
        <f t="shared" si="357"/>
        <v>E:\PropInv\MF</v>
      </c>
      <c r="K4564" s="103" t="str">
        <f>HYPERLINK("E:\PropInv\MF\Dallas\Keller Springs_5353_Saddle Brook_Dallas_14594","Keller Springs_5353_Saddle Brook_Dallas_14594" )</f>
        <v>Keller Springs_5353_Saddle Brook_Dallas_14594</v>
      </c>
      <c r="L4564" s="104" t="s">
        <v>22253</v>
      </c>
      <c r="M4564" s="103" t="str">
        <f t="shared" si="358"/>
        <v>http://oconnordata.com/mlink/modules/profile/index.cfm?action=profile&amp;prop_id=14594</v>
      </c>
      <c r="N4564" s="1">
        <f t="shared" si="359"/>
        <v>14594</v>
      </c>
    </row>
    <row r="4565" spans="1:14" x14ac:dyDescent="0.3">
      <c r="A4565" s="1">
        <v>14597</v>
      </c>
      <c r="B4565" s="7" t="s">
        <v>6946</v>
      </c>
      <c r="C4565" s="12">
        <v>19445</v>
      </c>
      <c r="D4565" s="7" t="s">
        <v>1370</v>
      </c>
      <c r="E4565" s="13" t="s">
        <v>1508</v>
      </c>
      <c r="F4565" t="str">
        <f t="shared" si="355"/>
        <v>David</v>
      </c>
      <c r="G4565" t="str">
        <f t="shared" si="356"/>
        <v>David19445The Woodlands</v>
      </c>
      <c r="H4565" t="s">
        <v>35422</v>
      </c>
      <c r="I4565" t="s">
        <v>26845</v>
      </c>
      <c r="J4565" t="str">
        <f t="shared" si="357"/>
        <v>E:\PropInv\MF</v>
      </c>
      <c r="K4565" s="103" t="str">
        <f>HYPERLINK("E:\PropInv\MF\The Woodlands\David Memorial_19445_Oak Haven_The Woodlands_14597","David Memorial_19445_Oak Haven_The Woodlands_14597" )</f>
        <v>David Memorial_19445_Oak Haven_The Woodlands_14597</v>
      </c>
      <c r="L4565" s="104" t="s">
        <v>22253</v>
      </c>
      <c r="M4565" s="103" t="str">
        <f t="shared" si="358"/>
        <v>http://oconnordata.com/mlink/modules/profile/index.cfm?action=profile&amp;prop_id=14597</v>
      </c>
      <c r="N4565" s="1">
        <f t="shared" si="359"/>
        <v>14597</v>
      </c>
    </row>
    <row r="4566" spans="1:14" x14ac:dyDescent="0.3">
      <c r="A4566" s="1">
        <v>14598</v>
      </c>
      <c r="B4566" s="7" t="s">
        <v>6439</v>
      </c>
      <c r="C4566" s="12">
        <v>11511</v>
      </c>
      <c r="D4566" s="7" t="s">
        <v>6947</v>
      </c>
      <c r="E4566" s="13" t="s">
        <v>4996</v>
      </c>
      <c r="F4566" t="str">
        <f t="shared" si="355"/>
        <v>Ferguson</v>
      </c>
      <c r="G4566" t="str">
        <f t="shared" si="356"/>
        <v>Ferguson11511Dallas</v>
      </c>
      <c r="H4566" t="s">
        <v>35423</v>
      </c>
      <c r="I4566" t="s">
        <v>26846</v>
      </c>
      <c r="J4566" t="str">
        <f t="shared" si="357"/>
        <v>E:\PropInv\MF</v>
      </c>
      <c r="K4566" s="103" t="str">
        <f>HYPERLINK("E:\PropInv\MF\Dallas\Ferguson_11511_Shadow Brook North_Dallas_14598","Ferguson_11511_Shadow Brook North_Dallas_14598" )</f>
        <v>Ferguson_11511_Shadow Brook North_Dallas_14598</v>
      </c>
      <c r="L4566" s="104" t="s">
        <v>22253</v>
      </c>
      <c r="M4566" s="103" t="str">
        <f t="shared" si="358"/>
        <v>http://oconnordata.com/mlink/modules/profile/index.cfm?action=profile&amp;prop_id=14598</v>
      </c>
      <c r="N4566" s="1">
        <f t="shared" si="359"/>
        <v>14598</v>
      </c>
    </row>
    <row r="4567" spans="1:14" x14ac:dyDescent="0.3">
      <c r="A4567" s="1">
        <v>14599</v>
      </c>
      <c r="B4567" s="7" t="s">
        <v>5491</v>
      </c>
      <c r="C4567" s="12">
        <v>6809</v>
      </c>
      <c r="D4567" s="7" t="s">
        <v>6948</v>
      </c>
      <c r="E4567" s="13" t="s">
        <v>4996</v>
      </c>
      <c r="F4567" t="str">
        <f t="shared" si="355"/>
        <v>Larmanda</v>
      </c>
      <c r="G4567" t="str">
        <f t="shared" si="356"/>
        <v>Larmanda6809Dallas</v>
      </c>
      <c r="H4567" t="s">
        <v>35424</v>
      </c>
      <c r="I4567" t="s">
        <v>26847</v>
      </c>
      <c r="J4567" t="str">
        <f t="shared" si="357"/>
        <v>E:\PropInv\MF</v>
      </c>
      <c r="K4567" s="103" t="str">
        <f>HYPERLINK("E:\PropInv\MF\Dallas\Larmanda_6809_Sheffield Manor_Dallas_14599","Larmanda_6809_Sheffield Manor_Dallas_14599" )</f>
        <v>Larmanda_6809_Sheffield Manor_Dallas_14599</v>
      </c>
      <c r="L4567" s="104" t="s">
        <v>22253</v>
      </c>
      <c r="M4567" s="103" t="str">
        <f t="shared" si="358"/>
        <v>http://oconnordata.com/mlink/modules/profile/index.cfm?action=profile&amp;prop_id=14599</v>
      </c>
      <c r="N4567" s="1">
        <f t="shared" si="359"/>
        <v>14599</v>
      </c>
    </row>
    <row r="4568" spans="1:14" x14ac:dyDescent="0.3">
      <c r="A4568" s="1">
        <v>14600</v>
      </c>
      <c r="B4568" s="7" t="s">
        <v>5177</v>
      </c>
      <c r="C4568" s="12">
        <v>13717</v>
      </c>
      <c r="D4568" s="7" t="s">
        <v>6949</v>
      </c>
      <c r="E4568" s="13" t="s">
        <v>4996</v>
      </c>
      <c r="F4568" t="str">
        <f t="shared" si="355"/>
        <v>Preston</v>
      </c>
      <c r="G4568" t="str">
        <f t="shared" si="356"/>
        <v>Preston13717Dallas</v>
      </c>
      <c r="H4568" t="s">
        <v>35425</v>
      </c>
      <c r="I4568" t="s">
        <v>26848</v>
      </c>
      <c r="J4568" t="str">
        <f t="shared" si="357"/>
        <v>E:\PropInv\MF</v>
      </c>
      <c r="K4568" s="103" t="str">
        <f>HYPERLINK("E:\PropInv\MF\Dallas\Preston_13717_Carillon House_Dallas_14600","Preston_13717_Carillon House_Dallas_14600" )</f>
        <v>Preston_13717_Carillon House_Dallas_14600</v>
      </c>
      <c r="L4568" s="104" t="s">
        <v>22253</v>
      </c>
      <c r="M4568" s="103" t="str">
        <f t="shared" si="358"/>
        <v>http://oconnordata.com/mlink/modules/profile/index.cfm?action=profile&amp;prop_id=14600</v>
      </c>
      <c r="N4568" s="1">
        <f t="shared" si="359"/>
        <v>14600</v>
      </c>
    </row>
    <row r="4569" spans="1:14" x14ac:dyDescent="0.3">
      <c r="A4569" s="1">
        <v>14601</v>
      </c>
      <c r="B4569" s="7" t="s">
        <v>6950</v>
      </c>
      <c r="C4569" s="12">
        <v>2001</v>
      </c>
      <c r="D4569" s="7" t="s">
        <v>6951</v>
      </c>
      <c r="E4569" s="13" t="s">
        <v>5009</v>
      </c>
      <c r="F4569" t="str">
        <f t="shared" si="355"/>
        <v>Spring</v>
      </c>
      <c r="G4569" t="str">
        <f t="shared" si="356"/>
        <v>Spring2001Plano</v>
      </c>
      <c r="H4569" t="s">
        <v>35426</v>
      </c>
      <c r="I4569" t="s">
        <v>26849</v>
      </c>
      <c r="J4569" t="str">
        <f t="shared" si="357"/>
        <v>E:\PropInv\MF</v>
      </c>
      <c r="K4569" s="103" t="str">
        <f>HYPERLINK("E:\PropInv\MF\Plano\Spring Creek E_2001_Sheridan Park at Spring Creek_Plano_14601","Spring Creek E_2001_Sheridan Park at Spring Creek_Plano_14601" )</f>
        <v>Spring Creek E_2001_Sheridan Park at Spring Creek_Plano_14601</v>
      </c>
      <c r="L4569" s="104" t="s">
        <v>22253</v>
      </c>
      <c r="M4569" s="103" t="str">
        <f t="shared" si="358"/>
        <v>http://oconnordata.com/mlink/modules/profile/index.cfm?action=profile&amp;prop_id=14601</v>
      </c>
      <c r="N4569" s="1">
        <f t="shared" si="359"/>
        <v>14601</v>
      </c>
    </row>
    <row r="4570" spans="1:14" x14ac:dyDescent="0.3">
      <c r="A4570" s="1">
        <v>14602</v>
      </c>
      <c r="B4570" s="7" t="s">
        <v>6952</v>
      </c>
      <c r="C4570" s="12">
        <v>5750</v>
      </c>
      <c r="D4570" s="7" t="s">
        <v>6953</v>
      </c>
      <c r="E4570" s="13" t="s">
        <v>4996</v>
      </c>
      <c r="F4570" t="str">
        <f t="shared" si="355"/>
        <v>University</v>
      </c>
      <c r="G4570" t="str">
        <f t="shared" si="356"/>
        <v>University5750Dallas</v>
      </c>
      <c r="H4570" t="s">
        <v>35427</v>
      </c>
      <c r="I4570" t="s">
        <v>26850</v>
      </c>
      <c r="J4570" t="str">
        <f t="shared" si="357"/>
        <v>E:\PropInv\MF</v>
      </c>
      <c r="K4570" s="103" t="str">
        <f>HYPERLINK("E:\PropInv\MF\Dallas\University Blvd E_5750_The Carlyle_Dallas_14602","University Blvd E_5750_The Carlyle_Dallas_14602" )</f>
        <v>University Blvd E_5750_The Carlyle_Dallas_14602</v>
      </c>
      <c r="L4570" s="104" t="s">
        <v>22253</v>
      </c>
      <c r="M4570" s="103" t="str">
        <f t="shared" si="358"/>
        <v>http://oconnordata.com/mlink/modules/profile/index.cfm?action=profile&amp;prop_id=14602</v>
      </c>
      <c r="N4570" s="1">
        <f t="shared" si="359"/>
        <v>14602</v>
      </c>
    </row>
    <row r="4571" spans="1:14" x14ac:dyDescent="0.3">
      <c r="A4571" s="1">
        <v>14603</v>
      </c>
      <c r="B4571" s="7" t="s">
        <v>5168</v>
      </c>
      <c r="C4571" s="12">
        <v>5351</v>
      </c>
      <c r="D4571" s="7" t="s">
        <v>6954</v>
      </c>
      <c r="E4571" s="13" t="s">
        <v>4996</v>
      </c>
      <c r="F4571" t="str">
        <f t="shared" si="355"/>
        <v>Peterson</v>
      </c>
      <c r="G4571" t="str">
        <f t="shared" si="356"/>
        <v>Peterson5351Dallas</v>
      </c>
      <c r="H4571" t="s">
        <v>35428</v>
      </c>
      <c r="I4571" t="s">
        <v>26851</v>
      </c>
      <c r="J4571" t="str">
        <f t="shared" si="357"/>
        <v>E:\PropInv\MF</v>
      </c>
      <c r="K4571" s="103" t="str">
        <f>HYPERLINK("E:\PropInv\MF\Dallas\Peterson_5351_Carolina Chase_Dallas_14603","Peterson_5351_Carolina Chase_Dallas_14603" )</f>
        <v>Peterson_5351_Carolina Chase_Dallas_14603</v>
      </c>
      <c r="L4571" s="104" t="s">
        <v>22253</v>
      </c>
      <c r="M4571" s="103" t="str">
        <f t="shared" si="358"/>
        <v>http://oconnordata.com/mlink/modules/profile/index.cfm?action=profile&amp;prop_id=14603</v>
      </c>
      <c r="N4571" s="1">
        <f t="shared" si="359"/>
        <v>14603</v>
      </c>
    </row>
    <row r="4572" spans="1:14" x14ac:dyDescent="0.3">
      <c r="A4572" s="1">
        <v>14604</v>
      </c>
      <c r="B4572" s="7" t="s">
        <v>6955</v>
      </c>
      <c r="C4572" s="12">
        <v>2379</v>
      </c>
      <c r="D4572" s="7" t="s">
        <v>6956</v>
      </c>
      <c r="E4572" s="13" t="s">
        <v>5019</v>
      </c>
      <c r="F4572" t="str">
        <f t="shared" si="355"/>
        <v>Apollo</v>
      </c>
      <c r="G4572" t="str">
        <f t="shared" si="356"/>
        <v>Apollo2379Garland</v>
      </c>
      <c r="H4572" t="s">
        <v>35429</v>
      </c>
      <c r="I4572" t="s">
        <v>26852</v>
      </c>
      <c r="J4572" t="str">
        <f t="shared" si="357"/>
        <v>E:\PropInv\MF</v>
      </c>
      <c r="K4572" s="103" t="str">
        <f>HYPERLINK("E:\PropInv\MF\Garland\Apollo_2379_Shiloh Oaks_Garland_14604","Apollo_2379_Shiloh Oaks_Garland_14604" )</f>
        <v>Apollo_2379_Shiloh Oaks_Garland_14604</v>
      </c>
      <c r="L4572" s="104" t="s">
        <v>22253</v>
      </c>
      <c r="M4572" s="103" t="str">
        <f t="shared" si="358"/>
        <v>http://oconnordata.com/mlink/modules/profile/index.cfm?action=profile&amp;prop_id=14604</v>
      </c>
      <c r="N4572" s="1">
        <f t="shared" si="359"/>
        <v>14604</v>
      </c>
    </row>
    <row r="4573" spans="1:14" x14ac:dyDescent="0.3">
      <c r="A4573" s="1">
        <v>14605</v>
      </c>
      <c r="B4573" s="7" t="s">
        <v>6957</v>
      </c>
      <c r="C4573" s="12">
        <v>3500</v>
      </c>
      <c r="D4573" s="7" t="s">
        <v>6958</v>
      </c>
      <c r="E4573" s="13" t="s">
        <v>5009</v>
      </c>
      <c r="F4573" t="str">
        <f t="shared" si="355"/>
        <v>Park</v>
      </c>
      <c r="G4573" t="str">
        <f t="shared" si="356"/>
        <v>Park3500Plano</v>
      </c>
      <c r="H4573" t="s">
        <v>35430</v>
      </c>
      <c r="I4573" t="s">
        <v>26853</v>
      </c>
      <c r="J4573" t="str">
        <f t="shared" si="357"/>
        <v>E:\PropInv\MF</v>
      </c>
      <c r="K4573" s="103" t="str">
        <f>HYPERLINK("E:\PropInv\MF\Plano\Park E_3500_Shiloh Park TH_Plano_14605","Park E_3500_Shiloh Park TH_Plano_14605" )</f>
        <v>Park E_3500_Shiloh Park TH_Plano_14605</v>
      </c>
      <c r="L4573" s="104" t="s">
        <v>22253</v>
      </c>
      <c r="M4573" s="103" t="str">
        <f t="shared" si="358"/>
        <v>http://oconnordata.com/mlink/modules/profile/index.cfm?action=profile&amp;prop_id=14605</v>
      </c>
      <c r="N4573" s="1">
        <f t="shared" si="359"/>
        <v>14605</v>
      </c>
    </row>
    <row r="4574" spans="1:14" x14ac:dyDescent="0.3">
      <c r="A4574" s="1">
        <v>14606</v>
      </c>
      <c r="B4574" s="7" t="s">
        <v>6959</v>
      </c>
      <c r="C4574" s="12">
        <v>1600</v>
      </c>
      <c r="D4574" s="7" t="s">
        <v>6960</v>
      </c>
      <c r="E4574" s="13" t="s">
        <v>5060</v>
      </c>
      <c r="F4574" t="str">
        <f t="shared" si="355"/>
        <v>Belt</v>
      </c>
      <c r="G4574" t="str">
        <f t="shared" si="356"/>
        <v>Belt1600Carrollton</v>
      </c>
      <c r="H4574" t="s">
        <v>35431</v>
      </c>
      <c r="I4574" t="s">
        <v>26854</v>
      </c>
      <c r="J4574" t="str">
        <f t="shared" si="357"/>
        <v>E:\PropInv\MF</v>
      </c>
      <c r="K4574" s="103" t="str">
        <f>HYPERLINK("E:\PropInv\MF\Carrollton\Belt Line Rd E_1600_Carrollton Arms_Carrollton_14606","Belt Line Rd E_1600_Carrollton Arms_Carrollton_14606" )</f>
        <v>Belt Line Rd E_1600_Carrollton Arms_Carrollton_14606</v>
      </c>
      <c r="L4574" s="104" t="s">
        <v>22253</v>
      </c>
      <c r="M4574" s="103" t="str">
        <f t="shared" si="358"/>
        <v>http://oconnordata.com/mlink/modules/profile/index.cfm?action=profile&amp;prop_id=14606</v>
      </c>
      <c r="N4574" s="1">
        <f t="shared" si="359"/>
        <v>14606</v>
      </c>
    </row>
    <row r="4575" spans="1:14" x14ac:dyDescent="0.3">
      <c r="A4575" s="1">
        <v>14607</v>
      </c>
      <c r="B4575" s="36" t="s">
        <v>6961</v>
      </c>
      <c r="C4575" s="40">
        <v>5936</v>
      </c>
      <c r="D4575" s="36" t="s">
        <v>6962</v>
      </c>
      <c r="E4575" s="41" t="s">
        <v>4996</v>
      </c>
      <c r="F4575" t="str">
        <f t="shared" si="355"/>
        <v>Lovers</v>
      </c>
      <c r="G4575" t="str">
        <f t="shared" si="356"/>
        <v>Lovers5936Dallas</v>
      </c>
      <c r="H4575" t="s">
        <v>35432</v>
      </c>
      <c r="I4575" t="s">
        <v>26855</v>
      </c>
      <c r="J4575" t="str">
        <f t="shared" si="357"/>
        <v>E:\PropInv\MF</v>
      </c>
      <c r="K4575" s="103" t="str">
        <f>HYPERLINK("E:\PropInv\MF\Dallas\Lovers Ln E_5936_Signature Pointe_Dallas_14607","Lovers Ln E_5936_Signature Pointe_Dallas_14607" )</f>
        <v>Lovers Ln E_5936_Signature Pointe_Dallas_14607</v>
      </c>
      <c r="L4575" s="104" t="s">
        <v>22253</v>
      </c>
      <c r="M4575" s="103" t="str">
        <f t="shared" si="358"/>
        <v>http://oconnordata.com/mlink/modules/profile/index.cfm?action=profile&amp;prop_id=14607</v>
      </c>
      <c r="N4575" s="1">
        <f t="shared" si="359"/>
        <v>14607</v>
      </c>
    </row>
    <row r="4576" spans="1:14" x14ac:dyDescent="0.3">
      <c r="A4576" s="1">
        <v>14608</v>
      </c>
      <c r="B4576" s="7" t="s">
        <v>5676</v>
      </c>
      <c r="C4576" s="12">
        <v>5445</v>
      </c>
      <c r="D4576" s="7" t="s">
        <v>6963</v>
      </c>
      <c r="E4576" s="13" t="s">
        <v>4996</v>
      </c>
      <c r="F4576" t="str">
        <f t="shared" si="355"/>
        <v>Caruth</v>
      </c>
      <c r="G4576" t="str">
        <f t="shared" si="356"/>
        <v>Caruth5445Dallas</v>
      </c>
      <c r="H4576" t="s">
        <v>35433</v>
      </c>
      <c r="I4576" t="s">
        <v>26856</v>
      </c>
      <c r="J4576" t="str">
        <f t="shared" si="357"/>
        <v>E:\PropInv\MF</v>
      </c>
      <c r="K4576" s="103" t="str">
        <f>HYPERLINK("E:\PropInv\MF\Dallas\Caruth Haven_5445_The Caruth At Lincoln Park_Dallas_14608","Caruth Haven_5445_The Caruth At Lincoln Park_Dallas_14608" )</f>
        <v>Caruth Haven_5445_The Caruth At Lincoln Park_Dallas_14608</v>
      </c>
      <c r="L4576" s="104" t="s">
        <v>22253</v>
      </c>
      <c r="M4576" s="103" t="str">
        <f t="shared" si="358"/>
        <v>http://oconnordata.com/mlink/modules/profile/index.cfm?action=profile&amp;prop_id=14608</v>
      </c>
      <c r="N4576" s="1">
        <f t="shared" si="359"/>
        <v>14608</v>
      </c>
    </row>
    <row r="4577" spans="1:14" x14ac:dyDescent="0.3">
      <c r="A4577" s="1">
        <v>14609</v>
      </c>
      <c r="B4577" s="7" t="s">
        <v>4309</v>
      </c>
      <c r="C4577" s="12">
        <v>780</v>
      </c>
      <c r="D4577" s="7" t="s">
        <v>6964</v>
      </c>
      <c r="E4577" s="13" t="s">
        <v>4249</v>
      </c>
      <c r="F4577" t="str">
        <f t="shared" si="355"/>
        <v>Bay</v>
      </c>
      <c r="G4577" t="str">
        <f t="shared" si="356"/>
        <v>Bay780Webster</v>
      </c>
      <c r="H4577" t="s">
        <v>35434</v>
      </c>
      <c r="I4577" t="s">
        <v>26857</v>
      </c>
      <c r="J4577" t="str">
        <f t="shared" si="357"/>
        <v>E:\PropInv\MF</v>
      </c>
      <c r="K4577" s="103" t="str">
        <f>HYPERLINK("E:\PropInv\MF\Webster\Bay Area Blvd W_780_Terrace at Clear Lake_Webster_14609","Bay Area Blvd W_780_Terrace at Clear Lake_Webster_14609" )</f>
        <v>Bay Area Blvd W_780_Terrace at Clear Lake_Webster_14609</v>
      </c>
      <c r="L4577" s="104" t="s">
        <v>22253</v>
      </c>
      <c r="M4577" s="103" t="str">
        <f t="shared" si="358"/>
        <v>http://oconnordata.com/mlink/modules/profile/index.cfm?action=profile&amp;prop_id=14609</v>
      </c>
      <c r="N4577" s="1">
        <f t="shared" si="359"/>
        <v>14609</v>
      </c>
    </row>
    <row r="4578" spans="1:14" x14ac:dyDescent="0.3">
      <c r="A4578" s="1">
        <v>14610</v>
      </c>
      <c r="B4578" s="7" t="s">
        <v>5629</v>
      </c>
      <c r="C4578" s="12">
        <v>1717</v>
      </c>
      <c r="D4578" s="7" t="s">
        <v>2622</v>
      </c>
      <c r="E4578" s="13" t="s">
        <v>5009</v>
      </c>
      <c r="F4578" t="str">
        <f t="shared" si="355"/>
        <v>Independence</v>
      </c>
      <c r="G4578" t="str">
        <f t="shared" si="356"/>
        <v>Independence1717Plano</v>
      </c>
      <c r="H4578" t="s">
        <v>35435</v>
      </c>
      <c r="I4578" t="s">
        <v>26858</v>
      </c>
      <c r="J4578" t="str">
        <f t="shared" si="357"/>
        <v>E:\PropInv\MF</v>
      </c>
      <c r="K4578" s="103" t="str">
        <f>HYPERLINK("E:\PropInv\MF\Plano\Independence Pkwy_1717_Cornerstone Ranch_Plano_14610","Independence Pkwy_1717_Cornerstone Ranch_Plano_14610" )</f>
        <v>Independence Pkwy_1717_Cornerstone Ranch_Plano_14610</v>
      </c>
      <c r="L4578" s="104" t="s">
        <v>22253</v>
      </c>
      <c r="M4578" s="103" t="str">
        <f t="shared" si="358"/>
        <v>http://oconnordata.com/mlink/modules/profile/index.cfm?action=profile&amp;prop_id=14610</v>
      </c>
      <c r="N4578" s="1">
        <f t="shared" si="359"/>
        <v>14610</v>
      </c>
    </row>
    <row r="4579" spans="1:14" x14ac:dyDescent="0.3">
      <c r="A4579" s="1">
        <v>14611</v>
      </c>
      <c r="B4579" s="7" t="s">
        <v>6965</v>
      </c>
      <c r="C4579" s="12">
        <v>11100</v>
      </c>
      <c r="D4579" s="29" t="s">
        <v>6966</v>
      </c>
      <c r="E4579" s="13" t="s">
        <v>4996</v>
      </c>
      <c r="F4579" t="str">
        <f t="shared" si="355"/>
        <v>Walnut</v>
      </c>
      <c r="G4579" t="str">
        <f t="shared" si="356"/>
        <v>Walnut11100Dallas</v>
      </c>
      <c r="H4579" t="s">
        <v>35436</v>
      </c>
      <c r="I4579" t="s">
        <v>26859</v>
      </c>
      <c r="J4579" t="str">
        <f t="shared" si="357"/>
        <v>E:\PropInv\MF</v>
      </c>
      <c r="K4579" s="103" t="str">
        <f>HYPERLINK("E:\PropInv\MF\Dallas\Walnut Hill Ln_11100_Silverado Springs_Dallas_14611","Walnut Hill Ln_11100_Silverado Springs_Dallas_14611" )</f>
        <v>Walnut Hill Ln_11100_Silverado Springs_Dallas_14611</v>
      </c>
      <c r="L4579" s="104" t="s">
        <v>22253</v>
      </c>
      <c r="M4579" s="103" t="str">
        <f t="shared" si="358"/>
        <v>http://oconnordata.com/mlink/modules/profile/index.cfm?action=profile&amp;prop_id=14611</v>
      </c>
      <c r="N4579" s="1">
        <f t="shared" si="359"/>
        <v>14611</v>
      </c>
    </row>
    <row r="4580" spans="1:14" x14ac:dyDescent="0.3">
      <c r="A4580" s="1">
        <v>14612</v>
      </c>
      <c r="B4580" s="7" t="s">
        <v>2181</v>
      </c>
      <c r="C4580" s="12">
        <v>7001</v>
      </c>
      <c r="D4580" s="7" t="s">
        <v>6967</v>
      </c>
      <c r="E4580" s="13" t="s">
        <v>5009</v>
      </c>
      <c r="F4580" t="str">
        <f t="shared" si="355"/>
        <v>Parker</v>
      </c>
      <c r="G4580" t="str">
        <f t="shared" si="356"/>
        <v>Parker7001Plano</v>
      </c>
      <c r="H4580" t="s">
        <v>35437</v>
      </c>
      <c r="I4580" t="s">
        <v>26860</v>
      </c>
      <c r="J4580" t="str">
        <f t="shared" si="357"/>
        <v>E:\PropInv\MF</v>
      </c>
      <c r="K4580" s="103" t="str">
        <f>HYPERLINK("E:\PropInv\MF\Plano\Parker Rd W_7001_The Preserve at Arbor Hills_Plano_14612","Parker Rd W_7001_The Preserve at Arbor Hills_Plano_14612" )</f>
        <v>Parker Rd W_7001_The Preserve at Arbor Hills_Plano_14612</v>
      </c>
      <c r="L4580" s="104" t="s">
        <v>22253</v>
      </c>
      <c r="M4580" s="103" t="str">
        <f t="shared" si="358"/>
        <v>http://oconnordata.com/mlink/modules/profile/index.cfm?action=profile&amp;prop_id=14612</v>
      </c>
      <c r="N4580" s="1">
        <f t="shared" si="359"/>
        <v>14612</v>
      </c>
    </row>
    <row r="4581" spans="1:14" x14ac:dyDescent="0.3">
      <c r="A4581" s="1">
        <v>14613</v>
      </c>
      <c r="B4581" s="7" t="s">
        <v>6968</v>
      </c>
      <c r="C4581" s="12">
        <v>863</v>
      </c>
      <c r="D4581" s="7" t="s">
        <v>6969</v>
      </c>
      <c r="E4581" s="13" t="s">
        <v>5046</v>
      </c>
      <c r="F4581" t="str">
        <f t="shared" si="355"/>
        <v>Irving</v>
      </c>
      <c r="G4581" t="str">
        <f t="shared" si="356"/>
        <v>Irving863Irving</v>
      </c>
      <c r="H4581" t="s">
        <v>35438</v>
      </c>
      <c r="I4581" t="s">
        <v>26861</v>
      </c>
      <c r="J4581" t="str">
        <f t="shared" si="357"/>
        <v>E:\PropInv\MF</v>
      </c>
      <c r="K4581" s="103" t="str">
        <f>HYPERLINK("E:\PropInv\MF\Irving\Irving Heights S_863_Casa Bella_Irving_14613","Irving Heights S_863_Casa Bella_Irving_14613" )</f>
        <v>Irving Heights S_863_Casa Bella_Irving_14613</v>
      </c>
      <c r="L4581" s="104" t="s">
        <v>22253</v>
      </c>
      <c r="M4581" s="103" t="str">
        <f t="shared" si="358"/>
        <v>http://oconnordata.com/mlink/modules/profile/index.cfm?action=profile&amp;prop_id=14613</v>
      </c>
      <c r="N4581" s="1">
        <f t="shared" si="359"/>
        <v>14613</v>
      </c>
    </row>
    <row r="4582" spans="1:14" x14ac:dyDescent="0.3">
      <c r="A4582" s="1">
        <v>14614</v>
      </c>
      <c r="B4582" s="7" t="s">
        <v>5779</v>
      </c>
      <c r="C4582" s="12">
        <v>1700</v>
      </c>
      <c r="D4582" s="7" t="s">
        <v>6970</v>
      </c>
      <c r="E4582" s="13" t="s">
        <v>5781</v>
      </c>
      <c r="F4582" t="str">
        <f t="shared" si="355"/>
        <v>Sotogrande</v>
      </c>
      <c r="G4582" t="str">
        <f t="shared" si="356"/>
        <v>Sotogrande1700Euless</v>
      </c>
      <c r="H4582" t="s">
        <v>35439</v>
      </c>
      <c r="I4582" t="s">
        <v>26862</v>
      </c>
      <c r="J4582" t="str">
        <f t="shared" si="357"/>
        <v>E:\PropInv\MF</v>
      </c>
      <c r="K4582" s="103" t="str">
        <f>HYPERLINK("E:\PropInv\MF\Euless\Sotogrande Blvd_1700_Westdale Hills Augusta_Euless_14614","Sotogrande Blvd_1700_Westdale Hills Augusta_Euless_14614" )</f>
        <v>Sotogrande Blvd_1700_Westdale Hills Augusta_Euless_14614</v>
      </c>
      <c r="L4582" s="104" t="s">
        <v>22253</v>
      </c>
      <c r="M4582" s="103" t="str">
        <f t="shared" si="358"/>
        <v>http://oconnordata.com/mlink/modules/profile/index.cfm?action=profile&amp;prop_id=14614</v>
      </c>
      <c r="N4582" s="1">
        <f t="shared" si="359"/>
        <v>14614</v>
      </c>
    </row>
    <row r="4583" spans="1:14" x14ac:dyDescent="0.3">
      <c r="A4583" s="1">
        <v>14615</v>
      </c>
      <c r="B4583" s="7" t="s">
        <v>5129</v>
      </c>
      <c r="C4583" s="12">
        <v>9590</v>
      </c>
      <c r="D4583" s="7" t="s">
        <v>4630</v>
      </c>
      <c r="E4583" s="13" t="s">
        <v>4996</v>
      </c>
      <c r="F4583" t="str">
        <f t="shared" si="355"/>
        <v>Forest</v>
      </c>
      <c r="G4583" t="str">
        <f t="shared" si="356"/>
        <v>Forest9590Dallas</v>
      </c>
      <c r="H4583" t="s">
        <v>35440</v>
      </c>
      <c r="I4583" t="s">
        <v>26863</v>
      </c>
      <c r="J4583" t="str">
        <f t="shared" si="357"/>
        <v>E:\PropInv\MF</v>
      </c>
      <c r="K4583" s="103" t="str">
        <f>HYPERLINK("E:\PropInv\MF\Dallas\Forest Ln_9590_Snug Harbor_Dallas_14615","Forest Ln_9590_Snug Harbor_Dallas_14615" )</f>
        <v>Forest Ln_9590_Snug Harbor_Dallas_14615</v>
      </c>
      <c r="L4583" s="104" t="s">
        <v>22253</v>
      </c>
      <c r="M4583" s="103" t="str">
        <f t="shared" si="358"/>
        <v>http://oconnordata.com/mlink/modules/profile/index.cfm?action=profile&amp;prop_id=14615</v>
      </c>
      <c r="N4583" s="1">
        <f t="shared" si="359"/>
        <v>14615</v>
      </c>
    </row>
    <row r="4584" spans="1:14" x14ac:dyDescent="0.3">
      <c r="A4584" s="1">
        <v>14616</v>
      </c>
      <c r="B4584" s="7" t="s">
        <v>6971</v>
      </c>
      <c r="C4584" s="12">
        <v>2409</v>
      </c>
      <c r="D4584" s="7" t="s">
        <v>3165</v>
      </c>
      <c r="E4584" s="13" t="s">
        <v>6555</v>
      </c>
      <c r="F4584" t="str">
        <f t="shared" si="355"/>
        <v>Fallwood</v>
      </c>
      <c r="G4584" t="str">
        <f t="shared" si="356"/>
        <v>Fallwood2409Arlington</v>
      </c>
      <c r="H4584" t="s">
        <v>35441</v>
      </c>
      <c r="I4584" t="s">
        <v>26864</v>
      </c>
      <c r="J4584" t="str">
        <f t="shared" si="357"/>
        <v>E:\PropInv\MF</v>
      </c>
      <c r="K4584" s="103" t="str">
        <f>HYPERLINK("E:\PropInv\MF\Arlington\Fallwood_2409_Autumnwood_Arlington_14616","Fallwood_2409_Autumnwood_Arlington_14616" )</f>
        <v>Fallwood_2409_Autumnwood_Arlington_14616</v>
      </c>
      <c r="L4584" s="104" t="s">
        <v>22253</v>
      </c>
      <c r="M4584" s="103" t="str">
        <f t="shared" si="358"/>
        <v>http://oconnordata.com/mlink/modules/profile/index.cfm?action=profile&amp;prop_id=14616</v>
      </c>
      <c r="N4584" s="1">
        <f t="shared" si="359"/>
        <v>14616</v>
      </c>
    </row>
    <row r="4585" spans="1:14" x14ac:dyDescent="0.3">
      <c r="A4585" s="1">
        <v>14617</v>
      </c>
      <c r="B4585" s="7" t="s">
        <v>5609</v>
      </c>
      <c r="C4585" s="12">
        <v>3801</v>
      </c>
      <c r="D4585" s="7" t="s">
        <v>6972</v>
      </c>
      <c r="E4585" s="13" t="s">
        <v>5009</v>
      </c>
      <c r="F4585" t="str">
        <f t="shared" si="355"/>
        <v>Spring</v>
      </c>
      <c r="G4585" t="str">
        <f t="shared" si="356"/>
        <v>Spring3801Plano</v>
      </c>
      <c r="H4585" t="s">
        <v>35442</v>
      </c>
      <c r="I4585" t="s">
        <v>26865</v>
      </c>
      <c r="J4585" t="str">
        <f t="shared" si="357"/>
        <v>E:\PropInv\MF</v>
      </c>
      <c r="K4585" s="103" t="str">
        <f>HYPERLINK("E:\PropInv\MF\Plano\Spring Creek Pkwy W_3801_Somerset at Spring Creek_Plano_14617","Spring Creek Pkwy W_3801_Somerset at Spring Creek_Plano_14617" )</f>
        <v>Spring Creek Pkwy W_3801_Somerset at Spring Creek_Plano_14617</v>
      </c>
      <c r="L4585" s="104" t="s">
        <v>22253</v>
      </c>
      <c r="M4585" s="103" t="str">
        <f t="shared" si="358"/>
        <v>http://oconnordata.com/mlink/modules/profile/index.cfm?action=profile&amp;prop_id=14617</v>
      </c>
      <c r="N4585" s="1">
        <f t="shared" si="359"/>
        <v>14617</v>
      </c>
    </row>
    <row r="4586" spans="1:14" x14ac:dyDescent="0.3">
      <c r="A4586" s="1">
        <v>14618</v>
      </c>
      <c r="B4586" s="7" t="s">
        <v>6973</v>
      </c>
      <c r="C4586" s="12">
        <v>1004</v>
      </c>
      <c r="D4586" s="7" t="s">
        <v>6974</v>
      </c>
      <c r="E4586" s="13" t="s">
        <v>5019</v>
      </c>
      <c r="F4586" t="str">
        <f t="shared" si="355"/>
        <v>Castleglen</v>
      </c>
      <c r="G4586" t="str">
        <f t="shared" si="356"/>
        <v>Castleglen1004Garland</v>
      </c>
      <c r="H4586" t="s">
        <v>35443</v>
      </c>
      <c r="I4586" t="s">
        <v>26866</v>
      </c>
      <c r="J4586" t="str">
        <f t="shared" si="357"/>
        <v>E:\PropInv\MF</v>
      </c>
      <c r="K4586" s="103" t="str">
        <f>HYPERLINK("E:\PropInv\MF\Garland\Castleglen Dr_1004_Castleglen TH_Garland_14618","Castleglen Dr_1004_Castleglen TH_Garland_14618" )</f>
        <v>Castleglen Dr_1004_Castleglen TH_Garland_14618</v>
      </c>
      <c r="L4586" s="104" t="s">
        <v>22253</v>
      </c>
      <c r="M4586" s="103" t="str">
        <f t="shared" si="358"/>
        <v>http://oconnordata.com/mlink/modules/profile/index.cfm?action=profile&amp;prop_id=14618</v>
      </c>
      <c r="N4586" s="1">
        <f t="shared" si="359"/>
        <v>14618</v>
      </c>
    </row>
    <row r="4587" spans="1:14" x14ac:dyDescent="0.3">
      <c r="A4587" s="1">
        <v>14619</v>
      </c>
      <c r="B4587" s="7" t="s">
        <v>6975</v>
      </c>
      <c r="C4587" s="12">
        <v>238</v>
      </c>
      <c r="D4587" s="7" t="s">
        <v>6976</v>
      </c>
      <c r="E4587" s="13" t="s">
        <v>5019</v>
      </c>
      <c r="F4587" t="str">
        <f t="shared" si="355"/>
        <v>Barnes</v>
      </c>
      <c r="G4587" t="str">
        <f t="shared" si="356"/>
        <v>Barnes238Garland</v>
      </c>
      <c r="H4587" t="s">
        <v>35444</v>
      </c>
      <c r="I4587" t="s">
        <v>26867</v>
      </c>
      <c r="J4587" t="str">
        <f t="shared" si="357"/>
        <v>E:\PropInv\MF</v>
      </c>
      <c r="K4587" s="103" t="str">
        <f>HYPERLINK("E:\PropInv\MF\Garland\Barnes Dr S_238_Legacy Pointe_Garland_14619","Barnes Dr S_238_Legacy Pointe_Garland_14619" )</f>
        <v>Barnes Dr S_238_Legacy Pointe_Garland_14619</v>
      </c>
      <c r="L4587" s="104" t="s">
        <v>22253</v>
      </c>
      <c r="M4587" s="103" t="str">
        <f t="shared" si="358"/>
        <v>http://oconnordata.com/mlink/modules/profile/index.cfm?action=profile&amp;prop_id=14619</v>
      </c>
      <c r="N4587" s="1">
        <f t="shared" si="359"/>
        <v>14619</v>
      </c>
    </row>
    <row r="4588" spans="1:14" x14ac:dyDescent="0.3">
      <c r="A4588" s="1">
        <v>14620</v>
      </c>
      <c r="B4588" s="7" t="s">
        <v>6977</v>
      </c>
      <c r="C4588" s="12">
        <v>7050</v>
      </c>
      <c r="D4588" s="7" t="s">
        <v>6978</v>
      </c>
      <c r="E4588" s="13" t="s">
        <v>4996</v>
      </c>
      <c r="F4588" t="str">
        <f t="shared" si="355"/>
        <v>Arapaho</v>
      </c>
      <c r="G4588" t="str">
        <f t="shared" si="356"/>
        <v>Arapaho7050Dallas</v>
      </c>
      <c r="H4588" t="s">
        <v>35445</v>
      </c>
      <c r="I4588" t="s">
        <v>26868</v>
      </c>
      <c r="J4588" t="str">
        <f t="shared" si="357"/>
        <v>E:\PropInv\MF</v>
      </c>
      <c r="K4588" s="103" t="str">
        <f>HYPERLINK("E:\PropInv\MF\Dallas\Arapaho Rd_7050_Sonoma at Hillcrest_Dallas_14620","Arapaho Rd_7050_Sonoma at Hillcrest_Dallas_14620" )</f>
        <v>Arapaho Rd_7050_Sonoma at Hillcrest_Dallas_14620</v>
      </c>
      <c r="L4588" s="104" t="s">
        <v>22253</v>
      </c>
      <c r="M4588" s="103" t="str">
        <f t="shared" si="358"/>
        <v>http://oconnordata.com/mlink/modules/profile/index.cfm?action=profile&amp;prop_id=14620</v>
      </c>
      <c r="N4588" s="1">
        <f t="shared" si="359"/>
        <v>14620</v>
      </c>
    </row>
    <row r="4589" spans="1:14" x14ac:dyDescent="0.3">
      <c r="A4589" s="1">
        <v>14623</v>
      </c>
      <c r="B4589" s="7" t="s">
        <v>6979</v>
      </c>
      <c r="C4589" s="12">
        <v>5925</v>
      </c>
      <c r="D4589" s="7" t="s">
        <v>6980</v>
      </c>
      <c r="E4589" s="13" t="s">
        <v>4996</v>
      </c>
      <c r="F4589" t="str">
        <f t="shared" si="355"/>
        <v>Sandhurst</v>
      </c>
      <c r="G4589" t="str">
        <f t="shared" si="356"/>
        <v>Sandhurst5925Dallas</v>
      </c>
      <c r="H4589" t="s">
        <v>35446</v>
      </c>
      <c r="I4589" t="s">
        <v>26869</v>
      </c>
      <c r="J4589" t="str">
        <f t="shared" si="357"/>
        <v>E:\PropInv\MF</v>
      </c>
      <c r="K4589" s="103" t="str">
        <f>HYPERLINK("E:\PropInv\MF\Dallas\Sandhurst_5925_Spanish Steppes_Dallas_14623","Sandhurst_5925_Spanish Steppes_Dallas_14623" )</f>
        <v>Sandhurst_5925_Spanish Steppes_Dallas_14623</v>
      </c>
      <c r="L4589" s="104" t="s">
        <v>22253</v>
      </c>
      <c r="M4589" s="103" t="str">
        <f t="shared" si="358"/>
        <v>http://oconnordata.com/mlink/modules/profile/index.cfm?action=profile&amp;prop_id=14623</v>
      </c>
      <c r="N4589" s="1">
        <f t="shared" si="359"/>
        <v>14623</v>
      </c>
    </row>
    <row r="4590" spans="1:14" x14ac:dyDescent="0.3">
      <c r="A4590" s="1">
        <v>14625</v>
      </c>
      <c r="B4590" s="7" t="s">
        <v>3848</v>
      </c>
      <c r="C4590" s="12">
        <v>12708</v>
      </c>
      <c r="D4590" s="7" t="s">
        <v>6981</v>
      </c>
      <c r="E4590" s="13" t="s">
        <v>4996</v>
      </c>
      <c r="F4590" t="str">
        <f t="shared" si="355"/>
        <v>Schroeder</v>
      </c>
      <c r="G4590" t="str">
        <f t="shared" si="356"/>
        <v>Schroeder12708Dallas</v>
      </c>
      <c r="H4590" t="s">
        <v>35447</v>
      </c>
      <c r="I4590" t="s">
        <v>26870</v>
      </c>
      <c r="J4590" t="str">
        <f t="shared" si="357"/>
        <v>E:\PropInv\MF</v>
      </c>
      <c r="K4590" s="103" t="str">
        <f>HYPERLINK("E:\PropInv\MF\Dallas\Schroeder_12708_Lyndon Manor_Dallas_14625","Schroeder_12708_Lyndon Manor_Dallas_14625" )</f>
        <v>Schroeder_12708_Lyndon Manor_Dallas_14625</v>
      </c>
      <c r="L4590" s="104" t="s">
        <v>22253</v>
      </c>
      <c r="M4590" s="103" t="str">
        <f t="shared" si="358"/>
        <v>http://oconnordata.com/mlink/modules/profile/index.cfm?action=profile&amp;prop_id=14625</v>
      </c>
      <c r="N4590" s="1">
        <f t="shared" si="359"/>
        <v>14625</v>
      </c>
    </row>
    <row r="4591" spans="1:14" x14ac:dyDescent="0.3">
      <c r="A4591" s="1">
        <v>14626</v>
      </c>
      <c r="B4591" s="7" t="s">
        <v>5619</v>
      </c>
      <c r="C4591" s="12">
        <v>110</v>
      </c>
      <c r="D4591" s="7" t="s">
        <v>3235</v>
      </c>
      <c r="E4591" s="13" t="s">
        <v>5019</v>
      </c>
      <c r="F4591" t="str">
        <f t="shared" si="355"/>
        <v>Jupiter</v>
      </c>
      <c r="G4591" t="str">
        <f t="shared" si="356"/>
        <v>Jupiter110Garland</v>
      </c>
      <c r="H4591" t="s">
        <v>35448</v>
      </c>
      <c r="I4591" t="s">
        <v>26871</v>
      </c>
      <c r="J4591" t="str">
        <f t="shared" si="357"/>
        <v>E:\PropInv\MF</v>
      </c>
      <c r="K4591" s="103" t="str">
        <f>HYPERLINK("E:\PropInv\MF\Garland\Jupiter Rd N_110_Spanish Villa_Garland_14626","Jupiter Rd N_110_Spanish Villa_Garland_14626" )</f>
        <v>Jupiter Rd N_110_Spanish Villa_Garland_14626</v>
      </c>
      <c r="L4591" s="104" t="s">
        <v>22253</v>
      </c>
      <c r="M4591" s="103" t="str">
        <f t="shared" si="358"/>
        <v>http://oconnordata.com/mlink/modules/profile/index.cfm?action=profile&amp;prop_id=14626</v>
      </c>
      <c r="N4591" s="1">
        <f t="shared" si="359"/>
        <v>14626</v>
      </c>
    </row>
    <row r="4592" spans="1:14" x14ac:dyDescent="0.3">
      <c r="A4592" s="1">
        <v>14627</v>
      </c>
      <c r="B4592" s="7" t="s">
        <v>5539</v>
      </c>
      <c r="C4592" s="12">
        <v>1910</v>
      </c>
      <c r="D4592" s="7" t="s">
        <v>6982</v>
      </c>
      <c r="E4592" s="13" t="s">
        <v>5019</v>
      </c>
      <c r="F4592" t="str">
        <f t="shared" si="355"/>
        <v>Cranford</v>
      </c>
      <c r="G4592" t="str">
        <f t="shared" si="356"/>
        <v>Cranford1910Garland</v>
      </c>
      <c r="H4592" t="s">
        <v>35449</v>
      </c>
      <c r="I4592" t="s">
        <v>26872</v>
      </c>
      <c r="J4592" t="str">
        <f t="shared" si="357"/>
        <v>E:\PropInv\MF</v>
      </c>
      <c r="K4592" s="103" t="str">
        <f>HYPERLINK("E:\PropInv\MF\Garland\Cranford_1910_Little Brooks_Garland_14627","Cranford_1910_Little Brooks_Garland_14627" )</f>
        <v>Cranford_1910_Little Brooks_Garland_14627</v>
      </c>
      <c r="L4592" s="104" t="s">
        <v>22253</v>
      </c>
      <c r="M4592" s="103" t="str">
        <f t="shared" si="358"/>
        <v>http://oconnordata.com/mlink/modules/profile/index.cfm?action=profile&amp;prop_id=14627</v>
      </c>
      <c r="N4592" s="1">
        <f t="shared" si="359"/>
        <v>14627</v>
      </c>
    </row>
    <row r="4593" spans="1:14" x14ac:dyDescent="0.3">
      <c r="A4593" s="1">
        <v>14628</v>
      </c>
      <c r="B4593" s="7" t="s">
        <v>6983</v>
      </c>
      <c r="C4593" s="12">
        <v>15534</v>
      </c>
      <c r="D4593" s="7" t="s">
        <v>6984</v>
      </c>
      <c r="E4593" s="13" t="s">
        <v>4996</v>
      </c>
      <c r="F4593" t="str">
        <f t="shared" si="355"/>
        <v>El</v>
      </c>
      <c r="G4593" t="str">
        <f t="shared" si="356"/>
        <v>El15534Dallas</v>
      </c>
      <c r="H4593" t="s">
        <v>35450</v>
      </c>
      <c r="I4593" t="s">
        <v>26873</v>
      </c>
      <c r="J4593" t="str">
        <f t="shared" si="357"/>
        <v>E:\PropInv\MF</v>
      </c>
      <c r="K4593" s="103" t="str">
        <f>HYPERLINK("E:\PropInv\MF\Dallas\El Estado_15534_Villas At Monterey_Dallas_14628","El Estado_15534_Villas At Monterey_Dallas_14628" )</f>
        <v>El Estado_15534_Villas At Monterey_Dallas_14628</v>
      </c>
      <c r="L4593" s="104" t="s">
        <v>22253</v>
      </c>
      <c r="M4593" s="103" t="str">
        <f t="shared" si="358"/>
        <v>http://oconnordata.com/mlink/modules/profile/index.cfm?action=profile&amp;prop_id=14628</v>
      </c>
      <c r="N4593" s="1">
        <f t="shared" si="359"/>
        <v>14628</v>
      </c>
    </row>
    <row r="4594" spans="1:14" x14ac:dyDescent="0.3">
      <c r="A4594" s="110">
        <v>14629</v>
      </c>
      <c r="B4594" s="7" t="s">
        <v>6985</v>
      </c>
      <c r="C4594" s="12">
        <v>18790</v>
      </c>
      <c r="D4594" s="7" t="s">
        <v>6986</v>
      </c>
      <c r="E4594" s="13" t="s">
        <v>4996</v>
      </c>
      <c r="F4594" t="str">
        <f t="shared" si="355"/>
        <v>Lloyd</v>
      </c>
      <c r="G4594" t="str">
        <f t="shared" si="356"/>
        <v>Lloyd18790Dallas</v>
      </c>
      <c r="H4594" t="s">
        <v>35451</v>
      </c>
      <c r="I4594" t="s">
        <v>26874</v>
      </c>
      <c r="J4594" t="str">
        <f t="shared" si="357"/>
        <v>E:\PropInv\MF</v>
      </c>
      <c r="K4594" s="103" t="str">
        <f>HYPERLINK("E:\PropInv\MF\Dallas\Lloyd Dr_18790_Preston Bend_Dallas_14629","Lloyd Dr_18790_Preston Bend_Dallas_14629" )</f>
        <v>Lloyd Dr_18790_Preston Bend_Dallas_14629</v>
      </c>
      <c r="L4594" s="104" t="s">
        <v>22253</v>
      </c>
      <c r="M4594" s="103" t="str">
        <f t="shared" si="358"/>
        <v>http://oconnordata.com/mlink/modules/profile/index.cfm?action=profile&amp;prop_id=14629</v>
      </c>
      <c r="N4594" s="1">
        <f t="shared" si="359"/>
        <v>14629</v>
      </c>
    </row>
    <row r="4595" spans="1:14" x14ac:dyDescent="0.3">
      <c r="A4595" s="1">
        <v>14630</v>
      </c>
      <c r="B4595" s="7" t="s">
        <v>3983</v>
      </c>
      <c r="C4595" s="9">
        <v>15889</v>
      </c>
      <c r="D4595" s="10" t="s">
        <v>1723</v>
      </c>
      <c r="E4595" s="11" t="s">
        <v>4996</v>
      </c>
      <c r="F4595" t="str">
        <f t="shared" si="355"/>
        <v>Preston</v>
      </c>
      <c r="G4595" t="str">
        <f t="shared" si="356"/>
        <v>Preston15889Dallas</v>
      </c>
      <c r="H4595" t="s">
        <v>35452</v>
      </c>
      <c r="I4595" t="s">
        <v>26875</v>
      </c>
      <c r="J4595" t="str">
        <f t="shared" si="357"/>
        <v>E:\PropInv\MF</v>
      </c>
      <c r="K4595" s="103" t="str">
        <f>HYPERLINK("E:\PropInv\MF\Dallas\Preston Rd_15889_London Park_Dallas_14630","Preston Rd_15889_London Park_Dallas_14630" )</f>
        <v>Preston Rd_15889_London Park_Dallas_14630</v>
      </c>
      <c r="L4595" s="104" t="s">
        <v>22253</v>
      </c>
      <c r="M4595" s="103" t="str">
        <f t="shared" si="358"/>
        <v>http://oconnordata.com/mlink/modules/profile/index.cfm?action=profile&amp;prop_id=14630</v>
      </c>
      <c r="N4595" s="1">
        <f t="shared" si="359"/>
        <v>14630</v>
      </c>
    </row>
    <row r="4596" spans="1:14" x14ac:dyDescent="0.3">
      <c r="A4596" s="1">
        <v>14631</v>
      </c>
      <c r="B4596" s="7" t="s">
        <v>6987</v>
      </c>
      <c r="C4596" s="12">
        <v>18331</v>
      </c>
      <c r="D4596" s="7" t="s">
        <v>6988</v>
      </c>
      <c r="E4596" s="13" t="s">
        <v>4996</v>
      </c>
      <c r="F4596" t="str">
        <f t="shared" si="355"/>
        <v>Roe</v>
      </c>
      <c r="G4596" t="str">
        <f t="shared" si="356"/>
        <v>Roe18331Dallas</v>
      </c>
      <c r="H4596" t="s">
        <v>35453</v>
      </c>
      <c r="I4596" t="s">
        <v>26876</v>
      </c>
      <c r="J4596" t="str">
        <f t="shared" si="357"/>
        <v>E:\PropInv\MF</v>
      </c>
      <c r="K4596" s="103" t="str">
        <f>HYPERLINK("E:\PropInv\MF\Dallas\Roe Hampton_18331_The Manhattan_Dallas_14631","Roe Hampton_18331_The Manhattan_Dallas_14631" )</f>
        <v>Roe Hampton_18331_The Manhattan_Dallas_14631</v>
      </c>
      <c r="L4596" s="104" t="s">
        <v>22253</v>
      </c>
      <c r="M4596" s="103" t="str">
        <f t="shared" si="358"/>
        <v>http://oconnordata.com/mlink/modules/profile/index.cfm?action=profile&amp;prop_id=14631</v>
      </c>
      <c r="N4596" s="1">
        <f t="shared" si="359"/>
        <v>14631</v>
      </c>
    </row>
    <row r="4597" spans="1:14" x14ac:dyDescent="0.3">
      <c r="A4597" s="1">
        <v>14632</v>
      </c>
      <c r="B4597" s="7" t="s">
        <v>4786</v>
      </c>
      <c r="C4597" s="12">
        <v>2700</v>
      </c>
      <c r="D4597" s="7" t="s">
        <v>6989</v>
      </c>
      <c r="E4597" s="13" t="s">
        <v>5014</v>
      </c>
      <c r="F4597" t="str">
        <f t="shared" si="355"/>
        <v>Shenandoah</v>
      </c>
      <c r="G4597" t="str">
        <f t="shared" si="356"/>
        <v>Shenandoah2700Fort Worth</v>
      </c>
      <c r="H4597" t="s">
        <v>35454</v>
      </c>
      <c r="I4597" t="s">
        <v>26877</v>
      </c>
      <c r="J4597" t="str">
        <f t="shared" si="357"/>
        <v>E:\PropInv\MF</v>
      </c>
      <c r="K4597" s="103" t="str">
        <f>HYPERLINK("E:\PropInv\MF\Fort Worth\Shenandoah_2700_Calmont Villas_Fort Worth_14632","Shenandoah_2700_Calmont Villas_Fort Worth_14632" )</f>
        <v>Shenandoah_2700_Calmont Villas_Fort Worth_14632</v>
      </c>
      <c r="L4597" s="104" t="s">
        <v>22253</v>
      </c>
      <c r="M4597" s="103" t="str">
        <f t="shared" si="358"/>
        <v>http://oconnordata.com/mlink/modules/profile/index.cfm?action=profile&amp;prop_id=14632</v>
      </c>
      <c r="N4597" s="1">
        <f t="shared" si="359"/>
        <v>14632</v>
      </c>
    </row>
    <row r="4598" spans="1:14" x14ac:dyDescent="0.3">
      <c r="A4598" s="1">
        <v>14633</v>
      </c>
      <c r="B4598" s="7" t="s">
        <v>6990</v>
      </c>
      <c r="C4598" s="12">
        <v>1601</v>
      </c>
      <c r="D4598" s="7" t="s">
        <v>6991</v>
      </c>
      <c r="E4598" s="13" t="s">
        <v>5014</v>
      </c>
      <c r="F4598" t="str">
        <f t="shared" si="355"/>
        <v>Eastchase</v>
      </c>
      <c r="G4598" t="str">
        <f t="shared" si="356"/>
        <v>Eastchase1601Fort Worth</v>
      </c>
      <c r="H4598" t="s">
        <v>35455</v>
      </c>
      <c r="I4598" t="s">
        <v>26878</v>
      </c>
      <c r="J4598" t="str">
        <f t="shared" si="357"/>
        <v>E:\PropInv\MF</v>
      </c>
      <c r="K4598" s="103" t="str">
        <f>HYPERLINK("E:\PropInv\MF\Fort Worth\Eastchase Pkwy_1601_Bentley Square_Fort Worth_14633","Eastchase Pkwy_1601_Bentley Square_Fort Worth_14633" )</f>
        <v>Eastchase Pkwy_1601_Bentley Square_Fort Worth_14633</v>
      </c>
      <c r="L4598" s="104" t="s">
        <v>22253</v>
      </c>
      <c r="M4598" s="103" t="str">
        <f t="shared" si="358"/>
        <v>http://oconnordata.com/mlink/modules/profile/index.cfm?action=profile&amp;prop_id=14633</v>
      </c>
      <c r="N4598" s="1">
        <f t="shared" si="359"/>
        <v>14633</v>
      </c>
    </row>
    <row r="4599" spans="1:14" x14ac:dyDescent="0.3">
      <c r="A4599" s="1">
        <v>14634</v>
      </c>
      <c r="B4599" s="7" t="s">
        <v>5299</v>
      </c>
      <c r="C4599" s="12">
        <v>4362</v>
      </c>
      <c r="D4599" s="7" t="s">
        <v>6992</v>
      </c>
      <c r="E4599" s="13" t="s">
        <v>5019</v>
      </c>
      <c r="F4599" t="str">
        <f t="shared" si="355"/>
        <v>Walnut</v>
      </c>
      <c r="G4599" t="str">
        <f t="shared" si="356"/>
        <v>Walnut4362Garland</v>
      </c>
      <c r="H4599" t="s">
        <v>35456</v>
      </c>
      <c r="I4599" t="s">
        <v>26879</v>
      </c>
      <c r="J4599" t="str">
        <f t="shared" si="357"/>
        <v>E:\PropInv\MF</v>
      </c>
      <c r="K4599" s="103" t="str">
        <f>HYPERLINK("E:\PropInv\MF\Garland\Walnut St W_4362_Country Village TH_Garland_14634","Walnut St W_4362_Country Village TH_Garland_14634" )</f>
        <v>Walnut St W_4362_Country Village TH_Garland_14634</v>
      </c>
      <c r="L4599" s="104" t="s">
        <v>22253</v>
      </c>
      <c r="M4599" s="103" t="str">
        <f t="shared" si="358"/>
        <v>http://oconnordata.com/mlink/modules/profile/index.cfm?action=profile&amp;prop_id=14634</v>
      </c>
      <c r="N4599" s="1">
        <f t="shared" si="359"/>
        <v>14634</v>
      </c>
    </row>
    <row r="4600" spans="1:14" x14ac:dyDescent="0.3">
      <c r="A4600" s="1">
        <v>14635</v>
      </c>
      <c r="B4600" s="7" t="s">
        <v>6993</v>
      </c>
      <c r="C4600" s="12">
        <v>7777</v>
      </c>
      <c r="D4600" s="7" t="s">
        <v>6994</v>
      </c>
      <c r="E4600" s="13" t="s">
        <v>4996</v>
      </c>
      <c r="F4600" t="str">
        <f t="shared" si="355"/>
        <v>McCallum</v>
      </c>
      <c r="G4600" t="str">
        <f t="shared" si="356"/>
        <v>McCallum7777Dallas</v>
      </c>
      <c r="H4600" t="s">
        <v>35457</v>
      </c>
      <c r="I4600" t="s">
        <v>26880</v>
      </c>
      <c r="J4600" t="str">
        <f t="shared" si="357"/>
        <v>E:\PropInv\MF</v>
      </c>
      <c r="K4600" s="103" t="str">
        <f>HYPERLINK("E:\PropInv\MF\Dallas\McCallum Blvd_7777_Courts of McCallum_Dallas_14635","McCallum Blvd_7777_Courts of McCallum_Dallas_14635" )</f>
        <v>McCallum Blvd_7777_Courts of McCallum_Dallas_14635</v>
      </c>
      <c r="L4600" s="104" t="s">
        <v>22253</v>
      </c>
      <c r="M4600" s="103" t="str">
        <f t="shared" si="358"/>
        <v>http://oconnordata.com/mlink/modules/profile/index.cfm?action=profile&amp;prop_id=14635</v>
      </c>
      <c r="N4600" s="1">
        <f t="shared" si="359"/>
        <v>14635</v>
      </c>
    </row>
    <row r="4601" spans="1:14" x14ac:dyDescent="0.3">
      <c r="A4601" s="1">
        <v>14638</v>
      </c>
      <c r="B4601" s="7" t="s">
        <v>6925</v>
      </c>
      <c r="C4601" s="12">
        <v>7117</v>
      </c>
      <c r="D4601" s="7" t="s">
        <v>6995</v>
      </c>
      <c r="E4601" s="13" t="s">
        <v>4996</v>
      </c>
      <c r="F4601" t="str">
        <f t="shared" si="355"/>
        <v>Holly</v>
      </c>
      <c r="G4601" t="str">
        <f t="shared" si="356"/>
        <v>Holly7117Dallas</v>
      </c>
      <c r="H4601" t="s">
        <v>35458</v>
      </c>
      <c r="I4601" t="s">
        <v>26881</v>
      </c>
      <c r="J4601" t="str">
        <f t="shared" si="357"/>
        <v>E:\PropInv\MF</v>
      </c>
      <c r="K4601" s="103" t="str">
        <f>HYPERLINK("E:\PropInv\MF\Dallas\Holly Hill_7117_Park Towne Villas_Dallas_14638","Holly Hill_7117_Park Towne Villas_Dallas_14638" )</f>
        <v>Holly Hill_7117_Park Towne Villas_Dallas_14638</v>
      </c>
      <c r="L4601" s="104" t="s">
        <v>22253</v>
      </c>
      <c r="M4601" s="103" t="str">
        <f t="shared" si="358"/>
        <v>http://oconnordata.com/mlink/modules/profile/index.cfm?action=profile&amp;prop_id=14638</v>
      </c>
      <c r="N4601" s="1">
        <f t="shared" si="359"/>
        <v>14638</v>
      </c>
    </row>
    <row r="4602" spans="1:14" x14ac:dyDescent="0.3">
      <c r="A4602" s="1">
        <v>14639</v>
      </c>
      <c r="B4602" s="7" t="s">
        <v>6996</v>
      </c>
      <c r="C4602" s="12">
        <v>1400</v>
      </c>
      <c r="D4602" s="7" t="s">
        <v>6997</v>
      </c>
      <c r="E4602" s="13" t="s">
        <v>5060</v>
      </c>
      <c r="F4602" t="str">
        <f t="shared" si="355"/>
        <v>Crosby</v>
      </c>
      <c r="G4602" t="str">
        <f t="shared" si="356"/>
        <v>Crosby1400Carrollton</v>
      </c>
      <c r="H4602" t="s">
        <v>35459</v>
      </c>
      <c r="I4602" t="s">
        <v>26882</v>
      </c>
      <c r="J4602" t="str">
        <f t="shared" si="357"/>
        <v>E:\PropInv\MF</v>
      </c>
      <c r="K4602" s="103" t="str">
        <f>HYPERLINK("E:\PropInv\MF\Carrollton\Crosby Rd E_1400_La Sombra_Carrollton_14639","Crosby Rd E_1400_La Sombra_Carrollton_14639" )</f>
        <v>Crosby Rd E_1400_La Sombra_Carrollton_14639</v>
      </c>
      <c r="L4602" s="104" t="s">
        <v>22253</v>
      </c>
      <c r="M4602" s="103" t="str">
        <f t="shared" si="358"/>
        <v>http://oconnordata.com/mlink/modules/profile/index.cfm?action=profile&amp;prop_id=14639</v>
      </c>
      <c r="N4602" s="1">
        <f t="shared" si="359"/>
        <v>14639</v>
      </c>
    </row>
    <row r="4603" spans="1:14" x14ac:dyDescent="0.3">
      <c r="A4603" s="1">
        <v>14640</v>
      </c>
      <c r="B4603" s="7" t="s">
        <v>6998</v>
      </c>
      <c r="C4603" s="12">
        <v>5330</v>
      </c>
      <c r="D4603" s="7" t="s">
        <v>6999</v>
      </c>
      <c r="E4603" s="13" t="s">
        <v>4996</v>
      </c>
      <c r="F4603" t="str">
        <f t="shared" si="355"/>
        <v>Bent</v>
      </c>
      <c r="G4603" t="str">
        <f t="shared" si="356"/>
        <v>Bent5330Dallas</v>
      </c>
      <c r="H4603" t="s">
        <v>35460</v>
      </c>
      <c r="I4603" t="s">
        <v>26883</v>
      </c>
      <c r="J4603" t="str">
        <f t="shared" si="357"/>
        <v>E:\PropInv\MF</v>
      </c>
      <c r="K4603" s="103" t="str">
        <f>HYPERLINK("E:\PropInv\MF\Dallas\Bent Tree Forest Dr_5330_Covington Pointe_Dallas_14640","Bent Tree Forest Dr_5330_Covington Pointe_Dallas_14640" )</f>
        <v>Bent Tree Forest Dr_5330_Covington Pointe_Dallas_14640</v>
      </c>
      <c r="L4603" s="104" t="s">
        <v>22253</v>
      </c>
      <c r="M4603" s="103" t="str">
        <f t="shared" si="358"/>
        <v>http://oconnordata.com/mlink/modules/profile/index.cfm?action=profile&amp;prop_id=14640</v>
      </c>
      <c r="N4603" s="1">
        <f t="shared" si="359"/>
        <v>14640</v>
      </c>
    </row>
    <row r="4604" spans="1:14" x14ac:dyDescent="0.3">
      <c r="A4604" s="1">
        <v>14641</v>
      </c>
      <c r="B4604" s="7" t="s">
        <v>2496</v>
      </c>
      <c r="C4604" s="12">
        <v>651</v>
      </c>
      <c r="D4604" s="7" t="s">
        <v>7000</v>
      </c>
      <c r="E4604" s="13" t="s">
        <v>5009</v>
      </c>
      <c r="F4604" t="str">
        <f t="shared" si="355"/>
        <v>16th</v>
      </c>
      <c r="G4604" t="str">
        <f t="shared" si="356"/>
        <v>16th651Plano</v>
      </c>
      <c r="H4604" t="s">
        <v>35461</v>
      </c>
      <c r="I4604" t="s">
        <v>26884</v>
      </c>
      <c r="J4604" t="str">
        <f t="shared" si="357"/>
        <v>E:\PropInv\MF</v>
      </c>
      <c r="K4604" s="103" t="str">
        <f>HYPERLINK("E:\PropInv\MF\Plano\16th St W_651_Creek Walk_Plano_14641","16th St W_651_Creek Walk_Plano_14641" )</f>
        <v>16th St W_651_Creek Walk_Plano_14641</v>
      </c>
      <c r="L4604" s="104" t="s">
        <v>22253</v>
      </c>
      <c r="M4604" s="103" t="str">
        <f t="shared" si="358"/>
        <v>http://oconnordata.com/mlink/modules/profile/index.cfm?action=profile&amp;prop_id=14641</v>
      </c>
      <c r="N4604" s="1">
        <f t="shared" si="359"/>
        <v>14641</v>
      </c>
    </row>
    <row r="4605" spans="1:14" x14ac:dyDescent="0.3">
      <c r="A4605" s="1">
        <v>14642</v>
      </c>
      <c r="B4605" s="7" t="s">
        <v>6489</v>
      </c>
      <c r="C4605" s="12">
        <v>5680</v>
      </c>
      <c r="D4605" s="7" t="s">
        <v>7001</v>
      </c>
      <c r="E4605" s="13" t="s">
        <v>4996</v>
      </c>
      <c r="F4605" t="str">
        <f t="shared" si="355"/>
        <v>Abrams</v>
      </c>
      <c r="G4605" t="str">
        <f t="shared" si="356"/>
        <v>Abrams5680Dallas</v>
      </c>
      <c r="H4605" t="s">
        <v>35462</v>
      </c>
      <c r="I4605" t="s">
        <v>26885</v>
      </c>
      <c r="J4605" t="str">
        <f t="shared" si="357"/>
        <v>E:\PropInv\MF</v>
      </c>
      <c r="K4605" s="103" t="str">
        <f>HYPERLINK("E:\PropInv\MF\Dallas\Abrams_5680_Lafayette House_Dallas_14642","Abrams_5680_Lafayette House_Dallas_14642" )</f>
        <v>Abrams_5680_Lafayette House_Dallas_14642</v>
      </c>
      <c r="L4605" s="104" t="s">
        <v>22253</v>
      </c>
      <c r="M4605" s="103" t="str">
        <f t="shared" si="358"/>
        <v>http://oconnordata.com/mlink/modules/profile/index.cfm?action=profile&amp;prop_id=14642</v>
      </c>
      <c r="N4605" s="1">
        <f t="shared" si="359"/>
        <v>14642</v>
      </c>
    </row>
    <row r="4606" spans="1:14" x14ac:dyDescent="0.3">
      <c r="A4606" s="1">
        <v>14643</v>
      </c>
      <c r="B4606" s="7" t="s">
        <v>7002</v>
      </c>
      <c r="C4606" s="12">
        <v>5426</v>
      </c>
      <c r="D4606" s="7" t="s">
        <v>7003</v>
      </c>
      <c r="E4606" s="13" t="s">
        <v>4996</v>
      </c>
      <c r="F4606" t="str">
        <f t="shared" si="355"/>
        <v>Meadowcreek</v>
      </c>
      <c r="G4606" t="str">
        <f t="shared" si="356"/>
        <v>Meadowcreek5426Dallas</v>
      </c>
      <c r="H4606" t="s">
        <v>35463</v>
      </c>
      <c r="I4606" t="s">
        <v>26886</v>
      </c>
      <c r="J4606" t="str">
        <f t="shared" si="357"/>
        <v>E:\PropInv\MF</v>
      </c>
      <c r="K4606" s="103" t="str">
        <f>HYPERLINK("E:\PropInv\MF\Dallas\Meadowcreek_5426_Celery Stalk_Dallas_14643","Meadowcreek_5426_Celery Stalk_Dallas_14643" )</f>
        <v>Meadowcreek_5426_Celery Stalk_Dallas_14643</v>
      </c>
      <c r="L4606" s="104" t="s">
        <v>22253</v>
      </c>
      <c r="M4606" s="103" t="str">
        <f t="shared" si="358"/>
        <v>http://oconnordata.com/mlink/modules/profile/index.cfm?action=profile&amp;prop_id=14643</v>
      </c>
      <c r="N4606" s="1">
        <f t="shared" si="359"/>
        <v>14643</v>
      </c>
    </row>
    <row r="4607" spans="1:14" x14ac:dyDescent="0.3">
      <c r="A4607" s="1">
        <v>14644</v>
      </c>
      <c r="B4607" s="7" t="s">
        <v>5906</v>
      </c>
      <c r="C4607" s="12">
        <v>12660</v>
      </c>
      <c r="D4607" s="7" t="s">
        <v>7004</v>
      </c>
      <c r="E4607" s="13" t="s">
        <v>4996</v>
      </c>
      <c r="F4607" t="str">
        <f t="shared" si="355"/>
        <v>Jupiter</v>
      </c>
      <c r="G4607" t="str">
        <f t="shared" si="356"/>
        <v>Jupiter12660Dallas</v>
      </c>
      <c r="H4607" t="s">
        <v>35464</v>
      </c>
      <c r="I4607" t="s">
        <v>26887</v>
      </c>
      <c r="J4607" t="str">
        <f t="shared" si="357"/>
        <v>E:\PropInv\MF</v>
      </c>
      <c r="K4607" s="103" t="str">
        <f>HYPERLINK("E:\PropInv\MF\Dallas\Jupiter Rd_12660_Spring House_Dallas_14644","Jupiter Rd_12660_Spring House_Dallas_14644" )</f>
        <v>Jupiter Rd_12660_Spring House_Dallas_14644</v>
      </c>
      <c r="L4607" s="104" t="s">
        <v>22253</v>
      </c>
      <c r="M4607" s="103" t="str">
        <f t="shared" si="358"/>
        <v>http://oconnordata.com/mlink/modules/profile/index.cfm?action=profile&amp;prop_id=14644</v>
      </c>
      <c r="N4607" s="1">
        <f t="shared" si="359"/>
        <v>14644</v>
      </c>
    </row>
    <row r="4608" spans="1:14" x14ac:dyDescent="0.3">
      <c r="A4608" s="1">
        <v>14645</v>
      </c>
      <c r="B4608" s="7" t="s">
        <v>7005</v>
      </c>
      <c r="C4608" s="12">
        <v>5769</v>
      </c>
      <c r="D4608" s="7" t="s">
        <v>7006</v>
      </c>
      <c r="E4608" s="13" t="s">
        <v>4996</v>
      </c>
      <c r="F4608" t="str">
        <f t="shared" si="355"/>
        <v>Beltline</v>
      </c>
      <c r="G4608" t="str">
        <f t="shared" si="356"/>
        <v>Beltline5769Dallas</v>
      </c>
      <c r="H4608" t="s">
        <v>35465</v>
      </c>
      <c r="I4608" t="s">
        <v>26888</v>
      </c>
      <c r="J4608" t="str">
        <f t="shared" si="357"/>
        <v>E:\PropInv\MF</v>
      </c>
      <c r="K4608" s="103" t="str">
        <f>HYPERLINK("E:\PropInv\MF\Dallas\Beltline_5769_Laguna Terrace_Dallas_14645","Beltline_5769_Laguna Terrace_Dallas_14645" )</f>
        <v>Beltline_5769_Laguna Terrace_Dallas_14645</v>
      </c>
      <c r="L4608" s="104" t="s">
        <v>22253</v>
      </c>
      <c r="M4608" s="103" t="str">
        <f t="shared" si="358"/>
        <v>http://oconnordata.com/mlink/modules/profile/index.cfm?action=profile&amp;prop_id=14645</v>
      </c>
      <c r="N4608" s="1">
        <f t="shared" si="359"/>
        <v>14645</v>
      </c>
    </row>
    <row r="4609" spans="1:14" x14ac:dyDescent="0.3">
      <c r="A4609" s="1">
        <v>14646</v>
      </c>
      <c r="B4609" s="7" t="s">
        <v>7007</v>
      </c>
      <c r="C4609" s="12">
        <v>5665</v>
      </c>
      <c r="D4609" s="7" t="s">
        <v>7008</v>
      </c>
      <c r="E4609" s="13" t="s">
        <v>4996</v>
      </c>
      <c r="F4609" t="str">
        <f t="shared" si="355"/>
        <v>Arapaho</v>
      </c>
      <c r="G4609" t="str">
        <f t="shared" si="356"/>
        <v>Arapaho5665Dallas</v>
      </c>
      <c r="H4609" t="s">
        <v>35466</v>
      </c>
      <c r="I4609" t="s">
        <v>26889</v>
      </c>
      <c r="J4609" t="str">
        <f t="shared" si="357"/>
        <v>E:\PropInv\MF</v>
      </c>
      <c r="K4609" s="103" t="str">
        <f>HYPERLINK("E:\PropInv\MF\Dallas\Arapaho_5665_St. Moritz_Dallas_14646","Arapaho_5665_St. Moritz_Dallas_14646" )</f>
        <v>Arapaho_5665_St. Moritz_Dallas_14646</v>
      </c>
      <c r="L4609" s="104" t="s">
        <v>22253</v>
      </c>
      <c r="M4609" s="103" t="str">
        <f t="shared" si="358"/>
        <v>http://oconnordata.com/mlink/modules/profile/index.cfm?action=profile&amp;prop_id=14646</v>
      </c>
      <c r="N4609" s="1">
        <f t="shared" si="359"/>
        <v>14646</v>
      </c>
    </row>
    <row r="4610" spans="1:14" x14ac:dyDescent="0.3">
      <c r="A4610" s="1">
        <v>14647</v>
      </c>
      <c r="B4610" s="7" t="s">
        <v>7009</v>
      </c>
      <c r="C4610" s="12">
        <v>8205</v>
      </c>
      <c r="D4610" s="7" t="s">
        <v>7010</v>
      </c>
      <c r="E4610" s="13" t="s">
        <v>5009</v>
      </c>
      <c r="F4610" t="str">
        <f t="shared" ref="F4610:F4673" si="360">IFERROR(LEFT(B4610,FIND(" ",B4610)-1),B4610)</f>
        <v>Towne</v>
      </c>
      <c r="G4610" t="str">
        <f t="shared" ref="G4610:G4673" si="361">F4610&amp;C4610&amp;E4610</f>
        <v>Towne8205Plano</v>
      </c>
      <c r="H4610" t="s">
        <v>35467</v>
      </c>
      <c r="I4610" t="s">
        <v>26890</v>
      </c>
      <c r="J4610" t="str">
        <f t="shared" ref="J4610:J4673" si="362">IF(L4610="TX",Folder_Path,Folder_Path&amp;"\State_"&amp;L4610)</f>
        <v>E:\PropInv\MF</v>
      </c>
      <c r="K4610" s="103" t="str">
        <f>HYPERLINK("E:\PropInv\MF\Plano\Towne Maine Dr_8205_The Lincoln at Towne Square_Plano_14647","Towne Maine Dr_8205_The Lincoln at Towne Square_Plano_14647" )</f>
        <v>Towne Maine Dr_8205_The Lincoln at Towne Square_Plano_14647</v>
      </c>
      <c r="L4610" s="104" t="s">
        <v>22253</v>
      </c>
      <c r="M4610" s="103" t="str">
        <f t="shared" ref="M4610:M4673" si="363">HYPERLINK("http://oconnordata.com/mlink/modules/profile/index.cfm?action=profile&amp;prop_id="&amp;A4610)</f>
        <v>http://oconnordata.com/mlink/modules/profile/index.cfm?action=profile&amp;prop_id=14647</v>
      </c>
      <c r="N4610" s="1">
        <f t="shared" ref="N4610:N4673" si="364">IF(LEN(A4610)=1,"0000"&amp;A4610,IF(LEN(A4610)=2,"000"&amp;A4610,IF(LEN(A4610)=3,"00"&amp;A4610,IF(LEN(A4610)=4,"0"&amp;A4610,IF(LEN(A4610)=5,IF(LEFT(A4610,1)="3",A4610+30000,A4610))))))</f>
        <v>14647</v>
      </c>
    </row>
    <row r="4611" spans="1:14" x14ac:dyDescent="0.3">
      <c r="A4611" s="1">
        <v>14648</v>
      </c>
      <c r="B4611" s="7" t="s">
        <v>3983</v>
      </c>
      <c r="C4611" s="12">
        <v>2525</v>
      </c>
      <c r="D4611" s="7" t="s">
        <v>7011</v>
      </c>
      <c r="E4611" s="13" t="s">
        <v>5009</v>
      </c>
      <c r="F4611" t="str">
        <f t="shared" si="360"/>
        <v>Preston</v>
      </c>
      <c r="G4611" t="str">
        <f t="shared" si="361"/>
        <v>Preston2525Plano</v>
      </c>
      <c r="H4611" t="s">
        <v>35468</v>
      </c>
      <c r="I4611" t="s">
        <v>26891</v>
      </c>
      <c r="J4611" t="str">
        <f t="shared" si="362"/>
        <v>E:\PropInv\MF</v>
      </c>
      <c r="K4611" s="103" t="str">
        <f>HYPERLINK("E:\PropInv\MF\Plano\Preston Rd_2525_Madison Willow Bend_Plano_14648","Preston Rd_2525_Madison Willow Bend_Plano_14648" )</f>
        <v>Preston Rd_2525_Madison Willow Bend_Plano_14648</v>
      </c>
      <c r="L4611" s="104" t="s">
        <v>22253</v>
      </c>
      <c r="M4611" s="103" t="str">
        <f t="shared" si="363"/>
        <v>http://oconnordata.com/mlink/modules/profile/index.cfm?action=profile&amp;prop_id=14648</v>
      </c>
      <c r="N4611" s="1">
        <f t="shared" si="364"/>
        <v>14648</v>
      </c>
    </row>
    <row r="4612" spans="1:14" x14ac:dyDescent="0.3">
      <c r="A4612" s="1">
        <v>14649</v>
      </c>
      <c r="B4612" s="7" t="s">
        <v>5444</v>
      </c>
      <c r="C4612" s="12">
        <v>6300</v>
      </c>
      <c r="D4612" s="7" t="s">
        <v>7012</v>
      </c>
      <c r="E4612" s="13" t="s">
        <v>5009</v>
      </c>
      <c r="F4612" t="str">
        <f t="shared" si="360"/>
        <v>Windcrest</v>
      </c>
      <c r="G4612" t="str">
        <f t="shared" si="361"/>
        <v>Windcrest6300Plano</v>
      </c>
      <c r="H4612" t="s">
        <v>35469</v>
      </c>
      <c r="I4612" t="s">
        <v>26892</v>
      </c>
      <c r="J4612" t="str">
        <f t="shared" si="362"/>
        <v>E:\PropInv\MF</v>
      </c>
      <c r="K4612" s="103" t="str">
        <f>HYPERLINK("E:\PropInv\MF\Plano\Windcrest Dr_6300_Creekside Homes in Legacy_Plano_14649","Windcrest Dr_6300_Creekside Homes in Legacy_Plano_14649" )</f>
        <v>Windcrest Dr_6300_Creekside Homes in Legacy_Plano_14649</v>
      </c>
      <c r="L4612" s="104" t="s">
        <v>22253</v>
      </c>
      <c r="M4612" s="103" t="str">
        <f t="shared" si="363"/>
        <v>http://oconnordata.com/mlink/modules/profile/index.cfm?action=profile&amp;prop_id=14649</v>
      </c>
      <c r="N4612" s="1">
        <f t="shared" si="364"/>
        <v>14649</v>
      </c>
    </row>
    <row r="4613" spans="1:14" x14ac:dyDescent="0.3">
      <c r="A4613" s="1">
        <v>14650</v>
      </c>
      <c r="B4613" s="7" t="s">
        <v>3983</v>
      </c>
      <c r="C4613" s="12">
        <v>19251</v>
      </c>
      <c r="D4613" s="7" t="s">
        <v>7013</v>
      </c>
      <c r="E4613" s="13" t="s">
        <v>4996</v>
      </c>
      <c r="F4613" t="str">
        <f t="shared" si="360"/>
        <v>Preston</v>
      </c>
      <c r="G4613" t="str">
        <f t="shared" si="361"/>
        <v>Preston19251Dallas</v>
      </c>
      <c r="H4613" t="s">
        <v>35470</v>
      </c>
      <c r="I4613" t="s">
        <v>26893</v>
      </c>
      <c r="J4613" t="str">
        <f t="shared" si="362"/>
        <v>E:\PropInv\MF</v>
      </c>
      <c r="K4613" s="103" t="str">
        <f>HYPERLINK("E:\PropInv\MF\Dallas\Preston Rd_19251_Lincoln Crossing_Dallas_14650","Preston Rd_19251_Lincoln Crossing_Dallas_14650" )</f>
        <v>Preston Rd_19251_Lincoln Crossing_Dallas_14650</v>
      </c>
      <c r="L4613" s="104" t="s">
        <v>22253</v>
      </c>
      <c r="M4613" s="103" t="str">
        <f t="shared" si="363"/>
        <v>http://oconnordata.com/mlink/modules/profile/index.cfm?action=profile&amp;prop_id=14650</v>
      </c>
      <c r="N4613" s="1">
        <f t="shared" si="364"/>
        <v>14650</v>
      </c>
    </row>
    <row r="4614" spans="1:14" x14ac:dyDescent="0.3">
      <c r="A4614" s="1">
        <v>14651</v>
      </c>
      <c r="B4614" s="7" t="s">
        <v>6977</v>
      </c>
      <c r="C4614" s="12">
        <v>5990</v>
      </c>
      <c r="D4614" s="7" t="s">
        <v>7014</v>
      </c>
      <c r="E4614" s="13" t="s">
        <v>4996</v>
      </c>
      <c r="F4614" t="str">
        <f t="shared" si="360"/>
        <v>Arapaho</v>
      </c>
      <c r="G4614" t="str">
        <f t="shared" si="361"/>
        <v>Arapaho5990Dallas</v>
      </c>
      <c r="H4614" t="s">
        <v>35471</v>
      </c>
      <c r="I4614" t="s">
        <v>26894</v>
      </c>
      <c r="J4614" t="str">
        <f t="shared" si="362"/>
        <v>E:\PropInv\MF</v>
      </c>
      <c r="K4614" s="103" t="str">
        <f>HYPERLINK("E:\PropInv\MF\Dallas\Arapaho Rd_5990_Preston Greens_Dallas_14651","Arapaho Rd_5990_Preston Greens_Dallas_14651" )</f>
        <v>Arapaho Rd_5990_Preston Greens_Dallas_14651</v>
      </c>
      <c r="L4614" s="104" t="s">
        <v>22253</v>
      </c>
      <c r="M4614" s="103" t="str">
        <f t="shared" si="363"/>
        <v>http://oconnordata.com/mlink/modules/profile/index.cfm?action=profile&amp;prop_id=14651</v>
      </c>
      <c r="N4614" s="1">
        <f t="shared" si="364"/>
        <v>14651</v>
      </c>
    </row>
    <row r="4615" spans="1:14" x14ac:dyDescent="0.3">
      <c r="A4615" s="1">
        <v>14652</v>
      </c>
      <c r="B4615" s="7" t="s">
        <v>5403</v>
      </c>
      <c r="C4615" s="12">
        <v>3200</v>
      </c>
      <c r="D4615" s="7" t="s">
        <v>7015</v>
      </c>
      <c r="E4615" s="13" t="s">
        <v>5019</v>
      </c>
      <c r="F4615" t="str">
        <f t="shared" si="360"/>
        <v>Walnut</v>
      </c>
      <c r="G4615" t="str">
        <f t="shared" si="361"/>
        <v>Walnut3200Garland</v>
      </c>
      <c r="H4615" t="s">
        <v>35472</v>
      </c>
      <c r="I4615" t="s">
        <v>26895</v>
      </c>
      <c r="J4615" t="str">
        <f t="shared" si="362"/>
        <v>E:\PropInv\MF</v>
      </c>
      <c r="K4615" s="103" t="str">
        <f>HYPERLINK("E:\PropInv\MF\Garland\Walnut W_3200_Crest Ridge_Garland_14652","Walnut W_3200_Crest Ridge_Garland_14652" )</f>
        <v>Walnut W_3200_Crest Ridge_Garland_14652</v>
      </c>
      <c r="L4615" s="104" t="s">
        <v>22253</v>
      </c>
      <c r="M4615" s="103" t="str">
        <f t="shared" si="363"/>
        <v>http://oconnordata.com/mlink/modules/profile/index.cfm?action=profile&amp;prop_id=14652</v>
      </c>
      <c r="N4615" s="1">
        <f t="shared" si="364"/>
        <v>14652</v>
      </c>
    </row>
    <row r="4616" spans="1:14" x14ac:dyDescent="0.3">
      <c r="A4616" s="1">
        <v>14653</v>
      </c>
      <c r="B4616" s="7" t="s">
        <v>7016</v>
      </c>
      <c r="C4616" s="12">
        <v>2835</v>
      </c>
      <c r="D4616" s="7" t="s">
        <v>7017</v>
      </c>
      <c r="E4616" s="13" t="s">
        <v>5198</v>
      </c>
      <c r="F4616" t="str">
        <f t="shared" si="360"/>
        <v>Villa</v>
      </c>
      <c r="G4616" t="str">
        <f t="shared" si="361"/>
        <v>Villa2835Farmers Branch</v>
      </c>
      <c r="H4616" t="s">
        <v>35473</v>
      </c>
      <c r="I4616" t="s">
        <v>26896</v>
      </c>
      <c r="J4616" t="str">
        <f t="shared" si="362"/>
        <v>E:\PropInv\MF</v>
      </c>
      <c r="K4616" s="103" t="str">
        <f>HYPERLINK("E:\PropInv\MF\Farmers Branch\Villa Creek_2835_London Villa_Farmers Branch_14653","Villa Creek_2835_London Villa_Farmers Branch_14653" )</f>
        <v>Villa Creek_2835_London Villa_Farmers Branch_14653</v>
      </c>
      <c r="L4616" s="104" t="s">
        <v>22253</v>
      </c>
      <c r="M4616" s="103" t="str">
        <f t="shared" si="363"/>
        <v>http://oconnordata.com/mlink/modules/profile/index.cfm?action=profile&amp;prop_id=14653</v>
      </c>
      <c r="N4616" s="1">
        <f t="shared" si="364"/>
        <v>14653</v>
      </c>
    </row>
    <row r="4617" spans="1:14" x14ac:dyDescent="0.3">
      <c r="A4617" s="1">
        <v>14654</v>
      </c>
      <c r="B4617" s="7" t="s">
        <v>6996</v>
      </c>
      <c r="C4617" s="12">
        <v>1300</v>
      </c>
      <c r="D4617" s="7" t="s">
        <v>7018</v>
      </c>
      <c r="E4617" s="13" t="s">
        <v>5060</v>
      </c>
      <c r="F4617" t="str">
        <f t="shared" si="360"/>
        <v>Crosby</v>
      </c>
      <c r="G4617" t="str">
        <f t="shared" si="361"/>
        <v>Crosby1300Carrollton</v>
      </c>
      <c r="H4617" t="s">
        <v>35474</v>
      </c>
      <c r="I4617" t="s">
        <v>26897</v>
      </c>
      <c r="J4617" t="str">
        <f t="shared" si="362"/>
        <v>E:\PropInv\MF</v>
      </c>
      <c r="K4617" s="103" t="str">
        <f>HYPERLINK("E:\PropInv\MF\Carrollton\Crosby Rd E_1300_Crosby Creek_Carrollton_14654","Crosby Rd E_1300_Crosby Creek_Carrollton_14654" )</f>
        <v>Crosby Rd E_1300_Crosby Creek_Carrollton_14654</v>
      </c>
      <c r="L4617" s="104" t="s">
        <v>22253</v>
      </c>
      <c r="M4617" s="103" t="str">
        <f t="shared" si="363"/>
        <v>http://oconnordata.com/mlink/modules/profile/index.cfm?action=profile&amp;prop_id=14654</v>
      </c>
      <c r="N4617" s="1">
        <f t="shared" si="364"/>
        <v>14654</v>
      </c>
    </row>
    <row r="4618" spans="1:14" x14ac:dyDescent="0.3">
      <c r="A4618" s="1">
        <v>14656</v>
      </c>
      <c r="B4618" s="7" t="s">
        <v>5906</v>
      </c>
      <c r="C4618" s="12">
        <v>12800</v>
      </c>
      <c r="D4618" s="7" t="s">
        <v>3435</v>
      </c>
      <c r="E4618" s="13" t="s">
        <v>4996</v>
      </c>
      <c r="F4618" t="str">
        <f t="shared" si="360"/>
        <v>Jupiter</v>
      </c>
      <c r="G4618" t="str">
        <f t="shared" si="361"/>
        <v>Jupiter12800Dallas</v>
      </c>
      <c r="H4618" t="s">
        <v>35475</v>
      </c>
      <c r="I4618" t="s">
        <v>26898</v>
      </c>
      <c r="J4618" t="str">
        <f t="shared" si="362"/>
        <v>E:\PropInv\MF</v>
      </c>
      <c r="K4618" s="103" t="str">
        <f>HYPERLINK("E:\PropInv\MF\Dallas\Jupiter Rd_12800_Madison_Dallas_14656","Jupiter Rd_12800_Madison_Dallas_14656" )</f>
        <v>Jupiter Rd_12800_Madison_Dallas_14656</v>
      </c>
      <c r="L4618" s="104" t="s">
        <v>22253</v>
      </c>
      <c r="M4618" s="103" t="str">
        <f t="shared" si="363"/>
        <v>http://oconnordata.com/mlink/modules/profile/index.cfm?action=profile&amp;prop_id=14656</v>
      </c>
      <c r="N4618" s="1">
        <f t="shared" si="364"/>
        <v>14656</v>
      </c>
    </row>
    <row r="4619" spans="1:14" x14ac:dyDescent="0.3">
      <c r="A4619" s="1">
        <v>14657</v>
      </c>
      <c r="B4619" s="7" t="s">
        <v>5233</v>
      </c>
      <c r="C4619" s="12">
        <v>8111</v>
      </c>
      <c r="D4619" s="7" t="s">
        <v>7019</v>
      </c>
      <c r="E4619" s="13" t="s">
        <v>4996</v>
      </c>
      <c r="F4619" t="str">
        <f t="shared" si="360"/>
        <v>Meadow</v>
      </c>
      <c r="G4619" t="str">
        <f t="shared" si="361"/>
        <v>Meadow8111Dallas</v>
      </c>
      <c r="H4619" t="s">
        <v>35476</v>
      </c>
      <c r="I4619" t="s">
        <v>26899</v>
      </c>
      <c r="J4619" t="str">
        <f t="shared" si="362"/>
        <v>E:\PropInv\MF</v>
      </c>
      <c r="K4619" s="103" t="str">
        <f>HYPERLINK("E:\PropInv\MF\Dallas\Meadow Rd_8111_Central Meadow East_Dallas_14657","Meadow Rd_8111_Central Meadow East_Dallas_14657" )</f>
        <v>Meadow Rd_8111_Central Meadow East_Dallas_14657</v>
      </c>
      <c r="L4619" s="104" t="s">
        <v>22253</v>
      </c>
      <c r="M4619" s="103" t="str">
        <f t="shared" si="363"/>
        <v>http://oconnordata.com/mlink/modules/profile/index.cfm?action=profile&amp;prop_id=14657</v>
      </c>
      <c r="N4619" s="1">
        <f t="shared" si="364"/>
        <v>14657</v>
      </c>
    </row>
    <row r="4620" spans="1:14" x14ac:dyDescent="0.3">
      <c r="A4620" s="1">
        <v>14659</v>
      </c>
      <c r="B4620" s="7" t="s">
        <v>7020</v>
      </c>
      <c r="C4620" s="12">
        <v>5811</v>
      </c>
      <c r="D4620" s="7" t="s">
        <v>7021</v>
      </c>
      <c r="E4620" s="13" t="s">
        <v>4996</v>
      </c>
      <c r="F4620" t="str">
        <f t="shared" si="360"/>
        <v>Beltline</v>
      </c>
      <c r="G4620" t="str">
        <f t="shared" si="361"/>
        <v>Beltline5811Dallas</v>
      </c>
      <c r="H4620" t="s">
        <v>35477</v>
      </c>
      <c r="I4620" t="s">
        <v>26900</v>
      </c>
      <c r="J4620" t="str">
        <f t="shared" si="362"/>
        <v>E:\PropInv\MF</v>
      </c>
      <c r="K4620" s="103" t="str">
        <f>HYPERLINK("E:\PropInv\MF\Dallas\Beltline Rd_5811_Preston Del Norte Condo Apts_Dallas_14659","Beltline Rd_5811_Preston Del Norte Condo Apts_Dallas_14659" )</f>
        <v>Beltline Rd_5811_Preston Del Norte Condo Apts_Dallas_14659</v>
      </c>
      <c r="L4620" s="104" t="s">
        <v>22253</v>
      </c>
      <c r="M4620" s="103" t="str">
        <f t="shared" si="363"/>
        <v>http://oconnordata.com/mlink/modules/profile/index.cfm?action=profile&amp;prop_id=14659</v>
      </c>
      <c r="N4620" s="1">
        <f t="shared" si="364"/>
        <v>14659</v>
      </c>
    </row>
    <row r="4621" spans="1:14" x14ac:dyDescent="0.3">
      <c r="A4621" s="1">
        <v>14661</v>
      </c>
      <c r="B4621" s="7" t="s">
        <v>6444</v>
      </c>
      <c r="C4621" s="12">
        <v>300</v>
      </c>
      <c r="D4621" s="7" t="s">
        <v>7022</v>
      </c>
      <c r="E4621" s="13" t="s">
        <v>5009</v>
      </c>
      <c r="F4621" t="str">
        <f t="shared" si="360"/>
        <v>Legacy</v>
      </c>
      <c r="G4621" t="str">
        <f t="shared" si="361"/>
        <v>Legacy300Plano</v>
      </c>
      <c r="H4621" t="s">
        <v>35478</v>
      </c>
      <c r="I4621" t="s">
        <v>26901</v>
      </c>
      <c r="J4621" t="str">
        <f t="shared" si="362"/>
        <v>E:\PropInv\MF</v>
      </c>
      <c r="K4621" s="103" t="str">
        <f>HYPERLINK("E:\PropInv\MF\Plano\Legacy Dr_300_Saxony at Chase Oaks_Plano_14661","Legacy Dr_300_Saxony at Chase Oaks_Plano_14661" )</f>
        <v>Legacy Dr_300_Saxony at Chase Oaks_Plano_14661</v>
      </c>
      <c r="L4621" s="104" t="s">
        <v>22253</v>
      </c>
      <c r="M4621" s="103" t="str">
        <f t="shared" si="363"/>
        <v>http://oconnordata.com/mlink/modules/profile/index.cfm?action=profile&amp;prop_id=14661</v>
      </c>
      <c r="N4621" s="1">
        <f t="shared" si="364"/>
        <v>14661</v>
      </c>
    </row>
    <row r="4622" spans="1:14" x14ac:dyDescent="0.3">
      <c r="A4622" s="1">
        <v>14662</v>
      </c>
      <c r="B4622" s="7" t="s">
        <v>7023</v>
      </c>
      <c r="C4622" s="12">
        <v>5557</v>
      </c>
      <c r="D4622" s="7" t="s">
        <v>7024</v>
      </c>
      <c r="E4622" s="13" t="s">
        <v>4996</v>
      </c>
      <c r="F4622" t="str">
        <f t="shared" si="360"/>
        <v>Alpha</v>
      </c>
      <c r="G4622" t="str">
        <f t="shared" si="361"/>
        <v>Alpha5557Dallas</v>
      </c>
      <c r="H4622" t="s">
        <v>35479</v>
      </c>
      <c r="I4622" t="s">
        <v>26902</v>
      </c>
      <c r="J4622" t="str">
        <f t="shared" si="362"/>
        <v>E:\PropInv\MF</v>
      </c>
      <c r="K4622" s="103" t="str">
        <f>HYPERLINK("E:\PropInv\MF\Dallas\Alpha Rd_5557_Dallas North_Dallas_14662","Alpha Rd_5557_Dallas North_Dallas_14662" )</f>
        <v>Alpha Rd_5557_Dallas North_Dallas_14662</v>
      </c>
      <c r="L4622" s="104" t="s">
        <v>22253</v>
      </c>
      <c r="M4622" s="103" t="str">
        <f t="shared" si="363"/>
        <v>http://oconnordata.com/mlink/modules/profile/index.cfm?action=profile&amp;prop_id=14662</v>
      </c>
      <c r="N4622" s="1">
        <f t="shared" si="364"/>
        <v>14662</v>
      </c>
    </row>
    <row r="4623" spans="1:14" x14ac:dyDescent="0.3">
      <c r="A4623" s="1">
        <v>14664</v>
      </c>
      <c r="B4623" s="7" t="s">
        <v>3983</v>
      </c>
      <c r="C4623" s="12">
        <v>17601</v>
      </c>
      <c r="D4623" s="7" t="s">
        <v>7025</v>
      </c>
      <c r="E4623" s="13" t="s">
        <v>4996</v>
      </c>
      <c r="F4623" t="str">
        <f t="shared" si="360"/>
        <v>Preston</v>
      </c>
      <c r="G4623" t="str">
        <f t="shared" si="361"/>
        <v>Preston17601Dallas</v>
      </c>
      <c r="H4623" t="s">
        <v>35480</v>
      </c>
      <c r="I4623" t="s">
        <v>26903</v>
      </c>
      <c r="J4623" t="str">
        <f t="shared" si="362"/>
        <v>E:\PropInv\MF</v>
      </c>
      <c r="K4623" s="103" t="str">
        <f>HYPERLINK("E:\PropInv\MF\Dallas\Preston Rd_17601_Preston Villas_Dallas_14664","Preston Rd_17601_Preston Villas_Dallas_14664" )</f>
        <v>Preston Rd_17601_Preston Villas_Dallas_14664</v>
      </c>
      <c r="L4623" s="104" t="s">
        <v>22253</v>
      </c>
      <c r="M4623" s="103" t="str">
        <f t="shared" si="363"/>
        <v>http://oconnordata.com/mlink/modules/profile/index.cfm?action=profile&amp;prop_id=14664</v>
      </c>
      <c r="N4623" s="1">
        <f t="shared" si="364"/>
        <v>14664</v>
      </c>
    </row>
    <row r="4624" spans="1:14" x14ac:dyDescent="0.3">
      <c r="A4624" s="1">
        <v>14665</v>
      </c>
      <c r="B4624" s="7" t="s">
        <v>5753</v>
      </c>
      <c r="C4624" s="12" t="s">
        <v>7026</v>
      </c>
      <c r="D4624" s="29" t="s">
        <v>7027</v>
      </c>
      <c r="E4624" s="13" t="s">
        <v>5060</v>
      </c>
      <c r="F4624" t="str">
        <f t="shared" si="360"/>
        <v>Beltline</v>
      </c>
      <c r="G4624" t="str">
        <f t="shared" si="361"/>
        <v>Beltline1600-1610Carrollton</v>
      </c>
      <c r="H4624" t="s">
        <v>35481</v>
      </c>
      <c r="I4624" t="s">
        <v>26904</v>
      </c>
      <c r="J4624" t="str">
        <f t="shared" si="362"/>
        <v>E:\PropInv\MF</v>
      </c>
      <c r="K4624" s="103" t="str">
        <f>HYPERLINK("E:\PropInv\MF\Carrollton\Beltline Rd E_1600-1610_Carrollton Arms-Del Mar_Carrollton_14665","Beltline Rd E_1600-1610_Carrollton Arms-Del Mar_Carrollton_14665" )</f>
        <v>Beltline Rd E_1600-1610_Carrollton Arms-Del Mar_Carrollton_14665</v>
      </c>
      <c r="L4624" s="104" t="s">
        <v>22253</v>
      </c>
      <c r="M4624" s="103" t="str">
        <f t="shared" si="363"/>
        <v>http://oconnordata.com/mlink/modules/profile/index.cfm?action=profile&amp;prop_id=14665</v>
      </c>
      <c r="N4624" s="1">
        <f t="shared" si="364"/>
        <v>14665</v>
      </c>
    </row>
    <row r="4625" spans="1:14" x14ac:dyDescent="0.3">
      <c r="A4625" s="1">
        <v>14666</v>
      </c>
      <c r="B4625" s="7" t="s">
        <v>6194</v>
      </c>
      <c r="C4625" s="12">
        <v>6069</v>
      </c>
      <c r="D4625" s="7" t="s">
        <v>7028</v>
      </c>
      <c r="E4625" s="13" t="s">
        <v>4996</v>
      </c>
      <c r="F4625" t="str">
        <f t="shared" si="360"/>
        <v>Belt</v>
      </c>
      <c r="G4625" t="str">
        <f t="shared" si="361"/>
        <v>Belt6069Dallas</v>
      </c>
      <c r="H4625" t="s">
        <v>35482</v>
      </c>
      <c r="I4625" t="s">
        <v>26905</v>
      </c>
      <c r="J4625" t="str">
        <f t="shared" si="362"/>
        <v>E:\PropInv\MF</v>
      </c>
      <c r="K4625" s="103" t="str">
        <f>HYPERLINK("E:\PropInv\MF\Dallas\Belt Line Rd_6069_Grand Seasons_Dallas_14666","Belt Line Rd_6069_Grand Seasons_Dallas_14666" )</f>
        <v>Belt Line Rd_6069_Grand Seasons_Dallas_14666</v>
      </c>
      <c r="L4625" s="104" t="s">
        <v>22253</v>
      </c>
      <c r="M4625" s="103" t="str">
        <f t="shared" si="363"/>
        <v>http://oconnordata.com/mlink/modules/profile/index.cfm?action=profile&amp;prop_id=14666</v>
      </c>
      <c r="N4625" s="1">
        <f t="shared" si="364"/>
        <v>14666</v>
      </c>
    </row>
    <row r="4626" spans="1:14" x14ac:dyDescent="0.3">
      <c r="A4626" s="1">
        <v>14667</v>
      </c>
      <c r="B4626" s="7" t="s">
        <v>7029</v>
      </c>
      <c r="C4626" s="12">
        <v>7825</v>
      </c>
      <c r="D4626" s="7" t="s">
        <v>7030</v>
      </c>
      <c r="E4626" s="13" t="s">
        <v>4996</v>
      </c>
      <c r="F4626" t="str">
        <f t="shared" si="360"/>
        <v>McCallum</v>
      </c>
      <c r="G4626" t="str">
        <f t="shared" si="361"/>
        <v>McCallum7825Dallas</v>
      </c>
      <c r="H4626" t="s">
        <v>35483</v>
      </c>
      <c r="I4626" t="s">
        <v>26906</v>
      </c>
      <c r="J4626" t="str">
        <f t="shared" si="362"/>
        <v>E:\PropInv\MF</v>
      </c>
      <c r="K4626" s="103" t="str">
        <f>HYPERLINK("E:\PropInv\MF\Dallas\McCallum_7825_Chatham Court_Dallas_14667","McCallum_7825_Chatham Court_Dallas_14667" )</f>
        <v>McCallum_7825_Chatham Court_Dallas_14667</v>
      </c>
      <c r="L4626" s="104" t="s">
        <v>22253</v>
      </c>
      <c r="M4626" s="103" t="str">
        <f t="shared" si="363"/>
        <v>http://oconnordata.com/mlink/modules/profile/index.cfm?action=profile&amp;prop_id=14667</v>
      </c>
      <c r="N4626" s="1">
        <f t="shared" si="364"/>
        <v>14667</v>
      </c>
    </row>
    <row r="4627" spans="1:14" x14ac:dyDescent="0.3">
      <c r="A4627" s="1">
        <v>14668</v>
      </c>
      <c r="B4627" s="7" t="s">
        <v>7031</v>
      </c>
      <c r="C4627" s="12">
        <v>1130</v>
      </c>
      <c r="D4627" s="7" t="s">
        <v>7032</v>
      </c>
      <c r="E4627" s="13" t="s">
        <v>4996</v>
      </c>
      <c r="F4627" t="str">
        <f t="shared" si="360"/>
        <v>Fuller</v>
      </c>
      <c r="G4627" t="str">
        <f t="shared" si="361"/>
        <v>Fuller1130Dallas</v>
      </c>
      <c r="H4627" t="s">
        <v>35484</v>
      </c>
      <c r="I4627" t="s">
        <v>26907</v>
      </c>
      <c r="J4627" t="str">
        <f t="shared" si="362"/>
        <v>E:\PropInv\MF</v>
      </c>
      <c r="K4627" s="103" t="str">
        <f>HYPERLINK("E:\PropInv\MF\Dallas\Fuller_1130_Casawood_Dallas_14668","Fuller_1130_Casawood_Dallas_14668" )</f>
        <v>Fuller_1130_Casawood_Dallas_14668</v>
      </c>
      <c r="L4627" s="104" t="s">
        <v>22253</v>
      </c>
      <c r="M4627" s="103" t="str">
        <f t="shared" si="363"/>
        <v>http://oconnordata.com/mlink/modules/profile/index.cfm?action=profile&amp;prop_id=14668</v>
      </c>
      <c r="N4627" s="1">
        <f t="shared" si="364"/>
        <v>14668</v>
      </c>
    </row>
    <row r="4628" spans="1:14" x14ac:dyDescent="0.3">
      <c r="A4628" s="1">
        <v>14669</v>
      </c>
      <c r="B4628" s="7" t="s">
        <v>7033</v>
      </c>
      <c r="C4628" s="12">
        <v>18333</v>
      </c>
      <c r="D4628" s="7" t="s">
        <v>7034</v>
      </c>
      <c r="E4628" s="13" t="s">
        <v>4996</v>
      </c>
      <c r="F4628" t="str">
        <f t="shared" si="360"/>
        <v>Roehampton</v>
      </c>
      <c r="G4628" t="str">
        <f t="shared" si="361"/>
        <v>Roehampton18333Dallas</v>
      </c>
      <c r="H4628" t="s">
        <v>35485</v>
      </c>
      <c r="I4628" t="s">
        <v>26908</v>
      </c>
      <c r="J4628" t="str">
        <f t="shared" si="362"/>
        <v>E:\PropInv\MF</v>
      </c>
      <c r="K4628" s="103" t="str">
        <f>HYPERLINK("E:\PropInv\MF\Dallas\Roehampton_18333_Cimarron Court_Dallas_14669","Roehampton_18333_Cimarron Court_Dallas_14669" )</f>
        <v>Roehampton_18333_Cimarron Court_Dallas_14669</v>
      </c>
      <c r="L4628" s="104" t="s">
        <v>22253</v>
      </c>
      <c r="M4628" s="103" t="str">
        <f t="shared" si="363"/>
        <v>http://oconnordata.com/mlink/modules/profile/index.cfm?action=profile&amp;prop_id=14669</v>
      </c>
      <c r="N4628" s="1">
        <f t="shared" si="364"/>
        <v>14669</v>
      </c>
    </row>
    <row r="4629" spans="1:14" x14ac:dyDescent="0.3">
      <c r="A4629" s="1">
        <v>14670</v>
      </c>
      <c r="B4629" s="7" t="s">
        <v>7029</v>
      </c>
      <c r="C4629" s="12">
        <v>7815</v>
      </c>
      <c r="D4629" s="7" t="s">
        <v>7035</v>
      </c>
      <c r="E4629" s="13" t="s">
        <v>4996</v>
      </c>
      <c r="F4629" t="str">
        <f t="shared" si="360"/>
        <v>McCallum</v>
      </c>
      <c r="G4629" t="str">
        <f t="shared" si="361"/>
        <v>McCallum7815Dallas</v>
      </c>
      <c r="H4629" t="s">
        <v>35486</v>
      </c>
      <c r="I4629" t="s">
        <v>26909</v>
      </c>
      <c r="J4629" t="str">
        <f t="shared" si="362"/>
        <v>E:\PropInv\MF</v>
      </c>
      <c r="K4629" s="103" t="str">
        <f>HYPERLINK("E:\PropInv\MF\Dallas\McCallum_7815_Chatham Court Reflections_Dallas_14670","McCallum_7815_Chatham Court Reflections_Dallas_14670" )</f>
        <v>McCallum_7815_Chatham Court Reflections_Dallas_14670</v>
      </c>
      <c r="L4629" s="104" t="s">
        <v>22253</v>
      </c>
      <c r="M4629" s="103" t="str">
        <f t="shared" si="363"/>
        <v>http://oconnordata.com/mlink/modules/profile/index.cfm?action=profile&amp;prop_id=14670</v>
      </c>
      <c r="N4629" s="1">
        <f t="shared" si="364"/>
        <v>14670</v>
      </c>
    </row>
    <row r="4630" spans="1:14" x14ac:dyDescent="0.3">
      <c r="A4630" s="1">
        <v>14671</v>
      </c>
      <c r="B4630" s="7" t="s">
        <v>7036</v>
      </c>
      <c r="C4630" s="12">
        <v>10429</v>
      </c>
      <c r="D4630" s="7" t="s">
        <v>7037</v>
      </c>
      <c r="E4630" s="13" t="s">
        <v>4996</v>
      </c>
      <c r="F4630" t="str">
        <f t="shared" si="360"/>
        <v>Lone</v>
      </c>
      <c r="G4630" t="str">
        <f t="shared" si="361"/>
        <v>Lone10429Dallas</v>
      </c>
      <c r="H4630" t="s">
        <v>35487</v>
      </c>
      <c r="I4630" t="s">
        <v>26910</v>
      </c>
      <c r="J4630" t="str">
        <f t="shared" si="362"/>
        <v>E:\PropInv\MF</v>
      </c>
      <c r="K4630" s="103" t="str">
        <f>HYPERLINK("E:\PropInv\MF\Dallas\Lone Tree Apartment A_10429_Easton Terrace_Dallas_14671","Lone Tree Apartment A_10429_Easton Terrace_Dallas_14671" )</f>
        <v>Lone Tree Apartment A_10429_Easton Terrace_Dallas_14671</v>
      </c>
      <c r="L4630" s="104" t="s">
        <v>22253</v>
      </c>
      <c r="M4630" s="103" t="str">
        <f t="shared" si="363"/>
        <v>http://oconnordata.com/mlink/modules/profile/index.cfm?action=profile&amp;prop_id=14671</v>
      </c>
      <c r="N4630" s="1">
        <f t="shared" si="364"/>
        <v>14671</v>
      </c>
    </row>
    <row r="4631" spans="1:14" x14ac:dyDescent="0.3">
      <c r="A4631" s="1">
        <v>14672</v>
      </c>
      <c r="B4631" s="7" t="s">
        <v>7038</v>
      </c>
      <c r="C4631" s="12">
        <v>18909</v>
      </c>
      <c r="D4631" s="7" t="s">
        <v>7039</v>
      </c>
      <c r="E4631" s="13" t="s">
        <v>4996</v>
      </c>
      <c r="F4631" t="str">
        <f t="shared" si="360"/>
        <v>Lloyd</v>
      </c>
      <c r="G4631" t="str">
        <f t="shared" si="361"/>
        <v>Lloyd18909Dallas</v>
      </c>
      <c r="H4631" t="s">
        <v>35488</v>
      </c>
      <c r="I4631" t="s">
        <v>26911</v>
      </c>
      <c r="J4631" t="str">
        <f t="shared" si="362"/>
        <v>E:\PropInv\MF</v>
      </c>
      <c r="K4631" s="103" t="str">
        <f>HYPERLINK("E:\PropInv\MF\Dallas\Lloyd Cir_18909_Preston Village_Dallas_14672","Lloyd Cir_18909_Preston Village_Dallas_14672" )</f>
        <v>Lloyd Cir_18909_Preston Village_Dallas_14672</v>
      </c>
      <c r="L4631" s="104" t="s">
        <v>22253</v>
      </c>
      <c r="M4631" s="103" t="str">
        <f t="shared" si="363"/>
        <v>http://oconnordata.com/mlink/modules/profile/index.cfm?action=profile&amp;prop_id=14672</v>
      </c>
      <c r="N4631" s="1">
        <f t="shared" si="364"/>
        <v>14672</v>
      </c>
    </row>
    <row r="4632" spans="1:14" x14ac:dyDescent="0.3">
      <c r="A4632" s="1">
        <v>14674</v>
      </c>
      <c r="B4632" s="10" t="s">
        <v>6238</v>
      </c>
      <c r="C4632" s="9">
        <v>10501</v>
      </c>
      <c r="D4632" s="10" t="s">
        <v>7040</v>
      </c>
      <c r="E4632" s="11" t="s">
        <v>4996</v>
      </c>
      <c r="F4632" t="str">
        <f t="shared" si="360"/>
        <v>Steppington</v>
      </c>
      <c r="G4632" t="str">
        <f t="shared" si="361"/>
        <v>Steppington10501Dallas</v>
      </c>
      <c r="H4632" t="s">
        <v>35489</v>
      </c>
      <c r="I4632" t="s">
        <v>26912</v>
      </c>
      <c r="J4632" t="str">
        <f t="shared" si="362"/>
        <v>E:\PropInv\MF</v>
      </c>
      <c r="K4632" s="103" t="str">
        <f>HYPERLINK("E:\PropInv\MF\Dallas\Steppington_10501_Madison Park Apts_Dallas_14674","Steppington_10501_Madison Park Apts_Dallas_14674" )</f>
        <v>Steppington_10501_Madison Park Apts_Dallas_14674</v>
      </c>
      <c r="L4632" s="104" t="s">
        <v>22253</v>
      </c>
      <c r="M4632" s="103" t="str">
        <f t="shared" si="363"/>
        <v>http://oconnordata.com/mlink/modules/profile/index.cfm?action=profile&amp;prop_id=14674</v>
      </c>
      <c r="N4632" s="1">
        <f t="shared" si="364"/>
        <v>14674</v>
      </c>
    </row>
    <row r="4633" spans="1:14" x14ac:dyDescent="0.3">
      <c r="A4633" s="1">
        <v>14675</v>
      </c>
      <c r="B4633" s="7" t="s">
        <v>7041</v>
      </c>
      <c r="C4633" s="12">
        <v>6407</v>
      </c>
      <c r="D4633" s="7" t="s">
        <v>7042</v>
      </c>
      <c r="E4633" s="13" t="s">
        <v>4996</v>
      </c>
      <c r="F4633" t="str">
        <f t="shared" si="360"/>
        <v>Bandera</v>
      </c>
      <c r="G4633" t="str">
        <f t="shared" si="361"/>
        <v>Bandera6407Dallas</v>
      </c>
      <c r="H4633" t="s">
        <v>35490</v>
      </c>
      <c r="I4633" t="s">
        <v>26913</v>
      </c>
      <c r="J4633" t="str">
        <f t="shared" si="362"/>
        <v>E:\PropInv\MF</v>
      </c>
      <c r="K4633" s="103" t="str">
        <f>HYPERLINK("E:\PropInv\MF\Dallas\Bandera #1_6407_Drexel Village_Dallas_14675","Bandera #1_6407_Drexel Village_Dallas_14675" )</f>
        <v>Bandera #1_6407_Drexel Village_Dallas_14675</v>
      </c>
      <c r="L4633" s="104" t="s">
        <v>22253</v>
      </c>
      <c r="M4633" s="103" t="str">
        <f t="shared" si="363"/>
        <v>http://oconnordata.com/mlink/modules/profile/index.cfm?action=profile&amp;prop_id=14675</v>
      </c>
      <c r="N4633" s="1">
        <f t="shared" si="364"/>
        <v>14675</v>
      </c>
    </row>
    <row r="4634" spans="1:14" x14ac:dyDescent="0.3">
      <c r="A4634" s="1">
        <v>14677</v>
      </c>
      <c r="B4634" s="7" t="s">
        <v>7043</v>
      </c>
      <c r="C4634" s="12">
        <v>8629</v>
      </c>
      <c r="D4634" s="7" t="s">
        <v>7042</v>
      </c>
      <c r="E4634" s="13" t="s">
        <v>4996</v>
      </c>
      <c r="F4634" t="str">
        <f t="shared" si="360"/>
        <v>Thackery</v>
      </c>
      <c r="G4634" t="str">
        <f t="shared" si="361"/>
        <v>Thackery8629Dallas</v>
      </c>
      <c r="H4634" t="s">
        <v>35491</v>
      </c>
      <c r="I4634" t="s">
        <v>26914</v>
      </c>
      <c r="J4634" t="str">
        <f t="shared" si="362"/>
        <v>E:\PropInv\MF</v>
      </c>
      <c r="K4634" s="103" t="str">
        <f>HYPERLINK("E:\PropInv\MF\Dallas\Thackery St_8629_Drexel Village_Dallas_14677","Thackery St_8629_Drexel Village_Dallas_14677" )</f>
        <v>Thackery St_8629_Drexel Village_Dallas_14677</v>
      </c>
      <c r="L4634" s="104" t="s">
        <v>22253</v>
      </c>
      <c r="M4634" s="103" t="str">
        <f t="shared" si="363"/>
        <v>http://oconnordata.com/mlink/modules/profile/index.cfm?action=profile&amp;prop_id=14677</v>
      </c>
      <c r="N4634" s="1">
        <f t="shared" si="364"/>
        <v>14677</v>
      </c>
    </row>
    <row r="4635" spans="1:14" x14ac:dyDescent="0.3">
      <c r="A4635" s="1">
        <v>14678</v>
      </c>
      <c r="B4635" s="7" t="s">
        <v>7044</v>
      </c>
      <c r="C4635" s="12">
        <v>17817</v>
      </c>
      <c r="D4635" s="7" t="s">
        <v>783</v>
      </c>
      <c r="E4635" s="13" t="s">
        <v>4996</v>
      </c>
      <c r="F4635" t="str">
        <f t="shared" si="360"/>
        <v>Coit</v>
      </c>
      <c r="G4635" t="str">
        <f t="shared" si="361"/>
        <v>Coit17817Dallas</v>
      </c>
      <c r="H4635" t="s">
        <v>35492</v>
      </c>
      <c r="I4635" t="s">
        <v>26915</v>
      </c>
      <c r="J4635" t="str">
        <f t="shared" si="362"/>
        <v>E:\PropInv\MF</v>
      </c>
      <c r="K4635" s="103" t="str">
        <f>HYPERLINK("E:\PropInv\MF\Dallas\Coit_17817_Mandalay_Dallas_14678","Coit_17817_Mandalay_Dallas_14678" )</f>
        <v>Coit_17817_Mandalay_Dallas_14678</v>
      </c>
      <c r="L4635" s="104" t="s">
        <v>22253</v>
      </c>
      <c r="M4635" s="103" t="str">
        <f t="shared" si="363"/>
        <v>http://oconnordata.com/mlink/modules/profile/index.cfm?action=profile&amp;prop_id=14678</v>
      </c>
      <c r="N4635" s="1">
        <f t="shared" si="364"/>
        <v>14678</v>
      </c>
    </row>
    <row r="4636" spans="1:14" x14ac:dyDescent="0.3">
      <c r="A4636" s="1">
        <v>14680</v>
      </c>
      <c r="B4636" s="7" t="s">
        <v>7045</v>
      </c>
      <c r="C4636" s="12">
        <v>2828</v>
      </c>
      <c r="D4636" s="7" t="s">
        <v>7046</v>
      </c>
      <c r="E4636" s="13" t="s">
        <v>5019</v>
      </c>
      <c r="F4636" t="str">
        <f t="shared" si="360"/>
        <v>Patricia</v>
      </c>
      <c r="G4636" t="str">
        <f t="shared" si="361"/>
        <v>Patricia2828Garland</v>
      </c>
      <c r="H4636" t="s">
        <v>35493</v>
      </c>
      <c r="I4636" t="s">
        <v>26916</v>
      </c>
      <c r="J4636" t="str">
        <f t="shared" si="362"/>
        <v>E:\PropInv\MF</v>
      </c>
      <c r="K4636" s="103" t="str">
        <f>HYPERLINK("E:\PropInv\MF\Garland\Patricia Ln_2828_English Village_Garland_14680","Patricia Ln_2828_English Village_Garland_14680" )</f>
        <v>Patricia Ln_2828_English Village_Garland_14680</v>
      </c>
      <c r="L4636" s="104" t="s">
        <v>22253</v>
      </c>
      <c r="M4636" s="103" t="str">
        <f t="shared" si="363"/>
        <v>http://oconnordata.com/mlink/modules/profile/index.cfm?action=profile&amp;prop_id=14680</v>
      </c>
      <c r="N4636" s="1">
        <f t="shared" si="364"/>
        <v>14680</v>
      </c>
    </row>
    <row r="4637" spans="1:14" x14ac:dyDescent="0.3">
      <c r="A4637" s="1">
        <v>14682</v>
      </c>
      <c r="B4637" s="7" t="s">
        <v>5551</v>
      </c>
      <c r="C4637" s="12">
        <v>15505</v>
      </c>
      <c r="D4637" s="7" t="s">
        <v>7047</v>
      </c>
      <c r="E4637" s="13" t="s">
        <v>4996</v>
      </c>
      <c r="F4637" t="str">
        <f t="shared" si="360"/>
        <v>Hillcrest</v>
      </c>
      <c r="G4637" t="str">
        <f t="shared" si="361"/>
        <v>Hillcrest15505Dallas</v>
      </c>
      <c r="H4637" t="s">
        <v>35494</v>
      </c>
      <c r="I4637" t="s">
        <v>26917</v>
      </c>
      <c r="J4637" t="str">
        <f t="shared" si="362"/>
        <v>E:\PropInv\MF</v>
      </c>
      <c r="K4637" s="103" t="str">
        <f>HYPERLINK("E:\PropInv\MF\Dallas\Hillcrest_15505_Prestonwood Hillcrest_Dallas_14682","Hillcrest_15505_Prestonwood Hillcrest_Dallas_14682" )</f>
        <v>Hillcrest_15505_Prestonwood Hillcrest_Dallas_14682</v>
      </c>
      <c r="L4637" s="104" t="s">
        <v>22253</v>
      </c>
      <c r="M4637" s="103" t="str">
        <f t="shared" si="363"/>
        <v>http://oconnordata.com/mlink/modules/profile/index.cfm?action=profile&amp;prop_id=14682</v>
      </c>
      <c r="N4637" s="1">
        <f t="shared" si="364"/>
        <v>14682</v>
      </c>
    </row>
    <row r="4638" spans="1:14" x14ac:dyDescent="0.3">
      <c r="A4638" s="1">
        <v>14683</v>
      </c>
      <c r="B4638" s="7" t="s">
        <v>5515</v>
      </c>
      <c r="C4638" s="12">
        <v>6104</v>
      </c>
      <c r="D4638" s="7" t="s">
        <v>7048</v>
      </c>
      <c r="E4638" s="13" t="s">
        <v>4996</v>
      </c>
      <c r="F4638" t="str">
        <f t="shared" si="360"/>
        <v>LBJ</v>
      </c>
      <c r="G4638" t="str">
        <f t="shared" si="361"/>
        <v>LBJ6104Dallas</v>
      </c>
      <c r="H4638" t="s">
        <v>35495</v>
      </c>
      <c r="I4638" t="s">
        <v>26918</v>
      </c>
      <c r="J4638" t="str">
        <f t="shared" si="362"/>
        <v>E:\PropInv\MF</v>
      </c>
      <c r="K4638" s="103" t="str">
        <f>HYPERLINK("E:\PropInv\MF\Dallas\LBJ Fwy_6104_Citadel at Preston_Dallas_14683","LBJ Fwy_6104_Citadel at Preston_Dallas_14683" )</f>
        <v>LBJ Fwy_6104_Citadel at Preston_Dallas_14683</v>
      </c>
      <c r="L4638" s="104" t="s">
        <v>22253</v>
      </c>
      <c r="M4638" s="103" t="str">
        <f t="shared" si="363"/>
        <v>http://oconnordata.com/mlink/modules/profile/index.cfm?action=profile&amp;prop_id=14683</v>
      </c>
      <c r="N4638" s="1">
        <f t="shared" si="364"/>
        <v>14683</v>
      </c>
    </row>
    <row r="4639" spans="1:14" x14ac:dyDescent="0.3">
      <c r="A4639" s="1">
        <v>14684</v>
      </c>
      <c r="B4639" s="7" t="s">
        <v>7049</v>
      </c>
      <c r="C4639" s="12">
        <v>1919</v>
      </c>
      <c r="D4639" s="7" t="s">
        <v>7050</v>
      </c>
      <c r="E4639" s="13" t="s">
        <v>5060</v>
      </c>
      <c r="F4639" t="str">
        <f t="shared" si="360"/>
        <v>Walnut</v>
      </c>
      <c r="G4639" t="str">
        <f t="shared" si="361"/>
        <v>Walnut1919Carrollton</v>
      </c>
      <c r="H4639" t="s">
        <v>35496</v>
      </c>
      <c r="I4639" t="s">
        <v>26919</v>
      </c>
      <c r="J4639" t="str">
        <f t="shared" si="362"/>
        <v>E:\PropInv\MF</v>
      </c>
      <c r="K4639" s="103" t="str">
        <f>HYPERLINK("E:\PropInv\MF\Carrollton\Walnut Plaza_1919_Estrada_Carrollton_14684","Walnut Plaza_1919_Estrada_Carrollton_14684" )</f>
        <v>Walnut Plaza_1919_Estrada_Carrollton_14684</v>
      </c>
      <c r="L4639" s="104" t="s">
        <v>22253</v>
      </c>
      <c r="M4639" s="103" t="str">
        <f t="shared" si="363"/>
        <v>http://oconnordata.com/mlink/modules/profile/index.cfm?action=profile&amp;prop_id=14684</v>
      </c>
      <c r="N4639" s="1">
        <f t="shared" si="364"/>
        <v>14684</v>
      </c>
    </row>
    <row r="4640" spans="1:14" x14ac:dyDescent="0.3">
      <c r="A4640" s="1">
        <v>14685</v>
      </c>
      <c r="B4640" s="7" t="s">
        <v>5423</v>
      </c>
      <c r="C4640" s="12">
        <v>9601</v>
      </c>
      <c r="D4640" s="7" t="s">
        <v>7051</v>
      </c>
      <c r="E4640" s="13" t="s">
        <v>5009</v>
      </c>
      <c r="F4640" t="str">
        <f t="shared" si="360"/>
        <v>Custer</v>
      </c>
      <c r="G4640" t="str">
        <f t="shared" si="361"/>
        <v>Custer9601Plano</v>
      </c>
      <c r="H4640" t="s">
        <v>35497</v>
      </c>
      <c r="I4640" t="s">
        <v>26920</v>
      </c>
      <c r="J4640" t="str">
        <f t="shared" si="362"/>
        <v>E:\PropInv\MF</v>
      </c>
      <c r="K4640" s="103" t="str">
        <f>HYPERLINK("E:\PropInv\MF\Plano\Custer_9601_Bella Vida at Ridgeview Country Club_Plano_14685","Custer_9601_Bella Vida at Ridgeview Country Club_Plano_14685" )</f>
        <v>Custer_9601_Bella Vida at Ridgeview Country Club_Plano_14685</v>
      </c>
      <c r="L4640" s="104" t="s">
        <v>22253</v>
      </c>
      <c r="M4640" s="103" t="str">
        <f t="shared" si="363"/>
        <v>http://oconnordata.com/mlink/modules/profile/index.cfm?action=profile&amp;prop_id=14685</v>
      </c>
      <c r="N4640" s="1">
        <f t="shared" si="364"/>
        <v>14685</v>
      </c>
    </row>
    <row r="4641" spans="1:14" x14ac:dyDescent="0.3">
      <c r="A4641" s="1">
        <v>14686</v>
      </c>
      <c r="B4641" s="7" t="s">
        <v>5148</v>
      </c>
      <c r="C4641" s="12">
        <v>5951</v>
      </c>
      <c r="D4641" s="7" t="s">
        <v>7052</v>
      </c>
      <c r="E4641" s="13" t="s">
        <v>4996</v>
      </c>
      <c r="F4641" t="str">
        <f t="shared" si="360"/>
        <v>Melody</v>
      </c>
      <c r="G4641" t="str">
        <f t="shared" si="361"/>
        <v>Melody5951Dallas</v>
      </c>
      <c r="H4641" t="s">
        <v>35498</v>
      </c>
      <c r="I4641" t="s">
        <v>26921</v>
      </c>
      <c r="J4641" t="str">
        <f t="shared" si="362"/>
        <v>E:\PropInv\MF</v>
      </c>
      <c r="K4641" s="103" t="str">
        <f>HYPERLINK("E:\PropInv\MF\Dallas\Melody Ln_5951_Rosemont at Melody Village_Dallas_14686","Melody Ln_5951_Rosemont at Melody Village_Dallas_14686" )</f>
        <v>Melody Ln_5951_Rosemont at Melody Village_Dallas_14686</v>
      </c>
      <c r="L4641" s="104" t="s">
        <v>22253</v>
      </c>
      <c r="M4641" s="103" t="str">
        <f t="shared" si="363"/>
        <v>http://oconnordata.com/mlink/modules/profile/index.cfm?action=profile&amp;prop_id=14686</v>
      </c>
      <c r="N4641" s="1">
        <f t="shared" si="364"/>
        <v>14686</v>
      </c>
    </row>
    <row r="4642" spans="1:14" x14ac:dyDescent="0.3">
      <c r="A4642" s="1">
        <v>14687</v>
      </c>
      <c r="B4642" s="7" t="s">
        <v>7053</v>
      </c>
      <c r="C4642" s="12">
        <v>15905</v>
      </c>
      <c r="D4642" s="7" t="s">
        <v>7054</v>
      </c>
      <c r="E4642" s="13" t="s">
        <v>4996</v>
      </c>
      <c r="F4642" t="str">
        <f t="shared" si="360"/>
        <v>Bent</v>
      </c>
      <c r="G4642" t="str">
        <f t="shared" si="361"/>
        <v>Bent15905Dallas</v>
      </c>
      <c r="H4642" t="s">
        <v>35499</v>
      </c>
      <c r="I4642" t="s">
        <v>26922</v>
      </c>
      <c r="J4642" t="str">
        <f t="shared" si="362"/>
        <v>E:\PropInv\MF</v>
      </c>
      <c r="K4642" s="103" t="str">
        <f>HYPERLINK("E:\PropInv\MF\Dallas\Bent Tree Forest Cir_15905_Fairways of Bent Tree_Dallas_14687","Bent Tree Forest Cir_15905_Fairways of Bent Tree_Dallas_14687" )</f>
        <v>Bent Tree Forest Cir_15905_Fairways of Bent Tree_Dallas_14687</v>
      </c>
      <c r="L4642" s="104" t="s">
        <v>22253</v>
      </c>
      <c r="M4642" s="103" t="str">
        <f t="shared" si="363"/>
        <v>http://oconnordata.com/mlink/modules/profile/index.cfm?action=profile&amp;prop_id=14687</v>
      </c>
      <c r="N4642" s="1">
        <f t="shared" si="364"/>
        <v>14687</v>
      </c>
    </row>
    <row r="4643" spans="1:14" x14ac:dyDescent="0.3">
      <c r="A4643" s="1">
        <v>14688</v>
      </c>
      <c r="B4643" s="7" t="s">
        <v>7007</v>
      </c>
      <c r="C4643" s="12">
        <v>5930</v>
      </c>
      <c r="D4643" s="7" t="s">
        <v>7055</v>
      </c>
      <c r="E4643" s="13" t="s">
        <v>4996</v>
      </c>
      <c r="F4643" t="str">
        <f t="shared" si="360"/>
        <v>Arapaho</v>
      </c>
      <c r="G4643" t="str">
        <f t="shared" si="361"/>
        <v>Arapaho5930Dallas</v>
      </c>
      <c r="H4643" t="s">
        <v>35500</v>
      </c>
      <c r="I4643" t="s">
        <v>26923</v>
      </c>
      <c r="J4643" t="str">
        <f t="shared" si="362"/>
        <v>E:\PropInv\MF</v>
      </c>
      <c r="K4643" s="103" t="str">
        <f>HYPERLINK("E:\PropInv\MF\Dallas\Arapaho_5930_Monaco Parc_Dallas_14688","Arapaho_5930_Monaco Parc_Dallas_14688" )</f>
        <v>Arapaho_5930_Monaco Parc_Dallas_14688</v>
      </c>
      <c r="L4643" s="104" t="s">
        <v>22253</v>
      </c>
      <c r="M4643" s="103" t="str">
        <f t="shared" si="363"/>
        <v>http://oconnordata.com/mlink/modules/profile/index.cfm?action=profile&amp;prop_id=14688</v>
      </c>
      <c r="N4643" s="1">
        <f t="shared" si="364"/>
        <v>14688</v>
      </c>
    </row>
    <row r="4644" spans="1:14" x14ac:dyDescent="0.3">
      <c r="A4644" s="1">
        <v>14690</v>
      </c>
      <c r="B4644" s="7" t="s">
        <v>7056</v>
      </c>
      <c r="C4644" s="12">
        <v>6606</v>
      </c>
      <c r="D4644" s="7" t="s">
        <v>7057</v>
      </c>
      <c r="E4644" s="13" t="s">
        <v>4996</v>
      </c>
      <c r="F4644" t="str">
        <f t="shared" si="360"/>
        <v>Mapleshade</v>
      </c>
      <c r="G4644" t="str">
        <f t="shared" si="361"/>
        <v>Mapleshade6606Dallas</v>
      </c>
      <c r="H4644" t="s">
        <v>35501</v>
      </c>
      <c r="I4644" t="s">
        <v>26924</v>
      </c>
      <c r="J4644" t="str">
        <f t="shared" si="362"/>
        <v>E:\PropInv\MF</v>
      </c>
      <c r="K4644" s="103" t="str">
        <f>HYPERLINK("E:\PropInv\MF\Dallas\Mapleshade Ln_6606_Mapleshade Park_Dallas_14690","Mapleshade Ln_6606_Mapleshade Park_Dallas_14690" )</f>
        <v>Mapleshade Ln_6606_Mapleshade Park_Dallas_14690</v>
      </c>
      <c r="L4644" s="104" t="s">
        <v>22253</v>
      </c>
      <c r="M4644" s="103" t="str">
        <f t="shared" si="363"/>
        <v>http://oconnordata.com/mlink/modules/profile/index.cfm?action=profile&amp;prop_id=14690</v>
      </c>
      <c r="N4644" s="1">
        <f t="shared" si="364"/>
        <v>14690</v>
      </c>
    </row>
    <row r="4645" spans="1:14" x14ac:dyDescent="0.3">
      <c r="A4645" s="1">
        <v>14691</v>
      </c>
      <c r="B4645" s="7" t="s">
        <v>6435</v>
      </c>
      <c r="C4645" s="12">
        <v>6350</v>
      </c>
      <c r="D4645" s="7" t="s">
        <v>7058</v>
      </c>
      <c r="E4645" s="13" t="s">
        <v>4996</v>
      </c>
      <c r="F4645" t="str">
        <f t="shared" si="360"/>
        <v>Keller</v>
      </c>
      <c r="G4645" t="str">
        <f t="shared" si="361"/>
        <v>Keller6350Dallas</v>
      </c>
      <c r="H4645" t="s">
        <v>35502</v>
      </c>
      <c r="I4645" t="s">
        <v>26925</v>
      </c>
      <c r="J4645" t="str">
        <f t="shared" si="362"/>
        <v>E:\PropInv\MF</v>
      </c>
      <c r="K4645" s="103" t="str">
        <f>HYPERLINK("E:\PropInv\MF\Dallas\Keller Springs_6350_Prestonwood Trails_Dallas_14691","Keller Springs_6350_Prestonwood Trails_Dallas_14691" )</f>
        <v>Keller Springs_6350_Prestonwood Trails_Dallas_14691</v>
      </c>
      <c r="L4645" s="104" t="s">
        <v>22253</v>
      </c>
      <c r="M4645" s="103" t="str">
        <f t="shared" si="363"/>
        <v>http://oconnordata.com/mlink/modules/profile/index.cfm?action=profile&amp;prop_id=14691</v>
      </c>
      <c r="N4645" s="1">
        <f t="shared" si="364"/>
        <v>14691</v>
      </c>
    </row>
    <row r="4646" spans="1:14" x14ac:dyDescent="0.3">
      <c r="A4646" s="1">
        <v>14692</v>
      </c>
      <c r="B4646" s="7" t="s">
        <v>7059</v>
      </c>
      <c r="C4646" s="12">
        <v>1214</v>
      </c>
      <c r="D4646" s="7" t="s">
        <v>7060</v>
      </c>
      <c r="E4646" s="13" t="s">
        <v>5019</v>
      </c>
      <c r="F4646" t="str">
        <f t="shared" si="360"/>
        <v>Miller</v>
      </c>
      <c r="G4646" t="str">
        <f t="shared" si="361"/>
        <v>Miller1214Garland</v>
      </c>
      <c r="H4646" t="s">
        <v>35503</v>
      </c>
      <c r="I4646" t="s">
        <v>26926</v>
      </c>
      <c r="J4646" t="str">
        <f t="shared" si="362"/>
        <v>E:\PropInv\MF</v>
      </c>
      <c r="K4646" s="103" t="str">
        <f>HYPERLINK("E:\PropInv\MF\Garland\Miller Rd W_1214_Miller Garden_Garland_14692","Miller Rd W_1214_Miller Garden_Garland_14692" )</f>
        <v>Miller Rd W_1214_Miller Garden_Garland_14692</v>
      </c>
      <c r="L4646" s="104" t="s">
        <v>22253</v>
      </c>
      <c r="M4646" s="103" t="str">
        <f t="shared" si="363"/>
        <v>http://oconnordata.com/mlink/modules/profile/index.cfm?action=profile&amp;prop_id=14692</v>
      </c>
      <c r="N4646" s="1">
        <f t="shared" si="364"/>
        <v>14692</v>
      </c>
    </row>
    <row r="4647" spans="1:14" x14ac:dyDescent="0.3">
      <c r="A4647" s="1">
        <v>14693</v>
      </c>
      <c r="B4647" s="7" t="s">
        <v>7061</v>
      </c>
      <c r="C4647" s="12">
        <v>7795</v>
      </c>
      <c r="D4647" s="7" t="s">
        <v>7062</v>
      </c>
      <c r="E4647" s="13" t="s">
        <v>4996</v>
      </c>
      <c r="F4647" t="str">
        <f t="shared" si="360"/>
        <v>Mccallum</v>
      </c>
      <c r="G4647" t="str">
        <f t="shared" si="361"/>
        <v>Mccallum7795Dallas</v>
      </c>
      <c r="H4647" t="s">
        <v>35504</v>
      </c>
      <c r="I4647" t="s">
        <v>26927</v>
      </c>
      <c r="J4647" t="str">
        <f t="shared" si="362"/>
        <v>E:\PropInv\MF</v>
      </c>
      <c r="K4647" s="103" t="str">
        <f>HYPERLINK("E:\PropInv\MF\Dallas\Mccallum_7795_Mccallum Corners_Dallas_14693","Mccallum_7795_Mccallum Corners_Dallas_14693" )</f>
        <v>Mccallum_7795_Mccallum Corners_Dallas_14693</v>
      </c>
      <c r="L4647" s="104" t="s">
        <v>22253</v>
      </c>
      <c r="M4647" s="103" t="str">
        <f t="shared" si="363"/>
        <v>http://oconnordata.com/mlink/modules/profile/index.cfm?action=profile&amp;prop_id=14693</v>
      </c>
      <c r="N4647" s="1">
        <f t="shared" si="364"/>
        <v>14693</v>
      </c>
    </row>
    <row r="4648" spans="1:14" x14ac:dyDescent="0.3">
      <c r="A4648" s="1">
        <v>14694</v>
      </c>
      <c r="B4648" s="7" t="s">
        <v>5148</v>
      </c>
      <c r="C4648" s="12">
        <v>6415</v>
      </c>
      <c r="D4648" s="7" t="s">
        <v>7063</v>
      </c>
      <c r="E4648" s="13" t="s">
        <v>4996</v>
      </c>
      <c r="F4648" t="str">
        <f t="shared" si="360"/>
        <v>Melody</v>
      </c>
      <c r="G4648" t="str">
        <f t="shared" si="361"/>
        <v>Melody6415Dallas</v>
      </c>
      <c r="H4648" t="s">
        <v>35505</v>
      </c>
      <c r="I4648" t="s">
        <v>26928</v>
      </c>
      <c r="J4648" t="str">
        <f t="shared" si="362"/>
        <v>E:\PropInv\MF</v>
      </c>
      <c r="K4648" s="103" t="str">
        <f>HYPERLINK("E:\PropInv\MF\Dallas\Melody Ln_6415_Quarters_Dallas_14694","Melody Ln_6415_Quarters_Dallas_14694" )</f>
        <v>Melody Ln_6415_Quarters_Dallas_14694</v>
      </c>
      <c r="L4648" s="104" t="s">
        <v>22253</v>
      </c>
      <c r="M4648" s="103" t="str">
        <f t="shared" si="363"/>
        <v>http://oconnordata.com/mlink/modules/profile/index.cfm?action=profile&amp;prop_id=14694</v>
      </c>
      <c r="N4648" s="1">
        <f t="shared" si="364"/>
        <v>14694</v>
      </c>
    </row>
    <row r="4649" spans="1:14" x14ac:dyDescent="0.3">
      <c r="A4649" s="1">
        <v>14695</v>
      </c>
      <c r="B4649" s="7" t="s">
        <v>7064</v>
      </c>
      <c r="C4649" s="12">
        <v>3241</v>
      </c>
      <c r="D4649" s="7" t="s">
        <v>7065</v>
      </c>
      <c r="E4649" s="13" t="s">
        <v>5014</v>
      </c>
      <c r="F4649" t="str">
        <f t="shared" si="360"/>
        <v>Bonnie</v>
      </c>
      <c r="G4649" t="str">
        <f t="shared" si="361"/>
        <v>Bonnie3241Fort Worth</v>
      </c>
      <c r="H4649" t="s">
        <v>35506</v>
      </c>
      <c r="I4649" t="s">
        <v>26929</v>
      </c>
      <c r="J4649" t="str">
        <f t="shared" si="362"/>
        <v>E:\PropInv\MF</v>
      </c>
      <c r="K4649" s="103" t="str">
        <f>HYPERLINK("E:\PropInv\MF\Fort Worth\Bonnie Dr_3241_Bonnie Royal_Fort Worth_14695","Bonnie Dr_3241_Bonnie Royal_Fort Worth_14695" )</f>
        <v>Bonnie Dr_3241_Bonnie Royal_Fort Worth_14695</v>
      </c>
      <c r="L4649" s="104" t="s">
        <v>22253</v>
      </c>
      <c r="M4649" s="103" t="str">
        <f t="shared" si="363"/>
        <v>http://oconnordata.com/mlink/modules/profile/index.cfm?action=profile&amp;prop_id=14695</v>
      </c>
      <c r="N4649" s="1">
        <f t="shared" si="364"/>
        <v>14695</v>
      </c>
    </row>
    <row r="4650" spans="1:14" x14ac:dyDescent="0.3">
      <c r="A4650" s="1">
        <v>14696</v>
      </c>
      <c r="B4650" s="7" t="s">
        <v>7029</v>
      </c>
      <c r="C4650" s="12">
        <v>7720</v>
      </c>
      <c r="D4650" s="7" t="s">
        <v>7066</v>
      </c>
      <c r="E4650" s="13" t="s">
        <v>4996</v>
      </c>
      <c r="F4650" t="str">
        <f t="shared" si="360"/>
        <v>McCallum</v>
      </c>
      <c r="G4650" t="str">
        <f t="shared" si="361"/>
        <v>McCallum7720Dallas</v>
      </c>
      <c r="H4650" t="s">
        <v>35507</v>
      </c>
      <c r="I4650" t="s">
        <v>26930</v>
      </c>
      <c r="J4650" t="str">
        <f t="shared" si="362"/>
        <v>E:\PropInv\MF</v>
      </c>
      <c r="K4650" s="103" t="str">
        <f>HYPERLINK("E:\PropInv\MF\Dallas\McCallum_7720_McCallum Crossings_Dallas_14696","McCallum_7720_McCallum Crossings_Dallas_14696" )</f>
        <v>McCallum_7720_McCallum Crossings_Dallas_14696</v>
      </c>
      <c r="L4650" s="104" t="s">
        <v>22253</v>
      </c>
      <c r="M4650" s="103" t="str">
        <f t="shared" si="363"/>
        <v>http://oconnordata.com/mlink/modules/profile/index.cfm?action=profile&amp;prop_id=14696</v>
      </c>
      <c r="N4650" s="1">
        <f t="shared" si="364"/>
        <v>14696</v>
      </c>
    </row>
    <row r="4651" spans="1:14" x14ac:dyDescent="0.3">
      <c r="A4651" s="1">
        <v>14698</v>
      </c>
      <c r="B4651" s="7" t="s">
        <v>7067</v>
      </c>
      <c r="C4651" s="12">
        <v>4500</v>
      </c>
      <c r="D4651" s="7" t="s">
        <v>7068</v>
      </c>
      <c r="E4651" s="13" t="s">
        <v>5014</v>
      </c>
      <c r="F4651" t="str">
        <f t="shared" si="360"/>
        <v>Campus</v>
      </c>
      <c r="G4651" t="str">
        <f t="shared" si="361"/>
        <v>Campus4500Fort Worth</v>
      </c>
      <c r="H4651" t="s">
        <v>35508</v>
      </c>
      <c r="I4651" t="s">
        <v>26931</v>
      </c>
      <c r="J4651" t="str">
        <f t="shared" si="362"/>
        <v>E:\PropInv\MF</v>
      </c>
      <c r="K4651" s="103" t="str">
        <f>HYPERLINK("E:\PropInv\MF\Fort Worth\Campus Dr_4500_Ladera Palms_Fort Worth_14698","Campus Dr_4500_Ladera Palms_Fort Worth_14698" )</f>
        <v>Campus Dr_4500_Ladera Palms_Fort Worth_14698</v>
      </c>
      <c r="L4651" s="104" t="s">
        <v>22253</v>
      </c>
      <c r="M4651" s="103" t="str">
        <f t="shared" si="363"/>
        <v>http://oconnordata.com/mlink/modules/profile/index.cfm?action=profile&amp;prop_id=14698</v>
      </c>
      <c r="N4651" s="1">
        <f t="shared" si="364"/>
        <v>14698</v>
      </c>
    </row>
    <row r="4652" spans="1:14" x14ac:dyDescent="0.3">
      <c r="A4652" s="1">
        <v>14704</v>
      </c>
      <c r="B4652" s="7" t="s">
        <v>7069</v>
      </c>
      <c r="C4652" s="12">
        <v>925</v>
      </c>
      <c r="D4652" s="7" t="s">
        <v>7070</v>
      </c>
      <c r="E4652" s="13" t="s">
        <v>3328</v>
      </c>
      <c r="F4652" t="str">
        <f t="shared" si="360"/>
        <v>Waterview</v>
      </c>
      <c r="G4652" t="str">
        <f t="shared" si="361"/>
        <v>Waterview925Richardson</v>
      </c>
      <c r="H4652" t="s">
        <v>35509</v>
      </c>
      <c r="I4652" t="s">
        <v>26932</v>
      </c>
      <c r="J4652" t="str">
        <f t="shared" si="362"/>
        <v>E:\PropInv\MF</v>
      </c>
      <c r="K4652" s="103" t="str">
        <f>HYPERLINK("E:\PropInv\MF\Richardson\Waterview S_925_New Orleans_Richardson_14704","Waterview S_925_New Orleans_Richardson_14704" )</f>
        <v>Waterview S_925_New Orleans_Richardson_14704</v>
      </c>
      <c r="L4652" s="104" t="s">
        <v>22253</v>
      </c>
      <c r="M4652" s="103" t="str">
        <f t="shared" si="363"/>
        <v>http://oconnordata.com/mlink/modules/profile/index.cfm?action=profile&amp;prop_id=14704</v>
      </c>
      <c r="N4652" s="1">
        <f t="shared" si="364"/>
        <v>14704</v>
      </c>
    </row>
    <row r="4653" spans="1:14" x14ac:dyDescent="0.3">
      <c r="A4653" s="1">
        <v>14705</v>
      </c>
      <c r="B4653" s="7" t="s">
        <v>6993</v>
      </c>
      <c r="C4653" s="12">
        <v>6565</v>
      </c>
      <c r="D4653" s="7" t="s">
        <v>7071</v>
      </c>
      <c r="E4653" s="13" t="s">
        <v>4996</v>
      </c>
      <c r="F4653" t="str">
        <f t="shared" si="360"/>
        <v>McCallum</v>
      </c>
      <c r="G4653" t="str">
        <f t="shared" si="361"/>
        <v>McCallum6565Dallas</v>
      </c>
      <c r="H4653" t="s">
        <v>35510</v>
      </c>
      <c r="I4653" t="s">
        <v>26933</v>
      </c>
      <c r="J4653" t="str">
        <f t="shared" si="362"/>
        <v>E:\PropInv\MF</v>
      </c>
      <c r="K4653" s="103" t="str">
        <f>HYPERLINK("E:\PropInv\MF\Dallas\McCallum Blvd_6565_McCallum Highlands_Dallas_14705","McCallum Blvd_6565_McCallum Highlands_Dallas_14705" )</f>
        <v>McCallum Blvd_6565_McCallum Highlands_Dallas_14705</v>
      </c>
      <c r="L4653" s="104" t="s">
        <v>22253</v>
      </c>
      <c r="M4653" s="103" t="str">
        <f t="shared" si="363"/>
        <v>http://oconnordata.com/mlink/modules/profile/index.cfm?action=profile&amp;prop_id=14705</v>
      </c>
      <c r="N4653" s="1">
        <f t="shared" si="364"/>
        <v>14705</v>
      </c>
    </row>
    <row r="4654" spans="1:14" x14ac:dyDescent="0.3">
      <c r="A4654" s="1">
        <v>14707</v>
      </c>
      <c r="B4654" s="7" t="s">
        <v>7072</v>
      </c>
      <c r="C4654" s="12">
        <v>2901</v>
      </c>
      <c r="D4654" s="7" t="s">
        <v>7073</v>
      </c>
      <c r="E4654" s="13" t="s">
        <v>5009</v>
      </c>
      <c r="F4654" t="str">
        <f t="shared" si="360"/>
        <v>Ridgeview</v>
      </c>
      <c r="G4654" t="str">
        <f t="shared" si="361"/>
        <v>Ridgeview2901Plano</v>
      </c>
      <c r="H4654" t="s">
        <v>35511</v>
      </c>
      <c r="I4654" t="s">
        <v>26934</v>
      </c>
      <c r="J4654" t="str">
        <f t="shared" si="362"/>
        <v>E:\PropInv\MF</v>
      </c>
      <c r="K4654" s="103" t="str">
        <f>HYPERLINK("E:\PropInv\MF\Plano\Ridgeview_2901_Ranch at Ridgeview_Plano_14707","Ridgeview_2901_Ranch at Ridgeview_Plano_14707" )</f>
        <v>Ridgeview_2901_Ranch at Ridgeview_Plano_14707</v>
      </c>
      <c r="L4654" s="104" t="s">
        <v>22253</v>
      </c>
      <c r="M4654" s="103" t="str">
        <f t="shared" si="363"/>
        <v>http://oconnordata.com/mlink/modules/profile/index.cfm?action=profile&amp;prop_id=14707</v>
      </c>
      <c r="N4654" s="1">
        <f t="shared" si="364"/>
        <v>14707</v>
      </c>
    </row>
    <row r="4655" spans="1:14" x14ac:dyDescent="0.3">
      <c r="A4655" s="1">
        <v>14709</v>
      </c>
      <c r="B4655" s="10" t="s">
        <v>7074</v>
      </c>
      <c r="C4655" s="9">
        <v>402</v>
      </c>
      <c r="D4655" s="10" t="s">
        <v>1079</v>
      </c>
      <c r="E4655" s="11" t="s">
        <v>5019</v>
      </c>
      <c r="F4655" t="str">
        <f t="shared" si="360"/>
        <v>Jupiter</v>
      </c>
      <c r="G4655" t="str">
        <f t="shared" si="361"/>
        <v>Jupiter402Garland</v>
      </c>
      <c r="H4655" t="s">
        <v>35512</v>
      </c>
      <c r="I4655" t="s">
        <v>26935</v>
      </c>
      <c r="J4655" t="str">
        <f t="shared" si="362"/>
        <v>E:\PropInv\MF</v>
      </c>
      <c r="K4655" s="103" t="str">
        <f>HYPERLINK("E:\PropInv\MF\Garland\Jupiter S_402_Forest Glen_Garland_14709","Jupiter S_402_Forest Glen_Garland_14709" )</f>
        <v>Jupiter S_402_Forest Glen_Garland_14709</v>
      </c>
      <c r="L4655" s="104" t="s">
        <v>22253</v>
      </c>
      <c r="M4655" s="103" t="str">
        <f t="shared" si="363"/>
        <v>http://oconnordata.com/mlink/modules/profile/index.cfm?action=profile&amp;prop_id=14709</v>
      </c>
      <c r="N4655" s="1">
        <f t="shared" si="364"/>
        <v>14709</v>
      </c>
    </row>
    <row r="4656" spans="1:14" x14ac:dyDescent="0.3">
      <c r="A4656" s="1">
        <v>14710</v>
      </c>
      <c r="B4656" s="7" t="s">
        <v>6637</v>
      </c>
      <c r="C4656" s="12">
        <v>8925</v>
      </c>
      <c r="D4656" s="7" t="s">
        <v>7075</v>
      </c>
      <c r="E4656" s="13" t="s">
        <v>5014</v>
      </c>
      <c r="F4656" t="str">
        <f t="shared" si="360"/>
        <v>Randol</v>
      </c>
      <c r="G4656" t="str">
        <f t="shared" si="361"/>
        <v>Randol8925Fort Worth</v>
      </c>
      <c r="H4656" t="s">
        <v>35513</v>
      </c>
      <c r="I4656" t="s">
        <v>26936</v>
      </c>
      <c r="J4656" t="str">
        <f t="shared" si="362"/>
        <v>E:\PropInv\MF</v>
      </c>
      <c r="K4656" s="103" t="str">
        <f>HYPERLINK("E:\PropInv\MF\Fort Worth\Randol Mill Rd_8925_La Jolla Ridge_Fort Worth_14710","Randol Mill Rd_8925_La Jolla Ridge_Fort Worth_14710" )</f>
        <v>Randol Mill Rd_8925_La Jolla Ridge_Fort Worth_14710</v>
      </c>
      <c r="L4656" s="104" t="s">
        <v>22253</v>
      </c>
      <c r="M4656" s="103" t="str">
        <f t="shared" si="363"/>
        <v>http://oconnordata.com/mlink/modules/profile/index.cfm?action=profile&amp;prop_id=14710</v>
      </c>
      <c r="N4656" s="1">
        <f t="shared" si="364"/>
        <v>14710</v>
      </c>
    </row>
    <row r="4657" spans="1:14" x14ac:dyDescent="0.3">
      <c r="A4657" s="1">
        <v>14711</v>
      </c>
      <c r="B4657" s="7" t="s">
        <v>6993</v>
      </c>
      <c r="C4657" s="12">
        <v>7760</v>
      </c>
      <c r="D4657" s="7" t="s">
        <v>7076</v>
      </c>
      <c r="E4657" s="13" t="s">
        <v>4996</v>
      </c>
      <c r="F4657" t="str">
        <f t="shared" si="360"/>
        <v>McCallum</v>
      </c>
      <c r="G4657" t="str">
        <f t="shared" si="361"/>
        <v>McCallum7760Dallas</v>
      </c>
      <c r="H4657" t="s">
        <v>35514</v>
      </c>
      <c r="I4657" t="s">
        <v>26937</v>
      </c>
      <c r="J4657" t="str">
        <f t="shared" si="362"/>
        <v>E:\PropInv\MF</v>
      </c>
      <c r="K4657" s="103" t="str">
        <f>HYPERLINK("E:\PropInv\MF\Dallas\McCallum Blvd_7760_McCallum Meadows_Dallas_14711","McCallum Blvd_7760_McCallum Meadows_Dallas_14711" )</f>
        <v>McCallum Blvd_7760_McCallum Meadows_Dallas_14711</v>
      </c>
      <c r="L4657" s="104" t="s">
        <v>22253</v>
      </c>
      <c r="M4657" s="103" t="str">
        <f t="shared" si="363"/>
        <v>http://oconnordata.com/mlink/modules/profile/index.cfm?action=profile&amp;prop_id=14711</v>
      </c>
      <c r="N4657" s="1">
        <f t="shared" si="364"/>
        <v>14711</v>
      </c>
    </row>
    <row r="4658" spans="1:14" x14ac:dyDescent="0.3">
      <c r="A4658" s="1">
        <v>14712</v>
      </c>
      <c r="B4658" s="7" t="s">
        <v>5399</v>
      </c>
      <c r="C4658" s="12">
        <v>11434</v>
      </c>
      <c r="D4658" s="7" t="s">
        <v>7077</v>
      </c>
      <c r="E4658" s="13" t="s">
        <v>4996</v>
      </c>
      <c r="F4658" t="str">
        <f t="shared" si="360"/>
        <v>Woodmeadow</v>
      </c>
      <c r="G4658" t="str">
        <f t="shared" si="361"/>
        <v>Woodmeadow11434Dallas</v>
      </c>
      <c r="H4658" t="s">
        <v>35515</v>
      </c>
      <c r="I4658" t="s">
        <v>26938</v>
      </c>
      <c r="J4658" t="str">
        <f t="shared" si="362"/>
        <v>E:\PropInv\MF</v>
      </c>
      <c r="K4658" s="103" t="str">
        <f>HYPERLINK("E:\PropInv\MF\Dallas\Woodmeadow Pkwy_11434_New World_Dallas_14712","Woodmeadow Pkwy_11434_New World_Dallas_14712" )</f>
        <v>Woodmeadow Pkwy_11434_New World_Dallas_14712</v>
      </c>
      <c r="L4658" s="104" t="s">
        <v>22253</v>
      </c>
      <c r="M4658" s="103" t="str">
        <f t="shared" si="363"/>
        <v>http://oconnordata.com/mlink/modules/profile/index.cfm?action=profile&amp;prop_id=14712</v>
      </c>
      <c r="N4658" s="1">
        <f t="shared" si="364"/>
        <v>14712</v>
      </c>
    </row>
    <row r="4659" spans="1:14" x14ac:dyDescent="0.3">
      <c r="A4659" s="1">
        <v>14713</v>
      </c>
      <c r="B4659" s="7" t="s">
        <v>6637</v>
      </c>
      <c r="C4659" s="12">
        <v>8900</v>
      </c>
      <c r="D4659" s="7" t="s">
        <v>7078</v>
      </c>
      <c r="E4659" s="13" t="s">
        <v>5014</v>
      </c>
      <c r="F4659" t="str">
        <f t="shared" si="360"/>
        <v>Randol</v>
      </c>
      <c r="G4659" t="str">
        <f t="shared" si="361"/>
        <v>Randol8900Fort Worth</v>
      </c>
      <c r="H4659" t="s">
        <v>35516</v>
      </c>
      <c r="I4659" t="s">
        <v>26939</v>
      </c>
      <c r="J4659" t="str">
        <f t="shared" si="362"/>
        <v>E:\PropInv\MF</v>
      </c>
      <c r="K4659" s="103" t="str">
        <f>HYPERLINK("E:\PropInv\MF\Fort Worth\Randol Mill Rd_8900_La Jolla Terrace_Fort Worth_14713","Randol Mill Rd_8900_La Jolla Terrace_Fort Worth_14713" )</f>
        <v>Randol Mill Rd_8900_La Jolla Terrace_Fort Worth_14713</v>
      </c>
      <c r="L4659" s="104" t="s">
        <v>22253</v>
      </c>
      <c r="M4659" s="103" t="str">
        <f t="shared" si="363"/>
        <v>http://oconnordata.com/mlink/modules/profile/index.cfm?action=profile&amp;prop_id=14713</v>
      </c>
      <c r="N4659" s="1">
        <f t="shared" si="364"/>
        <v>14713</v>
      </c>
    </row>
    <row r="4660" spans="1:14" x14ac:dyDescent="0.3">
      <c r="A4660" s="1">
        <v>14714</v>
      </c>
      <c r="B4660" s="7" t="s">
        <v>7079</v>
      </c>
      <c r="C4660" s="12">
        <v>17708</v>
      </c>
      <c r="D4660" s="7" t="s">
        <v>7080</v>
      </c>
      <c r="E4660" s="13" t="s">
        <v>4996</v>
      </c>
      <c r="F4660" t="str">
        <f t="shared" si="360"/>
        <v>Dickerson</v>
      </c>
      <c r="G4660" t="str">
        <f t="shared" si="361"/>
        <v>Dickerson17708Dallas</v>
      </c>
      <c r="H4660" t="s">
        <v>35517</v>
      </c>
      <c r="I4660" t="s">
        <v>26940</v>
      </c>
      <c r="J4660" t="str">
        <f t="shared" si="362"/>
        <v>E:\PropInv\MF</v>
      </c>
      <c r="K4660" s="103" t="str">
        <f>HYPERLINK("E:\PropInv\MF\Dallas\Dickerson_17708_Mccallum Oaks_Dallas_14714","Dickerson_17708_Mccallum Oaks_Dallas_14714" )</f>
        <v>Dickerson_17708_Mccallum Oaks_Dallas_14714</v>
      </c>
      <c r="L4660" s="104" t="s">
        <v>22253</v>
      </c>
      <c r="M4660" s="103" t="str">
        <f t="shared" si="363"/>
        <v>http://oconnordata.com/mlink/modules/profile/index.cfm?action=profile&amp;prop_id=14714</v>
      </c>
      <c r="N4660" s="1">
        <f t="shared" si="364"/>
        <v>14714</v>
      </c>
    </row>
    <row r="4661" spans="1:14" x14ac:dyDescent="0.3">
      <c r="A4661" s="1">
        <v>14716</v>
      </c>
      <c r="B4661" s="7" t="s">
        <v>5994</v>
      </c>
      <c r="C4661" s="12">
        <v>10850</v>
      </c>
      <c r="D4661" s="7" t="s">
        <v>7081</v>
      </c>
      <c r="E4661" s="13" t="s">
        <v>4996</v>
      </c>
      <c r="F4661" t="str">
        <f t="shared" si="360"/>
        <v>Kingsley</v>
      </c>
      <c r="G4661" t="str">
        <f t="shared" si="361"/>
        <v>Kingsley10850Dallas</v>
      </c>
      <c r="H4661" t="s">
        <v>35518</v>
      </c>
      <c r="I4661" t="s">
        <v>26941</v>
      </c>
      <c r="J4661" t="str">
        <f t="shared" si="362"/>
        <v>E:\PropInv\MF</v>
      </c>
      <c r="K4661" s="103" t="str">
        <f>HYPERLINK("E:\PropInv\MF\Dallas\Kingsley_10850_Newport Landing_Dallas_14716","Kingsley_10850_Newport Landing_Dallas_14716" )</f>
        <v>Kingsley_10850_Newport Landing_Dallas_14716</v>
      </c>
      <c r="L4661" s="104" t="s">
        <v>22253</v>
      </c>
      <c r="M4661" s="103" t="str">
        <f t="shared" si="363"/>
        <v>http://oconnordata.com/mlink/modules/profile/index.cfm?action=profile&amp;prop_id=14716</v>
      </c>
      <c r="N4661" s="1">
        <f t="shared" si="364"/>
        <v>14716</v>
      </c>
    </row>
    <row r="4662" spans="1:14" x14ac:dyDescent="0.3">
      <c r="A4662" s="1">
        <v>14717</v>
      </c>
      <c r="B4662" s="7" t="s">
        <v>6548</v>
      </c>
      <c r="C4662" s="12">
        <v>6822</v>
      </c>
      <c r="D4662" s="7" t="s">
        <v>7082</v>
      </c>
      <c r="E4662" s="13" t="s">
        <v>5014</v>
      </c>
      <c r="F4662" t="str">
        <f t="shared" si="360"/>
        <v>Hulen</v>
      </c>
      <c r="G4662" t="str">
        <f t="shared" si="361"/>
        <v>Hulen6822Fort Worth</v>
      </c>
      <c r="H4662" t="s">
        <v>35519</v>
      </c>
      <c r="I4662" t="s">
        <v>26942</v>
      </c>
      <c r="J4662" t="str">
        <f t="shared" si="362"/>
        <v>E:\PropInv\MF</v>
      </c>
      <c r="K4662" s="103" t="str">
        <f>HYPERLINK("E:\PropInv\MF\Fort Worth\Hulen S_6822_Candle Chase_Fort Worth_14717","Hulen S_6822_Candle Chase_Fort Worth_14717" )</f>
        <v>Hulen S_6822_Candle Chase_Fort Worth_14717</v>
      </c>
      <c r="L4662" s="104" t="s">
        <v>22253</v>
      </c>
      <c r="M4662" s="103" t="str">
        <f t="shared" si="363"/>
        <v>http://oconnordata.com/mlink/modules/profile/index.cfm?action=profile&amp;prop_id=14717</v>
      </c>
      <c r="N4662" s="1">
        <f t="shared" si="364"/>
        <v>14717</v>
      </c>
    </row>
    <row r="4663" spans="1:14" x14ac:dyDescent="0.3">
      <c r="A4663" s="1">
        <v>14718</v>
      </c>
      <c r="B4663" s="7" t="s">
        <v>6993</v>
      </c>
      <c r="C4663" s="12">
        <v>7650</v>
      </c>
      <c r="D4663" s="7" t="s">
        <v>7083</v>
      </c>
      <c r="E4663" s="13" t="s">
        <v>4996</v>
      </c>
      <c r="F4663" t="str">
        <f t="shared" si="360"/>
        <v>McCallum</v>
      </c>
      <c r="G4663" t="str">
        <f t="shared" si="361"/>
        <v>McCallum7650Dallas</v>
      </c>
      <c r="H4663" t="s">
        <v>35520</v>
      </c>
      <c r="I4663" t="s">
        <v>26943</v>
      </c>
      <c r="J4663" t="str">
        <f t="shared" si="362"/>
        <v>E:\PropInv\MF</v>
      </c>
      <c r="K4663" s="103" t="str">
        <f>HYPERLINK("E:\PropInv\MF\Dallas\McCallum Blvd_7650_Ashwood Park Apts_Dallas_14718","McCallum Blvd_7650_Ashwood Park Apts_Dallas_14718" )</f>
        <v>McCallum Blvd_7650_Ashwood Park Apts_Dallas_14718</v>
      </c>
      <c r="L4663" s="104" t="s">
        <v>22253</v>
      </c>
      <c r="M4663" s="103" t="str">
        <f t="shared" si="363"/>
        <v>http://oconnordata.com/mlink/modules/profile/index.cfm?action=profile&amp;prop_id=14718</v>
      </c>
      <c r="N4663" s="1">
        <f t="shared" si="364"/>
        <v>14718</v>
      </c>
    </row>
    <row r="4664" spans="1:14" x14ac:dyDescent="0.3">
      <c r="A4664" s="1">
        <v>14723</v>
      </c>
      <c r="B4664" s="7" t="s">
        <v>6740</v>
      </c>
      <c r="C4664" s="12">
        <v>2751</v>
      </c>
      <c r="D4664" s="7" t="s">
        <v>7084</v>
      </c>
      <c r="E4664" s="13" t="s">
        <v>5014</v>
      </c>
      <c r="F4664" t="str">
        <f t="shared" si="360"/>
        <v>River</v>
      </c>
      <c r="G4664" t="str">
        <f t="shared" si="361"/>
        <v>River2751Fort Worth</v>
      </c>
      <c r="H4664" t="s">
        <v>35521</v>
      </c>
      <c r="I4664" t="s">
        <v>26944</v>
      </c>
      <c r="J4664" t="str">
        <f t="shared" si="362"/>
        <v>E:\PropInv\MF</v>
      </c>
      <c r="K4664" s="103" t="str">
        <f>HYPERLINK("E:\PropInv\MF\Fort Worth\River Park Dr_2751_The Canyons_Fort Worth_14723","River Park Dr_2751_The Canyons_Fort Worth_14723" )</f>
        <v>River Park Dr_2751_The Canyons_Fort Worth_14723</v>
      </c>
      <c r="L4664" s="104" t="s">
        <v>22253</v>
      </c>
      <c r="M4664" s="103" t="str">
        <f t="shared" si="363"/>
        <v>http://oconnordata.com/mlink/modules/profile/index.cfm?action=profile&amp;prop_id=14723</v>
      </c>
      <c r="N4664" s="1">
        <f t="shared" si="364"/>
        <v>14723</v>
      </c>
    </row>
    <row r="4665" spans="1:14" x14ac:dyDescent="0.3">
      <c r="A4665" s="1">
        <v>14724</v>
      </c>
      <c r="B4665" s="7" t="s">
        <v>7085</v>
      </c>
      <c r="C4665" s="12">
        <v>518</v>
      </c>
      <c r="D4665" s="7" t="s">
        <v>2074</v>
      </c>
      <c r="E4665" s="13" t="s">
        <v>5019</v>
      </c>
      <c r="F4665" t="str">
        <f t="shared" si="360"/>
        <v>Tacoma</v>
      </c>
      <c r="G4665" t="str">
        <f t="shared" si="361"/>
        <v>Tacoma518Garland</v>
      </c>
      <c r="H4665" t="s">
        <v>35522</v>
      </c>
      <c r="I4665" t="s">
        <v>26945</v>
      </c>
      <c r="J4665" t="str">
        <f t="shared" si="362"/>
        <v>E:\PropInv\MF</v>
      </c>
      <c r="K4665" s="103" t="str">
        <f>HYPERLINK("E:\PropInv\MF\Garland\Tacoma_518_Meadow Creek_Garland_14724","Tacoma_518_Meadow Creek_Garland_14724" )</f>
        <v>Tacoma_518_Meadow Creek_Garland_14724</v>
      </c>
      <c r="L4665" s="104" t="s">
        <v>22253</v>
      </c>
      <c r="M4665" s="103" t="str">
        <f t="shared" si="363"/>
        <v>http://oconnordata.com/mlink/modules/profile/index.cfm?action=profile&amp;prop_id=14724</v>
      </c>
      <c r="N4665" s="1">
        <f t="shared" si="364"/>
        <v>14724</v>
      </c>
    </row>
    <row r="4666" spans="1:14" x14ac:dyDescent="0.3">
      <c r="A4666" s="1">
        <v>14725</v>
      </c>
      <c r="B4666" s="7" t="s">
        <v>6892</v>
      </c>
      <c r="C4666" s="12">
        <v>7204</v>
      </c>
      <c r="D4666" s="7" t="s">
        <v>7086</v>
      </c>
      <c r="E4666" s="13" t="s">
        <v>4996</v>
      </c>
      <c r="F4666" t="str">
        <f t="shared" si="360"/>
        <v>Gaston</v>
      </c>
      <c r="G4666" t="str">
        <f t="shared" si="361"/>
        <v>Gaston7204Dallas</v>
      </c>
      <c r="H4666" t="s">
        <v>35523</v>
      </c>
      <c r="I4666" t="s">
        <v>26946</v>
      </c>
      <c r="J4666" t="str">
        <f t="shared" si="362"/>
        <v>E:\PropInv\MF</v>
      </c>
      <c r="K4666" s="103" t="str">
        <f>HYPERLINK("E:\PropInv\MF\Dallas\Gaston Ave_7204_7204 Gaston_Dallas_14725","Gaston Ave_7204_7204 Gaston_Dallas_14725" )</f>
        <v>Gaston Ave_7204_7204 Gaston_Dallas_14725</v>
      </c>
      <c r="L4666" s="104" t="s">
        <v>22253</v>
      </c>
      <c r="M4666" s="103" t="str">
        <f t="shared" si="363"/>
        <v>http://oconnordata.com/mlink/modules/profile/index.cfm?action=profile&amp;prop_id=14725</v>
      </c>
      <c r="N4666" s="1">
        <f t="shared" si="364"/>
        <v>14725</v>
      </c>
    </row>
    <row r="4667" spans="1:14" x14ac:dyDescent="0.3">
      <c r="A4667" s="1">
        <v>14726</v>
      </c>
      <c r="B4667" s="7" t="s">
        <v>5453</v>
      </c>
      <c r="C4667" s="12">
        <v>4200</v>
      </c>
      <c r="D4667" s="7" t="s">
        <v>7087</v>
      </c>
      <c r="E4667" s="13" t="s">
        <v>5046</v>
      </c>
      <c r="F4667" t="str">
        <f t="shared" si="360"/>
        <v>Northgate</v>
      </c>
      <c r="G4667" t="str">
        <f t="shared" si="361"/>
        <v>Northgate4200Irving</v>
      </c>
      <c r="H4667" t="s">
        <v>35524</v>
      </c>
      <c r="I4667" t="s">
        <v>26947</v>
      </c>
      <c r="J4667" t="str">
        <f t="shared" si="362"/>
        <v>E:\PropInv\MF</v>
      </c>
      <c r="K4667" s="103" t="str">
        <f>HYPERLINK("E:\PropInv\MF\Irving\Northgate Dr W_4200_Burn Brae_Irving_14726","Northgate Dr W_4200_Burn Brae_Irving_14726" )</f>
        <v>Northgate Dr W_4200_Burn Brae_Irving_14726</v>
      </c>
      <c r="L4667" s="104" t="s">
        <v>22253</v>
      </c>
      <c r="M4667" s="103" t="str">
        <f t="shared" si="363"/>
        <v>http://oconnordata.com/mlink/modules/profile/index.cfm?action=profile&amp;prop_id=14726</v>
      </c>
      <c r="N4667" s="1">
        <f t="shared" si="364"/>
        <v>14726</v>
      </c>
    </row>
    <row r="4668" spans="1:14" x14ac:dyDescent="0.3">
      <c r="A4668" s="1">
        <v>14728</v>
      </c>
      <c r="B4668" s="7" t="s">
        <v>5238</v>
      </c>
      <c r="C4668" s="12">
        <v>14000</v>
      </c>
      <c r="D4668" s="7" t="s">
        <v>7088</v>
      </c>
      <c r="E4668" s="13" t="s">
        <v>4996</v>
      </c>
      <c r="F4668" t="str">
        <f t="shared" si="360"/>
        <v>Maham</v>
      </c>
      <c r="G4668" t="str">
        <f t="shared" si="361"/>
        <v>Maham14000Dallas</v>
      </c>
      <c r="H4668" t="s">
        <v>35525</v>
      </c>
      <c r="I4668" t="s">
        <v>26948</v>
      </c>
      <c r="J4668" t="str">
        <f t="shared" si="362"/>
        <v>E:\PropInv\MF</v>
      </c>
      <c r="K4668" s="103" t="str">
        <f>HYPERLINK("E:\PropInv\MF\Dallas\Maham_14000_Teruko Springs_Dallas_14728","Maham_14000_Teruko Springs_Dallas_14728" )</f>
        <v>Maham_14000_Teruko Springs_Dallas_14728</v>
      </c>
      <c r="L4668" s="104" t="s">
        <v>22253</v>
      </c>
      <c r="M4668" s="103" t="str">
        <f t="shared" si="363"/>
        <v>http://oconnordata.com/mlink/modules/profile/index.cfm?action=profile&amp;prop_id=14728</v>
      </c>
      <c r="N4668" s="1">
        <f t="shared" si="364"/>
        <v>14728</v>
      </c>
    </row>
    <row r="4669" spans="1:14" x14ac:dyDescent="0.3">
      <c r="A4669" s="1">
        <v>14731</v>
      </c>
      <c r="B4669" s="7" t="s">
        <v>5407</v>
      </c>
      <c r="C4669" s="12">
        <v>901</v>
      </c>
      <c r="D4669" s="7" t="s">
        <v>7089</v>
      </c>
      <c r="E4669" s="13" t="s">
        <v>4996</v>
      </c>
      <c r="F4669" t="str">
        <f t="shared" si="360"/>
        <v>Cedar</v>
      </c>
      <c r="G4669" t="str">
        <f t="shared" si="361"/>
        <v>Cedar901Dallas</v>
      </c>
      <c r="H4669" t="s">
        <v>35526</v>
      </c>
      <c r="I4669" t="s">
        <v>26949</v>
      </c>
      <c r="J4669" t="str">
        <f t="shared" si="362"/>
        <v>E:\PropInv\MF</v>
      </c>
      <c r="K4669" s="103" t="str">
        <f>HYPERLINK("E:\PropInv\MF\Dallas\Cedar Hill_901_Cedar Oak_Dallas_14731","Cedar Hill_901_Cedar Oak_Dallas_14731" )</f>
        <v>Cedar Hill_901_Cedar Oak_Dallas_14731</v>
      </c>
      <c r="L4669" s="104" t="s">
        <v>22253</v>
      </c>
      <c r="M4669" s="103" t="str">
        <f t="shared" si="363"/>
        <v>http://oconnordata.com/mlink/modules/profile/index.cfm?action=profile&amp;prop_id=14731</v>
      </c>
      <c r="N4669" s="1">
        <f t="shared" si="364"/>
        <v>14731</v>
      </c>
    </row>
    <row r="4670" spans="1:14" x14ac:dyDescent="0.3">
      <c r="A4670" s="1">
        <v>14732</v>
      </c>
      <c r="B4670" s="7" t="s">
        <v>7090</v>
      </c>
      <c r="C4670" s="12">
        <v>9600</v>
      </c>
      <c r="D4670" s="7" t="s">
        <v>7091</v>
      </c>
      <c r="E4670" s="13" t="s">
        <v>4996</v>
      </c>
      <c r="F4670" t="str">
        <f t="shared" si="360"/>
        <v>Golf</v>
      </c>
      <c r="G4670" t="str">
        <f t="shared" si="361"/>
        <v>Golf9600Dallas</v>
      </c>
      <c r="H4670" t="s">
        <v>35527</v>
      </c>
      <c r="I4670" t="s">
        <v>26950</v>
      </c>
      <c r="J4670" t="str">
        <f t="shared" si="362"/>
        <v>E:\PropInv\MF</v>
      </c>
      <c r="K4670" s="103" t="str">
        <f>HYPERLINK("E:\PropInv\MF\Dallas\Golf Lake Trl_9600_Camden Glen Lakes_Dallas_14732","Golf Lake Trl_9600_Camden Glen Lakes_Dallas_14732" )</f>
        <v>Golf Lake Trl_9600_Camden Glen Lakes_Dallas_14732</v>
      </c>
      <c r="L4670" s="104" t="s">
        <v>22253</v>
      </c>
      <c r="M4670" s="103" t="str">
        <f t="shared" si="363"/>
        <v>http://oconnordata.com/mlink/modules/profile/index.cfm?action=profile&amp;prop_id=14732</v>
      </c>
      <c r="N4670" s="1">
        <f t="shared" si="364"/>
        <v>14732</v>
      </c>
    </row>
    <row r="4671" spans="1:14" x14ac:dyDescent="0.3">
      <c r="A4671" s="1">
        <v>14733</v>
      </c>
      <c r="B4671" s="7" t="s">
        <v>7092</v>
      </c>
      <c r="C4671" s="12">
        <v>6300</v>
      </c>
      <c r="D4671" s="7" t="s">
        <v>7093</v>
      </c>
      <c r="E4671" s="13" t="s">
        <v>5014</v>
      </c>
      <c r="F4671" t="str">
        <f t="shared" si="360"/>
        <v>Vega</v>
      </c>
      <c r="G4671" t="str">
        <f t="shared" si="361"/>
        <v>Vega6300Fort Worth</v>
      </c>
      <c r="H4671" t="s">
        <v>35528</v>
      </c>
      <c r="I4671" t="s">
        <v>26951</v>
      </c>
      <c r="J4671" t="str">
        <f t="shared" si="362"/>
        <v>E:\PropInv\MF</v>
      </c>
      <c r="K4671" s="103" t="str">
        <f>HYPERLINK("E:\PropInv\MF\Fort Worth\Vega Dr_6300_Carlyle Crossing_Fort Worth_14733","Vega Dr_6300_Carlyle Crossing_Fort Worth_14733" )</f>
        <v>Vega Dr_6300_Carlyle Crossing_Fort Worth_14733</v>
      </c>
      <c r="L4671" s="104" t="s">
        <v>22253</v>
      </c>
      <c r="M4671" s="103" t="str">
        <f t="shared" si="363"/>
        <v>http://oconnordata.com/mlink/modules/profile/index.cfm?action=profile&amp;prop_id=14733</v>
      </c>
      <c r="N4671" s="1">
        <f t="shared" si="364"/>
        <v>14733</v>
      </c>
    </row>
    <row r="4672" spans="1:14" x14ac:dyDescent="0.3">
      <c r="A4672" s="1">
        <v>14734</v>
      </c>
      <c r="B4672" s="7" t="s">
        <v>7094</v>
      </c>
      <c r="C4672" s="12">
        <v>6041</v>
      </c>
      <c r="D4672" s="7" t="s">
        <v>7095</v>
      </c>
      <c r="E4672" s="13" t="s">
        <v>4996</v>
      </c>
      <c r="F4672" t="str">
        <f t="shared" si="360"/>
        <v>Ridgecrest</v>
      </c>
      <c r="G4672" t="str">
        <f t="shared" si="361"/>
        <v>Ridgecrest6041Dallas</v>
      </c>
      <c r="H4672" t="s">
        <v>35529</v>
      </c>
      <c r="I4672" t="s">
        <v>26952</v>
      </c>
      <c r="J4672" t="str">
        <f t="shared" si="362"/>
        <v>E:\PropInv\MF</v>
      </c>
      <c r="K4672" s="103" t="str">
        <f>HYPERLINK("E:\PropInv\MF\Dallas\Ridgecrest Rd_6041_Northridge Court_Dallas_14734","Ridgecrest Rd_6041_Northridge Court_Dallas_14734" )</f>
        <v>Ridgecrest Rd_6041_Northridge Court_Dallas_14734</v>
      </c>
      <c r="L4672" s="104" t="s">
        <v>22253</v>
      </c>
      <c r="M4672" s="103" t="str">
        <f t="shared" si="363"/>
        <v>http://oconnordata.com/mlink/modules/profile/index.cfm?action=profile&amp;prop_id=14734</v>
      </c>
      <c r="N4672" s="1">
        <f t="shared" si="364"/>
        <v>14734</v>
      </c>
    </row>
    <row r="4673" spans="1:14" x14ac:dyDescent="0.3">
      <c r="A4673" s="1">
        <v>14735</v>
      </c>
      <c r="B4673" s="7" t="s">
        <v>2074</v>
      </c>
      <c r="C4673" s="12">
        <v>5200</v>
      </c>
      <c r="D4673" s="7" t="s">
        <v>7096</v>
      </c>
      <c r="E4673" s="13" t="s">
        <v>4996</v>
      </c>
      <c r="F4673" t="str">
        <f t="shared" si="360"/>
        <v>Meadow</v>
      </c>
      <c r="G4673" t="str">
        <f t="shared" si="361"/>
        <v>Meadow5200Dallas</v>
      </c>
      <c r="H4673" t="s">
        <v>35530</v>
      </c>
      <c r="I4673" t="s">
        <v>26953</v>
      </c>
      <c r="J4673" t="str">
        <f t="shared" si="362"/>
        <v>E:\PropInv\MF</v>
      </c>
      <c r="K4673" s="103" t="str">
        <f>HYPERLINK("E:\PropInv\MF\Dallas\Meadow Creek_5200_Meadow Crest_Dallas_14735","Meadow Creek_5200_Meadow Crest_Dallas_14735" )</f>
        <v>Meadow Creek_5200_Meadow Crest_Dallas_14735</v>
      </c>
      <c r="L4673" s="104" t="s">
        <v>22253</v>
      </c>
      <c r="M4673" s="103" t="str">
        <f t="shared" si="363"/>
        <v>http://oconnordata.com/mlink/modules/profile/index.cfm?action=profile&amp;prop_id=14735</v>
      </c>
      <c r="N4673" s="1">
        <f t="shared" si="364"/>
        <v>14735</v>
      </c>
    </row>
    <row r="4674" spans="1:14" x14ac:dyDescent="0.3">
      <c r="A4674" s="1">
        <v>14736</v>
      </c>
      <c r="B4674" s="7" t="s">
        <v>7074</v>
      </c>
      <c r="C4674" s="12">
        <v>320</v>
      </c>
      <c r="D4674" s="7" t="s">
        <v>7097</v>
      </c>
      <c r="E4674" s="13" t="s">
        <v>5019</v>
      </c>
      <c r="F4674" t="str">
        <f t="shared" ref="F4674:F4737" si="365">IFERROR(LEFT(B4674,FIND(" ",B4674)-1),B4674)</f>
        <v>Jupiter</v>
      </c>
      <c r="G4674" t="str">
        <f t="shared" ref="G4674:G4737" si="366">F4674&amp;C4674&amp;E4674</f>
        <v>Jupiter320Garland</v>
      </c>
      <c r="H4674" t="s">
        <v>35531</v>
      </c>
      <c r="I4674" t="s">
        <v>26954</v>
      </c>
      <c r="J4674" t="str">
        <f t="shared" ref="J4674:J4737" si="367">IF(L4674="TX",Folder_Path,Folder_Path&amp;"\State_"&amp;L4674)</f>
        <v>E:\PropInv\MF</v>
      </c>
      <c r="K4674" s="103" t="str">
        <f>HYPERLINK("E:\PropInv\MF\Garland\Jupiter S_320_Hickory_Garland_14736","Jupiter S_320_Hickory_Garland_14736" )</f>
        <v>Jupiter S_320_Hickory_Garland_14736</v>
      </c>
      <c r="L4674" s="104" t="s">
        <v>22253</v>
      </c>
      <c r="M4674" s="103" t="str">
        <f t="shared" ref="M4674:M4737" si="368">HYPERLINK("http://oconnordata.com/mlink/modules/profile/index.cfm?action=profile&amp;prop_id="&amp;A4674)</f>
        <v>http://oconnordata.com/mlink/modules/profile/index.cfm?action=profile&amp;prop_id=14736</v>
      </c>
      <c r="N4674" s="1">
        <f t="shared" ref="N4674:N4737" si="369">IF(LEN(A4674)=1,"0000"&amp;A4674,IF(LEN(A4674)=2,"000"&amp;A4674,IF(LEN(A4674)=3,"00"&amp;A4674,IF(LEN(A4674)=4,"0"&amp;A4674,IF(LEN(A4674)=5,IF(LEFT(A4674,1)="3",A4674+30000,A4674))))))</f>
        <v>14736</v>
      </c>
    </row>
    <row r="4675" spans="1:14" x14ac:dyDescent="0.3">
      <c r="A4675" s="1">
        <v>14738</v>
      </c>
      <c r="B4675" s="7" t="s">
        <v>7094</v>
      </c>
      <c r="C4675" s="12">
        <v>6431</v>
      </c>
      <c r="D4675" s="7" t="s">
        <v>7098</v>
      </c>
      <c r="E4675" s="13" t="s">
        <v>4996</v>
      </c>
      <c r="F4675" t="str">
        <f t="shared" si="365"/>
        <v>Ridgecrest</v>
      </c>
      <c r="G4675" t="str">
        <f t="shared" si="366"/>
        <v>Ridgecrest6431Dallas</v>
      </c>
      <c r="H4675" t="s">
        <v>35532</v>
      </c>
      <c r="I4675" t="s">
        <v>26955</v>
      </c>
      <c r="J4675" t="str">
        <f t="shared" si="367"/>
        <v>E:\PropInv\MF</v>
      </c>
      <c r="K4675" s="103" t="str">
        <f>HYPERLINK("E:\PropInv\MF\Dallas\Ridgecrest Rd_6431_Northridge Villas_Dallas_14738","Ridgecrest Rd_6431_Northridge Villas_Dallas_14738" )</f>
        <v>Ridgecrest Rd_6431_Northridge Villas_Dallas_14738</v>
      </c>
      <c r="L4675" s="104" t="s">
        <v>22253</v>
      </c>
      <c r="M4675" s="103" t="str">
        <f t="shared" si="368"/>
        <v>http://oconnordata.com/mlink/modules/profile/index.cfm?action=profile&amp;prop_id=14738</v>
      </c>
      <c r="N4675" s="1">
        <f t="shared" si="369"/>
        <v>14738</v>
      </c>
    </row>
    <row r="4676" spans="1:14" x14ac:dyDescent="0.3">
      <c r="A4676" s="1">
        <v>14740</v>
      </c>
      <c r="B4676" s="7" t="s">
        <v>7099</v>
      </c>
      <c r="C4676" s="12">
        <v>6533</v>
      </c>
      <c r="D4676" s="7" t="s">
        <v>7100</v>
      </c>
      <c r="E4676" s="13" t="s">
        <v>5009</v>
      </c>
      <c r="F4676" t="str">
        <f t="shared" si="365"/>
        <v>Medalist</v>
      </c>
      <c r="G4676" t="str">
        <f t="shared" si="366"/>
        <v>Medalist6533Plano</v>
      </c>
      <c r="H4676" t="s">
        <v>35533</v>
      </c>
      <c r="I4676" t="s">
        <v>26956</v>
      </c>
      <c r="J4676" t="str">
        <f t="shared" si="367"/>
        <v>E:\PropInv\MF</v>
      </c>
      <c r="K4676" s="103" t="str">
        <f>HYPERLINK("E:\PropInv\MF\Plano\Medalist E_6533_Highpoint TH_Plano_14740","Medalist E_6533_Highpoint TH_Plano_14740" )</f>
        <v>Medalist E_6533_Highpoint TH_Plano_14740</v>
      </c>
      <c r="L4676" s="104" t="s">
        <v>22253</v>
      </c>
      <c r="M4676" s="103" t="str">
        <f t="shared" si="368"/>
        <v>http://oconnordata.com/mlink/modules/profile/index.cfm?action=profile&amp;prop_id=14740</v>
      </c>
      <c r="N4676" s="1">
        <f t="shared" si="369"/>
        <v>14740</v>
      </c>
    </row>
    <row r="4677" spans="1:14" x14ac:dyDescent="0.3">
      <c r="A4677" s="1">
        <v>14741</v>
      </c>
      <c r="B4677" s="7" t="s">
        <v>7101</v>
      </c>
      <c r="C4677" s="12">
        <v>623</v>
      </c>
      <c r="D4677" s="7" t="s">
        <v>7102</v>
      </c>
      <c r="E4677" s="13" t="s">
        <v>5009</v>
      </c>
      <c r="F4677" t="str">
        <f t="shared" si="365"/>
        <v>16th</v>
      </c>
      <c r="G4677" t="str">
        <f t="shared" si="366"/>
        <v>16th623Plano</v>
      </c>
      <c r="H4677" t="s">
        <v>35534</v>
      </c>
      <c r="I4677" t="s">
        <v>26957</v>
      </c>
      <c r="J4677" t="str">
        <f t="shared" si="367"/>
        <v>E:\PropInv\MF</v>
      </c>
      <c r="K4677" s="103" t="str">
        <f>HYPERLINK("E:\PropInv\MF\Plano\16th St E_623_Oak Gate_Plano_14741","16th St E_623_Oak Gate_Plano_14741" )</f>
        <v>16th St E_623_Oak Gate_Plano_14741</v>
      </c>
      <c r="L4677" s="104" t="s">
        <v>22253</v>
      </c>
      <c r="M4677" s="103" t="str">
        <f t="shared" si="368"/>
        <v>http://oconnordata.com/mlink/modules/profile/index.cfm?action=profile&amp;prop_id=14741</v>
      </c>
      <c r="N4677" s="1">
        <f t="shared" si="369"/>
        <v>14741</v>
      </c>
    </row>
    <row r="4678" spans="1:14" x14ac:dyDescent="0.3">
      <c r="A4678" s="1">
        <v>14742</v>
      </c>
      <c r="B4678" s="7" t="s">
        <v>6880</v>
      </c>
      <c r="C4678" s="12">
        <v>5700</v>
      </c>
      <c r="D4678" s="7" t="s">
        <v>7103</v>
      </c>
      <c r="E4678" s="13" t="s">
        <v>5014</v>
      </c>
      <c r="F4678" t="str">
        <f t="shared" si="365"/>
        <v>Boca</v>
      </c>
      <c r="G4678" t="str">
        <f t="shared" si="366"/>
        <v>Boca5700Fort Worth</v>
      </c>
      <c r="H4678" t="s">
        <v>35535</v>
      </c>
      <c r="I4678" t="s">
        <v>26958</v>
      </c>
      <c r="J4678" t="str">
        <f t="shared" si="367"/>
        <v>E:\PropInv\MF</v>
      </c>
      <c r="K4678" s="103" t="str">
        <f>HYPERLINK("E:\PropInv\MF\Fort Worth\Boca Raton_5700_The Huntington_Fort Worth_14742","Boca Raton_5700_The Huntington_Fort Worth_14742" )</f>
        <v>Boca Raton_5700_The Huntington_Fort Worth_14742</v>
      </c>
      <c r="L4678" s="104" t="s">
        <v>22253</v>
      </c>
      <c r="M4678" s="103" t="str">
        <f t="shared" si="368"/>
        <v>http://oconnordata.com/mlink/modules/profile/index.cfm?action=profile&amp;prop_id=14742</v>
      </c>
      <c r="N4678" s="1">
        <f t="shared" si="369"/>
        <v>14742</v>
      </c>
    </row>
    <row r="4679" spans="1:14" x14ac:dyDescent="0.3">
      <c r="A4679" s="1">
        <v>14743</v>
      </c>
      <c r="B4679" s="7" t="s">
        <v>7104</v>
      </c>
      <c r="C4679" s="12">
        <v>6709</v>
      </c>
      <c r="D4679" s="7" t="s">
        <v>2948</v>
      </c>
      <c r="E4679" s="13" t="s">
        <v>5014</v>
      </c>
      <c r="F4679" t="str">
        <f t="shared" si="365"/>
        <v>Elizabeth</v>
      </c>
      <c r="G4679" t="str">
        <f t="shared" si="366"/>
        <v>Elizabeth6709Fort Worth</v>
      </c>
      <c r="H4679" t="s">
        <v>35536</v>
      </c>
      <c r="I4679" t="s">
        <v>26959</v>
      </c>
      <c r="J4679" t="str">
        <f t="shared" si="367"/>
        <v>E:\PropInv\MF</v>
      </c>
      <c r="K4679" s="103" t="str">
        <f>HYPERLINK("E:\PropInv\MF\Fort Worth\Elizabeth Ln_6709_Carriage Square_Fort Worth_14743","Elizabeth Ln_6709_Carriage Square_Fort Worth_14743" )</f>
        <v>Elizabeth Ln_6709_Carriage Square_Fort Worth_14743</v>
      </c>
      <c r="L4679" s="104" t="s">
        <v>22253</v>
      </c>
      <c r="M4679" s="103" t="str">
        <f t="shared" si="368"/>
        <v>http://oconnordata.com/mlink/modules/profile/index.cfm?action=profile&amp;prop_id=14743</v>
      </c>
      <c r="N4679" s="1">
        <f t="shared" si="369"/>
        <v>14743</v>
      </c>
    </row>
    <row r="4680" spans="1:14" x14ac:dyDescent="0.3">
      <c r="A4680" s="1">
        <v>14744</v>
      </c>
      <c r="B4680" s="7" t="s">
        <v>5399</v>
      </c>
      <c r="C4680" s="12">
        <v>11050</v>
      </c>
      <c r="D4680" s="7" t="s">
        <v>7105</v>
      </c>
      <c r="E4680" s="13" t="s">
        <v>4996</v>
      </c>
      <c r="F4680" t="str">
        <f t="shared" si="365"/>
        <v>Woodmeadow</v>
      </c>
      <c r="G4680" t="str">
        <f t="shared" si="366"/>
        <v>Woodmeadow11050Dallas</v>
      </c>
      <c r="H4680" t="s">
        <v>35537</v>
      </c>
      <c r="I4680" t="s">
        <v>26960</v>
      </c>
      <c r="J4680" t="str">
        <f t="shared" si="367"/>
        <v>E:\PropInv\MF</v>
      </c>
      <c r="K4680" s="103" t="str">
        <f>HYPERLINK("E:\PropInv\MF\Dallas\Woodmeadow Pkwy_11050_Oak Meadow_Dallas_14744","Woodmeadow Pkwy_11050_Oak Meadow_Dallas_14744" )</f>
        <v>Woodmeadow Pkwy_11050_Oak Meadow_Dallas_14744</v>
      </c>
      <c r="L4680" s="104" t="s">
        <v>22253</v>
      </c>
      <c r="M4680" s="103" t="str">
        <f t="shared" si="368"/>
        <v>http://oconnordata.com/mlink/modules/profile/index.cfm?action=profile&amp;prop_id=14744</v>
      </c>
      <c r="N4680" s="1">
        <f t="shared" si="369"/>
        <v>14744</v>
      </c>
    </row>
    <row r="4681" spans="1:14" x14ac:dyDescent="0.3">
      <c r="A4681" s="1">
        <v>14746</v>
      </c>
      <c r="B4681" s="7" t="s">
        <v>7106</v>
      </c>
      <c r="C4681" s="12">
        <v>400</v>
      </c>
      <c r="D4681" s="7" t="s">
        <v>7107</v>
      </c>
      <c r="E4681" s="13" t="s">
        <v>6898</v>
      </c>
      <c r="F4681" t="str">
        <f t="shared" si="365"/>
        <v>Gordon</v>
      </c>
      <c r="G4681" t="str">
        <f t="shared" si="366"/>
        <v>Gordon400Burleson</v>
      </c>
      <c r="H4681" t="s">
        <v>35538</v>
      </c>
      <c r="I4681" t="s">
        <v>26961</v>
      </c>
      <c r="J4681" t="str">
        <f t="shared" si="367"/>
        <v>E:\PropInv\MF</v>
      </c>
      <c r="K4681" s="103" t="str">
        <f>HYPERLINK("E:\PropInv\MF\Burleson\Gordon St SW_400_Crestbrook_Burleson_14746","Gordon St SW_400_Crestbrook_Burleson_14746" )</f>
        <v>Gordon St SW_400_Crestbrook_Burleson_14746</v>
      </c>
      <c r="L4681" s="104" t="s">
        <v>22253</v>
      </c>
      <c r="M4681" s="103" t="str">
        <f t="shared" si="368"/>
        <v>http://oconnordata.com/mlink/modules/profile/index.cfm?action=profile&amp;prop_id=14746</v>
      </c>
      <c r="N4681" s="1">
        <f t="shared" si="369"/>
        <v>14746</v>
      </c>
    </row>
    <row r="4682" spans="1:14" x14ac:dyDescent="0.3">
      <c r="A4682" s="1">
        <v>14747</v>
      </c>
      <c r="B4682" s="7" t="s">
        <v>7108</v>
      </c>
      <c r="C4682" s="12">
        <v>400</v>
      </c>
      <c r="D4682" s="7" t="s">
        <v>7109</v>
      </c>
      <c r="E4682" s="13" t="s">
        <v>4996</v>
      </c>
      <c r="F4682" t="str">
        <f t="shared" si="365"/>
        <v>Andrews</v>
      </c>
      <c r="G4682" t="str">
        <f t="shared" si="366"/>
        <v>Andrews400Dallas</v>
      </c>
      <c r="H4682" t="s">
        <v>35539</v>
      </c>
      <c r="I4682" t="s">
        <v>26962</v>
      </c>
      <c r="J4682" t="str">
        <f t="shared" si="367"/>
        <v>E:\PropInv\MF</v>
      </c>
      <c r="K4682" s="103" t="str">
        <f>HYPERLINK("E:\PropInv\MF\Dallas\Andrews Ave_400_Cedar Square_Dallas_14747","Andrews Ave_400_Cedar Square_Dallas_14747" )</f>
        <v>Andrews Ave_400_Cedar Square_Dallas_14747</v>
      </c>
      <c r="L4682" s="104" t="s">
        <v>22253</v>
      </c>
      <c r="M4682" s="103" t="str">
        <f t="shared" si="368"/>
        <v>http://oconnordata.com/mlink/modules/profile/index.cfm?action=profile&amp;prop_id=14747</v>
      </c>
      <c r="N4682" s="1">
        <f t="shared" si="369"/>
        <v>14747</v>
      </c>
    </row>
    <row r="4683" spans="1:14" x14ac:dyDescent="0.3">
      <c r="A4683" s="1">
        <v>14748</v>
      </c>
      <c r="B4683" s="7" t="s">
        <v>7110</v>
      </c>
      <c r="C4683" s="12">
        <v>101</v>
      </c>
      <c r="D4683" s="7" t="s">
        <v>7111</v>
      </c>
      <c r="E4683" s="13" t="s">
        <v>5046</v>
      </c>
      <c r="F4683" t="str">
        <f t="shared" si="365"/>
        <v>Cimarron</v>
      </c>
      <c r="G4683" t="str">
        <f t="shared" si="366"/>
        <v>Cimarron101Irving</v>
      </c>
      <c r="H4683" t="s">
        <v>35540</v>
      </c>
      <c r="I4683" t="s">
        <v>26963</v>
      </c>
      <c r="J4683" t="str">
        <f t="shared" si="367"/>
        <v>E:\PropInv\MF</v>
      </c>
      <c r="K4683" s="103" t="str">
        <f>HYPERLINK("E:\PropInv\MF\Irving\Cimarron Trl_101_Camden Cimarron_Irving_14748","Cimarron Trl_101_Camden Cimarron_Irving_14748" )</f>
        <v>Cimarron Trl_101_Camden Cimarron_Irving_14748</v>
      </c>
      <c r="L4683" s="104" t="s">
        <v>22253</v>
      </c>
      <c r="M4683" s="103" t="str">
        <f t="shared" si="368"/>
        <v>http://oconnordata.com/mlink/modules/profile/index.cfm?action=profile&amp;prop_id=14748</v>
      </c>
      <c r="N4683" s="1">
        <f t="shared" si="369"/>
        <v>14748</v>
      </c>
    </row>
    <row r="4684" spans="1:14" x14ac:dyDescent="0.3">
      <c r="A4684" s="1">
        <v>14749</v>
      </c>
      <c r="B4684" s="7" t="s">
        <v>7112</v>
      </c>
      <c r="C4684" s="12">
        <v>6100</v>
      </c>
      <c r="D4684" s="7" t="s">
        <v>7113</v>
      </c>
      <c r="E4684" s="13" t="s">
        <v>5014</v>
      </c>
      <c r="F4684" t="str">
        <f t="shared" si="365"/>
        <v>Oakland</v>
      </c>
      <c r="G4684" t="str">
        <f t="shared" si="366"/>
        <v>Oakland6100Fort Worth</v>
      </c>
      <c r="H4684" t="s">
        <v>35541</v>
      </c>
      <c r="I4684" t="s">
        <v>26964</v>
      </c>
      <c r="J4684" t="str">
        <f t="shared" si="367"/>
        <v>E:\PropInv\MF</v>
      </c>
      <c r="K4684" s="103" t="str">
        <f>HYPERLINK("E:\PropInv\MF\Fort Worth\Oakland Hill_6100_Casa Villa_Fort Worth_14749","Oakland Hill_6100_Casa Villa_Fort Worth_14749" )</f>
        <v>Oakland Hill_6100_Casa Villa_Fort Worth_14749</v>
      </c>
      <c r="L4684" s="104" t="s">
        <v>22253</v>
      </c>
      <c r="M4684" s="103" t="str">
        <f t="shared" si="368"/>
        <v>http://oconnordata.com/mlink/modules/profile/index.cfm?action=profile&amp;prop_id=14749</v>
      </c>
      <c r="N4684" s="1">
        <f t="shared" si="369"/>
        <v>14749</v>
      </c>
    </row>
    <row r="4685" spans="1:14" x14ac:dyDescent="0.3">
      <c r="A4685" s="1">
        <v>14751</v>
      </c>
      <c r="B4685" s="7" t="s">
        <v>7114</v>
      </c>
      <c r="C4685" s="12">
        <v>1506</v>
      </c>
      <c r="D4685" s="7" t="s">
        <v>7115</v>
      </c>
      <c r="E4685" s="13" t="s">
        <v>5060</v>
      </c>
      <c r="F4685" t="str">
        <f t="shared" si="365"/>
        <v>School</v>
      </c>
      <c r="G4685" t="str">
        <f t="shared" si="366"/>
        <v>School1506Carrollton</v>
      </c>
      <c r="H4685" t="s">
        <v>35542</v>
      </c>
      <c r="I4685" t="s">
        <v>26965</v>
      </c>
      <c r="J4685" t="str">
        <f t="shared" si="367"/>
        <v>E:\PropInv\MF</v>
      </c>
      <c r="K4685" s="103" t="str">
        <f>HYPERLINK("E:\PropInv\MF\Carrollton\School Rd_1506_Old Town Place_Carrollton_14751","School Rd_1506_Old Town Place_Carrollton_14751" )</f>
        <v>School Rd_1506_Old Town Place_Carrollton_14751</v>
      </c>
      <c r="L4685" s="104" t="s">
        <v>22253</v>
      </c>
      <c r="M4685" s="103" t="str">
        <f t="shared" si="368"/>
        <v>http://oconnordata.com/mlink/modules/profile/index.cfm?action=profile&amp;prop_id=14751</v>
      </c>
      <c r="N4685" s="1">
        <f t="shared" si="369"/>
        <v>14751</v>
      </c>
    </row>
    <row r="4686" spans="1:14" x14ac:dyDescent="0.3">
      <c r="A4686" s="1">
        <v>14752</v>
      </c>
      <c r="B4686" s="7" t="s">
        <v>7116</v>
      </c>
      <c r="C4686" s="12">
        <v>7112</v>
      </c>
      <c r="D4686" s="7" t="s">
        <v>7117</v>
      </c>
      <c r="E4686" s="13" t="s">
        <v>4996</v>
      </c>
      <c r="F4686" t="str">
        <f t="shared" si="365"/>
        <v>Holly</v>
      </c>
      <c r="G4686" t="str">
        <f t="shared" si="366"/>
        <v>Holly7112Dallas</v>
      </c>
      <c r="H4686" t="s">
        <v>35543</v>
      </c>
      <c r="I4686" t="s">
        <v>26966</v>
      </c>
      <c r="J4686" t="str">
        <f t="shared" si="367"/>
        <v>E:\PropInv\MF</v>
      </c>
      <c r="K4686" s="103" t="str">
        <f>HYPERLINK("E:\PropInv\MF\Dallas\Holly Hill Dr_7112_Holly Bend_Dallas_14752","Holly Hill Dr_7112_Holly Bend_Dallas_14752" )</f>
        <v>Holly Hill Dr_7112_Holly Bend_Dallas_14752</v>
      </c>
      <c r="L4686" s="104" t="s">
        <v>22253</v>
      </c>
      <c r="M4686" s="103" t="str">
        <f t="shared" si="368"/>
        <v>http://oconnordata.com/mlink/modules/profile/index.cfm?action=profile&amp;prop_id=14752</v>
      </c>
      <c r="N4686" s="1">
        <f t="shared" si="369"/>
        <v>14752</v>
      </c>
    </row>
    <row r="4687" spans="1:14" x14ac:dyDescent="0.3">
      <c r="A4687" s="1">
        <v>14757</v>
      </c>
      <c r="B4687" s="7" t="s">
        <v>7118</v>
      </c>
      <c r="C4687" s="12">
        <v>238</v>
      </c>
      <c r="D4687" s="7" t="s">
        <v>7119</v>
      </c>
      <c r="E4687" s="13" t="s">
        <v>7120</v>
      </c>
      <c r="F4687" t="str">
        <f t="shared" si="365"/>
        <v>Las</v>
      </c>
      <c r="G4687" t="str">
        <f t="shared" si="366"/>
        <v>Las238White Settlement</v>
      </c>
      <c r="H4687" t="s">
        <v>35544</v>
      </c>
      <c r="I4687" t="s">
        <v>26967</v>
      </c>
      <c r="J4687" t="str">
        <f t="shared" si="367"/>
        <v>E:\PropInv\MF</v>
      </c>
      <c r="K4687" s="103" t="str">
        <f>HYPERLINK("E:\PropInv\MF\White Settlement\Las Vegas Trl S_238_Central Park TH_White Settlement_14757","Las Vegas Trl S_238_Central Park TH_White Settlement_14757" )</f>
        <v>Las Vegas Trl S_238_Central Park TH_White Settlement_14757</v>
      </c>
      <c r="L4687" s="104" t="s">
        <v>22253</v>
      </c>
      <c r="M4687" s="103" t="str">
        <f t="shared" si="368"/>
        <v>http://oconnordata.com/mlink/modules/profile/index.cfm?action=profile&amp;prop_id=14757</v>
      </c>
      <c r="N4687" s="1">
        <f t="shared" si="369"/>
        <v>14757</v>
      </c>
    </row>
    <row r="4688" spans="1:14" x14ac:dyDescent="0.3">
      <c r="A4688" s="1">
        <v>14758</v>
      </c>
      <c r="B4688" s="7" t="s">
        <v>7121</v>
      </c>
      <c r="C4688" s="12">
        <v>3900</v>
      </c>
      <c r="D4688" s="7" t="s">
        <v>7122</v>
      </c>
      <c r="E4688" s="13" t="s">
        <v>5014</v>
      </c>
      <c r="F4688" t="str">
        <f t="shared" si="365"/>
        <v>White</v>
      </c>
      <c r="G4688" t="str">
        <f t="shared" si="366"/>
        <v>White3900Fort Worth</v>
      </c>
      <c r="H4688" t="s">
        <v>35545</v>
      </c>
      <c r="I4688" t="s">
        <v>26968</v>
      </c>
      <c r="J4688" t="str">
        <f t="shared" si="367"/>
        <v>E:\PropInv\MF</v>
      </c>
      <c r="K4688" s="103" t="str">
        <f>HYPERLINK("E:\PropInv\MF\Fort Worth\White Settlement Rd_3900_Crestwood Place_Fort Worth_14758","White Settlement Rd_3900_Crestwood Place_Fort Worth_14758" )</f>
        <v>White Settlement Rd_3900_Crestwood Place_Fort Worth_14758</v>
      </c>
      <c r="L4688" s="104" t="s">
        <v>22253</v>
      </c>
      <c r="M4688" s="103" t="str">
        <f t="shared" si="368"/>
        <v>http://oconnordata.com/mlink/modules/profile/index.cfm?action=profile&amp;prop_id=14758</v>
      </c>
      <c r="N4688" s="1">
        <f t="shared" si="369"/>
        <v>14758</v>
      </c>
    </row>
    <row r="4689" spans="1:14" x14ac:dyDescent="0.3">
      <c r="A4689" s="1">
        <v>14762</v>
      </c>
      <c r="B4689" s="7" t="s">
        <v>7123</v>
      </c>
      <c r="C4689" s="12">
        <v>3288</v>
      </c>
      <c r="D4689" s="7" t="s">
        <v>7124</v>
      </c>
      <c r="E4689" s="13" t="s">
        <v>4996</v>
      </c>
      <c r="F4689" t="str">
        <f t="shared" si="365"/>
        <v>Polk</v>
      </c>
      <c r="G4689" t="str">
        <f t="shared" si="366"/>
        <v>Polk3288Dallas</v>
      </c>
      <c r="H4689" t="s">
        <v>35546</v>
      </c>
      <c r="I4689" t="s">
        <v>26969</v>
      </c>
      <c r="J4689" t="str">
        <f t="shared" si="367"/>
        <v>E:\PropInv\MF</v>
      </c>
      <c r="K4689" s="103" t="str">
        <f>HYPERLINK("E:\PropInv\MF\Dallas\Polk S_3288_Chalmette_Dallas_14762","Polk S_3288_Chalmette_Dallas_14762" )</f>
        <v>Polk S_3288_Chalmette_Dallas_14762</v>
      </c>
      <c r="L4689" s="104" t="s">
        <v>22253</v>
      </c>
      <c r="M4689" s="103" t="str">
        <f t="shared" si="368"/>
        <v>http://oconnordata.com/mlink/modules/profile/index.cfm?action=profile&amp;prop_id=14762</v>
      </c>
      <c r="N4689" s="1">
        <f t="shared" si="369"/>
        <v>14762</v>
      </c>
    </row>
    <row r="4690" spans="1:14" x14ac:dyDescent="0.3">
      <c r="A4690" s="1">
        <v>14763</v>
      </c>
      <c r="B4690" s="7" t="s">
        <v>7125</v>
      </c>
      <c r="C4690" s="12">
        <v>8300</v>
      </c>
      <c r="D4690" s="7" t="s">
        <v>7126</v>
      </c>
      <c r="E4690" s="13" t="s">
        <v>5014</v>
      </c>
      <c r="F4690" t="str">
        <f t="shared" si="365"/>
        <v>Brentwood</v>
      </c>
      <c r="G4690" t="str">
        <f t="shared" si="366"/>
        <v>Brentwood8300Fort Worth</v>
      </c>
      <c r="H4690" t="s">
        <v>35547</v>
      </c>
      <c r="I4690" t="s">
        <v>26970</v>
      </c>
      <c r="J4690" t="str">
        <f t="shared" si="367"/>
        <v>E:\PropInv\MF</v>
      </c>
      <c r="K4690" s="103" t="str">
        <f>HYPERLINK("E:\PropInv\MF\Fort Worth\Brentwood Stair Rd_8300_The Brentwood_Fort Worth_14763","Brentwood Stair Rd_8300_The Brentwood_Fort Worth_14763" )</f>
        <v>Brentwood Stair Rd_8300_The Brentwood_Fort Worth_14763</v>
      </c>
      <c r="L4690" s="104" t="s">
        <v>22253</v>
      </c>
      <c r="M4690" s="103" t="str">
        <f t="shared" si="368"/>
        <v>http://oconnordata.com/mlink/modules/profile/index.cfm?action=profile&amp;prop_id=14763</v>
      </c>
      <c r="N4690" s="1">
        <f t="shared" si="369"/>
        <v>14763</v>
      </c>
    </row>
    <row r="4691" spans="1:14" x14ac:dyDescent="0.3">
      <c r="A4691" s="1">
        <v>14764</v>
      </c>
      <c r="B4691" s="7" t="s">
        <v>5148</v>
      </c>
      <c r="C4691" s="12">
        <v>6262</v>
      </c>
      <c r="D4691" s="7" t="s">
        <v>7127</v>
      </c>
      <c r="E4691" s="13" t="s">
        <v>4996</v>
      </c>
      <c r="F4691" t="str">
        <f t="shared" si="365"/>
        <v>Melody</v>
      </c>
      <c r="G4691" t="str">
        <f t="shared" si="366"/>
        <v>Melody6262Dallas</v>
      </c>
      <c r="H4691" t="s">
        <v>35548</v>
      </c>
      <c r="I4691" t="s">
        <v>26971</v>
      </c>
      <c r="J4691" t="str">
        <f t="shared" si="367"/>
        <v>E:\PropInv\MF</v>
      </c>
      <c r="K4691" s="103" t="str">
        <f>HYPERLINK("E:\PropInv\MF\Dallas\Melody Ln_6262_Hyde Park Condos_Dallas_14764","Melody Ln_6262_Hyde Park Condos_Dallas_14764" )</f>
        <v>Melody Ln_6262_Hyde Park Condos_Dallas_14764</v>
      </c>
      <c r="L4691" s="104" t="s">
        <v>22253</v>
      </c>
      <c r="M4691" s="103" t="str">
        <f t="shared" si="368"/>
        <v>http://oconnordata.com/mlink/modules/profile/index.cfm?action=profile&amp;prop_id=14764</v>
      </c>
      <c r="N4691" s="1">
        <f t="shared" si="369"/>
        <v>14764</v>
      </c>
    </row>
    <row r="4692" spans="1:14" x14ac:dyDescent="0.3">
      <c r="A4692" s="1">
        <v>14765</v>
      </c>
      <c r="B4692" s="7" t="s">
        <v>7128</v>
      </c>
      <c r="C4692" s="12">
        <v>1520</v>
      </c>
      <c r="D4692" s="7" t="s">
        <v>7129</v>
      </c>
      <c r="E4692" s="13" t="s">
        <v>5019</v>
      </c>
      <c r="F4692" t="str">
        <f t="shared" si="365"/>
        <v>Kingsley</v>
      </c>
      <c r="G4692" t="str">
        <f t="shared" si="366"/>
        <v>Kingsley1520Garland</v>
      </c>
      <c r="H4692" t="s">
        <v>35549</v>
      </c>
      <c r="I4692" t="s">
        <v>26972</v>
      </c>
      <c r="J4692" t="str">
        <f t="shared" si="367"/>
        <v>E:\PropInv\MF</v>
      </c>
      <c r="K4692" s="103" t="str">
        <f>HYPERLINK("E:\PropInv\MF\Garland\Kingsley Dr W_1520_Orchard Square_Garland_14765","Kingsley Dr W_1520_Orchard Square_Garland_14765" )</f>
        <v>Kingsley Dr W_1520_Orchard Square_Garland_14765</v>
      </c>
      <c r="L4692" s="104" t="s">
        <v>22253</v>
      </c>
      <c r="M4692" s="103" t="str">
        <f t="shared" si="368"/>
        <v>http://oconnordata.com/mlink/modules/profile/index.cfm?action=profile&amp;prop_id=14765</v>
      </c>
      <c r="N4692" s="1">
        <f t="shared" si="369"/>
        <v>14765</v>
      </c>
    </row>
    <row r="4693" spans="1:14" x14ac:dyDescent="0.3">
      <c r="A4693" s="1">
        <v>14766</v>
      </c>
      <c r="B4693" s="7" t="s">
        <v>7130</v>
      </c>
      <c r="C4693" s="12">
        <v>6520</v>
      </c>
      <c r="D4693" s="7" t="s">
        <v>7131</v>
      </c>
      <c r="E4693" s="13" t="s">
        <v>5014</v>
      </c>
      <c r="F4693" t="str">
        <f t="shared" si="365"/>
        <v>Red</v>
      </c>
      <c r="G4693" t="str">
        <f t="shared" si="366"/>
        <v>Red6520Fort Worth</v>
      </c>
      <c r="H4693" t="s">
        <v>35550</v>
      </c>
      <c r="I4693" t="s">
        <v>26973</v>
      </c>
      <c r="J4693" t="str">
        <f t="shared" si="367"/>
        <v>E:\PropInv\MF</v>
      </c>
      <c r="K4693" s="103" t="str">
        <f>HYPERLINK("E:\PropInv\MF\Fort Worth\Red Sierra_6520_Chaparral_Fort Worth_14766","Red Sierra_6520_Chaparral_Fort Worth_14766" )</f>
        <v>Red Sierra_6520_Chaparral_Fort Worth_14766</v>
      </c>
      <c r="L4693" s="104" t="s">
        <v>22253</v>
      </c>
      <c r="M4693" s="103" t="str">
        <f t="shared" si="368"/>
        <v>http://oconnordata.com/mlink/modules/profile/index.cfm?action=profile&amp;prop_id=14766</v>
      </c>
      <c r="N4693" s="1">
        <f t="shared" si="369"/>
        <v>14766</v>
      </c>
    </row>
    <row r="4694" spans="1:14" x14ac:dyDescent="0.3">
      <c r="A4694" s="1">
        <v>14767</v>
      </c>
      <c r="B4694" s="7" t="s">
        <v>7132</v>
      </c>
      <c r="C4694" s="12">
        <v>3815</v>
      </c>
      <c r="D4694" s="7" t="s">
        <v>7133</v>
      </c>
      <c r="E4694" s="13" t="s">
        <v>5097</v>
      </c>
      <c r="F4694" t="str">
        <f t="shared" si="365"/>
        <v>Stuart</v>
      </c>
      <c r="G4694" t="str">
        <f t="shared" si="366"/>
        <v>Stuart3815Denton</v>
      </c>
      <c r="H4694" t="s">
        <v>35551</v>
      </c>
      <c r="I4694" t="s">
        <v>26974</v>
      </c>
      <c r="J4694" t="str">
        <f t="shared" si="367"/>
        <v>E:\PropInv\MF</v>
      </c>
      <c r="K4694" s="103" t="str">
        <f>HYPERLINK("E:\PropInv\MF\Denton\Stuart_3815_Crystal Wood_Denton_14767","Stuart_3815_Crystal Wood_Denton_14767" )</f>
        <v>Stuart_3815_Crystal Wood_Denton_14767</v>
      </c>
      <c r="L4694" s="104" t="s">
        <v>22253</v>
      </c>
      <c r="M4694" s="103" t="str">
        <f t="shared" si="368"/>
        <v>http://oconnordata.com/mlink/modules/profile/index.cfm?action=profile&amp;prop_id=14767</v>
      </c>
      <c r="N4694" s="1">
        <f t="shared" si="369"/>
        <v>14767</v>
      </c>
    </row>
    <row r="4695" spans="1:14" x14ac:dyDescent="0.3">
      <c r="A4695" s="1">
        <v>14768</v>
      </c>
      <c r="B4695" s="7" t="s">
        <v>7134</v>
      </c>
      <c r="C4695" s="12">
        <v>3130</v>
      </c>
      <c r="D4695" s="7" t="s">
        <v>7135</v>
      </c>
      <c r="E4695" s="13" t="s">
        <v>4996</v>
      </c>
      <c r="F4695" t="str">
        <f t="shared" si="365"/>
        <v>Lombardy</v>
      </c>
      <c r="G4695" t="str">
        <f t="shared" si="366"/>
        <v>Lombardy3130Dallas</v>
      </c>
      <c r="H4695" t="s">
        <v>35552</v>
      </c>
      <c r="I4695" t="s">
        <v>26975</v>
      </c>
      <c r="J4695" t="str">
        <f t="shared" si="367"/>
        <v>E:\PropInv\MF</v>
      </c>
      <c r="K4695" s="103" t="str">
        <f>HYPERLINK("E:\PropInv\MF\Dallas\Lombardy_3130_Juliana Place_Dallas_14768","Lombardy_3130_Juliana Place_Dallas_14768" )</f>
        <v>Lombardy_3130_Juliana Place_Dallas_14768</v>
      </c>
      <c r="L4695" s="104" t="s">
        <v>22253</v>
      </c>
      <c r="M4695" s="103" t="str">
        <f t="shared" si="368"/>
        <v>http://oconnordata.com/mlink/modules/profile/index.cfm?action=profile&amp;prop_id=14768</v>
      </c>
      <c r="N4695" s="1">
        <f t="shared" si="369"/>
        <v>14768</v>
      </c>
    </row>
    <row r="4696" spans="1:14" x14ac:dyDescent="0.3">
      <c r="A4696" s="1">
        <v>14769</v>
      </c>
      <c r="B4696" s="7" t="s">
        <v>7136</v>
      </c>
      <c r="C4696" s="12">
        <v>7225</v>
      </c>
      <c r="D4696" s="7" t="s">
        <v>7137</v>
      </c>
      <c r="E4696" s="13" t="s">
        <v>4996</v>
      </c>
      <c r="F4696" t="str">
        <f t="shared" si="365"/>
        <v>Fair</v>
      </c>
      <c r="G4696" t="str">
        <f t="shared" si="366"/>
        <v>Fair7225Dallas</v>
      </c>
      <c r="H4696" t="s">
        <v>35553</v>
      </c>
      <c r="I4696" t="s">
        <v>26976</v>
      </c>
      <c r="J4696" t="str">
        <f t="shared" si="367"/>
        <v>E:\PropInv\MF</v>
      </c>
      <c r="K4696" s="103" t="str">
        <f>HYPERLINK("E:\PropInv\MF\Dallas\Fair Oaks Dr_7225_The Ivy_Dallas_14769","Fair Oaks Dr_7225_The Ivy_Dallas_14769" )</f>
        <v>Fair Oaks Dr_7225_The Ivy_Dallas_14769</v>
      </c>
      <c r="L4696" s="104" t="s">
        <v>22253</v>
      </c>
      <c r="M4696" s="103" t="str">
        <f t="shared" si="368"/>
        <v>http://oconnordata.com/mlink/modules/profile/index.cfm?action=profile&amp;prop_id=14769</v>
      </c>
      <c r="N4696" s="1">
        <f t="shared" si="369"/>
        <v>14769</v>
      </c>
    </row>
    <row r="4697" spans="1:14" x14ac:dyDescent="0.3">
      <c r="A4697" s="1">
        <v>14770</v>
      </c>
      <c r="B4697" s="7" t="s">
        <v>7138</v>
      </c>
      <c r="C4697" s="12">
        <v>9765</v>
      </c>
      <c r="D4697" s="7" t="s">
        <v>7139</v>
      </c>
      <c r="E4697" s="13" t="s">
        <v>4996</v>
      </c>
      <c r="F4697" t="str">
        <f t="shared" si="365"/>
        <v>Webbs</v>
      </c>
      <c r="G4697" t="str">
        <f t="shared" si="366"/>
        <v>Webbs9765Dallas</v>
      </c>
      <c r="H4697" t="s">
        <v>35554</v>
      </c>
      <c r="I4697" t="s">
        <v>26977</v>
      </c>
      <c r="J4697" t="str">
        <f t="shared" si="367"/>
        <v>E:\PropInv\MF</v>
      </c>
      <c r="K4697" s="103" t="str">
        <f>HYPERLINK("E:\PropInv\MF\Dallas\Webbs Chapel_9765_Chapel Brook_Dallas_14770","Webbs Chapel_9765_Chapel Brook_Dallas_14770" )</f>
        <v>Webbs Chapel_9765_Chapel Brook_Dallas_14770</v>
      </c>
      <c r="L4697" s="104" t="s">
        <v>22253</v>
      </c>
      <c r="M4697" s="103" t="str">
        <f t="shared" si="368"/>
        <v>http://oconnordata.com/mlink/modules/profile/index.cfm?action=profile&amp;prop_id=14770</v>
      </c>
      <c r="N4697" s="1">
        <f t="shared" si="369"/>
        <v>14770</v>
      </c>
    </row>
    <row r="4698" spans="1:14" x14ac:dyDescent="0.3">
      <c r="A4698" s="1">
        <v>14771</v>
      </c>
      <c r="B4698" s="7" t="s">
        <v>6990</v>
      </c>
      <c r="C4698" s="12">
        <v>1901</v>
      </c>
      <c r="D4698" s="7" t="s">
        <v>7140</v>
      </c>
      <c r="E4698" s="13" t="s">
        <v>5014</v>
      </c>
      <c r="F4698" t="str">
        <f t="shared" si="365"/>
        <v>Eastchase</v>
      </c>
      <c r="G4698" t="str">
        <f t="shared" si="366"/>
        <v>Eastchase1901Fort Worth</v>
      </c>
      <c r="H4698" t="s">
        <v>35555</v>
      </c>
      <c r="I4698" t="s">
        <v>26978</v>
      </c>
      <c r="J4698" t="str">
        <f t="shared" si="367"/>
        <v>E:\PropInv\MF</v>
      </c>
      <c r="K4698" s="103" t="str">
        <f>HYPERLINK("E:\PropInv\MF\Fort Worth\Eastchase Pkwy_1901_Chase_Fort Worth_14771","Eastchase Pkwy_1901_Chase_Fort Worth_14771" )</f>
        <v>Eastchase Pkwy_1901_Chase_Fort Worth_14771</v>
      </c>
      <c r="L4698" s="104" t="s">
        <v>22253</v>
      </c>
      <c r="M4698" s="103" t="str">
        <f t="shared" si="368"/>
        <v>http://oconnordata.com/mlink/modules/profile/index.cfm?action=profile&amp;prop_id=14771</v>
      </c>
      <c r="N4698" s="1">
        <f t="shared" si="369"/>
        <v>14771</v>
      </c>
    </row>
    <row r="4699" spans="1:14" x14ac:dyDescent="0.3">
      <c r="A4699" s="1">
        <v>14772</v>
      </c>
      <c r="B4699" s="7" t="s">
        <v>7141</v>
      </c>
      <c r="C4699" s="12">
        <v>13100</v>
      </c>
      <c r="D4699" s="7" t="s">
        <v>7142</v>
      </c>
      <c r="E4699" s="13" t="s">
        <v>4996</v>
      </c>
      <c r="F4699" t="str">
        <f t="shared" si="365"/>
        <v>Pandora</v>
      </c>
      <c r="G4699" t="str">
        <f t="shared" si="366"/>
        <v>Pandora13100Dallas</v>
      </c>
      <c r="H4699" t="s">
        <v>35556</v>
      </c>
      <c r="I4699" t="s">
        <v>26979</v>
      </c>
      <c r="J4699" t="str">
        <f t="shared" si="367"/>
        <v>E:\PropInv\MF</v>
      </c>
      <c r="K4699" s="103" t="str">
        <f>HYPERLINK("E:\PropInv\MF\Dallas\Pandora Dr_13100_Pace's Cove_Dallas_14772","Pandora Dr_13100_Pace's Cove_Dallas_14772" )</f>
        <v>Pandora Dr_13100_Pace's Cove_Dallas_14772</v>
      </c>
      <c r="L4699" s="104" t="s">
        <v>22253</v>
      </c>
      <c r="M4699" s="103" t="str">
        <f t="shared" si="368"/>
        <v>http://oconnordata.com/mlink/modules/profile/index.cfm?action=profile&amp;prop_id=14772</v>
      </c>
      <c r="N4699" s="1">
        <f t="shared" si="369"/>
        <v>14772</v>
      </c>
    </row>
    <row r="4700" spans="1:14" x14ac:dyDescent="0.3">
      <c r="A4700" s="1">
        <v>14774</v>
      </c>
      <c r="B4700" s="7" t="s">
        <v>7143</v>
      </c>
      <c r="C4700" s="12">
        <v>5925</v>
      </c>
      <c r="D4700" s="7" t="s">
        <v>7144</v>
      </c>
      <c r="E4700" s="13" t="s">
        <v>5014</v>
      </c>
      <c r="F4700" t="str">
        <f t="shared" si="365"/>
        <v>Callaston</v>
      </c>
      <c r="G4700" t="str">
        <f t="shared" si="366"/>
        <v>Callaston5925Fort Worth</v>
      </c>
      <c r="H4700" t="s">
        <v>35557</v>
      </c>
      <c r="I4700" t="s">
        <v>26980</v>
      </c>
      <c r="J4700" t="str">
        <f t="shared" si="367"/>
        <v>E:\PropInv\MF</v>
      </c>
      <c r="K4700" s="103" t="str">
        <f>HYPERLINK("E:\PropInv\MF\Fort Worth\Callaston Ln_5925_Cherry Hill_Fort Worth_14774","Callaston Ln_5925_Cherry Hill_Fort Worth_14774" )</f>
        <v>Callaston Ln_5925_Cherry Hill_Fort Worth_14774</v>
      </c>
      <c r="L4700" s="104" t="s">
        <v>22253</v>
      </c>
      <c r="M4700" s="103" t="str">
        <f t="shared" si="368"/>
        <v>http://oconnordata.com/mlink/modules/profile/index.cfm?action=profile&amp;prop_id=14774</v>
      </c>
      <c r="N4700" s="1">
        <f t="shared" si="369"/>
        <v>14774</v>
      </c>
    </row>
    <row r="4701" spans="1:14" x14ac:dyDescent="0.3">
      <c r="A4701" s="1">
        <v>14775</v>
      </c>
      <c r="B4701" s="7" t="s">
        <v>7145</v>
      </c>
      <c r="C4701" s="12">
        <v>6500</v>
      </c>
      <c r="D4701" s="7" t="s">
        <v>7146</v>
      </c>
      <c r="E4701" s="13" t="s">
        <v>5014</v>
      </c>
      <c r="F4701" t="str">
        <f t="shared" si="365"/>
        <v>Hulen</v>
      </c>
      <c r="G4701" t="str">
        <f t="shared" si="366"/>
        <v>Hulen6500Fort Worth</v>
      </c>
      <c r="H4701" t="s">
        <v>35558</v>
      </c>
      <c r="I4701" t="s">
        <v>26981</v>
      </c>
      <c r="J4701" t="str">
        <f t="shared" si="367"/>
        <v>E:\PropInv\MF</v>
      </c>
      <c r="K4701" s="103" t="str">
        <f>HYPERLINK("E:\PropInv\MF\Fort Worth\Hulen Bend Blvd_6500_The Lofts on Hulen_Fort Worth_14775","Hulen Bend Blvd_6500_The Lofts on Hulen_Fort Worth_14775" )</f>
        <v>Hulen Bend Blvd_6500_The Lofts on Hulen_Fort Worth_14775</v>
      </c>
      <c r="L4701" s="104" t="s">
        <v>22253</v>
      </c>
      <c r="M4701" s="103" t="str">
        <f t="shared" si="368"/>
        <v>http://oconnordata.com/mlink/modules/profile/index.cfm?action=profile&amp;prop_id=14775</v>
      </c>
      <c r="N4701" s="1">
        <f t="shared" si="369"/>
        <v>14775</v>
      </c>
    </row>
    <row r="4702" spans="1:14" x14ac:dyDescent="0.3">
      <c r="A4702" s="1">
        <v>14776</v>
      </c>
      <c r="B4702" s="7" t="s">
        <v>7147</v>
      </c>
      <c r="C4702" s="12">
        <v>3410</v>
      </c>
      <c r="D4702" s="7" t="s">
        <v>6368</v>
      </c>
      <c r="E4702" s="13" t="s">
        <v>4996</v>
      </c>
      <c r="F4702" t="str">
        <f t="shared" si="365"/>
        <v>Hidalgo</v>
      </c>
      <c r="G4702" t="str">
        <f t="shared" si="366"/>
        <v>Hidalgo3410Dallas</v>
      </c>
      <c r="H4702" t="s">
        <v>35559</v>
      </c>
      <c r="I4702" t="s">
        <v>26982</v>
      </c>
      <c r="J4702" t="str">
        <f t="shared" si="367"/>
        <v>E:\PropInv\MF</v>
      </c>
      <c r="K4702" s="103" t="str">
        <f>HYPERLINK("E:\PropInv\MF\Dallas\Hidalgo Dr_3410_Chapel Creek_Dallas_14776","Hidalgo Dr_3410_Chapel Creek_Dallas_14776" )</f>
        <v>Hidalgo Dr_3410_Chapel Creek_Dallas_14776</v>
      </c>
      <c r="L4702" s="104" t="s">
        <v>22253</v>
      </c>
      <c r="M4702" s="103" t="str">
        <f t="shared" si="368"/>
        <v>http://oconnordata.com/mlink/modules/profile/index.cfm?action=profile&amp;prop_id=14776</v>
      </c>
      <c r="N4702" s="1">
        <f t="shared" si="369"/>
        <v>14776</v>
      </c>
    </row>
    <row r="4703" spans="1:14" x14ac:dyDescent="0.3">
      <c r="A4703" s="1">
        <v>14777</v>
      </c>
      <c r="B4703" s="7" t="s">
        <v>6673</v>
      </c>
      <c r="C4703" s="12">
        <v>5720</v>
      </c>
      <c r="D4703" s="7" t="s">
        <v>3802</v>
      </c>
      <c r="E4703" s="13" t="s">
        <v>5014</v>
      </c>
      <c r="F4703" t="str">
        <f t="shared" si="365"/>
        <v>Meadowbrook</v>
      </c>
      <c r="G4703" t="str">
        <f t="shared" si="366"/>
        <v>Meadowbrook5720Fort Worth</v>
      </c>
      <c r="H4703" t="s">
        <v>35560</v>
      </c>
      <c r="I4703" t="s">
        <v>26983</v>
      </c>
      <c r="J4703" t="str">
        <f t="shared" si="367"/>
        <v>E:\PropInv\MF</v>
      </c>
      <c r="K4703" s="103" t="str">
        <f>HYPERLINK("E:\PropInv\MF\Fort Worth\Meadowbrook Dr_5720_Spanish Village_Fort Worth_14777","Meadowbrook Dr_5720_Spanish Village_Fort Worth_14777" )</f>
        <v>Meadowbrook Dr_5720_Spanish Village_Fort Worth_14777</v>
      </c>
      <c r="L4703" s="104" t="s">
        <v>22253</v>
      </c>
      <c r="M4703" s="103" t="str">
        <f t="shared" si="368"/>
        <v>http://oconnordata.com/mlink/modules/profile/index.cfm?action=profile&amp;prop_id=14777</v>
      </c>
      <c r="N4703" s="1">
        <f t="shared" si="369"/>
        <v>14777</v>
      </c>
    </row>
    <row r="4704" spans="1:14" x14ac:dyDescent="0.3">
      <c r="A4704" s="1">
        <v>14778</v>
      </c>
      <c r="B4704" s="7" t="s">
        <v>5386</v>
      </c>
      <c r="C4704" s="12">
        <v>15820</v>
      </c>
      <c r="D4704" s="7" t="s">
        <v>7148</v>
      </c>
      <c r="E4704" s="13" t="s">
        <v>4996</v>
      </c>
      <c r="F4704" t="str">
        <f t="shared" si="365"/>
        <v>Knoll</v>
      </c>
      <c r="G4704" t="str">
        <f t="shared" si="366"/>
        <v>Knoll15820Dallas</v>
      </c>
      <c r="H4704" t="s">
        <v>35561</v>
      </c>
      <c r="I4704" t="s">
        <v>26984</v>
      </c>
      <c r="J4704" t="str">
        <f t="shared" si="367"/>
        <v>E:\PropInv\MF</v>
      </c>
      <c r="K4704" s="103" t="str">
        <f>HYPERLINK("E:\PropInv\MF\Dallas\Knoll Trl_15820_Kensington Square I &amp; II_Dallas_14778","Knoll Trl_15820_Kensington Square I &amp; II_Dallas_14778" )</f>
        <v>Knoll Trl_15820_Kensington Square I &amp; II_Dallas_14778</v>
      </c>
      <c r="L4704" s="104" t="s">
        <v>22253</v>
      </c>
      <c r="M4704" s="103" t="str">
        <f t="shared" si="368"/>
        <v>http://oconnordata.com/mlink/modules/profile/index.cfm?action=profile&amp;prop_id=14778</v>
      </c>
      <c r="N4704" s="1">
        <f t="shared" si="369"/>
        <v>14778</v>
      </c>
    </row>
    <row r="4705" spans="1:14" x14ac:dyDescent="0.3">
      <c r="A4705" s="1">
        <v>14779</v>
      </c>
      <c r="B4705" s="7" t="s">
        <v>6315</v>
      </c>
      <c r="C4705" s="12">
        <v>10843</v>
      </c>
      <c r="D4705" s="7" t="s">
        <v>7149</v>
      </c>
      <c r="E4705" s="13" t="s">
        <v>4996</v>
      </c>
      <c r="F4705" t="str">
        <f t="shared" si="365"/>
        <v>Central</v>
      </c>
      <c r="G4705" t="str">
        <f t="shared" si="366"/>
        <v>Central10843Dallas</v>
      </c>
      <c r="H4705" t="s">
        <v>35562</v>
      </c>
      <c r="I4705" t="s">
        <v>26985</v>
      </c>
      <c r="J4705" t="str">
        <f t="shared" si="367"/>
        <v>E:\PropInv\MF</v>
      </c>
      <c r="K4705" s="103" t="str">
        <f>HYPERLINK("E:\PropInv\MF\Dallas\Central Expwy N_10843_Advenir at Foxmoor_Dallas_14779","Central Expwy N_10843_Advenir at Foxmoor_Dallas_14779" )</f>
        <v>Central Expwy N_10843_Advenir at Foxmoor_Dallas_14779</v>
      </c>
      <c r="L4705" s="104" t="s">
        <v>22253</v>
      </c>
      <c r="M4705" s="103" t="str">
        <f t="shared" si="368"/>
        <v>http://oconnordata.com/mlink/modules/profile/index.cfm?action=profile&amp;prop_id=14779</v>
      </c>
      <c r="N4705" s="1">
        <f t="shared" si="369"/>
        <v>14779</v>
      </c>
    </row>
    <row r="4706" spans="1:14" x14ac:dyDescent="0.3">
      <c r="A4706" s="1">
        <v>14780</v>
      </c>
      <c r="B4706" s="7" t="s">
        <v>7150</v>
      </c>
      <c r="C4706" s="12">
        <v>3800</v>
      </c>
      <c r="D4706" s="7" t="s">
        <v>7151</v>
      </c>
      <c r="E4706" s="13" t="s">
        <v>4996</v>
      </c>
      <c r="F4706" t="str">
        <f t="shared" si="365"/>
        <v>Tyler</v>
      </c>
      <c r="G4706" t="str">
        <f t="shared" si="366"/>
        <v>Tyler3800Dallas</v>
      </c>
      <c r="H4706" t="s">
        <v>35563</v>
      </c>
      <c r="I4706" t="s">
        <v>26986</v>
      </c>
      <c r="J4706" t="str">
        <f t="shared" si="367"/>
        <v>E:\PropInv\MF</v>
      </c>
      <c r="K4706" s="103" t="str">
        <f>HYPERLINK("E:\PropInv\MF\Dallas\Tyler S_3800_Carousel Court_Dallas_14780","Tyler S_3800_Carousel Court_Dallas_14780" )</f>
        <v>Tyler S_3800_Carousel Court_Dallas_14780</v>
      </c>
      <c r="L4706" s="104" t="s">
        <v>22253</v>
      </c>
      <c r="M4706" s="103" t="str">
        <f t="shared" si="368"/>
        <v>http://oconnordata.com/mlink/modules/profile/index.cfm?action=profile&amp;prop_id=14780</v>
      </c>
      <c r="N4706" s="1">
        <f t="shared" si="369"/>
        <v>14780</v>
      </c>
    </row>
    <row r="4707" spans="1:14" x14ac:dyDescent="0.3">
      <c r="A4707" s="1">
        <v>14782</v>
      </c>
      <c r="B4707" s="7" t="s">
        <v>6548</v>
      </c>
      <c r="C4707" s="12">
        <v>6047</v>
      </c>
      <c r="D4707" s="7" t="s">
        <v>106</v>
      </c>
      <c r="E4707" s="13" t="s">
        <v>5014</v>
      </c>
      <c r="F4707" t="str">
        <f t="shared" si="365"/>
        <v>Hulen</v>
      </c>
      <c r="G4707" t="str">
        <f t="shared" si="366"/>
        <v>Hulen6047Fort Worth</v>
      </c>
      <c r="H4707" t="s">
        <v>35564</v>
      </c>
      <c r="I4707" t="s">
        <v>26987</v>
      </c>
      <c r="J4707" t="str">
        <f t="shared" si="367"/>
        <v>E:\PropInv\MF</v>
      </c>
      <c r="K4707" s="103" t="str">
        <f>HYPERLINK("E:\PropInv\MF\Fort Worth\Hulen S_6047_Chesapeake_Fort Worth_14782","Hulen S_6047_Chesapeake_Fort Worth_14782" )</f>
        <v>Hulen S_6047_Chesapeake_Fort Worth_14782</v>
      </c>
      <c r="L4707" s="104" t="s">
        <v>22253</v>
      </c>
      <c r="M4707" s="103" t="str">
        <f t="shared" si="368"/>
        <v>http://oconnordata.com/mlink/modules/profile/index.cfm?action=profile&amp;prop_id=14782</v>
      </c>
      <c r="N4707" s="1">
        <f t="shared" si="369"/>
        <v>14782</v>
      </c>
    </row>
    <row r="4708" spans="1:14" x14ac:dyDescent="0.3">
      <c r="A4708" s="1">
        <v>14784</v>
      </c>
      <c r="B4708" s="7" t="s">
        <v>7152</v>
      </c>
      <c r="C4708" s="12">
        <v>3210</v>
      </c>
      <c r="D4708" s="7" t="s">
        <v>7153</v>
      </c>
      <c r="E4708" s="13" t="s">
        <v>5097</v>
      </c>
      <c r="F4708" t="str">
        <f t="shared" si="365"/>
        <v>Fall</v>
      </c>
      <c r="G4708" t="str">
        <f t="shared" si="366"/>
        <v>Fall3210Denton</v>
      </c>
      <c r="H4708" t="s">
        <v>35565</v>
      </c>
      <c r="I4708" t="s">
        <v>26988</v>
      </c>
      <c r="J4708" t="str">
        <f t="shared" si="367"/>
        <v>E:\PropInv\MF</v>
      </c>
      <c r="K4708" s="103" t="str">
        <f>HYPERLINK("E:\PropInv\MF\Denton\Fall Meadow_3210_Denton North_Denton_14784","Fall Meadow_3210_Denton North_Denton_14784" )</f>
        <v>Fall Meadow_3210_Denton North_Denton_14784</v>
      </c>
      <c r="L4708" s="104" t="s">
        <v>22253</v>
      </c>
      <c r="M4708" s="103" t="str">
        <f t="shared" si="368"/>
        <v>http://oconnordata.com/mlink/modules/profile/index.cfm?action=profile&amp;prop_id=14784</v>
      </c>
      <c r="N4708" s="1">
        <f t="shared" si="369"/>
        <v>14784</v>
      </c>
    </row>
    <row r="4709" spans="1:14" x14ac:dyDescent="0.3">
      <c r="A4709" s="1">
        <v>14785</v>
      </c>
      <c r="B4709" s="7" t="s">
        <v>3983</v>
      </c>
      <c r="C4709" s="12">
        <v>17878</v>
      </c>
      <c r="D4709" s="7" t="s">
        <v>7154</v>
      </c>
      <c r="E4709" s="13" t="s">
        <v>4996</v>
      </c>
      <c r="F4709" t="str">
        <f t="shared" si="365"/>
        <v>Preston</v>
      </c>
      <c r="G4709" t="str">
        <f t="shared" si="366"/>
        <v>Preston17878Dallas</v>
      </c>
      <c r="H4709" t="s">
        <v>35566</v>
      </c>
      <c r="I4709" t="s">
        <v>26989</v>
      </c>
      <c r="J4709" t="str">
        <f t="shared" si="367"/>
        <v>E:\PropInv\MF</v>
      </c>
      <c r="K4709" s="103" t="str">
        <f>HYPERLINK("E:\PropInv\MF\Dallas\Preston Rd_17878_Park On Preston_Dallas_14785","Preston Rd_17878_Park On Preston_Dallas_14785" )</f>
        <v>Preston Rd_17878_Park On Preston_Dallas_14785</v>
      </c>
      <c r="L4709" s="104" t="s">
        <v>22253</v>
      </c>
      <c r="M4709" s="103" t="str">
        <f t="shared" si="368"/>
        <v>http://oconnordata.com/mlink/modules/profile/index.cfm?action=profile&amp;prop_id=14785</v>
      </c>
      <c r="N4709" s="1">
        <f t="shared" si="369"/>
        <v>14785</v>
      </c>
    </row>
    <row r="4710" spans="1:14" x14ac:dyDescent="0.3">
      <c r="A4710" s="1">
        <v>14786</v>
      </c>
      <c r="B4710" s="7" t="s">
        <v>5403</v>
      </c>
      <c r="C4710" s="12">
        <v>3820</v>
      </c>
      <c r="D4710" s="7" t="s">
        <v>7155</v>
      </c>
      <c r="E4710" s="13" t="s">
        <v>5019</v>
      </c>
      <c r="F4710" t="str">
        <f t="shared" si="365"/>
        <v>Walnut</v>
      </c>
      <c r="G4710" t="str">
        <f t="shared" si="366"/>
        <v>Walnut3820Garland</v>
      </c>
      <c r="H4710" t="s">
        <v>35567</v>
      </c>
      <c r="I4710" t="s">
        <v>26990</v>
      </c>
      <c r="J4710" t="str">
        <f t="shared" si="367"/>
        <v>E:\PropInv\MF</v>
      </c>
      <c r="K4710" s="103" t="str">
        <f>HYPERLINK("E:\PropInv\MF\Garland\Walnut W_3820_Kent_Garland_14786","Walnut W_3820_Kent_Garland_14786" )</f>
        <v>Walnut W_3820_Kent_Garland_14786</v>
      </c>
      <c r="L4710" s="104" t="s">
        <v>22253</v>
      </c>
      <c r="M4710" s="103" t="str">
        <f t="shared" si="368"/>
        <v>http://oconnordata.com/mlink/modules/profile/index.cfm?action=profile&amp;prop_id=14786</v>
      </c>
      <c r="N4710" s="1">
        <f t="shared" si="369"/>
        <v>14786</v>
      </c>
    </row>
    <row r="4711" spans="1:14" x14ac:dyDescent="0.3">
      <c r="A4711" s="1">
        <v>14787</v>
      </c>
      <c r="B4711" s="10" t="s">
        <v>7156</v>
      </c>
      <c r="C4711" s="9">
        <v>4503</v>
      </c>
      <c r="D4711" s="10" t="s">
        <v>7157</v>
      </c>
      <c r="E4711" s="11" t="s">
        <v>4996</v>
      </c>
      <c r="F4711" t="str">
        <f t="shared" si="365"/>
        <v>Lake</v>
      </c>
      <c r="G4711" t="str">
        <f t="shared" si="366"/>
        <v>Lake4503Dallas</v>
      </c>
      <c r="H4711" t="s">
        <v>35568</v>
      </c>
      <c r="I4711" t="s">
        <v>26991</v>
      </c>
      <c r="J4711" t="str">
        <f t="shared" si="367"/>
        <v>E:\PropInv\MF</v>
      </c>
      <c r="K4711" s="103" t="str">
        <f>HYPERLINK("E:\PropInv\MF\Dallas\Lake Ave_4503_Casa Blanca I_Dallas_14787","Lake Ave_4503_Casa Blanca I_Dallas_14787" )</f>
        <v>Lake Ave_4503_Casa Blanca I_Dallas_14787</v>
      </c>
      <c r="L4711" s="104" t="s">
        <v>22253</v>
      </c>
      <c r="M4711" s="103" t="str">
        <f t="shared" si="368"/>
        <v>http://oconnordata.com/mlink/modules/profile/index.cfm?action=profile&amp;prop_id=14787</v>
      </c>
      <c r="N4711" s="1">
        <f t="shared" si="369"/>
        <v>14787</v>
      </c>
    </row>
    <row r="4712" spans="1:14" x14ac:dyDescent="0.3">
      <c r="A4712" s="1">
        <v>14788</v>
      </c>
      <c r="B4712" s="7" t="s">
        <v>7156</v>
      </c>
      <c r="C4712" s="12">
        <v>4619</v>
      </c>
      <c r="D4712" s="7" t="s">
        <v>7158</v>
      </c>
      <c r="E4712" s="13" t="s">
        <v>4996</v>
      </c>
      <c r="F4712" t="str">
        <f t="shared" si="365"/>
        <v>Lake</v>
      </c>
      <c r="G4712" t="str">
        <f t="shared" si="366"/>
        <v>Lake4619Dallas</v>
      </c>
      <c r="H4712" t="s">
        <v>35569</v>
      </c>
      <c r="I4712" t="s">
        <v>26992</v>
      </c>
      <c r="J4712" t="str">
        <f t="shared" si="367"/>
        <v>E:\PropInv\MF</v>
      </c>
      <c r="K4712" s="103" t="str">
        <f>HYPERLINK("E:\PropInv\MF\Dallas\Lake Ave_4619_Casa Blanca II_Dallas_14788","Lake Ave_4619_Casa Blanca II_Dallas_14788" )</f>
        <v>Lake Ave_4619_Casa Blanca II_Dallas_14788</v>
      </c>
      <c r="L4712" s="104" t="s">
        <v>22253</v>
      </c>
      <c r="M4712" s="103" t="str">
        <f t="shared" si="368"/>
        <v>http://oconnordata.com/mlink/modules/profile/index.cfm?action=profile&amp;prop_id=14788</v>
      </c>
      <c r="N4712" s="1">
        <f t="shared" si="369"/>
        <v>14788</v>
      </c>
    </row>
    <row r="4713" spans="1:14" x14ac:dyDescent="0.3">
      <c r="A4713" s="1">
        <v>14789</v>
      </c>
      <c r="B4713" s="7" t="s">
        <v>7159</v>
      </c>
      <c r="C4713" s="12">
        <v>8900</v>
      </c>
      <c r="D4713" s="7" t="s">
        <v>7160</v>
      </c>
      <c r="E4713" s="13" t="s">
        <v>5014</v>
      </c>
      <c r="F4713" t="str">
        <f t="shared" si="365"/>
        <v>La</v>
      </c>
      <c r="G4713" t="str">
        <f t="shared" si="366"/>
        <v>La8900Fort Worth</v>
      </c>
      <c r="H4713" t="s">
        <v>35570</v>
      </c>
      <c r="I4713" t="s">
        <v>26993</v>
      </c>
      <c r="J4713" t="str">
        <f t="shared" si="367"/>
        <v>E:\PropInv\MF</v>
      </c>
      <c r="K4713" s="103" t="str">
        <f>HYPERLINK("E:\PropInv\MF\Fort Worth\La Palma Dr_8900_Chisholm Trail TH_Fort Worth_14789","La Palma Dr_8900_Chisholm Trail TH_Fort Worth_14789" )</f>
        <v>La Palma Dr_8900_Chisholm Trail TH_Fort Worth_14789</v>
      </c>
      <c r="L4713" s="104" t="s">
        <v>22253</v>
      </c>
      <c r="M4713" s="103" t="str">
        <f t="shared" si="368"/>
        <v>http://oconnordata.com/mlink/modules/profile/index.cfm?action=profile&amp;prop_id=14789</v>
      </c>
      <c r="N4713" s="1">
        <f t="shared" si="369"/>
        <v>14789</v>
      </c>
    </row>
    <row r="4714" spans="1:14" x14ac:dyDescent="0.3">
      <c r="A4714" s="1">
        <v>14791</v>
      </c>
      <c r="B4714" s="7" t="s">
        <v>6740</v>
      </c>
      <c r="C4714" s="12">
        <v>3301</v>
      </c>
      <c r="D4714" s="7" t="s">
        <v>7161</v>
      </c>
      <c r="E4714" s="13" t="s">
        <v>5014</v>
      </c>
      <c r="F4714" t="str">
        <f t="shared" si="365"/>
        <v>River</v>
      </c>
      <c r="G4714" t="str">
        <f t="shared" si="366"/>
        <v>River3301Fort Worth</v>
      </c>
      <c r="H4714" t="s">
        <v>35571</v>
      </c>
      <c r="I4714" t="s">
        <v>26994</v>
      </c>
      <c r="J4714" t="str">
        <f t="shared" si="367"/>
        <v>E:\PropInv\MF</v>
      </c>
      <c r="K4714" s="103" t="str">
        <f>HYPERLINK("E:\PropInv\MF\Fort Worth\River Park Dr_3301_Vieux Coulee_Fort Worth_14791","River Park Dr_3301_Vieux Coulee_Fort Worth_14791" )</f>
        <v>River Park Dr_3301_Vieux Coulee_Fort Worth_14791</v>
      </c>
      <c r="L4714" s="104" t="s">
        <v>22253</v>
      </c>
      <c r="M4714" s="103" t="str">
        <f t="shared" si="368"/>
        <v>http://oconnordata.com/mlink/modules/profile/index.cfm?action=profile&amp;prop_id=14791</v>
      </c>
      <c r="N4714" s="1">
        <f t="shared" si="369"/>
        <v>14791</v>
      </c>
    </row>
    <row r="4715" spans="1:14" x14ac:dyDescent="0.3">
      <c r="A4715" s="1">
        <v>14792</v>
      </c>
      <c r="B4715" s="7" t="s">
        <v>7162</v>
      </c>
      <c r="C4715" s="12">
        <v>5108</v>
      </c>
      <c r="D4715" s="7" t="s">
        <v>7163</v>
      </c>
      <c r="E4715" s="13" t="s">
        <v>5014</v>
      </c>
      <c r="F4715" t="str">
        <f t="shared" si="365"/>
        <v>Brentwood</v>
      </c>
      <c r="G4715" t="str">
        <f t="shared" si="366"/>
        <v>Brentwood5108Fort Worth</v>
      </c>
      <c r="H4715" t="s">
        <v>35572</v>
      </c>
      <c r="I4715" t="s">
        <v>26995</v>
      </c>
      <c r="J4715" t="str">
        <f t="shared" si="367"/>
        <v>E:\PropInv\MF</v>
      </c>
      <c r="K4715" s="103" t="str">
        <f>HYPERLINK("E:\PropInv\MF\Fort Worth\Brentwood Stair_5108_Devonwood_Fort Worth_14792","Brentwood Stair_5108_Devonwood_Fort Worth_14792" )</f>
        <v>Brentwood Stair_5108_Devonwood_Fort Worth_14792</v>
      </c>
      <c r="L4715" s="104" t="s">
        <v>22253</v>
      </c>
      <c r="M4715" s="103" t="str">
        <f t="shared" si="368"/>
        <v>http://oconnordata.com/mlink/modules/profile/index.cfm?action=profile&amp;prop_id=14792</v>
      </c>
      <c r="N4715" s="1">
        <f t="shared" si="369"/>
        <v>14792</v>
      </c>
    </row>
    <row r="4716" spans="1:14" x14ac:dyDescent="0.3">
      <c r="A4716" s="1">
        <v>14793</v>
      </c>
      <c r="B4716" s="7" t="s">
        <v>5596</v>
      </c>
      <c r="C4716" s="12">
        <v>1839</v>
      </c>
      <c r="D4716" s="7" t="s">
        <v>7164</v>
      </c>
      <c r="E4716" s="13" t="s">
        <v>5019</v>
      </c>
      <c r="F4716" t="str">
        <f t="shared" si="365"/>
        <v>Glenbrook</v>
      </c>
      <c r="G4716" t="str">
        <f t="shared" si="366"/>
        <v>Glenbrook1839Garland</v>
      </c>
      <c r="H4716" t="s">
        <v>35573</v>
      </c>
      <c r="I4716" t="s">
        <v>26996</v>
      </c>
      <c r="J4716" t="str">
        <f t="shared" si="367"/>
        <v>E:\PropInv\MF</v>
      </c>
      <c r="K4716" s="103" t="str">
        <f>HYPERLINK("E:\PropInv\MF\Garland\Glenbrook Dr S_1839_Park Ridge Community_Garland_14793","Glenbrook Dr S_1839_Park Ridge Community_Garland_14793" )</f>
        <v>Glenbrook Dr S_1839_Park Ridge Community_Garland_14793</v>
      </c>
      <c r="L4716" s="104" t="s">
        <v>22253</v>
      </c>
      <c r="M4716" s="103" t="str">
        <f t="shared" si="368"/>
        <v>http://oconnordata.com/mlink/modules/profile/index.cfm?action=profile&amp;prop_id=14793</v>
      </c>
      <c r="N4716" s="1">
        <f t="shared" si="369"/>
        <v>14793</v>
      </c>
    </row>
    <row r="4717" spans="1:14" x14ac:dyDescent="0.3">
      <c r="A4717" s="1">
        <v>14794</v>
      </c>
      <c r="B4717" s="7" t="s">
        <v>7165</v>
      </c>
      <c r="C4717" s="12">
        <v>6100</v>
      </c>
      <c r="D4717" s="7" t="s">
        <v>7166</v>
      </c>
      <c r="E4717" s="13" t="s">
        <v>5014</v>
      </c>
      <c r="F4717" t="str">
        <f t="shared" si="365"/>
        <v>WestCreek</v>
      </c>
      <c r="G4717" t="str">
        <f t="shared" si="366"/>
        <v>WestCreek6100Fort Worth</v>
      </c>
      <c r="H4717" t="s">
        <v>35574</v>
      </c>
      <c r="I4717" t="s">
        <v>26997</v>
      </c>
      <c r="J4717" t="str">
        <f t="shared" si="367"/>
        <v>E:\PropInv\MF</v>
      </c>
      <c r="K4717" s="103" t="str">
        <f>HYPERLINK("E:\PropInv\MF\Fort Worth\WestCreek_6100_Cinnamon Tree_Fort Worth_14794","WestCreek_6100_Cinnamon Tree_Fort Worth_14794" )</f>
        <v>WestCreek_6100_Cinnamon Tree_Fort Worth_14794</v>
      </c>
      <c r="L4717" s="104" t="s">
        <v>22253</v>
      </c>
      <c r="M4717" s="103" t="str">
        <f t="shared" si="368"/>
        <v>http://oconnordata.com/mlink/modules/profile/index.cfm?action=profile&amp;prop_id=14794</v>
      </c>
      <c r="N4717" s="1">
        <f t="shared" si="369"/>
        <v>14794</v>
      </c>
    </row>
    <row r="4718" spans="1:14" x14ac:dyDescent="0.3">
      <c r="A4718" s="1">
        <v>14795</v>
      </c>
      <c r="B4718" s="7" t="s">
        <v>7167</v>
      </c>
      <c r="C4718" s="12">
        <v>4600</v>
      </c>
      <c r="D4718" s="7" t="s">
        <v>7168</v>
      </c>
      <c r="E4718" s="13" t="s">
        <v>5014</v>
      </c>
      <c r="F4718" t="str">
        <f t="shared" si="365"/>
        <v>Miller</v>
      </c>
      <c r="G4718" t="str">
        <f t="shared" si="366"/>
        <v>Miller4600Fort Worth</v>
      </c>
      <c r="H4718" t="s">
        <v>35575</v>
      </c>
      <c r="I4718" t="s">
        <v>26998</v>
      </c>
      <c r="J4718" t="str">
        <f t="shared" si="367"/>
        <v>E:\PropInv\MF</v>
      </c>
      <c r="K4718" s="103" t="str">
        <f>HYPERLINK("E:\PropInv\MF\Fort Worth\Miller Ave_4600_Nueva Vista Apts_Fort Worth_14795","Miller Ave_4600_Nueva Vista Apts_Fort Worth_14795" )</f>
        <v>Miller Ave_4600_Nueva Vista Apts_Fort Worth_14795</v>
      </c>
      <c r="L4718" s="104" t="s">
        <v>22253</v>
      </c>
      <c r="M4718" s="103" t="str">
        <f t="shared" si="368"/>
        <v>http://oconnordata.com/mlink/modules/profile/index.cfm?action=profile&amp;prop_id=14795</v>
      </c>
      <c r="N4718" s="1">
        <f t="shared" si="369"/>
        <v>14795</v>
      </c>
    </row>
    <row r="4719" spans="1:14" x14ac:dyDescent="0.3">
      <c r="A4719" s="1">
        <v>14796</v>
      </c>
      <c r="B4719" s="7" t="s">
        <v>7169</v>
      </c>
      <c r="C4719" s="12">
        <v>900</v>
      </c>
      <c r="D4719" s="7" t="s">
        <v>7170</v>
      </c>
      <c r="E4719" s="13" t="s">
        <v>5009</v>
      </c>
      <c r="F4719" t="str">
        <f t="shared" si="365"/>
        <v>Medalist</v>
      </c>
      <c r="G4719" t="str">
        <f t="shared" si="366"/>
        <v>Medalist900Plano</v>
      </c>
      <c r="H4719" t="s">
        <v>35576</v>
      </c>
      <c r="I4719" t="s">
        <v>26999</v>
      </c>
      <c r="J4719" t="str">
        <f t="shared" si="367"/>
        <v>E:\PropInv\MF</v>
      </c>
      <c r="K4719" s="103" t="str">
        <f>HYPERLINK("E:\PropInv\MF\Plano\Medalist Cir S_900_Park Springs TH_Plano_14796","Medalist Cir S_900_Park Springs TH_Plano_14796" )</f>
        <v>Medalist Cir S_900_Park Springs TH_Plano_14796</v>
      </c>
      <c r="L4719" s="104" t="s">
        <v>22253</v>
      </c>
      <c r="M4719" s="103" t="str">
        <f t="shared" si="368"/>
        <v>http://oconnordata.com/mlink/modules/profile/index.cfm?action=profile&amp;prop_id=14796</v>
      </c>
      <c r="N4719" s="1">
        <f t="shared" si="369"/>
        <v>14796</v>
      </c>
    </row>
    <row r="4720" spans="1:14" x14ac:dyDescent="0.3">
      <c r="A4720" s="1">
        <v>14797</v>
      </c>
      <c r="B4720" s="7" t="s">
        <v>7171</v>
      </c>
      <c r="C4720" s="12">
        <v>2807</v>
      </c>
      <c r="D4720" s="7" t="s">
        <v>7172</v>
      </c>
      <c r="E4720" s="13" t="s">
        <v>4996</v>
      </c>
      <c r="F4720" t="str">
        <f t="shared" si="365"/>
        <v>Bachman</v>
      </c>
      <c r="G4720" t="str">
        <f t="shared" si="366"/>
        <v>Bachman2807Dallas</v>
      </c>
      <c r="H4720" t="s">
        <v>35577</v>
      </c>
      <c r="I4720" t="s">
        <v>27000</v>
      </c>
      <c r="J4720" t="str">
        <f t="shared" si="367"/>
        <v>E:\PropInv\MF</v>
      </c>
      <c r="K4720" s="103" t="str">
        <f>HYPERLINK("E:\PropInv\MF\Dallas\Bachman Dr_2807_Bachman Place_Dallas_14797","Bachman Dr_2807_Bachman Place_Dallas_14797" )</f>
        <v>Bachman Dr_2807_Bachman Place_Dallas_14797</v>
      </c>
      <c r="L4720" s="104" t="s">
        <v>22253</v>
      </c>
      <c r="M4720" s="103" t="str">
        <f t="shared" si="368"/>
        <v>http://oconnordata.com/mlink/modules/profile/index.cfm?action=profile&amp;prop_id=14797</v>
      </c>
      <c r="N4720" s="1">
        <f t="shared" si="369"/>
        <v>14797</v>
      </c>
    </row>
    <row r="4721" spans="1:14" x14ac:dyDescent="0.3">
      <c r="A4721" s="1">
        <v>14798</v>
      </c>
      <c r="B4721" s="7" t="s">
        <v>7173</v>
      </c>
      <c r="C4721" s="12">
        <v>2540</v>
      </c>
      <c r="D4721" s="7" t="s">
        <v>7174</v>
      </c>
      <c r="E4721" s="13" t="s">
        <v>4996</v>
      </c>
      <c r="F4721" t="str">
        <f t="shared" si="365"/>
        <v>Bahama</v>
      </c>
      <c r="G4721" t="str">
        <f t="shared" si="366"/>
        <v>Bahama2540Dallas</v>
      </c>
      <c r="H4721" t="s">
        <v>35578</v>
      </c>
      <c r="I4721" t="s">
        <v>27001</v>
      </c>
      <c r="J4721" t="str">
        <f t="shared" si="367"/>
        <v>E:\PropInv\MF</v>
      </c>
      <c r="K4721" s="103" t="str">
        <f>HYPERLINK("E:\PropInv\MF\Dallas\Bahama Dr_2540_Bahama Glen_Dallas_14798","Bahama Dr_2540_Bahama Glen_Dallas_14798" )</f>
        <v>Bahama Dr_2540_Bahama Glen_Dallas_14798</v>
      </c>
      <c r="L4721" s="104" t="s">
        <v>22253</v>
      </c>
      <c r="M4721" s="103" t="str">
        <f t="shared" si="368"/>
        <v>http://oconnordata.com/mlink/modules/profile/index.cfm?action=profile&amp;prop_id=14798</v>
      </c>
      <c r="N4721" s="1">
        <f t="shared" si="369"/>
        <v>14798</v>
      </c>
    </row>
    <row r="4722" spans="1:14" x14ac:dyDescent="0.3">
      <c r="A4722" s="1">
        <v>14800</v>
      </c>
      <c r="B4722" s="7" t="s">
        <v>7175</v>
      </c>
      <c r="C4722" s="12">
        <v>5827</v>
      </c>
      <c r="D4722" s="7" t="s">
        <v>7176</v>
      </c>
      <c r="E4722" s="13" t="s">
        <v>4996</v>
      </c>
      <c r="F4722" t="str">
        <f t="shared" si="365"/>
        <v>Blackwell</v>
      </c>
      <c r="G4722" t="str">
        <f t="shared" si="366"/>
        <v>Blackwell5827Dallas</v>
      </c>
      <c r="H4722" t="s">
        <v>35579</v>
      </c>
      <c r="I4722" t="s">
        <v>27002</v>
      </c>
      <c r="J4722" t="str">
        <f t="shared" si="367"/>
        <v>E:\PropInv\MF</v>
      </c>
      <c r="K4722" s="103" t="str">
        <f>HYPERLINK("E:\PropInv\MF\Dallas\Blackwell St_5827_Park Vali Hai_Dallas_14800","Blackwell St_5827_Park Vali Hai_Dallas_14800" )</f>
        <v>Blackwell St_5827_Park Vali Hai_Dallas_14800</v>
      </c>
      <c r="L4722" s="104" t="s">
        <v>22253</v>
      </c>
      <c r="M4722" s="103" t="str">
        <f t="shared" si="368"/>
        <v>http://oconnordata.com/mlink/modules/profile/index.cfm?action=profile&amp;prop_id=14800</v>
      </c>
      <c r="N4722" s="1">
        <f t="shared" si="369"/>
        <v>14800</v>
      </c>
    </row>
    <row r="4723" spans="1:14" x14ac:dyDescent="0.3">
      <c r="A4723" s="1">
        <v>14801</v>
      </c>
      <c r="B4723" s="7" t="s">
        <v>7145</v>
      </c>
      <c r="C4723" s="12">
        <v>6351</v>
      </c>
      <c r="D4723" s="7" t="s">
        <v>7177</v>
      </c>
      <c r="E4723" s="13" t="s">
        <v>5014</v>
      </c>
      <c r="F4723" t="str">
        <f t="shared" si="365"/>
        <v>Hulen</v>
      </c>
      <c r="G4723" t="str">
        <f t="shared" si="366"/>
        <v>Hulen6351Fort Worth</v>
      </c>
      <c r="H4723" t="s">
        <v>35580</v>
      </c>
      <c r="I4723" t="s">
        <v>27003</v>
      </c>
      <c r="J4723" t="str">
        <f t="shared" si="367"/>
        <v>E:\PropInv\MF</v>
      </c>
      <c r="K4723" s="103" t="str">
        <f>HYPERLINK("E:\PropInv\MF\Fort Worth\Hulen Bend Blvd_6351_Coffee Creek_Fort Worth_14801","Hulen Bend Blvd_6351_Coffee Creek_Fort Worth_14801" )</f>
        <v>Hulen Bend Blvd_6351_Coffee Creek_Fort Worth_14801</v>
      </c>
      <c r="L4723" s="104" t="s">
        <v>22253</v>
      </c>
      <c r="M4723" s="103" t="str">
        <f t="shared" si="368"/>
        <v>http://oconnordata.com/mlink/modules/profile/index.cfm?action=profile&amp;prop_id=14801</v>
      </c>
      <c r="N4723" s="1">
        <f t="shared" si="369"/>
        <v>14801</v>
      </c>
    </row>
    <row r="4724" spans="1:14" x14ac:dyDescent="0.3">
      <c r="A4724" s="1">
        <v>14802</v>
      </c>
      <c r="B4724" s="7" t="s">
        <v>7178</v>
      </c>
      <c r="C4724" s="12">
        <v>2700</v>
      </c>
      <c r="D4724" s="7" t="s">
        <v>7179</v>
      </c>
      <c r="E4724" s="13" t="s">
        <v>5097</v>
      </c>
      <c r="F4724" t="str">
        <f t="shared" si="365"/>
        <v>Colorado</v>
      </c>
      <c r="G4724" t="str">
        <f t="shared" si="366"/>
        <v>Colorado2700Denton</v>
      </c>
      <c r="H4724" t="s">
        <v>35581</v>
      </c>
      <c r="I4724" t="s">
        <v>27004</v>
      </c>
      <c r="J4724" t="str">
        <f t="shared" si="367"/>
        <v>E:\PropInv\MF</v>
      </c>
      <c r="K4724" s="103" t="str">
        <f>HYPERLINK("E:\PropInv\MF\Denton\Colorado Blvd_2700_The Ridge at North Texas_Denton_14802","Colorado Blvd_2700_The Ridge at North Texas_Denton_14802" )</f>
        <v>Colorado Blvd_2700_The Ridge at North Texas_Denton_14802</v>
      </c>
      <c r="L4724" s="104" t="s">
        <v>22253</v>
      </c>
      <c r="M4724" s="103" t="str">
        <f t="shared" si="368"/>
        <v>http://oconnordata.com/mlink/modules/profile/index.cfm?action=profile&amp;prop_id=14802</v>
      </c>
      <c r="N4724" s="1">
        <f t="shared" si="369"/>
        <v>14802</v>
      </c>
    </row>
    <row r="4725" spans="1:14" x14ac:dyDescent="0.3">
      <c r="A4725" s="1">
        <v>14803</v>
      </c>
      <c r="B4725" s="7" t="s">
        <v>7180</v>
      </c>
      <c r="C4725" s="12">
        <v>3150</v>
      </c>
      <c r="D4725" s="7" t="s">
        <v>5757</v>
      </c>
      <c r="E4725" s="13" t="s">
        <v>7181</v>
      </c>
      <c r="F4725" t="str">
        <f t="shared" si="365"/>
        <v>Garrison</v>
      </c>
      <c r="G4725" t="str">
        <f t="shared" si="366"/>
        <v>Garrison3150Corinth</v>
      </c>
      <c r="H4725" t="s">
        <v>35582</v>
      </c>
      <c r="I4725" t="s">
        <v>27005</v>
      </c>
      <c r="J4725" t="str">
        <f t="shared" si="367"/>
        <v>E:\PropInv\MF</v>
      </c>
      <c r="K4725" s="103" t="str">
        <f>HYPERLINK("E:\PropInv\MF\Corinth\Garrison Rd_3150_Kensington Park_Corinth_14803","Garrison Rd_3150_Kensington Park_Corinth_14803" )</f>
        <v>Garrison Rd_3150_Kensington Park_Corinth_14803</v>
      </c>
      <c r="L4725" s="104" t="s">
        <v>22253</v>
      </c>
      <c r="M4725" s="103" t="str">
        <f t="shared" si="368"/>
        <v>http://oconnordata.com/mlink/modules/profile/index.cfm?action=profile&amp;prop_id=14803</v>
      </c>
      <c r="N4725" s="1">
        <f t="shared" si="369"/>
        <v>14803</v>
      </c>
    </row>
    <row r="4726" spans="1:14" x14ac:dyDescent="0.3">
      <c r="A4726" s="1">
        <v>14804</v>
      </c>
      <c r="B4726" s="7" t="s">
        <v>7182</v>
      </c>
      <c r="C4726" s="12">
        <v>1020</v>
      </c>
      <c r="D4726" s="7" t="s">
        <v>7183</v>
      </c>
      <c r="E4726" s="13" t="s">
        <v>5055</v>
      </c>
      <c r="F4726" t="str">
        <f t="shared" si="365"/>
        <v>Fox</v>
      </c>
      <c r="G4726" t="str">
        <f t="shared" si="366"/>
        <v>Fox1020Lewisville</v>
      </c>
      <c r="H4726" t="s">
        <v>35583</v>
      </c>
      <c r="I4726" t="s">
        <v>27006</v>
      </c>
      <c r="J4726" t="str">
        <f t="shared" si="367"/>
        <v>E:\PropInv\MF</v>
      </c>
      <c r="K4726" s="103" t="str">
        <f>HYPERLINK("E:\PropInv\MF\Lewisville\Fox Ave W_1020_Basswood Manor_Lewisville_14804","Fox Ave W_1020_Basswood Manor_Lewisville_14804" )</f>
        <v>Fox Ave W_1020_Basswood Manor_Lewisville_14804</v>
      </c>
      <c r="L4726" s="104" t="s">
        <v>22253</v>
      </c>
      <c r="M4726" s="103" t="str">
        <f t="shared" si="368"/>
        <v>http://oconnordata.com/mlink/modules/profile/index.cfm?action=profile&amp;prop_id=14804</v>
      </c>
      <c r="N4726" s="1">
        <f t="shared" si="369"/>
        <v>14804</v>
      </c>
    </row>
    <row r="4727" spans="1:14" x14ac:dyDescent="0.3">
      <c r="A4727" s="1">
        <v>14805</v>
      </c>
      <c r="B4727" s="7" t="s">
        <v>5884</v>
      </c>
      <c r="C4727" s="12">
        <v>195</v>
      </c>
      <c r="D4727" s="7" t="s">
        <v>7184</v>
      </c>
      <c r="E4727" s="13" t="s">
        <v>5055</v>
      </c>
      <c r="F4727" t="str">
        <f t="shared" si="365"/>
        <v>Round</v>
      </c>
      <c r="G4727" t="str">
        <f t="shared" si="366"/>
        <v>Round195Lewisville</v>
      </c>
      <c r="H4727" t="s">
        <v>35584</v>
      </c>
      <c r="I4727" t="s">
        <v>27007</v>
      </c>
      <c r="J4727" t="str">
        <f t="shared" si="367"/>
        <v>E:\PropInv\MF</v>
      </c>
      <c r="K4727" s="103" t="str">
        <f>HYPERLINK("E:\PropInv\MF\Lewisville\Round Grove Rd E_195_Colonial Village at Oak Bend_Lewisville_14805","Round Grove Rd E_195_Colonial Village at Oak Bend_Lewisville_14805" )</f>
        <v>Round Grove Rd E_195_Colonial Village at Oak Bend_Lewisville_14805</v>
      </c>
      <c r="L4727" s="104" t="s">
        <v>22253</v>
      </c>
      <c r="M4727" s="103" t="str">
        <f t="shared" si="368"/>
        <v>http://oconnordata.com/mlink/modules/profile/index.cfm?action=profile&amp;prop_id=14805</v>
      </c>
      <c r="N4727" s="1">
        <f t="shared" si="369"/>
        <v>14805</v>
      </c>
    </row>
    <row r="4728" spans="1:14" x14ac:dyDescent="0.3">
      <c r="A4728" s="1">
        <v>14807</v>
      </c>
      <c r="B4728" s="7" t="s">
        <v>7185</v>
      </c>
      <c r="C4728" s="12">
        <v>218</v>
      </c>
      <c r="D4728" s="7" t="s">
        <v>7186</v>
      </c>
      <c r="E4728" s="13" t="s">
        <v>5097</v>
      </c>
      <c r="F4728" t="str">
        <f t="shared" si="365"/>
        <v>Texas</v>
      </c>
      <c r="G4728" t="str">
        <f t="shared" si="366"/>
        <v>Texas218Denton</v>
      </c>
      <c r="H4728" t="s">
        <v>35585</v>
      </c>
      <c r="I4728" t="s">
        <v>27008</v>
      </c>
      <c r="J4728" t="str">
        <f t="shared" si="367"/>
        <v>E:\PropInv\MF</v>
      </c>
      <c r="K4728" s="103" t="str">
        <f>HYPERLINK("E:\PropInv\MF\Denton\Texas Blvd N_218_Eagle's Landing Condo Apts_Denton_14807","Texas Blvd N_218_Eagle's Landing Condo Apts_Denton_14807" )</f>
        <v>Texas Blvd N_218_Eagle's Landing Condo Apts_Denton_14807</v>
      </c>
      <c r="L4728" s="104" t="s">
        <v>22253</v>
      </c>
      <c r="M4728" s="103" t="str">
        <f t="shared" si="368"/>
        <v>http://oconnordata.com/mlink/modules/profile/index.cfm?action=profile&amp;prop_id=14807</v>
      </c>
      <c r="N4728" s="1">
        <f t="shared" si="369"/>
        <v>14807</v>
      </c>
    </row>
    <row r="4729" spans="1:14" x14ac:dyDescent="0.3">
      <c r="A4729" s="1">
        <v>14808</v>
      </c>
      <c r="B4729" s="7" t="s">
        <v>7187</v>
      </c>
      <c r="C4729" s="12">
        <v>6051</v>
      </c>
      <c r="D4729" s="7" t="s">
        <v>7188</v>
      </c>
      <c r="E4729" s="13" t="s">
        <v>5014</v>
      </c>
      <c r="F4729" t="str">
        <f t="shared" si="365"/>
        <v>Karen</v>
      </c>
      <c r="G4729" t="str">
        <f t="shared" si="366"/>
        <v>Karen6051Fort Worth</v>
      </c>
      <c r="H4729" t="s">
        <v>35586</v>
      </c>
      <c r="I4729" t="s">
        <v>27009</v>
      </c>
      <c r="J4729" t="str">
        <f t="shared" si="367"/>
        <v>E:\PropInv\MF</v>
      </c>
      <c r="K4729" s="103" t="str">
        <f>HYPERLINK("E:\PropInv\MF\Fort Worth\Karen Cir_6051_Colony On The Green_Fort Worth_14808","Karen Cir_6051_Colony On The Green_Fort Worth_14808" )</f>
        <v>Karen Cir_6051_Colony On The Green_Fort Worth_14808</v>
      </c>
      <c r="L4729" s="104" t="s">
        <v>22253</v>
      </c>
      <c r="M4729" s="103" t="str">
        <f t="shared" si="368"/>
        <v>http://oconnordata.com/mlink/modules/profile/index.cfm?action=profile&amp;prop_id=14808</v>
      </c>
      <c r="N4729" s="1">
        <f t="shared" si="369"/>
        <v>14808</v>
      </c>
    </row>
    <row r="4730" spans="1:14" x14ac:dyDescent="0.3">
      <c r="A4730" s="1">
        <v>14809</v>
      </c>
      <c r="B4730" s="7" t="s">
        <v>7189</v>
      </c>
      <c r="C4730" s="12">
        <v>2777</v>
      </c>
      <c r="D4730" s="7" t="s">
        <v>7190</v>
      </c>
      <c r="E4730" s="13" t="s">
        <v>4996</v>
      </c>
      <c r="F4730" t="str">
        <f t="shared" si="365"/>
        <v>Buckner</v>
      </c>
      <c r="G4730" t="str">
        <f t="shared" si="366"/>
        <v>Buckner2777Dallas</v>
      </c>
      <c r="H4730" t="s">
        <v>35587</v>
      </c>
      <c r="I4730" t="s">
        <v>27010</v>
      </c>
      <c r="J4730" t="str">
        <f t="shared" si="367"/>
        <v>E:\PropInv\MF</v>
      </c>
      <c r="K4730" s="103" t="str">
        <f>HYPERLINK("E:\PropInv\MF\Dallas\Buckner Blvd N_2777_Buckner Park_Dallas_14809","Buckner Blvd N_2777_Buckner Park_Dallas_14809" )</f>
        <v>Buckner Blvd N_2777_Buckner Park_Dallas_14809</v>
      </c>
      <c r="L4730" s="104" t="s">
        <v>22253</v>
      </c>
      <c r="M4730" s="103" t="str">
        <f t="shared" si="368"/>
        <v>http://oconnordata.com/mlink/modules/profile/index.cfm?action=profile&amp;prop_id=14809</v>
      </c>
      <c r="N4730" s="1">
        <f t="shared" si="369"/>
        <v>14809</v>
      </c>
    </row>
    <row r="4731" spans="1:14" x14ac:dyDescent="0.3">
      <c r="A4731" s="1">
        <v>14810</v>
      </c>
      <c r="B4731" s="7" t="s">
        <v>6993</v>
      </c>
      <c r="C4731" s="12">
        <v>7780</v>
      </c>
      <c r="D4731" s="7" t="s">
        <v>7191</v>
      </c>
      <c r="E4731" s="13" t="s">
        <v>4996</v>
      </c>
      <c r="F4731" t="str">
        <f t="shared" si="365"/>
        <v>McCallum</v>
      </c>
      <c r="G4731" t="str">
        <f t="shared" si="366"/>
        <v>McCallum7780Dallas</v>
      </c>
      <c r="H4731" t="s">
        <v>35588</v>
      </c>
      <c r="I4731" t="s">
        <v>27011</v>
      </c>
      <c r="J4731" t="str">
        <f t="shared" si="367"/>
        <v>E:\PropInv\MF</v>
      </c>
      <c r="K4731" s="103" t="str">
        <f>HYPERLINK("E:\PropInv\MF\Dallas\McCallum Blvd_7780_The Gables on McCallum_Dallas_14810","McCallum Blvd_7780_The Gables on McCallum_Dallas_14810" )</f>
        <v>McCallum Blvd_7780_The Gables on McCallum_Dallas_14810</v>
      </c>
      <c r="L4731" s="104" t="s">
        <v>22253</v>
      </c>
      <c r="M4731" s="103" t="str">
        <f t="shared" si="368"/>
        <v>http://oconnordata.com/mlink/modules/profile/index.cfm?action=profile&amp;prop_id=14810</v>
      </c>
      <c r="N4731" s="1">
        <f t="shared" si="369"/>
        <v>14810</v>
      </c>
    </row>
    <row r="4732" spans="1:14" x14ac:dyDescent="0.3">
      <c r="A4732" s="1">
        <v>14811</v>
      </c>
      <c r="B4732" s="7" t="s">
        <v>5096</v>
      </c>
      <c r="C4732" s="12">
        <v>3400</v>
      </c>
      <c r="D4732" s="7" t="s">
        <v>7192</v>
      </c>
      <c r="E4732" s="13" t="s">
        <v>5097</v>
      </c>
      <c r="F4732" t="str">
        <f t="shared" si="365"/>
        <v>Joyce</v>
      </c>
      <c r="G4732" t="str">
        <f t="shared" si="366"/>
        <v>Joyce3400Denton</v>
      </c>
      <c r="H4732" t="s">
        <v>35589</v>
      </c>
      <c r="I4732" t="s">
        <v>27012</v>
      </c>
      <c r="J4732" t="str">
        <f t="shared" si="367"/>
        <v>E:\PropInv\MF</v>
      </c>
      <c r="K4732" s="103" t="str">
        <f>HYPERLINK("E:\PropInv\MF\Denton\Joyce Ln_3400_Kingswood_Denton_14811","Joyce Ln_3400_Kingswood_Denton_14811" )</f>
        <v>Joyce Ln_3400_Kingswood_Denton_14811</v>
      </c>
      <c r="L4732" s="104" t="s">
        <v>22253</v>
      </c>
      <c r="M4732" s="103" t="str">
        <f t="shared" si="368"/>
        <v>http://oconnordata.com/mlink/modules/profile/index.cfm?action=profile&amp;prop_id=14811</v>
      </c>
      <c r="N4732" s="1">
        <f t="shared" si="369"/>
        <v>14811</v>
      </c>
    </row>
    <row r="4733" spans="1:14" x14ac:dyDescent="0.3">
      <c r="A4733" s="1">
        <v>14812</v>
      </c>
      <c r="B4733" s="7" t="s">
        <v>7178</v>
      </c>
      <c r="C4733" s="12">
        <v>1939</v>
      </c>
      <c r="D4733" s="7" t="s">
        <v>7193</v>
      </c>
      <c r="E4733" s="13" t="s">
        <v>5097</v>
      </c>
      <c r="F4733" t="str">
        <f t="shared" si="365"/>
        <v>Colorado</v>
      </c>
      <c r="G4733" t="str">
        <f t="shared" si="366"/>
        <v>Colorado1939Denton</v>
      </c>
      <c r="H4733" t="s">
        <v>35590</v>
      </c>
      <c r="I4733" t="s">
        <v>27013</v>
      </c>
      <c r="J4733" t="str">
        <f t="shared" si="367"/>
        <v>E:\PropInv\MF</v>
      </c>
      <c r="K4733" s="103" t="str">
        <f>HYPERLINK("E:\PropInv\MF\Denton\Colorado Blvd_1939_Colorado Court_Denton_14812","Colorado Blvd_1939_Colorado Court_Denton_14812" )</f>
        <v>Colorado Blvd_1939_Colorado Court_Denton_14812</v>
      </c>
      <c r="L4733" s="104" t="s">
        <v>22253</v>
      </c>
      <c r="M4733" s="103" t="str">
        <f t="shared" si="368"/>
        <v>http://oconnordata.com/mlink/modules/profile/index.cfm?action=profile&amp;prop_id=14812</v>
      </c>
      <c r="N4733" s="1">
        <f t="shared" si="369"/>
        <v>14812</v>
      </c>
    </row>
    <row r="4734" spans="1:14" x14ac:dyDescent="0.3">
      <c r="A4734" s="1">
        <v>14816</v>
      </c>
      <c r="B4734" s="7" t="s">
        <v>4996</v>
      </c>
      <c r="C4734" s="12">
        <v>1200</v>
      </c>
      <c r="D4734" s="7" t="s">
        <v>7194</v>
      </c>
      <c r="E4734" s="13" t="s">
        <v>5097</v>
      </c>
      <c r="F4734" t="str">
        <f t="shared" si="365"/>
        <v>Dallas</v>
      </c>
      <c r="G4734" t="str">
        <f t="shared" si="366"/>
        <v>Dallas1200Denton</v>
      </c>
      <c r="H4734" t="s">
        <v>35591</v>
      </c>
      <c r="I4734" t="s">
        <v>27014</v>
      </c>
      <c r="J4734" t="str">
        <f t="shared" si="367"/>
        <v>E:\PropInv\MF</v>
      </c>
      <c r="K4734" s="103" t="str">
        <f>HYPERLINK("E:\PropInv\MF\Denton\Dallas_1200_La Colina_Denton_14816","Dallas_1200_La Colina_Denton_14816" )</f>
        <v>Dallas_1200_La Colina_Denton_14816</v>
      </c>
      <c r="L4734" s="104" t="s">
        <v>22253</v>
      </c>
      <c r="M4734" s="103" t="str">
        <f t="shared" si="368"/>
        <v>http://oconnordata.com/mlink/modules/profile/index.cfm?action=profile&amp;prop_id=14816</v>
      </c>
      <c r="N4734" s="1">
        <f t="shared" si="369"/>
        <v>14816</v>
      </c>
    </row>
    <row r="4735" spans="1:14" x14ac:dyDescent="0.3">
      <c r="A4735" s="1">
        <v>14817</v>
      </c>
      <c r="B4735" s="7" t="s">
        <v>7195</v>
      </c>
      <c r="C4735" s="12">
        <v>6109</v>
      </c>
      <c r="D4735" s="7" t="s">
        <v>7196</v>
      </c>
      <c r="E4735" s="13" t="s">
        <v>5014</v>
      </c>
      <c r="F4735" t="str">
        <f t="shared" si="365"/>
        <v>Westridge</v>
      </c>
      <c r="G4735" t="str">
        <f t="shared" si="366"/>
        <v>Westridge6109Fort Worth</v>
      </c>
      <c r="H4735" t="s">
        <v>35592</v>
      </c>
      <c r="I4735" t="s">
        <v>27015</v>
      </c>
      <c r="J4735" t="str">
        <f t="shared" si="367"/>
        <v>E:\PropInv\MF</v>
      </c>
      <c r="K4735" s="103" t="str">
        <f>HYPERLINK("E:\PropInv\MF\Fort Worth\Westridge Ln_6109_Commons at Ridglea_Fort Worth_14817","Westridge Ln_6109_Commons at Ridglea_Fort Worth_14817" )</f>
        <v>Westridge Ln_6109_Commons at Ridglea_Fort Worth_14817</v>
      </c>
      <c r="L4735" s="104" t="s">
        <v>22253</v>
      </c>
      <c r="M4735" s="103" t="str">
        <f t="shared" si="368"/>
        <v>http://oconnordata.com/mlink/modules/profile/index.cfm?action=profile&amp;prop_id=14817</v>
      </c>
      <c r="N4735" s="1">
        <f t="shared" si="369"/>
        <v>14817</v>
      </c>
    </row>
    <row r="4736" spans="1:14" x14ac:dyDescent="0.3">
      <c r="A4736" s="1">
        <v>14819</v>
      </c>
      <c r="B4736" s="7" t="s">
        <v>5763</v>
      </c>
      <c r="C4736" s="12">
        <v>1901</v>
      </c>
      <c r="D4736" s="7" t="s">
        <v>1261</v>
      </c>
      <c r="E4736" s="13" t="s">
        <v>5019</v>
      </c>
      <c r="F4736" t="str">
        <f t="shared" si="365"/>
        <v>Kingsley</v>
      </c>
      <c r="G4736" t="str">
        <f t="shared" si="366"/>
        <v>Kingsley1901Garland</v>
      </c>
      <c r="H4736" t="s">
        <v>35593</v>
      </c>
      <c r="I4736" t="s">
        <v>27016</v>
      </c>
      <c r="J4736" t="str">
        <f t="shared" si="367"/>
        <v>E:\PropInv\MF</v>
      </c>
      <c r="K4736" s="103" t="str">
        <f>HYPERLINK("E:\PropInv\MF\Garland\Kingsley W_1901_Parkside_Garland_14819","Kingsley W_1901_Parkside_Garland_14819" )</f>
        <v>Kingsley W_1901_Parkside_Garland_14819</v>
      </c>
      <c r="L4736" s="104" t="s">
        <v>22253</v>
      </c>
      <c r="M4736" s="103" t="str">
        <f t="shared" si="368"/>
        <v>http://oconnordata.com/mlink/modules/profile/index.cfm?action=profile&amp;prop_id=14819</v>
      </c>
      <c r="N4736" s="1">
        <f t="shared" si="369"/>
        <v>14819</v>
      </c>
    </row>
    <row r="4737" spans="1:14" x14ac:dyDescent="0.3">
      <c r="A4737" s="1">
        <v>14820</v>
      </c>
      <c r="B4737" s="7" t="s">
        <v>592</v>
      </c>
      <c r="C4737" s="12">
        <v>3302</v>
      </c>
      <c r="D4737" s="29" t="s">
        <v>7197</v>
      </c>
      <c r="E4737" s="13" t="s">
        <v>4996</v>
      </c>
      <c r="F4737" t="str">
        <f t="shared" si="365"/>
        <v>Linda</v>
      </c>
      <c r="G4737" t="str">
        <f t="shared" si="366"/>
        <v>Linda3302Dallas</v>
      </c>
      <c r="H4737" t="s">
        <v>35594</v>
      </c>
      <c r="I4737" t="s">
        <v>27017</v>
      </c>
      <c r="J4737" t="str">
        <f t="shared" si="367"/>
        <v>E:\PropInv\MF</v>
      </c>
      <c r="K4737" s="103" t="str">
        <f>HYPERLINK("E:\PropInv\MF\Dallas\Linda Dr_3302_Andora_Dallas_14820","Linda Dr_3302_Andora_Dallas_14820" )</f>
        <v>Linda Dr_3302_Andora_Dallas_14820</v>
      </c>
      <c r="L4737" s="104" t="s">
        <v>22253</v>
      </c>
      <c r="M4737" s="103" t="str">
        <f t="shared" si="368"/>
        <v>http://oconnordata.com/mlink/modules/profile/index.cfm?action=profile&amp;prop_id=14820</v>
      </c>
      <c r="N4737" s="1">
        <f t="shared" si="369"/>
        <v>14820</v>
      </c>
    </row>
    <row r="4738" spans="1:14" x14ac:dyDescent="0.3">
      <c r="A4738" s="1">
        <v>14821</v>
      </c>
      <c r="B4738" s="7" t="s">
        <v>7198</v>
      </c>
      <c r="C4738" s="12">
        <v>501</v>
      </c>
      <c r="D4738" s="7" t="s">
        <v>7199</v>
      </c>
      <c r="E4738" s="13" t="s">
        <v>5014</v>
      </c>
      <c r="F4738" t="str">
        <f t="shared" ref="F4738:F4801" si="370">IFERROR(LEFT(B4738,FIND(" ",B4738)-1),B4738)</f>
        <v>Edgewood</v>
      </c>
      <c r="G4738" t="str">
        <f t="shared" ref="G4738:G4801" si="371">F4738&amp;C4738&amp;E4738</f>
        <v>Edgewood501Fort Worth</v>
      </c>
      <c r="H4738" t="s">
        <v>35595</v>
      </c>
      <c r="I4738" t="s">
        <v>27018</v>
      </c>
      <c r="J4738" t="str">
        <f t="shared" ref="J4738:J4801" si="372">IF(L4738="TX",Folder_Path,Folder_Path&amp;"\State_"&amp;L4738)</f>
        <v>E:\PropInv\MF</v>
      </c>
      <c r="K4738" s="103" t="str">
        <f>HYPERLINK("E:\PropInv\MF\Fort Worth\Edgewood Terrace S_501_Edgewood Oaks_Fort Worth_14821","Edgewood Terrace S_501_Edgewood Oaks_Fort Worth_14821" )</f>
        <v>Edgewood Terrace S_501_Edgewood Oaks_Fort Worth_14821</v>
      </c>
      <c r="L4738" s="104" t="s">
        <v>22253</v>
      </c>
      <c r="M4738" s="103" t="str">
        <f t="shared" ref="M4738:M4801" si="373">HYPERLINK("http://oconnordata.com/mlink/modules/profile/index.cfm?action=profile&amp;prop_id="&amp;A4738)</f>
        <v>http://oconnordata.com/mlink/modules/profile/index.cfm?action=profile&amp;prop_id=14821</v>
      </c>
      <c r="N4738" s="1">
        <f t="shared" ref="N4738:N4801" si="374">IF(LEN(A4738)=1,"0000"&amp;A4738,IF(LEN(A4738)=2,"000"&amp;A4738,IF(LEN(A4738)=3,"00"&amp;A4738,IF(LEN(A4738)=4,"0"&amp;A4738,IF(LEN(A4738)=5,IF(LEFT(A4738,1)="3",A4738+30000,A4738))))))</f>
        <v>14821</v>
      </c>
    </row>
    <row r="4739" spans="1:14" x14ac:dyDescent="0.3">
      <c r="A4739" s="1">
        <v>14825</v>
      </c>
      <c r="B4739" s="7" t="s">
        <v>7200</v>
      </c>
      <c r="C4739" s="12">
        <v>9494</v>
      </c>
      <c r="D4739" s="7" t="s">
        <v>7201</v>
      </c>
      <c r="E4739" s="13" t="s">
        <v>4996</v>
      </c>
      <c r="F4739" t="str">
        <f t="shared" si="370"/>
        <v>Larga</v>
      </c>
      <c r="G4739" t="str">
        <f t="shared" si="371"/>
        <v>Larga9494Dallas</v>
      </c>
      <c r="H4739" t="s">
        <v>35596</v>
      </c>
      <c r="I4739" t="s">
        <v>27019</v>
      </c>
      <c r="J4739" t="str">
        <f t="shared" si="372"/>
        <v>E:\PropInv\MF</v>
      </c>
      <c r="K4739" s="103" t="str">
        <f>HYPERLINK("E:\PropInv\MF\Dallas\Larga Dr_9494_Chapel Oaks_Dallas_14825","Larga Dr_9494_Chapel Oaks_Dallas_14825" )</f>
        <v>Larga Dr_9494_Chapel Oaks_Dallas_14825</v>
      </c>
      <c r="L4739" s="104" t="s">
        <v>22253</v>
      </c>
      <c r="M4739" s="103" t="str">
        <f t="shared" si="373"/>
        <v>http://oconnordata.com/mlink/modules/profile/index.cfm?action=profile&amp;prop_id=14825</v>
      </c>
      <c r="N4739" s="1">
        <f t="shared" si="374"/>
        <v>14825</v>
      </c>
    </row>
    <row r="4740" spans="1:14" x14ac:dyDescent="0.3">
      <c r="A4740" s="1">
        <v>14826</v>
      </c>
      <c r="B4740" s="7" t="s">
        <v>7202</v>
      </c>
      <c r="C4740" s="12">
        <v>3200</v>
      </c>
      <c r="D4740" s="7" t="s">
        <v>7203</v>
      </c>
      <c r="E4740" s="13" t="s">
        <v>5009</v>
      </c>
      <c r="F4740" t="str">
        <f t="shared" si="370"/>
        <v>Parkwood</v>
      </c>
      <c r="G4740" t="str">
        <f t="shared" si="371"/>
        <v>Parkwood3200Plano</v>
      </c>
      <c r="H4740" t="s">
        <v>35597</v>
      </c>
      <c r="I4740" t="s">
        <v>27020</v>
      </c>
      <c r="J4740" t="str">
        <f t="shared" si="372"/>
        <v>E:\PropInv\MF</v>
      </c>
      <c r="K4740" s="103" t="str">
        <f>HYPERLINK("E:\PropInv\MF\Plano\Parkwood Blvd_3200_The Wellington at Willow Bend_Plano_14826","Parkwood Blvd_3200_The Wellington at Willow Bend_Plano_14826" )</f>
        <v>Parkwood Blvd_3200_The Wellington at Willow Bend_Plano_14826</v>
      </c>
      <c r="L4740" s="104" t="s">
        <v>22253</v>
      </c>
      <c r="M4740" s="103" t="str">
        <f t="shared" si="373"/>
        <v>http://oconnordata.com/mlink/modules/profile/index.cfm?action=profile&amp;prop_id=14826</v>
      </c>
      <c r="N4740" s="1">
        <f t="shared" si="374"/>
        <v>14826</v>
      </c>
    </row>
    <row r="4741" spans="1:14" x14ac:dyDescent="0.3">
      <c r="A4741" s="1">
        <v>14829</v>
      </c>
      <c r="B4741" s="7" t="s">
        <v>4981</v>
      </c>
      <c r="C4741" s="12">
        <v>8597</v>
      </c>
      <c r="D4741" s="7" t="s">
        <v>4981</v>
      </c>
      <c r="E4741" s="13" t="s">
        <v>7120</v>
      </c>
      <c r="F4741" t="str">
        <f t="shared" si="370"/>
        <v>La</v>
      </c>
      <c r="G4741" t="str">
        <f t="shared" si="371"/>
        <v>La8597White Settlement</v>
      </c>
      <c r="H4741" t="s">
        <v>35598</v>
      </c>
      <c r="I4741" t="s">
        <v>27021</v>
      </c>
      <c r="J4741" t="str">
        <f t="shared" si="372"/>
        <v>E:\PropInv\MF</v>
      </c>
      <c r="K4741" s="103" t="str">
        <f>HYPERLINK("E:\PropInv\MF\White Settlement\La Plaza_8597_La Plaza_White Settlement_14829","La Plaza_8597_La Plaza_White Settlement_14829" )</f>
        <v>La Plaza_8597_La Plaza_White Settlement_14829</v>
      </c>
      <c r="L4741" s="104" t="s">
        <v>22253</v>
      </c>
      <c r="M4741" s="103" t="str">
        <f t="shared" si="373"/>
        <v>http://oconnordata.com/mlink/modules/profile/index.cfm?action=profile&amp;prop_id=14829</v>
      </c>
      <c r="N4741" s="1">
        <f t="shared" si="374"/>
        <v>14829</v>
      </c>
    </row>
    <row r="4742" spans="1:14" x14ac:dyDescent="0.3">
      <c r="A4742" s="1">
        <v>14830</v>
      </c>
      <c r="B4742" s="7" t="s">
        <v>7204</v>
      </c>
      <c r="C4742" s="12">
        <v>400</v>
      </c>
      <c r="D4742" s="7" t="s">
        <v>188</v>
      </c>
      <c r="E4742" s="13" t="s">
        <v>7120</v>
      </c>
      <c r="F4742" t="str">
        <f t="shared" si="370"/>
        <v>Ralph</v>
      </c>
      <c r="G4742" t="str">
        <f t="shared" si="371"/>
        <v>Ralph400White Settlement</v>
      </c>
      <c r="H4742" t="s">
        <v>35599</v>
      </c>
      <c r="I4742" t="s">
        <v>27022</v>
      </c>
      <c r="J4742" t="str">
        <f t="shared" si="372"/>
        <v>E:\PropInv\MF</v>
      </c>
      <c r="K4742" s="103" t="str">
        <f>HYPERLINK("E:\PropInv\MF\White Settlement\Ralph St_400_The Legacy_White Settlement_14830","Ralph St_400_The Legacy_White Settlement_14830" )</f>
        <v>Ralph St_400_The Legacy_White Settlement_14830</v>
      </c>
      <c r="L4742" s="104" t="s">
        <v>22253</v>
      </c>
      <c r="M4742" s="103" t="str">
        <f t="shared" si="373"/>
        <v>http://oconnordata.com/mlink/modules/profile/index.cfm?action=profile&amp;prop_id=14830</v>
      </c>
      <c r="N4742" s="1">
        <f t="shared" si="374"/>
        <v>14830</v>
      </c>
    </row>
    <row r="4743" spans="1:14" x14ac:dyDescent="0.3">
      <c r="A4743" s="1">
        <v>14832</v>
      </c>
      <c r="B4743" s="7" t="s">
        <v>7205</v>
      </c>
      <c r="C4743" s="12">
        <v>18383</v>
      </c>
      <c r="D4743" s="7" t="s">
        <v>2943</v>
      </c>
      <c r="E4743" s="13" t="s">
        <v>4996</v>
      </c>
      <c r="F4743" t="str">
        <f t="shared" si="370"/>
        <v>Gallery</v>
      </c>
      <c r="G4743" t="str">
        <f t="shared" si="371"/>
        <v>Gallery18383Dallas</v>
      </c>
      <c r="H4743" t="s">
        <v>35600</v>
      </c>
      <c r="I4743" t="s">
        <v>27023</v>
      </c>
      <c r="J4743" t="str">
        <f t="shared" si="372"/>
        <v>E:\PropInv\MF</v>
      </c>
      <c r="K4743" s="103" t="str">
        <f>HYPERLINK("E:\PropInv\MF\Dallas\Gallery Dr_18383_The Gallery_Dallas_14832","Gallery Dr_18383_The Gallery_Dallas_14832" )</f>
        <v>Gallery Dr_18383_The Gallery_Dallas_14832</v>
      </c>
      <c r="L4743" s="104" t="s">
        <v>22253</v>
      </c>
      <c r="M4743" s="103" t="str">
        <f t="shared" si="373"/>
        <v>http://oconnordata.com/mlink/modules/profile/index.cfm?action=profile&amp;prop_id=14832</v>
      </c>
      <c r="N4743" s="1">
        <f t="shared" si="374"/>
        <v>14832</v>
      </c>
    </row>
    <row r="4744" spans="1:14" x14ac:dyDescent="0.3">
      <c r="A4744" s="1">
        <v>14833</v>
      </c>
      <c r="B4744" s="7" t="s">
        <v>7206</v>
      </c>
      <c r="C4744" s="12">
        <v>7125</v>
      </c>
      <c r="D4744" s="7" t="s">
        <v>7207</v>
      </c>
      <c r="E4744" s="13" t="s">
        <v>5014</v>
      </c>
      <c r="F4744" t="str">
        <f t="shared" si="370"/>
        <v>Hallmark</v>
      </c>
      <c r="G4744" t="str">
        <f t="shared" si="371"/>
        <v>Hallmark7125Fort Worth</v>
      </c>
      <c r="H4744" t="s">
        <v>35601</v>
      </c>
      <c r="I4744" t="s">
        <v>27024</v>
      </c>
      <c r="J4744" t="str">
        <f t="shared" si="372"/>
        <v>E:\PropInv\MF</v>
      </c>
      <c r="K4744" s="103" t="str">
        <f>HYPERLINK("E:\PropInv\MF\Fort Worth\Hallmark Dr S_7125_Emerald Trails_Fort Worth_14833","Hallmark Dr S_7125_Emerald Trails_Fort Worth_14833" )</f>
        <v>Hallmark Dr S_7125_Emerald Trails_Fort Worth_14833</v>
      </c>
      <c r="L4744" s="104" t="s">
        <v>22253</v>
      </c>
      <c r="M4744" s="103" t="str">
        <f t="shared" si="373"/>
        <v>http://oconnordata.com/mlink/modules/profile/index.cfm?action=profile&amp;prop_id=14833</v>
      </c>
      <c r="N4744" s="1">
        <f t="shared" si="374"/>
        <v>14833</v>
      </c>
    </row>
    <row r="4745" spans="1:14" x14ac:dyDescent="0.3">
      <c r="A4745" s="1">
        <v>14834</v>
      </c>
      <c r="B4745" s="7" t="s">
        <v>6483</v>
      </c>
      <c r="C4745" s="12">
        <v>5811</v>
      </c>
      <c r="D4745" s="7" t="s">
        <v>7208</v>
      </c>
      <c r="E4745" s="13" t="s">
        <v>4996</v>
      </c>
      <c r="F4745" t="str">
        <f t="shared" si="370"/>
        <v>Pineland</v>
      </c>
      <c r="G4745" t="str">
        <f t="shared" si="371"/>
        <v>Pineland5811Dallas</v>
      </c>
      <c r="H4745" t="s">
        <v>35602</v>
      </c>
      <c r="I4745" t="s">
        <v>27025</v>
      </c>
      <c r="J4745" t="str">
        <f t="shared" si="372"/>
        <v>E:\PropInv\MF</v>
      </c>
      <c r="K4745" s="103" t="str">
        <f>HYPERLINK("E:\PropInv\MF\Dallas\Pineland_5811_Pinebranch_Dallas_14834","Pineland_5811_Pinebranch_Dallas_14834" )</f>
        <v>Pineland_5811_Pinebranch_Dallas_14834</v>
      </c>
      <c r="L4745" s="104" t="s">
        <v>22253</v>
      </c>
      <c r="M4745" s="103" t="str">
        <f t="shared" si="373"/>
        <v>http://oconnordata.com/mlink/modules/profile/index.cfm?action=profile&amp;prop_id=14834</v>
      </c>
      <c r="N4745" s="1">
        <f t="shared" si="374"/>
        <v>14834</v>
      </c>
    </row>
    <row r="4746" spans="1:14" x14ac:dyDescent="0.3">
      <c r="A4746" s="1">
        <v>14836</v>
      </c>
      <c r="B4746" s="7" t="s">
        <v>7209</v>
      </c>
      <c r="C4746" s="12">
        <v>2007</v>
      </c>
      <c r="D4746" s="7" t="s">
        <v>7210</v>
      </c>
      <c r="E4746" s="13" t="s">
        <v>5097</v>
      </c>
      <c r="F4746" t="str">
        <f t="shared" si="370"/>
        <v>Teasley</v>
      </c>
      <c r="G4746" t="str">
        <f t="shared" si="371"/>
        <v>Teasley2007Denton</v>
      </c>
      <c r="H4746" t="s">
        <v>35603</v>
      </c>
      <c r="I4746" t="s">
        <v>27026</v>
      </c>
      <c r="J4746" t="str">
        <f t="shared" si="372"/>
        <v>E:\PropInv\MF</v>
      </c>
      <c r="K4746" s="103" t="str">
        <f>HYPERLINK("E:\PropInv\MF\Denton\Teasley Ln_2007_La Prairie_Denton_14836","Teasley Ln_2007_La Prairie_Denton_14836" )</f>
        <v>Teasley Ln_2007_La Prairie_Denton_14836</v>
      </c>
      <c r="L4746" s="104" t="s">
        <v>22253</v>
      </c>
      <c r="M4746" s="103" t="str">
        <f t="shared" si="373"/>
        <v>http://oconnordata.com/mlink/modules/profile/index.cfm?action=profile&amp;prop_id=14836</v>
      </c>
      <c r="N4746" s="1">
        <f t="shared" si="374"/>
        <v>14836</v>
      </c>
    </row>
    <row r="4747" spans="1:14" x14ac:dyDescent="0.3">
      <c r="A4747" s="1">
        <v>14837</v>
      </c>
      <c r="B4747" s="7" t="s">
        <v>7211</v>
      </c>
      <c r="C4747" s="12">
        <v>2925</v>
      </c>
      <c r="D4747" s="7" t="s">
        <v>7212</v>
      </c>
      <c r="E4747" s="13" t="s">
        <v>5014</v>
      </c>
      <c r="F4747" t="str">
        <f t="shared" si="370"/>
        <v>Normandale</v>
      </c>
      <c r="G4747" t="str">
        <f t="shared" si="371"/>
        <v>Normandale2925Fort Worth</v>
      </c>
      <c r="H4747" t="s">
        <v>35604</v>
      </c>
      <c r="I4747" t="s">
        <v>27027</v>
      </c>
      <c r="J4747" t="str">
        <f t="shared" si="372"/>
        <v>E:\PropInv\MF</v>
      </c>
      <c r="K4747" s="103" t="str">
        <f>HYPERLINK("E:\PropInv\MF\Fort Worth\Normandale W_2925_Point West_Fort Worth_14837","Normandale W_2925_Point West_Fort Worth_14837" )</f>
        <v>Normandale W_2925_Point West_Fort Worth_14837</v>
      </c>
      <c r="L4747" s="104" t="s">
        <v>22253</v>
      </c>
      <c r="M4747" s="103" t="str">
        <f t="shared" si="373"/>
        <v>http://oconnordata.com/mlink/modules/profile/index.cfm?action=profile&amp;prop_id=14837</v>
      </c>
      <c r="N4747" s="1">
        <f t="shared" si="374"/>
        <v>14837</v>
      </c>
    </row>
    <row r="4748" spans="1:14" x14ac:dyDescent="0.3">
      <c r="A4748" s="1">
        <v>14840</v>
      </c>
      <c r="B4748" s="7" t="s">
        <v>7213</v>
      </c>
      <c r="C4748" s="12">
        <v>2607</v>
      </c>
      <c r="D4748" s="7" t="s">
        <v>7214</v>
      </c>
      <c r="E4748" s="13" t="s">
        <v>4996</v>
      </c>
      <c r="F4748" t="str">
        <f t="shared" si="370"/>
        <v>Throckmorton</v>
      </c>
      <c r="G4748" t="str">
        <f t="shared" si="371"/>
        <v>Throckmorton2607Dallas</v>
      </c>
      <c r="H4748" t="s">
        <v>35605</v>
      </c>
      <c r="I4748" t="s">
        <v>27028</v>
      </c>
      <c r="J4748" t="str">
        <f t="shared" si="372"/>
        <v>E:\PropInv\MF</v>
      </c>
      <c r="K4748" s="103" t="str">
        <f>HYPERLINK("E:\PropInv\MF\Dallas\Throckmorton_2607_Chevelle_Dallas_14840","Throckmorton_2607_Chevelle_Dallas_14840" )</f>
        <v>Throckmorton_2607_Chevelle_Dallas_14840</v>
      </c>
      <c r="L4748" s="104" t="s">
        <v>22253</v>
      </c>
      <c r="M4748" s="103" t="str">
        <f t="shared" si="373"/>
        <v>http://oconnordata.com/mlink/modules/profile/index.cfm?action=profile&amp;prop_id=14840</v>
      </c>
      <c r="N4748" s="1">
        <f t="shared" si="374"/>
        <v>14840</v>
      </c>
    </row>
    <row r="4749" spans="1:14" x14ac:dyDescent="0.3">
      <c r="A4749" s="1">
        <v>14841</v>
      </c>
      <c r="B4749" s="7" t="s">
        <v>7215</v>
      </c>
      <c r="C4749" s="12">
        <v>3386</v>
      </c>
      <c r="D4749" s="7" t="s">
        <v>7216</v>
      </c>
      <c r="E4749" s="13" t="s">
        <v>5014</v>
      </c>
      <c r="F4749" t="str">
        <f t="shared" si="370"/>
        <v>Polo</v>
      </c>
      <c r="G4749" t="str">
        <f t="shared" si="371"/>
        <v>Polo3386Fort Worth</v>
      </c>
      <c r="H4749" t="s">
        <v>35606</v>
      </c>
      <c r="I4749" t="s">
        <v>27029</v>
      </c>
      <c r="J4749" t="str">
        <f t="shared" si="372"/>
        <v>E:\PropInv\MF</v>
      </c>
      <c r="K4749" s="103" t="str">
        <f>HYPERLINK("E:\PropInv\MF\Fort Worth\Polo Club Dr S_3386_The Polo Club_Fort Worth_14841","Polo Club Dr S_3386_The Polo Club_Fort Worth_14841" )</f>
        <v>Polo Club Dr S_3386_The Polo Club_Fort Worth_14841</v>
      </c>
      <c r="L4749" s="104" t="s">
        <v>22253</v>
      </c>
      <c r="M4749" s="103" t="str">
        <f t="shared" si="373"/>
        <v>http://oconnordata.com/mlink/modules/profile/index.cfm?action=profile&amp;prop_id=14841</v>
      </c>
      <c r="N4749" s="1">
        <f t="shared" si="374"/>
        <v>14841</v>
      </c>
    </row>
    <row r="4750" spans="1:14" x14ac:dyDescent="0.3">
      <c r="A4750" s="1">
        <v>14842</v>
      </c>
      <c r="B4750" s="7" t="s">
        <v>7217</v>
      </c>
      <c r="C4750" s="12">
        <v>125</v>
      </c>
      <c r="D4750" s="7" t="s">
        <v>234</v>
      </c>
      <c r="E4750" s="13" t="s">
        <v>6909</v>
      </c>
      <c r="F4750" t="str">
        <f t="shared" si="370"/>
        <v>Vista</v>
      </c>
      <c r="G4750" t="str">
        <f t="shared" si="371"/>
        <v>Vista125Benbrook</v>
      </c>
      <c r="H4750" t="s">
        <v>35607</v>
      </c>
      <c r="I4750" t="s">
        <v>27030</v>
      </c>
      <c r="J4750" t="str">
        <f t="shared" si="372"/>
        <v>E:\PropInv\MF</v>
      </c>
      <c r="K4750" s="103" t="str">
        <f>HYPERLINK("E:\PropInv\MF\Benbrook\Vista Way_125_Lakeview_Benbrook_14842","Vista Way_125_Lakeview_Benbrook_14842" )</f>
        <v>Vista Way_125_Lakeview_Benbrook_14842</v>
      </c>
      <c r="L4750" s="104" t="s">
        <v>22253</v>
      </c>
      <c r="M4750" s="103" t="str">
        <f t="shared" si="373"/>
        <v>http://oconnordata.com/mlink/modules/profile/index.cfm?action=profile&amp;prop_id=14842</v>
      </c>
      <c r="N4750" s="1">
        <f t="shared" si="374"/>
        <v>14842</v>
      </c>
    </row>
    <row r="4751" spans="1:14" x14ac:dyDescent="0.3">
      <c r="A4751" s="1">
        <v>14843</v>
      </c>
      <c r="B4751" s="7" t="s">
        <v>5148</v>
      </c>
      <c r="C4751" s="12">
        <v>6517</v>
      </c>
      <c r="D4751" s="7" t="s">
        <v>7218</v>
      </c>
      <c r="E4751" s="13" t="s">
        <v>4996</v>
      </c>
      <c r="F4751" t="str">
        <f t="shared" si="370"/>
        <v>Melody</v>
      </c>
      <c r="G4751" t="str">
        <f t="shared" si="371"/>
        <v>Melody6517Dallas</v>
      </c>
      <c r="H4751" t="s">
        <v>35608</v>
      </c>
      <c r="I4751" t="s">
        <v>27031</v>
      </c>
      <c r="J4751" t="str">
        <f t="shared" si="372"/>
        <v>E:\PropInv\MF</v>
      </c>
      <c r="K4751" s="103" t="str">
        <f>HYPERLINK("E:\PropInv\MF\Dallas\Melody Ln_6517_Garden Ridge_Dallas_14843","Melody Ln_6517_Garden Ridge_Dallas_14843" )</f>
        <v>Melody Ln_6517_Garden Ridge_Dallas_14843</v>
      </c>
      <c r="L4751" s="104" t="s">
        <v>22253</v>
      </c>
      <c r="M4751" s="103" t="str">
        <f t="shared" si="373"/>
        <v>http://oconnordata.com/mlink/modules/profile/index.cfm?action=profile&amp;prop_id=14843</v>
      </c>
      <c r="N4751" s="1">
        <f t="shared" si="374"/>
        <v>14843</v>
      </c>
    </row>
    <row r="4752" spans="1:14" x14ac:dyDescent="0.3">
      <c r="A4752" s="1">
        <v>14844</v>
      </c>
      <c r="B4752" s="7" t="s">
        <v>3078</v>
      </c>
      <c r="C4752" s="12">
        <v>807</v>
      </c>
      <c r="D4752" s="7" t="s">
        <v>7219</v>
      </c>
      <c r="E4752" s="13" t="s">
        <v>5014</v>
      </c>
      <c r="F4752" t="str">
        <f t="shared" si="370"/>
        <v>Heights</v>
      </c>
      <c r="G4752" t="str">
        <f t="shared" si="371"/>
        <v>Heights807Fort Worth</v>
      </c>
      <c r="H4752" t="s">
        <v>35609</v>
      </c>
      <c r="I4752" t="s">
        <v>27032</v>
      </c>
      <c r="J4752" t="str">
        <f t="shared" si="372"/>
        <v>E:\PropInv\MF</v>
      </c>
      <c r="K4752" s="103" t="str">
        <f>HYPERLINK("E:\PropInv\MF\Fort Worth\Heights_807_Hidden Valley Estates_Fort Worth_14844","Heights_807_Hidden Valley Estates_Fort Worth_14844" )</f>
        <v>Heights_807_Hidden Valley Estates_Fort Worth_14844</v>
      </c>
      <c r="L4752" s="104" t="s">
        <v>22253</v>
      </c>
      <c r="M4752" s="103" t="str">
        <f t="shared" si="373"/>
        <v>http://oconnordata.com/mlink/modules/profile/index.cfm?action=profile&amp;prop_id=14844</v>
      </c>
      <c r="N4752" s="1">
        <f t="shared" si="374"/>
        <v>14844</v>
      </c>
    </row>
    <row r="4753" spans="1:14" x14ac:dyDescent="0.3">
      <c r="A4753" s="1">
        <v>14845</v>
      </c>
      <c r="B4753" s="7" t="s">
        <v>7220</v>
      </c>
      <c r="C4753" s="9">
        <v>5200</v>
      </c>
      <c r="D4753" s="10" t="s">
        <v>5411</v>
      </c>
      <c r="E4753" s="11" t="s">
        <v>5014</v>
      </c>
      <c r="F4753" t="str">
        <f t="shared" si="370"/>
        <v>Lancaster</v>
      </c>
      <c r="G4753" t="str">
        <f t="shared" si="371"/>
        <v>Lancaster5200Fort Worth</v>
      </c>
      <c r="H4753" t="s">
        <v>35610</v>
      </c>
      <c r="I4753" t="s">
        <v>27033</v>
      </c>
      <c r="J4753" t="str">
        <f t="shared" si="372"/>
        <v>E:\PropInv\MF</v>
      </c>
      <c r="K4753" s="103" t="str">
        <f>HYPERLINK("E:\PropInv\MF\Fort Worth\Lancaster Ave E_5200_Lancaster_Fort Worth_14845","Lancaster Ave E_5200_Lancaster_Fort Worth_14845" )</f>
        <v>Lancaster Ave E_5200_Lancaster_Fort Worth_14845</v>
      </c>
      <c r="L4753" s="104" t="s">
        <v>22253</v>
      </c>
      <c r="M4753" s="103" t="str">
        <f t="shared" si="373"/>
        <v>http://oconnordata.com/mlink/modules/profile/index.cfm?action=profile&amp;prop_id=14845</v>
      </c>
      <c r="N4753" s="1">
        <f t="shared" si="374"/>
        <v>14845</v>
      </c>
    </row>
    <row r="4754" spans="1:14" x14ac:dyDescent="0.3">
      <c r="A4754" s="1">
        <v>14846</v>
      </c>
      <c r="B4754" s="7" t="s">
        <v>5403</v>
      </c>
      <c r="C4754" s="12">
        <v>3910</v>
      </c>
      <c r="D4754" s="7" t="s">
        <v>7221</v>
      </c>
      <c r="E4754" s="13" t="s">
        <v>5019</v>
      </c>
      <c r="F4754" t="str">
        <f t="shared" si="370"/>
        <v>Walnut</v>
      </c>
      <c r="G4754" t="str">
        <f t="shared" si="371"/>
        <v>Walnut3910Garland</v>
      </c>
      <c r="H4754" t="s">
        <v>35611</v>
      </c>
      <c r="I4754" t="s">
        <v>27034</v>
      </c>
      <c r="J4754" t="str">
        <f t="shared" si="372"/>
        <v>E:\PropInv\MF</v>
      </c>
      <c r="K4754" s="103" t="str">
        <f>HYPERLINK("E:\PropInv\MF\Garland\Walnut W_3910_Pineview_Garland_14846","Walnut W_3910_Pineview_Garland_14846" )</f>
        <v>Walnut W_3910_Pineview_Garland_14846</v>
      </c>
      <c r="L4754" s="104" t="s">
        <v>22253</v>
      </c>
      <c r="M4754" s="103" t="str">
        <f t="shared" si="373"/>
        <v>http://oconnordata.com/mlink/modules/profile/index.cfm?action=profile&amp;prop_id=14846</v>
      </c>
      <c r="N4754" s="1">
        <f t="shared" si="374"/>
        <v>14846</v>
      </c>
    </row>
    <row r="4755" spans="1:14" x14ac:dyDescent="0.3">
      <c r="A4755" s="1">
        <v>14847</v>
      </c>
      <c r="B4755" s="7" t="s">
        <v>5470</v>
      </c>
      <c r="C4755" s="12">
        <v>730</v>
      </c>
      <c r="D4755" s="7" t="s">
        <v>7222</v>
      </c>
      <c r="E4755" s="13" t="s">
        <v>5046</v>
      </c>
      <c r="F4755" t="str">
        <f t="shared" si="370"/>
        <v>Nursery</v>
      </c>
      <c r="G4755" t="str">
        <f t="shared" si="371"/>
        <v>Nursery730Irving</v>
      </c>
      <c r="H4755" t="s">
        <v>35612</v>
      </c>
      <c r="I4755" t="s">
        <v>27035</v>
      </c>
      <c r="J4755" t="str">
        <f t="shared" si="372"/>
        <v>E:\PropInv\MF</v>
      </c>
      <c r="K4755" s="103" t="str">
        <f>HYPERLINK("E:\PropInv\MF\Irving\Nursery Rd N_730_Casa del Sol_Irving_14847","Nursery Rd N_730_Casa del Sol_Irving_14847" )</f>
        <v>Nursery Rd N_730_Casa del Sol_Irving_14847</v>
      </c>
      <c r="L4755" s="104" t="s">
        <v>22253</v>
      </c>
      <c r="M4755" s="103" t="str">
        <f t="shared" si="373"/>
        <v>http://oconnordata.com/mlink/modules/profile/index.cfm?action=profile&amp;prop_id=14847</v>
      </c>
      <c r="N4755" s="1">
        <f t="shared" si="374"/>
        <v>14847</v>
      </c>
    </row>
    <row r="4756" spans="1:14" x14ac:dyDescent="0.3">
      <c r="A4756" s="1">
        <v>14848</v>
      </c>
      <c r="B4756" s="7" t="s">
        <v>7223</v>
      </c>
      <c r="C4756" s="12">
        <v>1920</v>
      </c>
      <c r="D4756" s="7" t="s">
        <v>7224</v>
      </c>
      <c r="E4756" s="13" t="s">
        <v>5097</v>
      </c>
      <c r="F4756" t="str">
        <f t="shared" si="370"/>
        <v>Ruddell</v>
      </c>
      <c r="G4756" t="str">
        <f t="shared" si="371"/>
        <v>Ruddell1920Denton</v>
      </c>
      <c r="H4756" t="s">
        <v>35613</v>
      </c>
      <c r="I4756" t="s">
        <v>27036</v>
      </c>
      <c r="J4756" t="str">
        <f t="shared" si="372"/>
        <v>E:\PropInv\MF</v>
      </c>
      <c r="K4756" s="103" t="str">
        <f>HYPERLINK("E:\PropInv\MF\Denton\Ruddell N_1920_Fairways at University_Denton_14848","Ruddell N_1920_Fairways at University_Denton_14848" )</f>
        <v>Ruddell N_1920_Fairways at University_Denton_14848</v>
      </c>
      <c r="L4756" s="104" t="s">
        <v>22253</v>
      </c>
      <c r="M4756" s="103" t="str">
        <f t="shared" si="373"/>
        <v>http://oconnordata.com/mlink/modules/profile/index.cfm?action=profile&amp;prop_id=14848</v>
      </c>
      <c r="N4756" s="1">
        <f t="shared" si="374"/>
        <v>14848</v>
      </c>
    </row>
    <row r="4757" spans="1:14" x14ac:dyDescent="0.3">
      <c r="A4757" s="1">
        <v>14850</v>
      </c>
      <c r="B4757" s="7" t="s">
        <v>7225</v>
      </c>
      <c r="C4757" s="12">
        <v>2525</v>
      </c>
      <c r="D4757" s="7" t="s">
        <v>7225</v>
      </c>
      <c r="E4757" s="13" t="s">
        <v>4996</v>
      </c>
      <c r="F4757" t="str">
        <f t="shared" si="370"/>
        <v>Players</v>
      </c>
      <c r="G4757" t="str">
        <f t="shared" si="371"/>
        <v>Players2525Dallas</v>
      </c>
      <c r="H4757" t="s">
        <v>35614</v>
      </c>
      <c r="I4757" t="s">
        <v>27037</v>
      </c>
      <c r="J4757" t="str">
        <f t="shared" si="372"/>
        <v>E:\PropInv\MF</v>
      </c>
      <c r="K4757" s="103" t="str">
        <f>HYPERLINK("E:\PropInv\MF\Dallas\Players Club_2525_Players Club_Dallas_14850","Players Club_2525_Players Club_Dallas_14850" )</f>
        <v>Players Club_2525_Players Club_Dallas_14850</v>
      </c>
      <c r="L4757" s="104" t="s">
        <v>22253</v>
      </c>
      <c r="M4757" s="103" t="str">
        <f t="shared" si="373"/>
        <v>http://oconnordata.com/mlink/modules/profile/index.cfm?action=profile&amp;prop_id=14850</v>
      </c>
      <c r="N4757" s="1">
        <f t="shared" si="374"/>
        <v>14850</v>
      </c>
    </row>
    <row r="4758" spans="1:14" x14ac:dyDescent="0.3">
      <c r="A4758" s="1">
        <v>14851</v>
      </c>
      <c r="B4758" s="7" t="s">
        <v>7226</v>
      </c>
      <c r="C4758" s="12">
        <v>17811</v>
      </c>
      <c r="D4758" s="7" t="s">
        <v>7227</v>
      </c>
      <c r="E4758" s="13" t="s">
        <v>4996</v>
      </c>
      <c r="F4758" t="str">
        <f t="shared" si="370"/>
        <v>Vail</v>
      </c>
      <c r="G4758" t="str">
        <f t="shared" si="371"/>
        <v>Vail17811Dallas</v>
      </c>
      <c r="H4758" t="s">
        <v>35615</v>
      </c>
      <c r="I4758" t="s">
        <v>27038</v>
      </c>
      <c r="J4758" t="str">
        <f t="shared" si="372"/>
        <v>E:\PropInv\MF</v>
      </c>
      <c r="K4758" s="103" t="str">
        <f>HYPERLINK("E:\PropInv\MF\Dallas\Vail_17811_Gardens at Vail_Dallas_14851","Vail_17811_Gardens at Vail_Dallas_14851" )</f>
        <v>Vail_17811_Gardens at Vail_Dallas_14851</v>
      </c>
      <c r="L4758" s="104" t="s">
        <v>22253</v>
      </c>
      <c r="M4758" s="103" t="str">
        <f t="shared" si="373"/>
        <v>http://oconnordata.com/mlink/modules/profile/index.cfm?action=profile&amp;prop_id=14851</v>
      </c>
      <c r="N4758" s="1">
        <f t="shared" si="374"/>
        <v>14851</v>
      </c>
    </row>
    <row r="4759" spans="1:14" x14ac:dyDescent="0.3">
      <c r="A4759" s="1">
        <v>14852</v>
      </c>
      <c r="B4759" s="7" t="s">
        <v>7228</v>
      </c>
      <c r="C4759" s="12">
        <v>5801</v>
      </c>
      <c r="D4759" s="7" t="s">
        <v>7229</v>
      </c>
      <c r="E4759" s="13" t="s">
        <v>5014</v>
      </c>
      <c r="F4759" t="str">
        <f t="shared" si="370"/>
        <v>Bridge</v>
      </c>
      <c r="G4759" t="str">
        <f t="shared" si="371"/>
        <v>Bridge5801Fort Worth</v>
      </c>
      <c r="H4759" t="s">
        <v>35616</v>
      </c>
      <c r="I4759" t="s">
        <v>27039</v>
      </c>
      <c r="J4759" t="str">
        <f t="shared" si="372"/>
        <v>E:\PropInv\MF</v>
      </c>
      <c r="K4759" s="103" t="str">
        <f>HYPERLINK("E:\PropInv\MF\Fort Worth\Bridge_5801_Lincoln Meadow_Fort Worth_14852","Bridge_5801_Lincoln Meadow_Fort Worth_14852" )</f>
        <v>Bridge_5801_Lincoln Meadow_Fort Worth_14852</v>
      </c>
      <c r="L4759" s="104" t="s">
        <v>22253</v>
      </c>
      <c r="M4759" s="103" t="str">
        <f t="shared" si="373"/>
        <v>http://oconnordata.com/mlink/modules/profile/index.cfm?action=profile&amp;prop_id=14852</v>
      </c>
      <c r="N4759" s="1">
        <f t="shared" si="374"/>
        <v>14852</v>
      </c>
    </row>
    <row r="4760" spans="1:14" x14ac:dyDescent="0.3">
      <c r="A4760" s="1">
        <v>14853</v>
      </c>
      <c r="B4760" s="7" t="s">
        <v>7230</v>
      </c>
      <c r="C4760" s="12">
        <v>6271</v>
      </c>
      <c r="D4760" s="7" t="s">
        <v>7231</v>
      </c>
      <c r="E4760" s="13" t="s">
        <v>4996</v>
      </c>
      <c r="F4760" t="str">
        <f t="shared" si="370"/>
        <v>Highland</v>
      </c>
      <c r="G4760" t="str">
        <f t="shared" si="371"/>
        <v>Highland6271Dallas</v>
      </c>
      <c r="H4760" t="s">
        <v>35617</v>
      </c>
      <c r="I4760" t="s">
        <v>27040</v>
      </c>
      <c r="J4760" t="str">
        <f t="shared" si="372"/>
        <v>E:\PropInv\MF</v>
      </c>
      <c r="K4760" s="103" t="str">
        <f>HYPERLINK("E:\PropInv\MF\Dallas\Highland Hills_6271_Highland Park Apts_Dallas_14853","Highland Hills_6271_Highland Park Apts_Dallas_14853" )</f>
        <v>Highland Hills_6271_Highland Park Apts_Dallas_14853</v>
      </c>
      <c r="L4760" s="104" t="s">
        <v>22253</v>
      </c>
      <c r="M4760" s="103" t="str">
        <f t="shared" si="373"/>
        <v>http://oconnordata.com/mlink/modules/profile/index.cfm?action=profile&amp;prop_id=14853</v>
      </c>
      <c r="N4760" s="1">
        <f t="shared" si="374"/>
        <v>14853</v>
      </c>
    </row>
    <row r="4761" spans="1:14" x14ac:dyDescent="0.3">
      <c r="A4761" s="1">
        <v>14854</v>
      </c>
      <c r="B4761" s="7" t="s">
        <v>6880</v>
      </c>
      <c r="C4761" s="12">
        <v>5401</v>
      </c>
      <c r="D4761" s="7" t="s">
        <v>708</v>
      </c>
      <c r="E4761" s="13" t="s">
        <v>5014</v>
      </c>
      <c r="F4761" t="str">
        <f t="shared" si="370"/>
        <v>Boca</v>
      </c>
      <c r="G4761" t="str">
        <f t="shared" si="371"/>
        <v>Boca5401Fort Worth</v>
      </c>
      <c r="H4761" t="s">
        <v>35618</v>
      </c>
      <c r="I4761" t="s">
        <v>27041</v>
      </c>
      <c r="J4761" t="str">
        <f t="shared" si="372"/>
        <v>E:\PropInv\MF</v>
      </c>
      <c r="K4761" s="103" t="str">
        <f>HYPERLINK("E:\PropInv\MF\Fort Worth\Boca Raton_5401_Falcon Ridge_Fort Worth_14854","Boca Raton_5401_Falcon Ridge_Fort Worth_14854" )</f>
        <v>Boca Raton_5401_Falcon Ridge_Fort Worth_14854</v>
      </c>
      <c r="L4761" s="104" t="s">
        <v>22253</v>
      </c>
      <c r="M4761" s="103" t="str">
        <f t="shared" si="373"/>
        <v>http://oconnordata.com/mlink/modules/profile/index.cfm?action=profile&amp;prop_id=14854</v>
      </c>
      <c r="N4761" s="1">
        <f t="shared" si="374"/>
        <v>14854</v>
      </c>
    </row>
    <row r="4762" spans="1:14" x14ac:dyDescent="0.3">
      <c r="A4762" s="1">
        <v>14855</v>
      </c>
      <c r="B4762" s="7" t="s">
        <v>6021</v>
      </c>
      <c r="C4762" s="12">
        <v>6044</v>
      </c>
      <c r="D4762" s="7" t="s">
        <v>7232</v>
      </c>
      <c r="E4762" s="13" t="s">
        <v>4996</v>
      </c>
      <c r="F4762" t="str">
        <f t="shared" si="370"/>
        <v>Lovers</v>
      </c>
      <c r="G4762" t="str">
        <f t="shared" si="371"/>
        <v>Lovers6044Dallas</v>
      </c>
      <c r="H4762" t="s">
        <v>35619</v>
      </c>
      <c r="I4762" t="s">
        <v>27042</v>
      </c>
      <c r="J4762" t="str">
        <f t="shared" si="372"/>
        <v>E:\PropInv\MF</v>
      </c>
      <c r="K4762" s="103" t="str">
        <f>HYPERLINK("E:\PropInv\MF\Dallas\Lovers Ln_6044_Plaza On Lovers Lane_Dallas_14855","Lovers Ln_6044_Plaza On Lovers Lane_Dallas_14855" )</f>
        <v>Lovers Ln_6044_Plaza On Lovers Lane_Dallas_14855</v>
      </c>
      <c r="L4762" s="104" t="s">
        <v>22253</v>
      </c>
      <c r="M4762" s="103" t="str">
        <f t="shared" si="373"/>
        <v>http://oconnordata.com/mlink/modules/profile/index.cfm?action=profile&amp;prop_id=14855</v>
      </c>
      <c r="N4762" s="1">
        <f t="shared" si="374"/>
        <v>14855</v>
      </c>
    </row>
    <row r="4763" spans="1:14" x14ac:dyDescent="0.3">
      <c r="A4763" s="1">
        <v>14857</v>
      </c>
      <c r="B4763" s="7" t="s">
        <v>7233</v>
      </c>
      <c r="C4763" s="12">
        <v>9001</v>
      </c>
      <c r="D4763" s="7" t="s">
        <v>5512</v>
      </c>
      <c r="E4763" s="13" t="s">
        <v>5014</v>
      </c>
      <c r="F4763" t="str">
        <f t="shared" si="370"/>
        <v>Normandale</v>
      </c>
      <c r="G4763" t="str">
        <f t="shared" si="371"/>
        <v>Normandale9001Fort Worth</v>
      </c>
      <c r="H4763" t="s">
        <v>35620</v>
      </c>
      <c r="I4763" t="s">
        <v>27043</v>
      </c>
      <c r="J4763" t="str">
        <f t="shared" si="372"/>
        <v>E:\PropInv\MF</v>
      </c>
      <c r="K4763" s="103" t="str">
        <f>HYPERLINK("E:\PropInv\MF\Fort Worth\Normandale S_9001_The Falls_Fort Worth_14857","Normandale S_9001_The Falls_Fort Worth_14857" )</f>
        <v>Normandale S_9001_The Falls_Fort Worth_14857</v>
      </c>
      <c r="L4763" s="104" t="s">
        <v>22253</v>
      </c>
      <c r="M4763" s="103" t="str">
        <f t="shared" si="373"/>
        <v>http://oconnordata.com/mlink/modules/profile/index.cfm?action=profile&amp;prop_id=14857</v>
      </c>
      <c r="N4763" s="1">
        <f t="shared" si="374"/>
        <v>14857</v>
      </c>
    </row>
    <row r="4764" spans="1:14" x14ac:dyDescent="0.3">
      <c r="A4764" s="1">
        <v>14858</v>
      </c>
      <c r="B4764" s="7" t="s">
        <v>7234</v>
      </c>
      <c r="C4764" s="12">
        <v>1721</v>
      </c>
      <c r="D4764" s="7" t="s">
        <v>7235</v>
      </c>
      <c r="E4764" s="13" t="s">
        <v>5097</v>
      </c>
      <c r="F4764" t="str">
        <f t="shared" si="370"/>
        <v>Teasly</v>
      </c>
      <c r="G4764" t="str">
        <f t="shared" si="371"/>
        <v>Teasly1721Denton</v>
      </c>
      <c r="H4764" t="s">
        <v>35621</v>
      </c>
      <c r="I4764" t="s">
        <v>27044</v>
      </c>
      <c r="J4764" t="str">
        <f t="shared" si="372"/>
        <v>E:\PropInv\MF</v>
      </c>
      <c r="K4764" s="103" t="str">
        <f>HYPERLINK("E:\PropInv\MF\Denton\Teasly Ln_1721_Londonderry Oaks_Denton_14858","Teasly Ln_1721_Londonderry Oaks_Denton_14858" )</f>
        <v>Teasly Ln_1721_Londonderry Oaks_Denton_14858</v>
      </c>
      <c r="L4764" s="104" t="s">
        <v>22253</v>
      </c>
      <c r="M4764" s="103" t="str">
        <f t="shared" si="373"/>
        <v>http://oconnordata.com/mlink/modules/profile/index.cfm?action=profile&amp;prop_id=14858</v>
      </c>
      <c r="N4764" s="1">
        <f t="shared" si="374"/>
        <v>14858</v>
      </c>
    </row>
    <row r="4765" spans="1:14" x14ac:dyDescent="0.3">
      <c r="A4765" s="1">
        <v>14859</v>
      </c>
      <c r="B4765" s="7" t="s">
        <v>6975</v>
      </c>
      <c r="C4765" s="12">
        <v>245</v>
      </c>
      <c r="D4765" s="7" t="s">
        <v>7236</v>
      </c>
      <c r="E4765" s="13" t="s">
        <v>5019</v>
      </c>
      <c r="F4765" t="str">
        <f t="shared" si="370"/>
        <v>Barnes</v>
      </c>
      <c r="G4765" t="str">
        <f t="shared" si="371"/>
        <v>Barnes245Garland</v>
      </c>
      <c r="H4765" t="s">
        <v>35622</v>
      </c>
      <c r="I4765" t="s">
        <v>27045</v>
      </c>
      <c r="J4765" t="str">
        <f t="shared" si="372"/>
        <v>E:\PropInv\MF</v>
      </c>
      <c r="K4765" s="103" t="str">
        <f>HYPERLINK("E:\PropInv\MF\Garland\Barnes Dr S_245_Garland Gardens_Garland_14859","Barnes Dr S_245_Garland Gardens_Garland_14859" )</f>
        <v>Barnes Dr S_245_Garland Gardens_Garland_14859</v>
      </c>
      <c r="L4765" s="104" t="s">
        <v>22253</v>
      </c>
      <c r="M4765" s="103" t="str">
        <f t="shared" si="373"/>
        <v>http://oconnordata.com/mlink/modules/profile/index.cfm?action=profile&amp;prop_id=14859</v>
      </c>
      <c r="N4765" s="1">
        <f t="shared" si="374"/>
        <v>14859</v>
      </c>
    </row>
    <row r="4766" spans="1:14" x14ac:dyDescent="0.3">
      <c r="A4766" s="1">
        <v>14861</v>
      </c>
      <c r="B4766" s="7" t="s">
        <v>7125</v>
      </c>
      <c r="C4766" s="12">
        <v>8200</v>
      </c>
      <c r="D4766" s="7" t="s">
        <v>7237</v>
      </c>
      <c r="E4766" s="13" t="s">
        <v>5014</v>
      </c>
      <c r="F4766" t="str">
        <f t="shared" si="370"/>
        <v>Brentwood</v>
      </c>
      <c r="G4766" t="str">
        <f t="shared" si="371"/>
        <v>Brentwood8200Fort Worth</v>
      </c>
      <c r="H4766" t="s">
        <v>35623</v>
      </c>
      <c r="I4766" t="s">
        <v>27046</v>
      </c>
      <c r="J4766" t="str">
        <f t="shared" si="372"/>
        <v>E:\PropInv\MF</v>
      </c>
      <c r="K4766" s="103" t="str">
        <f>HYPERLINK("E:\PropInv\MF\Fort Worth\Brentwood Stair Rd_8200_Fireside at Eastchase_Fort Worth_14861","Brentwood Stair Rd_8200_Fireside at Eastchase_Fort Worth_14861" )</f>
        <v>Brentwood Stair Rd_8200_Fireside at Eastchase_Fort Worth_14861</v>
      </c>
      <c r="L4766" s="104" t="s">
        <v>22253</v>
      </c>
      <c r="M4766" s="103" t="str">
        <f t="shared" si="373"/>
        <v>http://oconnordata.com/mlink/modules/profile/index.cfm?action=profile&amp;prop_id=14861</v>
      </c>
      <c r="N4766" s="1">
        <f t="shared" si="374"/>
        <v>14861</v>
      </c>
    </row>
    <row r="4767" spans="1:14" x14ac:dyDescent="0.3">
      <c r="A4767" s="1">
        <v>14862</v>
      </c>
      <c r="B4767" s="7" t="s">
        <v>5958</v>
      </c>
      <c r="C4767" s="12">
        <v>8203</v>
      </c>
      <c r="D4767" s="7" t="s">
        <v>7238</v>
      </c>
      <c r="E4767" s="13" t="s">
        <v>4996</v>
      </c>
      <c r="F4767" t="str">
        <f t="shared" si="370"/>
        <v>Southwestern</v>
      </c>
      <c r="G4767" t="str">
        <f t="shared" si="371"/>
        <v>Southwestern8203Dallas</v>
      </c>
      <c r="H4767" t="s">
        <v>35624</v>
      </c>
      <c r="I4767" t="s">
        <v>27047</v>
      </c>
      <c r="J4767" t="str">
        <f t="shared" si="372"/>
        <v>E:\PropInv\MF</v>
      </c>
      <c r="K4767" s="103" t="str">
        <f>HYPERLINK("E:\PropInv\MF\Dallas\Southwestern Blvd_8203_The Gate_Dallas_14862","Southwestern Blvd_8203_The Gate_Dallas_14862" )</f>
        <v>Southwestern Blvd_8203_The Gate_Dallas_14862</v>
      </c>
      <c r="L4767" s="104" t="s">
        <v>22253</v>
      </c>
      <c r="M4767" s="103" t="str">
        <f t="shared" si="373"/>
        <v>http://oconnordata.com/mlink/modules/profile/index.cfm?action=profile&amp;prop_id=14862</v>
      </c>
      <c r="N4767" s="1">
        <f t="shared" si="374"/>
        <v>14862</v>
      </c>
    </row>
    <row r="4768" spans="1:14" x14ac:dyDescent="0.3">
      <c r="A4768" s="1">
        <v>14863</v>
      </c>
      <c r="B4768" s="7" t="s">
        <v>7239</v>
      </c>
      <c r="C4768" s="12">
        <v>400</v>
      </c>
      <c r="D4768" s="7" t="s">
        <v>7240</v>
      </c>
      <c r="E4768" s="13" t="s">
        <v>5097</v>
      </c>
      <c r="F4768" t="str">
        <f t="shared" si="370"/>
        <v>Audra</v>
      </c>
      <c r="G4768" t="str">
        <f t="shared" si="371"/>
        <v>Audra400Denton</v>
      </c>
      <c r="H4768" t="s">
        <v>35625</v>
      </c>
      <c r="I4768" t="s">
        <v>27048</v>
      </c>
      <c r="J4768" t="str">
        <f t="shared" si="372"/>
        <v>E:\PropInv\MF</v>
      </c>
      <c r="K4768" s="103" t="str">
        <f>HYPERLINK("E:\PropInv\MF\Denton\Audra Ln_400_Mack Park_Denton_14863","Audra Ln_400_Mack Park_Denton_14863" )</f>
        <v>Audra Ln_400_Mack Park_Denton_14863</v>
      </c>
      <c r="L4768" s="104" t="s">
        <v>22253</v>
      </c>
      <c r="M4768" s="103" t="str">
        <f t="shared" si="373"/>
        <v>http://oconnordata.com/mlink/modules/profile/index.cfm?action=profile&amp;prop_id=14863</v>
      </c>
      <c r="N4768" s="1">
        <f t="shared" si="374"/>
        <v>14863</v>
      </c>
    </row>
    <row r="4769" spans="1:14" x14ac:dyDescent="0.3">
      <c r="A4769" s="1">
        <v>14864</v>
      </c>
      <c r="B4769" s="7" t="s">
        <v>2103</v>
      </c>
      <c r="C4769" s="12">
        <v>10588</v>
      </c>
      <c r="D4769" s="7" t="s">
        <v>7241</v>
      </c>
      <c r="E4769" s="13" t="s">
        <v>4996</v>
      </c>
      <c r="F4769" t="str">
        <f t="shared" si="370"/>
        <v>Stone</v>
      </c>
      <c r="G4769" t="str">
        <f t="shared" si="371"/>
        <v>Stone10588Dallas</v>
      </c>
      <c r="H4769" t="s">
        <v>35626</v>
      </c>
      <c r="I4769" t="s">
        <v>27049</v>
      </c>
      <c r="J4769" t="str">
        <f t="shared" si="372"/>
        <v>E:\PropInv\MF</v>
      </c>
      <c r="K4769" s="103" t="str">
        <f>HYPERLINK("E:\PropInv\MF\Dallas\Stone Canyon_10588_Pointe at Stone Canyon_Dallas_14864","Stone Canyon_10588_Pointe at Stone Canyon_Dallas_14864" )</f>
        <v>Stone Canyon_10588_Pointe at Stone Canyon_Dallas_14864</v>
      </c>
      <c r="L4769" s="104" t="s">
        <v>22253</v>
      </c>
      <c r="M4769" s="103" t="str">
        <f t="shared" si="373"/>
        <v>http://oconnordata.com/mlink/modules/profile/index.cfm?action=profile&amp;prop_id=14864</v>
      </c>
      <c r="N4769" s="1">
        <f t="shared" si="374"/>
        <v>14864</v>
      </c>
    </row>
    <row r="4770" spans="1:14" x14ac:dyDescent="0.3">
      <c r="A4770" s="1">
        <v>14866</v>
      </c>
      <c r="B4770" s="7" t="s">
        <v>6863</v>
      </c>
      <c r="C4770" s="12">
        <v>8225</v>
      </c>
      <c r="D4770" s="7" t="s">
        <v>7242</v>
      </c>
      <c r="E4770" s="13" t="s">
        <v>5014</v>
      </c>
      <c r="F4770" t="str">
        <f t="shared" si="370"/>
        <v>Calmont</v>
      </c>
      <c r="G4770" t="str">
        <f t="shared" si="371"/>
        <v>Calmont8225Fort Worth</v>
      </c>
      <c r="H4770" t="s">
        <v>35627</v>
      </c>
      <c r="I4770" t="s">
        <v>27050</v>
      </c>
      <c r="J4770" t="str">
        <f t="shared" si="372"/>
        <v>E:\PropInv\MF</v>
      </c>
      <c r="K4770" s="103" t="str">
        <f>HYPERLINK("E:\PropInv\MF\Fort Worth\Calmont_8225_Manitoba_Fort Worth_14866","Calmont_8225_Manitoba_Fort Worth_14866" )</f>
        <v>Calmont_8225_Manitoba_Fort Worth_14866</v>
      </c>
      <c r="L4770" s="104" t="s">
        <v>22253</v>
      </c>
      <c r="M4770" s="103" t="str">
        <f t="shared" si="373"/>
        <v>http://oconnordata.com/mlink/modules/profile/index.cfm?action=profile&amp;prop_id=14866</v>
      </c>
      <c r="N4770" s="1">
        <f t="shared" si="374"/>
        <v>14866</v>
      </c>
    </row>
    <row r="4771" spans="1:14" x14ac:dyDescent="0.3">
      <c r="A4771" s="1">
        <v>14867</v>
      </c>
      <c r="B4771" s="7" t="s">
        <v>7243</v>
      </c>
      <c r="C4771" s="12">
        <v>1900</v>
      </c>
      <c r="D4771" s="7" t="s">
        <v>1393</v>
      </c>
      <c r="E4771" s="13" t="s">
        <v>5046</v>
      </c>
      <c r="F4771" t="str">
        <f t="shared" si="370"/>
        <v>Cloverleaf</v>
      </c>
      <c r="G4771" t="str">
        <f t="shared" si="371"/>
        <v>Cloverleaf1900Irving</v>
      </c>
      <c r="H4771" t="s">
        <v>35628</v>
      </c>
      <c r="I4771" t="s">
        <v>27051</v>
      </c>
      <c r="J4771" t="str">
        <f t="shared" si="372"/>
        <v>E:\PropInv\MF</v>
      </c>
      <c r="K4771" s="103" t="str">
        <f>HYPERLINK("E:\PropInv\MF\Irving\Cloverleaf Ln_1900_Cloverleaf_Irving_14867","Cloverleaf Ln_1900_Cloverleaf_Irving_14867" )</f>
        <v>Cloverleaf Ln_1900_Cloverleaf_Irving_14867</v>
      </c>
      <c r="L4771" s="104" t="s">
        <v>22253</v>
      </c>
      <c r="M4771" s="103" t="str">
        <f t="shared" si="373"/>
        <v>http://oconnordata.com/mlink/modules/profile/index.cfm?action=profile&amp;prop_id=14867</v>
      </c>
      <c r="N4771" s="1">
        <f t="shared" si="374"/>
        <v>14867</v>
      </c>
    </row>
    <row r="4772" spans="1:14" x14ac:dyDescent="0.3">
      <c r="A4772" s="1">
        <v>14868</v>
      </c>
      <c r="B4772" s="7" t="s">
        <v>6651</v>
      </c>
      <c r="C4772" s="12">
        <v>6050</v>
      </c>
      <c r="D4772" s="7" t="s">
        <v>7244</v>
      </c>
      <c r="E4772" s="13" t="s">
        <v>5014</v>
      </c>
      <c r="F4772" t="str">
        <f t="shared" si="370"/>
        <v>Oakland</v>
      </c>
      <c r="G4772" t="str">
        <f t="shared" si="371"/>
        <v>Oakland6050Fort Worth</v>
      </c>
      <c r="H4772" t="s">
        <v>35629</v>
      </c>
      <c r="I4772" t="s">
        <v>27052</v>
      </c>
      <c r="J4772" t="str">
        <f t="shared" si="372"/>
        <v>E:\PropInv\MF</v>
      </c>
      <c r="K4772" s="103" t="str">
        <f>HYPERLINK("E:\PropInv\MF\Fort Worth\Oakland Hills Dr_6050_The Lodge_Fort Worth_14868","Oakland Hills Dr_6050_The Lodge_Fort Worth_14868" )</f>
        <v>Oakland Hills Dr_6050_The Lodge_Fort Worth_14868</v>
      </c>
      <c r="L4772" s="104" t="s">
        <v>22253</v>
      </c>
      <c r="M4772" s="103" t="str">
        <f t="shared" si="373"/>
        <v>http://oconnordata.com/mlink/modules/profile/index.cfm?action=profile&amp;prop_id=14868</v>
      </c>
      <c r="N4772" s="1">
        <f t="shared" si="374"/>
        <v>14868</v>
      </c>
    </row>
    <row r="4773" spans="1:14" x14ac:dyDescent="0.3">
      <c r="A4773" s="1">
        <v>14869</v>
      </c>
      <c r="B4773" s="7" t="s">
        <v>7245</v>
      </c>
      <c r="C4773" s="12">
        <v>5301</v>
      </c>
      <c r="D4773" s="7" t="s">
        <v>7246</v>
      </c>
      <c r="E4773" s="13" t="s">
        <v>5014</v>
      </c>
      <c r="F4773" t="str">
        <f t="shared" si="370"/>
        <v>Overton</v>
      </c>
      <c r="G4773" t="str">
        <f t="shared" si="371"/>
        <v>Overton5301Fort Worth</v>
      </c>
      <c r="H4773" t="s">
        <v>35630</v>
      </c>
      <c r="I4773" t="s">
        <v>27053</v>
      </c>
      <c r="J4773" t="str">
        <f t="shared" si="372"/>
        <v>E:\PropInv\MF</v>
      </c>
      <c r="K4773" s="103" t="str">
        <f>HYPERLINK("E:\PropInv\MF\Fort Worth\Overton Ridge Blvd_5301_Marina Club_Fort Worth_14869","Overton Ridge Blvd_5301_Marina Club_Fort Worth_14869" )</f>
        <v>Overton Ridge Blvd_5301_Marina Club_Fort Worth_14869</v>
      </c>
      <c r="L4773" s="104" t="s">
        <v>22253</v>
      </c>
      <c r="M4773" s="103" t="str">
        <f t="shared" si="373"/>
        <v>http://oconnordata.com/mlink/modules/profile/index.cfm?action=profile&amp;prop_id=14869</v>
      </c>
      <c r="N4773" s="1">
        <f t="shared" si="374"/>
        <v>14869</v>
      </c>
    </row>
    <row r="4774" spans="1:14" x14ac:dyDescent="0.3">
      <c r="A4774" s="1">
        <v>14870</v>
      </c>
      <c r="B4774" s="7" t="s">
        <v>7247</v>
      </c>
      <c r="C4774" s="12">
        <v>3130</v>
      </c>
      <c r="D4774" s="7" t="s">
        <v>7248</v>
      </c>
      <c r="E4774" s="13" t="s">
        <v>4996</v>
      </c>
      <c r="F4774" t="str">
        <f t="shared" si="370"/>
        <v>Webb</v>
      </c>
      <c r="G4774" t="str">
        <f t="shared" si="371"/>
        <v>Webb3130Dallas</v>
      </c>
      <c r="H4774" t="s">
        <v>35631</v>
      </c>
      <c r="I4774" t="s">
        <v>27054</v>
      </c>
      <c r="J4774" t="str">
        <f t="shared" si="372"/>
        <v>E:\PropInv\MF</v>
      </c>
      <c r="K4774" s="103" t="str">
        <f>HYPERLINK("E:\PropInv\MF\Dallas\Webb Chapel_3130_Cluster_Dallas_14870","Webb Chapel_3130_Cluster_Dallas_14870" )</f>
        <v>Webb Chapel_3130_Cluster_Dallas_14870</v>
      </c>
      <c r="L4774" s="104" t="s">
        <v>22253</v>
      </c>
      <c r="M4774" s="103" t="str">
        <f t="shared" si="373"/>
        <v>http://oconnordata.com/mlink/modules/profile/index.cfm?action=profile&amp;prop_id=14870</v>
      </c>
      <c r="N4774" s="1">
        <f t="shared" si="374"/>
        <v>14870</v>
      </c>
    </row>
    <row r="4775" spans="1:14" x14ac:dyDescent="0.3">
      <c r="A4775" s="1">
        <v>14871</v>
      </c>
      <c r="B4775" s="7" t="s">
        <v>7249</v>
      </c>
      <c r="C4775" s="12">
        <v>2306</v>
      </c>
      <c r="D4775" s="7" t="s">
        <v>7250</v>
      </c>
      <c r="E4775" s="13" t="s">
        <v>5014</v>
      </c>
      <c r="F4775" t="str">
        <f t="shared" si="370"/>
        <v>Park</v>
      </c>
      <c r="G4775" t="str">
        <f t="shared" si="371"/>
        <v>Park2306Fort Worth</v>
      </c>
      <c r="H4775" t="s">
        <v>35632</v>
      </c>
      <c r="I4775" t="s">
        <v>27055</v>
      </c>
      <c r="J4775" t="str">
        <f t="shared" si="372"/>
        <v>E:\PropInv\MF</v>
      </c>
      <c r="K4775" s="103" t="str">
        <f>HYPERLINK("E:\PropInv\MF\Fort Worth\Park Place Ave_2306_Forest Park Tower_Fort Worth_14871","Park Place Ave_2306_Forest Park Tower_Fort Worth_14871" )</f>
        <v>Park Place Ave_2306_Forest Park Tower_Fort Worth_14871</v>
      </c>
      <c r="L4775" s="104" t="s">
        <v>22253</v>
      </c>
      <c r="M4775" s="103" t="str">
        <f t="shared" si="373"/>
        <v>http://oconnordata.com/mlink/modules/profile/index.cfm?action=profile&amp;prop_id=14871</v>
      </c>
      <c r="N4775" s="1">
        <f t="shared" si="374"/>
        <v>14871</v>
      </c>
    </row>
    <row r="4776" spans="1:14" x14ac:dyDescent="0.3">
      <c r="A4776" s="1">
        <v>14873</v>
      </c>
      <c r="B4776" s="7" t="s">
        <v>7251</v>
      </c>
      <c r="C4776" s="12">
        <v>5741</v>
      </c>
      <c r="D4776" s="7" t="s">
        <v>7252</v>
      </c>
      <c r="E4776" s="13" t="s">
        <v>5009</v>
      </c>
      <c r="F4776" t="str">
        <f t="shared" si="370"/>
        <v>Martin</v>
      </c>
      <c r="G4776" t="str">
        <f t="shared" si="371"/>
        <v>Martin5741Plano</v>
      </c>
      <c r="H4776" t="s">
        <v>35633</v>
      </c>
      <c r="I4776" t="s">
        <v>27056</v>
      </c>
      <c r="J4776" t="str">
        <f t="shared" si="372"/>
        <v>E:\PropInv\MF</v>
      </c>
      <c r="K4776" s="103" t="str">
        <f>HYPERLINK("E:\PropInv\MF\Plano\Martin Rd_5741_Post Legacy_Plano_14873","Martin Rd_5741_Post Legacy_Plano_14873" )</f>
        <v>Martin Rd_5741_Post Legacy_Plano_14873</v>
      </c>
      <c r="L4776" s="104" t="s">
        <v>22253</v>
      </c>
      <c r="M4776" s="103" t="str">
        <f t="shared" si="373"/>
        <v>http://oconnordata.com/mlink/modules/profile/index.cfm?action=profile&amp;prop_id=14873</v>
      </c>
      <c r="N4776" s="1">
        <f t="shared" si="374"/>
        <v>14873</v>
      </c>
    </row>
    <row r="4777" spans="1:14" x14ac:dyDescent="0.3">
      <c r="A4777" s="1">
        <v>14874</v>
      </c>
      <c r="B4777" s="7" t="s">
        <v>7253</v>
      </c>
      <c r="C4777" s="12">
        <v>1810</v>
      </c>
      <c r="D4777" s="7" t="s">
        <v>6689</v>
      </c>
      <c r="E4777" s="13" t="s">
        <v>5097</v>
      </c>
      <c r="F4777" t="str">
        <f t="shared" si="370"/>
        <v>Westminister</v>
      </c>
      <c r="G4777" t="str">
        <f t="shared" si="371"/>
        <v>Westminister1810Denton</v>
      </c>
      <c r="H4777" t="s">
        <v>35634</v>
      </c>
      <c r="I4777" t="s">
        <v>27057</v>
      </c>
      <c r="J4777" t="str">
        <f t="shared" si="372"/>
        <v>E:\PropInv\MF</v>
      </c>
      <c r="K4777" s="103" t="str">
        <f>HYPERLINK("E:\PropInv\MF\Denton\Westminister_1810_Forest Ridge_Denton_14874","Westminister_1810_Forest Ridge_Denton_14874" )</f>
        <v>Westminister_1810_Forest Ridge_Denton_14874</v>
      </c>
      <c r="L4777" s="104" t="s">
        <v>22253</v>
      </c>
      <c r="M4777" s="103" t="str">
        <f t="shared" si="373"/>
        <v>http://oconnordata.com/mlink/modules/profile/index.cfm?action=profile&amp;prop_id=14874</v>
      </c>
      <c r="N4777" s="1">
        <f t="shared" si="374"/>
        <v>14874</v>
      </c>
    </row>
    <row r="4778" spans="1:14" x14ac:dyDescent="0.3">
      <c r="A4778" s="1">
        <v>14875</v>
      </c>
      <c r="B4778" s="7" t="s">
        <v>7254</v>
      </c>
      <c r="C4778" s="12">
        <v>2324</v>
      </c>
      <c r="D4778" s="7" t="s">
        <v>7255</v>
      </c>
      <c r="E4778" s="13" t="s">
        <v>5014</v>
      </c>
      <c r="F4778" t="str">
        <f t="shared" si="370"/>
        <v>Meadowbrook</v>
      </c>
      <c r="G4778" t="str">
        <f t="shared" si="371"/>
        <v>Meadowbrook2324Fort Worth</v>
      </c>
      <c r="H4778" t="s">
        <v>35635</v>
      </c>
      <c r="I4778" t="s">
        <v>27058</v>
      </c>
      <c r="J4778" t="str">
        <f t="shared" si="372"/>
        <v>E:\PropInv\MF</v>
      </c>
      <c r="K4778" s="103" t="str">
        <f>HYPERLINK("E:\PropInv\MF\Fort Worth\Meadowbrook Gardens Dr_2324_Escalante Park_Fort Worth_14875","Meadowbrook Gardens Dr_2324_Escalante Park_Fort Worth_14875" )</f>
        <v>Meadowbrook Gardens Dr_2324_Escalante Park_Fort Worth_14875</v>
      </c>
      <c r="L4778" s="104" t="s">
        <v>22253</v>
      </c>
      <c r="M4778" s="103" t="str">
        <f t="shared" si="373"/>
        <v>http://oconnordata.com/mlink/modules/profile/index.cfm?action=profile&amp;prop_id=14875</v>
      </c>
      <c r="N4778" s="1">
        <f t="shared" si="374"/>
        <v>14875</v>
      </c>
    </row>
    <row r="4779" spans="1:14" x14ac:dyDescent="0.3">
      <c r="A4779" s="1">
        <v>14876</v>
      </c>
      <c r="B4779" s="7" t="s">
        <v>7256</v>
      </c>
      <c r="C4779" s="12">
        <v>5054</v>
      </c>
      <c r="D4779" s="7" t="s">
        <v>5534</v>
      </c>
      <c r="E4779" s="13" t="s">
        <v>5014</v>
      </c>
      <c r="F4779" t="str">
        <f t="shared" si="370"/>
        <v>Hildring</v>
      </c>
      <c r="G4779" t="str">
        <f t="shared" si="371"/>
        <v>Hildring5054Fort Worth</v>
      </c>
      <c r="H4779" t="s">
        <v>35636</v>
      </c>
      <c r="I4779" t="s">
        <v>27059</v>
      </c>
      <c r="J4779" t="str">
        <f t="shared" si="372"/>
        <v>E:\PropInv\MF</v>
      </c>
      <c r="K4779" s="103" t="str">
        <f>HYPERLINK("E:\PropInv\MF\Fort Worth\Hildring Dr E_5054_Fountains_Fort Worth_14876","Hildring Dr E_5054_Fountains_Fort Worth_14876" )</f>
        <v>Hildring Dr E_5054_Fountains_Fort Worth_14876</v>
      </c>
      <c r="L4779" s="104" t="s">
        <v>22253</v>
      </c>
      <c r="M4779" s="103" t="str">
        <f t="shared" si="373"/>
        <v>http://oconnordata.com/mlink/modules/profile/index.cfm?action=profile&amp;prop_id=14876</v>
      </c>
      <c r="N4779" s="1">
        <f t="shared" si="374"/>
        <v>14876</v>
      </c>
    </row>
    <row r="4780" spans="1:14" x14ac:dyDescent="0.3">
      <c r="A4780" s="97">
        <v>14878</v>
      </c>
      <c r="B4780" s="7" t="s">
        <v>7257</v>
      </c>
      <c r="C4780" s="12">
        <v>6201</v>
      </c>
      <c r="D4780" s="7" t="s">
        <v>7258</v>
      </c>
      <c r="E4780" s="13" t="s">
        <v>5009</v>
      </c>
      <c r="F4780" t="str">
        <f t="shared" si="370"/>
        <v>Windhaven</v>
      </c>
      <c r="G4780" t="str">
        <f t="shared" si="371"/>
        <v>Windhaven6201Plano</v>
      </c>
      <c r="H4780" t="s">
        <v>35637</v>
      </c>
      <c r="I4780" t="s">
        <v>27060</v>
      </c>
      <c r="J4780" t="str">
        <f t="shared" si="372"/>
        <v>E:\PropInv\MF</v>
      </c>
      <c r="K4780" s="103" t="str">
        <f>HYPERLINK("E:\PropInv\MF\Plano\Windhaven_6201_Windhaven Park_Plano_14878","Windhaven_6201_Windhaven Park_Plano_14878" )</f>
        <v>Windhaven_6201_Windhaven Park_Plano_14878</v>
      </c>
      <c r="L4780" s="104" t="s">
        <v>22253</v>
      </c>
      <c r="M4780" s="103" t="str">
        <f t="shared" si="373"/>
        <v>http://oconnordata.com/mlink/modules/profile/index.cfm?action=profile&amp;prop_id=14878</v>
      </c>
      <c r="N4780" s="1">
        <f t="shared" si="374"/>
        <v>14878</v>
      </c>
    </row>
    <row r="4781" spans="1:14" x14ac:dyDescent="0.3">
      <c r="A4781" s="1">
        <v>14879</v>
      </c>
      <c r="B4781" s="7" t="s">
        <v>7259</v>
      </c>
      <c r="C4781" s="12">
        <v>328</v>
      </c>
      <c r="D4781" s="19" t="s">
        <v>7260</v>
      </c>
      <c r="E4781" s="13" t="s">
        <v>6898</v>
      </c>
      <c r="F4781" t="str">
        <f t="shared" si="370"/>
        <v>Hidden</v>
      </c>
      <c r="G4781" t="str">
        <f t="shared" si="371"/>
        <v>Hidden328Burleson</v>
      </c>
      <c r="H4781" t="s">
        <v>35638</v>
      </c>
      <c r="I4781" t="s">
        <v>27061</v>
      </c>
      <c r="J4781" t="str">
        <f t="shared" si="372"/>
        <v>E:\PropInv\MF</v>
      </c>
      <c r="K4781" s="103" t="str">
        <f>HYPERLINK("E:\PropInv\MF\Burleson\Hidden Creek Pkwy_328_Fountains of Burleson_Burleson_14879","Hidden Creek Pkwy_328_Fountains of Burleson_Burleson_14879" )</f>
        <v>Hidden Creek Pkwy_328_Fountains of Burleson_Burleson_14879</v>
      </c>
      <c r="L4781" s="104" t="s">
        <v>22253</v>
      </c>
      <c r="M4781" s="103" t="str">
        <f t="shared" si="373"/>
        <v>http://oconnordata.com/mlink/modules/profile/index.cfm?action=profile&amp;prop_id=14879</v>
      </c>
      <c r="N4781" s="1">
        <f t="shared" si="374"/>
        <v>14879</v>
      </c>
    </row>
    <row r="4782" spans="1:14" x14ac:dyDescent="0.3">
      <c r="A4782" s="1">
        <v>14882</v>
      </c>
      <c r="B4782" s="7" t="s">
        <v>7261</v>
      </c>
      <c r="C4782" s="12">
        <v>4829</v>
      </c>
      <c r="D4782" s="7" t="s">
        <v>7262</v>
      </c>
      <c r="E4782" s="13" t="s">
        <v>4996</v>
      </c>
      <c r="F4782" t="str">
        <f t="shared" si="370"/>
        <v>Coles</v>
      </c>
      <c r="G4782" t="str">
        <f t="shared" si="371"/>
        <v>Coles4829Dallas</v>
      </c>
      <c r="H4782" t="s">
        <v>35639</v>
      </c>
      <c r="I4782" t="s">
        <v>27062</v>
      </c>
      <c r="J4782" t="str">
        <f t="shared" si="372"/>
        <v>E:\PropInv\MF</v>
      </c>
      <c r="K4782" s="103" t="str">
        <f>HYPERLINK("E:\PropInv\MF\Dallas\Coles Manor Place_4829_Birchwood_Dallas_14882","Coles Manor Place_4829_Birchwood_Dallas_14882" )</f>
        <v>Coles Manor Place_4829_Birchwood_Dallas_14882</v>
      </c>
      <c r="L4782" s="104" t="s">
        <v>22253</v>
      </c>
      <c r="M4782" s="103" t="str">
        <f t="shared" si="373"/>
        <v>http://oconnordata.com/mlink/modules/profile/index.cfm?action=profile&amp;prop_id=14882</v>
      </c>
      <c r="N4782" s="1">
        <f t="shared" si="374"/>
        <v>14882</v>
      </c>
    </row>
    <row r="4783" spans="1:14" x14ac:dyDescent="0.3">
      <c r="A4783" s="1">
        <v>14884</v>
      </c>
      <c r="B4783" s="7" t="s">
        <v>7263</v>
      </c>
      <c r="C4783" s="12">
        <v>5074</v>
      </c>
      <c r="D4783" s="7" t="s">
        <v>7264</v>
      </c>
      <c r="E4783" s="13" t="s">
        <v>5014</v>
      </c>
      <c r="F4783" t="str">
        <f t="shared" si="370"/>
        <v>Walden</v>
      </c>
      <c r="G4783" t="str">
        <f t="shared" si="371"/>
        <v>Walden5074Fort Worth</v>
      </c>
      <c r="H4783" t="s">
        <v>35640</v>
      </c>
      <c r="I4783" t="s">
        <v>27063</v>
      </c>
      <c r="J4783" t="str">
        <f t="shared" si="372"/>
        <v>E:\PropInv\MF</v>
      </c>
      <c r="K4783" s="103" t="str">
        <f>HYPERLINK("E:\PropInv\MF\Fort Worth\Walden Ave_5074_Fountains Square_Fort Worth_14884","Walden Ave_5074_Fountains Square_Fort Worth_14884" )</f>
        <v>Walden Ave_5074_Fountains Square_Fort Worth_14884</v>
      </c>
      <c r="L4783" s="104" t="s">
        <v>22253</v>
      </c>
      <c r="M4783" s="103" t="str">
        <f t="shared" si="373"/>
        <v>http://oconnordata.com/mlink/modules/profile/index.cfm?action=profile&amp;prop_id=14884</v>
      </c>
      <c r="N4783" s="1">
        <f t="shared" si="374"/>
        <v>14884</v>
      </c>
    </row>
    <row r="4784" spans="1:14" x14ac:dyDescent="0.3">
      <c r="A4784" s="1">
        <v>14885</v>
      </c>
      <c r="B4784" s="7" t="s">
        <v>7265</v>
      </c>
      <c r="C4784" s="12">
        <v>9001</v>
      </c>
      <c r="D4784" s="7" t="s">
        <v>7266</v>
      </c>
      <c r="E4784" s="13" t="s">
        <v>5014</v>
      </c>
      <c r="F4784" t="str">
        <f t="shared" si="370"/>
        <v>Randol</v>
      </c>
      <c r="G4784" t="str">
        <f t="shared" si="371"/>
        <v>Randol9001Fort Worth</v>
      </c>
      <c r="H4784" t="s">
        <v>35641</v>
      </c>
      <c r="I4784" t="s">
        <v>27064</v>
      </c>
      <c r="J4784" t="str">
        <f t="shared" si="372"/>
        <v>E:\PropInv\MF</v>
      </c>
      <c r="K4784" s="103" t="str">
        <f>HYPERLINK("E:\PropInv\MF\Fort Worth\Randol Mill_9001_Mill Valley_Fort Worth_14885","Randol Mill_9001_Mill Valley_Fort Worth_14885" )</f>
        <v>Randol Mill_9001_Mill Valley_Fort Worth_14885</v>
      </c>
      <c r="L4784" s="104" t="s">
        <v>22253</v>
      </c>
      <c r="M4784" s="103" t="str">
        <f t="shared" si="373"/>
        <v>http://oconnordata.com/mlink/modules/profile/index.cfm?action=profile&amp;prop_id=14885</v>
      </c>
      <c r="N4784" s="1">
        <f t="shared" si="374"/>
        <v>14885</v>
      </c>
    </row>
    <row r="4785" spans="1:14" x14ac:dyDescent="0.3">
      <c r="A4785" s="1">
        <v>14888</v>
      </c>
      <c r="B4785" s="7" t="s">
        <v>7267</v>
      </c>
      <c r="C4785" s="12">
        <v>4321</v>
      </c>
      <c r="D4785" s="7" t="s">
        <v>7268</v>
      </c>
      <c r="E4785" s="13" t="s">
        <v>4996</v>
      </c>
      <c r="F4785" t="str">
        <f t="shared" si="370"/>
        <v>Congress</v>
      </c>
      <c r="G4785" t="str">
        <f t="shared" si="371"/>
        <v>Congress4321Dallas</v>
      </c>
      <c r="H4785" t="s">
        <v>35642</v>
      </c>
      <c r="I4785" t="s">
        <v>27065</v>
      </c>
      <c r="J4785" t="str">
        <f t="shared" si="372"/>
        <v>E:\PropInv\MF</v>
      </c>
      <c r="K4785" s="103" t="str">
        <f>HYPERLINK("E:\PropInv\MF\Dallas\Congress Ave_4321_Braes Brook_Dallas_14888","Congress Ave_4321_Braes Brook_Dallas_14888" )</f>
        <v>Congress Ave_4321_Braes Brook_Dallas_14888</v>
      </c>
      <c r="L4785" s="104" t="s">
        <v>22253</v>
      </c>
      <c r="M4785" s="103" t="str">
        <f t="shared" si="373"/>
        <v>http://oconnordata.com/mlink/modules/profile/index.cfm?action=profile&amp;prop_id=14888</v>
      </c>
      <c r="N4785" s="1">
        <f t="shared" si="374"/>
        <v>14888</v>
      </c>
    </row>
    <row r="4786" spans="1:14" x14ac:dyDescent="0.3">
      <c r="A4786" s="1">
        <v>14889</v>
      </c>
      <c r="B4786" s="7" t="s">
        <v>5947</v>
      </c>
      <c r="C4786" s="12">
        <v>13700</v>
      </c>
      <c r="D4786" s="7" t="s">
        <v>7269</v>
      </c>
      <c r="E4786" s="13" t="s">
        <v>4996</v>
      </c>
      <c r="F4786" t="str">
        <f t="shared" si="370"/>
        <v>CF</v>
      </c>
      <c r="G4786" t="str">
        <f t="shared" si="371"/>
        <v>CF13700Dallas</v>
      </c>
      <c r="H4786" t="s">
        <v>35643</v>
      </c>
      <c r="I4786" t="s">
        <v>27066</v>
      </c>
      <c r="J4786" t="str">
        <f t="shared" si="372"/>
        <v>E:\PropInv\MF</v>
      </c>
      <c r="K4786" s="103" t="str">
        <f>HYPERLINK("E:\PropInv\MF\Dallas\CF Hawn Fwy_13700_Bridle Path_Dallas_14889","CF Hawn Fwy_13700_Bridle Path_Dallas_14889" )</f>
        <v>CF Hawn Fwy_13700_Bridle Path_Dallas_14889</v>
      </c>
      <c r="L4786" s="104" t="s">
        <v>22253</v>
      </c>
      <c r="M4786" s="103" t="str">
        <f t="shared" si="373"/>
        <v>http://oconnordata.com/mlink/modules/profile/index.cfm?action=profile&amp;prop_id=14889</v>
      </c>
      <c r="N4786" s="1">
        <f t="shared" si="374"/>
        <v>14889</v>
      </c>
    </row>
    <row r="4787" spans="1:14" x14ac:dyDescent="0.3">
      <c r="A4787" s="1">
        <v>14890</v>
      </c>
      <c r="B4787" s="7" t="s">
        <v>7270</v>
      </c>
      <c r="C4787" s="12">
        <v>4761</v>
      </c>
      <c r="D4787" s="7" t="s">
        <v>3602</v>
      </c>
      <c r="E4787" s="13" t="s">
        <v>5014</v>
      </c>
      <c r="F4787" t="str">
        <f t="shared" si="370"/>
        <v>Lancaster</v>
      </c>
      <c r="G4787" t="str">
        <f t="shared" si="371"/>
        <v>Lancaster4761Fort Worth</v>
      </c>
      <c r="H4787" t="s">
        <v>35644</v>
      </c>
      <c r="I4787" t="s">
        <v>27067</v>
      </c>
      <c r="J4787" t="str">
        <f t="shared" si="372"/>
        <v>E:\PropInv\MF</v>
      </c>
      <c r="K4787" s="103" t="str">
        <f>HYPERLINK("E:\PropInv\MF\Fort Worth\Lancaster E_4761_La Hacienda_Fort Worth_14890","Lancaster E_4761_La Hacienda_Fort Worth_14890" )</f>
        <v>Lancaster E_4761_La Hacienda_Fort Worth_14890</v>
      </c>
      <c r="L4787" s="104" t="s">
        <v>22253</v>
      </c>
      <c r="M4787" s="103" t="str">
        <f t="shared" si="373"/>
        <v>http://oconnordata.com/mlink/modules/profile/index.cfm?action=profile&amp;prop_id=14890</v>
      </c>
      <c r="N4787" s="1">
        <f t="shared" si="374"/>
        <v>14890</v>
      </c>
    </row>
    <row r="4788" spans="1:14" x14ac:dyDescent="0.3">
      <c r="A4788" s="1">
        <v>14891</v>
      </c>
      <c r="B4788" s="7" t="s">
        <v>7271</v>
      </c>
      <c r="C4788" s="12">
        <v>1954</v>
      </c>
      <c r="D4788" s="7" t="s">
        <v>7272</v>
      </c>
      <c r="E4788" s="13" t="s">
        <v>5046</v>
      </c>
      <c r="F4788" t="str">
        <f t="shared" si="370"/>
        <v>Shoaf</v>
      </c>
      <c r="G4788" t="str">
        <f t="shared" si="371"/>
        <v>Shoaf1954Irving</v>
      </c>
      <c r="H4788" t="s">
        <v>35645</v>
      </c>
      <c r="I4788" t="s">
        <v>27068</v>
      </c>
      <c r="J4788" t="str">
        <f t="shared" si="372"/>
        <v>E:\PropInv\MF</v>
      </c>
      <c r="K4788" s="103" t="str">
        <f>HYPERLINK("E:\PropInv\MF\Irving\Shoaf Dr_1954_Britain Way_Irving_14891","Shoaf Dr_1954_Britain Way_Irving_14891" )</f>
        <v>Shoaf Dr_1954_Britain Way_Irving_14891</v>
      </c>
      <c r="L4788" s="104" t="s">
        <v>22253</v>
      </c>
      <c r="M4788" s="103" t="str">
        <f t="shared" si="373"/>
        <v>http://oconnordata.com/mlink/modules/profile/index.cfm?action=profile&amp;prop_id=14891</v>
      </c>
      <c r="N4788" s="1">
        <f t="shared" si="374"/>
        <v>14891</v>
      </c>
    </row>
    <row r="4789" spans="1:14" x14ac:dyDescent="0.3">
      <c r="A4789" s="1">
        <v>14892</v>
      </c>
      <c r="B4789" s="7" t="s">
        <v>7273</v>
      </c>
      <c r="C4789" s="12">
        <v>524</v>
      </c>
      <c r="D4789" s="7" t="s">
        <v>7274</v>
      </c>
      <c r="E4789" s="13" t="s">
        <v>5097</v>
      </c>
      <c r="F4789" t="str">
        <f t="shared" si="370"/>
        <v>Carroll</v>
      </c>
      <c r="G4789" t="str">
        <f t="shared" si="371"/>
        <v>Carroll524Denton</v>
      </c>
      <c r="H4789" t="s">
        <v>35646</v>
      </c>
      <c r="I4789" t="s">
        <v>27069</v>
      </c>
      <c r="J4789" t="str">
        <f t="shared" si="372"/>
        <v>E:\PropInv\MF</v>
      </c>
      <c r="K4789" s="103" t="str">
        <f>HYPERLINK("E:\PropInv\MF\Denton\Carroll Blvd S_524_Gazebo_Denton_14892","Carroll Blvd S_524_Gazebo_Denton_14892" )</f>
        <v>Carroll Blvd S_524_Gazebo_Denton_14892</v>
      </c>
      <c r="L4789" s="104" t="s">
        <v>22253</v>
      </c>
      <c r="M4789" s="103" t="str">
        <f t="shared" si="373"/>
        <v>http://oconnordata.com/mlink/modules/profile/index.cfm?action=profile&amp;prop_id=14892</v>
      </c>
      <c r="N4789" s="1">
        <f t="shared" si="374"/>
        <v>14892</v>
      </c>
    </row>
    <row r="4790" spans="1:14" x14ac:dyDescent="0.3">
      <c r="A4790" s="1">
        <v>14893</v>
      </c>
      <c r="B4790" s="7" t="s">
        <v>6009</v>
      </c>
      <c r="C4790" s="12">
        <v>8081</v>
      </c>
      <c r="D4790" s="7" t="s">
        <v>7275</v>
      </c>
      <c r="E4790" s="13" t="s">
        <v>4996</v>
      </c>
      <c r="F4790" t="str">
        <f t="shared" si="370"/>
        <v>Marvin</v>
      </c>
      <c r="G4790" t="str">
        <f t="shared" si="371"/>
        <v>Marvin8081Dallas</v>
      </c>
      <c r="H4790" t="s">
        <v>35647</v>
      </c>
      <c r="I4790" t="s">
        <v>27070</v>
      </c>
      <c r="J4790" t="str">
        <f t="shared" si="372"/>
        <v>E:\PropInv\MF</v>
      </c>
      <c r="K4790" s="103" t="str">
        <f>HYPERLINK("E:\PropInv\MF\Dallas\Marvin D. Love Fwy_8081_Brandon Mill_Dallas_14893","Marvin D. Love Fwy_8081_Brandon Mill_Dallas_14893" )</f>
        <v>Marvin D. Love Fwy_8081_Brandon Mill_Dallas_14893</v>
      </c>
      <c r="L4790" s="104" t="s">
        <v>22253</v>
      </c>
      <c r="M4790" s="103" t="str">
        <f t="shared" si="373"/>
        <v>http://oconnordata.com/mlink/modules/profile/index.cfm?action=profile&amp;prop_id=14893</v>
      </c>
      <c r="N4790" s="1">
        <f t="shared" si="374"/>
        <v>14893</v>
      </c>
    </row>
    <row r="4791" spans="1:14" x14ac:dyDescent="0.3">
      <c r="A4791" s="1">
        <v>14894</v>
      </c>
      <c r="B4791" s="7" t="s">
        <v>7276</v>
      </c>
      <c r="C4791" s="12">
        <v>154</v>
      </c>
      <c r="D4791" s="7" t="s">
        <v>7277</v>
      </c>
      <c r="E4791" s="13" t="s">
        <v>5014</v>
      </c>
      <c r="F4791" t="str">
        <f t="shared" si="370"/>
        <v>Bailey</v>
      </c>
      <c r="G4791" t="str">
        <f t="shared" si="371"/>
        <v>Bailey154Fort Worth</v>
      </c>
      <c r="H4791" t="s">
        <v>35648</v>
      </c>
      <c r="I4791" t="s">
        <v>27071</v>
      </c>
      <c r="J4791" t="str">
        <f t="shared" si="372"/>
        <v>E:\PropInv\MF</v>
      </c>
      <c r="K4791" s="103" t="str">
        <f>HYPERLINK("E:\PropInv\MF\Fort Worth\Bailey Ave N_154_Monticello_Fort Worth_14894","Bailey Ave N_154_Monticello_Fort Worth_14894" )</f>
        <v>Bailey Ave N_154_Monticello_Fort Worth_14894</v>
      </c>
      <c r="L4791" s="104" t="s">
        <v>22253</v>
      </c>
      <c r="M4791" s="103" t="str">
        <f t="shared" si="373"/>
        <v>http://oconnordata.com/mlink/modules/profile/index.cfm?action=profile&amp;prop_id=14894</v>
      </c>
      <c r="N4791" s="1">
        <f t="shared" si="374"/>
        <v>14894</v>
      </c>
    </row>
    <row r="4792" spans="1:14" x14ac:dyDescent="0.3">
      <c r="A4792" s="1">
        <v>14896</v>
      </c>
      <c r="B4792" s="7" t="s">
        <v>7156</v>
      </c>
      <c r="C4792" s="12">
        <v>4710</v>
      </c>
      <c r="D4792" s="7" t="s">
        <v>7278</v>
      </c>
      <c r="E4792" s="13" t="s">
        <v>4996</v>
      </c>
      <c r="F4792" t="str">
        <f t="shared" si="370"/>
        <v>Lake</v>
      </c>
      <c r="G4792" t="str">
        <f t="shared" si="371"/>
        <v>Lake4710Dallas</v>
      </c>
      <c r="H4792" t="s">
        <v>35649</v>
      </c>
      <c r="I4792" t="s">
        <v>27072</v>
      </c>
      <c r="J4792" t="str">
        <f t="shared" si="372"/>
        <v>E:\PropInv\MF</v>
      </c>
      <c r="K4792" s="103" t="str">
        <f>HYPERLINK("E:\PropInv\MF\Dallas\Lake Ave_4710_Brandywine_Dallas_14896","Lake Ave_4710_Brandywine_Dallas_14896" )</f>
        <v>Lake Ave_4710_Brandywine_Dallas_14896</v>
      </c>
      <c r="L4792" s="104" t="s">
        <v>22253</v>
      </c>
      <c r="M4792" s="103" t="str">
        <f t="shared" si="373"/>
        <v>http://oconnordata.com/mlink/modules/profile/index.cfm?action=profile&amp;prop_id=14896</v>
      </c>
      <c r="N4792" s="1">
        <f t="shared" si="374"/>
        <v>14896</v>
      </c>
    </row>
    <row r="4793" spans="1:14" x14ac:dyDescent="0.3">
      <c r="A4793" s="1">
        <v>14897</v>
      </c>
      <c r="B4793" s="7" t="s">
        <v>7279</v>
      </c>
      <c r="C4793" s="12">
        <v>180</v>
      </c>
      <c r="D4793" s="7" t="s">
        <v>7280</v>
      </c>
      <c r="E4793" s="13" t="s">
        <v>5014</v>
      </c>
      <c r="F4793" t="str">
        <f t="shared" si="370"/>
        <v>Saint</v>
      </c>
      <c r="G4793" t="str">
        <f t="shared" si="371"/>
        <v>Saint180Fort Worth</v>
      </c>
      <c r="H4793" t="s">
        <v>35650</v>
      </c>
      <c r="I4793" t="s">
        <v>27073</v>
      </c>
      <c r="J4793" t="str">
        <f t="shared" si="372"/>
        <v>E:\PropInv\MF</v>
      </c>
      <c r="K4793" s="103" t="str">
        <f>HYPERLINK("E:\PropInv\MF\Fort Worth\Saint Donovan_180_Monticello Crossroads_Fort Worth_14897","Saint Donovan_180_Monticello Crossroads_Fort Worth_14897" )</f>
        <v>Saint Donovan_180_Monticello Crossroads_Fort Worth_14897</v>
      </c>
      <c r="L4793" s="104" t="s">
        <v>22253</v>
      </c>
      <c r="M4793" s="103" t="str">
        <f t="shared" si="373"/>
        <v>http://oconnordata.com/mlink/modules/profile/index.cfm?action=profile&amp;prop_id=14897</v>
      </c>
      <c r="N4793" s="1">
        <f t="shared" si="374"/>
        <v>14897</v>
      </c>
    </row>
    <row r="4794" spans="1:14" x14ac:dyDescent="0.3">
      <c r="A4794" s="1">
        <v>14899</v>
      </c>
      <c r="B4794" s="7" t="s">
        <v>7281</v>
      </c>
      <c r="C4794" s="12">
        <v>831</v>
      </c>
      <c r="D4794" s="7" t="s">
        <v>6751</v>
      </c>
      <c r="E4794" s="13" t="s">
        <v>5046</v>
      </c>
      <c r="F4794" t="str">
        <f t="shared" si="370"/>
        <v>Nursery</v>
      </c>
      <c r="G4794" t="str">
        <f t="shared" si="371"/>
        <v>Nursery831Irving</v>
      </c>
      <c r="H4794" t="s">
        <v>35651</v>
      </c>
      <c r="I4794" t="s">
        <v>27074</v>
      </c>
      <c r="J4794" t="str">
        <f t="shared" si="372"/>
        <v>E:\PropInv\MF</v>
      </c>
      <c r="K4794" s="103" t="str">
        <f>HYPERLINK("E:\PropInv\MF\Irving\Nursery Rd S_831_Brentwood_Irving_14899","Nursery Rd S_831_Brentwood_Irving_14899" )</f>
        <v>Nursery Rd S_831_Brentwood_Irving_14899</v>
      </c>
      <c r="L4794" s="104" t="s">
        <v>22253</v>
      </c>
      <c r="M4794" s="103" t="str">
        <f t="shared" si="373"/>
        <v>http://oconnordata.com/mlink/modules/profile/index.cfm?action=profile&amp;prop_id=14899</v>
      </c>
      <c r="N4794" s="1">
        <f t="shared" si="374"/>
        <v>14899</v>
      </c>
    </row>
    <row r="4795" spans="1:14" x14ac:dyDescent="0.3">
      <c r="A4795" s="1">
        <v>14900</v>
      </c>
      <c r="B4795" s="7" t="s">
        <v>7282</v>
      </c>
      <c r="C4795" s="12">
        <v>5608</v>
      </c>
      <c r="D4795" s="7" t="s">
        <v>7283</v>
      </c>
      <c r="E4795" s="13" t="s">
        <v>6909</v>
      </c>
      <c r="F4795" t="str">
        <f t="shared" si="370"/>
        <v>Bellaire</v>
      </c>
      <c r="G4795" t="str">
        <f t="shared" si="371"/>
        <v>Bellaire5608Benbrook</v>
      </c>
      <c r="H4795" t="s">
        <v>35652</v>
      </c>
      <c r="I4795" t="s">
        <v>27075</v>
      </c>
      <c r="J4795" t="str">
        <f t="shared" si="372"/>
        <v>E:\PropInv\MF</v>
      </c>
      <c r="K4795" s="103" t="str">
        <f>HYPERLINK("E:\PropInv\MF\Benbrook\Bellaire S_5608_Greenwood Creek_Benbrook_14900","Bellaire S_5608_Greenwood Creek_Benbrook_14900" )</f>
        <v>Bellaire S_5608_Greenwood Creek_Benbrook_14900</v>
      </c>
      <c r="L4795" s="104" t="s">
        <v>22253</v>
      </c>
      <c r="M4795" s="103" t="str">
        <f t="shared" si="373"/>
        <v>http://oconnordata.com/mlink/modules/profile/index.cfm?action=profile&amp;prop_id=14900</v>
      </c>
      <c r="N4795" s="1">
        <f t="shared" si="374"/>
        <v>14900</v>
      </c>
    </row>
    <row r="4796" spans="1:14" x14ac:dyDescent="0.3">
      <c r="A4796" s="1">
        <v>14902</v>
      </c>
      <c r="B4796" s="7" t="s">
        <v>7284</v>
      </c>
      <c r="C4796" s="12">
        <v>7924</v>
      </c>
      <c r="D4796" s="7" t="s">
        <v>762</v>
      </c>
      <c r="E4796" s="13" t="s">
        <v>7120</v>
      </c>
      <c r="F4796" t="str">
        <f t="shared" si="370"/>
        <v>Emerald</v>
      </c>
      <c r="G4796" t="str">
        <f t="shared" si="371"/>
        <v>Emerald7924White Settlement</v>
      </c>
      <c r="H4796" t="s">
        <v>35653</v>
      </c>
      <c r="I4796" t="s">
        <v>27076</v>
      </c>
      <c r="J4796" t="str">
        <f t="shared" si="372"/>
        <v>E:\PropInv\MF</v>
      </c>
      <c r="K4796" s="103" t="str">
        <f>HYPERLINK("E:\PropInv\MF\White Settlement\Emerald Crest Dr_7924_Saddle Creek_White Settlement_14902","Emerald Crest Dr_7924_Saddle Creek_White Settlement_14902" )</f>
        <v>Emerald Crest Dr_7924_Saddle Creek_White Settlement_14902</v>
      </c>
      <c r="L4796" s="104" t="s">
        <v>22253</v>
      </c>
      <c r="M4796" s="103" t="str">
        <f t="shared" si="373"/>
        <v>http://oconnordata.com/mlink/modules/profile/index.cfm?action=profile&amp;prop_id=14902</v>
      </c>
      <c r="N4796" s="1">
        <f t="shared" si="374"/>
        <v>14902</v>
      </c>
    </row>
    <row r="4797" spans="1:14" x14ac:dyDescent="0.3">
      <c r="A4797" s="1">
        <v>14903</v>
      </c>
      <c r="B4797" s="7" t="s">
        <v>7285</v>
      </c>
      <c r="C4797" s="12">
        <v>5901</v>
      </c>
      <c r="D4797" s="7" t="s">
        <v>277</v>
      </c>
      <c r="E4797" s="13" t="s">
        <v>5014</v>
      </c>
      <c r="F4797" t="str">
        <f t="shared" si="370"/>
        <v>Boca</v>
      </c>
      <c r="G4797" t="str">
        <f t="shared" si="371"/>
        <v>Boca5901Fort Worth</v>
      </c>
      <c r="H4797" t="s">
        <v>35654</v>
      </c>
      <c r="I4797" t="s">
        <v>27077</v>
      </c>
      <c r="J4797" t="str">
        <f t="shared" si="372"/>
        <v>E:\PropInv\MF</v>
      </c>
      <c r="K4797" s="103" t="str">
        <f>HYPERLINK("E:\PropInv\MF\Fort Worth\Boca Raton Blvd_5901_Oak Hollow_Fort Worth_14903","Boca Raton Blvd_5901_Oak Hollow_Fort Worth_14903" )</f>
        <v>Boca Raton Blvd_5901_Oak Hollow_Fort Worth_14903</v>
      </c>
      <c r="L4797" s="104" t="s">
        <v>22253</v>
      </c>
      <c r="M4797" s="103" t="str">
        <f t="shared" si="373"/>
        <v>http://oconnordata.com/mlink/modules/profile/index.cfm?action=profile&amp;prop_id=14903</v>
      </c>
      <c r="N4797" s="1">
        <f t="shared" si="374"/>
        <v>14903</v>
      </c>
    </row>
    <row r="4798" spans="1:14" x14ac:dyDescent="0.3">
      <c r="A4798" s="1">
        <v>14904</v>
      </c>
      <c r="B4798" s="7" t="s">
        <v>7234</v>
      </c>
      <c r="C4798" s="12">
        <v>1810</v>
      </c>
      <c r="D4798" s="7" t="s">
        <v>1194</v>
      </c>
      <c r="E4798" s="13" t="s">
        <v>5097</v>
      </c>
      <c r="F4798" t="str">
        <f t="shared" si="370"/>
        <v>Teasly</v>
      </c>
      <c r="G4798" t="str">
        <f t="shared" si="371"/>
        <v>Teasly1810Denton</v>
      </c>
      <c r="H4798" t="s">
        <v>35655</v>
      </c>
      <c r="I4798" t="s">
        <v>27078</v>
      </c>
      <c r="J4798" t="str">
        <f t="shared" si="372"/>
        <v>E:\PropInv\MF</v>
      </c>
      <c r="K4798" s="103" t="str">
        <f>HYPERLINK("E:\PropInv\MF\Denton\Teasly Ln_1810_Oak Meadows_Denton_14904","Teasly Ln_1810_Oak Meadows_Denton_14904" )</f>
        <v>Teasly Ln_1810_Oak Meadows_Denton_14904</v>
      </c>
      <c r="L4798" s="104" t="s">
        <v>22253</v>
      </c>
      <c r="M4798" s="103" t="str">
        <f t="shared" si="373"/>
        <v>http://oconnordata.com/mlink/modules/profile/index.cfm?action=profile&amp;prop_id=14904</v>
      </c>
      <c r="N4798" s="1">
        <f t="shared" si="374"/>
        <v>14904</v>
      </c>
    </row>
    <row r="4799" spans="1:14" x14ac:dyDescent="0.3">
      <c r="A4799" s="1">
        <v>14905</v>
      </c>
      <c r="B4799" s="7" t="s">
        <v>7286</v>
      </c>
      <c r="C4799" s="12">
        <v>2658</v>
      </c>
      <c r="D4799" s="7" t="s">
        <v>7287</v>
      </c>
      <c r="E4799" s="13" t="s">
        <v>5014</v>
      </c>
      <c r="F4799" t="str">
        <f t="shared" si="370"/>
        <v>Merrick</v>
      </c>
      <c r="G4799" t="str">
        <f t="shared" si="371"/>
        <v>Merrick2658Fort Worth</v>
      </c>
      <c r="H4799" t="s">
        <v>35656</v>
      </c>
      <c r="I4799" t="s">
        <v>27079</v>
      </c>
      <c r="J4799" t="str">
        <f t="shared" si="372"/>
        <v>E:\PropInv\MF</v>
      </c>
      <c r="K4799" s="103" t="str">
        <f>HYPERLINK("E:\PropInv\MF\Fort Worth\Merrick St_2658_Taj Mahal_Fort Worth_14905","Merrick St_2658_Taj Mahal_Fort Worth_14905" )</f>
        <v>Merrick St_2658_Taj Mahal_Fort Worth_14905</v>
      </c>
      <c r="L4799" s="104" t="s">
        <v>22253</v>
      </c>
      <c r="M4799" s="103" t="str">
        <f t="shared" si="373"/>
        <v>http://oconnordata.com/mlink/modules/profile/index.cfm?action=profile&amp;prop_id=14905</v>
      </c>
      <c r="N4799" s="1">
        <f t="shared" si="374"/>
        <v>14905</v>
      </c>
    </row>
    <row r="4800" spans="1:14" x14ac:dyDescent="0.3">
      <c r="A4800" s="1">
        <v>14906</v>
      </c>
      <c r="B4800" s="7" t="s">
        <v>7288</v>
      </c>
      <c r="C4800" s="12">
        <v>550</v>
      </c>
      <c r="D4800" s="7" t="s">
        <v>7289</v>
      </c>
      <c r="E4800" s="13" t="s">
        <v>5014</v>
      </c>
      <c r="F4800" t="str">
        <f t="shared" si="370"/>
        <v>8th</v>
      </c>
      <c r="G4800" t="str">
        <f t="shared" si="371"/>
        <v>8th550Fort Worth</v>
      </c>
      <c r="H4800" t="s">
        <v>35657</v>
      </c>
      <c r="I4800" t="s">
        <v>27080</v>
      </c>
      <c r="J4800" t="str">
        <f t="shared" si="372"/>
        <v>E:\PropInv\MF</v>
      </c>
      <c r="K4800" s="103" t="str">
        <f>HYPERLINK("E:\PropInv\MF\Fort Worth\8th Ave_550_Harris Gardens_Fort Worth_14906","8th Ave_550_Harris Gardens_Fort Worth_14906" )</f>
        <v>8th Ave_550_Harris Gardens_Fort Worth_14906</v>
      </c>
      <c r="L4800" s="104" t="s">
        <v>22253</v>
      </c>
      <c r="M4800" s="103" t="str">
        <f t="shared" si="373"/>
        <v>http://oconnordata.com/mlink/modules/profile/index.cfm?action=profile&amp;prop_id=14906</v>
      </c>
      <c r="N4800" s="1">
        <f t="shared" si="374"/>
        <v>14906</v>
      </c>
    </row>
    <row r="4801" spans="1:14" x14ac:dyDescent="0.3">
      <c r="A4801" s="1">
        <v>14907</v>
      </c>
      <c r="B4801" s="7" t="s">
        <v>7290</v>
      </c>
      <c r="C4801" s="12">
        <v>1126</v>
      </c>
      <c r="D4801" s="7" t="s">
        <v>7291</v>
      </c>
      <c r="E4801" s="13" t="s">
        <v>5046</v>
      </c>
      <c r="F4801" t="str">
        <f t="shared" si="370"/>
        <v>Perry</v>
      </c>
      <c r="G4801" t="str">
        <f t="shared" si="371"/>
        <v>Perry1126Irving</v>
      </c>
      <c r="H4801" t="s">
        <v>35658</v>
      </c>
      <c r="I4801" t="s">
        <v>27081</v>
      </c>
      <c r="J4801" t="str">
        <f t="shared" si="372"/>
        <v>E:\PropInv\MF</v>
      </c>
      <c r="K4801" s="103" t="str">
        <f>HYPERLINK("E:\PropInv\MF\Irving\Perry St_1126_Congress_Irving_14907","Perry St_1126_Congress_Irving_14907" )</f>
        <v>Perry St_1126_Congress_Irving_14907</v>
      </c>
      <c r="L4801" s="104" t="s">
        <v>22253</v>
      </c>
      <c r="M4801" s="103" t="str">
        <f t="shared" si="373"/>
        <v>http://oconnordata.com/mlink/modules/profile/index.cfm?action=profile&amp;prop_id=14907</v>
      </c>
      <c r="N4801" s="1">
        <f t="shared" si="374"/>
        <v>14907</v>
      </c>
    </row>
    <row r="4802" spans="1:14" x14ac:dyDescent="0.3">
      <c r="A4802" s="1">
        <v>14908</v>
      </c>
      <c r="B4802" s="7" t="s">
        <v>7292</v>
      </c>
      <c r="C4802" s="12">
        <v>6401</v>
      </c>
      <c r="D4802" s="7" t="s">
        <v>7293</v>
      </c>
      <c r="E4802" s="13" t="s">
        <v>5014</v>
      </c>
      <c r="F4802" t="str">
        <f t="shared" ref="F4802:F4865" si="375">IFERROR(LEFT(B4802,FIND(" ",B4802)-1),B4802)</f>
        <v>Hulen</v>
      </c>
      <c r="G4802" t="str">
        <f t="shared" ref="G4802:G4865" si="376">F4802&amp;C4802&amp;E4802</f>
        <v>Hulen6401Fort Worth</v>
      </c>
      <c r="H4802" t="s">
        <v>35659</v>
      </c>
      <c r="I4802" t="s">
        <v>27082</v>
      </c>
      <c r="J4802" t="str">
        <f t="shared" ref="J4802:J4865" si="377">IF(L4802="TX",Folder_Path,Folder_Path&amp;"\State_"&amp;L4802)</f>
        <v>E:\PropInv\MF</v>
      </c>
      <c r="K4802" s="103" t="str">
        <f>HYPERLINK("E:\PropInv\MF\Fort Worth\Hulen Bend_6401_Township on Hulen Bend_Fort Worth_14908","Hulen Bend_6401_Township on Hulen Bend_Fort Worth_14908" )</f>
        <v>Hulen Bend_6401_Township on Hulen Bend_Fort Worth_14908</v>
      </c>
      <c r="L4802" s="104" t="s">
        <v>22253</v>
      </c>
      <c r="M4802" s="103" t="str">
        <f t="shared" ref="M4802:M4865" si="378">HYPERLINK("http://oconnordata.com/mlink/modules/profile/index.cfm?action=profile&amp;prop_id="&amp;A4802)</f>
        <v>http://oconnordata.com/mlink/modules/profile/index.cfm?action=profile&amp;prop_id=14908</v>
      </c>
      <c r="N4802" s="1">
        <f t="shared" ref="N4802:N4865" si="379">IF(LEN(A4802)=1,"0000"&amp;A4802,IF(LEN(A4802)=2,"000"&amp;A4802,IF(LEN(A4802)=3,"00"&amp;A4802,IF(LEN(A4802)=4,"0"&amp;A4802,IF(LEN(A4802)=5,IF(LEFT(A4802,1)="3",A4802+30000,A4802))))))</f>
        <v>14908</v>
      </c>
    </row>
    <row r="4803" spans="1:14" x14ac:dyDescent="0.3">
      <c r="A4803" s="1">
        <v>14909</v>
      </c>
      <c r="B4803" s="21" t="s">
        <v>7294</v>
      </c>
      <c r="C4803" s="12">
        <v>2900</v>
      </c>
      <c r="D4803" s="7" t="s">
        <v>7295</v>
      </c>
      <c r="E4803" s="13" t="s">
        <v>5014</v>
      </c>
      <c r="F4803" t="str">
        <f t="shared" si="375"/>
        <v>S</v>
      </c>
      <c r="G4803" t="str">
        <f t="shared" si="376"/>
        <v>S2900Fort Worth</v>
      </c>
      <c r="H4803" t="s">
        <v>35660</v>
      </c>
      <c r="I4803" t="s">
        <v>27083</v>
      </c>
      <c r="J4803" t="str">
        <f t="shared" si="377"/>
        <v>E:\PropInv\MF</v>
      </c>
      <c r="K4803" s="103" t="str">
        <f>HYPERLINK("E:\PropInv\MF\Fort Worth\S Fwy_2900_Morning Side_Fort Worth_14909","S Fwy_2900_Morning Side_Fort Worth_14909" )</f>
        <v>S Fwy_2900_Morning Side_Fort Worth_14909</v>
      </c>
      <c r="L4803" s="104" t="s">
        <v>22253</v>
      </c>
      <c r="M4803" s="103" t="str">
        <f t="shared" si="378"/>
        <v>http://oconnordata.com/mlink/modules/profile/index.cfm?action=profile&amp;prop_id=14909</v>
      </c>
      <c r="N4803" s="1">
        <f t="shared" si="379"/>
        <v>14909</v>
      </c>
    </row>
    <row r="4804" spans="1:14" x14ac:dyDescent="0.3">
      <c r="A4804" s="97">
        <v>14910</v>
      </c>
      <c r="B4804" s="7" t="s">
        <v>7296</v>
      </c>
      <c r="C4804" s="12">
        <v>4170</v>
      </c>
      <c r="D4804" s="7" t="s">
        <v>7297</v>
      </c>
      <c r="E4804" s="13" t="s">
        <v>4996</v>
      </c>
      <c r="F4804" t="str">
        <f t="shared" si="375"/>
        <v>Altoona</v>
      </c>
      <c r="G4804" t="str">
        <f t="shared" si="376"/>
        <v>Altoona4170Dallas</v>
      </c>
      <c r="H4804" t="s">
        <v>35661</v>
      </c>
      <c r="I4804" t="s">
        <v>27084</v>
      </c>
      <c r="J4804" t="str">
        <f t="shared" si="377"/>
        <v>E:\PropInv\MF</v>
      </c>
      <c r="K4804" s="103" t="str">
        <f>HYPERLINK("E:\PropInv\MF\Dallas\Altoona Dr_4170_Windsor TH_Dallas_14910","Altoona Dr_4170_Windsor TH_Dallas_14910" )</f>
        <v>Altoona Dr_4170_Windsor TH_Dallas_14910</v>
      </c>
      <c r="L4804" s="104" t="s">
        <v>22253</v>
      </c>
      <c r="M4804" s="103" t="str">
        <f t="shared" si="378"/>
        <v>http://oconnordata.com/mlink/modules/profile/index.cfm?action=profile&amp;prop_id=14910</v>
      </c>
      <c r="N4804" s="1">
        <f t="shared" si="379"/>
        <v>14910</v>
      </c>
    </row>
    <row r="4805" spans="1:14" x14ac:dyDescent="0.3">
      <c r="A4805" s="1">
        <v>14911</v>
      </c>
      <c r="B4805" s="7" t="s">
        <v>7298</v>
      </c>
      <c r="C4805" s="12">
        <v>4151</v>
      </c>
      <c r="D4805" s="7" t="s">
        <v>7299</v>
      </c>
      <c r="E4805" s="13" t="s">
        <v>5014</v>
      </c>
      <c r="F4805" t="str">
        <f t="shared" si="375"/>
        <v>820</v>
      </c>
      <c r="G4805" t="str">
        <f t="shared" si="376"/>
        <v>8204151Fort Worth</v>
      </c>
      <c r="H4805" t="s">
        <v>35662</v>
      </c>
      <c r="I4805" t="s">
        <v>27085</v>
      </c>
      <c r="J4805" t="str">
        <f t="shared" si="377"/>
        <v>E:\PropInv\MF</v>
      </c>
      <c r="K4805" s="103" t="str">
        <f>HYPERLINK("E:\PropInv\MF\Fort Worth\820 Loop SW_4151_Fountain's Corner_Fort Worth_14911","820 Loop SW_4151_Fountain's Corner_Fort Worth_14911" )</f>
        <v>820 Loop SW_4151_Fountain's Corner_Fort Worth_14911</v>
      </c>
      <c r="L4805" s="104" t="s">
        <v>22253</v>
      </c>
      <c r="M4805" s="103" t="str">
        <f t="shared" si="378"/>
        <v>http://oconnordata.com/mlink/modules/profile/index.cfm?action=profile&amp;prop_id=14911</v>
      </c>
      <c r="N4805" s="1">
        <f t="shared" si="379"/>
        <v>14911</v>
      </c>
    </row>
    <row r="4806" spans="1:14" x14ac:dyDescent="0.3">
      <c r="A4806" s="1">
        <v>14912</v>
      </c>
      <c r="B4806" s="7" t="s">
        <v>7300</v>
      </c>
      <c r="C4806" s="12">
        <v>4828</v>
      </c>
      <c r="D4806" s="7" t="s">
        <v>7301</v>
      </c>
      <c r="E4806" s="13" t="s">
        <v>4996</v>
      </c>
      <c r="F4806" t="str">
        <f t="shared" si="375"/>
        <v>Alcott</v>
      </c>
      <c r="G4806" t="str">
        <f t="shared" si="376"/>
        <v>Alcott4828Dallas</v>
      </c>
      <c r="H4806" t="s">
        <v>35663</v>
      </c>
      <c r="I4806" t="s">
        <v>27086</v>
      </c>
      <c r="J4806" t="str">
        <f t="shared" si="377"/>
        <v>E:\PropInv\MF</v>
      </c>
      <c r="K4806" s="103" t="str">
        <f>HYPERLINK("E:\PropInv\MF\Dallas\Alcott_4828_Continental House_Dallas_14912","Alcott_4828_Continental House_Dallas_14912" )</f>
        <v>Alcott_4828_Continental House_Dallas_14912</v>
      </c>
      <c r="L4806" s="104" t="s">
        <v>22253</v>
      </c>
      <c r="M4806" s="103" t="str">
        <f t="shared" si="378"/>
        <v>http://oconnordata.com/mlink/modules/profile/index.cfm?action=profile&amp;prop_id=14912</v>
      </c>
      <c r="N4806" s="1">
        <f t="shared" si="379"/>
        <v>14912</v>
      </c>
    </row>
    <row r="4807" spans="1:14" x14ac:dyDescent="0.3">
      <c r="A4807" s="1">
        <v>14913</v>
      </c>
      <c r="B4807" s="7" t="s">
        <v>7302</v>
      </c>
      <c r="C4807" s="12">
        <v>200</v>
      </c>
      <c r="D4807" s="7" t="s">
        <v>7303</v>
      </c>
      <c r="E4807" s="13" t="s">
        <v>5097</v>
      </c>
      <c r="F4807" t="str">
        <f t="shared" si="375"/>
        <v>Bonnie</v>
      </c>
      <c r="G4807" t="str">
        <f t="shared" si="376"/>
        <v>Bonnie200Denton</v>
      </c>
      <c r="H4807" t="s">
        <v>35664</v>
      </c>
      <c r="I4807" t="s">
        <v>27087</v>
      </c>
      <c r="J4807" t="str">
        <f t="shared" si="377"/>
        <v>E:\PropInv\MF</v>
      </c>
      <c r="K4807" s="103" t="str">
        <f>HYPERLINK("E:\PropInv\MF\Denton\Bonnie Brae St S_200_University Courtyard_Denton_14913","Bonnie Brae St S_200_University Courtyard_Denton_14913" )</f>
        <v>Bonnie Brae St S_200_University Courtyard_Denton_14913</v>
      </c>
      <c r="L4807" s="104" t="s">
        <v>22253</v>
      </c>
      <c r="M4807" s="103" t="str">
        <f t="shared" si="378"/>
        <v>http://oconnordata.com/mlink/modules/profile/index.cfm?action=profile&amp;prop_id=14913</v>
      </c>
      <c r="N4807" s="1">
        <f t="shared" si="379"/>
        <v>14913</v>
      </c>
    </row>
    <row r="4808" spans="1:14" x14ac:dyDescent="0.3">
      <c r="A4808" s="1">
        <v>14915</v>
      </c>
      <c r="B4808" s="7" t="s">
        <v>7304</v>
      </c>
      <c r="C4808" s="12">
        <v>7301</v>
      </c>
      <c r="D4808" s="7" t="s">
        <v>7305</v>
      </c>
      <c r="E4808" s="13" t="s">
        <v>5014</v>
      </c>
      <c r="F4808" t="str">
        <f t="shared" si="375"/>
        <v>Ederville</v>
      </c>
      <c r="G4808" t="str">
        <f t="shared" si="376"/>
        <v>Ederville7301Fort Worth</v>
      </c>
      <c r="H4808" t="s">
        <v>35665</v>
      </c>
      <c r="I4808" t="s">
        <v>27088</v>
      </c>
      <c r="J4808" t="str">
        <f t="shared" si="377"/>
        <v>E:\PropInv\MF</v>
      </c>
      <c r="K4808" s="103" t="str">
        <f>HYPERLINK("E:\PropInv\MF\Fort Worth\Ederville_7301_Valencia Palms_Fort Worth_14915","Ederville_7301_Valencia Palms_Fort Worth_14915" )</f>
        <v>Ederville_7301_Valencia Palms_Fort Worth_14915</v>
      </c>
      <c r="L4808" s="104" t="s">
        <v>22253</v>
      </c>
      <c r="M4808" s="103" t="str">
        <f t="shared" si="378"/>
        <v>http://oconnordata.com/mlink/modules/profile/index.cfm?action=profile&amp;prop_id=14915</v>
      </c>
      <c r="N4808" s="1">
        <f t="shared" si="379"/>
        <v>14915</v>
      </c>
    </row>
    <row r="4809" spans="1:14" x14ac:dyDescent="0.3">
      <c r="A4809" s="1">
        <v>14916</v>
      </c>
      <c r="B4809" s="7" t="s">
        <v>6548</v>
      </c>
      <c r="C4809" s="12">
        <v>6625</v>
      </c>
      <c r="D4809" s="7" t="s">
        <v>7306</v>
      </c>
      <c r="E4809" s="13" t="s">
        <v>5014</v>
      </c>
      <c r="F4809" t="str">
        <f t="shared" si="375"/>
        <v>Hulen</v>
      </c>
      <c r="G4809" t="str">
        <f t="shared" si="376"/>
        <v>Hulen6625Fort Worth</v>
      </c>
      <c r="H4809" t="s">
        <v>35666</v>
      </c>
      <c r="I4809" t="s">
        <v>27089</v>
      </c>
      <c r="J4809" t="str">
        <f t="shared" si="377"/>
        <v>E:\PropInv\MF</v>
      </c>
      <c r="K4809" s="103" t="str">
        <f>HYPERLINK("E:\PropInv\MF\Fort Worth\Hulen S_6625_Valhalla_Fort Worth_14916","Hulen S_6625_Valhalla_Fort Worth_14916" )</f>
        <v>Hulen S_6625_Valhalla_Fort Worth_14916</v>
      </c>
      <c r="L4809" s="104" t="s">
        <v>22253</v>
      </c>
      <c r="M4809" s="103" t="str">
        <f t="shared" si="378"/>
        <v>http://oconnordata.com/mlink/modules/profile/index.cfm?action=profile&amp;prop_id=14916</v>
      </c>
      <c r="N4809" s="1">
        <f t="shared" si="379"/>
        <v>14916</v>
      </c>
    </row>
    <row r="4810" spans="1:14" x14ac:dyDescent="0.3">
      <c r="A4810" s="1">
        <v>14917</v>
      </c>
      <c r="B4810" s="7" t="s">
        <v>7092</v>
      </c>
      <c r="C4810" s="12">
        <v>6351</v>
      </c>
      <c r="D4810" s="7" t="s">
        <v>4473</v>
      </c>
      <c r="E4810" s="13" t="s">
        <v>5014</v>
      </c>
      <c r="F4810" t="str">
        <f t="shared" si="375"/>
        <v>Vega</v>
      </c>
      <c r="G4810" t="str">
        <f t="shared" si="376"/>
        <v>Vega6351Fort Worth</v>
      </c>
      <c r="H4810" t="s">
        <v>35667</v>
      </c>
      <c r="I4810" t="s">
        <v>27090</v>
      </c>
      <c r="J4810" t="str">
        <f t="shared" si="377"/>
        <v>E:\PropInv\MF</v>
      </c>
      <c r="K4810" s="103" t="str">
        <f>HYPERLINK("E:\PropInv\MF\Fort Worth\Vega Dr_6351_Oakwood_Fort Worth_14917","Vega Dr_6351_Oakwood_Fort Worth_14917" )</f>
        <v>Vega Dr_6351_Oakwood_Fort Worth_14917</v>
      </c>
      <c r="L4810" s="104" t="s">
        <v>22253</v>
      </c>
      <c r="M4810" s="103" t="str">
        <f t="shared" si="378"/>
        <v>http://oconnordata.com/mlink/modules/profile/index.cfm?action=profile&amp;prop_id=14917</v>
      </c>
      <c r="N4810" s="1">
        <f t="shared" si="379"/>
        <v>14917</v>
      </c>
    </row>
    <row r="4811" spans="1:14" x14ac:dyDescent="0.3">
      <c r="A4811" s="97">
        <v>14918</v>
      </c>
      <c r="B4811" s="7" t="s">
        <v>5639</v>
      </c>
      <c r="C4811" s="12">
        <v>3303</v>
      </c>
      <c r="D4811" s="7" t="s">
        <v>7307</v>
      </c>
      <c r="E4811" s="13" t="s">
        <v>5046</v>
      </c>
      <c r="F4811" t="str">
        <f t="shared" si="375"/>
        <v>Esters</v>
      </c>
      <c r="G4811" t="str">
        <f t="shared" si="376"/>
        <v>Esters3303Irving</v>
      </c>
      <c r="H4811" t="s">
        <v>35668</v>
      </c>
      <c r="I4811" t="s">
        <v>27091</v>
      </c>
      <c r="J4811" t="str">
        <f t="shared" si="377"/>
        <v>E:\PropInv\MF</v>
      </c>
      <c r="K4811" s="103" t="str">
        <f>HYPERLINK("E:\PropInv\MF\Irving\Esters_3303_Windtree_Irving_14918","Esters_3303_Windtree_Irving_14918" )</f>
        <v>Esters_3303_Windtree_Irving_14918</v>
      </c>
      <c r="L4811" s="104" t="s">
        <v>22253</v>
      </c>
      <c r="M4811" s="103" t="str">
        <f t="shared" si="378"/>
        <v>http://oconnordata.com/mlink/modules/profile/index.cfm?action=profile&amp;prop_id=14918</v>
      </c>
      <c r="N4811" s="1">
        <f t="shared" si="379"/>
        <v>14918</v>
      </c>
    </row>
    <row r="4812" spans="1:14" x14ac:dyDescent="0.3">
      <c r="A4812" s="1">
        <v>14919</v>
      </c>
      <c r="B4812" s="7" t="s">
        <v>7308</v>
      </c>
      <c r="C4812" s="12">
        <v>8651</v>
      </c>
      <c r="D4812" s="7" t="s">
        <v>7309</v>
      </c>
      <c r="E4812" s="13" t="s">
        <v>5014</v>
      </c>
      <c r="F4812" t="str">
        <f t="shared" si="375"/>
        <v>Meadow</v>
      </c>
      <c r="G4812" t="str">
        <f t="shared" si="376"/>
        <v>Meadow8651Fort Worth</v>
      </c>
      <c r="H4812" t="s">
        <v>35669</v>
      </c>
      <c r="I4812" t="s">
        <v>27092</v>
      </c>
      <c r="J4812" t="str">
        <f t="shared" si="377"/>
        <v>E:\PropInv\MF</v>
      </c>
      <c r="K4812" s="103" t="str">
        <f>HYPERLINK("E:\PropInv\MF\Fort Worth\Meadow Brook_8651_The Place at Vanderbilt_Fort Worth_14919","Meadow Brook_8651_The Place at Vanderbilt_Fort Worth_14919" )</f>
        <v>Meadow Brook_8651_The Place at Vanderbilt_Fort Worth_14919</v>
      </c>
      <c r="L4812" s="104" t="s">
        <v>22253</v>
      </c>
      <c r="M4812" s="103" t="str">
        <f t="shared" si="378"/>
        <v>http://oconnordata.com/mlink/modules/profile/index.cfm?action=profile&amp;prop_id=14919</v>
      </c>
      <c r="N4812" s="1">
        <f t="shared" si="379"/>
        <v>14919</v>
      </c>
    </row>
    <row r="4813" spans="1:14" x14ac:dyDescent="0.3">
      <c r="A4813" s="1">
        <v>14920</v>
      </c>
      <c r="B4813" s="7" t="s">
        <v>7310</v>
      </c>
      <c r="C4813" s="12">
        <v>4600</v>
      </c>
      <c r="D4813" s="7" t="s">
        <v>1100</v>
      </c>
      <c r="E4813" s="13" t="s">
        <v>332</v>
      </c>
      <c r="F4813" t="str">
        <f t="shared" si="375"/>
        <v>Barbara</v>
      </c>
      <c r="G4813" t="str">
        <f t="shared" si="376"/>
        <v>Barbara4600River Oaks</v>
      </c>
      <c r="H4813" t="s">
        <v>35670</v>
      </c>
      <c r="I4813" t="s">
        <v>27093</v>
      </c>
      <c r="J4813" t="str">
        <f t="shared" si="377"/>
        <v>E:\PropInv\MF</v>
      </c>
      <c r="K4813" s="103" t="str">
        <f>HYPERLINK("E:\PropInv\MF\River Oaks\Barbara Rd_4600_Hidden Oaks_River Oaks_14920","Barbara Rd_4600_Hidden Oaks_River Oaks_14920" )</f>
        <v>Barbara Rd_4600_Hidden Oaks_River Oaks_14920</v>
      </c>
      <c r="L4813" s="104" t="s">
        <v>22253</v>
      </c>
      <c r="M4813" s="103" t="str">
        <f t="shared" si="378"/>
        <v>http://oconnordata.com/mlink/modules/profile/index.cfm?action=profile&amp;prop_id=14920</v>
      </c>
      <c r="N4813" s="1">
        <f t="shared" si="379"/>
        <v>14920</v>
      </c>
    </row>
    <row r="4814" spans="1:14" x14ac:dyDescent="0.3">
      <c r="A4814" s="1">
        <v>14921</v>
      </c>
      <c r="B4814" s="7" t="s">
        <v>4994</v>
      </c>
      <c r="C4814" s="12">
        <v>3311</v>
      </c>
      <c r="D4814" s="7" t="s">
        <v>7311</v>
      </c>
      <c r="E4814" s="13" t="s">
        <v>4996</v>
      </c>
      <c r="F4814" t="str">
        <f t="shared" si="375"/>
        <v>Elm</v>
      </c>
      <c r="G4814" t="str">
        <f t="shared" si="376"/>
        <v>Elm3311Dallas</v>
      </c>
      <c r="H4814" t="s">
        <v>35671</v>
      </c>
      <c r="I4814" t="s">
        <v>27094</v>
      </c>
      <c r="J4814" t="str">
        <f t="shared" si="377"/>
        <v>E:\PropInv\MF</v>
      </c>
      <c r="K4814" s="103" t="str">
        <f>HYPERLINK("E:\PropInv\MF\Dallas\Elm St_3311_Continental Lofts_Dallas_14921","Elm St_3311_Continental Lofts_Dallas_14921" )</f>
        <v>Elm St_3311_Continental Lofts_Dallas_14921</v>
      </c>
      <c r="L4814" s="104" t="s">
        <v>22253</v>
      </c>
      <c r="M4814" s="103" t="str">
        <f t="shared" si="378"/>
        <v>http://oconnordata.com/mlink/modules/profile/index.cfm?action=profile&amp;prop_id=14921</v>
      </c>
      <c r="N4814" s="1">
        <f t="shared" si="379"/>
        <v>14921</v>
      </c>
    </row>
    <row r="4815" spans="1:14" x14ac:dyDescent="0.3">
      <c r="A4815" s="1">
        <v>14922</v>
      </c>
      <c r="B4815" s="7" t="s">
        <v>7312</v>
      </c>
      <c r="C4815" s="12">
        <v>6869</v>
      </c>
      <c r="D4815" s="7" t="s">
        <v>7313</v>
      </c>
      <c r="E4815" s="13" t="s">
        <v>5014</v>
      </c>
      <c r="F4815" t="str">
        <f t="shared" si="375"/>
        <v>Chickering</v>
      </c>
      <c r="G4815" t="str">
        <f t="shared" si="376"/>
        <v>Chickering6869Fort Worth</v>
      </c>
      <c r="H4815" t="s">
        <v>35672</v>
      </c>
      <c r="I4815" t="s">
        <v>27095</v>
      </c>
      <c r="J4815" t="str">
        <f t="shared" si="377"/>
        <v>E:\PropInv\MF</v>
      </c>
      <c r="K4815" s="103" t="str">
        <f>HYPERLINK("E:\PropInv\MF\Fort Worth\Chickering Rd_6869_Oakwood Estates I &amp; II_Fort Worth_14922","Chickering Rd_6869_Oakwood Estates I &amp; II_Fort Worth_14922" )</f>
        <v>Chickering Rd_6869_Oakwood Estates I &amp; II_Fort Worth_14922</v>
      </c>
      <c r="L4815" s="104" t="s">
        <v>22253</v>
      </c>
      <c r="M4815" s="103" t="str">
        <f t="shared" si="378"/>
        <v>http://oconnordata.com/mlink/modules/profile/index.cfm?action=profile&amp;prop_id=14922</v>
      </c>
      <c r="N4815" s="1">
        <f t="shared" si="379"/>
        <v>14922</v>
      </c>
    </row>
    <row r="4816" spans="1:14" x14ac:dyDescent="0.3">
      <c r="A4816" s="1">
        <v>14923</v>
      </c>
      <c r="B4816" s="7" t="s">
        <v>7314</v>
      </c>
      <c r="C4816" s="12">
        <v>7100</v>
      </c>
      <c r="D4816" s="7" t="s">
        <v>7315</v>
      </c>
      <c r="E4816" s="13" t="s">
        <v>5014</v>
      </c>
      <c r="F4816" t="str">
        <f t="shared" si="375"/>
        <v>Vickery</v>
      </c>
      <c r="G4816" t="str">
        <f t="shared" si="376"/>
        <v>Vickery7100Fort Worth</v>
      </c>
      <c r="H4816" t="s">
        <v>35673</v>
      </c>
      <c r="I4816" t="s">
        <v>27096</v>
      </c>
      <c r="J4816" t="str">
        <f t="shared" si="377"/>
        <v>E:\PropInv\MF</v>
      </c>
      <c r="K4816" s="103" t="str">
        <f>HYPERLINK("E:\PropInv\MF\Fort Worth\Vickery W_7100_The Monterrey_Fort Worth_14923","Vickery W_7100_The Monterrey_Fort Worth_14923" )</f>
        <v>Vickery W_7100_The Monterrey_Fort Worth_14923</v>
      </c>
      <c r="L4816" s="104" t="s">
        <v>22253</v>
      </c>
      <c r="M4816" s="103" t="str">
        <f t="shared" si="378"/>
        <v>http://oconnordata.com/mlink/modules/profile/index.cfm?action=profile&amp;prop_id=14923</v>
      </c>
      <c r="N4816" s="1">
        <f t="shared" si="379"/>
        <v>14923</v>
      </c>
    </row>
    <row r="4817" spans="1:14" x14ac:dyDescent="0.3">
      <c r="A4817" s="1">
        <v>14924</v>
      </c>
      <c r="B4817" s="7" t="s">
        <v>6880</v>
      </c>
      <c r="C4817" s="12">
        <v>5817</v>
      </c>
      <c r="D4817" s="7" t="s">
        <v>6245</v>
      </c>
      <c r="E4817" s="13" t="s">
        <v>5014</v>
      </c>
      <c r="F4817" t="str">
        <f t="shared" si="375"/>
        <v>Boca</v>
      </c>
      <c r="G4817" t="str">
        <f t="shared" si="376"/>
        <v>Boca5817Fort Worth</v>
      </c>
      <c r="H4817" t="s">
        <v>35674</v>
      </c>
      <c r="I4817" t="s">
        <v>27097</v>
      </c>
      <c r="J4817" t="str">
        <f t="shared" si="377"/>
        <v>E:\PropInv\MF</v>
      </c>
      <c r="K4817" s="103" t="str">
        <f>HYPERLINK("E:\PropInv\MF\Fort Worth\Boca Raton_5817_Villa Del Rio_Fort Worth_14924","Boca Raton_5817_Villa Del Rio_Fort Worth_14924" )</f>
        <v>Boca Raton_5817_Villa Del Rio_Fort Worth_14924</v>
      </c>
      <c r="L4817" s="104" t="s">
        <v>22253</v>
      </c>
      <c r="M4817" s="103" t="str">
        <f t="shared" si="378"/>
        <v>http://oconnordata.com/mlink/modules/profile/index.cfm?action=profile&amp;prop_id=14924</v>
      </c>
      <c r="N4817" s="1">
        <f t="shared" si="379"/>
        <v>14924</v>
      </c>
    </row>
    <row r="4818" spans="1:14" x14ac:dyDescent="0.3">
      <c r="A4818" s="97">
        <v>14926</v>
      </c>
      <c r="B4818" s="7" t="s">
        <v>7316</v>
      </c>
      <c r="C4818" s="12">
        <v>151</v>
      </c>
      <c r="D4818" s="7" t="s">
        <v>7307</v>
      </c>
      <c r="E4818" s="13" t="s">
        <v>7317</v>
      </c>
      <c r="F4818" t="str">
        <f t="shared" si="375"/>
        <v>Ebo</v>
      </c>
      <c r="G4818" t="str">
        <f t="shared" si="376"/>
        <v>Ebo151Kaufman</v>
      </c>
      <c r="H4818" t="s">
        <v>35675</v>
      </c>
      <c r="I4818" t="s">
        <v>27098</v>
      </c>
      <c r="J4818" t="str">
        <f t="shared" si="377"/>
        <v>E:\PropInv\MF</v>
      </c>
      <c r="K4818" s="103" t="str">
        <f>HYPERLINK("E:\PropInv\MF\Kaufman\Ebo St_151_Windtree_Kaufman_14926","Ebo St_151_Windtree_Kaufman_14926" )</f>
        <v>Ebo St_151_Windtree_Kaufman_14926</v>
      </c>
      <c r="L4818" s="104" t="s">
        <v>22253</v>
      </c>
      <c r="M4818" s="103" t="str">
        <f t="shared" si="378"/>
        <v>http://oconnordata.com/mlink/modules/profile/index.cfm?action=profile&amp;prop_id=14926</v>
      </c>
      <c r="N4818" s="1">
        <f t="shared" si="379"/>
        <v>14926</v>
      </c>
    </row>
    <row r="4819" spans="1:14" x14ac:dyDescent="0.3">
      <c r="A4819" s="1">
        <v>14927</v>
      </c>
      <c r="B4819" s="7" t="s">
        <v>7318</v>
      </c>
      <c r="C4819" s="12">
        <v>1700</v>
      </c>
      <c r="D4819" s="7" t="s">
        <v>7319</v>
      </c>
      <c r="E4819" s="13" t="s">
        <v>5097</v>
      </c>
      <c r="F4819" t="str">
        <f t="shared" si="375"/>
        <v>Village</v>
      </c>
      <c r="G4819" t="str">
        <f t="shared" si="376"/>
        <v>Village1700Denton</v>
      </c>
      <c r="H4819" t="s">
        <v>35676</v>
      </c>
      <c r="I4819" t="s">
        <v>27099</v>
      </c>
      <c r="J4819" t="str">
        <f t="shared" si="377"/>
        <v>E:\PropInv\MF</v>
      </c>
      <c r="K4819" s="103" t="str">
        <f>HYPERLINK("E:\PropInv\MF\Denton\Village St E_1700_Village East_Denton_14927","Village St E_1700_Village East_Denton_14927" )</f>
        <v>Village St E_1700_Village East_Denton_14927</v>
      </c>
      <c r="L4819" s="104" t="s">
        <v>22253</v>
      </c>
      <c r="M4819" s="103" t="str">
        <f t="shared" si="378"/>
        <v>http://oconnordata.com/mlink/modules/profile/index.cfm?action=profile&amp;prop_id=14927</v>
      </c>
      <c r="N4819" s="1">
        <f t="shared" si="379"/>
        <v>14927</v>
      </c>
    </row>
    <row r="4820" spans="1:14" x14ac:dyDescent="0.3">
      <c r="A4820" s="1">
        <v>14928</v>
      </c>
      <c r="B4820" s="7" t="s">
        <v>7211</v>
      </c>
      <c r="C4820" s="12">
        <v>3101</v>
      </c>
      <c r="D4820" s="7" t="s">
        <v>7320</v>
      </c>
      <c r="E4820" s="13" t="s">
        <v>5014</v>
      </c>
      <c r="F4820" t="str">
        <f t="shared" si="375"/>
        <v>Normandale</v>
      </c>
      <c r="G4820" t="str">
        <f t="shared" si="376"/>
        <v>Normandale3101Fort Worth</v>
      </c>
      <c r="H4820" t="s">
        <v>35677</v>
      </c>
      <c r="I4820" t="s">
        <v>27100</v>
      </c>
      <c r="J4820" t="str">
        <f t="shared" si="377"/>
        <v>E:\PropInv\MF</v>
      </c>
      <c r="K4820" s="103" t="str">
        <f>HYPERLINK("E:\PropInv\MF\Fort Worth\Normandale W_3101_The Hills_Fort Worth_14928","Normandale W_3101_The Hills_Fort Worth_14928" )</f>
        <v>Normandale W_3101_The Hills_Fort Worth_14928</v>
      </c>
      <c r="L4820" s="104" t="s">
        <v>22253</v>
      </c>
      <c r="M4820" s="103" t="str">
        <f t="shared" si="378"/>
        <v>http://oconnordata.com/mlink/modules/profile/index.cfm?action=profile&amp;prop_id=14928</v>
      </c>
      <c r="N4820" s="1">
        <f t="shared" si="379"/>
        <v>14928</v>
      </c>
    </row>
    <row r="4821" spans="1:14" x14ac:dyDescent="0.3">
      <c r="A4821" s="1">
        <v>14929</v>
      </c>
      <c r="B4821" s="7" t="s">
        <v>7321</v>
      </c>
      <c r="C4821" s="12">
        <v>5201</v>
      </c>
      <c r="D4821" s="7" t="s">
        <v>7322</v>
      </c>
      <c r="E4821" s="13" t="s">
        <v>5014</v>
      </c>
      <c r="F4821" t="str">
        <f t="shared" si="375"/>
        <v>Collett</v>
      </c>
      <c r="G4821" t="str">
        <f t="shared" si="376"/>
        <v>Collett5201Fort Worth</v>
      </c>
      <c r="H4821" t="s">
        <v>35678</v>
      </c>
      <c r="I4821" t="s">
        <v>27101</v>
      </c>
      <c r="J4821" t="str">
        <f t="shared" si="377"/>
        <v>E:\PropInv\MF</v>
      </c>
      <c r="K4821" s="103" t="str">
        <f>HYPERLINK("E:\PropInv\MF\Fort Worth\Collett Little Rd_5201_Villas by the Lake_Fort Worth_14929","Collett Little Rd_5201_Villas by the Lake_Fort Worth_14929" )</f>
        <v>Collett Little Rd_5201_Villas by the Lake_Fort Worth_14929</v>
      </c>
      <c r="L4821" s="104" t="s">
        <v>22253</v>
      </c>
      <c r="M4821" s="103" t="str">
        <f t="shared" si="378"/>
        <v>http://oconnordata.com/mlink/modules/profile/index.cfm?action=profile&amp;prop_id=14929</v>
      </c>
      <c r="N4821" s="1">
        <f t="shared" si="379"/>
        <v>14929</v>
      </c>
    </row>
    <row r="4822" spans="1:14" x14ac:dyDescent="0.3">
      <c r="A4822" s="1">
        <v>14930</v>
      </c>
      <c r="B4822" s="7" t="s">
        <v>6009</v>
      </c>
      <c r="C4822" s="12">
        <v>7878</v>
      </c>
      <c r="D4822" s="7" t="s">
        <v>5366</v>
      </c>
      <c r="E4822" s="13" t="s">
        <v>4996</v>
      </c>
      <c r="F4822" t="str">
        <f t="shared" si="375"/>
        <v>Marvin</v>
      </c>
      <c r="G4822" t="str">
        <f t="shared" si="376"/>
        <v>Marvin7878Dallas</v>
      </c>
      <c r="H4822" t="s">
        <v>35679</v>
      </c>
      <c r="I4822" t="s">
        <v>27102</v>
      </c>
      <c r="J4822" t="str">
        <f t="shared" si="377"/>
        <v>E:\PropInv\MF</v>
      </c>
      <c r="K4822" s="103" t="str">
        <f>HYPERLINK("E:\PropInv\MF\Dallas\Marvin D. Love Fwy_7878_The Corners_Dallas_14930","Marvin D. Love Fwy_7878_The Corners_Dallas_14930" )</f>
        <v>Marvin D. Love Fwy_7878_The Corners_Dallas_14930</v>
      </c>
      <c r="L4822" s="104" t="s">
        <v>22253</v>
      </c>
      <c r="M4822" s="103" t="str">
        <f t="shared" si="378"/>
        <v>http://oconnordata.com/mlink/modules/profile/index.cfm?action=profile&amp;prop_id=14930</v>
      </c>
      <c r="N4822" s="1">
        <f t="shared" si="379"/>
        <v>14930</v>
      </c>
    </row>
    <row r="4823" spans="1:14" x14ac:dyDescent="0.3">
      <c r="A4823" s="1">
        <v>14931</v>
      </c>
      <c r="B4823" s="7" t="s">
        <v>7323</v>
      </c>
      <c r="C4823" s="12">
        <v>917</v>
      </c>
      <c r="D4823" s="7" t="s">
        <v>7324</v>
      </c>
      <c r="E4823" s="13" t="s">
        <v>7325</v>
      </c>
      <c r="F4823" t="str">
        <f t="shared" si="375"/>
        <v>Coury</v>
      </c>
      <c r="G4823" t="str">
        <f t="shared" si="376"/>
        <v>Coury917Everman</v>
      </c>
      <c r="H4823" t="s">
        <v>35680</v>
      </c>
      <c r="I4823" t="s">
        <v>27103</v>
      </c>
      <c r="J4823" t="str">
        <f t="shared" si="377"/>
        <v>E:\PropInv\MF</v>
      </c>
      <c r="K4823" s="103" t="str">
        <f>HYPERLINK("E:\PropInv\MF\Everman\Coury_917_Oakwood Terrace_Everman_14931","Coury_917_Oakwood Terrace_Everman_14931" )</f>
        <v>Coury_917_Oakwood Terrace_Everman_14931</v>
      </c>
      <c r="L4823" s="104" t="s">
        <v>22253</v>
      </c>
      <c r="M4823" s="103" t="str">
        <f t="shared" si="378"/>
        <v>http://oconnordata.com/mlink/modules/profile/index.cfm?action=profile&amp;prop_id=14931</v>
      </c>
      <c r="N4823" s="1">
        <f t="shared" si="379"/>
        <v>14931</v>
      </c>
    </row>
    <row r="4824" spans="1:14" x14ac:dyDescent="0.3">
      <c r="A4824" s="1">
        <v>14932</v>
      </c>
      <c r="B4824" s="7" t="s">
        <v>6858</v>
      </c>
      <c r="C4824" s="12">
        <v>2821</v>
      </c>
      <c r="D4824" s="7" t="s">
        <v>537</v>
      </c>
      <c r="E4824" s="13" t="s">
        <v>5014</v>
      </c>
      <c r="F4824" t="str">
        <f t="shared" si="375"/>
        <v>Las</v>
      </c>
      <c r="G4824" t="str">
        <f t="shared" si="376"/>
        <v>Las2821Fort Worth</v>
      </c>
      <c r="H4824" t="s">
        <v>35681</v>
      </c>
      <c r="I4824" t="s">
        <v>27104</v>
      </c>
      <c r="J4824" t="str">
        <f t="shared" si="377"/>
        <v>E:\PropInv\MF</v>
      </c>
      <c r="K4824" s="103" t="str">
        <f>HYPERLINK("E:\PropInv\MF\Fort Worth\Las Vegas Trl_2821_Warren House_Fort Worth_14932","Las Vegas Trl_2821_Warren House_Fort Worth_14932" )</f>
        <v>Las Vegas Trl_2821_Warren House_Fort Worth_14932</v>
      </c>
      <c r="L4824" s="104" t="s">
        <v>22253</v>
      </c>
      <c r="M4824" s="103" t="str">
        <f t="shared" si="378"/>
        <v>http://oconnordata.com/mlink/modules/profile/index.cfm?action=profile&amp;prop_id=14932</v>
      </c>
      <c r="N4824" s="1">
        <f t="shared" si="379"/>
        <v>14932</v>
      </c>
    </row>
    <row r="4825" spans="1:14" x14ac:dyDescent="0.3">
      <c r="A4825" s="1">
        <v>14933</v>
      </c>
      <c r="B4825" s="7" t="s">
        <v>7326</v>
      </c>
      <c r="C4825" s="12">
        <v>3120</v>
      </c>
      <c r="D4825" s="7" t="s">
        <v>7327</v>
      </c>
      <c r="E4825" s="13" t="s">
        <v>4996</v>
      </c>
      <c r="F4825" t="str">
        <f t="shared" si="375"/>
        <v>Valley</v>
      </c>
      <c r="G4825" t="str">
        <f t="shared" si="376"/>
        <v>Valley3120Dallas</v>
      </c>
      <c r="H4825" t="s">
        <v>35682</v>
      </c>
      <c r="I4825" t="s">
        <v>27105</v>
      </c>
      <c r="J4825" t="str">
        <f t="shared" si="377"/>
        <v>E:\PropInv\MF</v>
      </c>
      <c r="K4825" s="103" t="str">
        <f>HYPERLINK("E:\PropInv\MF\Dallas\Valley Meadow_3120_Cornerstone Chase_Dallas_14933","Valley Meadow_3120_Cornerstone Chase_Dallas_14933" )</f>
        <v>Valley Meadow_3120_Cornerstone Chase_Dallas_14933</v>
      </c>
      <c r="L4825" s="104" t="s">
        <v>22253</v>
      </c>
      <c r="M4825" s="103" t="str">
        <f t="shared" si="378"/>
        <v>http://oconnordata.com/mlink/modules/profile/index.cfm?action=profile&amp;prop_id=14933</v>
      </c>
      <c r="N4825" s="1">
        <f t="shared" si="379"/>
        <v>14933</v>
      </c>
    </row>
    <row r="4826" spans="1:14" x14ac:dyDescent="0.3">
      <c r="A4826" s="1">
        <v>14934</v>
      </c>
      <c r="B4826" s="7" t="s">
        <v>7328</v>
      </c>
      <c r="C4826" s="12">
        <v>8701</v>
      </c>
      <c r="D4826" s="7" t="s">
        <v>7329</v>
      </c>
      <c r="E4826" s="13" t="s">
        <v>5014</v>
      </c>
      <c r="F4826" t="str">
        <f t="shared" si="375"/>
        <v>Calmont</v>
      </c>
      <c r="G4826" t="str">
        <f t="shared" si="376"/>
        <v>Calmont8701Fort Worth</v>
      </c>
      <c r="H4826" t="s">
        <v>35683</v>
      </c>
      <c r="I4826" t="s">
        <v>27106</v>
      </c>
      <c r="J4826" t="str">
        <f t="shared" si="377"/>
        <v>E:\PropInv\MF</v>
      </c>
      <c r="K4826" s="103" t="str">
        <f>HYPERLINK("E:\PropInv\MF\Fort Worth\Calmont Ave_8701_Warren Terrace_Fort Worth_14934","Calmont Ave_8701_Warren Terrace_Fort Worth_14934" )</f>
        <v>Calmont Ave_8701_Warren Terrace_Fort Worth_14934</v>
      </c>
      <c r="L4826" s="104" t="s">
        <v>22253</v>
      </c>
      <c r="M4826" s="103" t="str">
        <f t="shared" si="378"/>
        <v>http://oconnordata.com/mlink/modules/profile/index.cfm?action=profile&amp;prop_id=14934</v>
      </c>
      <c r="N4826" s="1">
        <f t="shared" si="379"/>
        <v>14934</v>
      </c>
    </row>
    <row r="4827" spans="1:14" x14ac:dyDescent="0.3">
      <c r="A4827" s="1">
        <v>14935</v>
      </c>
      <c r="B4827" s="7" t="s">
        <v>7330</v>
      </c>
      <c r="C4827" s="12">
        <v>2411</v>
      </c>
      <c r="D4827" s="7" t="s">
        <v>7331</v>
      </c>
      <c r="E4827" s="13" t="s">
        <v>5097</v>
      </c>
      <c r="F4827" t="str">
        <f t="shared" si="375"/>
        <v>35</v>
      </c>
      <c r="G4827" t="str">
        <f t="shared" si="376"/>
        <v>352411Denton</v>
      </c>
      <c r="H4827" t="s">
        <v>35684</v>
      </c>
      <c r="I4827" t="s">
        <v>27107</v>
      </c>
      <c r="J4827" t="str">
        <f t="shared" si="377"/>
        <v>E:\PropInv\MF</v>
      </c>
      <c r="K4827" s="103" t="str">
        <f>HYPERLINK("E:\PropInv\MF\Denton\35 IH S E_2411_Pace's Crossing_Denton_14935","35 IH S E_2411_Pace's Crossing_Denton_14935" )</f>
        <v>35 IH S E_2411_Pace's Crossing_Denton_14935</v>
      </c>
      <c r="L4827" s="104" t="s">
        <v>22253</v>
      </c>
      <c r="M4827" s="103" t="str">
        <f t="shared" si="378"/>
        <v>http://oconnordata.com/mlink/modules/profile/index.cfm?action=profile&amp;prop_id=14935</v>
      </c>
      <c r="N4827" s="1">
        <f t="shared" si="379"/>
        <v>14935</v>
      </c>
    </row>
    <row r="4828" spans="1:14" x14ac:dyDescent="0.3">
      <c r="A4828" s="1">
        <v>14936</v>
      </c>
      <c r="B4828" s="7" t="s">
        <v>7332</v>
      </c>
      <c r="C4828" s="12">
        <v>900</v>
      </c>
      <c r="D4828" s="7" t="s">
        <v>7333</v>
      </c>
      <c r="E4828" s="13" t="s">
        <v>5097</v>
      </c>
      <c r="F4828" t="str">
        <f t="shared" si="375"/>
        <v>Londonderry</v>
      </c>
      <c r="G4828" t="str">
        <f t="shared" si="376"/>
        <v>Londonderry900Denton</v>
      </c>
      <c r="H4828" t="s">
        <v>35685</v>
      </c>
      <c r="I4828" t="s">
        <v>27108</v>
      </c>
      <c r="J4828" t="str">
        <f t="shared" si="377"/>
        <v>E:\PropInv\MF</v>
      </c>
      <c r="K4828" s="103" t="str">
        <f>HYPERLINK("E:\PropInv\MF\Denton\Londonderry_900_Holly Hills_Denton_14936","Londonderry_900_Holly Hills_Denton_14936" )</f>
        <v>Londonderry_900_Holly Hills_Denton_14936</v>
      </c>
      <c r="L4828" s="104" t="s">
        <v>22253</v>
      </c>
      <c r="M4828" s="103" t="str">
        <f t="shared" si="378"/>
        <v>http://oconnordata.com/mlink/modules/profile/index.cfm?action=profile&amp;prop_id=14936</v>
      </c>
      <c r="N4828" s="1">
        <f t="shared" si="379"/>
        <v>14936</v>
      </c>
    </row>
    <row r="4829" spans="1:14" x14ac:dyDescent="0.3">
      <c r="A4829" s="1">
        <v>14937</v>
      </c>
      <c r="B4829" s="7" t="s">
        <v>6196</v>
      </c>
      <c r="C4829" s="12">
        <v>1330</v>
      </c>
      <c r="D4829" s="7" t="s">
        <v>7334</v>
      </c>
      <c r="E4829" s="13" t="s">
        <v>5046</v>
      </c>
      <c r="F4829" t="str">
        <f t="shared" si="375"/>
        <v>Rock</v>
      </c>
      <c r="G4829" t="str">
        <f t="shared" si="376"/>
        <v>Rock1330Irving</v>
      </c>
      <c r="H4829" t="s">
        <v>35686</v>
      </c>
      <c r="I4829" t="s">
        <v>27109</v>
      </c>
      <c r="J4829" t="str">
        <f t="shared" si="377"/>
        <v>E:\PropInv\MF</v>
      </c>
      <c r="K4829" s="103" t="str">
        <f>HYPERLINK("E:\PropInv\MF\Irving\Rock Island_1330_Country Brook_Irving_14937","Rock Island_1330_Country Brook_Irving_14937" )</f>
        <v>Rock Island_1330_Country Brook_Irving_14937</v>
      </c>
      <c r="L4829" s="104" t="s">
        <v>22253</v>
      </c>
      <c r="M4829" s="103" t="str">
        <f t="shared" si="378"/>
        <v>http://oconnordata.com/mlink/modules/profile/index.cfm?action=profile&amp;prop_id=14937</v>
      </c>
      <c r="N4829" s="1">
        <f t="shared" si="379"/>
        <v>14937</v>
      </c>
    </row>
    <row r="4830" spans="1:14" x14ac:dyDescent="0.3">
      <c r="A4830" s="1">
        <v>14938</v>
      </c>
      <c r="B4830" s="7" t="s">
        <v>6858</v>
      </c>
      <c r="C4830" s="12">
        <v>2819</v>
      </c>
      <c r="D4830" s="7" t="s">
        <v>557</v>
      </c>
      <c r="E4830" s="13" t="s">
        <v>5014</v>
      </c>
      <c r="F4830" t="str">
        <f t="shared" si="375"/>
        <v>Las</v>
      </c>
      <c r="G4830" t="str">
        <f t="shared" si="376"/>
        <v>Las2819Fort Worth</v>
      </c>
      <c r="H4830" t="s">
        <v>35687</v>
      </c>
      <c r="I4830" t="s">
        <v>27110</v>
      </c>
      <c r="J4830" t="str">
        <f t="shared" si="377"/>
        <v>E:\PropInv\MF</v>
      </c>
      <c r="K4830" s="103" t="str">
        <f>HYPERLINK("E:\PropInv\MF\Fort Worth\Las Vegas Trl_2819_Warwick_Fort Worth_14938","Las Vegas Trl_2819_Warwick_Fort Worth_14938" )</f>
        <v>Las Vegas Trl_2819_Warwick_Fort Worth_14938</v>
      </c>
      <c r="L4830" s="104" t="s">
        <v>22253</v>
      </c>
      <c r="M4830" s="103" t="str">
        <f t="shared" si="378"/>
        <v>http://oconnordata.com/mlink/modules/profile/index.cfm?action=profile&amp;prop_id=14938</v>
      </c>
      <c r="N4830" s="1">
        <f t="shared" si="379"/>
        <v>14938</v>
      </c>
    </row>
    <row r="4831" spans="1:14" x14ac:dyDescent="0.3">
      <c r="A4831" s="1">
        <v>14939</v>
      </c>
      <c r="B4831" s="7" t="s">
        <v>7335</v>
      </c>
      <c r="C4831" s="12">
        <v>2100</v>
      </c>
      <c r="D4831" s="7" t="s">
        <v>7336</v>
      </c>
      <c r="E4831" s="13" t="s">
        <v>5097</v>
      </c>
      <c r="F4831" t="str">
        <f t="shared" si="375"/>
        <v>Spencer</v>
      </c>
      <c r="G4831" t="str">
        <f t="shared" si="376"/>
        <v>Spencer2100Denton</v>
      </c>
      <c r="H4831" t="s">
        <v>35688</v>
      </c>
      <c r="I4831" t="s">
        <v>27111</v>
      </c>
      <c r="J4831" t="str">
        <f t="shared" si="377"/>
        <v>E:\PropInv\MF</v>
      </c>
      <c r="K4831" s="103" t="str">
        <f>HYPERLINK("E:\PropInv\MF\Denton\Spencer Rd_2100_Waterford at Spencer Oaks_Denton_14939","Spencer Rd_2100_Waterford at Spencer Oaks_Denton_14939" )</f>
        <v>Spencer Rd_2100_Waterford at Spencer Oaks_Denton_14939</v>
      </c>
      <c r="L4831" s="104" t="s">
        <v>22253</v>
      </c>
      <c r="M4831" s="103" t="str">
        <f t="shared" si="378"/>
        <v>http://oconnordata.com/mlink/modules/profile/index.cfm?action=profile&amp;prop_id=14939</v>
      </c>
      <c r="N4831" s="1">
        <f t="shared" si="379"/>
        <v>14939</v>
      </c>
    </row>
    <row r="4832" spans="1:14" x14ac:dyDescent="0.3">
      <c r="A4832" s="1">
        <v>14941</v>
      </c>
      <c r="B4832" s="10" t="s">
        <v>7337</v>
      </c>
      <c r="C4832" s="9">
        <v>2819</v>
      </c>
      <c r="D4832" s="10" t="s">
        <v>7338</v>
      </c>
      <c r="E4832" s="11" t="s">
        <v>5014</v>
      </c>
      <c r="F4832" t="str">
        <f t="shared" si="375"/>
        <v>Walton</v>
      </c>
      <c r="G4832" t="str">
        <f t="shared" si="376"/>
        <v>Walton2819Fort Worth</v>
      </c>
      <c r="H4832" t="s">
        <v>35689</v>
      </c>
      <c r="I4832" t="s">
        <v>27112</v>
      </c>
      <c r="J4832" t="str">
        <f t="shared" si="377"/>
        <v>E:\PropInv\MF</v>
      </c>
      <c r="K4832" s="103" t="str">
        <f>HYPERLINK("E:\PropInv\MF\Fort Worth\Walton Ave #101_2819_Wedgewood_Fort Worth_14941","Walton Ave #101_2819_Wedgewood_Fort Worth_14941" )</f>
        <v>Walton Ave #101_2819_Wedgewood_Fort Worth_14941</v>
      </c>
      <c r="L4832" s="104" t="s">
        <v>22253</v>
      </c>
      <c r="M4832" s="103" t="str">
        <f t="shared" si="378"/>
        <v>http://oconnordata.com/mlink/modules/profile/index.cfm?action=profile&amp;prop_id=14941</v>
      </c>
      <c r="N4832" s="1">
        <f t="shared" si="379"/>
        <v>14941</v>
      </c>
    </row>
    <row r="4833" spans="1:14" x14ac:dyDescent="0.3">
      <c r="A4833" s="1">
        <v>14942</v>
      </c>
      <c r="B4833" s="7" t="s">
        <v>7339</v>
      </c>
      <c r="C4833" s="12">
        <v>3501</v>
      </c>
      <c r="D4833" s="7" t="s">
        <v>7340</v>
      </c>
      <c r="E4833" s="13" t="s">
        <v>5014</v>
      </c>
      <c r="F4833" t="str">
        <f t="shared" si="375"/>
        <v>Renzel</v>
      </c>
      <c r="G4833" t="str">
        <f t="shared" si="376"/>
        <v>Renzel3501Fort Worth</v>
      </c>
      <c r="H4833" t="s">
        <v>35690</v>
      </c>
      <c r="I4833" t="s">
        <v>27113</v>
      </c>
      <c r="J4833" t="str">
        <f t="shared" si="377"/>
        <v>E:\PropInv\MF</v>
      </c>
      <c r="K4833" s="103" t="str">
        <f>HYPERLINK("E:\PropInv\MF\Fort Worth\Renzel Blvd_3501_Palm House_Fort Worth_14942","Renzel Blvd_3501_Palm House_Fort Worth_14942" )</f>
        <v>Renzel Blvd_3501_Palm House_Fort Worth_14942</v>
      </c>
      <c r="L4833" s="104" t="s">
        <v>22253</v>
      </c>
      <c r="M4833" s="103" t="str">
        <f t="shared" si="378"/>
        <v>http://oconnordata.com/mlink/modules/profile/index.cfm?action=profile&amp;prop_id=14942</v>
      </c>
      <c r="N4833" s="1">
        <f t="shared" si="379"/>
        <v>14942</v>
      </c>
    </row>
    <row r="4834" spans="1:14" x14ac:dyDescent="0.3">
      <c r="A4834" s="1">
        <v>14944</v>
      </c>
      <c r="B4834" s="7" t="s">
        <v>7341</v>
      </c>
      <c r="C4834" s="12">
        <v>4727</v>
      </c>
      <c r="D4834" s="7" t="s">
        <v>7342</v>
      </c>
      <c r="E4834" s="13" t="s">
        <v>5014</v>
      </c>
      <c r="F4834" t="str">
        <f t="shared" si="375"/>
        <v>Wellesley</v>
      </c>
      <c r="G4834" t="str">
        <f t="shared" si="376"/>
        <v>Wellesley4727Fort Worth</v>
      </c>
      <c r="H4834" t="s">
        <v>35691</v>
      </c>
      <c r="I4834" t="s">
        <v>27114</v>
      </c>
      <c r="J4834" t="str">
        <f t="shared" si="377"/>
        <v>E:\PropInv\MF</v>
      </c>
      <c r="K4834" s="103" t="str">
        <f>HYPERLINK("E:\PropInv\MF\Fort Worth\Wellesley_4727_Wells Point_Fort Worth_14944","Wellesley_4727_Wells Point_Fort Worth_14944" )</f>
        <v>Wellesley_4727_Wells Point_Fort Worth_14944</v>
      </c>
      <c r="L4834" s="104" t="s">
        <v>22253</v>
      </c>
      <c r="M4834" s="103" t="str">
        <f t="shared" si="378"/>
        <v>http://oconnordata.com/mlink/modules/profile/index.cfm?action=profile&amp;prop_id=14944</v>
      </c>
      <c r="N4834" s="1">
        <f t="shared" si="379"/>
        <v>14944</v>
      </c>
    </row>
    <row r="4835" spans="1:14" x14ac:dyDescent="0.3">
      <c r="A4835" s="1">
        <v>14945</v>
      </c>
      <c r="B4835" s="7" t="s">
        <v>7343</v>
      </c>
      <c r="C4835" s="12">
        <v>7251</v>
      </c>
      <c r="D4835" s="7" t="s">
        <v>7344</v>
      </c>
      <c r="E4835" s="13" t="s">
        <v>4996</v>
      </c>
      <c r="F4835" t="str">
        <f t="shared" si="375"/>
        <v>Chaucer</v>
      </c>
      <c r="G4835" t="str">
        <f t="shared" si="376"/>
        <v>Chaucer7251Dallas</v>
      </c>
      <c r="H4835" t="s">
        <v>35692</v>
      </c>
      <c r="I4835" t="s">
        <v>27115</v>
      </c>
      <c r="J4835" t="str">
        <f t="shared" si="377"/>
        <v>E:\PropInv\MF</v>
      </c>
      <c r="K4835" s="103" t="str">
        <f>HYPERLINK("E:\PropInv\MF\Dallas\Chaucer_7251_Bella Vista_Dallas_14945","Chaucer_7251_Bella Vista_Dallas_14945" )</f>
        <v>Chaucer_7251_Bella Vista_Dallas_14945</v>
      </c>
      <c r="L4835" s="104" t="s">
        <v>22253</v>
      </c>
      <c r="M4835" s="103" t="str">
        <f t="shared" si="378"/>
        <v>http://oconnordata.com/mlink/modules/profile/index.cfm?action=profile&amp;prop_id=14945</v>
      </c>
      <c r="N4835" s="1">
        <f t="shared" si="379"/>
        <v>14945</v>
      </c>
    </row>
    <row r="4836" spans="1:14" x14ac:dyDescent="0.3">
      <c r="A4836" s="1">
        <v>14946</v>
      </c>
      <c r="B4836" s="7" t="s">
        <v>7345</v>
      </c>
      <c r="C4836" s="12">
        <v>3232</v>
      </c>
      <c r="D4836" s="7" t="s">
        <v>7346</v>
      </c>
      <c r="E4836" s="13" t="s">
        <v>5097</v>
      </c>
      <c r="F4836" t="str">
        <f t="shared" si="375"/>
        <v>Locust</v>
      </c>
      <c r="G4836" t="str">
        <f t="shared" si="376"/>
        <v>Locust3232Denton</v>
      </c>
      <c r="H4836" t="s">
        <v>35693</v>
      </c>
      <c r="I4836" t="s">
        <v>27116</v>
      </c>
      <c r="J4836" t="str">
        <f t="shared" si="377"/>
        <v>E:\PropInv\MF</v>
      </c>
      <c r="K4836" s="103" t="str">
        <f>HYPERLINK("E:\PropInv\MF\Denton\Locust St N_3232_Cooper Glen_Denton_14946","Locust St N_3232_Cooper Glen_Denton_14946" )</f>
        <v>Locust St N_3232_Cooper Glen_Denton_14946</v>
      </c>
      <c r="L4836" s="104" t="s">
        <v>22253</v>
      </c>
      <c r="M4836" s="103" t="str">
        <f t="shared" si="378"/>
        <v>http://oconnordata.com/mlink/modules/profile/index.cfm?action=profile&amp;prop_id=14946</v>
      </c>
      <c r="N4836" s="1">
        <f t="shared" si="379"/>
        <v>14946</v>
      </c>
    </row>
    <row r="4837" spans="1:14" x14ac:dyDescent="0.3">
      <c r="A4837" s="1">
        <v>14948</v>
      </c>
      <c r="B4837" s="7" t="s">
        <v>6858</v>
      </c>
      <c r="C4837" s="12">
        <v>3000</v>
      </c>
      <c r="D4837" s="7" t="s">
        <v>7347</v>
      </c>
      <c r="E4837" s="13" t="s">
        <v>5014</v>
      </c>
      <c r="F4837" t="str">
        <f t="shared" si="375"/>
        <v>Las</v>
      </c>
      <c r="G4837" t="str">
        <f t="shared" si="376"/>
        <v>Las3000Fort Worth</v>
      </c>
      <c r="H4837" t="s">
        <v>35694</v>
      </c>
      <c r="I4837" t="s">
        <v>27117</v>
      </c>
      <c r="J4837" t="str">
        <f t="shared" si="377"/>
        <v>E:\PropInv\MF</v>
      </c>
      <c r="K4837" s="103" t="str">
        <f>HYPERLINK("E:\PropInv\MF\Fort Worth\Las Vegas Trl_3000_West Point Pines_Fort Worth_14948","Las Vegas Trl_3000_West Point Pines_Fort Worth_14948" )</f>
        <v>Las Vegas Trl_3000_West Point Pines_Fort Worth_14948</v>
      </c>
      <c r="L4837" s="104" t="s">
        <v>22253</v>
      </c>
      <c r="M4837" s="103" t="str">
        <f t="shared" si="378"/>
        <v>http://oconnordata.com/mlink/modules/profile/index.cfm?action=profile&amp;prop_id=14948</v>
      </c>
      <c r="N4837" s="1">
        <f t="shared" si="379"/>
        <v>14948</v>
      </c>
    </row>
    <row r="4838" spans="1:14" x14ac:dyDescent="0.3">
      <c r="A4838" s="1">
        <v>14949</v>
      </c>
      <c r="B4838" s="7" t="s">
        <v>7348</v>
      </c>
      <c r="C4838" s="12">
        <v>7415</v>
      </c>
      <c r="D4838" s="7" t="s">
        <v>7349</v>
      </c>
      <c r="E4838" s="13" t="s">
        <v>5014</v>
      </c>
      <c r="F4838" t="str">
        <f t="shared" si="375"/>
        <v>Tallow</v>
      </c>
      <c r="G4838" t="str">
        <f t="shared" si="376"/>
        <v>Tallow7415Fort Worth</v>
      </c>
      <c r="H4838" t="s">
        <v>35695</v>
      </c>
      <c r="I4838" t="s">
        <v>27118</v>
      </c>
      <c r="J4838" t="str">
        <f t="shared" si="377"/>
        <v>E:\PropInv\MF</v>
      </c>
      <c r="K4838" s="103" t="str">
        <f>HYPERLINK("E:\PropInv\MF\Fort Worth\Tallow Wind Trl_7415_Hulen Gardens_Fort Worth_14949","Tallow Wind Trl_7415_Hulen Gardens_Fort Worth_14949" )</f>
        <v>Tallow Wind Trl_7415_Hulen Gardens_Fort Worth_14949</v>
      </c>
      <c r="L4838" s="104" t="s">
        <v>22253</v>
      </c>
      <c r="M4838" s="103" t="str">
        <f t="shared" si="378"/>
        <v>http://oconnordata.com/mlink/modules/profile/index.cfm?action=profile&amp;prop_id=14949</v>
      </c>
      <c r="N4838" s="1">
        <f t="shared" si="379"/>
        <v>14949</v>
      </c>
    </row>
    <row r="4839" spans="1:14" x14ac:dyDescent="0.3">
      <c r="A4839" s="97">
        <v>14951</v>
      </c>
      <c r="B4839" s="7" t="s">
        <v>7350</v>
      </c>
      <c r="C4839" s="12">
        <v>3947</v>
      </c>
      <c r="D4839" s="7" t="s">
        <v>7351</v>
      </c>
      <c r="E4839" s="13" t="s">
        <v>5046</v>
      </c>
      <c r="F4839" t="str">
        <f t="shared" si="375"/>
        <v>Pleasant</v>
      </c>
      <c r="G4839" t="str">
        <f t="shared" si="376"/>
        <v>Pleasant3947Irving</v>
      </c>
      <c r="H4839" t="s">
        <v>35696</v>
      </c>
      <c r="I4839" t="s">
        <v>27119</v>
      </c>
      <c r="J4839" t="str">
        <f t="shared" si="377"/>
        <v>E:\PropInv\MF</v>
      </c>
      <c r="K4839" s="103" t="str">
        <f>HYPERLINK("E:\PropInv\MF\Irving\Pleasant Run Rd_3947_Wood Wind Condominiums_Irving_14951","Pleasant Run Rd_3947_Wood Wind Condominiums_Irving_14951" )</f>
        <v>Pleasant Run Rd_3947_Wood Wind Condominiums_Irving_14951</v>
      </c>
      <c r="L4839" s="104" t="s">
        <v>22253</v>
      </c>
      <c r="M4839" s="103" t="str">
        <f t="shared" si="378"/>
        <v>http://oconnordata.com/mlink/modules/profile/index.cfm?action=profile&amp;prop_id=14951</v>
      </c>
      <c r="N4839" s="1">
        <f t="shared" si="379"/>
        <v>14951</v>
      </c>
    </row>
    <row r="4840" spans="1:14" x14ac:dyDescent="0.3">
      <c r="A4840" s="1">
        <v>14952</v>
      </c>
      <c r="B4840" s="10" t="s">
        <v>7352</v>
      </c>
      <c r="C4840" s="9">
        <v>2900</v>
      </c>
      <c r="D4840" s="7" t="s">
        <v>1478</v>
      </c>
      <c r="E4840" s="11" t="s">
        <v>5014</v>
      </c>
      <c r="F4840" t="str">
        <f t="shared" si="375"/>
        <v>Gunnison</v>
      </c>
      <c r="G4840" t="str">
        <f t="shared" si="376"/>
        <v>Gunnison2900Fort Worth</v>
      </c>
      <c r="H4840" t="s">
        <v>35697</v>
      </c>
      <c r="I4840" t="s">
        <v>27120</v>
      </c>
      <c r="J4840" t="str">
        <f t="shared" si="377"/>
        <v>E:\PropInv\MF</v>
      </c>
      <c r="K4840" s="103" t="str">
        <f>HYPERLINK("E:\PropInv\MF\Fort Worth\Gunnison Trl_2900_Westchase_Fort Worth_14952","Gunnison Trl_2900_Westchase_Fort Worth_14952" )</f>
        <v>Gunnison Trl_2900_Westchase_Fort Worth_14952</v>
      </c>
      <c r="L4840" s="104" t="s">
        <v>22253</v>
      </c>
      <c r="M4840" s="103" t="str">
        <f t="shared" si="378"/>
        <v>http://oconnordata.com/mlink/modules/profile/index.cfm?action=profile&amp;prop_id=14952</v>
      </c>
      <c r="N4840" s="1">
        <f t="shared" si="379"/>
        <v>14952</v>
      </c>
    </row>
    <row r="4841" spans="1:14" x14ac:dyDescent="0.3">
      <c r="A4841" s="1">
        <v>14953</v>
      </c>
      <c r="B4841" s="7" t="s">
        <v>7353</v>
      </c>
      <c r="C4841" s="12">
        <v>5644</v>
      </c>
      <c r="D4841" s="7" t="s">
        <v>7354</v>
      </c>
      <c r="E4841" s="13" t="s">
        <v>6909</v>
      </c>
      <c r="F4841" t="str">
        <f t="shared" si="375"/>
        <v>River</v>
      </c>
      <c r="G4841" t="str">
        <f t="shared" si="376"/>
        <v>River5644Benbrook</v>
      </c>
      <c r="H4841" t="s">
        <v>35698</v>
      </c>
      <c r="I4841" t="s">
        <v>27121</v>
      </c>
      <c r="J4841" t="str">
        <f t="shared" si="377"/>
        <v>E:\PropInv\MF</v>
      </c>
      <c r="K4841" s="103" t="str">
        <f>HYPERLINK("E:\PropInv\MF\Benbrook\River Walk Dr_5644_Copper Crossing I &amp; II_Benbrook_14953","River Walk Dr_5644_Copper Crossing I &amp; II_Benbrook_14953" )</f>
        <v>River Walk Dr_5644_Copper Crossing I &amp; II_Benbrook_14953</v>
      </c>
      <c r="L4841" s="104" t="s">
        <v>22253</v>
      </c>
      <c r="M4841" s="103" t="str">
        <f t="shared" si="378"/>
        <v>http://oconnordata.com/mlink/modules/profile/index.cfm?action=profile&amp;prop_id=14953</v>
      </c>
      <c r="N4841" s="1">
        <f t="shared" si="379"/>
        <v>14953</v>
      </c>
    </row>
    <row r="4842" spans="1:14" x14ac:dyDescent="0.3">
      <c r="A4842" s="97">
        <v>14955</v>
      </c>
      <c r="B4842" s="7" t="s">
        <v>7355</v>
      </c>
      <c r="C4842" s="12">
        <v>4060</v>
      </c>
      <c r="D4842" s="7" t="s">
        <v>7356</v>
      </c>
      <c r="E4842" s="13" t="s">
        <v>5046</v>
      </c>
      <c r="F4842" t="str">
        <f t="shared" si="375"/>
        <v>Belt</v>
      </c>
      <c r="G4842" t="str">
        <f t="shared" si="376"/>
        <v>Belt4060Irving</v>
      </c>
      <c r="H4842" t="s">
        <v>35699</v>
      </c>
      <c r="I4842" t="s">
        <v>27122</v>
      </c>
      <c r="J4842" t="str">
        <f t="shared" si="377"/>
        <v>E:\PropInv\MF</v>
      </c>
      <c r="K4842" s="103" t="str">
        <f>HYPERLINK("E:\PropInv\MF\Irving\Belt Line Rd N_4060_Woodchase Condos_Irving_14955","Belt Line Rd N_4060_Woodchase Condos_Irving_14955" )</f>
        <v>Belt Line Rd N_4060_Woodchase Condos_Irving_14955</v>
      </c>
      <c r="L4842" s="104" t="s">
        <v>22253</v>
      </c>
      <c r="M4842" s="103" t="str">
        <f t="shared" si="378"/>
        <v>http://oconnordata.com/mlink/modules/profile/index.cfm?action=profile&amp;prop_id=14955</v>
      </c>
      <c r="N4842" s="1">
        <f t="shared" si="379"/>
        <v>14955</v>
      </c>
    </row>
    <row r="4843" spans="1:14" x14ac:dyDescent="0.3">
      <c r="A4843" s="1">
        <v>14956</v>
      </c>
      <c r="B4843" s="7" t="s">
        <v>7357</v>
      </c>
      <c r="C4843" s="12">
        <v>3872</v>
      </c>
      <c r="D4843" s="7" t="s">
        <v>7358</v>
      </c>
      <c r="E4843" s="13" t="s">
        <v>4996</v>
      </c>
      <c r="F4843" t="str">
        <f t="shared" si="375"/>
        <v>Dixon</v>
      </c>
      <c r="G4843" t="str">
        <f t="shared" si="376"/>
        <v>Dixon3872Dallas</v>
      </c>
      <c r="H4843" t="s">
        <v>35700</v>
      </c>
      <c r="I4843" t="s">
        <v>27123</v>
      </c>
      <c r="J4843" t="str">
        <f t="shared" si="377"/>
        <v>E:\PropInv\MF</v>
      </c>
      <c r="K4843" s="103" t="str">
        <f>HYPERLINK("E:\PropInv\MF\Dallas\Dixon Cir_3872_Southdale Apts II_Dallas_14956","Dixon Cir_3872_Southdale Apts II_Dallas_14956" )</f>
        <v>Dixon Cir_3872_Southdale Apts II_Dallas_14956</v>
      </c>
      <c r="L4843" s="104" t="s">
        <v>22253</v>
      </c>
      <c r="M4843" s="103" t="str">
        <f t="shared" si="378"/>
        <v>http://oconnordata.com/mlink/modules/profile/index.cfm?action=profile&amp;prop_id=14956</v>
      </c>
      <c r="N4843" s="1">
        <f t="shared" si="379"/>
        <v>14956</v>
      </c>
    </row>
    <row r="4844" spans="1:14" x14ac:dyDescent="0.3">
      <c r="A4844" s="1">
        <v>14958</v>
      </c>
      <c r="B4844" s="7" t="s">
        <v>7359</v>
      </c>
      <c r="C4844" s="12">
        <v>3481</v>
      </c>
      <c r="D4844" s="7" t="s">
        <v>7360</v>
      </c>
      <c r="E4844" s="13" t="s">
        <v>5014</v>
      </c>
      <c r="F4844" t="str">
        <f t="shared" si="375"/>
        <v>Hills</v>
      </c>
      <c r="G4844" t="str">
        <f t="shared" si="376"/>
        <v>Hills3481Fort Worth</v>
      </c>
      <c r="H4844" t="s">
        <v>35701</v>
      </c>
      <c r="I4844" t="s">
        <v>27124</v>
      </c>
      <c r="J4844" t="str">
        <f t="shared" si="377"/>
        <v>E:\PropInv\MF</v>
      </c>
      <c r="K4844" s="103" t="str">
        <f>HYPERLINK("E:\PropInv\MF\Fort Worth\Hills Ave S_3481_Westcliff Manor_Fort Worth_14958","Hills Ave S_3481_Westcliff Manor_Fort Worth_14958" )</f>
        <v>Hills Ave S_3481_Westcliff Manor_Fort Worth_14958</v>
      </c>
      <c r="L4844" s="104" t="s">
        <v>22253</v>
      </c>
      <c r="M4844" s="103" t="str">
        <f t="shared" si="378"/>
        <v>http://oconnordata.com/mlink/modules/profile/index.cfm?action=profile&amp;prop_id=14958</v>
      </c>
      <c r="N4844" s="1">
        <f t="shared" si="379"/>
        <v>14958</v>
      </c>
    </row>
    <row r="4845" spans="1:14" x14ac:dyDescent="0.3">
      <c r="A4845" s="1">
        <v>14959</v>
      </c>
      <c r="B4845" s="7" t="s">
        <v>7341</v>
      </c>
      <c r="C4845" s="12">
        <v>4720</v>
      </c>
      <c r="D4845" s="7" t="s">
        <v>7361</v>
      </c>
      <c r="E4845" s="13" t="s">
        <v>5014</v>
      </c>
      <c r="F4845" t="str">
        <f t="shared" si="375"/>
        <v>Wellesley</v>
      </c>
      <c r="G4845" t="str">
        <f t="shared" si="376"/>
        <v>Wellesley4720Fort Worth</v>
      </c>
      <c r="H4845" t="s">
        <v>35702</v>
      </c>
      <c r="I4845" t="s">
        <v>27125</v>
      </c>
      <c r="J4845" t="str">
        <f t="shared" si="377"/>
        <v>E:\PropInv\MF</v>
      </c>
      <c r="K4845" s="103" t="str">
        <f>HYPERLINK("E:\PropInv\MF\Fort Worth\Wellesley_4720_Hulen Hills I_Fort Worth_14959","Wellesley_4720_Hulen Hills I_Fort Worth_14959" )</f>
        <v>Wellesley_4720_Hulen Hills I_Fort Worth_14959</v>
      </c>
      <c r="L4845" s="104" t="s">
        <v>22253</v>
      </c>
      <c r="M4845" s="103" t="str">
        <f t="shared" si="378"/>
        <v>http://oconnordata.com/mlink/modules/profile/index.cfm?action=profile&amp;prop_id=14959</v>
      </c>
      <c r="N4845" s="1">
        <f t="shared" si="379"/>
        <v>14959</v>
      </c>
    </row>
    <row r="4846" spans="1:14" x14ac:dyDescent="0.3">
      <c r="A4846" s="1">
        <v>14960</v>
      </c>
      <c r="B4846" s="7" t="s">
        <v>7362</v>
      </c>
      <c r="C4846" s="12">
        <v>801</v>
      </c>
      <c r="D4846" s="7" t="s">
        <v>1047</v>
      </c>
      <c r="E4846" s="13" t="s">
        <v>5014</v>
      </c>
      <c r="F4846" t="str">
        <f t="shared" si="375"/>
        <v>Dale</v>
      </c>
      <c r="G4846" t="str">
        <f t="shared" si="376"/>
        <v>Dale801Fort Worth</v>
      </c>
      <c r="H4846" t="s">
        <v>35703</v>
      </c>
      <c r="I4846" t="s">
        <v>27126</v>
      </c>
      <c r="J4846" t="str">
        <f t="shared" si="377"/>
        <v>E:\PropInv\MF</v>
      </c>
      <c r="K4846" s="103" t="str">
        <f>HYPERLINK("E:\PropInv\MF\Fort Worth\Dale Ln_801_Parkdale_Fort Worth_14960","Dale Ln_801_Parkdale_Fort Worth_14960" )</f>
        <v>Dale Ln_801_Parkdale_Fort Worth_14960</v>
      </c>
      <c r="L4846" s="104" t="s">
        <v>22253</v>
      </c>
      <c r="M4846" s="103" t="str">
        <f t="shared" si="378"/>
        <v>http://oconnordata.com/mlink/modules/profile/index.cfm?action=profile&amp;prop_id=14960</v>
      </c>
      <c r="N4846" s="1">
        <f t="shared" si="379"/>
        <v>14960</v>
      </c>
    </row>
    <row r="4847" spans="1:14" x14ac:dyDescent="0.3">
      <c r="A4847" s="97">
        <v>14961</v>
      </c>
      <c r="B4847" s="7" t="s">
        <v>7363</v>
      </c>
      <c r="C4847" s="12">
        <v>4424</v>
      </c>
      <c r="D4847" s="7" t="s">
        <v>465</v>
      </c>
      <c r="E4847" s="13" t="s">
        <v>4996</v>
      </c>
      <c r="F4847" t="str">
        <f t="shared" si="375"/>
        <v>Woodhollow</v>
      </c>
      <c r="G4847" t="str">
        <f t="shared" si="376"/>
        <v>Woodhollow4424Dallas</v>
      </c>
      <c r="H4847" t="s">
        <v>35704</v>
      </c>
      <c r="I4847" t="s">
        <v>27127</v>
      </c>
      <c r="J4847" t="str">
        <f t="shared" si="377"/>
        <v>E:\PropInv\MF</v>
      </c>
      <c r="K4847" s="103" t="str">
        <f>HYPERLINK("E:\PropInv\MF\Dallas\Woodhollow Dr_4424_Woodhollow_Dallas_14961","Woodhollow Dr_4424_Woodhollow_Dallas_14961" )</f>
        <v>Woodhollow Dr_4424_Woodhollow_Dallas_14961</v>
      </c>
      <c r="L4847" s="104" t="s">
        <v>22253</v>
      </c>
      <c r="M4847" s="103" t="str">
        <f t="shared" si="378"/>
        <v>http://oconnordata.com/mlink/modules/profile/index.cfm?action=profile&amp;prop_id=14961</v>
      </c>
      <c r="N4847" s="1">
        <f t="shared" si="379"/>
        <v>14961</v>
      </c>
    </row>
    <row r="4848" spans="1:14" x14ac:dyDescent="0.3">
      <c r="A4848" s="1">
        <v>14962</v>
      </c>
      <c r="B4848" s="7" t="s">
        <v>7364</v>
      </c>
      <c r="C4848" s="12">
        <v>5961</v>
      </c>
      <c r="D4848" s="7" t="s">
        <v>7365</v>
      </c>
      <c r="E4848" s="13" t="s">
        <v>5014</v>
      </c>
      <c r="F4848" t="str">
        <f t="shared" si="375"/>
        <v>Westcreek</v>
      </c>
      <c r="G4848" t="str">
        <f t="shared" si="376"/>
        <v>Westcreek5961Fort Worth</v>
      </c>
      <c r="H4848" t="s">
        <v>35705</v>
      </c>
      <c r="I4848" t="s">
        <v>27128</v>
      </c>
      <c r="J4848" t="str">
        <f t="shared" si="377"/>
        <v>E:\PropInv\MF</v>
      </c>
      <c r="K4848" s="103" t="str">
        <f>HYPERLINK("E:\PropInv\MF\Fort Worth\Westcreek Ct N_5961_Westcreek Court TH_Fort Worth_14962","Westcreek Ct N_5961_Westcreek Court TH_Fort Worth_14962" )</f>
        <v>Westcreek Ct N_5961_Westcreek Court TH_Fort Worth_14962</v>
      </c>
      <c r="L4848" s="104" t="s">
        <v>22253</v>
      </c>
      <c r="M4848" s="103" t="str">
        <f t="shared" si="378"/>
        <v>http://oconnordata.com/mlink/modules/profile/index.cfm?action=profile&amp;prop_id=14962</v>
      </c>
      <c r="N4848" s="1">
        <f t="shared" si="379"/>
        <v>14962</v>
      </c>
    </row>
    <row r="4849" spans="1:14" x14ac:dyDescent="0.3">
      <c r="A4849" s="1">
        <v>14963</v>
      </c>
      <c r="B4849" s="7" t="s">
        <v>7366</v>
      </c>
      <c r="C4849" s="12">
        <v>4720</v>
      </c>
      <c r="D4849" s="7" t="s">
        <v>7367</v>
      </c>
      <c r="E4849" s="13" t="s">
        <v>5014</v>
      </c>
      <c r="F4849" t="str">
        <f t="shared" si="375"/>
        <v>Wellesley</v>
      </c>
      <c r="G4849" t="str">
        <f t="shared" si="376"/>
        <v>Wellesley4720Fort Worth</v>
      </c>
      <c r="H4849" t="s">
        <v>35706</v>
      </c>
      <c r="I4849" t="s">
        <v>27129</v>
      </c>
      <c r="J4849" t="str">
        <f t="shared" si="377"/>
        <v>E:\PropInv\MF</v>
      </c>
      <c r="K4849" s="103" t="str">
        <f>HYPERLINK("E:\PropInv\MF\Fort Worth\Wellesley Ave_4720_Hulen Hills II_Fort Worth_14963","Wellesley Ave_4720_Hulen Hills II_Fort Worth_14963" )</f>
        <v>Wellesley Ave_4720_Hulen Hills II_Fort Worth_14963</v>
      </c>
      <c r="L4849" s="104" t="s">
        <v>22253</v>
      </c>
      <c r="M4849" s="103" t="str">
        <f t="shared" si="378"/>
        <v>http://oconnordata.com/mlink/modules/profile/index.cfm?action=profile&amp;prop_id=14963</v>
      </c>
      <c r="N4849" s="1">
        <f t="shared" si="379"/>
        <v>14963</v>
      </c>
    </row>
    <row r="4850" spans="1:14" x14ac:dyDescent="0.3">
      <c r="A4850" s="1">
        <v>14964</v>
      </c>
      <c r="B4850" s="7" t="s">
        <v>7368</v>
      </c>
      <c r="C4850" s="12">
        <v>708</v>
      </c>
      <c r="D4850" s="7" t="s">
        <v>980</v>
      </c>
      <c r="E4850" s="13" t="s">
        <v>5097</v>
      </c>
      <c r="F4850" t="str">
        <f t="shared" si="375"/>
        <v>Hercules</v>
      </c>
      <c r="G4850" t="str">
        <f t="shared" si="376"/>
        <v>Hercules708Denton</v>
      </c>
      <c r="H4850" t="s">
        <v>35707</v>
      </c>
      <c r="I4850" t="s">
        <v>27130</v>
      </c>
      <c r="J4850" t="str">
        <f t="shared" si="377"/>
        <v>E:\PropInv\MF</v>
      </c>
      <c r="K4850" s="103" t="str">
        <f>HYPERLINK("E:\PropInv\MF\Denton\Hercules_708_Cornerstone_Denton_14964","Hercules_708_Cornerstone_Denton_14964" )</f>
        <v>Hercules_708_Cornerstone_Denton_14964</v>
      </c>
      <c r="L4850" s="104" t="s">
        <v>22253</v>
      </c>
      <c r="M4850" s="103" t="str">
        <f t="shared" si="378"/>
        <v>http://oconnordata.com/mlink/modules/profile/index.cfm?action=profile&amp;prop_id=14964</v>
      </c>
      <c r="N4850" s="1">
        <f t="shared" si="379"/>
        <v>14964</v>
      </c>
    </row>
    <row r="4851" spans="1:14" x14ac:dyDescent="0.3">
      <c r="A4851" s="1">
        <v>14965</v>
      </c>
      <c r="B4851" s="7" t="s">
        <v>7369</v>
      </c>
      <c r="C4851" s="12">
        <v>202</v>
      </c>
      <c r="D4851" s="7" t="s">
        <v>7370</v>
      </c>
      <c r="E4851" s="13" t="s">
        <v>4996</v>
      </c>
      <c r="F4851" t="str">
        <f t="shared" si="375"/>
        <v>Jim</v>
      </c>
      <c r="G4851" t="str">
        <f t="shared" si="376"/>
        <v>Jim202Dallas</v>
      </c>
      <c r="H4851" t="s">
        <v>35708</v>
      </c>
      <c r="I4851" t="s">
        <v>27131</v>
      </c>
      <c r="J4851" t="str">
        <f t="shared" si="377"/>
        <v>E:\PropInv\MF</v>
      </c>
      <c r="K4851" s="103" t="str">
        <f>HYPERLINK("E:\PropInv\MF\Dallas\Jim Miller Rd S_202_Asante_Dallas_14965","Jim Miller Rd S_202_Asante_Dallas_14965" )</f>
        <v>Jim Miller Rd S_202_Asante_Dallas_14965</v>
      </c>
      <c r="L4851" s="104" t="s">
        <v>22253</v>
      </c>
      <c r="M4851" s="103" t="str">
        <f t="shared" si="378"/>
        <v>http://oconnordata.com/mlink/modules/profile/index.cfm?action=profile&amp;prop_id=14965</v>
      </c>
      <c r="N4851" s="1">
        <f t="shared" si="379"/>
        <v>14965</v>
      </c>
    </row>
    <row r="4852" spans="1:14" x14ac:dyDescent="0.3">
      <c r="A4852" s="1">
        <v>14966</v>
      </c>
      <c r="B4852" s="7" t="s">
        <v>7371</v>
      </c>
      <c r="C4852" s="12">
        <v>2933</v>
      </c>
      <c r="D4852" s="7" t="s">
        <v>7372</v>
      </c>
      <c r="E4852" s="13" t="s">
        <v>5014</v>
      </c>
      <c r="F4852" t="str">
        <f t="shared" si="375"/>
        <v>Cliffridge</v>
      </c>
      <c r="G4852" t="str">
        <f t="shared" si="376"/>
        <v>Cliffridge2933Fort Worth</v>
      </c>
      <c r="H4852" t="s">
        <v>35709</v>
      </c>
      <c r="I4852" t="s">
        <v>27132</v>
      </c>
      <c r="J4852" t="str">
        <f t="shared" si="377"/>
        <v>E:\PropInv\MF</v>
      </c>
      <c r="K4852" s="103" t="str">
        <f>HYPERLINK("E:\PropInv\MF\Fort Worth\Cliffridge Ln_2933_Western Hills_Fort Worth_14966","Cliffridge Ln_2933_Western Hills_Fort Worth_14966" )</f>
        <v>Cliffridge Ln_2933_Western Hills_Fort Worth_14966</v>
      </c>
      <c r="L4852" s="104" t="s">
        <v>22253</v>
      </c>
      <c r="M4852" s="103" t="str">
        <f t="shared" si="378"/>
        <v>http://oconnordata.com/mlink/modules/profile/index.cfm?action=profile&amp;prop_id=14966</v>
      </c>
      <c r="N4852" s="1">
        <f t="shared" si="379"/>
        <v>14966</v>
      </c>
    </row>
    <row r="4853" spans="1:14" x14ac:dyDescent="0.3">
      <c r="A4853" s="1">
        <v>14968</v>
      </c>
      <c r="B4853" s="7" t="s">
        <v>7373</v>
      </c>
      <c r="C4853" s="12">
        <v>301</v>
      </c>
      <c r="D4853" s="7" t="s">
        <v>7374</v>
      </c>
      <c r="E4853" s="13" t="s">
        <v>5097</v>
      </c>
      <c r="F4853" t="str">
        <f t="shared" si="375"/>
        <v>Coronado</v>
      </c>
      <c r="G4853" t="str">
        <f t="shared" si="376"/>
        <v>Coronado301Denton</v>
      </c>
      <c r="H4853" t="s">
        <v>35710</v>
      </c>
      <c r="I4853" t="s">
        <v>27133</v>
      </c>
      <c r="J4853" t="str">
        <f t="shared" si="377"/>
        <v>E:\PropInv\MF</v>
      </c>
      <c r="K4853" s="103" t="str">
        <f>HYPERLINK("E:\PropInv\MF\Denton\Coronado Dr_301_Coronado North_Denton_14968","Coronado Dr_301_Coronado North_Denton_14968" )</f>
        <v>Coronado Dr_301_Coronado North_Denton_14968</v>
      </c>
      <c r="L4853" s="104" t="s">
        <v>22253</v>
      </c>
      <c r="M4853" s="103" t="str">
        <f t="shared" si="378"/>
        <v>http://oconnordata.com/mlink/modules/profile/index.cfm?action=profile&amp;prop_id=14968</v>
      </c>
      <c r="N4853" s="1">
        <f t="shared" si="379"/>
        <v>14968</v>
      </c>
    </row>
    <row r="4854" spans="1:14" x14ac:dyDescent="0.3">
      <c r="A4854" s="1">
        <v>14969</v>
      </c>
      <c r="B4854" s="7" t="s">
        <v>7375</v>
      </c>
      <c r="C4854" s="12">
        <v>1701</v>
      </c>
      <c r="D4854" s="7" t="s">
        <v>7376</v>
      </c>
      <c r="E4854" s="13" t="s">
        <v>5014</v>
      </c>
      <c r="F4854" t="str">
        <f t="shared" si="375"/>
        <v>Rogers</v>
      </c>
      <c r="G4854" t="str">
        <f t="shared" si="376"/>
        <v>Rogers1701Fort Worth</v>
      </c>
      <c r="H4854" t="s">
        <v>35711</v>
      </c>
      <c r="I4854" t="s">
        <v>27134</v>
      </c>
      <c r="J4854" t="str">
        <f t="shared" si="377"/>
        <v>E:\PropInv\MF</v>
      </c>
      <c r="K4854" s="103" t="str">
        <f>HYPERLINK("E:\PropInv\MF\Fort Worth\Rogers Rd_1701_Park Lane (demolished)_Fort Worth_14969","Rogers Rd_1701_Park Lane (demolished)_Fort Worth_14969" )</f>
        <v>Rogers Rd_1701_Park Lane (demolished)_Fort Worth_14969</v>
      </c>
      <c r="L4854" s="104" t="s">
        <v>22253</v>
      </c>
      <c r="M4854" s="103" t="str">
        <f t="shared" si="378"/>
        <v>http://oconnordata.com/mlink/modules/profile/index.cfm?action=profile&amp;prop_id=14969</v>
      </c>
      <c r="N4854" s="1">
        <f t="shared" si="379"/>
        <v>14969</v>
      </c>
    </row>
    <row r="4855" spans="1:14" x14ac:dyDescent="0.3">
      <c r="A4855" s="1">
        <v>14970</v>
      </c>
      <c r="B4855" s="7" t="s">
        <v>5181</v>
      </c>
      <c r="C4855" s="12">
        <v>1615</v>
      </c>
      <c r="D4855" s="7" t="s">
        <v>7377</v>
      </c>
      <c r="E4855" s="13" t="s">
        <v>4996</v>
      </c>
      <c r="F4855" t="str">
        <f t="shared" si="375"/>
        <v>John</v>
      </c>
      <c r="G4855" t="str">
        <f t="shared" si="376"/>
        <v>John1615Dallas</v>
      </c>
      <c r="H4855" t="s">
        <v>35712</v>
      </c>
      <c r="I4855" t="s">
        <v>27135</v>
      </c>
      <c r="J4855" t="str">
        <f t="shared" si="377"/>
        <v>E:\PropInv\MF</v>
      </c>
      <c r="K4855" s="103" t="str">
        <f>HYPERLINK("E:\PropInv\MF\Dallas\John Rd W_1615_Villas At Montierra I_Dallas_14970","John Rd W_1615_Villas At Montierra I_Dallas_14970" )</f>
        <v>John Rd W_1615_Villas At Montierra I_Dallas_14970</v>
      </c>
      <c r="L4855" s="104" t="s">
        <v>22253</v>
      </c>
      <c r="M4855" s="103" t="str">
        <f t="shared" si="378"/>
        <v>http://oconnordata.com/mlink/modules/profile/index.cfm?action=profile&amp;prop_id=14970</v>
      </c>
      <c r="N4855" s="1">
        <f t="shared" si="379"/>
        <v>14970</v>
      </c>
    </row>
    <row r="4856" spans="1:14" x14ac:dyDescent="0.3">
      <c r="A4856" s="1">
        <v>14971</v>
      </c>
      <c r="B4856" s="7" t="s">
        <v>7373</v>
      </c>
      <c r="C4856" s="12">
        <v>113</v>
      </c>
      <c r="D4856" s="7" t="s">
        <v>7378</v>
      </c>
      <c r="E4856" s="13" t="s">
        <v>5097</v>
      </c>
      <c r="F4856" t="str">
        <f t="shared" si="375"/>
        <v>Coronado</v>
      </c>
      <c r="G4856" t="str">
        <f t="shared" si="376"/>
        <v>Coronado113Denton</v>
      </c>
      <c r="H4856" t="s">
        <v>35713</v>
      </c>
      <c r="I4856" t="s">
        <v>27136</v>
      </c>
      <c r="J4856" t="str">
        <f t="shared" si="377"/>
        <v>E:\PropInv\MF</v>
      </c>
      <c r="K4856" s="103" t="str">
        <f>HYPERLINK("E:\PropInv\MF\Denton\Coronado Dr_113_Coronado Villas_Denton_14971","Coronado Dr_113_Coronado Villas_Denton_14971" )</f>
        <v>Coronado Dr_113_Coronado Villas_Denton_14971</v>
      </c>
      <c r="L4856" s="104" t="s">
        <v>22253</v>
      </c>
      <c r="M4856" s="103" t="str">
        <f t="shared" si="378"/>
        <v>http://oconnordata.com/mlink/modules/profile/index.cfm?action=profile&amp;prop_id=14971</v>
      </c>
      <c r="N4856" s="1">
        <f t="shared" si="379"/>
        <v>14971</v>
      </c>
    </row>
    <row r="4857" spans="1:14" x14ac:dyDescent="0.3">
      <c r="A4857" s="1">
        <v>14973</v>
      </c>
      <c r="B4857" s="7" t="s">
        <v>7379</v>
      </c>
      <c r="C4857" s="12">
        <v>8841</v>
      </c>
      <c r="D4857" s="7" t="s">
        <v>3728</v>
      </c>
      <c r="E4857" s="13" t="s">
        <v>5014</v>
      </c>
      <c r="F4857" t="str">
        <f t="shared" si="375"/>
        <v>Avril</v>
      </c>
      <c r="G4857" t="str">
        <f t="shared" si="376"/>
        <v>Avril8841Fort Worth</v>
      </c>
      <c r="H4857" t="s">
        <v>35714</v>
      </c>
      <c r="I4857" t="s">
        <v>27137</v>
      </c>
      <c r="J4857" t="str">
        <f t="shared" si="377"/>
        <v>E:\PropInv\MF</v>
      </c>
      <c r="K4857" s="103" t="str">
        <f>HYPERLINK("E:\PropInv\MF\Fort Worth\Avril Ct N_8841_Westridge_Fort Worth_14973","Avril Ct N_8841_Westridge_Fort Worth_14973" )</f>
        <v>Avril Ct N_8841_Westridge_Fort Worth_14973</v>
      </c>
      <c r="L4857" s="104" t="s">
        <v>22253</v>
      </c>
      <c r="M4857" s="103" t="str">
        <f t="shared" si="378"/>
        <v>http://oconnordata.com/mlink/modules/profile/index.cfm?action=profile&amp;prop_id=14973</v>
      </c>
      <c r="N4857" s="1">
        <f t="shared" si="379"/>
        <v>14973</v>
      </c>
    </row>
    <row r="4858" spans="1:14" x14ac:dyDescent="0.3">
      <c r="A4858" s="97">
        <v>14974</v>
      </c>
      <c r="B4858" s="7" t="s">
        <v>6299</v>
      </c>
      <c r="C4858" s="12">
        <v>3541</v>
      </c>
      <c r="D4858" s="7" t="s">
        <v>7380</v>
      </c>
      <c r="E4858" s="13" t="s">
        <v>5046</v>
      </c>
      <c r="F4858" t="str">
        <f t="shared" si="375"/>
        <v>Northgate</v>
      </c>
      <c r="G4858" t="str">
        <f t="shared" si="376"/>
        <v>Northgate3541Irving</v>
      </c>
      <c r="H4858" t="s">
        <v>35715</v>
      </c>
      <c r="I4858" t="s">
        <v>27138</v>
      </c>
      <c r="J4858" t="str">
        <f t="shared" si="377"/>
        <v>E:\PropInv\MF</v>
      </c>
      <c r="K4858" s="103" t="str">
        <f>HYPERLINK("E:\PropInv\MF\Irving\Northgate W_3541_Woodland Hills_Irving_14974","Northgate W_3541_Woodland Hills_Irving_14974" )</f>
        <v>Northgate W_3541_Woodland Hills_Irving_14974</v>
      </c>
      <c r="L4858" s="104" t="s">
        <v>22253</v>
      </c>
      <c r="M4858" s="103" t="str">
        <f t="shared" si="378"/>
        <v>http://oconnordata.com/mlink/modules/profile/index.cfm?action=profile&amp;prop_id=14974</v>
      </c>
      <c r="N4858" s="1">
        <f t="shared" si="379"/>
        <v>14974</v>
      </c>
    </row>
    <row r="4859" spans="1:14" x14ac:dyDescent="0.3">
      <c r="A4859" s="1">
        <v>14975</v>
      </c>
      <c r="B4859" s="7" t="s">
        <v>7381</v>
      </c>
      <c r="C4859" s="12">
        <v>5250</v>
      </c>
      <c r="D4859" s="7" t="s">
        <v>7382</v>
      </c>
      <c r="E4859" s="13" t="s">
        <v>5014</v>
      </c>
      <c r="F4859" t="str">
        <f t="shared" si="375"/>
        <v>Wonder</v>
      </c>
      <c r="G4859" t="str">
        <f t="shared" si="376"/>
        <v>Wonder5250Fort Worth</v>
      </c>
      <c r="H4859" t="s">
        <v>35716</v>
      </c>
      <c r="I4859" t="s">
        <v>27139</v>
      </c>
      <c r="J4859" t="str">
        <f t="shared" si="377"/>
        <v>E:\PropInv\MF</v>
      </c>
      <c r="K4859" s="103" t="str">
        <f>HYPERLINK("E:\PropInv\MF\Fort Worth\Wonder Dr_5250_Granbury Hills_Fort Worth_14975","Wonder Dr_5250_Granbury Hills_Fort Worth_14975" )</f>
        <v>Wonder Dr_5250_Granbury Hills_Fort Worth_14975</v>
      </c>
      <c r="L4859" s="104" t="s">
        <v>22253</v>
      </c>
      <c r="M4859" s="103" t="str">
        <f t="shared" si="378"/>
        <v>http://oconnordata.com/mlink/modules/profile/index.cfm?action=profile&amp;prop_id=14975</v>
      </c>
      <c r="N4859" s="1">
        <f t="shared" si="379"/>
        <v>14975</v>
      </c>
    </row>
    <row r="4860" spans="1:14" x14ac:dyDescent="0.3">
      <c r="A4860" s="1">
        <v>14976</v>
      </c>
      <c r="B4860" s="7" t="s">
        <v>5550</v>
      </c>
      <c r="C4860" s="12">
        <v>5608</v>
      </c>
      <c r="D4860" s="7" t="s">
        <v>7383</v>
      </c>
      <c r="E4860" s="13" t="s">
        <v>6909</v>
      </c>
      <c r="F4860" t="str">
        <f t="shared" si="375"/>
        <v>Royal</v>
      </c>
      <c r="G4860" t="str">
        <f t="shared" si="376"/>
        <v>Royal5608Benbrook</v>
      </c>
      <c r="H4860" t="s">
        <v>35717</v>
      </c>
      <c r="I4860" t="s">
        <v>27140</v>
      </c>
      <c r="J4860" t="str">
        <f t="shared" si="377"/>
        <v>E:\PropInv\MF</v>
      </c>
      <c r="K4860" s="103" t="str">
        <f>HYPERLINK("E:\PropInv\MF\Benbrook\Royal Ln_5608_Country Bend_Benbrook_14976","Royal Ln_5608_Country Bend_Benbrook_14976" )</f>
        <v>Royal Ln_5608_Country Bend_Benbrook_14976</v>
      </c>
      <c r="L4860" s="104" t="s">
        <v>22253</v>
      </c>
      <c r="M4860" s="103" t="str">
        <f t="shared" si="378"/>
        <v>http://oconnordata.com/mlink/modules/profile/index.cfm?action=profile&amp;prop_id=14976</v>
      </c>
      <c r="N4860" s="1">
        <f t="shared" si="379"/>
        <v>14976</v>
      </c>
    </row>
    <row r="4861" spans="1:14" x14ac:dyDescent="0.3">
      <c r="A4861" s="1">
        <v>14977</v>
      </c>
      <c r="B4861" s="7" t="s">
        <v>7125</v>
      </c>
      <c r="C4861" s="12">
        <v>4500</v>
      </c>
      <c r="D4861" s="7" t="s">
        <v>6127</v>
      </c>
      <c r="E4861" s="13" t="s">
        <v>5014</v>
      </c>
      <c r="F4861" t="str">
        <f t="shared" si="375"/>
        <v>Brentwood</v>
      </c>
      <c r="G4861" t="str">
        <f t="shared" si="376"/>
        <v>Brentwood4500Fort Worth</v>
      </c>
      <c r="H4861" t="s">
        <v>35718</v>
      </c>
      <c r="I4861" t="s">
        <v>27141</v>
      </c>
      <c r="J4861" t="str">
        <f t="shared" si="377"/>
        <v>E:\PropInv\MF</v>
      </c>
      <c r="K4861" s="103" t="str">
        <f>HYPERLINK("E:\PropInv\MF\Fort Worth\Brentwood Stair Rd_4500_Quail Ridge_Fort Worth_14977","Brentwood Stair Rd_4500_Quail Ridge_Fort Worth_14977" )</f>
        <v>Brentwood Stair Rd_4500_Quail Ridge_Fort Worth_14977</v>
      </c>
      <c r="L4861" s="104" t="s">
        <v>22253</v>
      </c>
      <c r="M4861" s="103" t="str">
        <f t="shared" si="378"/>
        <v>http://oconnordata.com/mlink/modules/profile/index.cfm?action=profile&amp;prop_id=14977</v>
      </c>
      <c r="N4861" s="1">
        <f t="shared" si="379"/>
        <v>14977</v>
      </c>
    </row>
    <row r="4862" spans="1:14" x14ac:dyDescent="0.3">
      <c r="A4862" s="1">
        <v>14978</v>
      </c>
      <c r="B4862" s="7" t="s">
        <v>7328</v>
      </c>
      <c r="C4862" s="12">
        <v>8021</v>
      </c>
      <c r="D4862" s="7" t="s">
        <v>7384</v>
      </c>
      <c r="E4862" s="13" t="s">
        <v>5014</v>
      </c>
      <c r="F4862" t="str">
        <f t="shared" si="375"/>
        <v>Calmont</v>
      </c>
      <c r="G4862" t="str">
        <f t="shared" si="376"/>
        <v>Calmont8021Fort Worth</v>
      </c>
      <c r="H4862" t="s">
        <v>35719</v>
      </c>
      <c r="I4862" t="s">
        <v>27142</v>
      </c>
      <c r="J4862" t="str">
        <f t="shared" si="377"/>
        <v>E:\PropInv\MF</v>
      </c>
      <c r="K4862" s="103" t="str">
        <f>HYPERLINK("E:\PropInv\MF\Fort Worth\Calmont Ave_8021_Westview Terrace_Fort Worth_14978","Calmont Ave_8021_Westview Terrace_Fort Worth_14978" )</f>
        <v>Calmont Ave_8021_Westview Terrace_Fort Worth_14978</v>
      </c>
      <c r="L4862" s="104" t="s">
        <v>22253</v>
      </c>
      <c r="M4862" s="103" t="str">
        <f t="shared" si="378"/>
        <v>http://oconnordata.com/mlink/modules/profile/index.cfm?action=profile&amp;prop_id=14978</v>
      </c>
      <c r="N4862" s="1">
        <f t="shared" si="379"/>
        <v>14978</v>
      </c>
    </row>
    <row r="4863" spans="1:14" x14ac:dyDescent="0.3">
      <c r="A4863" s="1">
        <v>14979</v>
      </c>
      <c r="B4863" s="7" t="s">
        <v>7385</v>
      </c>
      <c r="C4863" s="12">
        <v>3602</v>
      </c>
      <c r="D4863" s="7" t="s">
        <v>7386</v>
      </c>
      <c r="E4863" s="13" t="s">
        <v>5014</v>
      </c>
      <c r="F4863" t="str">
        <f t="shared" si="375"/>
        <v>Eldridge</v>
      </c>
      <c r="G4863" t="str">
        <f t="shared" si="376"/>
        <v>Eldridge3602Fort Worth</v>
      </c>
      <c r="H4863" t="s">
        <v>35720</v>
      </c>
      <c r="I4863" t="s">
        <v>27143</v>
      </c>
      <c r="J4863" t="str">
        <f t="shared" si="377"/>
        <v>E:\PropInv\MF</v>
      </c>
      <c r="K4863" s="103" t="str">
        <f>HYPERLINK("E:\PropInv\MF\Fort Worth\Eldridge St_3602_Hulen Park Place TH_Fort Worth_14979","Eldridge St_3602_Hulen Park Place TH_Fort Worth_14979" )</f>
        <v>Eldridge St_3602_Hulen Park Place TH_Fort Worth_14979</v>
      </c>
      <c r="L4863" s="104" t="s">
        <v>22253</v>
      </c>
      <c r="M4863" s="103" t="str">
        <f t="shared" si="378"/>
        <v>http://oconnordata.com/mlink/modules/profile/index.cfm?action=profile&amp;prop_id=14979</v>
      </c>
      <c r="N4863" s="1">
        <f t="shared" si="379"/>
        <v>14979</v>
      </c>
    </row>
    <row r="4864" spans="1:14" x14ac:dyDescent="0.3">
      <c r="A4864" s="97">
        <v>14980</v>
      </c>
      <c r="B4864" s="7" t="s">
        <v>7387</v>
      </c>
      <c r="C4864" s="12">
        <v>3725</v>
      </c>
      <c r="D4864" s="7" t="s">
        <v>7388</v>
      </c>
      <c r="E4864" s="13" t="s">
        <v>5046</v>
      </c>
      <c r="F4864" t="str">
        <f t="shared" si="375"/>
        <v>West</v>
      </c>
      <c r="G4864" t="str">
        <f t="shared" si="376"/>
        <v>West3725Irving</v>
      </c>
      <c r="H4864" t="s">
        <v>35721</v>
      </c>
      <c r="I4864" t="s">
        <v>27144</v>
      </c>
      <c r="J4864" t="str">
        <f t="shared" si="377"/>
        <v>E:\PropInv\MF</v>
      </c>
      <c r="K4864" s="103" t="str">
        <f>HYPERLINK("E:\PropInv\MF\Irving\West Northgate_3725_Woodland Ridge I_Irving_14980","West Northgate_3725_Woodland Ridge I_Irving_14980" )</f>
        <v>West Northgate_3725_Woodland Ridge I_Irving_14980</v>
      </c>
      <c r="L4864" s="104" t="s">
        <v>22253</v>
      </c>
      <c r="M4864" s="103" t="str">
        <f t="shared" si="378"/>
        <v>http://oconnordata.com/mlink/modules/profile/index.cfm?action=profile&amp;prop_id=14980</v>
      </c>
      <c r="N4864" s="1">
        <f t="shared" si="379"/>
        <v>14980</v>
      </c>
    </row>
    <row r="4865" spans="1:14" x14ac:dyDescent="0.3">
      <c r="A4865" s="1">
        <v>14981</v>
      </c>
      <c r="B4865" s="7" t="s">
        <v>6695</v>
      </c>
      <c r="C4865" s="12">
        <v>1606</v>
      </c>
      <c r="D4865" s="7" t="s">
        <v>7389</v>
      </c>
      <c r="E4865" s="13" t="s">
        <v>5097</v>
      </c>
      <c r="F4865" t="str">
        <f t="shared" si="375"/>
        <v>McKinney</v>
      </c>
      <c r="G4865" t="str">
        <f t="shared" si="376"/>
        <v>McKinney1606Denton</v>
      </c>
      <c r="H4865" t="s">
        <v>35722</v>
      </c>
      <c r="I4865" t="s">
        <v>27145</v>
      </c>
      <c r="J4865" t="str">
        <f t="shared" si="377"/>
        <v>E:\PropInv\MF</v>
      </c>
      <c r="K4865" s="103" t="str">
        <f>HYPERLINK("E:\PropInv\MF\Denton\McKinney E_1606_Country Park_Denton_14981","McKinney E_1606_Country Park_Denton_14981" )</f>
        <v>McKinney E_1606_Country Park_Denton_14981</v>
      </c>
      <c r="L4865" s="104" t="s">
        <v>22253</v>
      </c>
      <c r="M4865" s="103" t="str">
        <f t="shared" si="378"/>
        <v>http://oconnordata.com/mlink/modules/profile/index.cfm?action=profile&amp;prop_id=14981</v>
      </c>
      <c r="N4865" s="1">
        <f t="shared" si="379"/>
        <v>14981</v>
      </c>
    </row>
    <row r="4866" spans="1:14" x14ac:dyDescent="0.3">
      <c r="A4866" s="1">
        <v>14982</v>
      </c>
      <c r="B4866" s="7" t="s">
        <v>7390</v>
      </c>
      <c r="C4866" s="12">
        <v>4212</v>
      </c>
      <c r="D4866" s="7" t="s">
        <v>7390</v>
      </c>
      <c r="E4866" s="13" t="s">
        <v>5014</v>
      </c>
      <c r="F4866" t="str">
        <f t="shared" ref="F4866:F4929" si="380">IFERROR(LEFT(B4866,FIND(" ",B4866)-1),B4866)</f>
        <v>Hulen</v>
      </c>
      <c r="G4866" t="str">
        <f t="shared" ref="G4866:G4929" si="381">F4866&amp;C4866&amp;E4866</f>
        <v>Hulen4212Fort Worth</v>
      </c>
      <c r="H4866" t="s">
        <v>35723</v>
      </c>
      <c r="I4866" t="s">
        <v>27146</v>
      </c>
      <c r="J4866" t="str">
        <f t="shared" ref="J4866:J4929" si="382">IF(L4866="TX",Folder_Path,Folder_Path&amp;"\State_"&amp;L4866)</f>
        <v>E:\PropInv\MF</v>
      </c>
      <c r="K4866" s="103" t="str">
        <f>HYPERLINK("E:\PropInv\MF\Fort Worth\Hulen Place_4212_Hulen Place_Fort Worth_14982","Hulen Place_4212_Hulen Place_Fort Worth_14982" )</f>
        <v>Hulen Place_4212_Hulen Place_Fort Worth_14982</v>
      </c>
      <c r="L4866" s="104" t="s">
        <v>22253</v>
      </c>
      <c r="M4866" s="103" t="str">
        <f t="shared" ref="M4866:M4929" si="383">HYPERLINK("http://oconnordata.com/mlink/modules/profile/index.cfm?action=profile&amp;prop_id="&amp;A4866)</f>
        <v>http://oconnordata.com/mlink/modules/profile/index.cfm?action=profile&amp;prop_id=14982</v>
      </c>
      <c r="N4866" s="1">
        <f t="shared" ref="N4866:N4929" si="384">IF(LEN(A4866)=1,"0000"&amp;A4866,IF(LEN(A4866)=2,"000"&amp;A4866,IF(LEN(A4866)=3,"00"&amp;A4866,IF(LEN(A4866)=4,"0"&amp;A4866,IF(LEN(A4866)=5,IF(LEFT(A4866,1)="3",A4866+30000,A4866))))))</f>
        <v>14982</v>
      </c>
    </row>
    <row r="4867" spans="1:14" x14ac:dyDescent="0.3">
      <c r="A4867" s="97">
        <v>14983</v>
      </c>
      <c r="B4867" s="7" t="s">
        <v>5192</v>
      </c>
      <c r="C4867" s="12">
        <v>9859</v>
      </c>
      <c r="D4867" s="7" t="s">
        <v>7391</v>
      </c>
      <c r="E4867" s="13" t="s">
        <v>4996</v>
      </c>
      <c r="F4867" t="str">
        <f t="shared" si="380"/>
        <v>Brockbank</v>
      </c>
      <c r="G4867" t="str">
        <f t="shared" si="381"/>
        <v>Brockbank9859Dallas</v>
      </c>
      <c r="H4867" t="s">
        <v>35724</v>
      </c>
      <c r="I4867" t="s">
        <v>15625</v>
      </c>
      <c r="J4867" t="str">
        <f t="shared" si="382"/>
        <v>E:\PropInv\MF</v>
      </c>
      <c r="K4867" s="103" t="str">
        <f>HYPERLINK("E:\PropInv\MF\Dallas\Brockbank_9859_Woodland Village_Dallas_14983","Brockbank_9859_Woodland Village_Dallas_14983" )</f>
        <v>Brockbank_9859_Woodland Village_Dallas_14983</v>
      </c>
      <c r="L4867" s="104" t="s">
        <v>22253</v>
      </c>
      <c r="M4867" s="103" t="str">
        <f t="shared" si="383"/>
        <v>http://oconnordata.com/mlink/modules/profile/index.cfm?action=profile&amp;prop_id=14983</v>
      </c>
      <c r="N4867" s="1">
        <f t="shared" si="384"/>
        <v>14983</v>
      </c>
    </row>
    <row r="4868" spans="1:14" x14ac:dyDescent="0.3">
      <c r="A4868" s="1">
        <v>14984</v>
      </c>
      <c r="B4868" s="7" t="s">
        <v>7392</v>
      </c>
      <c r="C4868" s="12">
        <v>4100</v>
      </c>
      <c r="D4868" s="7" t="s">
        <v>7393</v>
      </c>
      <c r="E4868" s="13" t="s">
        <v>5040</v>
      </c>
      <c r="F4868" t="str">
        <f t="shared" si="380"/>
        <v>Morriss</v>
      </c>
      <c r="G4868" t="str">
        <f t="shared" si="381"/>
        <v>Morriss4100Flower Mound</v>
      </c>
      <c r="H4868" t="s">
        <v>35725</v>
      </c>
      <c r="I4868" t="s">
        <v>27147</v>
      </c>
      <c r="J4868" t="str">
        <f t="shared" si="382"/>
        <v>E:\PropInv\MF</v>
      </c>
      <c r="K4868" s="103" t="str">
        <f>HYPERLINK("E:\PropInv\MF\Flower Mound\Morriss Rd_4100_Timber Ridge I &amp; II_Flower Mound_14984","Morriss Rd_4100_Timber Ridge I &amp; II_Flower Mound_14984" )</f>
        <v>Morriss Rd_4100_Timber Ridge I &amp; II_Flower Mound_14984</v>
      </c>
      <c r="L4868" s="104" t="s">
        <v>22253</v>
      </c>
      <c r="M4868" s="103" t="str">
        <f t="shared" si="383"/>
        <v>http://oconnordata.com/mlink/modules/profile/index.cfm?action=profile&amp;prop_id=14984</v>
      </c>
      <c r="N4868" s="1">
        <f t="shared" si="384"/>
        <v>14984</v>
      </c>
    </row>
    <row r="4869" spans="1:14" x14ac:dyDescent="0.3">
      <c r="A4869" s="1">
        <v>14986</v>
      </c>
      <c r="B4869" s="7" t="s">
        <v>7394</v>
      </c>
      <c r="C4869" s="12">
        <v>4200</v>
      </c>
      <c r="D4869" s="7" t="s">
        <v>553</v>
      </c>
      <c r="E4869" s="13" t="s">
        <v>5014</v>
      </c>
      <c r="F4869" t="str">
        <f t="shared" si="380"/>
        <v>Old</v>
      </c>
      <c r="G4869" t="str">
        <f t="shared" si="381"/>
        <v>Old4200Fort Worth</v>
      </c>
      <c r="H4869" t="s">
        <v>35726</v>
      </c>
      <c r="I4869" t="s">
        <v>27148</v>
      </c>
      <c r="J4869" t="str">
        <f t="shared" si="382"/>
        <v>E:\PropInv\MF</v>
      </c>
      <c r="K4869" s="103" t="str">
        <f>HYPERLINK("E:\PropInv\MF\Fort Worth\Old Benbrook_4200_Westwind_Fort Worth_14986","Old Benbrook_4200_Westwind_Fort Worth_14986" )</f>
        <v>Old Benbrook_4200_Westwind_Fort Worth_14986</v>
      </c>
      <c r="L4869" s="104" t="s">
        <v>22253</v>
      </c>
      <c r="M4869" s="103" t="str">
        <f t="shared" si="383"/>
        <v>http://oconnordata.com/mlink/modules/profile/index.cfm?action=profile&amp;prop_id=14986</v>
      </c>
      <c r="N4869" s="1">
        <f t="shared" si="384"/>
        <v>14986</v>
      </c>
    </row>
    <row r="4870" spans="1:14" x14ac:dyDescent="0.3">
      <c r="A4870" s="1">
        <v>14987</v>
      </c>
      <c r="B4870" s="7" t="s">
        <v>7395</v>
      </c>
      <c r="C4870" s="12">
        <v>2515</v>
      </c>
      <c r="D4870" s="7" t="s">
        <v>7396</v>
      </c>
      <c r="E4870" s="13" t="s">
        <v>5014</v>
      </c>
      <c r="F4870" t="str">
        <f t="shared" si="380"/>
        <v>Altamesa</v>
      </c>
      <c r="G4870" t="str">
        <f t="shared" si="381"/>
        <v>Altamesa2515Fort Worth</v>
      </c>
      <c r="H4870" t="s">
        <v>35727</v>
      </c>
      <c r="I4870" t="s">
        <v>27149</v>
      </c>
      <c r="J4870" t="str">
        <f t="shared" si="382"/>
        <v>E:\PropInv\MF</v>
      </c>
      <c r="K4870" s="103" t="str">
        <f>HYPERLINK("E:\PropInv\MF\Fort Worth\Altamesa_2515_Railridge_Fort Worth_14987","Altamesa_2515_Railridge_Fort Worth_14987" )</f>
        <v>Altamesa_2515_Railridge_Fort Worth_14987</v>
      </c>
      <c r="L4870" s="104" t="s">
        <v>22253</v>
      </c>
      <c r="M4870" s="103" t="str">
        <f t="shared" si="383"/>
        <v>http://oconnordata.com/mlink/modules/profile/index.cfm?action=profile&amp;prop_id=14987</v>
      </c>
      <c r="N4870" s="1">
        <f t="shared" si="384"/>
        <v>14987</v>
      </c>
    </row>
    <row r="4871" spans="1:14" x14ac:dyDescent="0.3">
      <c r="A4871" s="1">
        <v>14988</v>
      </c>
      <c r="B4871" s="7" t="s">
        <v>5203</v>
      </c>
      <c r="C4871" s="12">
        <v>4023</v>
      </c>
      <c r="D4871" s="7" t="s">
        <v>7397</v>
      </c>
      <c r="E4871" s="13" t="s">
        <v>5046</v>
      </c>
      <c r="F4871" t="str">
        <f t="shared" si="380"/>
        <v>Block</v>
      </c>
      <c r="G4871" t="str">
        <f t="shared" si="381"/>
        <v>Block4023Irving</v>
      </c>
      <c r="H4871" t="s">
        <v>35728</v>
      </c>
      <c r="I4871" t="s">
        <v>27150</v>
      </c>
      <c r="J4871" t="str">
        <f t="shared" si="382"/>
        <v>E:\PropInv\MF</v>
      </c>
      <c r="K4871" s="103" t="str">
        <f>HYPERLINK("E:\PropInv\MF\Irving\Block Dr_4023_Estelle Creek-Woodmeade_Irving_14988","Block Dr_4023_Estelle Creek-Woodmeade_Irving_14988" )</f>
        <v>Block Dr_4023_Estelle Creek-Woodmeade_Irving_14988</v>
      </c>
      <c r="L4871" s="104" t="s">
        <v>22253</v>
      </c>
      <c r="M4871" s="103" t="str">
        <f t="shared" si="383"/>
        <v>http://oconnordata.com/mlink/modules/profile/index.cfm?action=profile&amp;prop_id=14988</v>
      </c>
      <c r="N4871" s="1">
        <f t="shared" si="384"/>
        <v>14988</v>
      </c>
    </row>
    <row r="4872" spans="1:14" x14ac:dyDescent="0.3">
      <c r="A4872" s="1">
        <v>14989</v>
      </c>
      <c r="B4872" s="7" t="s">
        <v>6675</v>
      </c>
      <c r="C4872" s="12">
        <v>9200</v>
      </c>
      <c r="D4872" s="7" t="s">
        <v>2687</v>
      </c>
      <c r="E4872" s="13" t="s">
        <v>5014</v>
      </c>
      <c r="F4872" t="str">
        <f t="shared" si="380"/>
        <v>Normandale</v>
      </c>
      <c r="G4872" t="str">
        <f t="shared" si="381"/>
        <v>Normandale9200Fort Worth</v>
      </c>
      <c r="H4872" t="s">
        <v>35729</v>
      </c>
      <c r="I4872" t="s">
        <v>27151</v>
      </c>
      <c r="J4872" t="str">
        <f t="shared" si="382"/>
        <v>E:\PropInv\MF</v>
      </c>
      <c r="K4872" s="103" t="str">
        <f>HYPERLINK("E:\PropInv\MF\Fort Worth\Normandale N_9200_Country Place_Fort Worth_14989","Normandale N_9200_Country Place_Fort Worth_14989" )</f>
        <v>Normandale N_9200_Country Place_Fort Worth_14989</v>
      </c>
      <c r="L4872" s="104" t="s">
        <v>22253</v>
      </c>
      <c r="M4872" s="103" t="str">
        <f t="shared" si="383"/>
        <v>http://oconnordata.com/mlink/modules/profile/index.cfm?action=profile&amp;prop_id=14989</v>
      </c>
      <c r="N4872" s="1">
        <f t="shared" si="384"/>
        <v>14989</v>
      </c>
    </row>
    <row r="4873" spans="1:14" x14ac:dyDescent="0.3">
      <c r="A4873" s="1">
        <v>14990</v>
      </c>
      <c r="B4873" s="7" t="s">
        <v>7398</v>
      </c>
      <c r="C4873" s="12">
        <v>3236</v>
      </c>
      <c r="D4873" s="7" t="s">
        <v>7399</v>
      </c>
      <c r="E4873" s="13" t="s">
        <v>5014</v>
      </c>
      <c r="F4873" t="str">
        <f t="shared" si="380"/>
        <v>Hunter</v>
      </c>
      <c r="G4873" t="str">
        <f t="shared" si="381"/>
        <v>Hunter3236Fort Worth</v>
      </c>
      <c r="H4873" t="s">
        <v>35730</v>
      </c>
      <c r="I4873" t="s">
        <v>27152</v>
      </c>
      <c r="J4873" t="str">
        <f t="shared" si="382"/>
        <v>E:\PropInv\MF</v>
      </c>
      <c r="K4873" s="103" t="str">
        <f>HYPERLINK("E:\PropInv\MF\Fort Worth\Hunter Park Cir_3236_Hunter Park_Fort Worth_14990","Hunter Park Cir_3236_Hunter Park_Fort Worth_14990" )</f>
        <v>Hunter Park Cir_3236_Hunter Park_Fort Worth_14990</v>
      </c>
      <c r="L4873" s="104" t="s">
        <v>22253</v>
      </c>
      <c r="M4873" s="103" t="str">
        <f t="shared" si="383"/>
        <v>http://oconnordata.com/mlink/modules/profile/index.cfm?action=profile&amp;prop_id=14990</v>
      </c>
      <c r="N4873" s="1">
        <f t="shared" si="384"/>
        <v>14990</v>
      </c>
    </row>
    <row r="4874" spans="1:14" x14ac:dyDescent="0.3">
      <c r="A4874" s="1">
        <v>14991</v>
      </c>
      <c r="B4874" s="10" t="s">
        <v>7400</v>
      </c>
      <c r="C4874" s="9">
        <v>1710</v>
      </c>
      <c r="D4874" s="10" t="s">
        <v>553</v>
      </c>
      <c r="E4874" s="11" t="s">
        <v>5097</v>
      </c>
      <c r="F4874" t="str">
        <f t="shared" si="380"/>
        <v>Sam</v>
      </c>
      <c r="G4874" t="str">
        <f t="shared" si="381"/>
        <v>Sam1710Denton</v>
      </c>
      <c r="H4874" t="s">
        <v>35731</v>
      </c>
      <c r="I4874" t="s">
        <v>27153</v>
      </c>
      <c r="J4874" t="str">
        <f t="shared" si="382"/>
        <v>E:\PropInv\MF</v>
      </c>
      <c r="K4874" s="103" t="str">
        <f>HYPERLINK("E:\PropInv\MF\Denton\Sam Bass Blvd_1710_Westwind_Denton_14991","Sam Bass Blvd_1710_Westwind_Denton_14991" )</f>
        <v>Sam Bass Blvd_1710_Westwind_Denton_14991</v>
      </c>
      <c r="L4874" s="104" t="s">
        <v>22253</v>
      </c>
      <c r="M4874" s="103" t="str">
        <f t="shared" si="383"/>
        <v>http://oconnordata.com/mlink/modules/profile/index.cfm?action=profile&amp;prop_id=14991</v>
      </c>
      <c r="N4874" s="1">
        <f t="shared" si="384"/>
        <v>14991</v>
      </c>
    </row>
    <row r="4875" spans="1:14" x14ac:dyDescent="0.3">
      <c r="A4875" s="1">
        <v>14992</v>
      </c>
      <c r="B4875" s="10" t="s">
        <v>7401</v>
      </c>
      <c r="C4875" s="9">
        <v>3201</v>
      </c>
      <c r="D4875" s="10" t="s">
        <v>7402</v>
      </c>
      <c r="E4875" s="11" t="s">
        <v>5014</v>
      </c>
      <c r="F4875" t="str">
        <f t="shared" si="380"/>
        <v>Riverpark</v>
      </c>
      <c r="G4875" t="str">
        <f t="shared" si="381"/>
        <v>Riverpark3201Fort Worth</v>
      </c>
      <c r="H4875" t="s">
        <v>35732</v>
      </c>
      <c r="I4875" t="s">
        <v>27154</v>
      </c>
      <c r="J4875" t="str">
        <f t="shared" si="382"/>
        <v>E:\PropInv\MF</v>
      </c>
      <c r="K4875" s="103" t="str">
        <f>HYPERLINK("E:\PropInv\MF\Fort Worth\Riverpark Dr_3201_Courtyard at River Park_Fort Worth_14992","Riverpark Dr_3201_Courtyard at River Park_Fort Worth_14992" )</f>
        <v>Riverpark Dr_3201_Courtyard at River Park_Fort Worth_14992</v>
      </c>
      <c r="L4875" s="104" t="s">
        <v>22253</v>
      </c>
      <c r="M4875" s="103" t="str">
        <f t="shared" si="383"/>
        <v>http://oconnordata.com/mlink/modules/profile/index.cfm?action=profile&amp;prop_id=14992</v>
      </c>
      <c r="N4875" s="1">
        <f t="shared" si="384"/>
        <v>14992</v>
      </c>
    </row>
    <row r="4876" spans="1:14" x14ac:dyDescent="0.3">
      <c r="A4876" s="1">
        <v>14993</v>
      </c>
      <c r="B4876" s="7" t="s">
        <v>6863</v>
      </c>
      <c r="C4876" s="12">
        <v>6760</v>
      </c>
      <c r="D4876" s="7" t="s">
        <v>7403</v>
      </c>
      <c r="E4876" s="13" t="s">
        <v>5014</v>
      </c>
      <c r="F4876" t="str">
        <f t="shared" si="380"/>
        <v>Calmont</v>
      </c>
      <c r="G4876" t="str">
        <f t="shared" si="381"/>
        <v>Calmont6760Fort Worth</v>
      </c>
      <c r="H4876" t="s">
        <v>35733</v>
      </c>
      <c r="I4876" t="s">
        <v>27155</v>
      </c>
      <c r="J4876" t="str">
        <f t="shared" si="382"/>
        <v>E:\PropInv\MF</v>
      </c>
      <c r="K4876" s="103" t="str">
        <f>HYPERLINK("E:\PropInv\MF\Fort Worth\Calmont_6760_Courtyard on Calmont_Fort Worth_14993","Calmont_6760_Courtyard on Calmont_Fort Worth_14993" )</f>
        <v>Calmont_6760_Courtyard on Calmont_Fort Worth_14993</v>
      </c>
      <c r="L4876" s="104" t="s">
        <v>22253</v>
      </c>
      <c r="M4876" s="103" t="str">
        <f t="shared" si="383"/>
        <v>http://oconnordata.com/mlink/modules/profile/index.cfm?action=profile&amp;prop_id=14993</v>
      </c>
      <c r="N4876" s="1">
        <f t="shared" si="384"/>
        <v>14993</v>
      </c>
    </row>
    <row r="4877" spans="1:14" x14ac:dyDescent="0.3">
      <c r="A4877" s="97">
        <v>14994</v>
      </c>
      <c r="B4877" s="7" t="s">
        <v>6192</v>
      </c>
      <c r="C4877" s="12">
        <v>3429</v>
      </c>
      <c r="D4877" s="7" t="s">
        <v>7404</v>
      </c>
      <c r="E4877" s="13" t="s">
        <v>5046</v>
      </c>
      <c r="F4877" t="str">
        <f t="shared" si="380"/>
        <v>Rochelle</v>
      </c>
      <c r="G4877" t="str">
        <f t="shared" si="381"/>
        <v>Rochelle3429Irving</v>
      </c>
      <c r="H4877" t="s">
        <v>35734</v>
      </c>
      <c r="I4877" t="s">
        <v>27156</v>
      </c>
      <c r="J4877" t="str">
        <f t="shared" si="382"/>
        <v>E:\PropInv\MF</v>
      </c>
      <c r="K4877" s="103" t="str">
        <f>HYPERLINK("E:\PropInv\MF\Irving\Rochelle Rd W_3429_Woodside Villas_Irving_14994","Rochelle Rd W_3429_Woodside Villas_Irving_14994" )</f>
        <v>Rochelle Rd W_3429_Woodside Villas_Irving_14994</v>
      </c>
      <c r="L4877" s="104" t="s">
        <v>22253</v>
      </c>
      <c r="M4877" s="103" t="str">
        <f t="shared" si="383"/>
        <v>http://oconnordata.com/mlink/modules/profile/index.cfm?action=profile&amp;prop_id=14994</v>
      </c>
      <c r="N4877" s="1">
        <f t="shared" si="384"/>
        <v>14994</v>
      </c>
    </row>
    <row r="4878" spans="1:14" x14ac:dyDescent="0.3">
      <c r="A4878" s="1">
        <v>14995</v>
      </c>
      <c r="B4878" s="7" t="s">
        <v>7405</v>
      </c>
      <c r="C4878" s="12">
        <v>4850</v>
      </c>
      <c r="D4878" s="7" t="s">
        <v>7406</v>
      </c>
      <c r="E4878" s="13" t="s">
        <v>5014</v>
      </c>
      <c r="F4878" t="str">
        <f t="shared" si="380"/>
        <v>River</v>
      </c>
      <c r="G4878" t="str">
        <f t="shared" si="381"/>
        <v>River4850Fort Worth</v>
      </c>
      <c r="H4878" t="s">
        <v>35735</v>
      </c>
      <c r="I4878" t="s">
        <v>27157</v>
      </c>
      <c r="J4878" t="str">
        <f t="shared" si="382"/>
        <v>E:\PropInv\MF</v>
      </c>
      <c r="K4878" s="103" t="str">
        <f>HYPERLINK("E:\PropInv\MF\Fort Worth\River Ranch Blvd_4850_Hunter's Ridge_Fort Worth_14995","River Ranch Blvd_4850_Hunter's Ridge_Fort Worth_14995" )</f>
        <v>River Ranch Blvd_4850_Hunter's Ridge_Fort Worth_14995</v>
      </c>
      <c r="L4878" s="104" t="s">
        <v>22253</v>
      </c>
      <c r="M4878" s="103" t="str">
        <f t="shared" si="383"/>
        <v>http://oconnordata.com/mlink/modules/profile/index.cfm?action=profile&amp;prop_id=14995</v>
      </c>
      <c r="N4878" s="1">
        <f t="shared" si="384"/>
        <v>14995</v>
      </c>
    </row>
    <row r="4879" spans="1:14" x14ac:dyDescent="0.3">
      <c r="A4879" s="1">
        <v>14996</v>
      </c>
      <c r="B4879" s="7" t="s">
        <v>6858</v>
      </c>
      <c r="C4879" s="12">
        <v>3254</v>
      </c>
      <c r="D4879" s="7" t="s">
        <v>7407</v>
      </c>
      <c r="E4879" s="13" t="s">
        <v>5014</v>
      </c>
      <c r="F4879" t="str">
        <f t="shared" si="380"/>
        <v>Las</v>
      </c>
      <c r="G4879" t="str">
        <f t="shared" si="381"/>
        <v>Las3254Fort Worth</v>
      </c>
      <c r="H4879" t="s">
        <v>35736</v>
      </c>
      <c r="I4879" t="s">
        <v>27158</v>
      </c>
      <c r="J4879" t="str">
        <f t="shared" si="382"/>
        <v>E:\PropInv\MF</v>
      </c>
      <c r="K4879" s="103" t="str">
        <f>HYPERLINK("E:\PropInv\MF\Fort Worth\Las Vegas Trl_3254_Sierra Hermosa_Fort Worth_14996","Las Vegas Trl_3254_Sierra Hermosa_Fort Worth_14996" )</f>
        <v>Las Vegas Trl_3254_Sierra Hermosa_Fort Worth_14996</v>
      </c>
      <c r="L4879" s="104" t="s">
        <v>22253</v>
      </c>
      <c r="M4879" s="103" t="str">
        <f t="shared" si="383"/>
        <v>http://oconnordata.com/mlink/modules/profile/index.cfm?action=profile&amp;prop_id=14996</v>
      </c>
      <c r="N4879" s="1">
        <f t="shared" si="384"/>
        <v>14996</v>
      </c>
    </row>
    <row r="4880" spans="1:14" x14ac:dyDescent="0.3">
      <c r="A4880" s="1">
        <v>14997</v>
      </c>
      <c r="B4880" s="7" t="s">
        <v>7408</v>
      </c>
      <c r="C4880" s="12">
        <v>2501</v>
      </c>
      <c r="D4880" s="7" t="s">
        <v>1259</v>
      </c>
      <c r="E4880" s="13" t="s">
        <v>5014</v>
      </c>
      <c r="F4880" t="str">
        <f t="shared" si="380"/>
        <v>Parkridge</v>
      </c>
      <c r="G4880" t="str">
        <f t="shared" si="381"/>
        <v>Parkridge2501Fort Worth</v>
      </c>
      <c r="H4880" t="s">
        <v>35737</v>
      </c>
      <c r="I4880" t="s">
        <v>27159</v>
      </c>
      <c r="J4880" t="str">
        <f t="shared" si="382"/>
        <v>E:\PropInv\MF</v>
      </c>
      <c r="K4880" s="103" t="str">
        <f>HYPERLINK("E:\PropInv\MF\Fort Worth\Parkridge Ct_2501_Park Ridge_Fort Worth_14997","Parkridge Ct_2501_Park Ridge_Fort Worth_14997" )</f>
        <v>Parkridge Ct_2501_Park Ridge_Fort Worth_14997</v>
      </c>
      <c r="L4880" s="104" t="s">
        <v>22253</v>
      </c>
      <c r="M4880" s="103" t="str">
        <f t="shared" si="383"/>
        <v>http://oconnordata.com/mlink/modules/profile/index.cfm?action=profile&amp;prop_id=14997</v>
      </c>
      <c r="N4880" s="1">
        <f t="shared" si="384"/>
        <v>14997</v>
      </c>
    </row>
    <row r="4881" spans="1:14" x14ac:dyDescent="0.3">
      <c r="A4881" s="1">
        <v>14998</v>
      </c>
      <c r="B4881" s="7" t="s">
        <v>6899</v>
      </c>
      <c r="C4881" s="12">
        <v>1407</v>
      </c>
      <c r="D4881" s="7" t="s">
        <v>7409</v>
      </c>
      <c r="E4881" s="13" t="s">
        <v>5097</v>
      </c>
      <c r="F4881" t="str">
        <f t="shared" si="380"/>
        <v>Bernard</v>
      </c>
      <c r="G4881" t="str">
        <f t="shared" si="381"/>
        <v>Bernard1407Denton</v>
      </c>
      <c r="H4881" t="s">
        <v>35738</v>
      </c>
      <c r="I4881" t="s">
        <v>27160</v>
      </c>
      <c r="J4881" t="str">
        <f t="shared" si="382"/>
        <v>E:\PropInv\MF</v>
      </c>
      <c r="K4881" s="103" t="str">
        <f>HYPERLINK("E:\PropInv\MF\Denton\Bernard St_1407_Ramsgate_Denton_14998","Bernard St_1407_Ramsgate_Denton_14998" )</f>
        <v>Bernard St_1407_Ramsgate_Denton_14998</v>
      </c>
      <c r="L4881" s="104" t="s">
        <v>22253</v>
      </c>
      <c r="M4881" s="103" t="str">
        <f t="shared" si="383"/>
        <v>http://oconnordata.com/mlink/modules/profile/index.cfm?action=profile&amp;prop_id=14998</v>
      </c>
      <c r="N4881" s="1">
        <f t="shared" si="384"/>
        <v>14998</v>
      </c>
    </row>
    <row r="4882" spans="1:14" x14ac:dyDescent="0.3">
      <c r="A4882" s="97">
        <v>14999</v>
      </c>
      <c r="B4882" s="7" t="s">
        <v>7410</v>
      </c>
      <c r="C4882" s="12">
        <v>3304</v>
      </c>
      <c r="D4882" s="7" t="s">
        <v>2858</v>
      </c>
      <c r="E4882" s="13" t="s">
        <v>4996</v>
      </c>
      <c r="F4882" t="str">
        <f t="shared" si="380"/>
        <v>Cedarplaza</v>
      </c>
      <c r="G4882" t="str">
        <f t="shared" si="381"/>
        <v>Cedarplaza3304Dallas</v>
      </c>
      <c r="H4882" t="s">
        <v>35739</v>
      </c>
      <c r="I4882" t="s">
        <v>27161</v>
      </c>
      <c r="J4882" t="str">
        <f t="shared" si="382"/>
        <v>E:\PropInv\MF</v>
      </c>
      <c r="K4882" s="103" t="str">
        <f>HYPERLINK("E:\PropInv\MF\Dallas\Cedarplaza_3304_Woodtrail_Dallas_14999","Cedarplaza_3304_Woodtrail_Dallas_14999" )</f>
        <v>Cedarplaza_3304_Woodtrail_Dallas_14999</v>
      </c>
      <c r="L4882" s="104" t="s">
        <v>22253</v>
      </c>
      <c r="M4882" s="103" t="str">
        <f t="shared" si="383"/>
        <v>http://oconnordata.com/mlink/modules/profile/index.cfm?action=profile&amp;prop_id=14999</v>
      </c>
      <c r="N4882" s="1">
        <f t="shared" si="384"/>
        <v>14999</v>
      </c>
    </row>
    <row r="4883" spans="1:14" x14ac:dyDescent="0.3">
      <c r="A4883" s="1">
        <v>15001</v>
      </c>
      <c r="B4883" s="7" t="s">
        <v>6558</v>
      </c>
      <c r="C4883" s="12">
        <v>500</v>
      </c>
      <c r="D4883" s="7" t="s">
        <v>7411</v>
      </c>
      <c r="E4883" s="13" t="s">
        <v>5097</v>
      </c>
      <c r="F4883" t="str">
        <f t="shared" si="380"/>
        <v>35</v>
      </c>
      <c r="G4883" t="str">
        <f t="shared" si="381"/>
        <v>35500Denton</v>
      </c>
      <c r="H4883" t="s">
        <v>35740</v>
      </c>
      <c r="I4883" t="s">
        <v>27162</v>
      </c>
      <c r="J4883" t="str">
        <f t="shared" si="382"/>
        <v>E:\PropInv\MF</v>
      </c>
      <c r="K4883" s="103" t="str">
        <f>HYPERLINK("E:\PropInv\MF\Denton\35 IH E S_500_Coventry_Denton_15001","35 IH E S_500_Coventry_Denton_15001" )</f>
        <v>35 IH E S_500_Coventry_Denton_15001</v>
      </c>
      <c r="L4883" s="104" t="s">
        <v>22253</v>
      </c>
      <c r="M4883" s="103" t="str">
        <f t="shared" si="383"/>
        <v>http://oconnordata.com/mlink/modules/profile/index.cfm?action=profile&amp;prop_id=15001</v>
      </c>
      <c r="N4883" s="1">
        <f t="shared" si="384"/>
        <v>15001</v>
      </c>
    </row>
    <row r="4884" spans="1:14" x14ac:dyDescent="0.3">
      <c r="A4884" s="1">
        <v>15002</v>
      </c>
      <c r="B4884" s="7" t="s">
        <v>7245</v>
      </c>
      <c r="C4884" s="12">
        <v>5101</v>
      </c>
      <c r="D4884" s="7" t="s">
        <v>7412</v>
      </c>
      <c r="E4884" s="13" t="s">
        <v>5014</v>
      </c>
      <c r="F4884" t="str">
        <f t="shared" si="380"/>
        <v>Overton</v>
      </c>
      <c r="G4884" t="str">
        <f t="shared" si="381"/>
        <v>Overton5101Fort Worth</v>
      </c>
      <c r="H4884" t="s">
        <v>35741</v>
      </c>
      <c r="I4884" t="s">
        <v>27163</v>
      </c>
      <c r="J4884" t="str">
        <f t="shared" si="382"/>
        <v>E:\PropInv\MF</v>
      </c>
      <c r="K4884" s="103" t="str">
        <f>HYPERLINK("E:\PropInv\MF\Fort Worth\Overton Ridge Blvd_5101_Hunters Green_Fort Worth_15002","Overton Ridge Blvd_5101_Hunters Green_Fort Worth_15002" )</f>
        <v>Overton Ridge Blvd_5101_Hunters Green_Fort Worth_15002</v>
      </c>
      <c r="L4884" s="104" t="s">
        <v>22253</v>
      </c>
      <c r="M4884" s="103" t="str">
        <f t="shared" si="383"/>
        <v>http://oconnordata.com/mlink/modules/profile/index.cfm?action=profile&amp;prop_id=15002</v>
      </c>
      <c r="N4884" s="1">
        <f t="shared" si="384"/>
        <v>15002</v>
      </c>
    </row>
    <row r="4885" spans="1:14" x14ac:dyDescent="0.3">
      <c r="A4885" s="1">
        <v>15003</v>
      </c>
      <c r="B4885" s="7" t="s">
        <v>5393</v>
      </c>
      <c r="C4885" s="12">
        <v>2808</v>
      </c>
      <c r="D4885" s="7" t="s">
        <v>7413</v>
      </c>
      <c r="E4885" s="13" t="s">
        <v>4996</v>
      </c>
      <c r="F4885" t="str">
        <f t="shared" si="380"/>
        <v>McKinney</v>
      </c>
      <c r="G4885" t="str">
        <f t="shared" si="381"/>
        <v>McKinney2808Dallas</v>
      </c>
      <c r="H4885" t="s">
        <v>35742</v>
      </c>
      <c r="I4885" t="s">
        <v>27164</v>
      </c>
      <c r="J4885" t="str">
        <f t="shared" si="382"/>
        <v>E:\PropInv\MF</v>
      </c>
      <c r="K4885" s="103" t="str">
        <f>HYPERLINK("E:\PropInv\MF\Dallas\McKinney Ave_2808_Post Worthington_Dallas_15003","McKinney Ave_2808_Post Worthington_Dallas_15003" )</f>
        <v>McKinney Ave_2808_Post Worthington_Dallas_15003</v>
      </c>
      <c r="L4885" s="104" t="s">
        <v>22253</v>
      </c>
      <c r="M4885" s="103" t="str">
        <f t="shared" si="383"/>
        <v>http://oconnordata.com/mlink/modules/profile/index.cfm?action=profile&amp;prop_id=15003</v>
      </c>
      <c r="N4885" s="1">
        <f t="shared" si="384"/>
        <v>15003</v>
      </c>
    </row>
    <row r="4886" spans="1:14" x14ac:dyDescent="0.3">
      <c r="A4886" s="1">
        <v>15004</v>
      </c>
      <c r="B4886" s="7" t="s">
        <v>6880</v>
      </c>
      <c r="C4886" s="12">
        <v>6000</v>
      </c>
      <c r="D4886" s="7" t="s">
        <v>7414</v>
      </c>
      <c r="E4886" s="13" t="s">
        <v>5014</v>
      </c>
      <c r="F4886" t="str">
        <f t="shared" si="380"/>
        <v>Boca</v>
      </c>
      <c r="G4886" t="str">
        <f t="shared" si="381"/>
        <v>Boca6000Fort Worth</v>
      </c>
      <c r="H4886" t="s">
        <v>35743</v>
      </c>
      <c r="I4886" t="s">
        <v>27165</v>
      </c>
      <c r="J4886" t="str">
        <f t="shared" si="382"/>
        <v>E:\PropInv\MF</v>
      </c>
      <c r="K4886" s="103" t="str">
        <f>HYPERLINK("E:\PropInv\MF\Fort Worth\Boca Raton_6000_Park Terrace_Fort Worth_15004","Boca Raton_6000_Park Terrace_Fort Worth_15004" )</f>
        <v>Boca Raton_6000_Park Terrace_Fort Worth_15004</v>
      </c>
      <c r="L4886" s="104" t="s">
        <v>22253</v>
      </c>
      <c r="M4886" s="103" t="str">
        <f t="shared" si="383"/>
        <v>http://oconnordata.com/mlink/modules/profile/index.cfm?action=profile&amp;prop_id=15004</v>
      </c>
      <c r="N4886" s="1">
        <f t="shared" si="384"/>
        <v>15004</v>
      </c>
    </row>
    <row r="4887" spans="1:14" x14ac:dyDescent="0.3">
      <c r="A4887" s="1">
        <v>15005</v>
      </c>
      <c r="B4887" s="7" t="s">
        <v>7415</v>
      </c>
      <c r="C4887" s="12">
        <v>5200</v>
      </c>
      <c r="D4887" s="7" t="s">
        <v>7416</v>
      </c>
      <c r="E4887" s="13" t="s">
        <v>5014</v>
      </c>
      <c r="F4887" t="str">
        <f t="shared" si="380"/>
        <v>Bryant</v>
      </c>
      <c r="G4887" t="str">
        <f t="shared" si="381"/>
        <v>Bryant5200Fort Worth</v>
      </c>
      <c r="H4887" t="s">
        <v>35744</v>
      </c>
      <c r="I4887" t="s">
        <v>27166</v>
      </c>
      <c r="J4887" t="str">
        <f t="shared" si="382"/>
        <v>E:\PropInv\MF</v>
      </c>
      <c r="K4887" s="103" t="str">
        <f>HYPERLINK("E:\PropInv\MF\Fort Worth\Bryant Irvin_5200_Coventry at Cityview_Fort Worth_15005","Bryant Irvin_5200_Coventry at Cityview_Fort Worth_15005" )</f>
        <v>Bryant Irvin_5200_Coventry at Cityview_Fort Worth_15005</v>
      </c>
      <c r="L4887" s="104" t="s">
        <v>22253</v>
      </c>
      <c r="M4887" s="103" t="str">
        <f t="shared" si="383"/>
        <v>http://oconnordata.com/mlink/modules/profile/index.cfm?action=profile&amp;prop_id=15005</v>
      </c>
      <c r="N4887" s="1">
        <f t="shared" si="384"/>
        <v>15005</v>
      </c>
    </row>
    <row r="4888" spans="1:14" x14ac:dyDescent="0.3">
      <c r="A4888" s="1">
        <v>15006</v>
      </c>
      <c r="B4888" s="7" t="s">
        <v>7417</v>
      </c>
      <c r="C4888" s="12">
        <v>2121</v>
      </c>
      <c r="D4888" s="7" t="s">
        <v>7418</v>
      </c>
      <c r="E4888" s="13" t="s">
        <v>5014</v>
      </c>
      <c r="F4888" t="str">
        <f t="shared" si="380"/>
        <v>Handley</v>
      </c>
      <c r="G4888" t="str">
        <f t="shared" si="381"/>
        <v>Handley2121Fort Worth</v>
      </c>
      <c r="H4888" t="s">
        <v>35745</v>
      </c>
      <c r="I4888" t="s">
        <v>27167</v>
      </c>
      <c r="J4888" t="str">
        <f t="shared" si="382"/>
        <v>E:\PropInv\MF</v>
      </c>
      <c r="K4888" s="103" t="str">
        <f>HYPERLINK("E:\PropInv\MF\Fort Worth\Handley Dr_2121_Regency Oaks_Fort Worth_15006","Handley Dr_2121_Regency Oaks_Fort Worth_15006" )</f>
        <v>Handley Dr_2121_Regency Oaks_Fort Worth_15006</v>
      </c>
      <c r="L4888" s="104" t="s">
        <v>22253</v>
      </c>
      <c r="M4888" s="103" t="str">
        <f t="shared" si="383"/>
        <v>http://oconnordata.com/mlink/modules/profile/index.cfm?action=profile&amp;prop_id=15006</v>
      </c>
      <c r="N4888" s="1">
        <f t="shared" si="384"/>
        <v>15006</v>
      </c>
    </row>
    <row r="4889" spans="1:14" x14ac:dyDescent="0.3">
      <c r="A4889" s="1">
        <v>15007</v>
      </c>
      <c r="B4889" s="7" t="s">
        <v>7419</v>
      </c>
      <c r="C4889" s="12">
        <v>6218</v>
      </c>
      <c r="D4889" s="7" t="s">
        <v>7420</v>
      </c>
      <c r="E4889" s="13" t="s">
        <v>5014</v>
      </c>
      <c r="F4889" t="str">
        <f t="shared" si="380"/>
        <v>Finbro</v>
      </c>
      <c r="G4889" t="str">
        <f t="shared" si="381"/>
        <v>Finbro6218Fort Worth</v>
      </c>
      <c r="H4889" t="s">
        <v>35746</v>
      </c>
      <c r="I4889" t="s">
        <v>27168</v>
      </c>
      <c r="J4889" t="str">
        <f t="shared" si="382"/>
        <v>E:\PropInv\MF</v>
      </c>
      <c r="K4889" s="103" t="str">
        <f>HYPERLINK("E:\PropInv\MF\Fort Worth\Finbro_6218_Creek Hollow_Fort Worth_15007","Finbro_6218_Creek Hollow_Fort Worth_15007" )</f>
        <v>Finbro_6218_Creek Hollow_Fort Worth_15007</v>
      </c>
      <c r="L4889" s="104" t="s">
        <v>22253</v>
      </c>
      <c r="M4889" s="103" t="str">
        <f t="shared" si="383"/>
        <v>http://oconnordata.com/mlink/modules/profile/index.cfm?action=profile&amp;prop_id=15007</v>
      </c>
      <c r="N4889" s="1">
        <f t="shared" si="384"/>
        <v>15007</v>
      </c>
    </row>
    <row r="4890" spans="1:14" x14ac:dyDescent="0.3">
      <c r="A4890" s="1">
        <v>15009</v>
      </c>
      <c r="B4890" s="7" t="s">
        <v>7421</v>
      </c>
      <c r="C4890" s="12">
        <v>6776</v>
      </c>
      <c r="D4890" s="7" t="s">
        <v>7422</v>
      </c>
      <c r="E4890" s="13" t="s">
        <v>5014</v>
      </c>
      <c r="F4890" t="str">
        <f t="shared" si="380"/>
        <v>Creek</v>
      </c>
      <c r="G4890" t="str">
        <f t="shared" si="381"/>
        <v>Creek6776Fort Worth</v>
      </c>
      <c r="H4890" t="s">
        <v>35747</v>
      </c>
      <c r="I4890" t="s">
        <v>27169</v>
      </c>
      <c r="J4890" t="str">
        <f t="shared" si="382"/>
        <v>E:\PropInv\MF</v>
      </c>
      <c r="K4890" s="103" t="str">
        <f>HYPERLINK("E:\PropInv\MF\Fort Worth\Creek W_6776_Dakota Ridge_Fort Worth_15009","Creek W_6776_Dakota Ridge_Fort Worth_15009" )</f>
        <v>Creek W_6776_Dakota Ridge_Fort Worth_15009</v>
      </c>
      <c r="L4890" s="104" t="s">
        <v>22253</v>
      </c>
      <c r="M4890" s="103" t="str">
        <f t="shared" si="383"/>
        <v>http://oconnordata.com/mlink/modules/profile/index.cfm?action=profile&amp;prop_id=15009</v>
      </c>
      <c r="N4890" s="1">
        <f t="shared" si="384"/>
        <v>15009</v>
      </c>
    </row>
    <row r="4891" spans="1:14" x14ac:dyDescent="0.3">
      <c r="A4891" s="97">
        <v>15010</v>
      </c>
      <c r="B4891" s="7" t="s">
        <v>7423</v>
      </c>
      <c r="C4891" s="12">
        <v>2014</v>
      </c>
      <c r="D4891" s="7" t="s">
        <v>7424</v>
      </c>
      <c r="E4891" s="13" t="s">
        <v>4996</v>
      </c>
      <c r="F4891" t="str">
        <f t="shared" si="380"/>
        <v>Bennett</v>
      </c>
      <c r="G4891" t="str">
        <f t="shared" si="381"/>
        <v>Bennett2014Dallas</v>
      </c>
      <c r="H4891" t="s">
        <v>35748</v>
      </c>
      <c r="I4891" t="s">
        <v>27170</v>
      </c>
      <c r="J4891" t="str">
        <f t="shared" si="382"/>
        <v>E:\PropInv\MF</v>
      </c>
      <c r="K4891" s="103" t="str">
        <f>HYPERLINK("E:\PropInv\MF\Dallas\Bennett Ave_2014_Wyndham Gardens_Dallas_15010","Bennett Ave_2014_Wyndham Gardens_Dallas_15010" )</f>
        <v>Bennett Ave_2014_Wyndham Gardens_Dallas_15010</v>
      </c>
      <c r="L4891" s="104" t="s">
        <v>22253</v>
      </c>
      <c r="M4891" s="103" t="str">
        <f t="shared" si="383"/>
        <v>http://oconnordata.com/mlink/modules/profile/index.cfm?action=profile&amp;prop_id=15010</v>
      </c>
      <c r="N4891" s="1">
        <f t="shared" si="384"/>
        <v>15010</v>
      </c>
    </row>
    <row r="4892" spans="1:14" x14ac:dyDescent="0.3">
      <c r="A4892" s="1">
        <v>15011</v>
      </c>
      <c r="B4892" s="7" t="s">
        <v>6537</v>
      </c>
      <c r="C4892" s="12">
        <v>5701</v>
      </c>
      <c r="D4892" s="7" t="s">
        <v>7425</v>
      </c>
      <c r="E4892" s="13" t="s">
        <v>5014</v>
      </c>
      <c r="F4892" t="str">
        <f t="shared" si="380"/>
        <v>Overton</v>
      </c>
      <c r="G4892" t="str">
        <f t="shared" si="381"/>
        <v>Overton5701Fort Worth</v>
      </c>
      <c r="H4892" t="s">
        <v>35749</v>
      </c>
      <c r="I4892" t="s">
        <v>27171</v>
      </c>
      <c r="J4892" t="str">
        <f t="shared" si="382"/>
        <v>E:\PropInv\MF</v>
      </c>
      <c r="K4892" s="103" t="str">
        <f>HYPERLINK("E:\PropInv\MF\Fort Worth\Overton Ridge_5701_Remington Hill_Fort Worth_15011","Overton Ridge_5701_Remington Hill_Fort Worth_15011" )</f>
        <v>Overton Ridge_5701_Remington Hill_Fort Worth_15011</v>
      </c>
      <c r="L4892" s="104" t="s">
        <v>22253</v>
      </c>
      <c r="M4892" s="103" t="str">
        <f t="shared" si="383"/>
        <v>http://oconnordata.com/mlink/modules/profile/index.cfm?action=profile&amp;prop_id=15011</v>
      </c>
      <c r="N4892" s="1">
        <f t="shared" si="384"/>
        <v>15011</v>
      </c>
    </row>
    <row r="4893" spans="1:14" x14ac:dyDescent="0.3">
      <c r="A4893" s="1">
        <v>15012</v>
      </c>
      <c r="B4893" s="7" t="s">
        <v>1488</v>
      </c>
      <c r="C4893" s="12">
        <v>3327</v>
      </c>
      <c r="D4893" s="7" t="s">
        <v>7426</v>
      </c>
      <c r="E4893" s="13" t="s">
        <v>5046</v>
      </c>
      <c r="F4893" t="str">
        <f t="shared" si="380"/>
        <v>Willow</v>
      </c>
      <c r="G4893" t="str">
        <f t="shared" si="381"/>
        <v>Willow3327Irving</v>
      </c>
      <c r="H4893" t="s">
        <v>35750</v>
      </c>
      <c r="I4893" t="s">
        <v>27172</v>
      </c>
      <c r="J4893" t="str">
        <f t="shared" si="382"/>
        <v>E:\PropInv\MF</v>
      </c>
      <c r="K4893" s="103" t="str">
        <f>HYPERLINK("E:\PropInv\MF\Irving\Willow Creek_3327_Tanner Place_Irving_15012","Willow Creek_3327_Tanner Place_Irving_15012" )</f>
        <v>Willow Creek_3327_Tanner Place_Irving_15012</v>
      </c>
      <c r="L4893" s="104" t="s">
        <v>22253</v>
      </c>
      <c r="M4893" s="103" t="str">
        <f t="shared" si="383"/>
        <v>http://oconnordata.com/mlink/modules/profile/index.cfm?action=profile&amp;prop_id=15012</v>
      </c>
      <c r="N4893" s="1">
        <f t="shared" si="384"/>
        <v>15012</v>
      </c>
    </row>
    <row r="4894" spans="1:14" x14ac:dyDescent="0.3">
      <c r="A4894" s="1">
        <v>15013</v>
      </c>
      <c r="B4894" s="7" t="s">
        <v>7427</v>
      </c>
      <c r="C4894" s="12">
        <v>7050</v>
      </c>
      <c r="D4894" s="7" t="s">
        <v>7428</v>
      </c>
      <c r="E4894" s="13" t="s">
        <v>5014</v>
      </c>
      <c r="F4894" t="str">
        <f t="shared" si="380"/>
        <v>John</v>
      </c>
      <c r="G4894" t="str">
        <f t="shared" si="381"/>
        <v>John7050Fort Worth</v>
      </c>
      <c r="H4894" t="s">
        <v>35751</v>
      </c>
      <c r="I4894" t="s">
        <v>27173</v>
      </c>
      <c r="J4894" t="str">
        <f t="shared" si="382"/>
        <v>E:\PropInv\MF</v>
      </c>
      <c r="K4894" s="103" t="str">
        <f>HYPERLINK("E:\PropInv\MF\Fort Worth\John T. White_7050_Whisperwoods_Fort Worth_15013","John T. White_7050_Whisperwoods_Fort Worth_15013" )</f>
        <v>John T. White_7050_Whisperwoods_Fort Worth_15013</v>
      </c>
      <c r="L4894" s="104" t="s">
        <v>22253</v>
      </c>
      <c r="M4894" s="103" t="str">
        <f t="shared" si="383"/>
        <v>http://oconnordata.com/mlink/modules/profile/index.cfm?action=profile&amp;prop_id=15013</v>
      </c>
      <c r="N4894" s="1">
        <f t="shared" si="384"/>
        <v>15013</v>
      </c>
    </row>
    <row r="4895" spans="1:14" x14ac:dyDescent="0.3">
      <c r="A4895" s="1">
        <v>15014</v>
      </c>
      <c r="B4895" s="7" t="s">
        <v>5429</v>
      </c>
      <c r="C4895" s="12">
        <v>2970</v>
      </c>
      <c r="D4895" s="7" t="s">
        <v>6969</v>
      </c>
      <c r="E4895" s="13" t="s">
        <v>4996</v>
      </c>
      <c r="F4895" t="str">
        <f t="shared" si="380"/>
        <v>Peavy</v>
      </c>
      <c r="G4895" t="str">
        <f t="shared" si="381"/>
        <v>Peavy2970Dallas</v>
      </c>
      <c r="H4895" t="s">
        <v>35752</v>
      </c>
      <c r="I4895" t="s">
        <v>27174</v>
      </c>
      <c r="J4895" t="str">
        <f t="shared" si="382"/>
        <v>E:\PropInv\MF</v>
      </c>
      <c r="K4895" s="103" t="str">
        <f>HYPERLINK("E:\PropInv\MF\Dallas\Peavy Rd_2970_Casa Bella_Dallas_15014","Peavy Rd_2970_Casa Bella_Dallas_15014" )</f>
        <v>Peavy Rd_2970_Casa Bella_Dallas_15014</v>
      </c>
      <c r="L4895" s="104" t="s">
        <v>22253</v>
      </c>
      <c r="M4895" s="103" t="str">
        <f t="shared" si="383"/>
        <v>http://oconnordata.com/mlink/modules/profile/index.cfm?action=profile&amp;prop_id=15014</v>
      </c>
      <c r="N4895" s="1">
        <f t="shared" si="384"/>
        <v>15014</v>
      </c>
    </row>
    <row r="4896" spans="1:14" x14ac:dyDescent="0.3">
      <c r="A4896" s="1">
        <v>15015</v>
      </c>
      <c r="B4896" s="7" t="s">
        <v>7429</v>
      </c>
      <c r="C4896" s="12">
        <v>3320</v>
      </c>
      <c r="D4896" s="7" t="s">
        <v>7430</v>
      </c>
      <c r="E4896" s="13" t="s">
        <v>5014</v>
      </c>
      <c r="F4896" t="str">
        <f t="shared" si="380"/>
        <v>Camp</v>
      </c>
      <c r="G4896" t="str">
        <f t="shared" si="381"/>
        <v>Camp3320Fort Worth</v>
      </c>
      <c r="H4896" t="s">
        <v>35753</v>
      </c>
      <c r="I4896" t="s">
        <v>27175</v>
      </c>
      <c r="J4896" t="str">
        <f t="shared" si="382"/>
        <v>E:\PropInv\MF</v>
      </c>
      <c r="K4896" s="103" t="str">
        <f>HYPERLINK("E:\PropInv\MF\Fort Worth\Camp Bowie_3320_Residences of Museum Place_Fort Worth_15015","Camp Bowie_3320_Residences of Museum Place_Fort Worth_15015" )</f>
        <v>Camp Bowie_3320_Residences of Museum Place_Fort Worth_15015</v>
      </c>
      <c r="L4896" s="104" t="s">
        <v>22253</v>
      </c>
      <c r="M4896" s="103" t="str">
        <f t="shared" si="383"/>
        <v>http://oconnordata.com/mlink/modules/profile/index.cfm?action=profile&amp;prop_id=15015</v>
      </c>
      <c r="N4896" s="1">
        <f t="shared" si="384"/>
        <v>15015</v>
      </c>
    </row>
    <row r="4897" spans="1:14" x14ac:dyDescent="0.3">
      <c r="A4897" s="1">
        <v>15016</v>
      </c>
      <c r="B4897" s="7" t="s">
        <v>7431</v>
      </c>
      <c r="C4897" s="12">
        <v>1441</v>
      </c>
      <c r="D4897" s="7" t="s">
        <v>7432</v>
      </c>
      <c r="E4897" s="13" t="s">
        <v>4996</v>
      </c>
      <c r="F4897" t="str">
        <f t="shared" si="380"/>
        <v>Westmount</v>
      </c>
      <c r="G4897" t="str">
        <f t="shared" si="381"/>
        <v>Westmount1441Dallas</v>
      </c>
      <c r="H4897" t="s">
        <v>35754</v>
      </c>
      <c r="I4897" t="s">
        <v>27176</v>
      </c>
      <c r="J4897" t="str">
        <f t="shared" si="382"/>
        <v>E:\PropInv\MF</v>
      </c>
      <c r="K4897" s="103" t="str">
        <f>HYPERLINK("E:\PropInv\MF\Dallas\Westmount_1441_Westmount Place Condos_Dallas_15016","Westmount_1441_Westmount Place Condos_Dallas_15016" )</f>
        <v>Westmount_1441_Westmount Place Condos_Dallas_15016</v>
      </c>
      <c r="L4897" s="104" t="s">
        <v>22253</v>
      </c>
      <c r="M4897" s="103" t="str">
        <f t="shared" si="383"/>
        <v>http://oconnordata.com/mlink/modules/profile/index.cfm?action=profile&amp;prop_id=15016</v>
      </c>
      <c r="N4897" s="1">
        <f t="shared" si="384"/>
        <v>15016</v>
      </c>
    </row>
    <row r="4898" spans="1:14" x14ac:dyDescent="0.3">
      <c r="A4898" s="1">
        <v>15017</v>
      </c>
      <c r="B4898" s="7" t="s">
        <v>6491</v>
      </c>
      <c r="C4898" s="12">
        <v>1001</v>
      </c>
      <c r="D4898" s="7" t="s">
        <v>7433</v>
      </c>
      <c r="E4898" s="13" t="s">
        <v>5014</v>
      </c>
      <c r="F4898" t="str">
        <f t="shared" si="380"/>
        <v>Willow</v>
      </c>
      <c r="G4898" t="str">
        <f t="shared" si="381"/>
        <v>Willow1001Fort Worth</v>
      </c>
      <c r="H4898" t="s">
        <v>35755</v>
      </c>
      <c r="I4898" t="s">
        <v>27177</v>
      </c>
      <c r="J4898" t="str">
        <f t="shared" si="382"/>
        <v>E:\PropInv\MF</v>
      </c>
      <c r="K4898" s="103" t="str">
        <f>HYPERLINK("E:\PropInv\MF\Fort Worth\Willow Ridge_1001_White Lake Hills_Fort Worth_15017","Willow Ridge_1001_White Lake Hills_Fort Worth_15017" )</f>
        <v>Willow Ridge_1001_White Lake Hills_Fort Worth_15017</v>
      </c>
      <c r="L4898" s="104" t="s">
        <v>22253</v>
      </c>
      <c r="M4898" s="103" t="str">
        <f t="shared" si="383"/>
        <v>http://oconnordata.com/mlink/modules/profile/index.cfm?action=profile&amp;prop_id=15017</v>
      </c>
      <c r="N4898" s="1">
        <f t="shared" si="384"/>
        <v>15017</v>
      </c>
    </row>
    <row r="4899" spans="1:14" x14ac:dyDescent="0.3">
      <c r="A4899" s="1">
        <v>15018</v>
      </c>
      <c r="B4899" s="7" t="s">
        <v>7434</v>
      </c>
      <c r="C4899" s="12">
        <v>2300</v>
      </c>
      <c r="D4899" s="7" t="s">
        <v>7435</v>
      </c>
      <c r="E4899" s="13" t="s">
        <v>5014</v>
      </c>
      <c r="F4899" t="str">
        <f t="shared" si="380"/>
        <v>Ridgemar</v>
      </c>
      <c r="G4899" t="str">
        <f t="shared" si="381"/>
        <v>Ridgemar2300Fort Worth</v>
      </c>
      <c r="H4899" t="s">
        <v>35756</v>
      </c>
      <c r="I4899" t="s">
        <v>27178</v>
      </c>
      <c r="J4899" t="str">
        <f t="shared" si="382"/>
        <v>E:\PropInv\MF</v>
      </c>
      <c r="K4899" s="103" t="str">
        <f>HYPERLINK("E:\PropInv\MF\Fort Worth\Ridgemar Blvd_2300_Park Villas I_Fort Worth_15018","Ridgemar Blvd_2300_Park Villas I_Fort Worth_15018" )</f>
        <v>Ridgemar Blvd_2300_Park Villas I_Fort Worth_15018</v>
      </c>
      <c r="L4899" s="104" t="s">
        <v>22253</v>
      </c>
      <c r="M4899" s="103" t="str">
        <f t="shared" si="383"/>
        <v>http://oconnordata.com/mlink/modules/profile/index.cfm?action=profile&amp;prop_id=15018</v>
      </c>
      <c r="N4899" s="1">
        <f t="shared" si="384"/>
        <v>15018</v>
      </c>
    </row>
    <row r="4900" spans="1:14" x14ac:dyDescent="0.3">
      <c r="A4900" s="1">
        <v>15019</v>
      </c>
      <c r="B4900" s="7" t="s">
        <v>7436</v>
      </c>
      <c r="C4900" s="12">
        <v>4115</v>
      </c>
      <c r="D4900" s="7" t="s">
        <v>3728</v>
      </c>
      <c r="E4900" s="13" t="s">
        <v>4996</v>
      </c>
      <c r="F4900" t="str">
        <f t="shared" si="380"/>
        <v>Druid</v>
      </c>
      <c r="G4900" t="str">
        <f t="shared" si="381"/>
        <v>Druid4115Dallas</v>
      </c>
      <c r="H4900" t="s">
        <v>35757</v>
      </c>
      <c r="I4900" t="s">
        <v>27179</v>
      </c>
      <c r="J4900" t="str">
        <f t="shared" si="382"/>
        <v>E:\PropInv\MF</v>
      </c>
      <c r="K4900" s="103" t="str">
        <f>HYPERLINK("E:\PropInv\MF\Dallas\Druid Hills_4115_Westridge_Dallas_15019","Druid Hills_4115_Westridge_Dallas_15019" )</f>
        <v>Druid Hills_4115_Westridge_Dallas_15019</v>
      </c>
      <c r="L4900" s="104" t="s">
        <v>22253</v>
      </c>
      <c r="M4900" s="103" t="str">
        <f t="shared" si="383"/>
        <v>http://oconnordata.com/mlink/modules/profile/index.cfm?action=profile&amp;prop_id=15019</v>
      </c>
      <c r="N4900" s="1">
        <f t="shared" si="384"/>
        <v>15019</v>
      </c>
    </row>
    <row r="4901" spans="1:14" x14ac:dyDescent="0.3">
      <c r="A4901" s="1">
        <v>15021</v>
      </c>
      <c r="B4901" s="7" t="s">
        <v>7437</v>
      </c>
      <c r="C4901" s="12">
        <v>9211</v>
      </c>
      <c r="D4901" s="7" t="s">
        <v>327</v>
      </c>
      <c r="E4901" s="13" t="s">
        <v>7120</v>
      </c>
      <c r="F4901" t="str">
        <f t="shared" si="380"/>
        <v>Dale</v>
      </c>
      <c r="G4901" t="str">
        <f t="shared" si="381"/>
        <v>Dale9211White Settlement</v>
      </c>
      <c r="H4901" t="s">
        <v>35758</v>
      </c>
      <c r="I4901" t="s">
        <v>27180</v>
      </c>
      <c r="J4901" t="str">
        <f t="shared" si="382"/>
        <v>E:\PropInv\MF</v>
      </c>
      <c r="K4901" s="103" t="str">
        <f>HYPERLINK("E:\PropInv\MF\White Settlement\Dale Ln Ct_9211_The Ridge_White Settlement_15021","Dale Ln Ct_9211_The Ridge_White Settlement_15021" )</f>
        <v>Dale Ln Ct_9211_The Ridge_White Settlement_15021</v>
      </c>
      <c r="L4901" s="104" t="s">
        <v>22253</v>
      </c>
      <c r="M4901" s="103" t="str">
        <f t="shared" si="383"/>
        <v>http://oconnordata.com/mlink/modules/profile/index.cfm?action=profile&amp;prop_id=15021</v>
      </c>
      <c r="N4901" s="1">
        <f t="shared" si="384"/>
        <v>15021</v>
      </c>
    </row>
    <row r="4902" spans="1:14" x14ac:dyDescent="0.3">
      <c r="A4902" s="1">
        <v>15022</v>
      </c>
      <c r="B4902" s="7" t="s">
        <v>7438</v>
      </c>
      <c r="C4902" s="12">
        <v>7251</v>
      </c>
      <c r="D4902" s="7" t="s">
        <v>1260</v>
      </c>
      <c r="E4902" s="13" t="s">
        <v>5014</v>
      </c>
      <c r="F4902" t="str">
        <f t="shared" si="380"/>
        <v>Crowley</v>
      </c>
      <c r="G4902" t="str">
        <f t="shared" si="381"/>
        <v>Crowley7251Fort Worth</v>
      </c>
      <c r="H4902" t="s">
        <v>35759</v>
      </c>
      <c r="I4902" t="s">
        <v>27181</v>
      </c>
      <c r="J4902" t="str">
        <f t="shared" si="382"/>
        <v>E:\PropInv\MF</v>
      </c>
      <c r="K4902" s="103" t="str">
        <f>HYPERLINK("E:\PropInv\MF\Fort Worth\Crowley_7251_Park West_Fort Worth_15022","Crowley_7251_Park West_Fort Worth_15022" )</f>
        <v>Crowley_7251_Park West_Fort Worth_15022</v>
      </c>
      <c r="L4902" s="104" t="s">
        <v>22253</v>
      </c>
      <c r="M4902" s="103" t="str">
        <f t="shared" si="383"/>
        <v>http://oconnordata.com/mlink/modules/profile/index.cfm?action=profile&amp;prop_id=15022</v>
      </c>
      <c r="N4902" s="1">
        <f t="shared" si="384"/>
        <v>15022</v>
      </c>
    </row>
    <row r="4903" spans="1:14" x14ac:dyDescent="0.3">
      <c r="A4903" s="1">
        <v>15023</v>
      </c>
      <c r="B4903" s="7" t="s">
        <v>4889</v>
      </c>
      <c r="C4903" s="12">
        <v>3700</v>
      </c>
      <c r="D4903" s="7" t="s">
        <v>7439</v>
      </c>
      <c r="E4903" s="13" t="s">
        <v>4996</v>
      </c>
      <c r="F4903" t="str">
        <f t="shared" si="380"/>
        <v>Cole</v>
      </c>
      <c r="G4903" t="str">
        <f t="shared" si="381"/>
        <v>Cole3700Dallas</v>
      </c>
      <c r="H4903" t="s">
        <v>35760</v>
      </c>
      <c r="I4903" t="s">
        <v>27182</v>
      </c>
      <c r="J4903" t="str">
        <f t="shared" si="382"/>
        <v>E:\PropInv\MF</v>
      </c>
      <c r="K4903" s="103" t="str">
        <f>HYPERLINK("E:\PropInv\MF\Dallas\Cole Ave_3700_Marquis at West Village_Dallas_15023","Cole Ave_3700_Marquis at West Village_Dallas_15023" )</f>
        <v>Cole Ave_3700_Marquis at West Village_Dallas_15023</v>
      </c>
      <c r="L4903" s="104" t="s">
        <v>22253</v>
      </c>
      <c r="M4903" s="103" t="str">
        <f t="shared" si="383"/>
        <v>http://oconnordata.com/mlink/modules/profile/index.cfm?action=profile&amp;prop_id=15023</v>
      </c>
      <c r="N4903" s="1">
        <f t="shared" si="384"/>
        <v>15023</v>
      </c>
    </row>
    <row r="4904" spans="1:14" x14ac:dyDescent="0.3">
      <c r="A4904" s="1">
        <v>15025</v>
      </c>
      <c r="B4904" s="7" t="s">
        <v>7440</v>
      </c>
      <c r="C4904" s="12">
        <v>1300</v>
      </c>
      <c r="D4904" s="7" t="s">
        <v>5391</v>
      </c>
      <c r="E4904" s="13" t="s">
        <v>5097</v>
      </c>
      <c r="F4904" t="str">
        <f t="shared" si="380"/>
        <v>Dallas</v>
      </c>
      <c r="G4904" t="str">
        <f t="shared" si="381"/>
        <v>Dallas1300Denton</v>
      </c>
      <c r="H4904" t="s">
        <v>35761</v>
      </c>
      <c r="I4904" t="s">
        <v>27183</v>
      </c>
      <c r="J4904" t="str">
        <f t="shared" si="382"/>
        <v>E:\PropInv\MF</v>
      </c>
      <c r="K4904" s="103" t="str">
        <f>HYPERLINK("E:\PropInv\MF\Denton\Dallas Dr_1300_Ridgecrest_Denton_15025","Dallas Dr_1300_Ridgecrest_Denton_15025" )</f>
        <v>Dallas Dr_1300_Ridgecrest_Denton_15025</v>
      </c>
      <c r="L4904" s="104" t="s">
        <v>22253</v>
      </c>
      <c r="M4904" s="103" t="str">
        <f t="shared" si="383"/>
        <v>http://oconnordata.com/mlink/modules/profile/index.cfm?action=profile&amp;prop_id=15025</v>
      </c>
      <c r="N4904" s="1">
        <f t="shared" si="384"/>
        <v>15025</v>
      </c>
    </row>
    <row r="4905" spans="1:14" x14ac:dyDescent="0.3">
      <c r="A4905" s="1">
        <v>15026</v>
      </c>
      <c r="B4905" s="7" t="s">
        <v>5470</v>
      </c>
      <c r="C4905" s="12">
        <v>1306</v>
      </c>
      <c r="D4905" s="7" t="s">
        <v>553</v>
      </c>
      <c r="E4905" s="13" t="s">
        <v>5046</v>
      </c>
      <c r="F4905" t="str">
        <f t="shared" si="380"/>
        <v>Nursery</v>
      </c>
      <c r="G4905" t="str">
        <f t="shared" si="381"/>
        <v>Nursery1306Irving</v>
      </c>
      <c r="H4905" t="s">
        <v>35762</v>
      </c>
      <c r="I4905" t="s">
        <v>27184</v>
      </c>
      <c r="J4905" t="str">
        <f t="shared" si="382"/>
        <v>E:\PropInv\MF</v>
      </c>
      <c r="K4905" s="103" t="str">
        <f>HYPERLINK("E:\PropInv\MF\Irving\Nursery Rd N_1306_Westwind_Irving_15026","Nursery Rd N_1306_Westwind_Irving_15026" )</f>
        <v>Nursery Rd N_1306_Westwind_Irving_15026</v>
      </c>
      <c r="L4905" s="104" t="s">
        <v>22253</v>
      </c>
      <c r="M4905" s="103" t="str">
        <f t="shared" si="383"/>
        <v>http://oconnordata.com/mlink/modules/profile/index.cfm?action=profile&amp;prop_id=15026</v>
      </c>
      <c r="N4905" s="1">
        <f t="shared" si="384"/>
        <v>15026</v>
      </c>
    </row>
    <row r="4906" spans="1:14" x14ac:dyDescent="0.3">
      <c r="A4906" s="1">
        <v>15027</v>
      </c>
      <c r="B4906" s="7" t="s">
        <v>7441</v>
      </c>
      <c r="C4906" s="12">
        <v>6055</v>
      </c>
      <c r="D4906" s="7" t="s">
        <v>7442</v>
      </c>
      <c r="E4906" s="13" t="s">
        <v>5014</v>
      </c>
      <c r="F4906" t="str">
        <f t="shared" si="380"/>
        <v>Ridgecrest</v>
      </c>
      <c r="G4906" t="str">
        <f t="shared" si="381"/>
        <v>Ridgecrest6055Fort Worth</v>
      </c>
      <c r="H4906" t="s">
        <v>35763</v>
      </c>
      <c r="I4906" t="s">
        <v>27185</v>
      </c>
      <c r="J4906" t="str">
        <f t="shared" si="382"/>
        <v>E:\PropInv\MF</v>
      </c>
      <c r="K4906" s="103" t="str">
        <f>HYPERLINK("E:\PropInv\MF\Fort Worth\Ridgecrest Trl_6055_Ridgecrest at Hulen Bend_Fort Worth_15027","Ridgecrest Trl_6055_Ridgecrest at Hulen Bend_Fort Worth_15027" )</f>
        <v>Ridgecrest Trl_6055_Ridgecrest at Hulen Bend_Fort Worth_15027</v>
      </c>
      <c r="L4906" s="104" t="s">
        <v>22253</v>
      </c>
      <c r="M4906" s="103" t="str">
        <f t="shared" si="383"/>
        <v>http://oconnordata.com/mlink/modules/profile/index.cfm?action=profile&amp;prop_id=15027</v>
      </c>
      <c r="N4906" s="1">
        <f t="shared" si="384"/>
        <v>15027</v>
      </c>
    </row>
    <row r="4907" spans="1:14" x14ac:dyDescent="0.3">
      <c r="A4907" s="1">
        <v>15028</v>
      </c>
      <c r="B4907" s="7" t="s">
        <v>7443</v>
      </c>
      <c r="C4907" s="12">
        <v>3064</v>
      </c>
      <c r="D4907" s="7" t="s">
        <v>447</v>
      </c>
      <c r="E4907" s="13" t="s">
        <v>4996</v>
      </c>
      <c r="F4907" t="str">
        <f t="shared" si="380"/>
        <v>Spruce</v>
      </c>
      <c r="G4907" t="str">
        <f t="shared" si="381"/>
        <v>Spruce3064Dallas</v>
      </c>
      <c r="H4907" t="s">
        <v>35764</v>
      </c>
      <c r="I4907" t="s">
        <v>27186</v>
      </c>
      <c r="J4907" t="str">
        <f t="shared" si="382"/>
        <v>E:\PropInv\MF</v>
      </c>
      <c r="K4907" s="103" t="str">
        <f>HYPERLINK("E:\PropInv\MF\Dallas\Spruce Valley Ln_3064_Westwood_Dallas_15028","Spruce Valley Ln_3064_Westwood_Dallas_15028" )</f>
        <v>Spruce Valley Ln_3064_Westwood_Dallas_15028</v>
      </c>
      <c r="L4907" s="104" t="s">
        <v>22253</v>
      </c>
      <c r="M4907" s="103" t="str">
        <f t="shared" si="383"/>
        <v>http://oconnordata.com/mlink/modules/profile/index.cfm?action=profile&amp;prop_id=15028</v>
      </c>
      <c r="N4907" s="1">
        <f t="shared" si="384"/>
        <v>15028</v>
      </c>
    </row>
    <row r="4908" spans="1:14" x14ac:dyDescent="0.3">
      <c r="A4908" s="1">
        <v>15030</v>
      </c>
      <c r="B4908" s="7" t="s">
        <v>7444</v>
      </c>
      <c r="C4908" s="12">
        <v>400</v>
      </c>
      <c r="D4908" s="7" t="s">
        <v>7445</v>
      </c>
      <c r="E4908" s="13" t="s">
        <v>5088</v>
      </c>
      <c r="F4908" t="str">
        <f t="shared" si="380"/>
        <v>Highland</v>
      </c>
      <c r="G4908" t="str">
        <f t="shared" si="381"/>
        <v>Highland400Mesquite</v>
      </c>
      <c r="H4908" t="s">
        <v>35765</v>
      </c>
      <c r="I4908" t="s">
        <v>27187</v>
      </c>
      <c r="J4908" t="str">
        <f t="shared" si="382"/>
        <v>E:\PropInv\MF</v>
      </c>
      <c r="K4908" s="103" t="str">
        <f>HYPERLINK("E:\PropInv\MF\Mesquite\Highland Village_400_Courtyards_Mesquite_15030","Highland Village_400_Courtyards_Mesquite_15030" )</f>
        <v>Highland Village_400_Courtyards_Mesquite_15030</v>
      </c>
      <c r="L4908" s="104" t="s">
        <v>22253</v>
      </c>
      <c r="M4908" s="103" t="str">
        <f t="shared" si="383"/>
        <v>http://oconnordata.com/mlink/modules/profile/index.cfm?action=profile&amp;prop_id=15030</v>
      </c>
      <c r="N4908" s="1">
        <f t="shared" si="384"/>
        <v>15030</v>
      </c>
    </row>
    <row r="4909" spans="1:14" x14ac:dyDescent="0.3">
      <c r="A4909" s="1">
        <v>15031</v>
      </c>
      <c r="B4909" s="7" t="s">
        <v>7446</v>
      </c>
      <c r="C4909" s="12">
        <v>2409</v>
      </c>
      <c r="D4909" s="7" t="s">
        <v>7447</v>
      </c>
      <c r="E4909" s="13" t="s">
        <v>5014</v>
      </c>
      <c r="F4909" t="str">
        <f t="shared" si="380"/>
        <v>Ridgemar</v>
      </c>
      <c r="G4909" t="str">
        <f t="shared" si="381"/>
        <v>Ridgemar2409Fort Worth</v>
      </c>
      <c r="H4909" t="s">
        <v>35766</v>
      </c>
      <c r="I4909" t="s">
        <v>27188</v>
      </c>
      <c r="J4909" t="str">
        <f t="shared" si="382"/>
        <v>E:\PropInv\MF</v>
      </c>
      <c r="K4909" s="103" t="str">
        <f>HYPERLINK("E:\PropInv\MF\Fort Worth\Ridgemar Plaza_2409_Ridgemont_Fort Worth_15031","Ridgemar Plaza_2409_Ridgemont_Fort Worth_15031" )</f>
        <v>Ridgemar Plaza_2409_Ridgemont_Fort Worth_15031</v>
      </c>
      <c r="L4909" s="104" t="s">
        <v>22253</v>
      </c>
      <c r="M4909" s="103" t="str">
        <f t="shared" si="383"/>
        <v>http://oconnordata.com/mlink/modules/profile/index.cfm?action=profile&amp;prop_id=15031</v>
      </c>
      <c r="N4909" s="1">
        <f t="shared" si="384"/>
        <v>15031</v>
      </c>
    </row>
    <row r="4910" spans="1:14" x14ac:dyDescent="0.3">
      <c r="A4910" s="1">
        <v>15032</v>
      </c>
      <c r="B4910" s="7" t="s">
        <v>7247</v>
      </c>
      <c r="C4910" s="12">
        <v>2631</v>
      </c>
      <c r="D4910" s="7" t="s">
        <v>447</v>
      </c>
      <c r="E4910" s="13" t="s">
        <v>4996</v>
      </c>
      <c r="F4910" t="str">
        <f t="shared" si="380"/>
        <v>Webb</v>
      </c>
      <c r="G4910" t="str">
        <f t="shared" si="381"/>
        <v>Webb2631Dallas</v>
      </c>
      <c r="H4910" t="s">
        <v>35767</v>
      </c>
      <c r="I4910" t="s">
        <v>27189</v>
      </c>
      <c r="J4910" t="str">
        <f t="shared" si="382"/>
        <v>E:\PropInv\MF</v>
      </c>
      <c r="K4910" s="103" t="str">
        <f>HYPERLINK("E:\PropInv\MF\Dallas\Webb Chapel_2631_Westwood_Dallas_15032","Webb Chapel_2631_Westwood_Dallas_15032" )</f>
        <v>Webb Chapel_2631_Westwood_Dallas_15032</v>
      </c>
      <c r="L4910" s="104" t="s">
        <v>22253</v>
      </c>
      <c r="M4910" s="103" t="str">
        <f t="shared" si="383"/>
        <v>http://oconnordata.com/mlink/modules/profile/index.cfm?action=profile&amp;prop_id=15032</v>
      </c>
      <c r="N4910" s="1">
        <f t="shared" si="384"/>
        <v>15032</v>
      </c>
    </row>
    <row r="4911" spans="1:14" x14ac:dyDescent="0.3">
      <c r="A4911" s="1">
        <v>15033</v>
      </c>
      <c r="B4911" s="7" t="s">
        <v>5453</v>
      </c>
      <c r="C4911" s="12">
        <v>4310</v>
      </c>
      <c r="D4911" s="7" t="s">
        <v>7448</v>
      </c>
      <c r="E4911" s="13" t="s">
        <v>5046</v>
      </c>
      <c r="F4911" t="str">
        <f t="shared" si="380"/>
        <v>Northgate</v>
      </c>
      <c r="G4911" t="str">
        <f t="shared" si="381"/>
        <v>Northgate4310Irving</v>
      </c>
      <c r="H4911" t="s">
        <v>35768</v>
      </c>
      <c r="I4911" t="s">
        <v>27190</v>
      </c>
      <c r="J4911" t="str">
        <f t="shared" si="382"/>
        <v>E:\PropInv\MF</v>
      </c>
      <c r="K4911" s="103" t="str">
        <f>HYPERLINK("E:\PropInv\MF\Irving\Northgate Dr W_4310_Westwood Village_Irving_15033","Northgate Dr W_4310_Westwood Village_Irving_15033" )</f>
        <v>Northgate Dr W_4310_Westwood Village_Irving_15033</v>
      </c>
      <c r="L4911" s="104" t="s">
        <v>22253</v>
      </c>
      <c r="M4911" s="103" t="str">
        <f t="shared" si="383"/>
        <v>http://oconnordata.com/mlink/modules/profile/index.cfm?action=profile&amp;prop_id=15033</v>
      </c>
      <c r="N4911" s="1">
        <f t="shared" si="384"/>
        <v>15033</v>
      </c>
    </row>
    <row r="4912" spans="1:14" x14ac:dyDescent="0.3">
      <c r="A4912" s="1">
        <v>15035</v>
      </c>
      <c r="B4912" s="7" t="s">
        <v>465</v>
      </c>
      <c r="C4912" s="12">
        <v>4302</v>
      </c>
      <c r="D4912" s="7" t="s">
        <v>7449</v>
      </c>
      <c r="E4912" s="13" t="s">
        <v>4996</v>
      </c>
      <c r="F4912" t="str">
        <f t="shared" si="380"/>
        <v>Woodhollow</v>
      </c>
      <c r="G4912" t="str">
        <f t="shared" si="381"/>
        <v>Woodhollow4302Dallas</v>
      </c>
      <c r="H4912" t="s">
        <v>35769</v>
      </c>
      <c r="I4912" t="s">
        <v>27191</v>
      </c>
      <c r="J4912" t="str">
        <f t="shared" si="382"/>
        <v>E:\PropInv\MF</v>
      </c>
      <c r="K4912" s="103" t="str">
        <f>HYPERLINK("E:\PropInv\MF\Dallas\Woodhollow_4302_Pebble Cove_Dallas_15035","Woodhollow_4302_Pebble Cove_Dallas_15035" )</f>
        <v>Woodhollow_4302_Pebble Cove_Dallas_15035</v>
      </c>
      <c r="L4912" s="104" t="s">
        <v>22253</v>
      </c>
      <c r="M4912" s="103" t="str">
        <f t="shared" si="383"/>
        <v>http://oconnordata.com/mlink/modules/profile/index.cfm?action=profile&amp;prop_id=15035</v>
      </c>
      <c r="N4912" s="1">
        <f t="shared" si="384"/>
        <v>15035</v>
      </c>
    </row>
    <row r="4913" spans="1:14" x14ac:dyDescent="0.3">
      <c r="A4913" s="1">
        <v>15036</v>
      </c>
      <c r="B4913" s="7" t="s">
        <v>7450</v>
      </c>
      <c r="C4913" s="12">
        <v>443</v>
      </c>
      <c r="D4913" s="7" t="s">
        <v>7451</v>
      </c>
      <c r="E4913" s="13" t="s">
        <v>4996</v>
      </c>
      <c r="F4913" t="str">
        <f t="shared" si="380"/>
        <v>Wheatland</v>
      </c>
      <c r="G4913" t="str">
        <f t="shared" si="381"/>
        <v>Wheatland443Dallas</v>
      </c>
      <c r="H4913" t="s">
        <v>35770</v>
      </c>
      <c r="I4913" t="s">
        <v>27192</v>
      </c>
      <c r="J4913" t="str">
        <f t="shared" si="382"/>
        <v>E:\PropInv\MF</v>
      </c>
      <c r="K4913" s="103" t="str">
        <f>HYPERLINK("E:\PropInv\MF\Dallas\Wheatland Rd W_443_Wheatland Terrace_Dallas_15036","Wheatland Rd W_443_Wheatland Terrace_Dallas_15036" )</f>
        <v>Wheatland Rd W_443_Wheatland Terrace_Dallas_15036</v>
      </c>
      <c r="L4913" s="104" t="s">
        <v>22253</v>
      </c>
      <c r="M4913" s="103" t="str">
        <f t="shared" si="383"/>
        <v>http://oconnordata.com/mlink/modules/profile/index.cfm?action=profile&amp;prop_id=15036</v>
      </c>
      <c r="N4913" s="1">
        <f t="shared" si="384"/>
        <v>15036</v>
      </c>
    </row>
    <row r="4914" spans="1:14" x14ac:dyDescent="0.3">
      <c r="A4914" s="1">
        <v>15041</v>
      </c>
      <c r="B4914" s="7" t="s">
        <v>7452</v>
      </c>
      <c r="C4914" s="12">
        <v>2323</v>
      </c>
      <c r="D4914" s="7" t="s">
        <v>3037</v>
      </c>
      <c r="E4914" s="13" t="s">
        <v>5014</v>
      </c>
      <c r="F4914" t="str">
        <f t="shared" si="380"/>
        <v>Ridgmar</v>
      </c>
      <c r="G4914" t="str">
        <f t="shared" si="381"/>
        <v>Ridgmar2323Fort Worth</v>
      </c>
      <c r="H4914" t="s">
        <v>35771</v>
      </c>
      <c r="I4914" t="s">
        <v>27193</v>
      </c>
      <c r="J4914" t="str">
        <f t="shared" si="382"/>
        <v>E:\PropInv\MF</v>
      </c>
      <c r="K4914" s="103" t="str">
        <f>HYPERLINK("E:\PropInv\MF\Fort Worth\Ridgmar Blvd_2323_Willowick_Fort Worth_15041","Ridgmar Blvd_2323_Willowick_Fort Worth_15041" )</f>
        <v>Ridgmar Blvd_2323_Willowick_Fort Worth_15041</v>
      </c>
      <c r="L4914" s="104" t="s">
        <v>22253</v>
      </c>
      <c r="M4914" s="103" t="str">
        <f t="shared" si="383"/>
        <v>http://oconnordata.com/mlink/modules/profile/index.cfm?action=profile&amp;prop_id=15041</v>
      </c>
      <c r="N4914" s="1">
        <f t="shared" si="384"/>
        <v>15041</v>
      </c>
    </row>
    <row r="4915" spans="1:14" x14ac:dyDescent="0.3">
      <c r="A4915" s="1">
        <v>15043</v>
      </c>
      <c r="B4915" s="7" t="s">
        <v>7285</v>
      </c>
      <c r="C4915" s="12">
        <v>5816</v>
      </c>
      <c r="D4915" s="7" t="s">
        <v>7453</v>
      </c>
      <c r="E4915" s="13" t="s">
        <v>5014</v>
      </c>
      <c r="F4915" t="str">
        <f t="shared" si="380"/>
        <v>Boca</v>
      </c>
      <c r="G4915" t="str">
        <f t="shared" si="381"/>
        <v>Boca5816Fort Worth</v>
      </c>
      <c r="H4915" t="s">
        <v>35772</v>
      </c>
      <c r="I4915" t="s">
        <v>27194</v>
      </c>
      <c r="J4915" t="str">
        <f t="shared" si="382"/>
        <v>E:\PropInv\MF</v>
      </c>
      <c r="K4915" s="103" t="str">
        <f>HYPERLINK("E:\PropInv\MF\Fort Worth\Boca Raton Blvd_5816_Willows at Woodhaven_Fort Worth_15043","Boca Raton Blvd_5816_Willows at Woodhaven_Fort Worth_15043" )</f>
        <v>Boca Raton Blvd_5816_Willows at Woodhaven_Fort Worth_15043</v>
      </c>
      <c r="L4915" s="104" t="s">
        <v>22253</v>
      </c>
      <c r="M4915" s="103" t="str">
        <f t="shared" si="383"/>
        <v>http://oconnordata.com/mlink/modules/profile/index.cfm?action=profile&amp;prop_id=15043</v>
      </c>
      <c r="N4915" s="1">
        <f t="shared" si="384"/>
        <v>15043</v>
      </c>
    </row>
    <row r="4916" spans="1:14" x14ac:dyDescent="0.3">
      <c r="A4916" s="1">
        <v>15044</v>
      </c>
      <c r="B4916" s="7" t="s">
        <v>7454</v>
      </c>
      <c r="C4916" s="12">
        <v>3101</v>
      </c>
      <c r="D4916" s="7" t="s">
        <v>1261</v>
      </c>
      <c r="E4916" s="13" t="s">
        <v>5014</v>
      </c>
      <c r="F4916" t="str">
        <f t="shared" si="380"/>
        <v>Sappington</v>
      </c>
      <c r="G4916" t="str">
        <f t="shared" si="381"/>
        <v>Sappington3101Fort Worth</v>
      </c>
      <c r="H4916" t="s">
        <v>35773</v>
      </c>
      <c r="I4916" t="s">
        <v>27195</v>
      </c>
      <c r="J4916" t="str">
        <f t="shared" si="382"/>
        <v>E:\PropInv\MF</v>
      </c>
      <c r="K4916" s="103" t="str">
        <f>HYPERLINK("E:\PropInv\MF\Fort Worth\Sappington Place_3101_Parkside_Fort Worth_15044","Sappington Place_3101_Parkside_Fort Worth_15044" )</f>
        <v>Sappington Place_3101_Parkside_Fort Worth_15044</v>
      </c>
      <c r="L4916" s="104" t="s">
        <v>22253</v>
      </c>
      <c r="M4916" s="103" t="str">
        <f t="shared" si="383"/>
        <v>http://oconnordata.com/mlink/modules/profile/index.cfm?action=profile&amp;prop_id=15044</v>
      </c>
      <c r="N4916" s="1">
        <f t="shared" si="384"/>
        <v>15044</v>
      </c>
    </row>
    <row r="4917" spans="1:14" x14ac:dyDescent="0.3">
      <c r="A4917" s="1">
        <v>15045</v>
      </c>
      <c r="B4917" s="7" t="s">
        <v>7455</v>
      </c>
      <c r="C4917" s="12">
        <v>2200</v>
      </c>
      <c r="D4917" s="7" t="s">
        <v>7456</v>
      </c>
      <c r="E4917" s="13" t="s">
        <v>5014</v>
      </c>
      <c r="F4917" t="str">
        <f t="shared" si="380"/>
        <v>Taxco</v>
      </c>
      <c r="G4917" t="str">
        <f t="shared" si="381"/>
        <v>Taxco2200Fort Worth</v>
      </c>
      <c r="H4917" t="s">
        <v>35774</v>
      </c>
      <c r="I4917" t="s">
        <v>27196</v>
      </c>
      <c r="J4917" t="str">
        <f t="shared" si="382"/>
        <v>E:\PropInv\MF</v>
      </c>
      <c r="K4917" s="103" t="str">
        <f>HYPERLINK("E:\PropInv\MF\Fort Worth\Taxco Rd_2200_Ridgmar Manor_Fort Worth_15045","Taxco Rd_2200_Ridgmar Manor_Fort Worth_15045" )</f>
        <v>Taxco Rd_2200_Ridgmar Manor_Fort Worth_15045</v>
      </c>
      <c r="L4917" s="104" t="s">
        <v>22253</v>
      </c>
      <c r="M4917" s="103" t="str">
        <f t="shared" si="383"/>
        <v>http://oconnordata.com/mlink/modules/profile/index.cfm?action=profile&amp;prop_id=15045</v>
      </c>
      <c r="N4917" s="1">
        <f t="shared" si="384"/>
        <v>15045</v>
      </c>
    </row>
    <row r="4918" spans="1:14" x14ac:dyDescent="0.3">
      <c r="A4918" s="1">
        <v>15046</v>
      </c>
      <c r="B4918" s="7" t="s">
        <v>7457</v>
      </c>
      <c r="C4918" s="12">
        <v>3232</v>
      </c>
      <c r="D4918" s="7" t="s">
        <v>7458</v>
      </c>
      <c r="E4918" s="13" t="s">
        <v>4996</v>
      </c>
      <c r="F4918" t="str">
        <f t="shared" si="380"/>
        <v>Sumter</v>
      </c>
      <c r="G4918" t="str">
        <f t="shared" si="381"/>
        <v>Sumter3232Dallas</v>
      </c>
      <c r="H4918" t="s">
        <v>35775</v>
      </c>
      <c r="I4918" t="s">
        <v>27197</v>
      </c>
      <c r="J4918" t="str">
        <f t="shared" si="382"/>
        <v>E:\PropInv\MF</v>
      </c>
      <c r="K4918" s="103" t="str">
        <f>HYPERLINK("E:\PropInv\MF\Dallas\Sumter Dr_3232_Big Block I_Dallas_15046","Sumter Dr_3232_Big Block I_Dallas_15046" )</f>
        <v>Sumter Dr_3232_Big Block I_Dallas_15046</v>
      </c>
      <c r="L4918" s="104" t="s">
        <v>22253</v>
      </c>
      <c r="M4918" s="103" t="str">
        <f t="shared" si="383"/>
        <v>http://oconnordata.com/mlink/modules/profile/index.cfm?action=profile&amp;prop_id=15046</v>
      </c>
      <c r="N4918" s="1">
        <f t="shared" si="384"/>
        <v>15046</v>
      </c>
    </row>
    <row r="4919" spans="1:14" x14ac:dyDescent="0.3">
      <c r="A4919" s="1">
        <v>15047</v>
      </c>
      <c r="B4919" s="7" t="s">
        <v>6894</v>
      </c>
      <c r="C4919" s="12">
        <v>2001</v>
      </c>
      <c r="D4919" s="7" t="s">
        <v>291</v>
      </c>
      <c r="E4919" s="13" t="s">
        <v>5014</v>
      </c>
      <c r="F4919" t="str">
        <f t="shared" si="380"/>
        <v>Aden</v>
      </c>
      <c r="G4919" t="str">
        <f t="shared" si="381"/>
        <v>Aden2001Fort Worth</v>
      </c>
      <c r="H4919" t="s">
        <v>35776</v>
      </c>
      <c r="I4919" t="s">
        <v>27198</v>
      </c>
      <c r="J4919" t="str">
        <f t="shared" si="382"/>
        <v>E:\PropInv\MF</v>
      </c>
      <c r="K4919" s="103" t="str">
        <f>HYPERLINK("E:\PropInv\MF\Fort Worth\Aden Rd_2001_Park Plaza_Fort Worth_15047","Aden Rd_2001_Park Plaza_Fort Worth_15047" )</f>
        <v>Aden Rd_2001_Park Plaza_Fort Worth_15047</v>
      </c>
      <c r="L4919" s="104" t="s">
        <v>22253</v>
      </c>
      <c r="M4919" s="103" t="str">
        <f t="shared" si="383"/>
        <v>http://oconnordata.com/mlink/modules/profile/index.cfm?action=profile&amp;prop_id=15047</v>
      </c>
      <c r="N4919" s="1">
        <f t="shared" si="384"/>
        <v>15047</v>
      </c>
    </row>
    <row r="4920" spans="1:14" x14ac:dyDescent="0.3">
      <c r="A4920" s="1">
        <v>15048</v>
      </c>
      <c r="B4920" s="7" t="s">
        <v>7459</v>
      </c>
      <c r="C4920" s="12">
        <v>3064</v>
      </c>
      <c r="D4920" s="7" t="s">
        <v>7460</v>
      </c>
      <c r="E4920" s="13" t="s">
        <v>5014</v>
      </c>
      <c r="F4920" t="str">
        <f t="shared" si="380"/>
        <v>Las</v>
      </c>
      <c r="G4920" t="str">
        <f t="shared" si="381"/>
        <v>Las3064Fort Worth</v>
      </c>
      <c r="H4920" t="s">
        <v>35777</v>
      </c>
      <c r="I4920" t="s">
        <v>27199</v>
      </c>
      <c r="J4920" t="str">
        <f t="shared" si="382"/>
        <v>E:\PropInv\MF</v>
      </c>
      <c r="K4920" s="103" t="str">
        <f>HYPERLINK("E:\PropInv\MF\Fort Worth\Las Vegas_3064_Wilshire West_Fort Worth_15048","Las Vegas_3064_Wilshire West_Fort Worth_15048" )</f>
        <v>Las Vegas_3064_Wilshire West_Fort Worth_15048</v>
      </c>
      <c r="L4920" s="104" t="s">
        <v>22253</v>
      </c>
      <c r="M4920" s="103" t="str">
        <f t="shared" si="383"/>
        <v>http://oconnordata.com/mlink/modules/profile/index.cfm?action=profile&amp;prop_id=15048</v>
      </c>
      <c r="N4920" s="1">
        <f t="shared" si="384"/>
        <v>15048</v>
      </c>
    </row>
    <row r="4921" spans="1:14" x14ac:dyDescent="0.3">
      <c r="A4921" s="1">
        <v>15049</v>
      </c>
      <c r="B4921" s="7" t="s">
        <v>7461</v>
      </c>
      <c r="C4921" s="12">
        <v>1407</v>
      </c>
      <c r="D4921" s="7" t="s">
        <v>3599</v>
      </c>
      <c r="E4921" s="13" t="s">
        <v>5046</v>
      </c>
      <c r="F4921" t="str">
        <f t="shared" si="380"/>
        <v>Shady</v>
      </c>
      <c r="G4921" t="str">
        <f t="shared" si="381"/>
        <v>Shady1407Irving</v>
      </c>
      <c r="H4921" t="s">
        <v>35778</v>
      </c>
      <c r="I4921" t="s">
        <v>27200</v>
      </c>
      <c r="J4921" t="str">
        <f t="shared" si="382"/>
        <v>E:\PropInv\MF</v>
      </c>
      <c r="K4921" s="103" t="str">
        <f>HYPERLINK("E:\PropInv\MF\Irving\Shady Grove W_1407_Willowbend_Irving_15049","Shady Grove W_1407_Willowbend_Irving_15049" )</f>
        <v>Shady Grove W_1407_Willowbend_Irving_15049</v>
      </c>
      <c r="L4921" s="104" t="s">
        <v>22253</v>
      </c>
      <c r="M4921" s="103" t="str">
        <f t="shared" si="383"/>
        <v>http://oconnordata.com/mlink/modules/profile/index.cfm?action=profile&amp;prop_id=15049</v>
      </c>
      <c r="N4921" s="1">
        <f t="shared" si="384"/>
        <v>15049</v>
      </c>
    </row>
    <row r="4922" spans="1:14" x14ac:dyDescent="0.3">
      <c r="A4922" s="1">
        <v>15050</v>
      </c>
      <c r="B4922" s="7" t="s">
        <v>7462</v>
      </c>
      <c r="C4922" s="12">
        <v>2324</v>
      </c>
      <c r="D4922" s="7" t="s">
        <v>7463</v>
      </c>
      <c r="E4922" s="13" t="s">
        <v>5014</v>
      </c>
      <c r="F4922" t="str">
        <f t="shared" si="380"/>
        <v>Ridgmar</v>
      </c>
      <c r="G4922" t="str">
        <f t="shared" si="381"/>
        <v>Ridgmar2324Fort Worth</v>
      </c>
      <c r="H4922" t="s">
        <v>35779</v>
      </c>
      <c r="I4922" t="s">
        <v>27201</v>
      </c>
      <c r="J4922" t="str">
        <f t="shared" si="382"/>
        <v>E:\PropInv\MF</v>
      </c>
      <c r="K4922" s="103" t="str">
        <f>HYPERLINK("E:\PropInv\MF\Fort Worth\Ridgmar Plaza_2324_Renaissance Two_Fort Worth_15050","Ridgmar Plaza_2324_Renaissance Two_Fort Worth_15050" )</f>
        <v>Ridgmar Plaza_2324_Renaissance Two_Fort Worth_15050</v>
      </c>
      <c r="L4922" s="104" t="s">
        <v>22253</v>
      </c>
      <c r="M4922" s="103" t="str">
        <f t="shared" si="383"/>
        <v>http://oconnordata.com/mlink/modules/profile/index.cfm?action=profile&amp;prop_id=15050</v>
      </c>
      <c r="N4922" s="1">
        <f t="shared" si="384"/>
        <v>15050</v>
      </c>
    </row>
    <row r="4923" spans="1:14" x14ac:dyDescent="0.3">
      <c r="A4923" s="1">
        <v>15051</v>
      </c>
      <c r="B4923" s="7" t="s">
        <v>7464</v>
      </c>
      <c r="C4923" s="12">
        <v>952</v>
      </c>
      <c r="D4923" s="7" t="s">
        <v>4013</v>
      </c>
      <c r="E4923" s="13" t="s">
        <v>5014</v>
      </c>
      <c r="F4923" t="str">
        <f t="shared" si="380"/>
        <v>Oakhurst</v>
      </c>
      <c r="G4923" t="str">
        <f t="shared" si="381"/>
        <v>Oakhurst952Fort Worth</v>
      </c>
      <c r="H4923" t="s">
        <v>35780</v>
      </c>
      <c r="I4923" t="s">
        <v>27202</v>
      </c>
      <c r="J4923" t="str">
        <f t="shared" si="382"/>
        <v>E:\PropInv\MF</v>
      </c>
      <c r="K4923" s="103" t="str">
        <f>HYPERLINK("E:\PropInv\MF\Fort Worth\Oakhurst Scenic Dr_952_Parkview Village_Fort Worth_15051","Oakhurst Scenic Dr_952_Parkview Village_Fort Worth_15051" )</f>
        <v>Oakhurst Scenic Dr_952_Parkview Village_Fort Worth_15051</v>
      </c>
      <c r="L4923" s="104" t="s">
        <v>22253</v>
      </c>
      <c r="M4923" s="103" t="str">
        <f t="shared" si="383"/>
        <v>http://oconnordata.com/mlink/modules/profile/index.cfm?action=profile&amp;prop_id=15051</v>
      </c>
      <c r="N4923" s="1">
        <f t="shared" si="384"/>
        <v>15051</v>
      </c>
    </row>
    <row r="4924" spans="1:14" x14ac:dyDescent="0.3">
      <c r="A4924" s="1">
        <v>15053</v>
      </c>
      <c r="B4924" s="7" t="s">
        <v>7452</v>
      </c>
      <c r="C4924" s="12">
        <v>2508</v>
      </c>
      <c r="D4924" s="7" t="s">
        <v>7465</v>
      </c>
      <c r="E4924" s="13" t="s">
        <v>5014</v>
      </c>
      <c r="F4924" t="str">
        <f t="shared" si="380"/>
        <v>Ridgmar</v>
      </c>
      <c r="G4924" t="str">
        <f t="shared" si="381"/>
        <v>Ridgmar2508Fort Worth</v>
      </c>
      <c r="H4924" t="s">
        <v>35781</v>
      </c>
      <c r="I4924" t="s">
        <v>27203</v>
      </c>
      <c r="J4924" t="str">
        <f t="shared" si="382"/>
        <v>E:\PropInv\MF</v>
      </c>
      <c r="K4924" s="103" t="str">
        <f>HYPERLINK("E:\PropInv\MF\Fort Worth\Ridgmar Blvd_2508_Ridgmar Square_Fort Worth_15053","Ridgmar Blvd_2508_Ridgmar Square_Fort Worth_15053" )</f>
        <v>Ridgmar Blvd_2508_Ridgmar Square_Fort Worth_15053</v>
      </c>
      <c r="L4924" s="104" t="s">
        <v>22253</v>
      </c>
      <c r="M4924" s="103" t="str">
        <f t="shared" si="383"/>
        <v>http://oconnordata.com/mlink/modules/profile/index.cfm?action=profile&amp;prop_id=15053</v>
      </c>
      <c r="N4924" s="1">
        <f t="shared" si="384"/>
        <v>15053</v>
      </c>
    </row>
    <row r="4925" spans="1:14" x14ac:dyDescent="0.3">
      <c r="A4925" s="1">
        <v>15054</v>
      </c>
      <c r="B4925" s="7" t="s">
        <v>7466</v>
      </c>
      <c r="C4925" s="12">
        <v>191</v>
      </c>
      <c r="D4925" s="7" t="s">
        <v>7467</v>
      </c>
      <c r="E4925" s="13" t="s">
        <v>5097</v>
      </c>
      <c r="F4925" t="str">
        <f t="shared" si="380"/>
        <v>Duchess</v>
      </c>
      <c r="G4925" t="str">
        <f t="shared" si="381"/>
        <v>Duchess191Denton</v>
      </c>
      <c r="H4925" t="s">
        <v>35782</v>
      </c>
      <c r="I4925" t="s">
        <v>27204</v>
      </c>
      <c r="J4925" t="str">
        <f t="shared" si="382"/>
        <v>E:\PropInv\MF</v>
      </c>
      <c r="K4925" s="103" t="str">
        <f>HYPERLINK("E:\PropInv\MF\Denton\Duchess_191_McKinney Park_Denton_15054","Duchess_191_McKinney Park_Denton_15054" )</f>
        <v>Duchess_191_McKinney Park_Denton_15054</v>
      </c>
      <c r="L4925" s="104" t="s">
        <v>22253</v>
      </c>
      <c r="M4925" s="103" t="str">
        <f t="shared" si="383"/>
        <v>http://oconnordata.com/mlink/modules/profile/index.cfm?action=profile&amp;prop_id=15054</v>
      </c>
      <c r="N4925" s="1">
        <f t="shared" si="384"/>
        <v>15054</v>
      </c>
    </row>
    <row r="4926" spans="1:14" x14ac:dyDescent="0.3">
      <c r="A4926" s="1">
        <v>15055</v>
      </c>
      <c r="B4926" s="7" t="s">
        <v>7452</v>
      </c>
      <c r="C4926" s="12">
        <v>2201</v>
      </c>
      <c r="D4926" s="7" t="s">
        <v>7468</v>
      </c>
      <c r="E4926" s="13" t="s">
        <v>5014</v>
      </c>
      <c r="F4926" t="str">
        <f t="shared" si="380"/>
        <v>Ridgmar</v>
      </c>
      <c r="G4926" t="str">
        <f t="shared" si="381"/>
        <v>Ridgmar2201Fort Worth</v>
      </c>
      <c r="H4926" t="s">
        <v>35783</v>
      </c>
      <c r="I4926" t="s">
        <v>27205</v>
      </c>
      <c r="J4926" t="str">
        <f t="shared" si="382"/>
        <v>E:\PropInv\MF</v>
      </c>
      <c r="K4926" s="103" t="str">
        <f>HYPERLINK("E:\PropInv\MF\Fort Worth\Ridgmar Blvd_2201_Renaissance Gardens_Fort Worth_15055","Ridgmar Blvd_2201_Renaissance Gardens_Fort Worth_15055" )</f>
        <v>Ridgmar Blvd_2201_Renaissance Gardens_Fort Worth_15055</v>
      </c>
      <c r="L4926" s="104" t="s">
        <v>22253</v>
      </c>
      <c r="M4926" s="103" t="str">
        <f t="shared" si="383"/>
        <v>http://oconnordata.com/mlink/modules/profile/index.cfm?action=profile&amp;prop_id=15055</v>
      </c>
      <c r="N4926" s="1">
        <f t="shared" si="384"/>
        <v>15055</v>
      </c>
    </row>
    <row r="4927" spans="1:14" x14ac:dyDescent="0.3">
      <c r="A4927" s="1">
        <v>15056</v>
      </c>
      <c r="B4927" s="7" t="s">
        <v>7469</v>
      </c>
      <c r="C4927" s="12">
        <v>510</v>
      </c>
      <c r="D4927" s="7" t="s">
        <v>7470</v>
      </c>
      <c r="E4927" s="13" t="s">
        <v>4996</v>
      </c>
      <c r="F4927" t="str">
        <f t="shared" si="380"/>
        <v>Westmount</v>
      </c>
      <c r="G4927" t="str">
        <f t="shared" si="381"/>
        <v>Westmount510Dallas</v>
      </c>
      <c r="H4927" t="s">
        <v>35784</v>
      </c>
      <c r="I4927" t="s">
        <v>27206</v>
      </c>
      <c r="J4927" t="str">
        <f t="shared" si="382"/>
        <v>E:\PropInv\MF</v>
      </c>
      <c r="K4927" s="103" t="str">
        <f>HYPERLINK("E:\PropInv\MF\Dallas\Westmount Ave_510_Telstar_Dallas_15056","Westmount Ave_510_Telstar_Dallas_15056" )</f>
        <v>Westmount Ave_510_Telstar_Dallas_15056</v>
      </c>
      <c r="L4927" s="104" t="s">
        <v>22253</v>
      </c>
      <c r="M4927" s="103" t="str">
        <f t="shared" si="383"/>
        <v>http://oconnordata.com/mlink/modules/profile/index.cfm?action=profile&amp;prop_id=15056</v>
      </c>
      <c r="N4927" s="1">
        <f t="shared" si="384"/>
        <v>15056</v>
      </c>
    </row>
    <row r="4928" spans="1:14" x14ac:dyDescent="0.3">
      <c r="A4928" s="1">
        <v>15057</v>
      </c>
      <c r="B4928" s="7" t="s">
        <v>7339</v>
      </c>
      <c r="C4928" s="12">
        <v>3500</v>
      </c>
      <c r="D4928" s="7" t="s">
        <v>7471</v>
      </c>
      <c r="E4928" s="13" t="s">
        <v>5014</v>
      </c>
      <c r="F4928" t="str">
        <f t="shared" si="380"/>
        <v>Renzel</v>
      </c>
      <c r="G4928" t="str">
        <f t="shared" si="381"/>
        <v>Renzel3500Fort Worth</v>
      </c>
      <c r="H4928" t="s">
        <v>35785</v>
      </c>
      <c r="I4928" t="s">
        <v>27207</v>
      </c>
      <c r="J4928" t="str">
        <f t="shared" si="382"/>
        <v>E:\PropInv\MF</v>
      </c>
      <c r="K4928" s="103" t="str">
        <f>HYPERLINK("E:\PropInv\MF\Fort Worth\Renzel Blvd_3500_Wind Rush_Fort Worth_15057","Renzel Blvd_3500_Wind Rush_Fort Worth_15057" )</f>
        <v>Renzel Blvd_3500_Wind Rush_Fort Worth_15057</v>
      </c>
      <c r="L4928" s="104" t="s">
        <v>22253</v>
      </c>
      <c r="M4928" s="103" t="str">
        <f t="shared" si="383"/>
        <v>http://oconnordata.com/mlink/modules/profile/index.cfm?action=profile&amp;prop_id=15057</v>
      </c>
      <c r="N4928" s="1">
        <f t="shared" si="384"/>
        <v>15057</v>
      </c>
    </row>
    <row r="4929" spans="1:14" x14ac:dyDescent="0.3">
      <c r="A4929" s="1">
        <v>15058</v>
      </c>
      <c r="B4929" s="7" t="s">
        <v>7472</v>
      </c>
      <c r="C4929" s="12">
        <v>250</v>
      </c>
      <c r="D4929" s="7" t="s">
        <v>7473</v>
      </c>
      <c r="E4929" s="13" t="s">
        <v>5014</v>
      </c>
      <c r="F4929" t="str">
        <f t="shared" si="380"/>
        <v>Pennsylvania</v>
      </c>
      <c r="G4929" t="str">
        <f t="shared" si="381"/>
        <v>Pennsylvania250Fort Worth</v>
      </c>
      <c r="H4929" t="s">
        <v>35786</v>
      </c>
      <c r="I4929" t="s">
        <v>27208</v>
      </c>
      <c r="J4929" t="str">
        <f t="shared" si="382"/>
        <v>E:\PropInv\MF</v>
      </c>
      <c r="K4929" s="103" t="str">
        <f>HYPERLINK("E:\PropInv\MF\Fort Worth\Pennsylvania Ave_250_Pennsylvania Place_Fort Worth_15058","Pennsylvania Ave_250_Pennsylvania Place_Fort Worth_15058" )</f>
        <v>Pennsylvania Ave_250_Pennsylvania Place_Fort Worth_15058</v>
      </c>
      <c r="L4929" s="104" t="s">
        <v>22253</v>
      </c>
      <c r="M4929" s="103" t="str">
        <f t="shared" si="383"/>
        <v>http://oconnordata.com/mlink/modules/profile/index.cfm?action=profile&amp;prop_id=15058</v>
      </c>
      <c r="N4929" s="1">
        <f t="shared" si="384"/>
        <v>15058</v>
      </c>
    </row>
    <row r="4930" spans="1:14" x14ac:dyDescent="0.3">
      <c r="A4930" s="1">
        <v>15059</v>
      </c>
      <c r="B4930" s="7" t="s">
        <v>7282</v>
      </c>
      <c r="C4930" s="12">
        <v>5707</v>
      </c>
      <c r="D4930" s="7" t="s">
        <v>6001</v>
      </c>
      <c r="E4930" s="13" t="s">
        <v>6909</v>
      </c>
      <c r="F4930" t="str">
        <f t="shared" ref="F4930:F4993" si="385">IFERROR(LEFT(B4930,FIND(" ",B4930)-1),B4930)</f>
        <v>Bellaire</v>
      </c>
      <c r="G4930" t="str">
        <f t="shared" ref="G4930:G4993" si="386">F4930&amp;C4930&amp;E4930</f>
        <v>Bellaire5707Benbrook</v>
      </c>
      <c r="H4930" t="s">
        <v>35787</v>
      </c>
      <c r="I4930" t="s">
        <v>27209</v>
      </c>
      <c r="J4930" t="str">
        <f t="shared" ref="J4930:J4993" si="387">IF(L4930="TX",Folder_Path,Folder_Path&amp;"\State_"&amp;L4930)</f>
        <v>E:\PropInv\MF</v>
      </c>
      <c r="K4930" s="103" t="str">
        <f>HYPERLINK("E:\PropInv\MF\Benbrook\Bellaire S_5707_River Glen_Benbrook_15059","Bellaire S_5707_River Glen_Benbrook_15059" )</f>
        <v>Bellaire S_5707_River Glen_Benbrook_15059</v>
      </c>
      <c r="L4930" s="104" t="s">
        <v>22253</v>
      </c>
      <c r="M4930" s="103" t="str">
        <f t="shared" ref="M4930:M4993" si="388">HYPERLINK("http://oconnordata.com/mlink/modules/profile/index.cfm?action=profile&amp;prop_id="&amp;A4930)</f>
        <v>http://oconnordata.com/mlink/modules/profile/index.cfm?action=profile&amp;prop_id=15059</v>
      </c>
      <c r="N4930" s="1">
        <f t="shared" ref="N4930:N4993" si="389">IF(LEN(A4930)=1,"0000"&amp;A4930,IF(LEN(A4930)=2,"000"&amp;A4930,IF(LEN(A4930)=3,"00"&amp;A4930,IF(LEN(A4930)=4,"0"&amp;A4930,IF(LEN(A4930)=5,IF(LEFT(A4930,1)="3",A4930+30000,A4930))))))</f>
        <v>15059</v>
      </c>
    </row>
    <row r="4931" spans="1:14" x14ac:dyDescent="0.3">
      <c r="A4931" s="97">
        <v>15060</v>
      </c>
      <c r="B4931" s="7" t="s">
        <v>7474</v>
      </c>
      <c r="C4931" s="12">
        <v>521</v>
      </c>
      <c r="D4931" s="7" t="s">
        <v>1495</v>
      </c>
      <c r="E4931" s="13" t="s">
        <v>5097</v>
      </c>
      <c r="F4931" t="str">
        <f t="shared" si="385"/>
        <v>Windsor</v>
      </c>
      <c r="G4931" t="str">
        <f t="shared" si="386"/>
        <v>Windsor521Denton</v>
      </c>
      <c r="H4931" t="s">
        <v>35788</v>
      </c>
      <c r="I4931" t="s">
        <v>27210</v>
      </c>
      <c r="J4931" t="str">
        <f t="shared" si="387"/>
        <v>E:\PropInv\MF</v>
      </c>
      <c r="K4931" s="103" t="str">
        <f>HYPERLINK("E:\PropInv\MF\Denton\Windsor Dr E_521_Windsor Village_Denton_15060","Windsor Dr E_521_Windsor Village_Denton_15060" )</f>
        <v>Windsor Dr E_521_Windsor Village_Denton_15060</v>
      </c>
      <c r="L4931" s="104" t="s">
        <v>22253</v>
      </c>
      <c r="M4931" s="103" t="str">
        <f t="shared" si="388"/>
        <v>http://oconnordata.com/mlink/modules/profile/index.cfm?action=profile&amp;prop_id=15060</v>
      </c>
      <c r="N4931" s="1">
        <f t="shared" si="389"/>
        <v>15060</v>
      </c>
    </row>
    <row r="4932" spans="1:14" x14ac:dyDescent="0.3">
      <c r="A4932" s="1">
        <v>15063</v>
      </c>
      <c r="B4932" s="7" t="s">
        <v>6086</v>
      </c>
      <c r="C4932" s="12">
        <v>4299</v>
      </c>
      <c r="D4932" s="7" t="s">
        <v>7475</v>
      </c>
      <c r="E4932" s="13" t="s">
        <v>5046</v>
      </c>
      <c r="F4932" t="str">
        <f t="shared" si="385"/>
        <v>Pleasant</v>
      </c>
      <c r="G4932" t="str">
        <f t="shared" si="386"/>
        <v>Pleasant4299Irving</v>
      </c>
      <c r="H4932" t="s">
        <v>35789</v>
      </c>
      <c r="I4932" t="s">
        <v>27211</v>
      </c>
      <c r="J4932" t="str">
        <f t="shared" si="387"/>
        <v>E:\PropInv\MF</v>
      </c>
      <c r="K4932" s="103" t="str">
        <f>HYPERLINK("E:\PropInv\MF\Irving\Pleasant Run_4299_Vineyard_Irving_15063","Pleasant Run_4299_Vineyard_Irving_15063" )</f>
        <v>Pleasant Run_4299_Vineyard_Irving_15063</v>
      </c>
      <c r="L4932" s="104" t="s">
        <v>22253</v>
      </c>
      <c r="M4932" s="103" t="str">
        <f t="shared" si="388"/>
        <v>http://oconnordata.com/mlink/modules/profile/index.cfm?action=profile&amp;prop_id=15063</v>
      </c>
      <c r="N4932" s="1">
        <f t="shared" si="389"/>
        <v>15063</v>
      </c>
    </row>
    <row r="4933" spans="1:14" x14ac:dyDescent="0.3">
      <c r="A4933" s="97">
        <v>15064</v>
      </c>
      <c r="B4933" s="7" t="s">
        <v>7476</v>
      </c>
      <c r="C4933" s="12">
        <v>5600</v>
      </c>
      <c r="D4933" s="7" t="s">
        <v>7307</v>
      </c>
      <c r="E4933" s="13" t="s">
        <v>5014</v>
      </c>
      <c r="F4933" t="str">
        <f t="shared" si="385"/>
        <v>Cotswold</v>
      </c>
      <c r="G4933" t="str">
        <f t="shared" si="386"/>
        <v>Cotswold5600Fort Worth</v>
      </c>
      <c r="H4933" t="s">
        <v>35790</v>
      </c>
      <c r="I4933" t="s">
        <v>27212</v>
      </c>
      <c r="J4933" t="str">
        <f t="shared" si="387"/>
        <v>E:\PropInv\MF</v>
      </c>
      <c r="K4933" s="103" t="str">
        <f>HYPERLINK("E:\PropInv\MF\Fort Worth\Cotswold Hills Dr_5600_Windtree_Fort Worth_15064","Cotswold Hills Dr_5600_Windtree_Fort Worth_15064" )</f>
        <v>Cotswold Hills Dr_5600_Windtree_Fort Worth_15064</v>
      </c>
      <c r="L4933" s="104" t="s">
        <v>22253</v>
      </c>
      <c r="M4933" s="103" t="str">
        <f t="shared" si="388"/>
        <v>http://oconnordata.com/mlink/modules/profile/index.cfm?action=profile&amp;prop_id=15064</v>
      </c>
      <c r="N4933" s="1">
        <f t="shared" si="389"/>
        <v>15064</v>
      </c>
    </row>
    <row r="4934" spans="1:14" x14ac:dyDescent="0.3">
      <c r="A4934" s="1">
        <v>15065</v>
      </c>
      <c r="B4934" s="7" t="s">
        <v>6858</v>
      </c>
      <c r="C4934" s="12">
        <v>2840</v>
      </c>
      <c r="D4934" s="7" t="s">
        <v>7477</v>
      </c>
      <c r="E4934" s="13" t="s">
        <v>5014</v>
      </c>
      <c r="F4934" t="str">
        <f t="shared" si="385"/>
        <v>Las</v>
      </c>
      <c r="G4934" t="str">
        <f t="shared" si="386"/>
        <v>Las2840Fort Worth</v>
      </c>
      <c r="H4934" t="s">
        <v>35791</v>
      </c>
      <c r="I4934" t="s">
        <v>27213</v>
      </c>
      <c r="J4934" t="str">
        <f t="shared" si="387"/>
        <v>E:\PropInv\MF</v>
      </c>
      <c r="K4934" s="103" t="str">
        <f>HYPERLINK("E:\PropInv\MF\Fort Worth\Las Vegas Trl_2840_El Rancho Escondido_Fort Worth_15065","Las Vegas Trl_2840_El Rancho Escondido_Fort Worth_15065" )</f>
        <v>Las Vegas Trl_2840_El Rancho Escondido_Fort Worth_15065</v>
      </c>
      <c r="L4934" s="104" t="s">
        <v>22253</v>
      </c>
      <c r="M4934" s="103" t="str">
        <f t="shared" si="388"/>
        <v>http://oconnordata.com/mlink/modules/profile/index.cfm?action=profile&amp;prop_id=15065</v>
      </c>
      <c r="N4934" s="1">
        <f t="shared" si="389"/>
        <v>15065</v>
      </c>
    </row>
    <row r="4935" spans="1:14" x14ac:dyDescent="0.3">
      <c r="A4935" s="1">
        <v>15066</v>
      </c>
      <c r="B4935" s="7" t="s">
        <v>7478</v>
      </c>
      <c r="C4935" s="12">
        <v>3309</v>
      </c>
      <c r="D4935" s="7" t="s">
        <v>7479</v>
      </c>
      <c r="E4935" s="13" t="s">
        <v>5014</v>
      </c>
      <c r="F4935" t="str">
        <f t="shared" si="385"/>
        <v>RiveRd</v>
      </c>
      <c r="G4935" t="str">
        <f t="shared" si="386"/>
        <v>RiveRd3309Fort Worth</v>
      </c>
      <c r="H4935" t="s">
        <v>35792</v>
      </c>
      <c r="I4935" t="s">
        <v>27214</v>
      </c>
      <c r="J4935" t="str">
        <f t="shared" si="387"/>
        <v>E:\PropInv\MF</v>
      </c>
      <c r="K4935" s="103" t="str">
        <f>HYPERLINK("E:\PropInv\MF\Fort Worth\RiveRd Ct_3309_River Park_Fort Worth_15066","RiveRd Ct_3309_River Park_Fort Worth_15066" )</f>
        <v>RiveRd Ct_3309_River Park_Fort Worth_15066</v>
      </c>
      <c r="L4935" s="104" t="s">
        <v>22253</v>
      </c>
      <c r="M4935" s="103" t="str">
        <f t="shared" si="388"/>
        <v>http://oconnordata.com/mlink/modules/profile/index.cfm?action=profile&amp;prop_id=15066</v>
      </c>
      <c r="N4935" s="1">
        <f t="shared" si="389"/>
        <v>15066</v>
      </c>
    </row>
    <row r="4936" spans="1:14" x14ac:dyDescent="0.3">
      <c r="A4936" s="1">
        <v>15067</v>
      </c>
      <c r="B4936" s="7" t="s">
        <v>6880</v>
      </c>
      <c r="C4936" s="12">
        <v>5400</v>
      </c>
      <c r="D4936" s="7" t="s">
        <v>7480</v>
      </c>
      <c r="E4936" s="13" t="s">
        <v>5014</v>
      </c>
      <c r="F4936" t="str">
        <f t="shared" si="385"/>
        <v>Boca</v>
      </c>
      <c r="G4936" t="str">
        <f t="shared" si="386"/>
        <v>Boca5400Fort Worth</v>
      </c>
      <c r="H4936" t="s">
        <v>35793</v>
      </c>
      <c r="I4936" t="s">
        <v>27215</v>
      </c>
      <c r="J4936" t="str">
        <f t="shared" si="387"/>
        <v>E:\PropInv\MF</v>
      </c>
      <c r="K4936" s="103" t="str">
        <f>HYPERLINK("E:\PropInv\MF\Fort Worth\Boca Raton_5400_Hillside View Apts_Fort Worth_15067","Boca Raton_5400_Hillside View Apts_Fort Worth_15067" )</f>
        <v>Boca Raton_5400_Hillside View Apts_Fort Worth_15067</v>
      </c>
      <c r="L4936" s="104" t="s">
        <v>22253</v>
      </c>
      <c r="M4936" s="103" t="str">
        <f t="shared" si="388"/>
        <v>http://oconnordata.com/mlink/modules/profile/index.cfm?action=profile&amp;prop_id=15067</v>
      </c>
      <c r="N4936" s="1">
        <f t="shared" si="389"/>
        <v>15067</v>
      </c>
    </row>
    <row r="4937" spans="1:14" x14ac:dyDescent="0.3">
      <c r="A4937" s="1">
        <v>15068</v>
      </c>
      <c r="B4937" s="7" t="s">
        <v>5579</v>
      </c>
      <c r="C4937" s="12">
        <v>5923</v>
      </c>
      <c r="D4937" s="7" t="s">
        <v>7481</v>
      </c>
      <c r="E4937" s="13" t="s">
        <v>4996</v>
      </c>
      <c r="F4937" t="str">
        <f t="shared" si="385"/>
        <v>Gaston</v>
      </c>
      <c r="G4937" t="str">
        <f t="shared" si="386"/>
        <v>Gaston5923Dallas</v>
      </c>
      <c r="H4937" t="s">
        <v>35794</v>
      </c>
      <c r="I4937" t="s">
        <v>27216</v>
      </c>
      <c r="J4937" t="str">
        <f t="shared" si="387"/>
        <v>E:\PropInv\MF</v>
      </c>
      <c r="K4937" s="103" t="str">
        <f>HYPERLINK("E:\PropInv\MF\Dallas\Gaston_5923_Verandahs at White Rock_Dallas_15068","Gaston_5923_Verandahs at White Rock_Dallas_15068" )</f>
        <v>Gaston_5923_Verandahs at White Rock_Dallas_15068</v>
      </c>
      <c r="L4937" s="104" t="s">
        <v>22253</v>
      </c>
      <c r="M4937" s="103" t="str">
        <f t="shared" si="388"/>
        <v>http://oconnordata.com/mlink/modules/profile/index.cfm?action=profile&amp;prop_id=15068</v>
      </c>
      <c r="N4937" s="1">
        <f t="shared" si="389"/>
        <v>15068</v>
      </c>
    </row>
    <row r="4938" spans="1:14" x14ac:dyDescent="0.3">
      <c r="A4938" s="1">
        <v>15071</v>
      </c>
      <c r="B4938" s="7" t="s">
        <v>7482</v>
      </c>
      <c r="C4938" s="12">
        <v>2201</v>
      </c>
      <c r="D4938" s="7" t="s">
        <v>7483</v>
      </c>
      <c r="E4938" s="13" t="s">
        <v>5055</v>
      </c>
      <c r="F4938" t="str">
        <f t="shared" si="385"/>
        <v>Rockbrook</v>
      </c>
      <c r="G4938" t="str">
        <f t="shared" si="386"/>
        <v>Rockbrook2201Lewisville</v>
      </c>
      <c r="H4938" t="s">
        <v>35795</v>
      </c>
      <c r="I4938" t="s">
        <v>27217</v>
      </c>
      <c r="J4938" t="str">
        <f t="shared" si="387"/>
        <v>E:\PropInv\MF</v>
      </c>
      <c r="K4938" s="103" t="str">
        <f>HYPERLINK("E:\PropInv\MF\Lewisville\Rockbrook Dr_2201_Rockbrook Village_Lewisville_15071","Rockbrook Dr_2201_Rockbrook Village_Lewisville_15071" )</f>
        <v>Rockbrook Dr_2201_Rockbrook Village_Lewisville_15071</v>
      </c>
      <c r="L4938" s="104" t="s">
        <v>22253</v>
      </c>
      <c r="M4938" s="103" t="str">
        <f t="shared" si="388"/>
        <v>http://oconnordata.com/mlink/modules/profile/index.cfm?action=profile&amp;prop_id=15071</v>
      </c>
      <c r="N4938" s="1">
        <f t="shared" si="389"/>
        <v>15071</v>
      </c>
    </row>
    <row r="4939" spans="1:14" x14ac:dyDescent="0.3">
      <c r="A4939" s="1">
        <v>15072</v>
      </c>
      <c r="B4939" s="7" t="s">
        <v>4889</v>
      </c>
      <c r="C4939" s="12">
        <v>2803</v>
      </c>
      <c r="D4939" s="7" t="s">
        <v>7484</v>
      </c>
      <c r="E4939" s="13" t="s">
        <v>4996</v>
      </c>
      <c r="F4939" t="str">
        <f t="shared" si="385"/>
        <v>Cole</v>
      </c>
      <c r="G4939" t="str">
        <f t="shared" si="386"/>
        <v>Cole2803Dallas</v>
      </c>
      <c r="H4939" t="s">
        <v>35796</v>
      </c>
      <c r="I4939" t="s">
        <v>27218</v>
      </c>
      <c r="J4939" t="str">
        <f t="shared" si="387"/>
        <v>E:\PropInv\MF</v>
      </c>
      <c r="K4939" s="103" t="str">
        <f>HYPERLINK("E:\PropInv\MF\Dallas\Cole Ave_2803_Post Vintage_Dallas_15072","Cole Ave_2803_Post Vintage_Dallas_15072" )</f>
        <v>Cole Ave_2803_Post Vintage_Dallas_15072</v>
      </c>
      <c r="L4939" s="104" t="s">
        <v>22253</v>
      </c>
      <c r="M4939" s="103" t="str">
        <f t="shared" si="388"/>
        <v>http://oconnordata.com/mlink/modules/profile/index.cfm?action=profile&amp;prop_id=15072</v>
      </c>
      <c r="N4939" s="1">
        <f t="shared" si="389"/>
        <v>15072</v>
      </c>
    </row>
    <row r="4940" spans="1:14" x14ac:dyDescent="0.3">
      <c r="A4940" s="97">
        <v>15073</v>
      </c>
      <c r="B4940" s="7" t="s">
        <v>7209</v>
      </c>
      <c r="C4940" s="12">
        <v>1408</v>
      </c>
      <c r="D4940" s="7" t="s">
        <v>1504</v>
      </c>
      <c r="E4940" s="13" t="s">
        <v>5097</v>
      </c>
      <c r="F4940" t="str">
        <f t="shared" si="385"/>
        <v>Teasley</v>
      </c>
      <c r="G4940" t="str">
        <f t="shared" si="386"/>
        <v>Teasley1408Denton</v>
      </c>
      <c r="H4940" t="s">
        <v>35797</v>
      </c>
      <c r="I4940" t="s">
        <v>27219</v>
      </c>
      <c r="J4940" t="str">
        <f t="shared" si="387"/>
        <v>E:\PropInv\MF</v>
      </c>
      <c r="K4940" s="103" t="str">
        <f>HYPERLINK("E:\PropInv\MF\Denton\Teasley Ln_1408_Woodhill_Denton_15073","Teasley Ln_1408_Woodhill_Denton_15073" )</f>
        <v>Teasley Ln_1408_Woodhill_Denton_15073</v>
      </c>
      <c r="L4940" s="104" t="s">
        <v>22253</v>
      </c>
      <c r="M4940" s="103" t="str">
        <f t="shared" si="388"/>
        <v>http://oconnordata.com/mlink/modules/profile/index.cfm?action=profile&amp;prop_id=15073</v>
      </c>
      <c r="N4940" s="1">
        <f t="shared" si="389"/>
        <v>15073</v>
      </c>
    </row>
    <row r="4941" spans="1:14" x14ac:dyDescent="0.3">
      <c r="A4941" s="1">
        <v>15074</v>
      </c>
      <c r="B4941" s="7" t="s">
        <v>7485</v>
      </c>
      <c r="C4941" s="12">
        <v>1525</v>
      </c>
      <c r="D4941" s="7" t="s">
        <v>7486</v>
      </c>
      <c r="E4941" s="13" t="s">
        <v>5014</v>
      </c>
      <c r="F4941" t="str">
        <f t="shared" si="385"/>
        <v>Sandy</v>
      </c>
      <c r="G4941" t="str">
        <f t="shared" si="386"/>
        <v>Sandy1525Fort Worth</v>
      </c>
      <c r="H4941" t="s">
        <v>35798</v>
      </c>
      <c r="I4941" t="s">
        <v>27220</v>
      </c>
      <c r="J4941" t="str">
        <f t="shared" si="387"/>
        <v>E:\PropInv\MF</v>
      </c>
      <c r="K4941" s="103" t="str">
        <f>HYPERLINK("E:\PropInv\MF\Fort Worth\Sandy Ln_1525_Sandy Oaks_Fort Worth_15074","Sandy Ln_1525_Sandy Oaks_Fort Worth_15074" )</f>
        <v>Sandy Ln_1525_Sandy Oaks_Fort Worth_15074</v>
      </c>
      <c r="L4941" s="104" t="s">
        <v>22253</v>
      </c>
      <c r="M4941" s="103" t="str">
        <f t="shared" si="388"/>
        <v>http://oconnordata.com/mlink/modules/profile/index.cfm?action=profile&amp;prop_id=15074</v>
      </c>
      <c r="N4941" s="1">
        <f t="shared" si="389"/>
        <v>15074</v>
      </c>
    </row>
    <row r="4942" spans="1:14" x14ac:dyDescent="0.3">
      <c r="A4942" s="1">
        <v>15075</v>
      </c>
      <c r="B4942" s="7" t="s">
        <v>7487</v>
      </c>
      <c r="C4942" s="12">
        <v>6200</v>
      </c>
      <c r="D4942" s="7" t="s">
        <v>7488</v>
      </c>
      <c r="E4942" s="13" t="s">
        <v>5014</v>
      </c>
      <c r="F4942" t="str">
        <f t="shared" si="385"/>
        <v>Pershing</v>
      </c>
      <c r="G4942" t="str">
        <f t="shared" si="386"/>
        <v>Pershing6200Fort Worth</v>
      </c>
      <c r="H4942" t="s">
        <v>35799</v>
      </c>
      <c r="I4942" t="s">
        <v>27221</v>
      </c>
      <c r="J4942" t="str">
        <f t="shared" si="387"/>
        <v>E:\PropInv\MF</v>
      </c>
      <c r="K4942" s="103" t="str">
        <f>HYPERLINK("E:\PropInv\MF\Fort Worth\Pershing Ave_6200_The Place at Westover Hills_Fort Worth_15075","Pershing Ave_6200_The Place at Westover Hills_Fort Worth_15075" )</f>
        <v>Pershing Ave_6200_The Place at Westover Hills_Fort Worth_15075</v>
      </c>
      <c r="L4942" s="104" t="s">
        <v>22253</v>
      </c>
      <c r="M4942" s="103" t="str">
        <f t="shared" si="388"/>
        <v>http://oconnordata.com/mlink/modules/profile/index.cfm?action=profile&amp;prop_id=15075</v>
      </c>
      <c r="N4942" s="1">
        <f t="shared" si="389"/>
        <v>15075</v>
      </c>
    </row>
    <row r="4943" spans="1:14" x14ac:dyDescent="0.3">
      <c r="A4943" s="1">
        <v>15076</v>
      </c>
      <c r="B4943" s="7" t="s">
        <v>7489</v>
      </c>
      <c r="C4943" s="12">
        <v>1130</v>
      </c>
      <c r="D4943" s="7" t="s">
        <v>1685</v>
      </c>
      <c r="E4943" s="13" t="s">
        <v>4996</v>
      </c>
      <c r="F4943" t="str">
        <f t="shared" si="385"/>
        <v>Ledbetter</v>
      </c>
      <c r="G4943" t="str">
        <f t="shared" si="386"/>
        <v>Ledbetter1130Dallas</v>
      </c>
      <c r="H4943" t="s">
        <v>35800</v>
      </c>
      <c r="I4943" t="s">
        <v>27222</v>
      </c>
      <c r="J4943" t="str">
        <f t="shared" si="387"/>
        <v>E:\PropInv\MF</v>
      </c>
      <c r="K4943" s="103" t="str">
        <f>HYPERLINK("E:\PropInv\MF\Dallas\Ledbetter Dr E_1130_Terrace Hills_Dallas_15076","Ledbetter Dr E_1130_Terrace Hills_Dallas_15076" )</f>
        <v>Ledbetter Dr E_1130_Terrace Hills_Dallas_15076</v>
      </c>
      <c r="L4943" s="104" t="s">
        <v>22253</v>
      </c>
      <c r="M4943" s="103" t="str">
        <f t="shared" si="388"/>
        <v>http://oconnordata.com/mlink/modules/profile/index.cfm?action=profile&amp;prop_id=15076</v>
      </c>
      <c r="N4943" s="1">
        <f t="shared" si="389"/>
        <v>15076</v>
      </c>
    </row>
    <row r="4944" spans="1:14" x14ac:dyDescent="0.3">
      <c r="A4944" s="1">
        <v>15077</v>
      </c>
      <c r="B4944" s="7" t="s">
        <v>6628</v>
      </c>
      <c r="C4944" s="12">
        <v>8551</v>
      </c>
      <c r="D4944" s="7" t="s">
        <v>7490</v>
      </c>
      <c r="E4944" s="13" t="s">
        <v>5014</v>
      </c>
      <c r="F4944" t="str">
        <f t="shared" si="385"/>
        <v>Ederville</v>
      </c>
      <c r="G4944" t="str">
        <f t="shared" si="386"/>
        <v>Ederville8551Fort Worth</v>
      </c>
      <c r="H4944" t="s">
        <v>35801</v>
      </c>
      <c r="I4944" t="s">
        <v>27223</v>
      </c>
      <c r="J4944" t="str">
        <f t="shared" si="387"/>
        <v>E:\PropInv\MF</v>
      </c>
      <c r="K4944" s="103" t="str">
        <f>HYPERLINK("E:\PropInv\MF\Fort Worth\Ederville Rd_8551_The Woods Of Eastchase_Fort Worth_15077","Ederville Rd_8551_The Woods Of Eastchase_Fort Worth_15077" )</f>
        <v>Ederville Rd_8551_The Woods Of Eastchase_Fort Worth_15077</v>
      </c>
      <c r="L4944" s="104" t="s">
        <v>22253</v>
      </c>
      <c r="M4944" s="103" t="str">
        <f t="shared" si="388"/>
        <v>http://oconnordata.com/mlink/modules/profile/index.cfm?action=profile&amp;prop_id=15077</v>
      </c>
      <c r="N4944" s="1">
        <f t="shared" si="389"/>
        <v>15077</v>
      </c>
    </row>
    <row r="4945" spans="1:14" x14ac:dyDescent="0.3">
      <c r="A4945" s="1">
        <v>15078</v>
      </c>
      <c r="B4945" s="7" t="s">
        <v>7491</v>
      </c>
      <c r="C4945" s="12">
        <v>5619</v>
      </c>
      <c r="D4945" s="7" t="s">
        <v>7492</v>
      </c>
      <c r="E4945" s="13" t="s">
        <v>4996</v>
      </c>
      <c r="F4945" t="str">
        <f t="shared" si="385"/>
        <v>Belmont</v>
      </c>
      <c r="G4945" t="str">
        <f t="shared" si="386"/>
        <v>Belmont5619Dallas</v>
      </c>
      <c r="H4945" t="s">
        <v>35802</v>
      </c>
      <c r="I4945" t="s">
        <v>27224</v>
      </c>
      <c r="J4945" t="str">
        <f t="shared" si="387"/>
        <v>E:\PropInv\MF</v>
      </c>
      <c r="K4945" s="103" t="str">
        <f>HYPERLINK("E:\PropInv\MF\Dallas\Belmont_5619_Vickory Tower at Belmont_Dallas_15078","Belmont_5619_Vickory Tower at Belmont_Dallas_15078" )</f>
        <v>Belmont_5619_Vickory Tower at Belmont_Dallas_15078</v>
      </c>
      <c r="L4945" s="104" t="s">
        <v>22253</v>
      </c>
      <c r="M4945" s="103" t="str">
        <f t="shared" si="388"/>
        <v>http://oconnordata.com/mlink/modules/profile/index.cfm?action=profile&amp;prop_id=15078</v>
      </c>
      <c r="N4945" s="1">
        <f t="shared" si="389"/>
        <v>15078</v>
      </c>
    </row>
    <row r="4946" spans="1:14" x14ac:dyDescent="0.3">
      <c r="A4946" s="97">
        <v>15079</v>
      </c>
      <c r="B4946" s="7" t="s">
        <v>6675</v>
      </c>
      <c r="C4946" s="9">
        <v>9201</v>
      </c>
      <c r="D4946" s="10" t="s">
        <v>1504</v>
      </c>
      <c r="E4946" s="11" t="s">
        <v>5014</v>
      </c>
      <c r="F4946" t="str">
        <f t="shared" si="385"/>
        <v>Normandale</v>
      </c>
      <c r="G4946" t="str">
        <f t="shared" si="386"/>
        <v>Normandale9201Fort Worth</v>
      </c>
      <c r="H4946" t="s">
        <v>35803</v>
      </c>
      <c r="I4946" t="s">
        <v>27225</v>
      </c>
      <c r="J4946" t="str">
        <f t="shared" si="387"/>
        <v>E:\PropInv\MF</v>
      </c>
      <c r="K4946" s="103" t="str">
        <f>HYPERLINK("E:\PropInv\MF\Fort Worth\Normandale N_9201_Woodhill_Fort Worth_15079","Normandale N_9201_Woodhill_Fort Worth_15079" )</f>
        <v>Normandale N_9201_Woodhill_Fort Worth_15079</v>
      </c>
      <c r="L4946" s="104" t="s">
        <v>22253</v>
      </c>
      <c r="M4946" s="103" t="str">
        <f t="shared" si="388"/>
        <v>http://oconnordata.com/mlink/modules/profile/index.cfm?action=profile&amp;prop_id=15079</v>
      </c>
      <c r="N4946" s="1">
        <f t="shared" si="389"/>
        <v>15079</v>
      </c>
    </row>
    <row r="4947" spans="1:14" x14ac:dyDescent="0.3">
      <c r="A4947" s="1">
        <v>15080</v>
      </c>
      <c r="B4947" s="7" t="s">
        <v>7493</v>
      </c>
      <c r="C4947" s="12">
        <v>7501</v>
      </c>
      <c r="D4947" s="7" t="s">
        <v>7494</v>
      </c>
      <c r="E4947" s="13" t="s">
        <v>5014</v>
      </c>
      <c r="F4947" t="str">
        <f t="shared" si="385"/>
        <v>Kingswood</v>
      </c>
      <c r="G4947" t="str">
        <f t="shared" si="386"/>
        <v>Kingswood7501Fort Worth</v>
      </c>
      <c r="H4947" t="s">
        <v>35804</v>
      </c>
      <c r="I4947" t="s">
        <v>27226</v>
      </c>
      <c r="J4947" t="str">
        <f t="shared" si="387"/>
        <v>E:\PropInv\MF</v>
      </c>
      <c r="K4947" s="103" t="str">
        <f>HYPERLINK("E:\PropInv\MF\Fort Worth\Kingswood Dr_7501_The Savoy_Fort Worth_15080","Kingswood Dr_7501_The Savoy_Fort Worth_15080" )</f>
        <v>Kingswood Dr_7501_The Savoy_Fort Worth_15080</v>
      </c>
      <c r="L4947" s="104" t="s">
        <v>22253</v>
      </c>
      <c r="M4947" s="103" t="str">
        <f t="shared" si="388"/>
        <v>http://oconnordata.com/mlink/modules/profile/index.cfm?action=profile&amp;prop_id=15080</v>
      </c>
      <c r="N4947" s="1">
        <f t="shared" si="389"/>
        <v>15080</v>
      </c>
    </row>
    <row r="4948" spans="1:14" x14ac:dyDescent="0.3">
      <c r="A4948" s="97">
        <v>15081</v>
      </c>
      <c r="B4948" s="7" t="s">
        <v>7495</v>
      </c>
      <c r="C4948" s="12">
        <v>1404</v>
      </c>
      <c r="D4948" s="7" t="s">
        <v>6877</v>
      </c>
      <c r="E4948" s="13" t="s">
        <v>5014</v>
      </c>
      <c r="F4948" t="str">
        <f t="shared" si="385"/>
        <v>Weiler</v>
      </c>
      <c r="G4948" t="str">
        <f t="shared" si="386"/>
        <v>Weiler1404Fort Worth</v>
      </c>
      <c r="H4948" t="s">
        <v>35805</v>
      </c>
      <c r="I4948" t="s">
        <v>27227</v>
      </c>
      <c r="J4948" t="str">
        <f t="shared" si="387"/>
        <v>E:\PropInv\MF</v>
      </c>
      <c r="K4948" s="103" t="str">
        <f>HYPERLINK("E:\PropInv\MF\Fort Worth\Weiler Blvd_1404_Woodlake_Fort Worth_15081","Weiler Blvd_1404_Woodlake_Fort Worth_15081" )</f>
        <v>Weiler Blvd_1404_Woodlake_Fort Worth_15081</v>
      </c>
      <c r="L4948" s="104" t="s">
        <v>22253</v>
      </c>
      <c r="M4948" s="103" t="str">
        <f t="shared" si="388"/>
        <v>http://oconnordata.com/mlink/modules/profile/index.cfm?action=profile&amp;prop_id=15081</v>
      </c>
      <c r="N4948" s="1">
        <f t="shared" si="389"/>
        <v>15081</v>
      </c>
    </row>
    <row r="4949" spans="1:14" x14ac:dyDescent="0.3">
      <c r="A4949" s="1">
        <v>15083</v>
      </c>
      <c r="B4949" s="7" t="s">
        <v>5101</v>
      </c>
      <c r="C4949" s="12">
        <v>3435</v>
      </c>
      <c r="D4949" s="7" t="s">
        <v>3422</v>
      </c>
      <c r="E4949" s="13" t="s">
        <v>4996</v>
      </c>
      <c r="F4949" t="str">
        <f t="shared" si="385"/>
        <v>Webb</v>
      </c>
      <c r="G4949" t="str">
        <f t="shared" si="386"/>
        <v>Webb3435Dallas</v>
      </c>
      <c r="H4949" t="s">
        <v>35806</v>
      </c>
      <c r="I4949" t="s">
        <v>27228</v>
      </c>
      <c r="J4949" t="str">
        <f t="shared" si="387"/>
        <v>E:\PropInv\MF</v>
      </c>
      <c r="K4949" s="103" t="str">
        <f>HYPERLINK("E:\PropInv\MF\Dallas\Webb Chapel Extension_3435_Victorian_Dallas_15083","Webb Chapel Extension_3435_Victorian_Dallas_15083" )</f>
        <v>Webb Chapel Extension_3435_Victorian_Dallas_15083</v>
      </c>
      <c r="L4949" s="104" t="s">
        <v>22253</v>
      </c>
      <c r="M4949" s="103" t="str">
        <f t="shared" si="388"/>
        <v>http://oconnordata.com/mlink/modules/profile/index.cfm?action=profile&amp;prop_id=15083</v>
      </c>
      <c r="N4949" s="1">
        <f t="shared" si="389"/>
        <v>15083</v>
      </c>
    </row>
    <row r="4950" spans="1:14" x14ac:dyDescent="0.3">
      <c r="A4950" s="1">
        <v>15085</v>
      </c>
      <c r="B4950" s="7" t="s">
        <v>7496</v>
      </c>
      <c r="C4950" s="12">
        <v>1401</v>
      </c>
      <c r="D4950" s="7" t="s">
        <v>7497</v>
      </c>
      <c r="E4950" s="13" t="s">
        <v>5014</v>
      </c>
      <c r="F4950" t="str">
        <f t="shared" si="385"/>
        <v>Morrison</v>
      </c>
      <c r="G4950" t="str">
        <f t="shared" si="386"/>
        <v>Morrison1401Fort Worth</v>
      </c>
      <c r="H4950" t="s">
        <v>35807</v>
      </c>
      <c r="I4950" t="s">
        <v>27229</v>
      </c>
      <c r="J4950" t="str">
        <f t="shared" si="387"/>
        <v>E:\PropInv\MF</v>
      </c>
      <c r="K4950" s="103" t="str">
        <f>HYPERLINK("E:\PropInv\MF\Fort Worth\Morrison_1401_Sahara Palms_Fort Worth_15085","Morrison_1401_Sahara Palms_Fort Worth_15085" )</f>
        <v>Morrison_1401_Sahara Palms_Fort Worth_15085</v>
      </c>
      <c r="L4950" s="104" t="s">
        <v>22253</v>
      </c>
      <c r="M4950" s="103" t="str">
        <f t="shared" si="388"/>
        <v>http://oconnordata.com/mlink/modules/profile/index.cfm?action=profile&amp;prop_id=15085</v>
      </c>
      <c r="N4950" s="1">
        <f t="shared" si="389"/>
        <v>15085</v>
      </c>
    </row>
    <row r="4951" spans="1:14" x14ac:dyDescent="0.3">
      <c r="A4951" s="1">
        <v>15086</v>
      </c>
      <c r="B4951" s="7" t="s">
        <v>6863</v>
      </c>
      <c r="C4951" s="12">
        <v>8300</v>
      </c>
      <c r="D4951" s="7" t="s">
        <v>7498</v>
      </c>
      <c r="E4951" s="13" t="s">
        <v>5014</v>
      </c>
      <c r="F4951" t="str">
        <f t="shared" si="385"/>
        <v>Calmont</v>
      </c>
      <c r="G4951" t="str">
        <f t="shared" si="386"/>
        <v>Calmont8300Fort Worth</v>
      </c>
      <c r="H4951" t="s">
        <v>35808</v>
      </c>
      <c r="I4951" t="s">
        <v>27230</v>
      </c>
      <c r="J4951" t="str">
        <f t="shared" si="387"/>
        <v>E:\PropInv\MF</v>
      </c>
      <c r="K4951" s="103" t="str">
        <f>HYPERLINK("E:\PropInv\MF\Fort Worth\Calmont_8300_Serrano_Fort Worth_15086","Calmont_8300_Serrano_Fort Worth_15086" )</f>
        <v>Calmont_8300_Serrano_Fort Worth_15086</v>
      </c>
      <c r="L4951" s="104" t="s">
        <v>22253</v>
      </c>
      <c r="M4951" s="103" t="str">
        <f t="shared" si="388"/>
        <v>http://oconnordata.com/mlink/modules/profile/index.cfm?action=profile&amp;prop_id=15086</v>
      </c>
      <c r="N4951" s="1">
        <f t="shared" si="389"/>
        <v>15086</v>
      </c>
    </row>
    <row r="4952" spans="1:14" x14ac:dyDescent="0.3">
      <c r="A4952" s="1">
        <v>15088</v>
      </c>
      <c r="B4952" s="7" t="s">
        <v>6858</v>
      </c>
      <c r="C4952" s="12">
        <v>2800</v>
      </c>
      <c r="D4952" s="7" t="s">
        <v>5933</v>
      </c>
      <c r="E4952" s="13" t="s">
        <v>5014</v>
      </c>
      <c r="F4952" t="str">
        <f t="shared" si="385"/>
        <v>Las</v>
      </c>
      <c r="G4952" t="str">
        <f t="shared" si="386"/>
        <v>Las2800Fort Worth</v>
      </c>
      <c r="H4952" t="s">
        <v>35809</v>
      </c>
      <c r="I4952" t="s">
        <v>27231</v>
      </c>
      <c r="J4952" t="str">
        <f t="shared" si="387"/>
        <v>E:\PropInv\MF</v>
      </c>
      <c r="K4952" s="103" t="str">
        <f>HYPERLINK("E:\PropInv\MF\Fort Worth\Las Vegas Trl_2800_Miramonte_Fort Worth_15088","Las Vegas Trl_2800_Miramonte_Fort Worth_15088" )</f>
        <v>Las Vegas Trl_2800_Miramonte_Fort Worth_15088</v>
      </c>
      <c r="L4952" s="104" t="s">
        <v>22253</v>
      </c>
      <c r="M4952" s="103" t="str">
        <f t="shared" si="388"/>
        <v>http://oconnordata.com/mlink/modules/profile/index.cfm?action=profile&amp;prop_id=15088</v>
      </c>
      <c r="N4952" s="1">
        <f t="shared" si="389"/>
        <v>15088</v>
      </c>
    </row>
    <row r="4953" spans="1:14" x14ac:dyDescent="0.3">
      <c r="A4953" s="1">
        <v>15093</v>
      </c>
      <c r="B4953" s="7" t="s">
        <v>7427</v>
      </c>
      <c r="C4953" s="12">
        <v>7040</v>
      </c>
      <c r="D4953" s="7" t="s">
        <v>1508</v>
      </c>
      <c r="E4953" s="13" t="s">
        <v>5014</v>
      </c>
      <c r="F4953" t="str">
        <f t="shared" si="385"/>
        <v>John</v>
      </c>
      <c r="G4953" t="str">
        <f t="shared" si="386"/>
        <v>John7040Fort Worth</v>
      </c>
      <c r="H4953" t="s">
        <v>35810</v>
      </c>
      <c r="I4953" t="s">
        <v>27232</v>
      </c>
      <c r="J4953" t="str">
        <f t="shared" si="387"/>
        <v>E:\PropInv\MF</v>
      </c>
      <c r="K4953" s="103" t="str">
        <f>HYPERLINK("E:\PropInv\MF\Fort Worth\John T. White_7040_The Woodlands_Fort Worth_15093","John T. White_7040_The Woodlands_Fort Worth_15093" )</f>
        <v>John T. White_7040_The Woodlands_Fort Worth_15093</v>
      </c>
      <c r="L4953" s="104" t="s">
        <v>22253</v>
      </c>
      <c r="M4953" s="103" t="str">
        <f t="shared" si="388"/>
        <v>http://oconnordata.com/mlink/modules/profile/index.cfm?action=profile&amp;prop_id=15093</v>
      </c>
      <c r="N4953" s="1">
        <f t="shared" si="389"/>
        <v>15093</v>
      </c>
    </row>
    <row r="4954" spans="1:14" x14ac:dyDescent="0.3">
      <c r="A4954" s="1">
        <v>15099</v>
      </c>
      <c r="B4954" s="7" t="s">
        <v>7427</v>
      </c>
      <c r="C4954" s="12">
        <v>8515</v>
      </c>
      <c r="D4954" s="7" t="s">
        <v>7499</v>
      </c>
      <c r="E4954" s="13" t="s">
        <v>5014</v>
      </c>
      <c r="F4954" t="str">
        <f t="shared" si="385"/>
        <v>John</v>
      </c>
      <c r="G4954" t="str">
        <f t="shared" si="386"/>
        <v>John8515Fort Worth</v>
      </c>
      <c r="H4954" t="s">
        <v>35811</v>
      </c>
      <c r="I4954" t="s">
        <v>27233</v>
      </c>
      <c r="J4954" t="str">
        <f t="shared" si="387"/>
        <v>E:\PropInv\MF</v>
      </c>
      <c r="K4954" s="103" t="str">
        <f>HYPERLINK("E:\PropInv\MF\Fort Worth\John T. White_8515_Silver Leaf Villas_Fort Worth_15099","John T. White_8515_Silver Leaf Villas_Fort Worth_15099" )</f>
        <v>John T. White_8515_Silver Leaf Villas_Fort Worth_15099</v>
      </c>
      <c r="L4954" s="104" t="s">
        <v>22253</v>
      </c>
      <c r="M4954" s="103" t="str">
        <f t="shared" si="388"/>
        <v>http://oconnordata.com/mlink/modules/profile/index.cfm?action=profile&amp;prop_id=15099</v>
      </c>
      <c r="N4954" s="1">
        <f t="shared" si="389"/>
        <v>15099</v>
      </c>
    </row>
    <row r="4955" spans="1:14" x14ac:dyDescent="0.3">
      <c r="A4955" s="1">
        <v>15102</v>
      </c>
      <c r="B4955" s="7" t="s">
        <v>6190</v>
      </c>
      <c r="C4955" s="12">
        <v>1000</v>
      </c>
      <c r="D4955" s="7" t="s">
        <v>6464</v>
      </c>
      <c r="E4955" s="13" t="s">
        <v>5046</v>
      </c>
      <c r="F4955" t="str">
        <f t="shared" si="385"/>
        <v>Rochelle</v>
      </c>
      <c r="G4955" t="str">
        <f t="shared" si="386"/>
        <v>Rochelle1000Irving</v>
      </c>
      <c r="H4955" t="s">
        <v>35812</v>
      </c>
      <c r="I4955" t="s">
        <v>27234</v>
      </c>
      <c r="J4955" t="str">
        <f t="shared" si="387"/>
        <v>E:\PropInv\MF</v>
      </c>
      <c r="K4955" s="103" t="str">
        <f>HYPERLINK("E:\PropInv\MF\Irving\Rochelle W_1000_Waterford Court_Irving_15102","Rochelle W_1000_Waterford Court_Irving_15102" )</f>
        <v>Rochelle W_1000_Waterford Court_Irving_15102</v>
      </c>
      <c r="L4955" s="104" t="s">
        <v>22253</v>
      </c>
      <c r="M4955" s="103" t="str">
        <f t="shared" si="388"/>
        <v>http://oconnordata.com/mlink/modules/profile/index.cfm?action=profile&amp;prop_id=15102</v>
      </c>
      <c r="N4955" s="1">
        <f t="shared" si="389"/>
        <v>15102</v>
      </c>
    </row>
    <row r="4956" spans="1:14" x14ac:dyDescent="0.3">
      <c r="A4956" s="1">
        <v>15103</v>
      </c>
      <c r="B4956" s="7" t="s">
        <v>7500</v>
      </c>
      <c r="C4956" s="12">
        <v>1212</v>
      </c>
      <c r="D4956" s="7" t="s">
        <v>7501</v>
      </c>
      <c r="E4956" s="13" t="s">
        <v>5014</v>
      </c>
      <c r="F4956" t="str">
        <f t="shared" si="385"/>
        <v>Glen</v>
      </c>
      <c r="G4956" t="str">
        <f t="shared" si="386"/>
        <v>Glen1212Fort Worth</v>
      </c>
      <c r="H4956" t="s">
        <v>35813</v>
      </c>
      <c r="I4956" t="s">
        <v>27235</v>
      </c>
      <c r="J4956" t="str">
        <f t="shared" si="387"/>
        <v>E:\PropInv\MF</v>
      </c>
      <c r="K4956" s="103" t="str">
        <f>HYPERLINK("E:\PropInv\MF\Fort Worth\Glen Garden Dr_1212_La Acienda Gardens_Fort Worth_15103","Glen Garden Dr_1212_La Acienda Gardens_Fort Worth_15103" )</f>
        <v>Glen Garden Dr_1212_La Acienda Gardens_Fort Worth_15103</v>
      </c>
      <c r="L4956" s="104" t="s">
        <v>22253</v>
      </c>
      <c r="M4956" s="103" t="str">
        <f t="shared" si="388"/>
        <v>http://oconnordata.com/mlink/modules/profile/index.cfm?action=profile&amp;prop_id=15103</v>
      </c>
      <c r="N4956" s="1">
        <f t="shared" si="389"/>
        <v>15103</v>
      </c>
    </row>
    <row r="4957" spans="1:14" x14ac:dyDescent="0.3">
      <c r="A4957" s="1">
        <v>15104</v>
      </c>
      <c r="B4957" s="7" t="s">
        <v>5550</v>
      </c>
      <c r="C4957" s="12">
        <v>2838</v>
      </c>
      <c r="D4957" s="7" t="s">
        <v>7502</v>
      </c>
      <c r="E4957" s="13" t="s">
        <v>4996</v>
      </c>
      <c r="F4957" t="str">
        <f t="shared" si="385"/>
        <v>Royal</v>
      </c>
      <c r="G4957" t="str">
        <f t="shared" si="386"/>
        <v>Royal2838Dallas</v>
      </c>
      <c r="H4957" t="s">
        <v>35814</v>
      </c>
      <c r="I4957" t="s">
        <v>27236</v>
      </c>
      <c r="J4957" t="str">
        <f t="shared" si="387"/>
        <v>E:\PropInv\MF</v>
      </c>
      <c r="K4957" s="103" t="str">
        <f>HYPERLINK("E:\PropInv\MF\Dallas\Royal Ln_2838_Spanish Gardens_Dallas_15104","Royal Ln_2838_Spanish Gardens_Dallas_15104" )</f>
        <v>Royal Ln_2838_Spanish Gardens_Dallas_15104</v>
      </c>
      <c r="L4957" s="104" t="s">
        <v>22253</v>
      </c>
      <c r="M4957" s="103" t="str">
        <f t="shared" si="388"/>
        <v>http://oconnordata.com/mlink/modules/profile/index.cfm?action=profile&amp;prop_id=15104</v>
      </c>
      <c r="N4957" s="1">
        <f t="shared" si="389"/>
        <v>15104</v>
      </c>
    </row>
    <row r="4958" spans="1:14" x14ac:dyDescent="0.3">
      <c r="A4958" s="1">
        <v>15105</v>
      </c>
      <c r="B4958" s="7" t="s">
        <v>6009</v>
      </c>
      <c r="C4958" s="12">
        <v>5301</v>
      </c>
      <c r="D4958" s="7" t="s">
        <v>7503</v>
      </c>
      <c r="E4958" s="13" t="s">
        <v>4996</v>
      </c>
      <c r="F4958" t="str">
        <f t="shared" si="385"/>
        <v>Marvin</v>
      </c>
      <c r="G4958" t="str">
        <f t="shared" si="386"/>
        <v>Marvin5301Dallas</v>
      </c>
      <c r="H4958" t="s">
        <v>35815</v>
      </c>
      <c r="I4958" t="s">
        <v>27237</v>
      </c>
      <c r="J4958" t="str">
        <f t="shared" si="387"/>
        <v>E:\PropInv\MF</v>
      </c>
      <c r="K4958" s="103" t="str">
        <f>HYPERLINK("E:\PropInv\MF\Dallas\Marvin D. Love Fwy_5301_Way_Dallas_15105","Marvin D. Love Fwy_5301_Way_Dallas_15105" )</f>
        <v>Marvin D. Love Fwy_5301_Way_Dallas_15105</v>
      </c>
      <c r="L4958" s="104" t="s">
        <v>22253</v>
      </c>
      <c r="M4958" s="103" t="str">
        <f t="shared" si="388"/>
        <v>http://oconnordata.com/mlink/modules/profile/index.cfm?action=profile&amp;prop_id=15105</v>
      </c>
      <c r="N4958" s="1">
        <f t="shared" si="389"/>
        <v>15105</v>
      </c>
    </row>
    <row r="4959" spans="1:14" x14ac:dyDescent="0.3">
      <c r="A4959" s="1">
        <v>15106</v>
      </c>
      <c r="B4959" s="7" t="s">
        <v>7504</v>
      </c>
      <c r="C4959" s="12">
        <v>1200</v>
      </c>
      <c r="D4959" s="7" t="s">
        <v>7505</v>
      </c>
      <c r="E4959" s="13" t="s">
        <v>5014</v>
      </c>
      <c r="F4959" t="str">
        <f t="shared" si="385"/>
        <v>Seminary</v>
      </c>
      <c r="G4959" t="str">
        <f t="shared" si="386"/>
        <v>Seminary1200Fort Worth</v>
      </c>
      <c r="H4959" t="s">
        <v>35816</v>
      </c>
      <c r="I4959" t="s">
        <v>27238</v>
      </c>
      <c r="J4959" t="str">
        <f t="shared" si="387"/>
        <v>E:\PropInv\MF</v>
      </c>
      <c r="K4959" s="103" t="str">
        <f>HYPERLINK("E:\PropInv\MF\Fort Worth\Seminary E_1200_South Gate Manor_Fort Worth_15106","Seminary E_1200_South Gate Manor_Fort Worth_15106" )</f>
        <v>Seminary E_1200_South Gate Manor_Fort Worth_15106</v>
      </c>
      <c r="L4959" s="104" t="s">
        <v>22253</v>
      </c>
      <c r="M4959" s="103" t="str">
        <f t="shared" si="388"/>
        <v>http://oconnordata.com/mlink/modules/profile/index.cfm?action=profile&amp;prop_id=15106</v>
      </c>
      <c r="N4959" s="1">
        <f t="shared" si="389"/>
        <v>15106</v>
      </c>
    </row>
    <row r="4960" spans="1:14" x14ac:dyDescent="0.3">
      <c r="A4960" s="1">
        <v>15107</v>
      </c>
      <c r="B4960" s="7" t="s">
        <v>7506</v>
      </c>
      <c r="C4960" s="12">
        <v>1301</v>
      </c>
      <c r="D4960" s="7" t="s">
        <v>7507</v>
      </c>
      <c r="E4960" s="13" t="s">
        <v>4996</v>
      </c>
      <c r="F4960" t="str">
        <f t="shared" si="385"/>
        <v>Wheatland</v>
      </c>
      <c r="G4960" t="str">
        <f t="shared" si="386"/>
        <v>Wheatland1301Dallas</v>
      </c>
      <c r="H4960" t="s">
        <v>35817</v>
      </c>
      <c r="I4960" t="s">
        <v>27239</v>
      </c>
      <c r="J4960" t="str">
        <f t="shared" si="387"/>
        <v>E:\PropInv\MF</v>
      </c>
      <c r="K4960" s="103" t="str">
        <f>HYPERLINK("E:\PropInv\MF\Dallas\Wheatland W_1301_Southwinds_Dallas_15107","Wheatland W_1301_Southwinds_Dallas_15107" )</f>
        <v>Wheatland W_1301_Southwinds_Dallas_15107</v>
      </c>
      <c r="L4960" s="104" t="s">
        <v>22253</v>
      </c>
      <c r="M4960" s="103" t="str">
        <f t="shared" si="388"/>
        <v>http://oconnordata.com/mlink/modules/profile/index.cfm?action=profile&amp;prop_id=15107</v>
      </c>
      <c r="N4960" s="1">
        <f t="shared" si="389"/>
        <v>15107</v>
      </c>
    </row>
    <row r="4961" spans="1:14" x14ac:dyDescent="0.3">
      <c r="A4961" s="97">
        <v>15108</v>
      </c>
      <c r="B4961" s="7" t="s">
        <v>6750</v>
      </c>
      <c r="C4961" s="12">
        <v>500</v>
      </c>
      <c r="D4961" s="7" t="s">
        <v>206</v>
      </c>
      <c r="E4961" s="13" t="s">
        <v>5014</v>
      </c>
      <c r="F4961" t="str">
        <f t="shared" si="385"/>
        <v>820</v>
      </c>
      <c r="G4961" t="str">
        <f t="shared" si="386"/>
        <v>820500Fort Worth</v>
      </c>
      <c r="H4961" t="s">
        <v>35818</v>
      </c>
      <c r="I4961" t="s">
        <v>27240</v>
      </c>
      <c r="J4961" t="str">
        <f t="shared" si="387"/>
        <v>E:\PropInv\MF</v>
      </c>
      <c r="K4961" s="103" t="str">
        <f>HYPERLINK("E:\PropInv\MF\Fort Worth\820 Loop E_500_Woodridge_Fort Worth_15108","820 Loop E_500_Woodridge_Fort Worth_15108" )</f>
        <v>820 Loop E_500_Woodridge_Fort Worth_15108</v>
      </c>
      <c r="L4961" s="104" t="s">
        <v>22253</v>
      </c>
      <c r="M4961" s="103" t="str">
        <f t="shared" si="388"/>
        <v>http://oconnordata.com/mlink/modules/profile/index.cfm?action=profile&amp;prop_id=15108</v>
      </c>
      <c r="N4961" s="1">
        <f t="shared" si="389"/>
        <v>15108</v>
      </c>
    </row>
    <row r="4962" spans="1:14" x14ac:dyDescent="0.3">
      <c r="A4962" s="1">
        <v>15109</v>
      </c>
      <c r="B4962" s="7" t="s">
        <v>5397</v>
      </c>
      <c r="C4962" s="12">
        <v>2851</v>
      </c>
      <c r="D4962" s="7" t="s">
        <v>7508</v>
      </c>
      <c r="E4962" s="13" t="s">
        <v>5046</v>
      </c>
      <c r="F4962" t="str">
        <f t="shared" si="385"/>
        <v>Pioneer</v>
      </c>
      <c r="G4962" t="str">
        <f t="shared" si="386"/>
        <v>Pioneer2851Irving</v>
      </c>
      <c r="H4962" t="s">
        <v>35819</v>
      </c>
      <c r="I4962" t="s">
        <v>27241</v>
      </c>
      <c r="J4962" t="str">
        <f t="shared" si="387"/>
        <v>E:\PropInv\MF</v>
      </c>
      <c r="K4962" s="103" t="str">
        <f>HYPERLINK("E:\PropInv\MF\Irving\Pioneer W_2851_Pioneer House_Irving_15109","Pioneer W_2851_Pioneer House_Irving_15109" )</f>
        <v>Pioneer W_2851_Pioneer House_Irving_15109</v>
      </c>
      <c r="L4962" s="104" t="s">
        <v>22253</v>
      </c>
      <c r="M4962" s="103" t="str">
        <f t="shared" si="388"/>
        <v>http://oconnordata.com/mlink/modules/profile/index.cfm?action=profile&amp;prop_id=15109</v>
      </c>
      <c r="N4962" s="1">
        <f t="shared" si="389"/>
        <v>15109</v>
      </c>
    </row>
    <row r="4963" spans="1:14" x14ac:dyDescent="0.3">
      <c r="A4963" s="1">
        <v>15110</v>
      </c>
      <c r="B4963" s="7" t="s">
        <v>7509</v>
      </c>
      <c r="C4963" s="12">
        <v>2511</v>
      </c>
      <c r="D4963" s="7" t="s">
        <v>7510</v>
      </c>
      <c r="E4963" s="13" t="s">
        <v>4996</v>
      </c>
      <c r="F4963" t="str">
        <f t="shared" si="385"/>
        <v>Wedglea</v>
      </c>
      <c r="G4963" t="str">
        <f t="shared" si="386"/>
        <v>Wedglea2511Dallas</v>
      </c>
      <c r="H4963" t="s">
        <v>35820</v>
      </c>
      <c r="I4963" t="s">
        <v>27242</v>
      </c>
      <c r="J4963" t="str">
        <f t="shared" si="387"/>
        <v>E:\PropInv\MF</v>
      </c>
      <c r="K4963" s="103" t="str">
        <f>HYPERLINK("E:\PropInv\MF\Dallas\Wedglea Dr_2511_The Indigo_Dallas_15110","Wedglea Dr_2511_The Indigo_Dallas_15110" )</f>
        <v>Wedglea Dr_2511_The Indigo_Dallas_15110</v>
      </c>
      <c r="L4963" s="104" t="s">
        <v>22253</v>
      </c>
      <c r="M4963" s="103" t="str">
        <f t="shared" si="388"/>
        <v>http://oconnordata.com/mlink/modules/profile/index.cfm?action=profile&amp;prop_id=15110</v>
      </c>
      <c r="N4963" s="1">
        <f t="shared" si="389"/>
        <v>15110</v>
      </c>
    </row>
    <row r="4964" spans="1:14" x14ac:dyDescent="0.3">
      <c r="A4964" s="1">
        <v>15111</v>
      </c>
      <c r="B4964" s="7" t="s">
        <v>7511</v>
      </c>
      <c r="C4964" s="12">
        <v>100</v>
      </c>
      <c r="D4964" s="7" t="s">
        <v>7512</v>
      </c>
      <c r="E4964" s="13" t="s">
        <v>5014</v>
      </c>
      <c r="F4964" t="str">
        <f t="shared" si="385"/>
        <v>Thornhill</v>
      </c>
      <c r="G4964" t="str">
        <f t="shared" si="386"/>
        <v>Thornhill100Fort Worth</v>
      </c>
      <c r="H4964" t="s">
        <v>35821</v>
      </c>
      <c r="I4964" t="s">
        <v>27243</v>
      </c>
      <c r="J4964" t="str">
        <f t="shared" si="387"/>
        <v>E:\PropInv\MF</v>
      </c>
      <c r="K4964" s="103" t="str">
        <f>HYPERLINK("E:\PropInv\MF\Fort Worth\Thornhill E_100_South Plaza_Fort Worth_15111","Thornhill E_100_South Plaza_Fort Worth_15111" )</f>
        <v>Thornhill E_100_South Plaza_Fort Worth_15111</v>
      </c>
      <c r="L4964" s="104" t="s">
        <v>22253</v>
      </c>
      <c r="M4964" s="103" t="str">
        <f t="shared" si="388"/>
        <v>http://oconnordata.com/mlink/modules/profile/index.cfm?action=profile&amp;prop_id=15111</v>
      </c>
      <c r="N4964" s="1">
        <f t="shared" si="389"/>
        <v>15111</v>
      </c>
    </row>
    <row r="4965" spans="1:14" x14ac:dyDescent="0.3">
      <c r="A4965" s="1">
        <v>15112</v>
      </c>
      <c r="B4965" s="7" t="s">
        <v>7513</v>
      </c>
      <c r="C4965" s="12">
        <v>1551</v>
      </c>
      <c r="D4965" s="29" t="s">
        <v>7514</v>
      </c>
      <c r="E4965" s="13" t="s">
        <v>5046</v>
      </c>
      <c r="F4965" t="str">
        <f t="shared" si="385"/>
        <v>Airport</v>
      </c>
      <c r="G4965" t="str">
        <f t="shared" si="386"/>
        <v>Airport1551Irving</v>
      </c>
      <c r="H4965" t="s">
        <v>35822</v>
      </c>
      <c r="I4965" t="s">
        <v>27244</v>
      </c>
      <c r="J4965" t="str">
        <f t="shared" si="387"/>
        <v>E:\PropInv\MF</v>
      </c>
      <c r="K4965" s="103" t="str">
        <f>HYPERLINK("E:\PropInv\MF\Irving\Airport Fwy W_1551_Spanish Haven_Irving_15112","Airport Fwy W_1551_Spanish Haven_Irving_15112" )</f>
        <v>Airport Fwy W_1551_Spanish Haven_Irving_15112</v>
      </c>
      <c r="L4965" s="104" t="s">
        <v>22253</v>
      </c>
      <c r="M4965" s="103" t="str">
        <f t="shared" si="388"/>
        <v>http://oconnordata.com/mlink/modules/profile/index.cfm?action=profile&amp;prop_id=15112</v>
      </c>
      <c r="N4965" s="1">
        <f t="shared" si="389"/>
        <v>15112</v>
      </c>
    </row>
    <row r="4966" spans="1:14" x14ac:dyDescent="0.3">
      <c r="A4966" s="1">
        <v>15113</v>
      </c>
      <c r="B4966" s="7" t="s">
        <v>6548</v>
      </c>
      <c r="C4966" s="12">
        <v>5500</v>
      </c>
      <c r="D4966" s="7" t="s">
        <v>6266</v>
      </c>
      <c r="E4966" s="13" t="s">
        <v>5014</v>
      </c>
      <c r="F4966" t="str">
        <f t="shared" si="385"/>
        <v>Hulen</v>
      </c>
      <c r="G4966" t="str">
        <f t="shared" si="386"/>
        <v>Hulen5500Fort Worth</v>
      </c>
      <c r="H4966" t="s">
        <v>35823</v>
      </c>
      <c r="I4966" t="s">
        <v>27245</v>
      </c>
      <c r="J4966" t="str">
        <f t="shared" si="387"/>
        <v>E:\PropInv\MF</v>
      </c>
      <c r="K4966" s="103" t="str">
        <f>HYPERLINK("E:\PropInv\MF\Fort Worth\Hulen S_5500_Southern Oaks_Fort Worth_15113","Hulen S_5500_Southern Oaks_Fort Worth_15113" )</f>
        <v>Hulen S_5500_Southern Oaks_Fort Worth_15113</v>
      </c>
      <c r="L4966" s="104" t="s">
        <v>22253</v>
      </c>
      <c r="M4966" s="103" t="str">
        <f t="shared" si="388"/>
        <v>http://oconnordata.com/mlink/modules/profile/index.cfm?action=profile&amp;prop_id=15113</v>
      </c>
      <c r="N4966" s="1">
        <f t="shared" si="389"/>
        <v>15113</v>
      </c>
    </row>
    <row r="4967" spans="1:14" x14ac:dyDescent="0.3">
      <c r="A4967" s="97">
        <v>15114</v>
      </c>
      <c r="B4967" s="10" t="s">
        <v>6880</v>
      </c>
      <c r="C4967" s="9">
        <v>5950</v>
      </c>
      <c r="D4967" s="10" t="s">
        <v>7515</v>
      </c>
      <c r="E4967" s="11" t="s">
        <v>5014</v>
      </c>
      <c r="F4967" t="str">
        <f t="shared" si="385"/>
        <v>Boca</v>
      </c>
      <c r="G4967" t="str">
        <f t="shared" si="386"/>
        <v>Boca5950Fort Worth</v>
      </c>
      <c r="H4967" t="s">
        <v>35824</v>
      </c>
      <c r="I4967" t="s">
        <v>27246</v>
      </c>
      <c r="J4967" t="str">
        <f t="shared" si="387"/>
        <v>E:\PropInv\MF</v>
      </c>
      <c r="K4967" s="103" t="str">
        <f>HYPERLINK("E:\PropInv\MF\Fort Worth\Boca Raton_5950_Woodstock_Fort Worth_15114","Boca Raton_5950_Woodstock_Fort Worth_15114" )</f>
        <v>Boca Raton_5950_Woodstock_Fort Worth_15114</v>
      </c>
      <c r="L4967" s="104" t="s">
        <v>22253</v>
      </c>
      <c r="M4967" s="103" t="str">
        <f t="shared" si="388"/>
        <v>http://oconnordata.com/mlink/modules/profile/index.cfm?action=profile&amp;prop_id=15114</v>
      </c>
      <c r="N4967" s="1">
        <f t="shared" si="389"/>
        <v>15114</v>
      </c>
    </row>
    <row r="4968" spans="1:14" x14ac:dyDescent="0.3">
      <c r="A4968" s="1">
        <v>15116</v>
      </c>
      <c r="B4968" s="7" t="s">
        <v>7516</v>
      </c>
      <c r="C4968" s="12">
        <v>3604</v>
      </c>
      <c r="D4968" s="7" t="s">
        <v>1354</v>
      </c>
      <c r="E4968" s="13" t="s">
        <v>5046</v>
      </c>
      <c r="F4968" t="str">
        <f t="shared" si="385"/>
        <v>Country</v>
      </c>
      <c r="G4968" t="str">
        <f t="shared" si="386"/>
        <v>Country3604Irving</v>
      </c>
      <c r="H4968" t="s">
        <v>35825</v>
      </c>
      <c r="I4968" t="s">
        <v>27247</v>
      </c>
      <c r="J4968" t="str">
        <f t="shared" si="387"/>
        <v>E:\PropInv\MF</v>
      </c>
      <c r="K4968" s="103" t="str">
        <f>HYPERLINK("E:\PropInv\MF\Irving\Country Club Rd N_3604_Spanish Oaks_Irving_15116","Country Club Rd N_3604_Spanish Oaks_Irving_15116" )</f>
        <v>Country Club Rd N_3604_Spanish Oaks_Irving_15116</v>
      </c>
      <c r="L4968" s="104" t="s">
        <v>22253</v>
      </c>
      <c r="M4968" s="103" t="str">
        <f t="shared" si="388"/>
        <v>http://oconnordata.com/mlink/modules/profile/index.cfm?action=profile&amp;prop_id=15116</v>
      </c>
      <c r="N4968" s="1">
        <f t="shared" si="389"/>
        <v>15116</v>
      </c>
    </row>
    <row r="4969" spans="1:14" x14ac:dyDescent="0.3">
      <c r="A4969" s="1">
        <v>15117</v>
      </c>
      <c r="B4969" s="7" t="s">
        <v>7517</v>
      </c>
      <c r="C4969" s="12">
        <v>3550</v>
      </c>
      <c r="D4969" s="7" t="s">
        <v>435</v>
      </c>
      <c r="E4969" s="13" t="s">
        <v>4996</v>
      </c>
      <c r="F4969" t="str">
        <f t="shared" si="385"/>
        <v>Overton</v>
      </c>
      <c r="G4969" t="str">
        <f t="shared" si="386"/>
        <v>Overton3550Dallas</v>
      </c>
      <c r="H4969" t="s">
        <v>35826</v>
      </c>
      <c r="I4969" t="s">
        <v>27248</v>
      </c>
      <c r="J4969" t="str">
        <f t="shared" si="387"/>
        <v>E:\PropInv\MF</v>
      </c>
      <c r="K4969" s="103" t="str">
        <f>HYPERLINK("E:\PropInv\MF\Dallas\Overton Rd E_3550_Village Oaks_Dallas_15117","Overton Rd E_3550_Village Oaks_Dallas_15117" )</f>
        <v>Overton Rd E_3550_Village Oaks_Dallas_15117</v>
      </c>
      <c r="L4969" s="104" t="s">
        <v>22253</v>
      </c>
      <c r="M4969" s="103" t="str">
        <f t="shared" si="388"/>
        <v>http://oconnordata.com/mlink/modules/profile/index.cfm?action=profile&amp;prop_id=15117</v>
      </c>
      <c r="N4969" s="1">
        <f t="shared" si="389"/>
        <v>15117</v>
      </c>
    </row>
    <row r="4970" spans="1:14" x14ac:dyDescent="0.3">
      <c r="A4970" s="1">
        <v>15118</v>
      </c>
      <c r="B4970" s="7" t="s">
        <v>7518</v>
      </c>
      <c r="C4970" s="12">
        <v>1441</v>
      </c>
      <c r="D4970" s="19" t="s">
        <v>7519</v>
      </c>
      <c r="E4970" s="13" t="s">
        <v>4996</v>
      </c>
      <c r="F4970" t="str">
        <f t="shared" si="385"/>
        <v>Jim</v>
      </c>
      <c r="G4970" t="str">
        <f t="shared" si="386"/>
        <v>Jim1441Dallas</v>
      </c>
      <c r="H4970" t="s">
        <v>35827</v>
      </c>
      <c r="I4970" t="s">
        <v>27249</v>
      </c>
      <c r="J4970" t="str">
        <f t="shared" si="387"/>
        <v>E:\PropInv\MF</v>
      </c>
      <c r="K4970" s="103" t="str">
        <f>HYPERLINK("E:\PropInv\MF\Dallas\Jim Miller Rd N_1441_Pleasant Grove_Dallas_15118","Jim Miller Rd N_1441_Pleasant Grove_Dallas_15118" )</f>
        <v>Jim Miller Rd N_1441_Pleasant Grove_Dallas_15118</v>
      </c>
      <c r="L4970" s="104" t="s">
        <v>22253</v>
      </c>
      <c r="M4970" s="103" t="str">
        <f t="shared" si="388"/>
        <v>http://oconnordata.com/mlink/modules/profile/index.cfm?action=profile&amp;prop_id=15118</v>
      </c>
      <c r="N4970" s="1">
        <f t="shared" si="389"/>
        <v>15118</v>
      </c>
    </row>
    <row r="4971" spans="1:14" x14ac:dyDescent="0.3">
      <c r="A4971" s="1">
        <v>15120</v>
      </c>
      <c r="B4971" s="7" t="s">
        <v>5080</v>
      </c>
      <c r="C4971" s="12">
        <v>7803</v>
      </c>
      <c r="D4971" s="7" t="s">
        <v>2434</v>
      </c>
      <c r="E4971" s="13" t="s">
        <v>4996</v>
      </c>
      <c r="F4971" t="str">
        <f t="shared" si="385"/>
        <v>Ferguson</v>
      </c>
      <c r="G4971" t="str">
        <f t="shared" si="386"/>
        <v>Ferguson7803Dallas</v>
      </c>
      <c r="H4971" t="s">
        <v>35828</v>
      </c>
      <c r="I4971" t="s">
        <v>27250</v>
      </c>
      <c r="J4971" t="str">
        <f t="shared" si="387"/>
        <v>E:\PropInv\MF</v>
      </c>
      <c r="K4971" s="103" t="str">
        <f>HYPERLINK("E:\PropInv\MF\Dallas\Ferguson Rd_7803_Spring Gardens_Dallas_15120","Ferguson Rd_7803_Spring Gardens_Dallas_15120" )</f>
        <v>Ferguson Rd_7803_Spring Gardens_Dallas_15120</v>
      </c>
      <c r="L4971" s="104" t="s">
        <v>22253</v>
      </c>
      <c r="M4971" s="103" t="str">
        <f t="shared" si="388"/>
        <v>http://oconnordata.com/mlink/modules/profile/index.cfm?action=profile&amp;prop_id=15120</v>
      </c>
      <c r="N4971" s="1">
        <f t="shared" si="389"/>
        <v>15120</v>
      </c>
    </row>
    <row r="4972" spans="1:14" x14ac:dyDescent="0.3">
      <c r="A4972" s="97">
        <v>15121</v>
      </c>
      <c r="B4972" s="7" t="s">
        <v>7228</v>
      </c>
      <c r="C4972" s="12">
        <v>6051</v>
      </c>
      <c r="D4972" s="7" t="s">
        <v>475</v>
      </c>
      <c r="E4972" s="13" t="s">
        <v>5014</v>
      </c>
      <c r="F4972" t="str">
        <f t="shared" si="385"/>
        <v>Bridge</v>
      </c>
      <c r="G4972" t="str">
        <f t="shared" si="386"/>
        <v>Bridge6051Fort Worth</v>
      </c>
      <c r="H4972" t="s">
        <v>35829</v>
      </c>
      <c r="I4972" t="s">
        <v>27251</v>
      </c>
      <c r="J4972" t="str">
        <f t="shared" si="387"/>
        <v>E:\PropInv\MF</v>
      </c>
      <c r="K4972" s="103" t="str">
        <f>HYPERLINK("E:\PropInv\MF\Fort Worth\Bridge_6051_Woodstone_Fort Worth_15121","Bridge_6051_Woodstone_Fort Worth_15121" )</f>
        <v>Bridge_6051_Woodstone_Fort Worth_15121</v>
      </c>
      <c r="L4972" s="104" t="s">
        <v>22253</v>
      </c>
      <c r="M4972" s="103" t="str">
        <f t="shared" si="388"/>
        <v>http://oconnordata.com/mlink/modules/profile/index.cfm?action=profile&amp;prop_id=15121</v>
      </c>
      <c r="N4972" s="1">
        <f t="shared" si="389"/>
        <v>15121</v>
      </c>
    </row>
    <row r="4973" spans="1:14" x14ac:dyDescent="0.3">
      <c r="A4973" s="1">
        <v>15122</v>
      </c>
      <c r="B4973" s="10" t="s">
        <v>7520</v>
      </c>
      <c r="C4973" s="9">
        <v>1712</v>
      </c>
      <c r="D4973" s="10" t="s">
        <v>7521</v>
      </c>
      <c r="E4973" s="11" t="s">
        <v>7522</v>
      </c>
      <c r="F4973" t="str">
        <f t="shared" si="385"/>
        <v>Martin</v>
      </c>
      <c r="G4973" t="str">
        <f t="shared" si="386"/>
        <v>Martin1712Weatherford</v>
      </c>
      <c r="H4973" t="s">
        <v>35830</v>
      </c>
      <c r="I4973" t="s">
        <v>27252</v>
      </c>
      <c r="J4973" t="str">
        <f t="shared" si="387"/>
        <v>E:\PropInv\MF</v>
      </c>
      <c r="K4973" s="103" t="str">
        <f>HYPERLINK("E:\PropInv\MF\Weatherford\Martin_1712_Southgate Glen_Weatherford_15122","Martin_1712_Southgate Glen_Weatherford_15122" )</f>
        <v>Martin_1712_Southgate Glen_Weatherford_15122</v>
      </c>
      <c r="L4973" s="104" t="s">
        <v>22253</v>
      </c>
      <c r="M4973" s="103" t="str">
        <f t="shared" si="388"/>
        <v>http://oconnordata.com/mlink/modules/profile/index.cfm?action=profile&amp;prop_id=15122</v>
      </c>
      <c r="N4973" s="1">
        <f t="shared" si="389"/>
        <v>15122</v>
      </c>
    </row>
    <row r="4974" spans="1:14" x14ac:dyDescent="0.3">
      <c r="A4974" s="1">
        <v>15124</v>
      </c>
      <c r="B4974" s="7" t="s">
        <v>6514</v>
      </c>
      <c r="C4974" s="12">
        <v>2703</v>
      </c>
      <c r="D4974" s="7" t="s">
        <v>380</v>
      </c>
      <c r="E4974" s="13" t="s">
        <v>4996</v>
      </c>
      <c r="F4974" t="str">
        <f t="shared" si="385"/>
        <v>Buckner</v>
      </c>
      <c r="G4974" t="str">
        <f t="shared" si="386"/>
        <v>Buckner2703Dallas</v>
      </c>
      <c r="H4974" t="s">
        <v>35831</v>
      </c>
      <c r="I4974" t="s">
        <v>27253</v>
      </c>
      <c r="J4974" t="str">
        <f t="shared" si="387"/>
        <v>E:\PropInv\MF</v>
      </c>
      <c r="K4974" s="103" t="str">
        <f>HYPERLINK("E:\PropInv\MF\Dallas\Buckner N_2703_Spring Hollow_Dallas_15124","Buckner N_2703_Spring Hollow_Dallas_15124" )</f>
        <v>Buckner N_2703_Spring Hollow_Dallas_15124</v>
      </c>
      <c r="L4974" s="104" t="s">
        <v>22253</v>
      </c>
      <c r="M4974" s="103" t="str">
        <f t="shared" si="388"/>
        <v>http://oconnordata.com/mlink/modules/profile/index.cfm?action=profile&amp;prop_id=15124</v>
      </c>
      <c r="N4974" s="1">
        <f t="shared" si="389"/>
        <v>15124</v>
      </c>
    </row>
    <row r="4975" spans="1:14" x14ac:dyDescent="0.3">
      <c r="A4975" s="1">
        <v>15125</v>
      </c>
      <c r="B4975" s="7" t="s">
        <v>7213</v>
      </c>
      <c r="C4975" s="12">
        <v>2612</v>
      </c>
      <c r="D4975" s="7" t="s">
        <v>4693</v>
      </c>
      <c r="E4975" s="13" t="s">
        <v>4996</v>
      </c>
      <c r="F4975" t="str">
        <f t="shared" si="385"/>
        <v>Throckmorton</v>
      </c>
      <c r="G4975" t="str">
        <f t="shared" si="386"/>
        <v>Throckmorton2612Dallas</v>
      </c>
      <c r="H4975" t="s">
        <v>35832</v>
      </c>
      <c r="I4975" t="s">
        <v>27254</v>
      </c>
      <c r="J4975" t="str">
        <f t="shared" si="387"/>
        <v>E:\PropInv\MF</v>
      </c>
      <c r="K4975" s="103" t="str">
        <f>HYPERLINK("E:\PropInv\MF\Dallas\Throckmorton_2612_Village Square_Dallas_15125","Throckmorton_2612_Village Square_Dallas_15125" )</f>
        <v>Throckmorton_2612_Village Square_Dallas_15125</v>
      </c>
      <c r="L4975" s="104" t="s">
        <v>22253</v>
      </c>
      <c r="M4975" s="103" t="str">
        <f t="shared" si="388"/>
        <v>http://oconnordata.com/mlink/modules/profile/index.cfm?action=profile&amp;prop_id=15125</v>
      </c>
      <c r="N4975" s="1">
        <f t="shared" si="389"/>
        <v>15125</v>
      </c>
    </row>
    <row r="4976" spans="1:14" x14ac:dyDescent="0.3">
      <c r="A4976" s="97">
        <v>15126</v>
      </c>
      <c r="B4976" s="7" t="s">
        <v>2835</v>
      </c>
      <c r="C4976" s="12">
        <v>6201</v>
      </c>
      <c r="D4976" s="7" t="s">
        <v>7523</v>
      </c>
      <c r="E4976" s="13" t="s">
        <v>5014</v>
      </c>
      <c r="F4976" t="str">
        <f t="shared" si="385"/>
        <v>Woodway</v>
      </c>
      <c r="G4976" t="str">
        <f t="shared" si="386"/>
        <v>Woodway6201Fort Worth</v>
      </c>
      <c r="H4976" t="s">
        <v>35833</v>
      </c>
      <c r="I4976" t="s">
        <v>27255</v>
      </c>
      <c r="J4976" t="str">
        <f t="shared" si="387"/>
        <v>E:\PropInv\MF</v>
      </c>
      <c r="K4976" s="103" t="str">
        <f>HYPERLINK("E:\PropInv\MF\Fort Worth\Woodway Dr_6201_Woodway on the Greene_Fort Worth_15126","Woodway Dr_6201_Woodway on the Greene_Fort Worth_15126" )</f>
        <v>Woodway Dr_6201_Woodway on the Greene_Fort Worth_15126</v>
      </c>
      <c r="L4976" s="104" t="s">
        <v>22253</v>
      </c>
      <c r="M4976" s="103" t="str">
        <f t="shared" si="388"/>
        <v>http://oconnordata.com/mlink/modules/profile/index.cfm?action=profile&amp;prop_id=15126</v>
      </c>
      <c r="N4976" s="1">
        <f t="shared" si="389"/>
        <v>15126</v>
      </c>
    </row>
    <row r="4977" spans="1:14" x14ac:dyDescent="0.3">
      <c r="A4977" s="1">
        <v>15127</v>
      </c>
      <c r="B4977" s="7" t="s">
        <v>7524</v>
      </c>
      <c r="C4977" s="12">
        <v>2201</v>
      </c>
      <c r="D4977" s="7" t="s">
        <v>7525</v>
      </c>
      <c r="E4977" s="13" t="s">
        <v>5014</v>
      </c>
      <c r="F4977" t="str">
        <f t="shared" si="385"/>
        <v>Berry</v>
      </c>
      <c r="G4977" t="str">
        <f t="shared" si="386"/>
        <v>Berry2201Fort Worth</v>
      </c>
      <c r="H4977" t="s">
        <v>35834</v>
      </c>
      <c r="I4977" t="s">
        <v>27256</v>
      </c>
      <c r="J4977" t="str">
        <f t="shared" si="387"/>
        <v>E:\PropInv\MF</v>
      </c>
      <c r="K4977" s="103" t="str">
        <f>HYPERLINK("E:\PropInv\MF\Fort Worth\Berry E_2201_A la Primavera_Fort Worth_15127","Berry E_2201_A la Primavera_Fort Worth_15127" )</f>
        <v>Berry E_2201_A la Primavera_Fort Worth_15127</v>
      </c>
      <c r="L4977" s="104" t="s">
        <v>22253</v>
      </c>
      <c r="M4977" s="103" t="str">
        <f t="shared" si="388"/>
        <v>http://oconnordata.com/mlink/modules/profile/index.cfm?action=profile&amp;prop_id=15127</v>
      </c>
      <c r="N4977" s="1">
        <f t="shared" si="389"/>
        <v>15127</v>
      </c>
    </row>
    <row r="4978" spans="1:14" x14ac:dyDescent="0.3">
      <c r="A4978" s="1">
        <v>15128</v>
      </c>
      <c r="B4978" s="10" t="s">
        <v>5126</v>
      </c>
      <c r="C4978" s="9">
        <v>1002</v>
      </c>
      <c r="D4978" s="10" t="s">
        <v>7526</v>
      </c>
      <c r="E4978" s="11" t="s">
        <v>5055</v>
      </c>
      <c r="F4978" t="str">
        <f t="shared" si="385"/>
        <v>Edmonds</v>
      </c>
      <c r="G4978" t="str">
        <f t="shared" si="386"/>
        <v>Edmonds1002Lewisville</v>
      </c>
      <c r="H4978" t="s">
        <v>35835</v>
      </c>
      <c r="I4978" t="s">
        <v>27257</v>
      </c>
      <c r="J4978" t="str">
        <f t="shared" si="387"/>
        <v>E:\PropInv\MF</v>
      </c>
      <c r="K4978" s="103" t="str">
        <f>HYPERLINK("E:\PropInv\MF\Lewisville\Edmonds Ln_1002_Village West I &amp; II_Lewisville_15128","Edmonds Ln_1002_Village West I &amp; II_Lewisville_15128" )</f>
        <v>Edmonds Ln_1002_Village West I &amp; II_Lewisville_15128</v>
      </c>
      <c r="L4978" s="104" t="s">
        <v>22253</v>
      </c>
      <c r="M4978" s="103" t="str">
        <f t="shared" si="388"/>
        <v>http://oconnordata.com/mlink/modules/profile/index.cfm?action=profile&amp;prop_id=15128</v>
      </c>
      <c r="N4978" s="1">
        <f t="shared" si="389"/>
        <v>15128</v>
      </c>
    </row>
    <row r="4979" spans="1:14" x14ac:dyDescent="0.3">
      <c r="A4979" s="1">
        <v>15129</v>
      </c>
      <c r="B4979" s="7" t="s">
        <v>7527</v>
      </c>
      <c r="C4979" s="12">
        <v>3200</v>
      </c>
      <c r="D4979" s="7" t="s">
        <v>7528</v>
      </c>
      <c r="E4979" s="13" t="s">
        <v>5014</v>
      </c>
      <c r="F4979" t="str">
        <f t="shared" si="385"/>
        <v>Saint</v>
      </c>
      <c r="G4979" t="str">
        <f t="shared" si="386"/>
        <v>Saint3200Fort Worth</v>
      </c>
      <c r="H4979" t="s">
        <v>35836</v>
      </c>
      <c r="I4979" t="s">
        <v>27258</v>
      </c>
      <c r="J4979" t="str">
        <f t="shared" si="387"/>
        <v>E:\PropInv\MF</v>
      </c>
      <c r="K4979" s="103" t="str">
        <f>HYPERLINK("E:\PropInv\MF\Fort Worth\Saint Juliet St_3200_Spring Glen_Fort Worth_15129","Saint Juliet St_3200_Spring Glen_Fort Worth_15129" )</f>
        <v>Saint Juliet St_3200_Spring Glen_Fort Worth_15129</v>
      </c>
      <c r="L4979" s="104" t="s">
        <v>22253</v>
      </c>
      <c r="M4979" s="103" t="str">
        <f t="shared" si="388"/>
        <v>http://oconnordata.com/mlink/modules/profile/index.cfm?action=profile&amp;prop_id=15129</v>
      </c>
      <c r="N4979" s="1">
        <f t="shared" si="389"/>
        <v>15129</v>
      </c>
    </row>
    <row r="4980" spans="1:14" x14ac:dyDescent="0.3">
      <c r="A4980" s="1">
        <v>15130</v>
      </c>
      <c r="B4980" s="7" t="s">
        <v>7529</v>
      </c>
      <c r="C4980" s="12">
        <v>3604</v>
      </c>
      <c r="D4980" s="7" t="s">
        <v>7530</v>
      </c>
      <c r="E4980" s="13" t="s">
        <v>4996</v>
      </c>
      <c r="F4980" t="str">
        <f t="shared" si="385"/>
        <v>Legendary</v>
      </c>
      <c r="G4980" t="str">
        <f t="shared" si="386"/>
        <v>Legendary3604Dallas</v>
      </c>
      <c r="H4980" t="s">
        <v>35837</v>
      </c>
      <c r="I4980" t="s">
        <v>27259</v>
      </c>
      <c r="J4980" t="str">
        <f t="shared" si="387"/>
        <v>E:\PropInv\MF</v>
      </c>
      <c r="K4980" s="103" t="str">
        <f>HYPERLINK("E:\PropInv\MF\Dallas\Legendary Ln_3604_Springridge_Dallas_15130","Legendary Ln_3604_Springridge_Dallas_15130" )</f>
        <v>Legendary Ln_3604_Springridge_Dallas_15130</v>
      </c>
      <c r="L4980" s="104" t="s">
        <v>22253</v>
      </c>
      <c r="M4980" s="103" t="str">
        <f t="shared" si="388"/>
        <v>http://oconnordata.com/mlink/modules/profile/index.cfm?action=profile&amp;prop_id=15130</v>
      </c>
      <c r="N4980" s="1">
        <f t="shared" si="389"/>
        <v>15130</v>
      </c>
    </row>
    <row r="4981" spans="1:14" x14ac:dyDescent="0.3">
      <c r="A4981" s="1">
        <v>15131</v>
      </c>
      <c r="B4981" s="7" t="s">
        <v>7531</v>
      </c>
      <c r="C4981" s="12">
        <v>3100</v>
      </c>
      <c r="D4981" s="7" t="s">
        <v>1358</v>
      </c>
      <c r="E4981" s="13" t="s">
        <v>5014</v>
      </c>
      <c r="F4981" t="str">
        <f t="shared" si="385"/>
        <v>Hamilton</v>
      </c>
      <c r="G4981" t="str">
        <f t="shared" si="386"/>
        <v>Hamilton3100Fort Worth</v>
      </c>
      <c r="H4981" t="s">
        <v>35838</v>
      </c>
      <c r="I4981" t="s">
        <v>27260</v>
      </c>
      <c r="J4981" t="str">
        <f t="shared" si="387"/>
        <v>E:\PropInv\MF</v>
      </c>
      <c r="K4981" s="103" t="str">
        <f>HYPERLINK("E:\PropInv\MF\Fort Worth\Hamilton Ave_3100_Spring Hill_Fort Worth_15131","Hamilton Ave_3100_Spring Hill_Fort Worth_15131" )</f>
        <v>Hamilton Ave_3100_Spring Hill_Fort Worth_15131</v>
      </c>
      <c r="L4981" s="104" t="s">
        <v>22253</v>
      </c>
      <c r="M4981" s="103" t="str">
        <f t="shared" si="388"/>
        <v>http://oconnordata.com/mlink/modules/profile/index.cfm?action=profile&amp;prop_id=15131</v>
      </c>
      <c r="N4981" s="1">
        <f t="shared" si="389"/>
        <v>15131</v>
      </c>
    </row>
    <row r="4982" spans="1:14" x14ac:dyDescent="0.3">
      <c r="A4982" s="1">
        <v>15133</v>
      </c>
      <c r="B4982" s="7" t="s">
        <v>5880</v>
      </c>
      <c r="C4982" s="12">
        <v>3604</v>
      </c>
      <c r="D4982" s="7" t="s">
        <v>7532</v>
      </c>
      <c r="E4982" s="13" t="s">
        <v>4996</v>
      </c>
      <c r="F4982" t="str">
        <f t="shared" si="385"/>
        <v>Cedar</v>
      </c>
      <c r="G4982" t="str">
        <f t="shared" si="386"/>
        <v>Cedar3604Dallas</v>
      </c>
      <c r="H4982" t="s">
        <v>35839</v>
      </c>
      <c r="I4982" t="s">
        <v>27261</v>
      </c>
      <c r="J4982" t="str">
        <f t="shared" si="387"/>
        <v>E:\PropInv\MF</v>
      </c>
      <c r="K4982" s="103" t="str">
        <f>HYPERLINK("E:\PropInv\MF\Dallas\Cedar Springs Rd_3604_Marquis on Cedar Springs_Dallas_15133","Cedar Springs Rd_3604_Marquis on Cedar Springs_Dallas_15133" )</f>
        <v>Cedar Springs Rd_3604_Marquis on Cedar Springs_Dallas_15133</v>
      </c>
      <c r="L4982" s="104" t="s">
        <v>22253</v>
      </c>
      <c r="M4982" s="103" t="str">
        <f t="shared" si="388"/>
        <v>http://oconnordata.com/mlink/modules/profile/index.cfm?action=profile&amp;prop_id=15133</v>
      </c>
      <c r="N4982" s="1">
        <f t="shared" si="389"/>
        <v>15133</v>
      </c>
    </row>
    <row r="4983" spans="1:14" x14ac:dyDescent="0.3">
      <c r="A4983" s="1">
        <v>15135</v>
      </c>
      <c r="B4983" s="7" t="s">
        <v>4997</v>
      </c>
      <c r="C4983" s="12">
        <v>4810</v>
      </c>
      <c r="D4983" s="7" t="s">
        <v>7533</v>
      </c>
      <c r="E4983" s="13" t="s">
        <v>4996</v>
      </c>
      <c r="F4983" t="str">
        <f t="shared" si="385"/>
        <v>Cedar</v>
      </c>
      <c r="G4983" t="str">
        <f t="shared" si="386"/>
        <v>Cedar4810Dallas</v>
      </c>
      <c r="H4983" t="s">
        <v>35840</v>
      </c>
      <c r="I4983" t="s">
        <v>27262</v>
      </c>
      <c r="J4983" t="str">
        <f t="shared" si="387"/>
        <v>E:\PropInv\MF</v>
      </c>
      <c r="K4983" s="103" t="str">
        <f>HYPERLINK("E:\PropInv\MF\Dallas\Cedar Springs_4810_Springs_Dallas_15135","Cedar Springs_4810_Springs_Dallas_15135" )</f>
        <v>Cedar Springs_4810_Springs_Dallas_15135</v>
      </c>
      <c r="L4983" s="104" t="s">
        <v>22253</v>
      </c>
      <c r="M4983" s="103" t="str">
        <f t="shared" si="388"/>
        <v>http://oconnordata.com/mlink/modules/profile/index.cfm?action=profile&amp;prop_id=15135</v>
      </c>
      <c r="N4983" s="1">
        <f t="shared" si="389"/>
        <v>15135</v>
      </c>
    </row>
    <row r="4984" spans="1:14" x14ac:dyDescent="0.3">
      <c r="A4984" s="1">
        <v>15136</v>
      </c>
      <c r="B4984" s="7" t="s">
        <v>7304</v>
      </c>
      <c r="C4984" s="12">
        <v>7501</v>
      </c>
      <c r="D4984" s="7" t="s">
        <v>631</v>
      </c>
      <c r="E4984" s="13" t="s">
        <v>5014</v>
      </c>
      <c r="F4984" t="str">
        <f t="shared" si="385"/>
        <v>Ederville</v>
      </c>
      <c r="G4984" t="str">
        <f t="shared" si="386"/>
        <v>Ederville7501Fort Worth</v>
      </c>
      <c r="H4984" t="s">
        <v>35841</v>
      </c>
      <c r="I4984" t="s">
        <v>27263</v>
      </c>
      <c r="J4984" t="str">
        <f t="shared" si="387"/>
        <v>E:\PropInv\MF</v>
      </c>
      <c r="K4984" s="103" t="str">
        <f>HYPERLINK("E:\PropInv\MF\Fort Worth\Ederville_7501_Steeplechase_Fort Worth_15136","Ederville_7501_Steeplechase_Fort Worth_15136" )</f>
        <v>Ederville_7501_Steeplechase_Fort Worth_15136</v>
      </c>
      <c r="L4984" s="104" t="s">
        <v>22253</v>
      </c>
      <c r="M4984" s="103" t="str">
        <f t="shared" si="388"/>
        <v>http://oconnordata.com/mlink/modules/profile/index.cfm?action=profile&amp;prop_id=15136</v>
      </c>
      <c r="N4984" s="1">
        <f t="shared" si="389"/>
        <v>15136</v>
      </c>
    </row>
    <row r="4985" spans="1:14" x14ac:dyDescent="0.3">
      <c r="A4985" s="1">
        <v>15137</v>
      </c>
      <c r="B4985" s="7" t="s">
        <v>7534</v>
      </c>
      <c r="C4985" s="12">
        <v>400</v>
      </c>
      <c r="D4985" s="7" t="s">
        <v>7535</v>
      </c>
      <c r="E4985" s="13" t="s">
        <v>3328</v>
      </c>
      <c r="F4985" t="str">
        <f t="shared" si="385"/>
        <v>University</v>
      </c>
      <c r="G4985" t="str">
        <f t="shared" si="386"/>
        <v>University400Richardson</v>
      </c>
      <c r="H4985" t="s">
        <v>35842</v>
      </c>
      <c r="I4985" t="s">
        <v>27264</v>
      </c>
      <c r="J4985" t="str">
        <f t="shared" si="387"/>
        <v>E:\PropInv\MF</v>
      </c>
      <c r="K4985" s="103" t="str">
        <f>HYPERLINK("E:\PropInv\MF\Richardson\University Village Dr_400_University Village_Richardson_15137","University Village Dr_400_University Village_Richardson_15137" )</f>
        <v>University Village Dr_400_University Village_Richardson_15137</v>
      </c>
      <c r="L4985" s="104" t="s">
        <v>22253</v>
      </c>
      <c r="M4985" s="103" t="str">
        <f t="shared" si="388"/>
        <v>http://oconnordata.com/mlink/modules/profile/index.cfm?action=profile&amp;prop_id=15137</v>
      </c>
      <c r="N4985" s="1">
        <f t="shared" si="389"/>
        <v>15137</v>
      </c>
    </row>
    <row r="4986" spans="1:14" x14ac:dyDescent="0.3">
      <c r="A4986" s="1">
        <v>15138</v>
      </c>
      <c r="B4986" s="7" t="s">
        <v>7536</v>
      </c>
      <c r="C4986" s="12">
        <v>7425</v>
      </c>
      <c r="D4986" s="7" t="s">
        <v>7537</v>
      </c>
      <c r="E4986" s="13" t="s">
        <v>4996</v>
      </c>
      <c r="F4986" t="str">
        <f t="shared" si="385"/>
        <v>La</v>
      </c>
      <c r="G4986" t="str">
        <f t="shared" si="386"/>
        <v>La7425Dallas</v>
      </c>
      <c r="H4986" t="s">
        <v>35843</v>
      </c>
      <c r="I4986" t="s">
        <v>27265</v>
      </c>
      <c r="J4986" t="str">
        <f t="shared" si="387"/>
        <v>E:\PropInv\MF</v>
      </c>
      <c r="K4986" s="103" t="str">
        <f>HYPERLINK("E:\PropInv\MF\Dallas\La Vista Dr_7425_Park Glen_Dallas_15138","La Vista Dr_7425_Park Glen_Dallas_15138" )</f>
        <v>La Vista Dr_7425_Park Glen_Dallas_15138</v>
      </c>
      <c r="L4986" s="104" t="s">
        <v>22253</v>
      </c>
      <c r="M4986" s="103" t="str">
        <f t="shared" si="388"/>
        <v>http://oconnordata.com/mlink/modules/profile/index.cfm?action=profile&amp;prop_id=15138</v>
      </c>
      <c r="N4986" s="1">
        <f t="shared" si="389"/>
        <v>15138</v>
      </c>
    </row>
    <row r="4987" spans="1:14" x14ac:dyDescent="0.3">
      <c r="A4987" s="1">
        <v>15140</v>
      </c>
      <c r="B4987" s="7" t="s">
        <v>7462</v>
      </c>
      <c r="C4987" s="12">
        <v>2200</v>
      </c>
      <c r="D4987" s="7" t="s">
        <v>7538</v>
      </c>
      <c r="E4987" s="13" t="s">
        <v>5014</v>
      </c>
      <c r="F4987" t="str">
        <f t="shared" si="385"/>
        <v>Ridgmar</v>
      </c>
      <c r="G4987" t="str">
        <f t="shared" si="386"/>
        <v>Ridgmar2200Fort Worth</v>
      </c>
      <c r="H4987" t="s">
        <v>35844</v>
      </c>
      <c r="I4987" t="s">
        <v>27266</v>
      </c>
      <c r="J4987" t="str">
        <f t="shared" si="387"/>
        <v>E:\PropInv\MF</v>
      </c>
      <c r="K4987" s="103" t="str">
        <f>HYPERLINK("E:\PropInv\MF\Fort Worth\Ridgmar Plaza_2200_Steppes_Fort Worth_15140","Ridgmar Plaza_2200_Steppes_Fort Worth_15140" )</f>
        <v>Ridgmar Plaza_2200_Steppes_Fort Worth_15140</v>
      </c>
      <c r="L4987" s="104" t="s">
        <v>22253</v>
      </c>
      <c r="M4987" s="103" t="str">
        <f t="shared" si="388"/>
        <v>http://oconnordata.com/mlink/modules/profile/index.cfm?action=profile&amp;prop_id=15140</v>
      </c>
      <c r="N4987" s="1">
        <f t="shared" si="389"/>
        <v>15140</v>
      </c>
    </row>
    <row r="4988" spans="1:14" x14ac:dyDescent="0.3">
      <c r="A4988" s="1">
        <v>15141</v>
      </c>
      <c r="B4988" s="7" t="s">
        <v>7539</v>
      </c>
      <c r="C4988" s="12">
        <v>2957</v>
      </c>
      <c r="D4988" s="7" t="s">
        <v>7540</v>
      </c>
      <c r="E4988" s="13" t="s">
        <v>5046</v>
      </c>
      <c r="F4988" t="str">
        <f t="shared" si="385"/>
        <v>Park</v>
      </c>
      <c r="G4988" t="str">
        <f t="shared" si="386"/>
        <v>Park2957Irving</v>
      </c>
      <c r="H4988" t="s">
        <v>35845</v>
      </c>
      <c r="I4988" t="s">
        <v>27267</v>
      </c>
      <c r="J4988" t="str">
        <f t="shared" si="387"/>
        <v>E:\PropInv\MF</v>
      </c>
      <c r="K4988" s="103" t="str">
        <f>HYPERLINK("E:\PropInv\MF\Irving\Park Sq Dr_2957_Park Grove Square_Irving_15141","Park Sq Dr_2957_Park Grove Square_Irving_15141" )</f>
        <v>Park Sq Dr_2957_Park Grove Square_Irving_15141</v>
      </c>
      <c r="L4988" s="104" t="s">
        <v>22253</v>
      </c>
      <c r="M4988" s="103" t="str">
        <f t="shared" si="388"/>
        <v>http://oconnordata.com/mlink/modules/profile/index.cfm?action=profile&amp;prop_id=15141</v>
      </c>
      <c r="N4988" s="1">
        <f t="shared" si="389"/>
        <v>15141</v>
      </c>
    </row>
    <row r="4989" spans="1:14" x14ac:dyDescent="0.3">
      <c r="A4989" s="1">
        <v>15142</v>
      </c>
      <c r="B4989" s="7" t="s">
        <v>6918</v>
      </c>
      <c r="C4989" s="12">
        <v>2501</v>
      </c>
      <c r="D4989" s="7" t="s">
        <v>7541</v>
      </c>
      <c r="E4989" s="13" t="s">
        <v>5009</v>
      </c>
      <c r="F4989" t="str">
        <f t="shared" si="385"/>
        <v>Ohio</v>
      </c>
      <c r="G4989" t="str">
        <f t="shared" si="386"/>
        <v>Ohio2501Plano</v>
      </c>
      <c r="H4989" t="s">
        <v>35846</v>
      </c>
      <c r="I4989" t="s">
        <v>27268</v>
      </c>
      <c r="J4989" t="str">
        <f t="shared" si="387"/>
        <v>E:\PropInv\MF</v>
      </c>
      <c r="K4989" s="103" t="str">
        <f>HYPERLINK("E:\PropInv\MF\Plano\Ohio Dr_2501_Valencia_Plano_15142","Ohio Dr_2501_Valencia_Plano_15142" )</f>
        <v>Ohio Dr_2501_Valencia_Plano_15142</v>
      </c>
      <c r="L4989" s="104" t="s">
        <v>22253</v>
      </c>
      <c r="M4989" s="103" t="str">
        <f t="shared" si="388"/>
        <v>http://oconnordata.com/mlink/modules/profile/index.cfm?action=profile&amp;prop_id=15142</v>
      </c>
      <c r="N4989" s="1">
        <f t="shared" si="389"/>
        <v>15142</v>
      </c>
    </row>
    <row r="4990" spans="1:14" x14ac:dyDescent="0.3">
      <c r="A4990" s="1">
        <v>15144</v>
      </c>
      <c r="B4990" s="7" t="s">
        <v>7542</v>
      </c>
      <c r="C4990" s="12">
        <v>6001</v>
      </c>
      <c r="D4990" s="7" t="s">
        <v>7543</v>
      </c>
      <c r="E4990" s="13" t="s">
        <v>5014</v>
      </c>
      <c r="F4990" t="str">
        <f t="shared" si="385"/>
        <v>Oakland</v>
      </c>
      <c r="G4990" t="str">
        <f t="shared" si="386"/>
        <v>Oakland6001Fort Worth</v>
      </c>
      <c r="H4990" t="s">
        <v>35847</v>
      </c>
      <c r="I4990" t="s">
        <v>27269</v>
      </c>
      <c r="J4990" t="str">
        <f t="shared" si="387"/>
        <v>E:\PropInv\MF</v>
      </c>
      <c r="K4990" s="103" t="str">
        <f>HYPERLINK("E:\PropInv\MF\Fort Worth\Oakland Hills_6001_Sterling Pointe_Fort Worth_15144","Oakland Hills_6001_Sterling Pointe_Fort Worth_15144" )</f>
        <v>Oakland Hills_6001_Sterling Pointe_Fort Worth_15144</v>
      </c>
      <c r="L4990" s="104" t="s">
        <v>22253</v>
      </c>
      <c r="M4990" s="103" t="str">
        <f t="shared" si="388"/>
        <v>http://oconnordata.com/mlink/modules/profile/index.cfm?action=profile&amp;prop_id=15144</v>
      </c>
      <c r="N4990" s="1">
        <f t="shared" si="389"/>
        <v>15144</v>
      </c>
    </row>
    <row r="4991" spans="1:14" x14ac:dyDescent="0.3">
      <c r="A4991" s="1">
        <v>15145</v>
      </c>
      <c r="B4991" s="7" t="s">
        <v>5089</v>
      </c>
      <c r="C4991" s="12">
        <v>1198</v>
      </c>
      <c r="D4991" s="7" t="s">
        <v>7544</v>
      </c>
      <c r="E4991" s="13" t="s">
        <v>4996</v>
      </c>
      <c r="F4991" t="str">
        <f t="shared" si="385"/>
        <v>Saint</v>
      </c>
      <c r="G4991" t="str">
        <f t="shared" si="386"/>
        <v>Saint1198Dallas</v>
      </c>
      <c r="H4991" t="s">
        <v>35848</v>
      </c>
      <c r="I4991" t="s">
        <v>27270</v>
      </c>
      <c r="J4991" t="str">
        <f t="shared" si="387"/>
        <v>E:\PropInv\MF</v>
      </c>
      <c r="K4991" s="103" t="str">
        <f>HYPERLINK("E:\PropInv\MF\Dallas\Saint Augustine N_1198_St. Augustine_Dallas_15145","Saint Augustine N_1198_St. Augustine_Dallas_15145" )</f>
        <v>Saint Augustine N_1198_St. Augustine_Dallas_15145</v>
      </c>
      <c r="L4991" s="104" t="s">
        <v>22253</v>
      </c>
      <c r="M4991" s="103" t="str">
        <f t="shared" si="388"/>
        <v>http://oconnordata.com/mlink/modules/profile/index.cfm?action=profile&amp;prop_id=15145</v>
      </c>
      <c r="N4991" s="1">
        <f t="shared" si="389"/>
        <v>15145</v>
      </c>
    </row>
    <row r="4992" spans="1:14" x14ac:dyDescent="0.3">
      <c r="A4992" s="1">
        <v>15147</v>
      </c>
      <c r="B4992" s="7" t="s">
        <v>7545</v>
      </c>
      <c r="C4992" s="12">
        <v>4250</v>
      </c>
      <c r="D4992" s="7" t="s">
        <v>7546</v>
      </c>
      <c r="E4992" s="13" t="s">
        <v>5014</v>
      </c>
      <c r="F4992" t="str">
        <f t="shared" si="385"/>
        <v>Country</v>
      </c>
      <c r="G4992" t="str">
        <f t="shared" si="386"/>
        <v>Country4250Fort Worth</v>
      </c>
      <c r="H4992" t="s">
        <v>35849</v>
      </c>
      <c r="I4992" t="s">
        <v>27271</v>
      </c>
      <c r="J4992" t="str">
        <f t="shared" si="387"/>
        <v>E:\PropInv\MF</v>
      </c>
      <c r="K4992" s="103" t="str">
        <f>HYPERLINK("E:\PropInv\MF\Fort Worth\Country Day Ln_4250_Country Day Apts_Fort Worth_15147","Country Day Ln_4250_Country Day Apts_Fort Worth_15147" )</f>
        <v>Country Day Ln_4250_Country Day Apts_Fort Worth_15147</v>
      </c>
      <c r="L4992" s="104" t="s">
        <v>22253</v>
      </c>
      <c r="M4992" s="103" t="str">
        <f t="shared" si="388"/>
        <v>http://oconnordata.com/mlink/modules/profile/index.cfm?action=profile&amp;prop_id=15147</v>
      </c>
      <c r="N4992" s="1">
        <f t="shared" si="389"/>
        <v>15147</v>
      </c>
    </row>
    <row r="4993" spans="1:14" x14ac:dyDescent="0.3">
      <c r="A4993" s="1">
        <v>15148</v>
      </c>
      <c r="B4993" s="7" t="s">
        <v>7270</v>
      </c>
      <c r="C4993" s="12">
        <v>5009</v>
      </c>
      <c r="D4993" s="7" t="s">
        <v>7547</v>
      </c>
      <c r="E4993" s="13" t="s">
        <v>5014</v>
      </c>
      <c r="F4993" t="str">
        <f t="shared" si="385"/>
        <v>Lancaster</v>
      </c>
      <c r="G4993" t="str">
        <f t="shared" si="386"/>
        <v>Lancaster5009Fort Worth</v>
      </c>
      <c r="H4993" t="s">
        <v>35850</v>
      </c>
      <c r="I4993" t="s">
        <v>27272</v>
      </c>
      <c r="J4993" t="str">
        <f t="shared" si="387"/>
        <v>E:\PropInv\MF</v>
      </c>
      <c r="K4993" s="103" t="str">
        <f>HYPERLINK("E:\PropInv\MF\Fort Worth\Lancaster E_5009_Stratton Royale_Fort Worth_15148","Lancaster E_5009_Stratton Royale_Fort Worth_15148" )</f>
        <v>Lancaster E_5009_Stratton Royale_Fort Worth_15148</v>
      </c>
      <c r="L4993" s="104" t="s">
        <v>22253</v>
      </c>
      <c r="M4993" s="103" t="str">
        <f t="shared" si="388"/>
        <v>http://oconnordata.com/mlink/modules/profile/index.cfm?action=profile&amp;prop_id=15148</v>
      </c>
      <c r="N4993" s="1">
        <f t="shared" si="389"/>
        <v>15148</v>
      </c>
    </row>
    <row r="4994" spans="1:14" x14ac:dyDescent="0.3">
      <c r="A4994" s="1">
        <v>15149</v>
      </c>
      <c r="B4994" s="7" t="s">
        <v>7548</v>
      </c>
      <c r="C4994" s="12">
        <v>3130</v>
      </c>
      <c r="D4994" s="7" t="s">
        <v>7549</v>
      </c>
      <c r="E4994" s="13" t="s">
        <v>4996</v>
      </c>
      <c r="F4994" t="str">
        <f t="shared" ref="F4994:F5057" si="390">IFERROR(LEFT(B4994,FIND(" ",B4994)-1),B4994)</f>
        <v>Stag</v>
      </c>
      <c r="G4994" t="str">
        <f t="shared" ref="G4994:G5057" si="391">F4994&amp;C4994&amp;E4994</f>
        <v>Stag3130Dallas</v>
      </c>
      <c r="H4994" t="s">
        <v>35851</v>
      </c>
      <c r="I4994" t="s">
        <v>27273</v>
      </c>
      <c r="J4994" t="str">
        <f t="shared" ref="J4994:J5057" si="392">IF(L4994="TX",Folder_Path,Folder_Path&amp;"\State_"&amp;L4994)</f>
        <v>E:\PropInv\MF</v>
      </c>
      <c r="K4994" s="103" t="str">
        <f>HYPERLINK("E:\PropInv\MF\Dallas\Stag Rd_3130_Villas of Sorrento_Dallas_15149","Stag Rd_3130_Villas of Sorrento_Dallas_15149" )</f>
        <v>Stag Rd_3130_Villas of Sorrento_Dallas_15149</v>
      </c>
      <c r="L4994" s="104" t="s">
        <v>22253</v>
      </c>
      <c r="M4994" s="103" t="str">
        <f t="shared" ref="M4994:M5057" si="393">HYPERLINK("http://oconnordata.com/mlink/modules/profile/index.cfm?action=profile&amp;prop_id="&amp;A4994)</f>
        <v>http://oconnordata.com/mlink/modules/profile/index.cfm?action=profile&amp;prop_id=15149</v>
      </c>
      <c r="N4994" s="1">
        <f t="shared" ref="N4994:N5057" si="394">IF(LEN(A4994)=1,"0000"&amp;A4994,IF(LEN(A4994)=2,"000"&amp;A4994,IF(LEN(A4994)=3,"00"&amp;A4994,IF(LEN(A4994)=4,"0"&amp;A4994,IF(LEN(A4994)=5,IF(LEFT(A4994,1)="3",A4994+30000,A4994))))))</f>
        <v>15149</v>
      </c>
    </row>
    <row r="4995" spans="1:14" x14ac:dyDescent="0.3">
      <c r="A4995" s="1">
        <v>15150</v>
      </c>
      <c r="B4995" s="7" t="s">
        <v>7550</v>
      </c>
      <c r="C4995" s="12">
        <v>3211</v>
      </c>
      <c r="D4995" s="29" t="s">
        <v>7551</v>
      </c>
      <c r="E4995" s="13" t="s">
        <v>4996</v>
      </c>
      <c r="F4995" t="str">
        <f t="shared" si="390"/>
        <v>Chapel</v>
      </c>
      <c r="G4995" t="str">
        <f t="shared" si="391"/>
        <v>Chapel3211Dallas</v>
      </c>
      <c r="H4995" t="s">
        <v>35852</v>
      </c>
      <c r="I4995" t="s">
        <v>27274</v>
      </c>
      <c r="J4995" t="str">
        <f t="shared" si="392"/>
        <v>E:\PropInv\MF</v>
      </c>
      <c r="K4995" s="103" t="str">
        <f>HYPERLINK("E:\PropInv\MF\Dallas\Chapel Creek Dr_3211_Casa Place II_Dallas_15150","Chapel Creek Dr_3211_Casa Place II_Dallas_15150" )</f>
        <v>Chapel Creek Dr_3211_Casa Place II_Dallas_15150</v>
      </c>
      <c r="L4995" s="104" t="s">
        <v>22253</v>
      </c>
      <c r="M4995" s="103" t="str">
        <f t="shared" si="393"/>
        <v>http://oconnordata.com/mlink/modules/profile/index.cfm?action=profile&amp;prop_id=15150</v>
      </c>
      <c r="N4995" s="1">
        <f t="shared" si="394"/>
        <v>15150</v>
      </c>
    </row>
    <row r="4996" spans="1:14" x14ac:dyDescent="0.3">
      <c r="A4996" s="1">
        <v>15151</v>
      </c>
      <c r="B4996" s="7" t="s">
        <v>7552</v>
      </c>
      <c r="C4996" s="12">
        <v>9500</v>
      </c>
      <c r="D4996" s="7" t="s">
        <v>7553</v>
      </c>
      <c r="E4996" s="13" t="s">
        <v>6909</v>
      </c>
      <c r="F4996" t="str">
        <f t="shared" si="390"/>
        <v>Summit</v>
      </c>
      <c r="G4996" t="str">
        <f t="shared" si="391"/>
        <v>Summit9500Benbrook</v>
      </c>
      <c r="H4996" t="s">
        <v>35853</v>
      </c>
      <c r="I4996" t="s">
        <v>27275</v>
      </c>
      <c r="J4996" t="str">
        <f t="shared" si="392"/>
        <v>E:\PropInv\MF</v>
      </c>
      <c r="K4996" s="103" t="str">
        <f>HYPERLINK("E:\PropInv\MF\Benbrook\Summit Dr_9500_Summit On The Ridge_Benbrook_15151","Summit Dr_9500_Summit On The Ridge_Benbrook_15151" )</f>
        <v>Summit Dr_9500_Summit On The Ridge_Benbrook_15151</v>
      </c>
      <c r="L4996" s="104" t="s">
        <v>22253</v>
      </c>
      <c r="M4996" s="103" t="str">
        <f t="shared" si="393"/>
        <v>http://oconnordata.com/mlink/modules/profile/index.cfm?action=profile&amp;prop_id=15151</v>
      </c>
      <c r="N4996" s="1">
        <f t="shared" si="394"/>
        <v>15151</v>
      </c>
    </row>
    <row r="4997" spans="1:14" x14ac:dyDescent="0.3">
      <c r="A4997" s="1">
        <v>15152</v>
      </c>
      <c r="B4997" s="7" t="s">
        <v>7440</v>
      </c>
      <c r="C4997" s="12">
        <v>1030</v>
      </c>
      <c r="D4997" s="7" t="s">
        <v>7554</v>
      </c>
      <c r="E4997" s="13" t="s">
        <v>5097</v>
      </c>
      <c r="F4997" t="str">
        <f t="shared" si="390"/>
        <v>Dallas</v>
      </c>
      <c r="G4997" t="str">
        <f t="shared" si="391"/>
        <v>Dallas1030Denton</v>
      </c>
      <c r="H4997" t="s">
        <v>35854</v>
      </c>
      <c r="I4997" t="s">
        <v>27276</v>
      </c>
      <c r="J4997" t="str">
        <f t="shared" si="392"/>
        <v>E:\PropInv\MF</v>
      </c>
      <c r="K4997" s="103" t="str">
        <f>HYPERLINK("E:\PropInv\MF\Denton\Dallas Dr_1030_Camino Del Sol_Denton_15152","Dallas Dr_1030_Camino Del Sol_Denton_15152" )</f>
        <v>Dallas Dr_1030_Camino Del Sol_Denton_15152</v>
      </c>
      <c r="L4997" s="104" t="s">
        <v>22253</v>
      </c>
      <c r="M4997" s="103" t="str">
        <f t="shared" si="393"/>
        <v>http://oconnordata.com/mlink/modules/profile/index.cfm?action=profile&amp;prop_id=15152</v>
      </c>
      <c r="N4997" s="1">
        <f t="shared" si="394"/>
        <v>15152</v>
      </c>
    </row>
    <row r="4998" spans="1:14" x14ac:dyDescent="0.3">
      <c r="A4998" s="1">
        <v>15154</v>
      </c>
      <c r="B4998" s="21" t="s">
        <v>7294</v>
      </c>
      <c r="C4998" s="12">
        <v>6608</v>
      </c>
      <c r="D4998" s="7" t="s">
        <v>7555</v>
      </c>
      <c r="E4998" s="13" t="s">
        <v>5014</v>
      </c>
      <c r="F4998" t="str">
        <f t="shared" si="390"/>
        <v>S</v>
      </c>
      <c r="G4998" t="str">
        <f t="shared" si="391"/>
        <v>S6608Fort Worth</v>
      </c>
      <c r="H4998" t="s">
        <v>35855</v>
      </c>
      <c r="I4998" t="s">
        <v>27277</v>
      </c>
      <c r="J4998" t="str">
        <f t="shared" si="392"/>
        <v>E:\PropInv\MF</v>
      </c>
      <c r="K4998" s="103" t="str">
        <f>HYPERLINK("E:\PropInv\MF\Fort Worth\S Fwy_6608_Sun Ridge_Fort Worth_15154","S Fwy_6608_Sun Ridge_Fort Worth_15154" )</f>
        <v>S Fwy_6608_Sun Ridge_Fort Worth_15154</v>
      </c>
      <c r="L4998" s="104" t="s">
        <v>22253</v>
      </c>
      <c r="M4998" s="103" t="str">
        <f t="shared" si="393"/>
        <v>http://oconnordata.com/mlink/modules/profile/index.cfm?action=profile&amp;prop_id=15154</v>
      </c>
      <c r="N4998" s="1">
        <f t="shared" si="394"/>
        <v>15154</v>
      </c>
    </row>
    <row r="4999" spans="1:14" x14ac:dyDescent="0.3">
      <c r="A4999" s="1">
        <v>15155</v>
      </c>
      <c r="B4999" s="7" t="s">
        <v>7220</v>
      </c>
      <c r="C4999" s="12">
        <v>4925</v>
      </c>
      <c r="D4999" s="7" t="s">
        <v>7556</v>
      </c>
      <c r="E4999" s="13" t="s">
        <v>5014</v>
      </c>
      <c r="F4999" t="str">
        <f t="shared" si="390"/>
        <v>Lancaster</v>
      </c>
      <c r="G4999" t="str">
        <f t="shared" si="391"/>
        <v>Lancaster4925Fort Worth</v>
      </c>
      <c r="H4999" t="s">
        <v>35856</v>
      </c>
      <c r="I4999" t="s">
        <v>27278</v>
      </c>
      <c r="J4999" t="str">
        <f t="shared" si="392"/>
        <v>E:\PropInv\MF</v>
      </c>
      <c r="K4999" s="103" t="str">
        <f>HYPERLINK("E:\PropInv\MF\Fort Worth\Lancaster Ave E_4925_Sunrise_Fort Worth_15155","Lancaster Ave E_4925_Sunrise_Fort Worth_15155" )</f>
        <v>Lancaster Ave E_4925_Sunrise_Fort Worth_15155</v>
      </c>
      <c r="L4999" s="104" t="s">
        <v>22253</v>
      </c>
      <c r="M4999" s="103" t="str">
        <f t="shared" si="393"/>
        <v>http://oconnordata.com/mlink/modules/profile/index.cfm?action=profile&amp;prop_id=15155</v>
      </c>
      <c r="N4999" s="1">
        <f t="shared" si="394"/>
        <v>15155</v>
      </c>
    </row>
    <row r="5000" spans="1:14" x14ac:dyDescent="0.3">
      <c r="A5000" s="1">
        <v>15156</v>
      </c>
      <c r="B5000" s="7" t="s">
        <v>7557</v>
      </c>
      <c r="C5000" s="12">
        <v>1516</v>
      </c>
      <c r="D5000" s="7" t="s">
        <v>2485</v>
      </c>
      <c r="E5000" s="13" t="s">
        <v>5046</v>
      </c>
      <c r="F5000" t="str">
        <f t="shared" si="390"/>
        <v>Irving</v>
      </c>
      <c r="G5000" t="str">
        <f t="shared" si="391"/>
        <v>Irving1516Irving</v>
      </c>
      <c r="H5000" t="s">
        <v>35857</v>
      </c>
      <c r="I5000" t="s">
        <v>27279</v>
      </c>
      <c r="J5000" t="str">
        <f t="shared" si="392"/>
        <v>E:\PropInv\MF</v>
      </c>
      <c r="K5000" s="103" t="str">
        <f>HYPERLINK("E:\PropInv\MF\Irving\Irving Blvd E_1516_Brittany Place_Irving_15156","Irving Blvd E_1516_Brittany Place_Irving_15156" )</f>
        <v>Irving Blvd E_1516_Brittany Place_Irving_15156</v>
      </c>
      <c r="L5000" s="104" t="s">
        <v>22253</v>
      </c>
      <c r="M5000" s="103" t="str">
        <f t="shared" si="393"/>
        <v>http://oconnordata.com/mlink/modules/profile/index.cfm?action=profile&amp;prop_id=15156</v>
      </c>
      <c r="N5000" s="1">
        <f t="shared" si="394"/>
        <v>15156</v>
      </c>
    </row>
    <row r="5001" spans="1:14" x14ac:dyDescent="0.3">
      <c r="A5001" s="1">
        <v>15158</v>
      </c>
      <c r="B5001" s="10" t="s">
        <v>5850</v>
      </c>
      <c r="C5001" s="9">
        <v>2610</v>
      </c>
      <c r="D5001" s="10" t="s">
        <v>7558</v>
      </c>
      <c r="E5001" s="11" t="s">
        <v>4996</v>
      </c>
      <c r="F5001" t="str">
        <f t="shared" si="390"/>
        <v>Community</v>
      </c>
      <c r="G5001" t="str">
        <f t="shared" si="391"/>
        <v>Community2610Dallas</v>
      </c>
      <c r="H5001" t="s">
        <v>35858</v>
      </c>
      <c r="I5001" t="s">
        <v>27280</v>
      </c>
      <c r="J5001" t="str">
        <f t="shared" si="392"/>
        <v>E:\PropInv\MF</v>
      </c>
      <c r="K5001" s="103" t="str">
        <f>HYPERLINK("E:\PropInv\MF\Dallas\Community_2610_Primavera_Dallas_15158","Community_2610_Primavera_Dallas_15158" )</f>
        <v>Community_2610_Primavera_Dallas_15158</v>
      </c>
      <c r="L5001" s="104" t="s">
        <v>22253</v>
      </c>
      <c r="M5001" s="103" t="str">
        <f t="shared" si="393"/>
        <v>http://oconnordata.com/mlink/modules/profile/index.cfm?action=profile&amp;prop_id=15158</v>
      </c>
      <c r="N5001" s="1">
        <f t="shared" si="394"/>
        <v>15158</v>
      </c>
    </row>
    <row r="5002" spans="1:14" x14ac:dyDescent="0.3">
      <c r="A5002" s="1">
        <v>15159</v>
      </c>
      <c r="B5002" s="7" t="s">
        <v>7559</v>
      </c>
      <c r="C5002" s="12">
        <v>11457</v>
      </c>
      <c r="D5002" s="7" t="s">
        <v>7560</v>
      </c>
      <c r="E5002" s="13" t="s">
        <v>4996</v>
      </c>
      <c r="F5002" t="str">
        <f t="shared" si="390"/>
        <v>Dennis</v>
      </c>
      <c r="G5002" t="str">
        <f t="shared" si="391"/>
        <v>Dennis11457Dallas</v>
      </c>
      <c r="H5002" t="s">
        <v>35859</v>
      </c>
      <c r="I5002" t="s">
        <v>27281</v>
      </c>
      <c r="J5002" t="str">
        <f t="shared" si="392"/>
        <v>E:\PropInv\MF</v>
      </c>
      <c r="K5002" s="103" t="str">
        <f>HYPERLINK("E:\PropInv\MF\Dallas\Dennis Rd_11457_Northaven Park_Dallas_15159","Dennis Rd_11457_Northaven Park_Dallas_15159" )</f>
        <v>Dennis Rd_11457_Northaven Park_Dallas_15159</v>
      </c>
      <c r="L5002" s="104" t="s">
        <v>22253</v>
      </c>
      <c r="M5002" s="103" t="str">
        <f t="shared" si="393"/>
        <v>http://oconnordata.com/mlink/modules/profile/index.cfm?action=profile&amp;prop_id=15159</v>
      </c>
      <c r="N5002" s="1">
        <f t="shared" si="394"/>
        <v>15159</v>
      </c>
    </row>
    <row r="5003" spans="1:14" x14ac:dyDescent="0.3">
      <c r="A5003" s="1">
        <v>15161</v>
      </c>
      <c r="B5003" s="37" t="s">
        <v>7550</v>
      </c>
      <c r="C5003" s="12">
        <v>3303</v>
      </c>
      <c r="D5003" s="7" t="s">
        <v>7561</v>
      </c>
      <c r="E5003" s="13" t="s">
        <v>4996</v>
      </c>
      <c r="F5003" t="str">
        <f t="shared" si="390"/>
        <v>Chapel</v>
      </c>
      <c r="G5003" t="str">
        <f t="shared" si="391"/>
        <v>Chapel3303Dallas</v>
      </c>
      <c r="H5003" t="s">
        <v>35860</v>
      </c>
      <c r="I5003" t="s">
        <v>27282</v>
      </c>
      <c r="J5003" t="str">
        <f t="shared" si="392"/>
        <v>E:\PropInv\MF</v>
      </c>
      <c r="K5003" s="103" t="str">
        <f>HYPERLINK("E:\PropInv\MF\Dallas\Chapel Creek Dr_3303_Casa Place I_Dallas_15161","Chapel Creek Dr_3303_Casa Place I_Dallas_15161" )</f>
        <v>Chapel Creek Dr_3303_Casa Place I_Dallas_15161</v>
      </c>
      <c r="L5003" s="104" t="s">
        <v>22253</v>
      </c>
      <c r="M5003" s="103" t="str">
        <f t="shared" si="393"/>
        <v>http://oconnordata.com/mlink/modules/profile/index.cfm?action=profile&amp;prop_id=15161</v>
      </c>
      <c r="N5003" s="1">
        <f t="shared" si="394"/>
        <v>15161</v>
      </c>
    </row>
    <row r="5004" spans="1:14" x14ac:dyDescent="0.3">
      <c r="A5004" s="1">
        <v>15162</v>
      </c>
      <c r="B5004" s="7" t="s">
        <v>7562</v>
      </c>
      <c r="C5004" s="12">
        <v>4300</v>
      </c>
      <c r="D5004" s="7" t="s">
        <v>7563</v>
      </c>
      <c r="E5004" s="13" t="s">
        <v>5088</v>
      </c>
      <c r="F5004" t="str">
        <f t="shared" si="390"/>
        <v>Gus</v>
      </c>
      <c r="G5004" t="str">
        <f t="shared" si="391"/>
        <v>Gus4300Mesquite</v>
      </c>
      <c r="H5004" t="s">
        <v>35861</v>
      </c>
      <c r="I5004" t="s">
        <v>27283</v>
      </c>
      <c r="J5004" t="str">
        <f t="shared" si="392"/>
        <v>E:\PropInv\MF</v>
      </c>
      <c r="K5004" s="103" t="str">
        <f>HYPERLINK("E:\PropInv\MF\Mesquite\Gus Thomasson Rd_4300_Princeton_Mesquite_15162","Gus Thomasson Rd_4300_Princeton_Mesquite_15162" )</f>
        <v>Gus Thomasson Rd_4300_Princeton_Mesquite_15162</v>
      </c>
      <c r="L5004" s="104" t="s">
        <v>22253</v>
      </c>
      <c r="M5004" s="103" t="str">
        <f t="shared" si="393"/>
        <v>http://oconnordata.com/mlink/modules/profile/index.cfm?action=profile&amp;prop_id=15162</v>
      </c>
      <c r="N5004" s="1">
        <f t="shared" si="394"/>
        <v>15162</v>
      </c>
    </row>
    <row r="5005" spans="1:14" x14ac:dyDescent="0.3">
      <c r="A5005" s="1">
        <v>15163</v>
      </c>
      <c r="B5005" s="7" t="s">
        <v>6833</v>
      </c>
      <c r="C5005" s="12">
        <v>2920</v>
      </c>
      <c r="D5005" s="7" t="s">
        <v>7564</v>
      </c>
      <c r="E5005" s="13" t="s">
        <v>5014</v>
      </c>
      <c r="F5005" t="str">
        <f t="shared" si="390"/>
        <v>Sycamore</v>
      </c>
      <c r="G5005" t="str">
        <f t="shared" si="391"/>
        <v>Sycamore2920Fort Worth</v>
      </c>
      <c r="H5005" t="s">
        <v>35862</v>
      </c>
      <c r="I5005" t="s">
        <v>27284</v>
      </c>
      <c r="J5005" t="str">
        <f t="shared" si="392"/>
        <v>E:\PropInv\MF</v>
      </c>
      <c r="K5005" s="103" t="str">
        <f>HYPERLINK("E:\PropInv\MF\Fort Worth\Sycamore School Rd_2920_Sycamore Trace_Fort Worth_15163","Sycamore School Rd_2920_Sycamore Trace_Fort Worth_15163" )</f>
        <v>Sycamore School Rd_2920_Sycamore Trace_Fort Worth_15163</v>
      </c>
      <c r="L5005" s="104" t="s">
        <v>22253</v>
      </c>
      <c r="M5005" s="103" t="str">
        <f t="shared" si="393"/>
        <v>http://oconnordata.com/mlink/modules/profile/index.cfm?action=profile&amp;prop_id=15163</v>
      </c>
      <c r="N5005" s="1">
        <f t="shared" si="394"/>
        <v>15163</v>
      </c>
    </row>
    <row r="5006" spans="1:14" x14ac:dyDescent="0.3">
      <c r="A5006" s="1">
        <v>15166</v>
      </c>
      <c r="B5006" s="7" t="s">
        <v>6914</v>
      </c>
      <c r="C5006" s="12">
        <v>7319</v>
      </c>
      <c r="D5006" s="7" t="s">
        <v>7565</v>
      </c>
      <c r="E5006" s="13" t="s">
        <v>4996</v>
      </c>
      <c r="F5006" t="str">
        <f t="shared" si="390"/>
        <v>Fair</v>
      </c>
      <c r="G5006" t="str">
        <f t="shared" si="391"/>
        <v>Fair7319Dallas</v>
      </c>
      <c r="H5006" t="s">
        <v>35863</v>
      </c>
      <c r="I5006" t="s">
        <v>27285</v>
      </c>
      <c r="J5006" t="str">
        <f t="shared" si="392"/>
        <v>E:\PropInv\MF</v>
      </c>
      <c r="K5006" s="103" t="str">
        <f>HYPERLINK("E:\PropInv\MF\Dallas\Fair Oaks Ave_7319_Vickery Creek_Dallas_15166","Fair Oaks Ave_7319_Vickery Creek_Dallas_15166" )</f>
        <v>Fair Oaks Ave_7319_Vickery Creek_Dallas_15166</v>
      </c>
      <c r="L5006" s="104" t="s">
        <v>22253</v>
      </c>
      <c r="M5006" s="103" t="str">
        <f t="shared" si="393"/>
        <v>http://oconnordata.com/mlink/modules/profile/index.cfm?action=profile&amp;prop_id=15166</v>
      </c>
      <c r="N5006" s="1">
        <f t="shared" si="394"/>
        <v>15166</v>
      </c>
    </row>
    <row r="5007" spans="1:14" x14ac:dyDescent="0.3">
      <c r="A5007" s="1">
        <v>15168</v>
      </c>
      <c r="B5007" s="7" t="s">
        <v>7566</v>
      </c>
      <c r="C5007" s="12">
        <v>9709</v>
      </c>
      <c r="D5007" s="7" t="s">
        <v>7567</v>
      </c>
      <c r="E5007" s="13" t="s">
        <v>4996</v>
      </c>
      <c r="F5007" t="str">
        <f t="shared" si="390"/>
        <v>Starlight</v>
      </c>
      <c r="G5007" t="str">
        <f t="shared" si="391"/>
        <v>Starlight9709Dallas</v>
      </c>
      <c r="H5007" t="s">
        <v>35864</v>
      </c>
      <c r="I5007" t="s">
        <v>27286</v>
      </c>
      <c r="J5007" t="str">
        <f t="shared" si="392"/>
        <v>E:\PropInv\MF</v>
      </c>
      <c r="K5007" s="103" t="str">
        <f>HYPERLINK("E:\PropInv\MF\Dallas\Starlight Rd_9709_Starlight_Dallas_15168","Starlight Rd_9709_Starlight_Dallas_15168" )</f>
        <v>Starlight Rd_9709_Starlight_Dallas_15168</v>
      </c>
      <c r="L5007" s="104" t="s">
        <v>22253</v>
      </c>
      <c r="M5007" s="103" t="str">
        <f t="shared" si="393"/>
        <v>http://oconnordata.com/mlink/modules/profile/index.cfm?action=profile&amp;prop_id=15168</v>
      </c>
      <c r="N5007" s="1">
        <f t="shared" si="394"/>
        <v>15168</v>
      </c>
    </row>
    <row r="5008" spans="1:14" x14ac:dyDescent="0.3">
      <c r="A5008" s="1">
        <v>15169</v>
      </c>
      <c r="B5008" s="7" t="s">
        <v>5338</v>
      </c>
      <c r="C5008" s="12">
        <v>10702</v>
      </c>
      <c r="D5008" s="7" t="s">
        <v>7568</v>
      </c>
      <c r="E5008" s="13" t="s">
        <v>4996</v>
      </c>
      <c r="F5008" t="str">
        <f t="shared" si="390"/>
        <v>Stone</v>
      </c>
      <c r="G5008" t="str">
        <f t="shared" si="391"/>
        <v>Stone10702Dallas</v>
      </c>
      <c r="H5008" t="s">
        <v>35865</v>
      </c>
      <c r="I5008" t="s">
        <v>27287</v>
      </c>
      <c r="J5008" t="str">
        <f t="shared" si="392"/>
        <v>E:\PropInv\MF</v>
      </c>
      <c r="K5008" s="103" t="str">
        <f>HYPERLINK("E:\PropInv\MF\Dallas\Stone Canyon Rd_10702_Viewpoint &amp; Woodbridge_Dallas_15169","Stone Canyon Rd_10702_Viewpoint &amp; Woodbridge_Dallas_15169" )</f>
        <v>Stone Canyon Rd_10702_Viewpoint &amp; Woodbridge_Dallas_15169</v>
      </c>
      <c r="L5008" s="104" t="s">
        <v>22253</v>
      </c>
      <c r="M5008" s="103" t="str">
        <f t="shared" si="393"/>
        <v>http://oconnordata.com/mlink/modules/profile/index.cfm?action=profile&amp;prop_id=15169</v>
      </c>
      <c r="N5008" s="1">
        <f t="shared" si="394"/>
        <v>15169</v>
      </c>
    </row>
    <row r="5009" spans="1:14" x14ac:dyDescent="0.3">
      <c r="A5009" s="1">
        <v>15172</v>
      </c>
      <c r="B5009" s="7" t="s">
        <v>7569</v>
      </c>
      <c r="C5009" s="12">
        <v>2800</v>
      </c>
      <c r="D5009" s="7" t="s">
        <v>1366</v>
      </c>
      <c r="E5009" s="13" t="s">
        <v>4996</v>
      </c>
      <c r="F5009" t="str">
        <f t="shared" si="390"/>
        <v>Douglas</v>
      </c>
      <c r="G5009" t="str">
        <f t="shared" si="391"/>
        <v>Douglas2800Dallas</v>
      </c>
      <c r="H5009" t="s">
        <v>35866</v>
      </c>
      <c r="I5009" t="s">
        <v>27288</v>
      </c>
      <c r="J5009" t="str">
        <f t="shared" si="392"/>
        <v>E:\PropInv\MF</v>
      </c>
      <c r="K5009" s="103" t="str">
        <f>HYPERLINK("E:\PropInv\MF\Dallas\Douglas Ave_2800_Stepping Stone_Dallas_15172","Douglas Ave_2800_Stepping Stone_Dallas_15172" )</f>
        <v>Douglas Ave_2800_Stepping Stone_Dallas_15172</v>
      </c>
      <c r="L5009" s="104" t="s">
        <v>22253</v>
      </c>
      <c r="M5009" s="103" t="str">
        <f t="shared" si="393"/>
        <v>http://oconnordata.com/mlink/modules/profile/index.cfm?action=profile&amp;prop_id=15172</v>
      </c>
      <c r="N5009" s="1">
        <f t="shared" si="394"/>
        <v>15172</v>
      </c>
    </row>
    <row r="5010" spans="1:14" x14ac:dyDescent="0.3">
      <c r="A5010" s="1">
        <v>15173</v>
      </c>
      <c r="B5010" s="7" t="s">
        <v>7570</v>
      </c>
      <c r="C5010" s="12">
        <v>2911</v>
      </c>
      <c r="D5010" s="7" t="s">
        <v>7571</v>
      </c>
      <c r="E5010" s="13" t="s">
        <v>4996</v>
      </c>
      <c r="F5010" t="str">
        <f t="shared" si="390"/>
        <v>Clydedale</v>
      </c>
      <c r="G5010" t="str">
        <f t="shared" si="391"/>
        <v>Clydedale2911Dallas</v>
      </c>
      <c r="H5010" t="s">
        <v>35867</v>
      </c>
      <c r="I5010" t="s">
        <v>27289</v>
      </c>
      <c r="J5010" t="str">
        <f t="shared" si="392"/>
        <v>E:\PropInv\MF</v>
      </c>
      <c r="K5010" s="103" t="str">
        <f>HYPERLINK("E:\PropInv\MF\Dallas\Clydedale Dr_2911_Villas Del Lago_Dallas_15173","Clydedale Dr_2911_Villas Del Lago_Dallas_15173" )</f>
        <v>Clydedale Dr_2911_Villas Del Lago_Dallas_15173</v>
      </c>
      <c r="L5010" s="104" t="s">
        <v>22253</v>
      </c>
      <c r="M5010" s="103" t="str">
        <f t="shared" si="393"/>
        <v>http://oconnordata.com/mlink/modules/profile/index.cfm?action=profile&amp;prop_id=15173</v>
      </c>
      <c r="N5010" s="1">
        <f t="shared" si="394"/>
        <v>15173</v>
      </c>
    </row>
    <row r="5011" spans="1:14" x14ac:dyDescent="0.3">
      <c r="A5011" s="1">
        <v>15175</v>
      </c>
      <c r="B5011" s="7" t="s">
        <v>7572</v>
      </c>
      <c r="C5011" s="12">
        <v>7575</v>
      </c>
      <c r="D5011" s="7" t="s">
        <v>3329</v>
      </c>
      <c r="E5011" s="13" t="s">
        <v>4996</v>
      </c>
      <c r="F5011" t="str">
        <f t="shared" si="390"/>
        <v>Westmoreland</v>
      </c>
      <c r="G5011" t="str">
        <f t="shared" si="391"/>
        <v>Westmoreland7575Dallas</v>
      </c>
      <c r="H5011" t="s">
        <v>35868</v>
      </c>
      <c r="I5011" t="s">
        <v>27290</v>
      </c>
      <c r="J5011" t="str">
        <f t="shared" si="392"/>
        <v>E:\PropInv\MF</v>
      </c>
      <c r="K5011" s="103" t="str">
        <f>HYPERLINK("E:\PropInv\MF\Dallas\Westmoreland S_7575_Park Village_Dallas_15175","Westmoreland S_7575_Park Village_Dallas_15175" )</f>
        <v>Westmoreland S_7575_Park Village_Dallas_15175</v>
      </c>
      <c r="L5011" s="104" t="s">
        <v>22253</v>
      </c>
      <c r="M5011" s="103" t="str">
        <f t="shared" si="393"/>
        <v>http://oconnordata.com/mlink/modules/profile/index.cfm?action=profile&amp;prop_id=15175</v>
      </c>
      <c r="N5011" s="1">
        <f t="shared" si="394"/>
        <v>15175</v>
      </c>
    </row>
    <row r="5012" spans="1:14" x14ac:dyDescent="0.3">
      <c r="A5012" s="1">
        <v>15177</v>
      </c>
      <c r="B5012" s="7" t="s">
        <v>5397</v>
      </c>
      <c r="C5012" s="12">
        <v>4600</v>
      </c>
      <c r="D5012" s="7" t="s">
        <v>7573</v>
      </c>
      <c r="E5012" s="13" t="s">
        <v>5046</v>
      </c>
      <c r="F5012" t="str">
        <f t="shared" si="390"/>
        <v>Pioneer</v>
      </c>
      <c r="G5012" t="str">
        <f t="shared" si="391"/>
        <v>Pioneer4600Irving</v>
      </c>
      <c r="H5012" t="s">
        <v>35869</v>
      </c>
      <c r="I5012" t="s">
        <v>27291</v>
      </c>
      <c r="J5012" t="str">
        <f t="shared" si="392"/>
        <v>E:\PropInv\MF</v>
      </c>
      <c r="K5012" s="103" t="str">
        <f>HYPERLINK("E:\PropInv\MF\Irving\Pioneer W_4600_Lakeview Apts_Irving_15177","Pioneer W_4600_Lakeview Apts_Irving_15177" )</f>
        <v>Pioneer W_4600_Lakeview Apts_Irving_15177</v>
      </c>
      <c r="L5012" s="104" t="s">
        <v>22253</v>
      </c>
      <c r="M5012" s="103" t="str">
        <f t="shared" si="393"/>
        <v>http://oconnordata.com/mlink/modules/profile/index.cfm?action=profile&amp;prop_id=15177</v>
      </c>
      <c r="N5012" s="1">
        <f t="shared" si="394"/>
        <v>15177</v>
      </c>
    </row>
    <row r="5013" spans="1:14" x14ac:dyDescent="0.3">
      <c r="A5013" s="1">
        <v>15178</v>
      </c>
      <c r="B5013" s="7" t="s">
        <v>6500</v>
      </c>
      <c r="C5013" s="12">
        <v>803</v>
      </c>
      <c r="D5013" s="7" t="s">
        <v>7574</v>
      </c>
      <c r="E5013" s="13" t="s">
        <v>5228</v>
      </c>
      <c r="F5013" t="str">
        <f t="shared" si="390"/>
        <v>Link</v>
      </c>
      <c r="G5013" t="str">
        <f t="shared" si="391"/>
        <v>Link803Duncanville</v>
      </c>
      <c r="H5013" t="s">
        <v>35870</v>
      </c>
      <c r="I5013" t="s">
        <v>27292</v>
      </c>
      <c r="J5013" t="str">
        <f t="shared" si="392"/>
        <v>E:\PropInv\MF</v>
      </c>
      <c r="K5013" s="103" t="str">
        <f>HYPERLINK("E:\PropInv\MF\Duncanville\Link Dr_803_Red Bird Village_Duncanville_15178","Link Dr_803_Red Bird Village_Duncanville_15178" )</f>
        <v>Link Dr_803_Red Bird Village_Duncanville_15178</v>
      </c>
      <c r="L5013" s="104" t="s">
        <v>22253</v>
      </c>
      <c r="M5013" s="103" t="str">
        <f t="shared" si="393"/>
        <v>http://oconnordata.com/mlink/modules/profile/index.cfm?action=profile&amp;prop_id=15178</v>
      </c>
      <c r="N5013" s="1">
        <f t="shared" si="394"/>
        <v>15178</v>
      </c>
    </row>
    <row r="5014" spans="1:14" x14ac:dyDescent="0.3">
      <c r="A5014" s="1">
        <v>15182</v>
      </c>
      <c r="B5014" s="10" t="s">
        <v>7575</v>
      </c>
      <c r="C5014" s="9">
        <v>2833</v>
      </c>
      <c r="D5014" s="10" t="s">
        <v>3994</v>
      </c>
      <c r="E5014" s="11" t="s">
        <v>4996</v>
      </c>
      <c r="F5014" t="str">
        <f t="shared" si="390"/>
        <v>Community</v>
      </c>
      <c r="G5014" t="str">
        <f t="shared" si="391"/>
        <v>Community2833Dallas</v>
      </c>
      <c r="H5014" t="s">
        <v>35871</v>
      </c>
      <c r="I5014" t="s">
        <v>27293</v>
      </c>
      <c r="J5014" t="str">
        <f t="shared" si="392"/>
        <v>E:\PropInv\MF</v>
      </c>
      <c r="K5014" s="103" t="str">
        <f>HYPERLINK("E:\PropInv\MF\Dallas\Community Dr_2833_Parkside Place_Dallas_15182","Community Dr_2833_Parkside Place_Dallas_15182" )</f>
        <v>Community Dr_2833_Parkside Place_Dallas_15182</v>
      </c>
      <c r="L5014" s="104" t="s">
        <v>22253</v>
      </c>
      <c r="M5014" s="103" t="str">
        <f t="shared" si="393"/>
        <v>http://oconnordata.com/mlink/modules/profile/index.cfm?action=profile&amp;prop_id=15182</v>
      </c>
      <c r="N5014" s="1">
        <f t="shared" si="394"/>
        <v>15182</v>
      </c>
    </row>
    <row r="5015" spans="1:14" x14ac:dyDescent="0.3">
      <c r="A5015" s="1">
        <v>15183</v>
      </c>
      <c r="B5015" s="10" t="s">
        <v>6932</v>
      </c>
      <c r="C5015" s="9">
        <v>8008</v>
      </c>
      <c r="D5015" s="10" t="s">
        <v>7576</v>
      </c>
      <c r="E5015" s="11" t="s">
        <v>4996</v>
      </c>
      <c r="F5015" t="str">
        <f t="shared" si="390"/>
        <v>Military</v>
      </c>
      <c r="G5015" t="str">
        <f t="shared" si="391"/>
        <v>Military8008Dallas</v>
      </c>
      <c r="H5015" t="s">
        <v>35872</v>
      </c>
      <c r="I5015" t="s">
        <v>27294</v>
      </c>
      <c r="J5015" t="str">
        <f t="shared" si="392"/>
        <v>E:\PropInv\MF</v>
      </c>
      <c r="K5015" s="103" t="str">
        <f>HYPERLINK("E:\PropInv\MF\Dallas\Military Pkwy_8008_Parkway Garden-Norvell Garden_Dallas_15183","Military Pkwy_8008_Parkway Garden-Norvell Garden_Dallas_15183" )</f>
        <v>Military Pkwy_8008_Parkway Garden-Norvell Garden_Dallas_15183</v>
      </c>
      <c r="L5015" s="104" t="s">
        <v>22253</v>
      </c>
      <c r="M5015" s="103" t="str">
        <f t="shared" si="393"/>
        <v>http://oconnordata.com/mlink/modules/profile/index.cfm?action=profile&amp;prop_id=15183</v>
      </c>
      <c r="N5015" s="1">
        <f t="shared" si="394"/>
        <v>15183</v>
      </c>
    </row>
    <row r="5016" spans="1:14" x14ac:dyDescent="0.3">
      <c r="A5016" s="1">
        <v>15184</v>
      </c>
      <c r="B5016" s="7" t="s">
        <v>6965</v>
      </c>
      <c r="C5016" s="12">
        <v>3503</v>
      </c>
      <c r="D5016" s="7" t="s">
        <v>7577</v>
      </c>
      <c r="E5016" s="13" t="s">
        <v>5046</v>
      </c>
      <c r="F5016" t="str">
        <f t="shared" si="390"/>
        <v>Walnut</v>
      </c>
      <c r="G5016" t="str">
        <f t="shared" si="391"/>
        <v>Walnut3503Irving</v>
      </c>
      <c r="H5016" t="s">
        <v>35873</v>
      </c>
      <c r="I5016" t="s">
        <v>27295</v>
      </c>
      <c r="J5016" t="str">
        <f t="shared" si="392"/>
        <v>E:\PropInv\MF</v>
      </c>
      <c r="K5016" s="103" t="str">
        <f>HYPERLINK("E:\PropInv\MF\Irving\Walnut Hill Ln_3503_San Simeon_Irving_15184","Walnut Hill Ln_3503_San Simeon_Irving_15184" )</f>
        <v>Walnut Hill Ln_3503_San Simeon_Irving_15184</v>
      </c>
      <c r="L5016" s="104" t="s">
        <v>22253</v>
      </c>
      <c r="M5016" s="103" t="str">
        <f t="shared" si="393"/>
        <v>http://oconnordata.com/mlink/modules/profile/index.cfm?action=profile&amp;prop_id=15184</v>
      </c>
      <c r="N5016" s="1">
        <f t="shared" si="394"/>
        <v>15184</v>
      </c>
    </row>
    <row r="5017" spans="1:14" x14ac:dyDescent="0.3">
      <c r="A5017" s="1">
        <v>15187</v>
      </c>
      <c r="B5017" s="7" t="s">
        <v>7578</v>
      </c>
      <c r="C5017" s="12">
        <v>1607</v>
      </c>
      <c r="D5017" s="7" t="s">
        <v>7579</v>
      </c>
      <c r="E5017" s="13" t="s">
        <v>4996</v>
      </c>
      <c r="F5017" t="str">
        <f t="shared" si="390"/>
        <v>Lyte</v>
      </c>
      <c r="G5017" t="str">
        <f t="shared" si="391"/>
        <v>Lyte1607Dallas</v>
      </c>
      <c r="H5017" t="s">
        <v>35874</v>
      </c>
      <c r="I5017" t="s">
        <v>27296</v>
      </c>
      <c r="J5017" t="str">
        <f t="shared" si="392"/>
        <v>E:\PropInv\MF</v>
      </c>
      <c r="K5017" s="103" t="str">
        <f>HYPERLINK("E:\PropInv\MF\Dallas\Lyte St_1607_Magnolia Station_Dallas_15187","Lyte St_1607_Magnolia Station_Dallas_15187" )</f>
        <v>Lyte St_1607_Magnolia Station_Dallas_15187</v>
      </c>
      <c r="L5017" s="104" t="s">
        <v>22253</v>
      </c>
      <c r="M5017" s="103" t="str">
        <f t="shared" si="393"/>
        <v>http://oconnordata.com/mlink/modules/profile/index.cfm?action=profile&amp;prop_id=15187</v>
      </c>
      <c r="N5017" s="1">
        <f t="shared" si="394"/>
        <v>15187</v>
      </c>
    </row>
    <row r="5018" spans="1:14" x14ac:dyDescent="0.3">
      <c r="A5018" s="1">
        <v>15188</v>
      </c>
      <c r="B5018" s="7" t="s">
        <v>7580</v>
      </c>
      <c r="C5018" s="12">
        <v>400</v>
      </c>
      <c r="D5018" s="7" t="s">
        <v>3795</v>
      </c>
      <c r="E5018" s="13" t="s">
        <v>5046</v>
      </c>
      <c r="F5018" t="str">
        <f t="shared" si="390"/>
        <v>Irby</v>
      </c>
      <c r="G5018" t="str">
        <f t="shared" si="391"/>
        <v>Irby400Irving</v>
      </c>
      <c r="H5018" t="s">
        <v>35875</v>
      </c>
      <c r="I5018" t="s">
        <v>27297</v>
      </c>
      <c r="J5018" t="str">
        <f t="shared" si="392"/>
        <v>E:\PropInv\MF</v>
      </c>
      <c r="K5018" s="103" t="str">
        <f>HYPERLINK("E:\PropInv\MF\Irving\Irby Ln N_400_Parkwood_Irving_15188","Irby Ln N_400_Parkwood_Irving_15188" )</f>
        <v>Irby Ln N_400_Parkwood_Irving_15188</v>
      </c>
      <c r="L5018" s="104" t="s">
        <v>22253</v>
      </c>
      <c r="M5018" s="103" t="str">
        <f t="shared" si="393"/>
        <v>http://oconnordata.com/mlink/modules/profile/index.cfm?action=profile&amp;prop_id=15188</v>
      </c>
      <c r="N5018" s="1">
        <f t="shared" si="394"/>
        <v>15188</v>
      </c>
    </row>
    <row r="5019" spans="1:14" x14ac:dyDescent="0.3">
      <c r="A5019" s="1">
        <v>15189</v>
      </c>
      <c r="B5019" s="7" t="s">
        <v>7581</v>
      </c>
      <c r="C5019" s="12">
        <v>4323</v>
      </c>
      <c r="D5019" s="7" t="s">
        <v>7582</v>
      </c>
      <c r="E5019" s="13" t="s">
        <v>5046</v>
      </c>
      <c r="F5019" t="str">
        <f t="shared" si="390"/>
        <v>Shore</v>
      </c>
      <c r="G5019" t="str">
        <f t="shared" si="391"/>
        <v>Shore4323Irving</v>
      </c>
      <c r="H5019" t="s">
        <v>35876</v>
      </c>
      <c r="I5019" t="s">
        <v>27298</v>
      </c>
      <c r="J5019" t="str">
        <f t="shared" si="392"/>
        <v>E:\PropInv\MF</v>
      </c>
      <c r="K5019" s="103" t="str">
        <f>HYPERLINK("E:\PropInv\MF\Irving\Shore N_4323_Reserve at Las Brisas I_Irving_15189","Shore N_4323_Reserve at Las Brisas I_Irving_15189" )</f>
        <v>Shore N_4323_Reserve at Las Brisas I_Irving_15189</v>
      </c>
      <c r="L5019" s="104" t="s">
        <v>22253</v>
      </c>
      <c r="M5019" s="103" t="str">
        <f t="shared" si="393"/>
        <v>http://oconnordata.com/mlink/modules/profile/index.cfm?action=profile&amp;prop_id=15189</v>
      </c>
      <c r="N5019" s="1">
        <f t="shared" si="394"/>
        <v>15189</v>
      </c>
    </row>
    <row r="5020" spans="1:14" x14ac:dyDescent="0.3">
      <c r="A5020" s="1">
        <v>15191</v>
      </c>
      <c r="B5020" s="7" t="s">
        <v>7583</v>
      </c>
      <c r="C5020" s="12">
        <v>3132</v>
      </c>
      <c r="D5020" s="7" t="s">
        <v>7584</v>
      </c>
      <c r="E5020" s="13" t="s">
        <v>4996</v>
      </c>
      <c r="F5020" t="str">
        <f t="shared" si="390"/>
        <v>Norwalk</v>
      </c>
      <c r="G5020" t="str">
        <f t="shared" si="391"/>
        <v>Norwalk3132Dallas</v>
      </c>
      <c r="H5020" t="s">
        <v>35877</v>
      </c>
      <c r="I5020" t="s">
        <v>27299</v>
      </c>
      <c r="J5020" t="str">
        <f t="shared" si="392"/>
        <v>E:\PropInv\MF</v>
      </c>
      <c r="K5020" s="103" t="str">
        <f>HYPERLINK("E:\PropInv\MF\Dallas\Norwalk_3132_Big Block II_Dallas_15191","Norwalk_3132_Big Block II_Dallas_15191" )</f>
        <v>Norwalk_3132_Big Block II_Dallas_15191</v>
      </c>
      <c r="L5020" s="104" t="s">
        <v>22253</v>
      </c>
      <c r="M5020" s="103" t="str">
        <f t="shared" si="393"/>
        <v>http://oconnordata.com/mlink/modules/profile/index.cfm?action=profile&amp;prop_id=15191</v>
      </c>
      <c r="N5020" s="1">
        <f t="shared" si="394"/>
        <v>15191</v>
      </c>
    </row>
    <row r="5021" spans="1:14" x14ac:dyDescent="0.3">
      <c r="A5021" s="1">
        <v>15194</v>
      </c>
      <c r="B5021" s="7" t="s">
        <v>7585</v>
      </c>
      <c r="C5021" s="12">
        <v>4406</v>
      </c>
      <c r="D5021" s="7" t="s">
        <v>7586</v>
      </c>
      <c r="E5021" s="13" t="s">
        <v>4996</v>
      </c>
      <c r="F5021" t="str">
        <f t="shared" si="390"/>
        <v>Bowser</v>
      </c>
      <c r="G5021" t="str">
        <f t="shared" si="391"/>
        <v>Bowser4406Dallas</v>
      </c>
      <c r="H5021" t="s">
        <v>35878</v>
      </c>
      <c r="I5021" t="s">
        <v>27300</v>
      </c>
      <c r="J5021" t="str">
        <f t="shared" si="392"/>
        <v>E:\PropInv\MF</v>
      </c>
      <c r="K5021" s="103" t="str">
        <f>HYPERLINK("E:\PropInv\MF\Dallas\Bowser Ave_4406_Manhattan_Dallas_15194","Bowser Ave_4406_Manhattan_Dallas_15194" )</f>
        <v>Bowser Ave_4406_Manhattan_Dallas_15194</v>
      </c>
      <c r="L5021" s="104" t="s">
        <v>22253</v>
      </c>
      <c r="M5021" s="103" t="str">
        <f t="shared" si="393"/>
        <v>http://oconnordata.com/mlink/modules/profile/index.cfm?action=profile&amp;prop_id=15194</v>
      </c>
      <c r="N5021" s="1">
        <f t="shared" si="394"/>
        <v>15194</v>
      </c>
    </row>
    <row r="5022" spans="1:14" x14ac:dyDescent="0.3">
      <c r="A5022" s="1">
        <v>15195</v>
      </c>
      <c r="B5022" s="7" t="s">
        <v>5192</v>
      </c>
      <c r="C5022" s="12">
        <v>9505</v>
      </c>
      <c r="D5022" s="7" t="s">
        <v>1329</v>
      </c>
      <c r="E5022" s="13" t="s">
        <v>4996</v>
      </c>
      <c r="F5022" t="str">
        <f t="shared" si="390"/>
        <v>Brockbank</v>
      </c>
      <c r="G5022" t="str">
        <f t="shared" si="391"/>
        <v>Brockbank9505Dallas</v>
      </c>
      <c r="H5022" t="s">
        <v>35879</v>
      </c>
      <c r="I5022" t="s">
        <v>27301</v>
      </c>
      <c r="J5022" t="str">
        <f t="shared" si="392"/>
        <v>E:\PropInv\MF</v>
      </c>
      <c r="K5022" s="103" t="str">
        <f>HYPERLINK("E:\PropInv\MF\Dallas\Brockbank_9505_Santa Fe_Dallas_15195","Brockbank_9505_Santa Fe_Dallas_15195" )</f>
        <v>Brockbank_9505_Santa Fe_Dallas_15195</v>
      </c>
      <c r="L5022" s="104" t="s">
        <v>22253</v>
      </c>
      <c r="M5022" s="103" t="str">
        <f t="shared" si="393"/>
        <v>http://oconnordata.com/mlink/modules/profile/index.cfm?action=profile&amp;prop_id=15195</v>
      </c>
      <c r="N5022" s="1">
        <f t="shared" si="394"/>
        <v>15195</v>
      </c>
    </row>
    <row r="5023" spans="1:14" x14ac:dyDescent="0.3">
      <c r="A5023" s="1">
        <v>15198</v>
      </c>
      <c r="B5023" s="7" t="s">
        <v>7587</v>
      </c>
      <c r="C5023" s="12">
        <v>3102</v>
      </c>
      <c r="D5023" s="7" t="s">
        <v>7588</v>
      </c>
      <c r="E5023" s="13" t="s">
        <v>4996</v>
      </c>
      <c r="F5023" t="str">
        <f t="shared" si="390"/>
        <v>Oradell</v>
      </c>
      <c r="G5023" t="str">
        <f t="shared" si="391"/>
        <v>Oradell3102Dallas</v>
      </c>
      <c r="H5023" t="s">
        <v>35880</v>
      </c>
      <c r="I5023" t="s">
        <v>27302</v>
      </c>
      <c r="J5023" t="str">
        <f t="shared" si="392"/>
        <v>E:\PropInv\MF</v>
      </c>
      <c r="K5023" s="103" t="str">
        <f>HYPERLINK("E:\PropInv\MF\Dallas\Oradell_3102_El Sol Del Lago_Dallas_15198","Oradell_3102_El Sol Del Lago_Dallas_15198" )</f>
        <v>Oradell_3102_El Sol Del Lago_Dallas_15198</v>
      </c>
      <c r="L5023" s="104" t="s">
        <v>22253</v>
      </c>
      <c r="M5023" s="103" t="str">
        <f t="shared" si="393"/>
        <v>http://oconnordata.com/mlink/modules/profile/index.cfm?action=profile&amp;prop_id=15198</v>
      </c>
      <c r="N5023" s="1">
        <f t="shared" si="394"/>
        <v>15198</v>
      </c>
    </row>
    <row r="5024" spans="1:14" x14ac:dyDescent="0.3">
      <c r="A5024" s="1">
        <v>15199</v>
      </c>
      <c r="B5024" s="7" t="s">
        <v>7589</v>
      </c>
      <c r="C5024" s="12">
        <v>7700</v>
      </c>
      <c r="D5024" s="7" t="s">
        <v>7590</v>
      </c>
      <c r="E5024" s="13" t="s">
        <v>4996</v>
      </c>
      <c r="F5024" t="str">
        <f t="shared" si="390"/>
        <v>Greenway</v>
      </c>
      <c r="G5024" t="str">
        <f t="shared" si="391"/>
        <v>Greenway7700Dallas</v>
      </c>
      <c r="H5024" t="s">
        <v>35881</v>
      </c>
      <c r="I5024" t="s">
        <v>27303</v>
      </c>
      <c r="J5024" t="str">
        <f t="shared" si="392"/>
        <v>E:\PropInv\MF</v>
      </c>
      <c r="K5024" s="103" t="str">
        <f>HYPERLINK("E:\PropInv\MF\Dallas\Greenway Blvd_7700_Pavilion Townplace_Dallas_15199","Greenway Blvd_7700_Pavilion Townplace_Dallas_15199" )</f>
        <v>Greenway Blvd_7700_Pavilion Townplace_Dallas_15199</v>
      </c>
      <c r="L5024" s="104" t="s">
        <v>22253</v>
      </c>
      <c r="M5024" s="103" t="str">
        <f t="shared" si="393"/>
        <v>http://oconnordata.com/mlink/modules/profile/index.cfm?action=profile&amp;prop_id=15199</v>
      </c>
      <c r="N5024" s="1">
        <f t="shared" si="394"/>
        <v>15199</v>
      </c>
    </row>
    <row r="5025" spans="1:14" x14ac:dyDescent="0.3">
      <c r="A5025" s="1">
        <v>15200</v>
      </c>
      <c r="B5025" s="7" t="s">
        <v>7591</v>
      </c>
      <c r="C5025" s="12">
        <v>501</v>
      </c>
      <c r="D5025" s="7" t="s">
        <v>7592</v>
      </c>
      <c r="E5025" s="13" t="s">
        <v>5055</v>
      </c>
      <c r="F5025" t="str">
        <f t="shared" si="390"/>
        <v>Highland</v>
      </c>
      <c r="G5025" t="str">
        <f t="shared" si="391"/>
        <v>Highland501Lewisville</v>
      </c>
      <c r="H5025" t="s">
        <v>35882</v>
      </c>
      <c r="I5025" t="s">
        <v>27304</v>
      </c>
      <c r="J5025" t="str">
        <f t="shared" si="392"/>
        <v>E:\PropInv\MF</v>
      </c>
      <c r="K5025" s="103" t="str">
        <f>HYPERLINK("E:\PropInv\MF\Lewisville\Highland Dr_501_The Marquis at Vista Ridge_Lewisville_15200","Highland Dr_501_The Marquis at Vista Ridge_Lewisville_15200" )</f>
        <v>Highland Dr_501_The Marquis at Vista Ridge_Lewisville_15200</v>
      </c>
      <c r="L5025" s="104" t="s">
        <v>22253</v>
      </c>
      <c r="M5025" s="103" t="str">
        <f t="shared" si="393"/>
        <v>http://oconnordata.com/mlink/modules/profile/index.cfm?action=profile&amp;prop_id=15200</v>
      </c>
      <c r="N5025" s="1">
        <f t="shared" si="394"/>
        <v>15200</v>
      </c>
    </row>
    <row r="5026" spans="1:14" x14ac:dyDescent="0.3">
      <c r="A5026" s="1">
        <v>15203</v>
      </c>
      <c r="B5026" s="7" t="s">
        <v>7593</v>
      </c>
      <c r="C5026" s="12">
        <v>2200</v>
      </c>
      <c r="D5026" s="7" t="s">
        <v>6053</v>
      </c>
      <c r="E5026" s="13" t="s">
        <v>5046</v>
      </c>
      <c r="F5026" t="str">
        <f t="shared" si="390"/>
        <v>William</v>
      </c>
      <c r="G5026" t="str">
        <f t="shared" si="391"/>
        <v>William2200Irving</v>
      </c>
      <c r="H5026" t="s">
        <v>35883</v>
      </c>
      <c r="I5026" t="s">
        <v>27305</v>
      </c>
      <c r="J5026" t="str">
        <f t="shared" si="392"/>
        <v>E:\PropInv\MF</v>
      </c>
      <c r="K5026" s="103" t="str">
        <f>HYPERLINK("E:\PropInv\MF\Irving\William Brewster_2200_Pebblebrook_Irving_15203","William Brewster_2200_Pebblebrook_Irving_15203" )</f>
        <v>William Brewster_2200_Pebblebrook_Irving_15203</v>
      </c>
      <c r="L5026" s="104" t="s">
        <v>22253</v>
      </c>
      <c r="M5026" s="103" t="str">
        <f t="shared" si="393"/>
        <v>http://oconnordata.com/mlink/modules/profile/index.cfm?action=profile&amp;prop_id=15203</v>
      </c>
      <c r="N5026" s="1">
        <f t="shared" si="394"/>
        <v>15203</v>
      </c>
    </row>
    <row r="5027" spans="1:14" x14ac:dyDescent="0.3">
      <c r="A5027" s="1">
        <v>15205</v>
      </c>
      <c r="B5027" s="7" t="s">
        <v>7594</v>
      </c>
      <c r="C5027" s="12">
        <v>1609</v>
      </c>
      <c r="D5027" s="7" t="s">
        <v>7595</v>
      </c>
      <c r="E5027" s="13" t="s">
        <v>7596</v>
      </c>
      <c r="F5027" t="str">
        <f t="shared" si="390"/>
        <v>Irving</v>
      </c>
      <c r="G5027" t="str">
        <f t="shared" si="391"/>
        <v>Irving1609North Irving</v>
      </c>
      <c r="H5027" t="s">
        <v>35884</v>
      </c>
      <c r="I5027" t="s">
        <v>27306</v>
      </c>
      <c r="J5027" t="str">
        <f t="shared" si="392"/>
        <v>E:\PropInv\MF</v>
      </c>
      <c r="K5027" s="103" t="str">
        <f>HYPERLINK("E:\PropInv\MF\North Irving\Irving Heights Dr_1609_Meadowbrook Heights_North Irving_15205","Irving Heights Dr_1609_Meadowbrook Heights_North Irving_15205" )</f>
        <v>Irving Heights Dr_1609_Meadowbrook Heights_North Irving_15205</v>
      </c>
      <c r="L5027" s="104" t="s">
        <v>22253</v>
      </c>
      <c r="M5027" s="103" t="str">
        <f t="shared" si="393"/>
        <v>http://oconnordata.com/mlink/modules/profile/index.cfm?action=profile&amp;prop_id=15205</v>
      </c>
      <c r="N5027" s="1">
        <f t="shared" si="394"/>
        <v>15205</v>
      </c>
    </row>
    <row r="5028" spans="1:14" x14ac:dyDescent="0.3">
      <c r="A5028" s="1">
        <v>15206</v>
      </c>
      <c r="B5028" s="7" t="s">
        <v>7597</v>
      </c>
      <c r="C5028" s="12" t="s">
        <v>7598</v>
      </c>
      <c r="D5028" s="7" t="s">
        <v>3078</v>
      </c>
      <c r="E5028" s="13" t="s">
        <v>5046</v>
      </c>
      <c r="F5028" t="str">
        <f t="shared" si="390"/>
        <v>Irving</v>
      </c>
      <c r="G5028" t="str">
        <f t="shared" si="391"/>
        <v>Irving230-409Irving</v>
      </c>
      <c r="H5028" t="s">
        <v>35885</v>
      </c>
      <c r="I5028" t="s">
        <v>27307</v>
      </c>
      <c r="J5028" t="str">
        <f t="shared" si="392"/>
        <v>E:\PropInv\MF</v>
      </c>
      <c r="K5028" s="103" t="str">
        <f>HYPERLINK("E:\PropInv\MF\Irving\Irving Heights Dr N_230-409_Heights_Irving_15206","Irving Heights Dr N_230-409_Heights_Irving_15206" )</f>
        <v>Irving Heights Dr N_230-409_Heights_Irving_15206</v>
      </c>
      <c r="L5028" s="104" t="s">
        <v>22253</v>
      </c>
      <c r="M5028" s="103" t="str">
        <f t="shared" si="393"/>
        <v>http://oconnordata.com/mlink/modules/profile/index.cfm?action=profile&amp;prop_id=15206</v>
      </c>
      <c r="N5028" s="1">
        <f t="shared" si="394"/>
        <v>15206</v>
      </c>
    </row>
    <row r="5029" spans="1:14" x14ac:dyDescent="0.3">
      <c r="A5029" s="1">
        <v>15208</v>
      </c>
      <c r="B5029" s="7" t="s">
        <v>5793</v>
      </c>
      <c r="C5029" s="12">
        <v>3001</v>
      </c>
      <c r="D5029" s="7" t="s">
        <v>7599</v>
      </c>
      <c r="E5029" s="13" t="s">
        <v>4996</v>
      </c>
      <c r="F5029" t="str">
        <f t="shared" si="390"/>
        <v>Kendale</v>
      </c>
      <c r="G5029" t="str">
        <f t="shared" si="391"/>
        <v>Kendale3001Dallas</v>
      </c>
      <c r="H5029" t="s">
        <v>35886</v>
      </c>
      <c r="I5029" t="s">
        <v>27308</v>
      </c>
      <c r="J5029" t="str">
        <f t="shared" si="392"/>
        <v>E:\PropInv\MF</v>
      </c>
      <c r="K5029" s="103" t="str">
        <f>HYPERLINK("E:\PropInv\MF\Dallas\Kendale_3001_Pecan Tree_Dallas_15208","Kendale_3001_Pecan Tree_Dallas_15208" )</f>
        <v>Kendale_3001_Pecan Tree_Dallas_15208</v>
      </c>
      <c r="L5029" s="104" t="s">
        <v>22253</v>
      </c>
      <c r="M5029" s="103" t="str">
        <f t="shared" si="393"/>
        <v>http://oconnordata.com/mlink/modules/profile/index.cfm?action=profile&amp;prop_id=15208</v>
      </c>
      <c r="N5029" s="1">
        <f t="shared" si="394"/>
        <v>15208</v>
      </c>
    </row>
    <row r="5030" spans="1:14" x14ac:dyDescent="0.3">
      <c r="A5030" s="1">
        <v>15210</v>
      </c>
      <c r="B5030" s="7" t="s">
        <v>7600</v>
      </c>
      <c r="C5030" s="12">
        <v>4542</v>
      </c>
      <c r="D5030" s="7" t="s">
        <v>7601</v>
      </c>
      <c r="E5030" s="13" t="s">
        <v>4996</v>
      </c>
      <c r="F5030" t="str">
        <f t="shared" si="390"/>
        <v>Kiest</v>
      </c>
      <c r="G5030" t="str">
        <f t="shared" si="391"/>
        <v>Kiest4542Dallas</v>
      </c>
      <c r="H5030" t="s">
        <v>35887</v>
      </c>
      <c r="I5030" t="s">
        <v>27309</v>
      </c>
      <c r="J5030" t="str">
        <f t="shared" si="392"/>
        <v>E:\PropInv\MF</v>
      </c>
      <c r="K5030" s="103" t="str">
        <f>HYPERLINK("E:\PropInv\MF\Dallas\Kiest Blvd W_4542_Kimball Square_Dallas_15210","Kiest Blvd W_4542_Kimball Square_Dallas_15210" )</f>
        <v>Kiest Blvd W_4542_Kimball Square_Dallas_15210</v>
      </c>
      <c r="L5030" s="104" t="s">
        <v>22253</v>
      </c>
      <c r="M5030" s="103" t="str">
        <f t="shared" si="393"/>
        <v>http://oconnordata.com/mlink/modules/profile/index.cfm?action=profile&amp;prop_id=15210</v>
      </c>
      <c r="N5030" s="1">
        <f t="shared" si="394"/>
        <v>15210</v>
      </c>
    </row>
    <row r="5031" spans="1:14" x14ac:dyDescent="0.3">
      <c r="A5031" s="1">
        <v>15211</v>
      </c>
      <c r="B5031" s="7" t="s">
        <v>5900</v>
      </c>
      <c r="C5031" s="12">
        <v>811</v>
      </c>
      <c r="D5031" s="7" t="s">
        <v>7602</v>
      </c>
      <c r="E5031" s="13" t="s">
        <v>5046</v>
      </c>
      <c r="F5031" t="str">
        <f t="shared" si="390"/>
        <v>Grauwyler</v>
      </c>
      <c r="G5031" t="str">
        <f t="shared" si="391"/>
        <v>Grauwyler811Irving</v>
      </c>
      <c r="H5031" t="s">
        <v>35888</v>
      </c>
      <c r="I5031" t="s">
        <v>27310</v>
      </c>
      <c r="J5031" t="str">
        <f t="shared" si="392"/>
        <v>E:\PropInv\MF</v>
      </c>
      <c r="K5031" s="103" t="str">
        <f>HYPERLINK("E:\PropInv\MF\Irving\Grauwyler E_811_Kings Manor_Irving_15211","Grauwyler E_811_Kings Manor_Irving_15211" )</f>
        <v>Grauwyler E_811_Kings Manor_Irving_15211</v>
      </c>
      <c r="L5031" s="104" t="s">
        <v>22253</v>
      </c>
      <c r="M5031" s="103" t="str">
        <f t="shared" si="393"/>
        <v>http://oconnordata.com/mlink/modules/profile/index.cfm?action=profile&amp;prop_id=15211</v>
      </c>
      <c r="N5031" s="1">
        <f t="shared" si="394"/>
        <v>15211</v>
      </c>
    </row>
    <row r="5032" spans="1:14" x14ac:dyDescent="0.3">
      <c r="A5032" s="1">
        <v>15212</v>
      </c>
      <c r="B5032" s="7" t="s">
        <v>7603</v>
      </c>
      <c r="C5032" s="12">
        <v>2625</v>
      </c>
      <c r="D5032" s="7" t="s">
        <v>7604</v>
      </c>
      <c r="E5032" s="13" t="s">
        <v>4996</v>
      </c>
      <c r="F5032" t="str">
        <f t="shared" si="390"/>
        <v>Illinois</v>
      </c>
      <c r="G5032" t="str">
        <f t="shared" si="391"/>
        <v>Illinois2625Dallas</v>
      </c>
      <c r="H5032" t="s">
        <v>35889</v>
      </c>
      <c r="I5032" t="s">
        <v>27311</v>
      </c>
      <c r="J5032" t="str">
        <f t="shared" si="392"/>
        <v>E:\PropInv\MF</v>
      </c>
      <c r="K5032" s="103" t="str">
        <f>HYPERLINK("E:\PropInv\MF\Dallas\Illinois E_2625_Kings Square_Dallas_15212","Illinois E_2625_Kings Square_Dallas_15212" )</f>
        <v>Illinois E_2625_Kings Square_Dallas_15212</v>
      </c>
      <c r="L5032" s="104" t="s">
        <v>22253</v>
      </c>
      <c r="M5032" s="103" t="str">
        <f t="shared" si="393"/>
        <v>http://oconnordata.com/mlink/modules/profile/index.cfm?action=profile&amp;prop_id=15212</v>
      </c>
      <c r="N5032" s="1">
        <f t="shared" si="394"/>
        <v>15212</v>
      </c>
    </row>
    <row r="5033" spans="1:14" x14ac:dyDescent="0.3">
      <c r="A5033" s="1">
        <v>15213</v>
      </c>
      <c r="B5033" s="7" t="s">
        <v>7605</v>
      </c>
      <c r="C5033" s="12">
        <v>3212</v>
      </c>
      <c r="D5033" s="7" t="s">
        <v>7606</v>
      </c>
      <c r="E5033" s="13" t="s">
        <v>5012</v>
      </c>
      <c r="F5033" t="str">
        <f t="shared" si="390"/>
        <v>Balch</v>
      </c>
      <c r="G5033" t="str">
        <f t="shared" si="391"/>
        <v>Balch3212Balch Springs</v>
      </c>
      <c r="H5033" t="s">
        <v>35890</v>
      </c>
      <c r="I5033" t="s">
        <v>27312</v>
      </c>
      <c r="J5033" t="str">
        <f t="shared" si="392"/>
        <v>E:\PropInv\MF</v>
      </c>
      <c r="K5033" s="103" t="str">
        <f>HYPERLINK("E:\PropInv\MF\Balch Springs\Balch Springs Rd_3212_Autumn Run_Balch Springs_15213","Balch Springs Rd_3212_Autumn Run_Balch Springs_15213" )</f>
        <v>Balch Springs Rd_3212_Autumn Run_Balch Springs_15213</v>
      </c>
      <c r="L5033" s="104" t="s">
        <v>22253</v>
      </c>
      <c r="M5033" s="103" t="str">
        <f t="shared" si="393"/>
        <v>http://oconnordata.com/mlink/modules/profile/index.cfm?action=profile&amp;prop_id=15213</v>
      </c>
      <c r="N5033" s="1">
        <f t="shared" si="394"/>
        <v>15213</v>
      </c>
    </row>
    <row r="5034" spans="1:14" x14ac:dyDescent="0.3">
      <c r="A5034" s="1">
        <v>15214</v>
      </c>
      <c r="B5034" s="7" t="s">
        <v>7123</v>
      </c>
      <c r="C5034" s="12">
        <v>3299</v>
      </c>
      <c r="D5034" s="7" t="s">
        <v>7607</v>
      </c>
      <c r="E5034" s="13" t="s">
        <v>4996</v>
      </c>
      <c r="F5034" t="str">
        <f t="shared" si="390"/>
        <v>Polk</v>
      </c>
      <c r="G5034" t="str">
        <f t="shared" si="391"/>
        <v>Polk3299Dallas</v>
      </c>
      <c r="H5034" t="s">
        <v>35891</v>
      </c>
      <c r="I5034" t="s">
        <v>27313</v>
      </c>
      <c r="J5034" t="str">
        <f t="shared" si="392"/>
        <v>E:\PropInv\MF</v>
      </c>
      <c r="K5034" s="103" t="str">
        <f>HYPERLINK("E:\PropInv\MF\Dallas\Polk S_3299_Landmark_Dallas_15214","Polk S_3299_Landmark_Dallas_15214" )</f>
        <v>Polk S_3299_Landmark_Dallas_15214</v>
      </c>
      <c r="L5034" s="104" t="s">
        <v>22253</v>
      </c>
      <c r="M5034" s="103" t="str">
        <f t="shared" si="393"/>
        <v>http://oconnordata.com/mlink/modules/profile/index.cfm?action=profile&amp;prop_id=15214</v>
      </c>
      <c r="N5034" s="1">
        <f t="shared" si="394"/>
        <v>15214</v>
      </c>
    </row>
    <row r="5035" spans="1:14" x14ac:dyDescent="0.3">
      <c r="A5035" s="1">
        <v>15215</v>
      </c>
      <c r="B5035" s="7" t="s">
        <v>7608</v>
      </c>
      <c r="C5035" s="12">
        <v>932</v>
      </c>
      <c r="D5035" s="7" t="s">
        <v>7609</v>
      </c>
      <c r="E5035" s="13" t="s">
        <v>5046</v>
      </c>
      <c r="F5035" t="str">
        <f t="shared" si="390"/>
        <v>Hilltop</v>
      </c>
      <c r="G5035" t="str">
        <f t="shared" si="391"/>
        <v>Hilltop932Irving</v>
      </c>
      <c r="H5035" t="s">
        <v>35892</v>
      </c>
      <c r="I5035" t="s">
        <v>27314</v>
      </c>
      <c r="J5035" t="str">
        <f t="shared" si="392"/>
        <v>E:\PropInv\MF</v>
      </c>
      <c r="K5035" s="103" t="str">
        <f>HYPERLINK("E:\PropInv\MF\Irving\Hilltop_932_Pecan Village_Irving_15215","Hilltop_932_Pecan Village_Irving_15215" )</f>
        <v>Hilltop_932_Pecan Village_Irving_15215</v>
      </c>
      <c r="L5035" s="104" t="s">
        <v>22253</v>
      </c>
      <c r="M5035" s="103" t="str">
        <f t="shared" si="393"/>
        <v>http://oconnordata.com/mlink/modules/profile/index.cfm?action=profile&amp;prop_id=15215</v>
      </c>
      <c r="N5035" s="1">
        <f t="shared" si="394"/>
        <v>15215</v>
      </c>
    </row>
    <row r="5036" spans="1:14" x14ac:dyDescent="0.3">
      <c r="A5036" s="1">
        <v>15216</v>
      </c>
      <c r="B5036" s="37" t="s">
        <v>7610</v>
      </c>
      <c r="C5036" s="38">
        <v>3410</v>
      </c>
      <c r="D5036" s="29" t="s">
        <v>7611</v>
      </c>
      <c r="E5036" s="39" t="s">
        <v>4996</v>
      </c>
      <c r="F5036" t="str">
        <f t="shared" si="390"/>
        <v>Fordham</v>
      </c>
      <c r="G5036" t="str">
        <f t="shared" si="391"/>
        <v>Fordham3410Dallas</v>
      </c>
      <c r="H5036" t="s">
        <v>35893</v>
      </c>
      <c r="I5036" t="s">
        <v>27315</v>
      </c>
      <c r="J5036" t="str">
        <f t="shared" si="392"/>
        <v>E:\PropInv\MF</v>
      </c>
      <c r="K5036" s="103" t="str">
        <f>HYPERLINK("E:\PropInv\MF\Dallas\Fordham_3410_Hemingway House_Dallas_15216","Fordham_3410_Hemingway House_Dallas_15216" )</f>
        <v>Fordham_3410_Hemingway House_Dallas_15216</v>
      </c>
      <c r="L5036" s="104" t="s">
        <v>22253</v>
      </c>
      <c r="M5036" s="103" t="str">
        <f t="shared" si="393"/>
        <v>http://oconnordata.com/mlink/modules/profile/index.cfm?action=profile&amp;prop_id=15216</v>
      </c>
      <c r="N5036" s="1">
        <f t="shared" si="394"/>
        <v>15216</v>
      </c>
    </row>
    <row r="5037" spans="1:14" x14ac:dyDescent="0.3">
      <c r="A5037" s="1">
        <v>15217</v>
      </c>
      <c r="B5037" s="7" t="s">
        <v>5912</v>
      </c>
      <c r="C5037" s="12">
        <v>4753</v>
      </c>
      <c r="D5037" s="7" t="s">
        <v>7612</v>
      </c>
      <c r="E5037" s="13" t="s">
        <v>4996</v>
      </c>
      <c r="F5037" t="str">
        <f t="shared" si="390"/>
        <v>Duncanville</v>
      </c>
      <c r="G5037" t="str">
        <f t="shared" si="391"/>
        <v>Duncanville4753Dallas</v>
      </c>
      <c r="H5037" t="s">
        <v>35894</v>
      </c>
      <c r="I5037" t="s">
        <v>27316</v>
      </c>
      <c r="J5037" t="str">
        <f t="shared" si="392"/>
        <v>E:\PropInv\MF</v>
      </c>
      <c r="K5037" s="103" t="str">
        <f>HYPERLINK("E:\PropInv\MF\Dallas\Duncanville Rd_4753_Heritage Square_Dallas_15217","Duncanville Rd_4753_Heritage Square_Dallas_15217" )</f>
        <v>Duncanville Rd_4753_Heritage Square_Dallas_15217</v>
      </c>
      <c r="L5037" s="104" t="s">
        <v>22253</v>
      </c>
      <c r="M5037" s="103" t="str">
        <f t="shared" si="393"/>
        <v>http://oconnordata.com/mlink/modules/profile/index.cfm?action=profile&amp;prop_id=15217</v>
      </c>
      <c r="N5037" s="1">
        <f t="shared" si="394"/>
        <v>15217</v>
      </c>
    </row>
    <row r="5038" spans="1:14" x14ac:dyDescent="0.3">
      <c r="A5038" s="1">
        <v>15219</v>
      </c>
      <c r="B5038" s="7" t="s">
        <v>7613</v>
      </c>
      <c r="C5038" s="12">
        <v>7938</v>
      </c>
      <c r="D5038" s="7" t="s">
        <v>7614</v>
      </c>
      <c r="E5038" s="13" t="s">
        <v>4996</v>
      </c>
      <c r="F5038" t="str">
        <f t="shared" si="390"/>
        <v>Leigh</v>
      </c>
      <c r="G5038" t="str">
        <f t="shared" si="391"/>
        <v>Leigh7938Dallas</v>
      </c>
      <c r="H5038" t="s">
        <v>35895</v>
      </c>
      <c r="I5038" t="s">
        <v>27317</v>
      </c>
      <c r="J5038" t="str">
        <f t="shared" si="392"/>
        <v>E:\PropInv\MF</v>
      </c>
      <c r="K5038" s="103" t="str">
        <f>HYPERLINK("E:\PropInv\MF\Dallas\Leigh Ann Dr_7938_Leigh Ann_Dallas_15219","Leigh Ann Dr_7938_Leigh Ann_Dallas_15219" )</f>
        <v>Leigh Ann Dr_7938_Leigh Ann_Dallas_15219</v>
      </c>
      <c r="L5038" s="104" t="s">
        <v>22253</v>
      </c>
      <c r="M5038" s="103" t="str">
        <f t="shared" si="393"/>
        <v>http://oconnordata.com/mlink/modules/profile/index.cfm?action=profile&amp;prop_id=15219</v>
      </c>
      <c r="N5038" s="1">
        <f t="shared" si="394"/>
        <v>15219</v>
      </c>
    </row>
    <row r="5039" spans="1:14" x14ac:dyDescent="0.3">
      <c r="A5039" s="1">
        <v>15220</v>
      </c>
      <c r="B5039" s="7" t="s">
        <v>7615</v>
      </c>
      <c r="C5039" s="12">
        <v>1602</v>
      </c>
      <c r="D5039" s="7" t="s">
        <v>7616</v>
      </c>
      <c r="E5039" s="13" t="s">
        <v>5088</v>
      </c>
      <c r="F5039" t="str">
        <f t="shared" si="390"/>
        <v>Hickory</v>
      </c>
      <c r="G5039" t="str">
        <f t="shared" si="391"/>
        <v>Hickory1602Mesquite</v>
      </c>
      <c r="H5039" t="s">
        <v>35896</v>
      </c>
      <c r="I5039" t="s">
        <v>27318</v>
      </c>
      <c r="J5039" t="str">
        <f t="shared" si="392"/>
        <v>E:\PropInv\MF</v>
      </c>
      <c r="K5039" s="103" t="str">
        <f>HYPERLINK("E:\PropInv\MF\Mesquite\Hickory Tree Rd_1602_Hickory Tree_Mesquite_15220","Hickory Tree Rd_1602_Hickory Tree_Mesquite_15220" )</f>
        <v>Hickory Tree Rd_1602_Hickory Tree_Mesquite_15220</v>
      </c>
      <c r="L5039" s="104" t="s">
        <v>22253</v>
      </c>
      <c r="M5039" s="103" t="str">
        <f t="shared" si="393"/>
        <v>http://oconnordata.com/mlink/modules/profile/index.cfm?action=profile&amp;prop_id=15220</v>
      </c>
      <c r="N5039" s="1">
        <f t="shared" si="394"/>
        <v>15220</v>
      </c>
    </row>
    <row r="5040" spans="1:14" x14ac:dyDescent="0.3">
      <c r="A5040" s="1">
        <v>15222</v>
      </c>
      <c r="B5040" s="7" t="s">
        <v>7617</v>
      </c>
      <c r="C5040" s="12">
        <v>2203</v>
      </c>
      <c r="D5040" s="7" t="s">
        <v>7618</v>
      </c>
      <c r="E5040" s="13" t="s">
        <v>4996</v>
      </c>
      <c r="F5040" t="str">
        <f t="shared" si="390"/>
        <v>Empire</v>
      </c>
      <c r="G5040" t="str">
        <f t="shared" si="391"/>
        <v>Empire2203Dallas</v>
      </c>
      <c r="H5040" t="s">
        <v>35897</v>
      </c>
      <c r="I5040" t="s">
        <v>27319</v>
      </c>
      <c r="J5040" t="str">
        <f t="shared" si="392"/>
        <v>E:\PropInv\MF</v>
      </c>
      <c r="K5040" s="103" t="str">
        <f>HYPERLINK("E:\PropInv\MF\Dallas\Empire Central_2203_Ko Ko_Dallas_15222","Empire Central_2203_Ko Ko_Dallas_15222" )</f>
        <v>Empire Central_2203_Ko Ko_Dallas_15222</v>
      </c>
      <c r="L5040" s="104" t="s">
        <v>22253</v>
      </c>
      <c r="M5040" s="103" t="str">
        <f t="shared" si="393"/>
        <v>http://oconnordata.com/mlink/modules/profile/index.cfm?action=profile&amp;prop_id=15222</v>
      </c>
      <c r="N5040" s="1">
        <f t="shared" si="394"/>
        <v>15222</v>
      </c>
    </row>
    <row r="5041" spans="1:14" x14ac:dyDescent="0.3">
      <c r="A5041" s="1">
        <v>15223</v>
      </c>
      <c r="B5041" s="7" t="s">
        <v>6556</v>
      </c>
      <c r="C5041" s="12">
        <v>650</v>
      </c>
      <c r="D5041" s="7" t="s">
        <v>654</v>
      </c>
      <c r="E5041" s="13" t="s">
        <v>5055</v>
      </c>
      <c r="F5041" t="str">
        <f t="shared" si="390"/>
        <v>Vista</v>
      </c>
      <c r="G5041" t="str">
        <f t="shared" si="391"/>
        <v>Vista650Lewisville</v>
      </c>
      <c r="H5041" t="s">
        <v>35898</v>
      </c>
      <c r="I5041" t="s">
        <v>27320</v>
      </c>
      <c r="J5041" t="str">
        <f t="shared" si="392"/>
        <v>E:\PropInv\MF</v>
      </c>
      <c r="K5041" s="103" t="str">
        <f>HYPERLINK("E:\PropInv\MF\Lewisville\Vista Ridge Mall Dr E_650_Limestone Ranch_Lewisville_15223","Vista Ridge Mall Dr E_650_Limestone Ranch_Lewisville_15223" )</f>
        <v>Vista Ridge Mall Dr E_650_Limestone Ranch_Lewisville_15223</v>
      </c>
      <c r="L5041" s="104" t="s">
        <v>22253</v>
      </c>
      <c r="M5041" s="103" t="str">
        <f t="shared" si="393"/>
        <v>http://oconnordata.com/mlink/modules/profile/index.cfm?action=profile&amp;prop_id=15223</v>
      </c>
      <c r="N5041" s="1">
        <f t="shared" si="394"/>
        <v>15223</v>
      </c>
    </row>
    <row r="5042" spans="1:14" x14ac:dyDescent="0.3">
      <c r="A5042" s="1">
        <v>15224</v>
      </c>
      <c r="B5042" s="37" t="s">
        <v>7619</v>
      </c>
      <c r="C5042" s="12">
        <v>7777</v>
      </c>
      <c r="D5042" s="7" t="s">
        <v>7620</v>
      </c>
      <c r="E5042" s="13" t="s">
        <v>4996</v>
      </c>
      <c r="F5042" t="str">
        <f t="shared" si="390"/>
        <v>RL</v>
      </c>
      <c r="G5042" t="str">
        <f t="shared" si="391"/>
        <v>RL7777Dallas</v>
      </c>
      <c r="H5042" t="s">
        <v>35899</v>
      </c>
      <c r="I5042" t="s">
        <v>27321</v>
      </c>
      <c r="J5042" t="str">
        <f t="shared" si="392"/>
        <v>E:\PropInv\MF</v>
      </c>
      <c r="K5042" s="103" t="str">
        <f>HYPERLINK("E:\PropInv\MF\Dallas\RL Thornton Fwy E_7777_La Arboleda_Dallas_15224","RL Thornton Fwy E_7777_La Arboleda_Dallas_15224" )</f>
        <v>RL Thornton Fwy E_7777_La Arboleda_Dallas_15224</v>
      </c>
      <c r="L5042" s="104" t="s">
        <v>22253</v>
      </c>
      <c r="M5042" s="103" t="str">
        <f t="shared" si="393"/>
        <v>http://oconnordata.com/mlink/modules/profile/index.cfm?action=profile&amp;prop_id=15224</v>
      </c>
      <c r="N5042" s="1">
        <f t="shared" si="394"/>
        <v>15224</v>
      </c>
    </row>
    <row r="5043" spans="1:14" x14ac:dyDescent="0.3">
      <c r="A5043" s="1">
        <v>15225</v>
      </c>
      <c r="B5043" s="7" t="s">
        <v>5181</v>
      </c>
      <c r="C5043" s="12">
        <v>1721</v>
      </c>
      <c r="D5043" s="7" t="s">
        <v>7621</v>
      </c>
      <c r="E5043" s="13" t="s">
        <v>4996</v>
      </c>
      <c r="F5043" t="str">
        <f t="shared" si="390"/>
        <v>John</v>
      </c>
      <c r="G5043" t="str">
        <f t="shared" si="391"/>
        <v>John1721Dallas</v>
      </c>
      <c r="H5043" t="s">
        <v>35900</v>
      </c>
      <c r="I5043" t="s">
        <v>27322</v>
      </c>
      <c r="J5043" t="str">
        <f t="shared" si="392"/>
        <v>E:\PropInv\MF</v>
      </c>
      <c r="K5043" s="103" t="str">
        <f>HYPERLINK("E:\PropInv\MF\Dallas\John Rd W_1721_Villas At Montierra II (Azalea Court)_Dallas_15225","John Rd W_1721_Villas At Montierra II (Azalea Court)_Dallas_15225" )</f>
        <v>John Rd W_1721_Villas At Montierra II (Azalea Court)_Dallas_15225</v>
      </c>
      <c r="L5043" s="104" t="s">
        <v>22253</v>
      </c>
      <c r="M5043" s="103" t="str">
        <f t="shared" si="393"/>
        <v>http://oconnordata.com/mlink/modules/profile/index.cfm?action=profile&amp;prop_id=15225</v>
      </c>
      <c r="N5043" s="1">
        <f t="shared" si="394"/>
        <v>15225</v>
      </c>
    </row>
    <row r="5044" spans="1:14" x14ac:dyDescent="0.3">
      <c r="A5044" s="1">
        <v>15226</v>
      </c>
      <c r="B5044" s="7" t="s">
        <v>1190</v>
      </c>
      <c r="C5044" s="12">
        <v>4303</v>
      </c>
      <c r="D5044" s="7" t="s">
        <v>7622</v>
      </c>
      <c r="E5044" s="13" t="s">
        <v>5046</v>
      </c>
      <c r="F5044" t="str">
        <f t="shared" si="390"/>
        <v>Mariposa</v>
      </c>
      <c r="G5044" t="str">
        <f t="shared" si="391"/>
        <v>Mariposa4303Irving</v>
      </c>
      <c r="H5044" t="s">
        <v>35901</v>
      </c>
      <c r="I5044" t="s">
        <v>27323</v>
      </c>
      <c r="J5044" t="str">
        <f t="shared" si="392"/>
        <v>E:\PropInv\MF</v>
      </c>
      <c r="K5044" s="103" t="str">
        <f>HYPERLINK("E:\PropInv\MF\Irving\Mariposa_4303_La Costa_Irving_15226","Mariposa_4303_La Costa_Irving_15226" )</f>
        <v>Mariposa_4303_La Costa_Irving_15226</v>
      </c>
      <c r="L5044" s="104" t="s">
        <v>22253</v>
      </c>
      <c r="M5044" s="103" t="str">
        <f t="shared" si="393"/>
        <v>http://oconnordata.com/mlink/modules/profile/index.cfm?action=profile&amp;prop_id=15226</v>
      </c>
      <c r="N5044" s="1">
        <f t="shared" si="394"/>
        <v>15226</v>
      </c>
    </row>
    <row r="5045" spans="1:14" x14ac:dyDescent="0.3">
      <c r="A5045" s="1">
        <v>15227</v>
      </c>
      <c r="B5045" s="7" t="s">
        <v>7623</v>
      </c>
      <c r="C5045" s="12">
        <v>2775</v>
      </c>
      <c r="D5045" s="7" t="s">
        <v>359</v>
      </c>
      <c r="E5045" s="13" t="s">
        <v>4996</v>
      </c>
      <c r="F5045" t="str">
        <f t="shared" si="390"/>
        <v>Northaven</v>
      </c>
      <c r="G5045" t="str">
        <f t="shared" si="391"/>
        <v>Northaven2775Dallas</v>
      </c>
      <c r="H5045" t="s">
        <v>35902</v>
      </c>
      <c r="I5045" t="s">
        <v>27324</v>
      </c>
      <c r="J5045" t="str">
        <f t="shared" si="392"/>
        <v>E:\PropInv\MF</v>
      </c>
      <c r="K5045" s="103" t="str">
        <f>HYPERLINK("E:\PropInv\MF\Dallas\Northaven_2775_Sierra Vista_Dallas_15227","Northaven_2775_Sierra Vista_Dallas_15227" )</f>
        <v>Northaven_2775_Sierra Vista_Dallas_15227</v>
      </c>
      <c r="L5045" s="104" t="s">
        <v>22253</v>
      </c>
      <c r="M5045" s="103" t="str">
        <f t="shared" si="393"/>
        <v>http://oconnordata.com/mlink/modules/profile/index.cfm?action=profile&amp;prop_id=15227</v>
      </c>
      <c r="N5045" s="1">
        <f t="shared" si="394"/>
        <v>15227</v>
      </c>
    </row>
    <row r="5046" spans="1:14" x14ac:dyDescent="0.3">
      <c r="A5046" s="1">
        <v>15228</v>
      </c>
      <c r="B5046" s="7" t="s">
        <v>7624</v>
      </c>
      <c r="C5046" s="12">
        <v>4447</v>
      </c>
      <c r="D5046" s="7" t="s">
        <v>7625</v>
      </c>
      <c r="E5046" s="13" t="s">
        <v>5046</v>
      </c>
      <c r="F5046" t="str">
        <f t="shared" si="390"/>
        <v>Rainier</v>
      </c>
      <c r="G5046" t="str">
        <f t="shared" si="391"/>
        <v>Rainier4447Irving</v>
      </c>
      <c r="H5046" t="s">
        <v>35903</v>
      </c>
      <c r="I5046" t="s">
        <v>27325</v>
      </c>
      <c r="J5046" t="str">
        <f t="shared" si="392"/>
        <v>E:\PropInv\MF</v>
      </c>
      <c r="K5046" s="103" t="str">
        <f>HYPERLINK("E:\PropInv\MF\Irving\Rainier St_4447_Avalon Villas_Irving_15228","Rainier St_4447_Avalon Villas_Irving_15228" )</f>
        <v>Rainier St_4447_Avalon Villas_Irving_15228</v>
      </c>
      <c r="L5046" s="104" t="s">
        <v>22253</v>
      </c>
      <c r="M5046" s="103" t="str">
        <f t="shared" si="393"/>
        <v>http://oconnordata.com/mlink/modules/profile/index.cfm?action=profile&amp;prop_id=15228</v>
      </c>
      <c r="N5046" s="1">
        <f t="shared" si="394"/>
        <v>15228</v>
      </c>
    </row>
    <row r="5047" spans="1:14" x14ac:dyDescent="0.3">
      <c r="A5047" s="1">
        <v>15229</v>
      </c>
      <c r="B5047" s="7" t="s">
        <v>7626</v>
      </c>
      <c r="C5047" s="12">
        <v>1901</v>
      </c>
      <c r="D5047" s="7" t="s">
        <v>7627</v>
      </c>
      <c r="E5047" s="13" t="s">
        <v>5088</v>
      </c>
      <c r="F5047" t="str">
        <f t="shared" si="390"/>
        <v>Pinehurst</v>
      </c>
      <c r="G5047" t="str">
        <f t="shared" si="391"/>
        <v>Pinehurst1901Mesquite</v>
      </c>
      <c r="H5047" t="s">
        <v>35904</v>
      </c>
      <c r="I5047" t="s">
        <v>27326</v>
      </c>
      <c r="J5047" t="str">
        <f t="shared" si="392"/>
        <v>E:\PropInv\MF</v>
      </c>
      <c r="K5047" s="103" t="str">
        <f>HYPERLINK("E:\PropInv\MF\Mesquite\Pinehurst Ln_1901_Country Club Mesquite_Mesquite_15229","Pinehurst Ln_1901_Country Club Mesquite_Mesquite_15229" )</f>
        <v>Pinehurst Ln_1901_Country Club Mesquite_Mesquite_15229</v>
      </c>
      <c r="L5047" s="104" t="s">
        <v>22253</v>
      </c>
      <c r="M5047" s="103" t="str">
        <f t="shared" si="393"/>
        <v>http://oconnordata.com/mlink/modules/profile/index.cfm?action=profile&amp;prop_id=15229</v>
      </c>
      <c r="N5047" s="1">
        <f t="shared" si="394"/>
        <v>15229</v>
      </c>
    </row>
    <row r="5048" spans="1:14" x14ac:dyDescent="0.3">
      <c r="A5048" s="1">
        <v>15230</v>
      </c>
      <c r="B5048" s="7" t="s">
        <v>7628</v>
      </c>
      <c r="C5048" s="12">
        <v>2538</v>
      </c>
      <c r="D5048" s="7" t="s">
        <v>4473</v>
      </c>
      <c r="E5048" s="13" t="s">
        <v>4996</v>
      </c>
      <c r="F5048" t="str">
        <f t="shared" si="390"/>
        <v>Bahama</v>
      </c>
      <c r="G5048" t="str">
        <f t="shared" si="391"/>
        <v>Bahama2538Dallas</v>
      </c>
      <c r="H5048" t="s">
        <v>35905</v>
      </c>
      <c r="I5048" t="s">
        <v>27327</v>
      </c>
      <c r="J5048" t="str">
        <f t="shared" si="392"/>
        <v>E:\PropInv\MF</v>
      </c>
      <c r="K5048" s="103" t="str">
        <f>HYPERLINK("E:\PropInv\MF\Dallas\Bahama_2538_Oakwood_Dallas_15230","Bahama_2538_Oakwood_Dallas_15230" )</f>
        <v>Bahama_2538_Oakwood_Dallas_15230</v>
      </c>
      <c r="L5048" s="104" t="s">
        <v>22253</v>
      </c>
      <c r="M5048" s="103" t="str">
        <f t="shared" si="393"/>
        <v>http://oconnordata.com/mlink/modules/profile/index.cfm?action=profile&amp;prop_id=15230</v>
      </c>
      <c r="N5048" s="1">
        <f t="shared" si="394"/>
        <v>15230</v>
      </c>
    </row>
    <row r="5049" spans="1:14" x14ac:dyDescent="0.3">
      <c r="A5049" s="1">
        <v>15231</v>
      </c>
      <c r="B5049" s="7" t="s">
        <v>6481</v>
      </c>
      <c r="C5049" s="12">
        <v>2704</v>
      </c>
      <c r="D5049" s="7" t="s">
        <v>7629</v>
      </c>
      <c r="E5049" s="13" t="s">
        <v>4996</v>
      </c>
      <c r="F5049" t="str">
        <f t="shared" si="390"/>
        <v>Cockrell</v>
      </c>
      <c r="G5049" t="str">
        <f t="shared" si="391"/>
        <v>Cockrell2704Dallas</v>
      </c>
      <c r="H5049" t="s">
        <v>35906</v>
      </c>
      <c r="I5049" t="s">
        <v>27328</v>
      </c>
      <c r="J5049" t="str">
        <f t="shared" si="392"/>
        <v>E:\PropInv\MF</v>
      </c>
      <c r="K5049" s="103" t="str">
        <f>HYPERLINK("E:\PropInv\MF\Dallas\Cockrell Hill Rd S_2704_Highland Road Village_Dallas_15231","Cockrell Hill Rd S_2704_Highland Road Village_Dallas_15231" )</f>
        <v>Cockrell Hill Rd S_2704_Highland Road Village_Dallas_15231</v>
      </c>
      <c r="L5049" s="104" t="s">
        <v>22253</v>
      </c>
      <c r="M5049" s="103" t="str">
        <f t="shared" si="393"/>
        <v>http://oconnordata.com/mlink/modules/profile/index.cfm?action=profile&amp;prop_id=15231</v>
      </c>
      <c r="N5049" s="1">
        <f t="shared" si="394"/>
        <v>15231</v>
      </c>
    </row>
    <row r="5050" spans="1:14" x14ac:dyDescent="0.3">
      <c r="A5050" s="1">
        <v>15233</v>
      </c>
      <c r="B5050" s="7" t="s">
        <v>7630</v>
      </c>
      <c r="C5050" s="12">
        <v>2119</v>
      </c>
      <c r="D5050" s="7" t="s">
        <v>7631</v>
      </c>
      <c r="E5050" s="13" t="s">
        <v>5046</v>
      </c>
      <c r="F5050" t="str">
        <f t="shared" si="390"/>
        <v>Irving</v>
      </c>
      <c r="G5050" t="str">
        <f t="shared" si="391"/>
        <v>Irving2119Irving</v>
      </c>
      <c r="H5050" t="s">
        <v>35907</v>
      </c>
      <c r="I5050" t="s">
        <v>27329</v>
      </c>
      <c r="J5050" t="str">
        <f t="shared" si="392"/>
        <v>E:\PropInv\MF</v>
      </c>
      <c r="K5050" s="103" t="str">
        <f>HYPERLINK("E:\PropInv\MF\Irving\Irving Blvd W_2119_Highland Oaks Village_Irving_15233","Irving Blvd W_2119_Highland Oaks Village_Irving_15233" )</f>
        <v>Irving Blvd W_2119_Highland Oaks Village_Irving_15233</v>
      </c>
      <c r="L5050" s="104" t="s">
        <v>22253</v>
      </c>
      <c r="M5050" s="103" t="str">
        <f t="shared" si="393"/>
        <v>http://oconnordata.com/mlink/modules/profile/index.cfm?action=profile&amp;prop_id=15233</v>
      </c>
      <c r="N5050" s="1">
        <f t="shared" si="394"/>
        <v>15233</v>
      </c>
    </row>
    <row r="5051" spans="1:14" x14ac:dyDescent="0.3">
      <c r="A5051" s="1">
        <v>15234</v>
      </c>
      <c r="B5051" s="7" t="s">
        <v>7632</v>
      </c>
      <c r="C5051" s="12">
        <v>91</v>
      </c>
      <c r="D5051" s="7" t="s">
        <v>6473</v>
      </c>
      <c r="E5051" s="13" t="s">
        <v>5046</v>
      </c>
      <c r="F5051" t="str">
        <f t="shared" si="390"/>
        <v>Highland</v>
      </c>
      <c r="G5051" t="str">
        <f t="shared" si="391"/>
        <v>Highland91Irving</v>
      </c>
      <c r="H5051" t="s">
        <v>35908</v>
      </c>
      <c r="I5051" t="s">
        <v>27330</v>
      </c>
      <c r="J5051" t="str">
        <f t="shared" si="392"/>
        <v>E:\PropInv\MF</v>
      </c>
      <c r="K5051" s="103" t="str">
        <f>HYPERLINK("E:\PropInv\MF\Irving\Highland Park Ct_91_Highland Park_Irving_15234","Highland Park Ct_91_Highland Park_Irving_15234" )</f>
        <v>Highland Park Ct_91_Highland Park_Irving_15234</v>
      </c>
      <c r="L5051" s="104" t="s">
        <v>22253</v>
      </c>
      <c r="M5051" s="103" t="str">
        <f t="shared" si="393"/>
        <v>http://oconnordata.com/mlink/modules/profile/index.cfm?action=profile&amp;prop_id=15234</v>
      </c>
      <c r="N5051" s="1">
        <f t="shared" si="394"/>
        <v>15234</v>
      </c>
    </row>
    <row r="5052" spans="1:14" x14ac:dyDescent="0.3">
      <c r="A5052" s="1">
        <v>15235</v>
      </c>
      <c r="B5052" s="7" t="s">
        <v>7247</v>
      </c>
      <c r="C5052" s="12">
        <v>9825</v>
      </c>
      <c r="D5052" s="7" t="s">
        <v>7633</v>
      </c>
      <c r="E5052" s="13" t="s">
        <v>4996</v>
      </c>
      <c r="F5052" t="str">
        <f t="shared" si="390"/>
        <v>Webb</v>
      </c>
      <c r="G5052" t="str">
        <f t="shared" si="391"/>
        <v>Webb9825Dallas</v>
      </c>
      <c r="H5052" t="s">
        <v>35909</v>
      </c>
      <c r="I5052" t="s">
        <v>27331</v>
      </c>
      <c r="J5052" t="str">
        <f t="shared" si="392"/>
        <v>E:\PropInv\MF</v>
      </c>
      <c r="K5052" s="103" t="str">
        <f>HYPERLINK("E:\PropInv\MF\Dallas\Webb Chapel_9825_Chase Place_Dallas_15235","Webb Chapel_9825_Chase Place_Dallas_15235" )</f>
        <v>Webb Chapel_9825_Chase Place_Dallas_15235</v>
      </c>
      <c r="L5052" s="104" t="s">
        <v>22253</v>
      </c>
      <c r="M5052" s="103" t="str">
        <f t="shared" si="393"/>
        <v>http://oconnordata.com/mlink/modules/profile/index.cfm?action=profile&amp;prop_id=15235</v>
      </c>
      <c r="N5052" s="1">
        <f t="shared" si="394"/>
        <v>15235</v>
      </c>
    </row>
    <row r="5053" spans="1:14" x14ac:dyDescent="0.3">
      <c r="A5053" s="1">
        <v>15236</v>
      </c>
      <c r="B5053" s="7" t="s">
        <v>7634</v>
      </c>
      <c r="C5053" s="12">
        <v>4791</v>
      </c>
      <c r="D5053" s="7" t="s">
        <v>7635</v>
      </c>
      <c r="E5053" s="13" t="s">
        <v>4996</v>
      </c>
      <c r="F5053" t="str">
        <f t="shared" si="390"/>
        <v>Ledbetter</v>
      </c>
      <c r="G5053" t="str">
        <f t="shared" si="391"/>
        <v>Ledbetter4791Dallas</v>
      </c>
      <c r="H5053" t="s">
        <v>35910</v>
      </c>
      <c r="I5053" t="s">
        <v>27332</v>
      </c>
      <c r="J5053" t="str">
        <f t="shared" si="392"/>
        <v>E:\PropInv\MF</v>
      </c>
      <c r="K5053" s="103" t="str">
        <f>HYPERLINK("E:\PropInv\MF\Dallas\Ledbetter W_4791_Smith Creek_Dallas_15236","Ledbetter W_4791_Smith Creek_Dallas_15236" )</f>
        <v>Ledbetter W_4791_Smith Creek_Dallas_15236</v>
      </c>
      <c r="L5053" s="104" t="s">
        <v>22253</v>
      </c>
      <c r="M5053" s="103" t="str">
        <f t="shared" si="393"/>
        <v>http://oconnordata.com/mlink/modules/profile/index.cfm?action=profile&amp;prop_id=15236</v>
      </c>
      <c r="N5053" s="1">
        <f t="shared" si="394"/>
        <v>15236</v>
      </c>
    </row>
    <row r="5054" spans="1:14" x14ac:dyDescent="0.3">
      <c r="A5054" s="1">
        <v>15237</v>
      </c>
      <c r="B5054" s="7" t="s">
        <v>5429</v>
      </c>
      <c r="C5054" s="12">
        <v>1254</v>
      </c>
      <c r="D5054" s="7" t="s">
        <v>7636</v>
      </c>
      <c r="E5054" s="13" t="s">
        <v>4996</v>
      </c>
      <c r="F5054" t="str">
        <f t="shared" si="390"/>
        <v>Peavy</v>
      </c>
      <c r="G5054" t="str">
        <f t="shared" si="391"/>
        <v>Peavy1254Dallas</v>
      </c>
      <c r="H5054" t="s">
        <v>35911</v>
      </c>
      <c r="I5054" t="s">
        <v>27333</v>
      </c>
      <c r="J5054" t="str">
        <f t="shared" si="392"/>
        <v>E:\PropInv\MF</v>
      </c>
      <c r="K5054" s="103" t="str">
        <f>HYPERLINK("E:\PropInv\MF\Dallas\Peavy Rd_1254_Lake Chateau_Dallas_15237","Peavy Rd_1254_Lake Chateau_Dallas_15237" )</f>
        <v>Peavy Rd_1254_Lake Chateau_Dallas_15237</v>
      </c>
      <c r="L5054" s="104" t="s">
        <v>22253</v>
      </c>
      <c r="M5054" s="103" t="str">
        <f t="shared" si="393"/>
        <v>http://oconnordata.com/mlink/modules/profile/index.cfm?action=profile&amp;prop_id=15237</v>
      </c>
      <c r="N5054" s="1">
        <f t="shared" si="394"/>
        <v>15237</v>
      </c>
    </row>
    <row r="5055" spans="1:14" x14ac:dyDescent="0.3">
      <c r="A5055" s="1">
        <v>15242</v>
      </c>
      <c r="B5055" s="7" t="s">
        <v>7637</v>
      </c>
      <c r="C5055" s="12">
        <v>4950</v>
      </c>
      <c r="D5055" s="7" t="s">
        <v>7638</v>
      </c>
      <c r="E5055" s="13" t="s">
        <v>4996</v>
      </c>
      <c r="F5055" t="str">
        <f t="shared" si="390"/>
        <v>Wadsworth</v>
      </c>
      <c r="G5055" t="str">
        <f t="shared" si="391"/>
        <v>Wadsworth4950Dallas</v>
      </c>
      <c r="H5055" t="s">
        <v>35912</v>
      </c>
      <c r="I5055" t="s">
        <v>27334</v>
      </c>
      <c r="J5055" t="str">
        <f t="shared" si="392"/>
        <v>E:\PropInv\MF</v>
      </c>
      <c r="K5055" s="103" t="str">
        <f>HYPERLINK("E:\PropInv\MF\Dallas\Wadsworth_4950_Oakwood Place_Dallas_15242","Wadsworth_4950_Oakwood Place_Dallas_15242" )</f>
        <v>Wadsworth_4950_Oakwood Place_Dallas_15242</v>
      </c>
      <c r="L5055" s="104" t="s">
        <v>22253</v>
      </c>
      <c r="M5055" s="103" t="str">
        <f t="shared" si="393"/>
        <v>http://oconnordata.com/mlink/modules/profile/index.cfm?action=profile&amp;prop_id=15242</v>
      </c>
      <c r="N5055" s="1">
        <f t="shared" si="394"/>
        <v>15242</v>
      </c>
    </row>
    <row r="5056" spans="1:14" x14ac:dyDescent="0.3">
      <c r="A5056" s="1">
        <v>15243</v>
      </c>
      <c r="B5056" s="7" t="s">
        <v>5318</v>
      </c>
      <c r="C5056" s="12">
        <v>2359</v>
      </c>
      <c r="D5056" s="7" t="s">
        <v>1589</v>
      </c>
      <c r="E5056" s="13" t="s">
        <v>4996</v>
      </c>
      <c r="F5056" t="str">
        <f t="shared" si="390"/>
        <v>Highland</v>
      </c>
      <c r="G5056" t="str">
        <f t="shared" si="391"/>
        <v>Highland2359Dallas</v>
      </c>
      <c r="H5056" t="s">
        <v>35913</v>
      </c>
      <c r="I5056" t="s">
        <v>27335</v>
      </c>
      <c r="J5056" t="str">
        <f t="shared" si="392"/>
        <v>E:\PropInv\MF</v>
      </c>
      <c r="K5056" s="103" t="str">
        <f>HYPERLINK("E:\PropInv\MF\Dallas\Highland Rd_2359_The Highlands_Dallas_15243","Highland Rd_2359_The Highlands_Dallas_15243" )</f>
        <v>Highland Rd_2359_The Highlands_Dallas_15243</v>
      </c>
      <c r="L5056" s="104" t="s">
        <v>22253</v>
      </c>
      <c r="M5056" s="103" t="str">
        <f t="shared" si="393"/>
        <v>http://oconnordata.com/mlink/modules/profile/index.cfm?action=profile&amp;prop_id=15243</v>
      </c>
      <c r="N5056" s="1">
        <f t="shared" si="394"/>
        <v>15243</v>
      </c>
    </row>
    <row r="5057" spans="1:14" x14ac:dyDescent="0.3">
      <c r="A5057" s="1">
        <v>15244</v>
      </c>
      <c r="B5057" s="7" t="s">
        <v>5223</v>
      </c>
      <c r="C5057" s="12">
        <v>2735</v>
      </c>
      <c r="D5057" s="7" t="s">
        <v>4011</v>
      </c>
      <c r="E5057" s="13" t="s">
        <v>5088</v>
      </c>
      <c r="F5057" t="str">
        <f t="shared" si="390"/>
        <v>80</v>
      </c>
      <c r="G5057" t="str">
        <f t="shared" si="391"/>
        <v>802735Mesquite</v>
      </c>
      <c r="H5057" t="s">
        <v>35914</v>
      </c>
      <c r="I5057" t="s">
        <v>27336</v>
      </c>
      <c r="J5057" t="str">
        <f t="shared" si="392"/>
        <v>E:\PropInv\MF</v>
      </c>
      <c r="K5057" s="103" t="str">
        <f>HYPERLINK("E:\PropInv\MF\Mesquite\80 Hwy E_2735_Oakwood Village_Mesquite_15244","80 Hwy E_2735_Oakwood Village_Mesquite_15244" )</f>
        <v>80 Hwy E_2735_Oakwood Village_Mesquite_15244</v>
      </c>
      <c r="L5057" s="104" t="s">
        <v>22253</v>
      </c>
      <c r="M5057" s="103" t="str">
        <f t="shared" si="393"/>
        <v>http://oconnordata.com/mlink/modules/profile/index.cfm?action=profile&amp;prop_id=15244</v>
      </c>
      <c r="N5057" s="1">
        <f t="shared" si="394"/>
        <v>15244</v>
      </c>
    </row>
    <row r="5058" spans="1:14" x14ac:dyDescent="0.3">
      <c r="A5058" s="1">
        <v>15245</v>
      </c>
      <c r="B5058" s="7" t="s">
        <v>5519</v>
      </c>
      <c r="C5058" s="12">
        <v>2504</v>
      </c>
      <c r="D5058" s="7" t="s">
        <v>7639</v>
      </c>
      <c r="E5058" s="13" t="s">
        <v>5046</v>
      </c>
      <c r="F5058" t="str">
        <f t="shared" ref="F5058:F5121" si="395">IFERROR(LEFT(B5058,FIND(" ",B5058)-1),B5058)</f>
        <v>Finley</v>
      </c>
      <c r="G5058" t="str">
        <f t="shared" ref="G5058:G5121" si="396">F5058&amp;C5058&amp;E5058</f>
        <v>Finley2504Irving</v>
      </c>
      <c r="H5058" t="s">
        <v>35915</v>
      </c>
      <c r="I5058" t="s">
        <v>27337</v>
      </c>
      <c r="J5058" t="str">
        <f t="shared" ref="J5058:J5121" si="397">IF(L5058="TX",Folder_Path,Folder_Path&amp;"\State_"&amp;L5058)</f>
        <v>E:\PropInv\MF</v>
      </c>
      <c r="K5058" s="103" t="str">
        <f>HYPERLINK("E:\PropInv\MF\Irving\Finley Rd_2504_Finley Terrace_Irving_15245","Finley Rd_2504_Finley Terrace_Irving_15245" )</f>
        <v>Finley Rd_2504_Finley Terrace_Irving_15245</v>
      </c>
      <c r="L5058" s="104" t="s">
        <v>22253</v>
      </c>
      <c r="M5058" s="103" t="str">
        <f t="shared" ref="M5058:M5121" si="398">HYPERLINK("http://oconnordata.com/mlink/modules/profile/index.cfm?action=profile&amp;prop_id="&amp;A5058)</f>
        <v>http://oconnordata.com/mlink/modules/profile/index.cfm?action=profile&amp;prop_id=15245</v>
      </c>
      <c r="N5058" s="1">
        <f t="shared" ref="N5058:N5121" si="399">IF(LEN(A5058)=1,"0000"&amp;A5058,IF(LEN(A5058)=2,"000"&amp;A5058,IF(LEN(A5058)=3,"00"&amp;A5058,IF(LEN(A5058)=4,"0"&amp;A5058,IF(LEN(A5058)=5,IF(LEFT(A5058,1)="3",A5058+30000,A5058))))))</f>
        <v>15245</v>
      </c>
    </row>
    <row r="5059" spans="1:14" x14ac:dyDescent="0.3">
      <c r="A5059" s="1">
        <v>15246</v>
      </c>
      <c r="B5059" s="7" t="s">
        <v>7450</v>
      </c>
      <c r="C5059" s="12">
        <v>1005</v>
      </c>
      <c r="D5059" s="7" t="s">
        <v>151</v>
      </c>
      <c r="E5059" s="13" t="s">
        <v>4996</v>
      </c>
      <c r="F5059" t="str">
        <f t="shared" si="395"/>
        <v>Wheatland</v>
      </c>
      <c r="G5059" t="str">
        <f t="shared" si="396"/>
        <v>Wheatland1005Dallas</v>
      </c>
      <c r="H5059" t="s">
        <v>35916</v>
      </c>
      <c r="I5059" t="s">
        <v>27338</v>
      </c>
      <c r="J5059" t="str">
        <f t="shared" si="397"/>
        <v>E:\PropInv\MF</v>
      </c>
      <c r="K5059" s="103" t="str">
        <f>HYPERLINK("E:\PropInv\MF\Dallas\Wheatland Rd W_1005_Crystal Creek_Dallas_15246","Wheatland Rd W_1005_Crystal Creek_Dallas_15246" )</f>
        <v>Wheatland Rd W_1005_Crystal Creek_Dallas_15246</v>
      </c>
      <c r="L5059" s="104" t="s">
        <v>22253</v>
      </c>
      <c r="M5059" s="103" t="str">
        <f t="shared" si="398"/>
        <v>http://oconnordata.com/mlink/modules/profile/index.cfm?action=profile&amp;prop_id=15246</v>
      </c>
      <c r="N5059" s="1">
        <f t="shared" si="399"/>
        <v>15246</v>
      </c>
    </row>
    <row r="5060" spans="1:14" x14ac:dyDescent="0.3">
      <c r="A5060" s="1">
        <v>15247</v>
      </c>
      <c r="B5060" s="7" t="s">
        <v>7489</v>
      </c>
      <c r="C5060" s="12">
        <v>3035</v>
      </c>
      <c r="D5060" s="7" t="s">
        <v>7640</v>
      </c>
      <c r="E5060" s="13" t="s">
        <v>4996</v>
      </c>
      <c r="F5060" t="str">
        <f t="shared" si="395"/>
        <v>Ledbetter</v>
      </c>
      <c r="G5060" t="str">
        <f t="shared" si="396"/>
        <v>Ledbetter3035Dallas</v>
      </c>
      <c r="H5060" t="s">
        <v>35917</v>
      </c>
      <c r="I5060" t="s">
        <v>27339</v>
      </c>
      <c r="J5060" t="str">
        <f t="shared" si="397"/>
        <v>E:\PropInv\MF</v>
      </c>
      <c r="K5060" s="103" t="str">
        <f>HYPERLINK("E:\PropInv\MF\Dallas\Ledbetter Dr E_3035_Oasis Park_Dallas_15247","Ledbetter Dr E_3035_Oasis Park_Dallas_15247" )</f>
        <v>Ledbetter Dr E_3035_Oasis Park_Dallas_15247</v>
      </c>
      <c r="L5060" s="104" t="s">
        <v>22253</v>
      </c>
      <c r="M5060" s="103" t="str">
        <f t="shared" si="398"/>
        <v>http://oconnordata.com/mlink/modules/profile/index.cfm?action=profile&amp;prop_id=15247</v>
      </c>
      <c r="N5060" s="1">
        <f t="shared" si="399"/>
        <v>15247</v>
      </c>
    </row>
    <row r="5061" spans="1:14" x14ac:dyDescent="0.3">
      <c r="A5061" s="1">
        <v>15249</v>
      </c>
      <c r="B5061" s="7" t="s">
        <v>7641</v>
      </c>
      <c r="C5061" s="12">
        <v>1805</v>
      </c>
      <c r="D5061" s="7" t="s">
        <v>7642</v>
      </c>
      <c r="E5061" s="13" t="s">
        <v>5088</v>
      </c>
      <c r="F5061" t="str">
        <f t="shared" si="395"/>
        <v>Oates</v>
      </c>
      <c r="G5061" t="str">
        <f t="shared" si="396"/>
        <v>Oates1805Mesquite</v>
      </c>
      <c r="H5061" t="s">
        <v>35918</v>
      </c>
      <c r="I5061" t="s">
        <v>27340</v>
      </c>
      <c r="J5061" t="str">
        <f t="shared" si="397"/>
        <v>E:\PropInv\MF</v>
      </c>
      <c r="K5061" s="103" t="str">
        <f>HYPERLINK("E:\PropInv\MF\Mesquite\Oates Dr_1805_Oates Creek_Mesquite_15249","Oates Dr_1805_Oates Creek_Mesquite_15249" )</f>
        <v>Oates Dr_1805_Oates Creek_Mesquite_15249</v>
      </c>
      <c r="L5061" s="104" t="s">
        <v>22253</v>
      </c>
      <c r="M5061" s="103" t="str">
        <f t="shared" si="398"/>
        <v>http://oconnordata.com/mlink/modules/profile/index.cfm?action=profile&amp;prop_id=15249</v>
      </c>
      <c r="N5061" s="1">
        <f t="shared" si="399"/>
        <v>15249</v>
      </c>
    </row>
    <row r="5062" spans="1:14" x14ac:dyDescent="0.3">
      <c r="A5062" s="1">
        <v>15250</v>
      </c>
      <c r="B5062" s="7" t="s">
        <v>7643</v>
      </c>
      <c r="C5062" s="12">
        <v>3219</v>
      </c>
      <c r="D5062" s="7" t="s">
        <v>7644</v>
      </c>
      <c r="E5062" s="13" t="s">
        <v>4996</v>
      </c>
      <c r="F5062" t="str">
        <f t="shared" si="395"/>
        <v>Sumter</v>
      </c>
      <c r="G5062" t="str">
        <f t="shared" si="396"/>
        <v>Sumter3219Dallas</v>
      </c>
      <c r="H5062" t="s">
        <v>35919</v>
      </c>
      <c r="I5062" t="s">
        <v>27341</v>
      </c>
      <c r="J5062" t="str">
        <f t="shared" si="397"/>
        <v>E:\PropInv\MF</v>
      </c>
      <c r="K5062" s="103" t="str">
        <f>HYPERLINK("E:\PropInv\MF\Dallas\Sumter_3219_Big Block III_Dallas_15250","Sumter_3219_Big Block III_Dallas_15250" )</f>
        <v>Sumter_3219_Big Block III_Dallas_15250</v>
      </c>
      <c r="L5062" s="104" t="s">
        <v>22253</v>
      </c>
      <c r="M5062" s="103" t="str">
        <f t="shared" si="398"/>
        <v>http://oconnordata.com/mlink/modules/profile/index.cfm?action=profile&amp;prop_id=15250</v>
      </c>
      <c r="N5062" s="1">
        <f t="shared" si="399"/>
        <v>15250</v>
      </c>
    </row>
    <row r="5063" spans="1:14" x14ac:dyDescent="0.3">
      <c r="A5063" s="1">
        <v>15252</v>
      </c>
      <c r="B5063" s="7" t="s">
        <v>7645</v>
      </c>
      <c r="C5063" s="12">
        <v>1144</v>
      </c>
      <c r="D5063" s="7" t="s">
        <v>7646</v>
      </c>
      <c r="E5063" s="13" t="s">
        <v>5088</v>
      </c>
      <c r="F5063" t="str">
        <f t="shared" si="395"/>
        <v>Redman</v>
      </c>
      <c r="G5063" t="str">
        <f t="shared" si="396"/>
        <v>Redman1144Mesquite</v>
      </c>
      <c r="H5063" t="s">
        <v>35920</v>
      </c>
      <c r="I5063" t="s">
        <v>27342</v>
      </c>
      <c r="J5063" t="str">
        <f t="shared" si="397"/>
        <v>E:\PropInv\MF</v>
      </c>
      <c r="K5063" s="103" t="str">
        <f>HYPERLINK("E:\PropInv\MF\Mesquite\Redman Ave_1144_Somerset Park_Mesquite_15252","Redman Ave_1144_Somerset Park_Mesquite_15252" )</f>
        <v>Redman Ave_1144_Somerset Park_Mesquite_15252</v>
      </c>
      <c r="L5063" s="104" t="s">
        <v>22253</v>
      </c>
      <c r="M5063" s="103" t="str">
        <f t="shared" si="398"/>
        <v>http://oconnordata.com/mlink/modules/profile/index.cfm?action=profile&amp;prop_id=15252</v>
      </c>
      <c r="N5063" s="1">
        <f t="shared" si="399"/>
        <v>15252</v>
      </c>
    </row>
    <row r="5064" spans="1:14" x14ac:dyDescent="0.3">
      <c r="A5064" s="1">
        <v>15253</v>
      </c>
      <c r="B5064" s="7" t="s">
        <v>7647</v>
      </c>
      <c r="C5064" s="12">
        <v>3727</v>
      </c>
      <c r="D5064" s="7" t="s">
        <v>7648</v>
      </c>
      <c r="E5064" s="13" t="s">
        <v>4996</v>
      </c>
      <c r="F5064" t="str">
        <f t="shared" si="395"/>
        <v>Dixon</v>
      </c>
      <c r="G5064" t="str">
        <f t="shared" si="396"/>
        <v>Dixon3727Dallas</v>
      </c>
      <c r="H5064" t="s">
        <v>35921</v>
      </c>
      <c r="I5064" t="s">
        <v>27343</v>
      </c>
      <c r="J5064" t="str">
        <f t="shared" si="397"/>
        <v>E:\PropInv\MF</v>
      </c>
      <c r="K5064" s="103" t="str">
        <f>HYPERLINK("E:\PropInv\MF\Dallas\Dixon Ave_3727_Southdale_Dallas_15253","Dixon Ave_3727_Southdale_Dallas_15253" )</f>
        <v>Dixon Ave_3727_Southdale_Dallas_15253</v>
      </c>
      <c r="L5064" s="104" t="s">
        <v>22253</v>
      </c>
      <c r="M5064" s="103" t="str">
        <f t="shared" si="398"/>
        <v>http://oconnordata.com/mlink/modules/profile/index.cfm?action=profile&amp;prop_id=15253</v>
      </c>
      <c r="N5064" s="1">
        <f t="shared" si="399"/>
        <v>15253</v>
      </c>
    </row>
    <row r="5065" spans="1:14" x14ac:dyDescent="0.3">
      <c r="A5065" s="1">
        <v>15254</v>
      </c>
      <c r="B5065" s="7" t="s">
        <v>7649</v>
      </c>
      <c r="C5065" s="12">
        <v>2910</v>
      </c>
      <c r="D5065" s="7" t="s">
        <v>5685</v>
      </c>
      <c r="E5065" s="13" t="s">
        <v>4996</v>
      </c>
      <c r="F5065" t="str">
        <f t="shared" si="395"/>
        <v>Prichard</v>
      </c>
      <c r="G5065" t="str">
        <f t="shared" si="396"/>
        <v>Prichard2910Dallas</v>
      </c>
      <c r="H5065" t="s">
        <v>35922</v>
      </c>
      <c r="I5065" t="s">
        <v>27344</v>
      </c>
      <c r="J5065" t="str">
        <f t="shared" si="397"/>
        <v>E:\PropInv\MF</v>
      </c>
      <c r="K5065" s="103" t="str">
        <f>HYPERLINK("E:\PropInv\MF\Dallas\Prichard Ln_2910_Hillside_Dallas_15254","Prichard Ln_2910_Hillside_Dallas_15254" )</f>
        <v>Prichard Ln_2910_Hillside_Dallas_15254</v>
      </c>
      <c r="L5065" s="104" t="s">
        <v>22253</v>
      </c>
      <c r="M5065" s="103" t="str">
        <f t="shared" si="398"/>
        <v>http://oconnordata.com/mlink/modules/profile/index.cfm?action=profile&amp;prop_id=15254</v>
      </c>
      <c r="N5065" s="1">
        <f t="shared" si="399"/>
        <v>15254</v>
      </c>
    </row>
    <row r="5066" spans="1:14" x14ac:dyDescent="0.3">
      <c r="A5066" s="1">
        <v>15256</v>
      </c>
      <c r="B5066" s="7" t="s">
        <v>5322</v>
      </c>
      <c r="C5066" s="12">
        <v>8317</v>
      </c>
      <c r="D5066" s="7" t="s">
        <v>7650</v>
      </c>
      <c r="E5066" s="13" t="s">
        <v>4996</v>
      </c>
      <c r="F5066" t="str">
        <f t="shared" si="395"/>
        <v>Park</v>
      </c>
      <c r="G5066" t="str">
        <f t="shared" si="396"/>
        <v>Park8317Dallas</v>
      </c>
      <c r="H5066" t="s">
        <v>35923</v>
      </c>
      <c r="I5066" t="s">
        <v>27345</v>
      </c>
      <c r="J5066" t="str">
        <f t="shared" si="397"/>
        <v>E:\PropInv\MF</v>
      </c>
      <c r="K5066" s="103" t="str">
        <f>HYPERLINK("E:\PropInv\MF\Dallas\Park Ln_8317_Acacia Village_Dallas_15256","Park Ln_8317_Acacia Village_Dallas_15256" )</f>
        <v>Park Ln_8317_Acacia Village_Dallas_15256</v>
      </c>
      <c r="L5066" s="104" t="s">
        <v>22253</v>
      </c>
      <c r="M5066" s="103" t="str">
        <f t="shared" si="398"/>
        <v>http://oconnordata.com/mlink/modules/profile/index.cfm?action=profile&amp;prop_id=15256</v>
      </c>
      <c r="N5066" s="1">
        <f t="shared" si="399"/>
        <v>15256</v>
      </c>
    </row>
    <row r="5067" spans="1:14" x14ac:dyDescent="0.3">
      <c r="A5067" s="1">
        <v>15257</v>
      </c>
      <c r="B5067" s="7" t="s">
        <v>7651</v>
      </c>
      <c r="C5067" s="12">
        <v>2732</v>
      </c>
      <c r="D5067" s="7" t="s">
        <v>7652</v>
      </c>
      <c r="E5067" s="13" t="s">
        <v>4996</v>
      </c>
      <c r="F5067" t="str">
        <f t="shared" si="395"/>
        <v>Colorado</v>
      </c>
      <c r="G5067" t="str">
        <f t="shared" si="396"/>
        <v>Colorado2732Dallas</v>
      </c>
      <c r="H5067" t="s">
        <v>35924</v>
      </c>
      <c r="I5067" t="s">
        <v>27346</v>
      </c>
      <c r="J5067" t="str">
        <f t="shared" si="397"/>
        <v>E:\PropInv\MF</v>
      </c>
      <c r="K5067" s="103" t="str">
        <f>HYPERLINK("E:\PropInv\MF\Dallas\Colorado W_2732_Mill Run_Dallas_15257","Colorado W_2732_Mill Run_Dallas_15257" )</f>
        <v>Colorado W_2732_Mill Run_Dallas_15257</v>
      </c>
      <c r="L5067" s="104" t="s">
        <v>22253</v>
      </c>
      <c r="M5067" s="103" t="str">
        <f t="shared" si="398"/>
        <v>http://oconnordata.com/mlink/modules/profile/index.cfm?action=profile&amp;prop_id=15257</v>
      </c>
      <c r="N5067" s="1">
        <f t="shared" si="399"/>
        <v>15257</v>
      </c>
    </row>
    <row r="5068" spans="1:14" x14ac:dyDescent="0.3">
      <c r="A5068" s="1">
        <v>15259</v>
      </c>
      <c r="B5068" s="7" t="s">
        <v>5853</v>
      </c>
      <c r="C5068" s="12">
        <v>430</v>
      </c>
      <c r="D5068" s="7" t="s">
        <v>7653</v>
      </c>
      <c r="E5068" s="13" t="s">
        <v>5046</v>
      </c>
      <c r="F5068" t="str">
        <f t="shared" si="395"/>
        <v>6th</v>
      </c>
      <c r="G5068" t="str">
        <f t="shared" si="396"/>
        <v>6th430Irving</v>
      </c>
      <c r="H5068" t="s">
        <v>35925</v>
      </c>
      <c r="I5068" t="s">
        <v>27347</v>
      </c>
      <c r="J5068" t="str">
        <f t="shared" si="397"/>
        <v>E:\PropInv\MF</v>
      </c>
      <c r="K5068" s="103" t="str">
        <f>HYPERLINK("E:\PropInv\MF\Irving\6th St W_430_Imperial Courtyard_Irving_15259","6th St W_430_Imperial Courtyard_Irving_15259" )</f>
        <v>6th St W_430_Imperial Courtyard_Irving_15259</v>
      </c>
      <c r="L5068" s="104" t="s">
        <v>22253</v>
      </c>
      <c r="M5068" s="103" t="str">
        <f t="shared" si="398"/>
        <v>http://oconnordata.com/mlink/modules/profile/index.cfm?action=profile&amp;prop_id=15259</v>
      </c>
      <c r="N5068" s="1">
        <f t="shared" si="399"/>
        <v>15259</v>
      </c>
    </row>
    <row r="5069" spans="1:14" x14ac:dyDescent="0.3">
      <c r="A5069" s="1">
        <v>15260</v>
      </c>
      <c r="B5069" s="7" t="s">
        <v>6932</v>
      </c>
      <c r="C5069" s="12">
        <v>9710</v>
      </c>
      <c r="D5069" s="7" t="s">
        <v>6717</v>
      </c>
      <c r="E5069" s="13" t="s">
        <v>4996</v>
      </c>
      <c r="F5069" t="str">
        <f t="shared" si="395"/>
        <v>Military</v>
      </c>
      <c r="G5069" t="str">
        <f t="shared" si="396"/>
        <v>Military9710Dallas</v>
      </c>
      <c r="H5069" t="s">
        <v>35926</v>
      </c>
      <c r="I5069" t="s">
        <v>27348</v>
      </c>
      <c r="J5069" t="str">
        <f t="shared" si="397"/>
        <v>E:\PropInv\MF</v>
      </c>
      <c r="K5069" s="103" t="str">
        <f>HYPERLINK("E:\PropInv\MF\Dallas\Military Pkwy_9710_Holly Park_Dallas_15260","Military Pkwy_9710_Holly Park_Dallas_15260" )</f>
        <v>Military Pkwy_9710_Holly Park_Dallas_15260</v>
      </c>
      <c r="L5069" s="104" t="s">
        <v>22253</v>
      </c>
      <c r="M5069" s="103" t="str">
        <f t="shared" si="398"/>
        <v>http://oconnordata.com/mlink/modules/profile/index.cfm?action=profile&amp;prop_id=15260</v>
      </c>
      <c r="N5069" s="1">
        <f t="shared" si="399"/>
        <v>15260</v>
      </c>
    </row>
    <row r="5070" spans="1:14" x14ac:dyDescent="0.3">
      <c r="A5070" s="1">
        <v>15264</v>
      </c>
      <c r="B5070" s="7" t="s">
        <v>7654</v>
      </c>
      <c r="C5070" s="12">
        <v>707</v>
      </c>
      <c r="D5070" s="7" t="s">
        <v>7655</v>
      </c>
      <c r="E5070" s="13" t="s">
        <v>5046</v>
      </c>
      <c r="F5070" t="str">
        <f t="shared" si="395"/>
        <v>Metker</v>
      </c>
      <c r="G5070" t="str">
        <f t="shared" si="396"/>
        <v>Metker707Irving</v>
      </c>
      <c r="H5070" t="s">
        <v>35927</v>
      </c>
      <c r="I5070" t="s">
        <v>27349</v>
      </c>
      <c r="J5070" t="str">
        <f t="shared" si="397"/>
        <v>E:\PropInv\MF</v>
      </c>
      <c r="K5070" s="103" t="str">
        <f>HYPERLINK("E:\PropInv\MF\Irving\Metker_707_Metker Place_Irving_15264","Metker_707_Metker Place_Irving_15264" )</f>
        <v>Metker_707_Metker Place_Irving_15264</v>
      </c>
      <c r="L5070" s="104" t="s">
        <v>22253</v>
      </c>
      <c r="M5070" s="103" t="str">
        <f t="shared" si="398"/>
        <v>http://oconnordata.com/mlink/modules/profile/index.cfm?action=profile&amp;prop_id=15264</v>
      </c>
      <c r="N5070" s="1">
        <f t="shared" si="399"/>
        <v>15264</v>
      </c>
    </row>
    <row r="5071" spans="1:14" x14ac:dyDescent="0.3">
      <c r="A5071" s="1">
        <v>15265</v>
      </c>
      <c r="B5071" s="7" t="s">
        <v>665</v>
      </c>
      <c r="C5071" s="12">
        <v>5720</v>
      </c>
      <c r="D5071" s="7" t="s">
        <v>7656</v>
      </c>
      <c r="E5071" s="13" t="s">
        <v>4996</v>
      </c>
      <c r="F5071" t="str">
        <f t="shared" si="395"/>
        <v>Forest</v>
      </c>
      <c r="G5071" t="str">
        <f t="shared" si="396"/>
        <v>Forest5720Dallas</v>
      </c>
      <c r="H5071" t="s">
        <v>35928</v>
      </c>
      <c r="I5071" t="s">
        <v>27350</v>
      </c>
      <c r="J5071" t="str">
        <f t="shared" si="397"/>
        <v>E:\PropInv\MF</v>
      </c>
      <c r="K5071" s="103" t="str">
        <f>HYPERLINK("E:\PropInv\MF\Dallas\Forest Park_5720_Inwood on the Park_Dallas_15265","Forest Park_5720_Inwood on the Park_Dallas_15265" )</f>
        <v>Forest Park_5720_Inwood on the Park_Dallas_15265</v>
      </c>
      <c r="L5071" s="104" t="s">
        <v>22253</v>
      </c>
      <c r="M5071" s="103" t="str">
        <f t="shared" si="398"/>
        <v>http://oconnordata.com/mlink/modules/profile/index.cfm?action=profile&amp;prop_id=15265</v>
      </c>
      <c r="N5071" s="1">
        <f t="shared" si="399"/>
        <v>15265</v>
      </c>
    </row>
    <row r="5072" spans="1:14" x14ac:dyDescent="0.3">
      <c r="A5072" s="1">
        <v>15266</v>
      </c>
      <c r="B5072" s="7" t="s">
        <v>7657</v>
      </c>
      <c r="C5072" s="12">
        <v>1910</v>
      </c>
      <c r="D5072" s="7" t="s">
        <v>7658</v>
      </c>
      <c r="E5072" s="13" t="s">
        <v>4996</v>
      </c>
      <c r="F5072" t="str">
        <f t="shared" si="395"/>
        <v>Argentia</v>
      </c>
      <c r="G5072" t="str">
        <f t="shared" si="396"/>
        <v>Argentia1910Dallas</v>
      </c>
      <c r="H5072" t="s">
        <v>35929</v>
      </c>
      <c r="I5072" t="s">
        <v>27351</v>
      </c>
      <c r="J5072" t="str">
        <f t="shared" si="397"/>
        <v>E:\PropInv\MF</v>
      </c>
      <c r="K5072" s="103" t="str">
        <f>HYPERLINK("E:\PropInv\MF\Dallas\Argentia_1910_Parks at Wynnewood_Dallas_15266","Argentia_1910_Parks at Wynnewood_Dallas_15266" )</f>
        <v>Argentia_1910_Parks at Wynnewood_Dallas_15266</v>
      </c>
      <c r="L5072" s="104" t="s">
        <v>22253</v>
      </c>
      <c r="M5072" s="103" t="str">
        <f t="shared" si="398"/>
        <v>http://oconnordata.com/mlink/modules/profile/index.cfm?action=profile&amp;prop_id=15266</v>
      </c>
      <c r="N5072" s="1">
        <f t="shared" si="399"/>
        <v>15266</v>
      </c>
    </row>
    <row r="5073" spans="1:14" x14ac:dyDescent="0.3">
      <c r="A5073" s="1">
        <v>15268</v>
      </c>
      <c r="B5073" s="7" t="s">
        <v>7659</v>
      </c>
      <c r="C5073" s="12">
        <v>2520</v>
      </c>
      <c r="D5073" s="7" t="s">
        <v>7660</v>
      </c>
      <c r="E5073" s="13" t="s">
        <v>4996</v>
      </c>
      <c r="F5073" t="str">
        <f t="shared" si="395"/>
        <v>Coombs</v>
      </c>
      <c r="G5073" t="str">
        <f t="shared" si="396"/>
        <v>Coombs2520Dallas</v>
      </c>
      <c r="H5073" t="s">
        <v>35930</v>
      </c>
      <c r="I5073" t="s">
        <v>27352</v>
      </c>
      <c r="J5073" t="str">
        <f t="shared" si="397"/>
        <v>E:\PropInv\MF</v>
      </c>
      <c r="K5073" s="103" t="str">
        <f>HYPERLINK("E:\PropInv\MF\Dallas\Coombs Creek Dr_2520_Park Creek Manor_Dallas_15268","Coombs Creek Dr_2520_Park Creek Manor_Dallas_15268" )</f>
        <v>Coombs Creek Dr_2520_Park Creek Manor_Dallas_15268</v>
      </c>
      <c r="L5073" s="104" t="s">
        <v>22253</v>
      </c>
      <c r="M5073" s="103" t="str">
        <f t="shared" si="398"/>
        <v>http://oconnordata.com/mlink/modules/profile/index.cfm?action=profile&amp;prop_id=15268</v>
      </c>
      <c r="N5073" s="1">
        <f t="shared" si="399"/>
        <v>15268</v>
      </c>
    </row>
    <row r="5074" spans="1:14" x14ac:dyDescent="0.3">
      <c r="A5074" s="1">
        <v>15269</v>
      </c>
      <c r="B5074" s="7" t="s">
        <v>7661</v>
      </c>
      <c r="C5074" s="12">
        <v>5331</v>
      </c>
      <c r="D5074" s="7" t="s">
        <v>7662</v>
      </c>
      <c r="E5074" s="13" t="s">
        <v>4996</v>
      </c>
      <c r="F5074" t="str">
        <f t="shared" si="395"/>
        <v>Mockingbird</v>
      </c>
      <c r="G5074" t="str">
        <f t="shared" si="396"/>
        <v>Mockingbird5331Dallas</v>
      </c>
      <c r="H5074" t="s">
        <v>35931</v>
      </c>
      <c r="I5074" t="s">
        <v>27353</v>
      </c>
      <c r="J5074" t="str">
        <f t="shared" si="397"/>
        <v>E:\PropInv\MF</v>
      </c>
      <c r="K5074" s="103" t="str">
        <f>HYPERLINK("E:\PropInv\MF\Dallas\Mockingbird Ln E_5331_The Lofts at Mockingbird Station_Dallas_15269","Mockingbird Ln E_5331_The Lofts at Mockingbird Station_Dallas_15269" )</f>
        <v>Mockingbird Ln E_5331_The Lofts at Mockingbird Station_Dallas_15269</v>
      </c>
      <c r="L5074" s="104" t="s">
        <v>22253</v>
      </c>
      <c r="M5074" s="103" t="str">
        <f t="shared" si="398"/>
        <v>http://oconnordata.com/mlink/modules/profile/index.cfm?action=profile&amp;prop_id=15269</v>
      </c>
      <c r="N5074" s="1">
        <f t="shared" si="399"/>
        <v>15269</v>
      </c>
    </row>
    <row r="5075" spans="1:14" x14ac:dyDescent="0.3">
      <c r="A5075" s="1">
        <v>15271</v>
      </c>
      <c r="B5075" s="7" t="s">
        <v>5192</v>
      </c>
      <c r="C5075" s="12">
        <v>9501</v>
      </c>
      <c r="D5075" s="7" t="s">
        <v>7663</v>
      </c>
      <c r="E5075" s="13" t="s">
        <v>4996</v>
      </c>
      <c r="F5075" t="str">
        <f t="shared" si="395"/>
        <v>Brockbank</v>
      </c>
      <c r="G5075" t="str">
        <f t="shared" si="396"/>
        <v>Brockbank9501Dallas</v>
      </c>
      <c r="H5075" t="s">
        <v>35932</v>
      </c>
      <c r="I5075" t="s">
        <v>27354</v>
      </c>
      <c r="J5075" t="str">
        <f t="shared" si="397"/>
        <v>E:\PropInv\MF</v>
      </c>
      <c r="K5075" s="103" t="str">
        <f>HYPERLINK("E:\PropInv\MF\Dallas\Brockbank_9501_Regal Villas_Dallas_15271","Brockbank_9501_Regal Villas_Dallas_15271" )</f>
        <v>Brockbank_9501_Regal Villas_Dallas_15271</v>
      </c>
      <c r="L5075" s="104" t="s">
        <v>22253</v>
      </c>
      <c r="M5075" s="103" t="str">
        <f t="shared" si="398"/>
        <v>http://oconnordata.com/mlink/modules/profile/index.cfm?action=profile&amp;prop_id=15271</v>
      </c>
      <c r="N5075" s="1">
        <f t="shared" si="399"/>
        <v>15271</v>
      </c>
    </row>
    <row r="5076" spans="1:14" x14ac:dyDescent="0.3">
      <c r="A5076" s="1">
        <v>15272</v>
      </c>
      <c r="B5076" s="7" t="s">
        <v>7664</v>
      </c>
      <c r="C5076" s="12">
        <v>1251</v>
      </c>
      <c r="D5076" s="7" t="s">
        <v>7664</v>
      </c>
      <c r="E5076" s="13" t="s">
        <v>4996</v>
      </c>
      <c r="F5076" t="str">
        <f t="shared" si="395"/>
        <v>Moulin</v>
      </c>
      <c r="G5076" t="str">
        <f t="shared" si="396"/>
        <v>Moulin1251Dallas</v>
      </c>
      <c r="H5076" t="s">
        <v>35933</v>
      </c>
      <c r="I5076" t="s">
        <v>27355</v>
      </c>
      <c r="J5076" t="str">
        <f t="shared" si="397"/>
        <v>E:\PropInv\MF</v>
      </c>
      <c r="K5076" s="103" t="str">
        <f>HYPERLINK("E:\PropInv\MF\Dallas\Moulin Rouge_1251_Moulin Rouge_Dallas_15272","Moulin Rouge_1251_Moulin Rouge_Dallas_15272" )</f>
        <v>Moulin Rouge_1251_Moulin Rouge_Dallas_15272</v>
      </c>
      <c r="L5076" s="104" t="s">
        <v>22253</v>
      </c>
      <c r="M5076" s="103" t="str">
        <f t="shared" si="398"/>
        <v>http://oconnordata.com/mlink/modules/profile/index.cfm?action=profile&amp;prop_id=15272</v>
      </c>
      <c r="N5076" s="1">
        <f t="shared" si="399"/>
        <v>15272</v>
      </c>
    </row>
    <row r="5077" spans="1:14" x14ac:dyDescent="0.3">
      <c r="A5077" s="1">
        <v>15273</v>
      </c>
      <c r="B5077" s="7" t="s">
        <v>7665</v>
      </c>
      <c r="C5077" s="12">
        <v>5875</v>
      </c>
      <c r="D5077" s="7" t="s">
        <v>7666</v>
      </c>
      <c r="E5077" s="13" t="s">
        <v>4996</v>
      </c>
      <c r="F5077" t="str">
        <f t="shared" si="395"/>
        <v>Mountain</v>
      </c>
      <c r="G5077" t="str">
        <f t="shared" si="396"/>
        <v>Mountain5875Dallas</v>
      </c>
      <c r="H5077" t="s">
        <v>35934</v>
      </c>
      <c r="I5077" t="s">
        <v>27356</v>
      </c>
      <c r="J5077" t="str">
        <f t="shared" si="397"/>
        <v>E:\PropInv\MF</v>
      </c>
      <c r="K5077" s="103" t="str">
        <f>HYPERLINK("E:\PropInv\MF\Dallas\Mountain Valley Ln_5875_Mountain Valley_Dallas_15273","Mountain Valley Ln_5875_Mountain Valley_Dallas_15273" )</f>
        <v>Mountain Valley Ln_5875_Mountain Valley_Dallas_15273</v>
      </c>
      <c r="L5077" s="104" t="s">
        <v>22253</v>
      </c>
      <c r="M5077" s="103" t="str">
        <f t="shared" si="398"/>
        <v>http://oconnordata.com/mlink/modules/profile/index.cfm?action=profile&amp;prop_id=15273</v>
      </c>
      <c r="N5077" s="1">
        <f t="shared" si="399"/>
        <v>15273</v>
      </c>
    </row>
    <row r="5078" spans="1:14" x14ac:dyDescent="0.3">
      <c r="A5078" s="1">
        <v>15274</v>
      </c>
      <c r="B5078" s="7" t="s">
        <v>7667</v>
      </c>
      <c r="C5078" s="12">
        <v>5324</v>
      </c>
      <c r="D5078" s="7" t="s">
        <v>7668</v>
      </c>
      <c r="E5078" s="13" t="s">
        <v>4996</v>
      </c>
      <c r="F5078" t="str">
        <f t="shared" si="395"/>
        <v>Preakness</v>
      </c>
      <c r="G5078" t="str">
        <f t="shared" si="396"/>
        <v>Preakness5324Dallas</v>
      </c>
      <c r="H5078" t="s">
        <v>35935</v>
      </c>
      <c r="I5078" t="s">
        <v>27357</v>
      </c>
      <c r="J5078" t="str">
        <f t="shared" si="397"/>
        <v>E:\PropInv\MF</v>
      </c>
      <c r="K5078" s="103" t="str">
        <f>HYPERLINK("E:\PropInv\MF\Dallas\Preakness Ln_5324_Mountain View_Dallas_15274","Preakness Ln_5324_Mountain View_Dallas_15274" )</f>
        <v>Preakness Ln_5324_Mountain View_Dallas_15274</v>
      </c>
      <c r="L5078" s="104" t="s">
        <v>22253</v>
      </c>
      <c r="M5078" s="103" t="str">
        <f t="shared" si="398"/>
        <v>http://oconnordata.com/mlink/modules/profile/index.cfm?action=profile&amp;prop_id=15274</v>
      </c>
      <c r="N5078" s="1">
        <f t="shared" si="399"/>
        <v>15274</v>
      </c>
    </row>
    <row r="5079" spans="1:14" x14ac:dyDescent="0.3">
      <c r="A5079" s="1">
        <v>15276</v>
      </c>
      <c r="B5079" s="7" t="s">
        <v>7654</v>
      </c>
      <c r="C5079" s="12">
        <v>1005</v>
      </c>
      <c r="D5079" s="7" t="s">
        <v>7669</v>
      </c>
      <c r="E5079" s="13" t="s">
        <v>5046</v>
      </c>
      <c r="F5079" t="str">
        <f t="shared" si="395"/>
        <v>Metker</v>
      </c>
      <c r="G5079" t="str">
        <f t="shared" si="396"/>
        <v>Metker1005Irving</v>
      </c>
      <c r="H5079" t="s">
        <v>35936</v>
      </c>
      <c r="I5079" t="s">
        <v>27358</v>
      </c>
      <c r="J5079" t="str">
        <f t="shared" si="397"/>
        <v>E:\PropInv\MF</v>
      </c>
      <c r="K5079" s="103" t="str">
        <f>HYPERLINK("E:\PropInv\MF\Irving\Metker_1005_Irving Place_Irving_15276","Metker_1005_Irving Place_Irving_15276" )</f>
        <v>Metker_1005_Irving Place_Irving_15276</v>
      </c>
      <c r="L5079" s="104" t="s">
        <v>22253</v>
      </c>
      <c r="M5079" s="103" t="str">
        <f t="shared" si="398"/>
        <v>http://oconnordata.com/mlink/modules/profile/index.cfm?action=profile&amp;prop_id=15276</v>
      </c>
      <c r="N5079" s="1">
        <f t="shared" si="399"/>
        <v>15276</v>
      </c>
    </row>
    <row r="5080" spans="1:14" x14ac:dyDescent="0.3">
      <c r="A5080" s="1">
        <v>15277</v>
      </c>
      <c r="B5080" s="7" t="s">
        <v>5919</v>
      </c>
      <c r="C5080" s="12">
        <v>1400</v>
      </c>
      <c r="D5080" s="7" t="s">
        <v>7670</v>
      </c>
      <c r="E5080" s="13" t="s">
        <v>5046</v>
      </c>
      <c r="F5080" t="str">
        <f t="shared" si="395"/>
        <v>Esters</v>
      </c>
      <c r="G5080" t="str">
        <f t="shared" si="396"/>
        <v>Esters1400Irving</v>
      </c>
      <c r="H5080" t="s">
        <v>35937</v>
      </c>
      <c r="I5080" t="s">
        <v>27359</v>
      </c>
      <c r="J5080" t="str">
        <f t="shared" si="397"/>
        <v>E:\PropInv\MF</v>
      </c>
      <c r="K5080" s="103" t="str">
        <f>HYPERLINK("E:\PropInv\MF\Irving\Esters Rd_1400_Foxborough_Irving_15277","Esters Rd_1400_Foxborough_Irving_15277" )</f>
        <v>Esters Rd_1400_Foxborough_Irving_15277</v>
      </c>
      <c r="L5080" s="104" t="s">
        <v>22253</v>
      </c>
      <c r="M5080" s="103" t="str">
        <f t="shared" si="398"/>
        <v>http://oconnordata.com/mlink/modules/profile/index.cfm?action=profile&amp;prop_id=15277</v>
      </c>
      <c r="N5080" s="1">
        <f t="shared" si="399"/>
        <v>15277</v>
      </c>
    </row>
    <row r="5081" spans="1:14" x14ac:dyDescent="0.3">
      <c r="A5081" s="1">
        <v>15278</v>
      </c>
      <c r="B5081" s="7" t="s">
        <v>5728</v>
      </c>
      <c r="C5081" s="12">
        <v>2700</v>
      </c>
      <c r="D5081" s="7" t="s">
        <v>7671</v>
      </c>
      <c r="E5081" s="13" t="s">
        <v>5046</v>
      </c>
      <c r="F5081" t="str">
        <f t="shared" si="395"/>
        <v>Rock</v>
      </c>
      <c r="G5081" t="str">
        <f t="shared" si="396"/>
        <v>Rock2700Irving</v>
      </c>
      <c r="H5081" t="s">
        <v>35938</v>
      </c>
      <c r="I5081" t="s">
        <v>27360</v>
      </c>
      <c r="J5081" t="str">
        <f t="shared" si="397"/>
        <v>E:\PropInv\MF</v>
      </c>
      <c r="K5081" s="103" t="str">
        <f>HYPERLINK("E:\PropInv\MF\Irving\Rock Island Rd_2700_Island West_Irving_15278","Rock Island Rd_2700_Island West_Irving_15278" )</f>
        <v>Rock Island Rd_2700_Island West_Irving_15278</v>
      </c>
      <c r="L5081" s="104" t="s">
        <v>22253</v>
      </c>
      <c r="M5081" s="103" t="str">
        <f t="shared" si="398"/>
        <v>http://oconnordata.com/mlink/modules/profile/index.cfm?action=profile&amp;prop_id=15278</v>
      </c>
      <c r="N5081" s="1">
        <f t="shared" si="399"/>
        <v>15278</v>
      </c>
    </row>
    <row r="5082" spans="1:14" x14ac:dyDescent="0.3">
      <c r="A5082" s="1">
        <v>15279</v>
      </c>
      <c r="B5082" s="7" t="s">
        <v>7672</v>
      </c>
      <c r="C5082" s="12">
        <v>1930</v>
      </c>
      <c r="D5082" s="7" t="s">
        <v>7673</v>
      </c>
      <c r="E5082" s="13" t="s">
        <v>4996</v>
      </c>
      <c r="F5082" t="str">
        <f t="shared" si="395"/>
        <v>Atlantic</v>
      </c>
      <c r="G5082" t="str">
        <f t="shared" si="396"/>
        <v>Atlantic1930Dallas</v>
      </c>
      <c r="H5082" t="s">
        <v>35939</v>
      </c>
      <c r="I5082" t="s">
        <v>27361</v>
      </c>
      <c r="J5082" t="str">
        <f t="shared" si="397"/>
        <v>E:\PropInv\MF</v>
      </c>
      <c r="K5082" s="103" t="str">
        <f>HYPERLINK("E:\PropInv\MF\Dallas\Atlantic_1930_Courtyards at Emery Park_Dallas_15279","Atlantic_1930_Courtyards at Emery Park_Dallas_15279" )</f>
        <v>Atlantic_1930_Courtyards at Emery Park_Dallas_15279</v>
      </c>
      <c r="L5082" s="104" t="s">
        <v>22253</v>
      </c>
      <c r="M5082" s="103" t="str">
        <f t="shared" si="398"/>
        <v>http://oconnordata.com/mlink/modules/profile/index.cfm?action=profile&amp;prop_id=15279</v>
      </c>
      <c r="N5082" s="1">
        <f t="shared" si="399"/>
        <v>15279</v>
      </c>
    </row>
    <row r="5083" spans="1:14" x14ac:dyDescent="0.3">
      <c r="A5083" s="1">
        <v>15281</v>
      </c>
      <c r="B5083" s="7" t="s">
        <v>7674</v>
      </c>
      <c r="C5083" s="12">
        <v>7802</v>
      </c>
      <c r="D5083" s="7" t="s">
        <v>7675</v>
      </c>
      <c r="E5083" s="13" t="s">
        <v>4996</v>
      </c>
      <c r="F5083" t="str">
        <f t="shared" si="395"/>
        <v>Villa</v>
      </c>
      <c r="G5083" t="str">
        <f t="shared" si="396"/>
        <v>Villa7802Dallas</v>
      </c>
      <c r="H5083" t="s">
        <v>35940</v>
      </c>
      <c r="I5083" t="s">
        <v>27362</v>
      </c>
      <c r="J5083" t="str">
        <f t="shared" si="397"/>
        <v>E:\PropInv\MF</v>
      </c>
      <c r="K5083" s="103" t="str">
        <f>HYPERLINK("E:\PropInv\MF\Dallas\Villa Cliff_7802_Enchanted Hills_Dallas_15281","Villa Cliff_7802_Enchanted Hills_Dallas_15281" )</f>
        <v>Villa Cliff_7802_Enchanted Hills_Dallas_15281</v>
      </c>
      <c r="L5083" s="104" t="s">
        <v>22253</v>
      </c>
      <c r="M5083" s="103" t="str">
        <f t="shared" si="398"/>
        <v>http://oconnordata.com/mlink/modules/profile/index.cfm?action=profile&amp;prop_id=15281</v>
      </c>
      <c r="N5083" s="1">
        <f t="shared" si="399"/>
        <v>15281</v>
      </c>
    </row>
    <row r="5084" spans="1:14" x14ac:dyDescent="0.3">
      <c r="A5084" s="1">
        <v>15284</v>
      </c>
      <c r="B5084" s="7" t="s">
        <v>7676</v>
      </c>
      <c r="C5084" s="12">
        <v>1239</v>
      </c>
      <c r="D5084" s="7" t="s">
        <v>7677</v>
      </c>
      <c r="E5084" s="13" t="s">
        <v>4996</v>
      </c>
      <c r="F5084" t="str">
        <f t="shared" si="395"/>
        <v>Hartsdale</v>
      </c>
      <c r="G5084" t="str">
        <f t="shared" si="396"/>
        <v>Hartsdale1239Dallas</v>
      </c>
      <c r="H5084" t="s">
        <v>35941</v>
      </c>
      <c r="I5084" t="s">
        <v>27363</v>
      </c>
      <c r="J5084" t="str">
        <f t="shared" si="397"/>
        <v>E:\PropInv\MF</v>
      </c>
      <c r="K5084" s="103" t="str">
        <f>HYPERLINK("E:\PropInv\MF\Dallas\Hartsdale_1239_French Colony_Dallas_15284","Hartsdale_1239_French Colony_Dallas_15284" )</f>
        <v>Hartsdale_1239_French Colony_Dallas_15284</v>
      </c>
      <c r="L5084" s="104" t="s">
        <v>22253</v>
      </c>
      <c r="M5084" s="103" t="str">
        <f t="shared" si="398"/>
        <v>http://oconnordata.com/mlink/modules/profile/index.cfm?action=profile&amp;prop_id=15284</v>
      </c>
      <c r="N5084" s="1">
        <f t="shared" si="399"/>
        <v>15284</v>
      </c>
    </row>
    <row r="5085" spans="1:14" x14ac:dyDescent="0.3">
      <c r="A5085" s="1">
        <v>15286</v>
      </c>
      <c r="B5085" s="7" t="s">
        <v>7678</v>
      </c>
      <c r="C5085" s="12">
        <v>1121</v>
      </c>
      <c r="D5085" s="7" t="s">
        <v>2763</v>
      </c>
      <c r="E5085" s="13" t="s">
        <v>4942</v>
      </c>
      <c r="F5085" t="str">
        <f t="shared" si="395"/>
        <v>Amherst</v>
      </c>
      <c r="G5085" t="str">
        <f t="shared" si="396"/>
        <v>Amherst1121Bedford</v>
      </c>
      <c r="H5085" t="s">
        <v>35942</v>
      </c>
      <c r="I5085" t="s">
        <v>27364</v>
      </c>
      <c r="J5085" t="str">
        <f t="shared" si="397"/>
        <v>E:\PropInv\MF</v>
      </c>
      <c r="K5085" s="103" t="str">
        <f>HYPERLINK("E:\PropInv\MF\Bedford\Amherst Dr_1121_Amherst_Bedford_15286","Amherst Dr_1121_Amherst_Bedford_15286" )</f>
        <v>Amherst Dr_1121_Amherst_Bedford_15286</v>
      </c>
      <c r="L5085" s="104" t="s">
        <v>22253</v>
      </c>
      <c r="M5085" s="103" t="str">
        <f t="shared" si="398"/>
        <v>http://oconnordata.com/mlink/modules/profile/index.cfm?action=profile&amp;prop_id=15286</v>
      </c>
      <c r="N5085" s="1">
        <f t="shared" si="399"/>
        <v>15286</v>
      </c>
    </row>
    <row r="5086" spans="1:14" x14ac:dyDescent="0.3">
      <c r="A5086" s="1">
        <v>15287</v>
      </c>
      <c r="B5086" s="7" t="s">
        <v>7679</v>
      </c>
      <c r="C5086" s="12">
        <v>311</v>
      </c>
      <c r="D5086" s="7" t="s">
        <v>396</v>
      </c>
      <c r="E5086" s="13" t="s">
        <v>5781</v>
      </c>
      <c r="F5086" t="str">
        <f t="shared" si="395"/>
        <v>Industrial</v>
      </c>
      <c r="G5086" t="str">
        <f t="shared" si="396"/>
        <v>Industrial311Euless</v>
      </c>
      <c r="H5086" t="s">
        <v>35943</v>
      </c>
      <c r="I5086" t="s">
        <v>27365</v>
      </c>
      <c r="J5086" t="str">
        <f t="shared" si="397"/>
        <v>E:\PropInv\MF</v>
      </c>
      <c r="K5086" s="103" t="str">
        <f>HYPERLINK("E:\PropInv\MF\Euless\Industrial Blvd S_311_Shadow Creek_Euless_15287","Industrial Blvd S_311_Shadow Creek_Euless_15287" )</f>
        <v>Industrial Blvd S_311_Shadow Creek_Euless_15287</v>
      </c>
      <c r="L5086" s="104" t="s">
        <v>22253</v>
      </c>
      <c r="M5086" s="103" t="str">
        <f t="shared" si="398"/>
        <v>http://oconnordata.com/mlink/modules/profile/index.cfm?action=profile&amp;prop_id=15287</v>
      </c>
      <c r="N5086" s="1">
        <f t="shared" si="399"/>
        <v>15287</v>
      </c>
    </row>
    <row r="5087" spans="1:14" x14ac:dyDescent="0.3">
      <c r="A5087" s="1">
        <v>15288</v>
      </c>
      <c r="B5087" s="7" t="s">
        <v>7355</v>
      </c>
      <c r="C5087" s="12">
        <v>4003</v>
      </c>
      <c r="D5087" s="7" t="s">
        <v>7680</v>
      </c>
      <c r="E5087" s="13" t="s">
        <v>5046</v>
      </c>
      <c r="F5087" t="str">
        <f t="shared" si="395"/>
        <v>Belt</v>
      </c>
      <c r="G5087" t="str">
        <f t="shared" si="396"/>
        <v>Belt4003Irving</v>
      </c>
      <c r="H5087" t="s">
        <v>35944</v>
      </c>
      <c r="I5087" t="s">
        <v>27366</v>
      </c>
      <c r="J5087" t="str">
        <f t="shared" si="397"/>
        <v>E:\PropInv\MF</v>
      </c>
      <c r="K5087" s="103" t="str">
        <f>HYPERLINK("E:\PropInv\MF\Irving\Belt Line Rd N_4003_Glen Arbor_Irving_15288","Belt Line Rd N_4003_Glen Arbor_Irving_15288" )</f>
        <v>Belt Line Rd N_4003_Glen Arbor_Irving_15288</v>
      </c>
      <c r="L5087" s="104" t="s">
        <v>22253</v>
      </c>
      <c r="M5087" s="103" t="str">
        <f t="shared" si="398"/>
        <v>http://oconnordata.com/mlink/modules/profile/index.cfm?action=profile&amp;prop_id=15288</v>
      </c>
      <c r="N5087" s="1">
        <f t="shared" si="399"/>
        <v>15288</v>
      </c>
    </row>
    <row r="5088" spans="1:14" x14ac:dyDescent="0.3">
      <c r="A5088" s="1">
        <v>15289</v>
      </c>
      <c r="B5088" s="7" t="s">
        <v>7681</v>
      </c>
      <c r="C5088" s="12">
        <v>2901</v>
      </c>
      <c r="D5088" s="7" t="s">
        <v>7682</v>
      </c>
      <c r="E5088" s="13" t="s">
        <v>5076</v>
      </c>
      <c r="F5088" t="str">
        <f t="shared" si="395"/>
        <v>Mayfield</v>
      </c>
      <c r="G5088" t="str">
        <f t="shared" si="396"/>
        <v>Mayfield2901Grand Prairie</v>
      </c>
      <c r="H5088" t="s">
        <v>35945</v>
      </c>
      <c r="I5088" t="s">
        <v>27367</v>
      </c>
      <c r="J5088" t="str">
        <f t="shared" si="397"/>
        <v>E:\PropInv\MF</v>
      </c>
      <c r="K5088" s="103" t="str">
        <f>HYPERLINK("E:\PropInv\MF\Grand Prairie\Mayfield Rd_2901_Mission Mayfield Downs_Grand Prairie_15289","Mayfield Rd_2901_Mission Mayfield Downs_Grand Prairie_15289" )</f>
        <v>Mayfield Rd_2901_Mission Mayfield Downs_Grand Prairie_15289</v>
      </c>
      <c r="L5088" s="104" t="s">
        <v>22253</v>
      </c>
      <c r="M5088" s="103" t="str">
        <f t="shared" si="398"/>
        <v>http://oconnordata.com/mlink/modules/profile/index.cfm?action=profile&amp;prop_id=15289</v>
      </c>
      <c r="N5088" s="1">
        <f t="shared" si="399"/>
        <v>15289</v>
      </c>
    </row>
    <row r="5089" spans="1:14" x14ac:dyDescent="0.3">
      <c r="A5089" s="1">
        <v>15290</v>
      </c>
      <c r="B5089" s="7" t="s">
        <v>7683</v>
      </c>
      <c r="C5089" s="12">
        <v>701</v>
      </c>
      <c r="D5089" s="7" t="s">
        <v>7684</v>
      </c>
      <c r="E5089" s="13" t="s">
        <v>6555</v>
      </c>
      <c r="F5089" t="str">
        <f t="shared" si="395"/>
        <v>Arkansas</v>
      </c>
      <c r="G5089" t="str">
        <f t="shared" si="396"/>
        <v>Arkansas701Arlington</v>
      </c>
      <c r="H5089" t="s">
        <v>35946</v>
      </c>
      <c r="I5089" t="s">
        <v>27368</v>
      </c>
      <c r="J5089" t="str">
        <f t="shared" si="397"/>
        <v>E:\PropInv\MF</v>
      </c>
      <c r="K5089" s="103" t="str">
        <f>HYPERLINK("E:\PropInv\MF\Arlington\Arkansas Ln E_701_Blue Bonnet TH_Arlington_15290","Arkansas Ln E_701_Blue Bonnet TH_Arlington_15290" )</f>
        <v>Arkansas Ln E_701_Blue Bonnet TH_Arlington_15290</v>
      </c>
      <c r="L5089" s="104" t="s">
        <v>22253</v>
      </c>
      <c r="M5089" s="103" t="str">
        <f t="shared" si="398"/>
        <v>http://oconnordata.com/mlink/modules/profile/index.cfm?action=profile&amp;prop_id=15290</v>
      </c>
      <c r="N5089" s="1">
        <f t="shared" si="399"/>
        <v>15290</v>
      </c>
    </row>
    <row r="5090" spans="1:14" x14ac:dyDescent="0.3">
      <c r="A5090" s="1">
        <v>15291</v>
      </c>
      <c r="B5090" s="7" t="s">
        <v>7685</v>
      </c>
      <c r="C5090" s="12">
        <v>200</v>
      </c>
      <c r="D5090" s="7" t="s">
        <v>4466</v>
      </c>
      <c r="E5090" s="13" t="s">
        <v>5046</v>
      </c>
      <c r="F5090" t="str">
        <f t="shared" si="395"/>
        <v>Union</v>
      </c>
      <c r="G5090" t="str">
        <f t="shared" si="396"/>
        <v>Union200Irving</v>
      </c>
      <c r="H5090" t="s">
        <v>35947</v>
      </c>
      <c r="I5090" t="s">
        <v>27369</v>
      </c>
      <c r="J5090" t="str">
        <f t="shared" si="397"/>
        <v>E:\PropInv\MF</v>
      </c>
      <c r="K5090" s="103" t="str">
        <f>HYPERLINK("E:\PropInv\MF\Irving\Union Bower W_200_Garden Gate_Irving_15291","Union Bower W_200_Garden Gate_Irving_15291" )</f>
        <v>Union Bower W_200_Garden Gate_Irving_15291</v>
      </c>
      <c r="L5090" s="104" t="s">
        <v>22253</v>
      </c>
      <c r="M5090" s="103" t="str">
        <f t="shared" si="398"/>
        <v>http://oconnordata.com/mlink/modules/profile/index.cfm?action=profile&amp;prop_id=15291</v>
      </c>
      <c r="N5090" s="1">
        <f t="shared" si="399"/>
        <v>15291</v>
      </c>
    </row>
    <row r="5091" spans="1:14" x14ac:dyDescent="0.3">
      <c r="A5091" s="1">
        <v>15292</v>
      </c>
      <c r="B5091" s="7" t="s">
        <v>7686</v>
      </c>
      <c r="C5091" s="12">
        <v>3638</v>
      </c>
      <c r="D5091" s="7" t="s">
        <v>7687</v>
      </c>
      <c r="E5091" s="13" t="s">
        <v>6555</v>
      </c>
      <c r="F5091" t="str">
        <f t="shared" si="395"/>
        <v>Waverly</v>
      </c>
      <c r="G5091" t="str">
        <f t="shared" si="396"/>
        <v>Waverly3638Arlington</v>
      </c>
      <c r="H5091" t="s">
        <v>35948</v>
      </c>
      <c r="I5091" t="s">
        <v>27370</v>
      </c>
      <c r="J5091" t="str">
        <f t="shared" si="397"/>
        <v>E:\PropInv\MF</v>
      </c>
      <c r="K5091" s="103" t="str">
        <f>HYPERLINK("E:\PropInv\MF\Arlington\Waverly_3638_Brookridge-Parks Villas_Arlington_15292","Waverly_3638_Brookridge-Parks Villas_Arlington_15292" )</f>
        <v>Waverly_3638_Brookridge-Parks Villas_Arlington_15292</v>
      </c>
      <c r="L5091" s="104" t="s">
        <v>22253</v>
      </c>
      <c r="M5091" s="103" t="str">
        <f t="shared" si="398"/>
        <v>http://oconnordata.com/mlink/modules/profile/index.cfm?action=profile&amp;prop_id=15292</v>
      </c>
      <c r="N5091" s="1">
        <f t="shared" si="399"/>
        <v>15292</v>
      </c>
    </row>
    <row r="5092" spans="1:14" x14ac:dyDescent="0.3">
      <c r="A5092" s="1">
        <v>15293</v>
      </c>
      <c r="B5092" s="7" t="s">
        <v>5303</v>
      </c>
      <c r="C5092" s="12">
        <v>1400</v>
      </c>
      <c r="D5092" s="7" t="s">
        <v>7688</v>
      </c>
      <c r="E5092" s="13" t="s">
        <v>6578</v>
      </c>
      <c r="F5092" t="str">
        <f t="shared" si="395"/>
        <v>Park</v>
      </c>
      <c r="G5092" t="str">
        <f t="shared" si="396"/>
        <v>Park1400Grapevine</v>
      </c>
      <c r="H5092" t="s">
        <v>35949</v>
      </c>
      <c r="I5092" t="s">
        <v>27371</v>
      </c>
      <c r="J5092" t="str">
        <f t="shared" si="397"/>
        <v>E:\PropInv\MF</v>
      </c>
      <c r="K5092" s="103" t="str">
        <f>HYPERLINK("E:\PropInv\MF\Grapevine\Park Blvd_1400_Dove Park_Grapevine_15293","Park Blvd_1400_Dove Park_Grapevine_15293" )</f>
        <v>Park Blvd_1400_Dove Park_Grapevine_15293</v>
      </c>
      <c r="L5092" s="104" t="s">
        <v>22253</v>
      </c>
      <c r="M5092" s="103" t="str">
        <f t="shared" si="398"/>
        <v>http://oconnordata.com/mlink/modules/profile/index.cfm?action=profile&amp;prop_id=15293</v>
      </c>
      <c r="N5092" s="1">
        <f t="shared" si="399"/>
        <v>15293</v>
      </c>
    </row>
    <row r="5093" spans="1:14" x14ac:dyDescent="0.3">
      <c r="A5093" s="1">
        <v>15297</v>
      </c>
      <c r="B5093" s="7" t="s">
        <v>7689</v>
      </c>
      <c r="C5093" s="12">
        <v>1904</v>
      </c>
      <c r="D5093" s="7" t="s">
        <v>7690</v>
      </c>
      <c r="E5093" s="13" t="s">
        <v>7691</v>
      </c>
      <c r="F5093" t="str">
        <f t="shared" si="395"/>
        <v>White</v>
      </c>
      <c r="G5093" t="str">
        <f t="shared" si="396"/>
        <v>White1904Mckinney</v>
      </c>
      <c r="H5093" t="s">
        <v>35950</v>
      </c>
      <c r="I5093" t="s">
        <v>27372</v>
      </c>
      <c r="J5093" t="str">
        <f t="shared" si="397"/>
        <v>E:\PropInv\MF</v>
      </c>
      <c r="K5093" s="103" t="str">
        <f>HYPERLINK("E:\PropInv\MF\Mckinney\White Ave_1904_Brookwood Fourplexes_Mckinney_15297","White Ave_1904_Brookwood Fourplexes_Mckinney_15297" )</f>
        <v>White Ave_1904_Brookwood Fourplexes_Mckinney_15297</v>
      </c>
      <c r="L5093" s="104" t="s">
        <v>22253</v>
      </c>
      <c r="M5093" s="103" t="str">
        <f t="shared" si="398"/>
        <v>http://oconnordata.com/mlink/modules/profile/index.cfm?action=profile&amp;prop_id=15297</v>
      </c>
      <c r="N5093" s="1">
        <f t="shared" si="399"/>
        <v>15297</v>
      </c>
    </row>
    <row r="5094" spans="1:14" x14ac:dyDescent="0.3">
      <c r="A5094" s="1">
        <v>15298</v>
      </c>
      <c r="B5094" s="7" t="s">
        <v>7692</v>
      </c>
      <c r="C5094" s="12">
        <v>1601</v>
      </c>
      <c r="D5094" s="7" t="s">
        <v>2065</v>
      </c>
      <c r="E5094" s="13" t="s">
        <v>6555</v>
      </c>
      <c r="F5094" t="str">
        <f t="shared" si="395"/>
        <v>Regency</v>
      </c>
      <c r="G5094" t="str">
        <f t="shared" si="396"/>
        <v>Regency1601Arlington</v>
      </c>
      <c r="H5094" t="s">
        <v>35951</v>
      </c>
      <c r="I5094" t="s">
        <v>27373</v>
      </c>
      <c r="J5094" t="str">
        <f t="shared" si="397"/>
        <v>E:\PropInv\MF</v>
      </c>
      <c r="K5094" s="103" t="str">
        <f>HYPERLINK("E:\PropInv\MF\Arlington\Regency Ct_1601_Eagle Crest_Arlington_15298","Regency Ct_1601_Eagle Crest_Arlington_15298" )</f>
        <v>Regency Ct_1601_Eagle Crest_Arlington_15298</v>
      </c>
      <c r="L5094" s="104" t="s">
        <v>22253</v>
      </c>
      <c r="M5094" s="103" t="str">
        <f t="shared" si="398"/>
        <v>http://oconnordata.com/mlink/modules/profile/index.cfm?action=profile&amp;prop_id=15298</v>
      </c>
      <c r="N5094" s="1">
        <f t="shared" si="399"/>
        <v>15298</v>
      </c>
    </row>
    <row r="5095" spans="1:14" x14ac:dyDescent="0.3">
      <c r="A5095" s="1">
        <v>15300</v>
      </c>
      <c r="B5095" s="7" t="s">
        <v>7693</v>
      </c>
      <c r="C5095" s="12">
        <v>930</v>
      </c>
      <c r="D5095" s="7" t="s">
        <v>7694</v>
      </c>
      <c r="E5095" s="13" t="s">
        <v>6555</v>
      </c>
      <c r="F5095" t="str">
        <f t="shared" si="395"/>
        <v>Peach</v>
      </c>
      <c r="G5095" t="str">
        <f t="shared" si="396"/>
        <v>Peach930Arlington</v>
      </c>
      <c r="H5095" t="s">
        <v>35952</v>
      </c>
      <c r="I5095" t="s">
        <v>27374</v>
      </c>
      <c r="J5095" t="str">
        <f t="shared" si="397"/>
        <v>E:\PropInv\MF</v>
      </c>
      <c r="K5095" s="103" t="str">
        <f>HYPERLINK("E:\PropInv\MF\Arlington\Peach St_930_Collins Creek_Arlington_15300","Peach St_930_Collins Creek_Arlington_15300" )</f>
        <v>Peach St_930_Collins Creek_Arlington_15300</v>
      </c>
      <c r="L5095" s="104" t="s">
        <v>22253</v>
      </c>
      <c r="M5095" s="103" t="str">
        <f t="shared" si="398"/>
        <v>http://oconnordata.com/mlink/modules/profile/index.cfm?action=profile&amp;prop_id=15300</v>
      </c>
      <c r="N5095" s="1">
        <f t="shared" si="399"/>
        <v>15300</v>
      </c>
    </row>
    <row r="5096" spans="1:14" x14ac:dyDescent="0.3">
      <c r="A5096" s="1">
        <v>15306</v>
      </c>
      <c r="B5096" s="7" t="s">
        <v>3875</v>
      </c>
      <c r="C5096" s="12">
        <v>3791</v>
      </c>
      <c r="D5096" s="7" t="s">
        <v>7695</v>
      </c>
      <c r="E5096" s="13" t="s">
        <v>5046</v>
      </c>
      <c r="F5096" t="str">
        <f t="shared" si="395"/>
        <v>Evergreen</v>
      </c>
      <c r="G5096" t="str">
        <f t="shared" si="396"/>
        <v>Evergreen3791Irving</v>
      </c>
      <c r="H5096" t="s">
        <v>35953</v>
      </c>
      <c r="I5096" t="s">
        <v>27375</v>
      </c>
      <c r="J5096" t="str">
        <f t="shared" si="397"/>
        <v>E:\PropInv\MF</v>
      </c>
      <c r="K5096" s="103" t="str">
        <f>HYPERLINK("E:\PropInv\MF\Irving\Evergreen_3791_Evergreen Condos_Irving_15306","Evergreen_3791_Evergreen Condos_Irving_15306" )</f>
        <v>Evergreen_3791_Evergreen Condos_Irving_15306</v>
      </c>
      <c r="L5096" s="104" t="s">
        <v>22253</v>
      </c>
      <c r="M5096" s="103" t="str">
        <f t="shared" si="398"/>
        <v>http://oconnordata.com/mlink/modules/profile/index.cfm?action=profile&amp;prop_id=15306</v>
      </c>
      <c r="N5096" s="1">
        <f t="shared" si="399"/>
        <v>15306</v>
      </c>
    </row>
    <row r="5097" spans="1:14" x14ac:dyDescent="0.3">
      <c r="A5097" s="1">
        <v>15308</v>
      </c>
      <c r="B5097" s="7" t="s">
        <v>7696</v>
      </c>
      <c r="C5097" s="12">
        <v>2700</v>
      </c>
      <c r="D5097" s="7" t="s">
        <v>1045</v>
      </c>
      <c r="E5097" s="13" t="s">
        <v>5046</v>
      </c>
      <c r="F5097" t="str">
        <f t="shared" si="395"/>
        <v>Grauwyler</v>
      </c>
      <c r="G5097" t="str">
        <f t="shared" si="396"/>
        <v>Grauwyler2700Irving</v>
      </c>
      <c r="H5097" t="s">
        <v>35954</v>
      </c>
      <c r="I5097" t="s">
        <v>27376</v>
      </c>
      <c r="J5097" t="str">
        <f t="shared" si="397"/>
        <v>E:\PropInv\MF</v>
      </c>
      <c r="K5097" s="103" t="str">
        <f>HYPERLINK("E:\PropInv\MF\Irving\Grauwyler W_2700_Executive_Irving_15308","Grauwyler W_2700_Executive_Irving_15308" )</f>
        <v>Grauwyler W_2700_Executive_Irving_15308</v>
      </c>
      <c r="L5097" s="104" t="s">
        <v>22253</v>
      </c>
      <c r="M5097" s="103" t="str">
        <f t="shared" si="398"/>
        <v>http://oconnordata.com/mlink/modules/profile/index.cfm?action=profile&amp;prop_id=15308</v>
      </c>
      <c r="N5097" s="1">
        <f t="shared" si="399"/>
        <v>15308</v>
      </c>
    </row>
    <row r="5098" spans="1:14" x14ac:dyDescent="0.3">
      <c r="A5098" s="1">
        <v>15309</v>
      </c>
      <c r="B5098" s="7" t="s">
        <v>7697</v>
      </c>
      <c r="C5098" s="12">
        <v>2108</v>
      </c>
      <c r="D5098" s="7" t="s">
        <v>7698</v>
      </c>
      <c r="E5098" s="13" t="s">
        <v>6555</v>
      </c>
      <c r="F5098" t="str">
        <f t="shared" si="395"/>
        <v>Calais</v>
      </c>
      <c r="G5098" t="str">
        <f t="shared" si="396"/>
        <v>Calais2108Arlington</v>
      </c>
      <c r="H5098" t="s">
        <v>35955</v>
      </c>
      <c r="I5098" t="s">
        <v>27377</v>
      </c>
      <c r="J5098" t="str">
        <f t="shared" si="397"/>
        <v>E:\PropInv\MF</v>
      </c>
      <c r="K5098" s="103" t="str">
        <f>HYPERLINK("E:\PropInv\MF\Arlington\Calais Way_2108_Springfield at Ballpark Way_Arlington_15309","Calais Way_2108_Springfield at Ballpark Way_Arlington_15309" )</f>
        <v>Calais Way_2108_Springfield at Ballpark Way_Arlington_15309</v>
      </c>
      <c r="L5098" s="104" t="s">
        <v>22253</v>
      </c>
      <c r="M5098" s="103" t="str">
        <f t="shared" si="398"/>
        <v>http://oconnordata.com/mlink/modules/profile/index.cfm?action=profile&amp;prop_id=15309</v>
      </c>
      <c r="N5098" s="1">
        <f t="shared" si="399"/>
        <v>15309</v>
      </c>
    </row>
    <row r="5099" spans="1:14" x14ac:dyDescent="0.3">
      <c r="A5099" s="1">
        <v>15310</v>
      </c>
      <c r="B5099" s="7" t="s">
        <v>7699</v>
      </c>
      <c r="C5099" s="12">
        <v>255</v>
      </c>
      <c r="D5099" s="7" t="s">
        <v>7700</v>
      </c>
      <c r="E5099" s="13" t="s">
        <v>6617</v>
      </c>
      <c r="F5099" t="str">
        <f t="shared" si="395"/>
        <v>Turner</v>
      </c>
      <c r="G5099" t="str">
        <f t="shared" si="396"/>
        <v>Turner255Roanoke</v>
      </c>
      <c r="H5099" t="s">
        <v>35956</v>
      </c>
      <c r="I5099" t="s">
        <v>27378</v>
      </c>
      <c r="J5099" t="str">
        <f t="shared" si="397"/>
        <v>E:\PropInv\MF</v>
      </c>
      <c r="K5099" s="103" t="str">
        <f>HYPERLINK("E:\PropInv\MF\Roanoke\Turner Ave_255_Elizabeth Gardens_Roanoke_15310","Turner Ave_255_Elizabeth Gardens_Roanoke_15310" )</f>
        <v>Turner Ave_255_Elizabeth Gardens_Roanoke_15310</v>
      </c>
      <c r="L5099" s="104" t="s">
        <v>22253</v>
      </c>
      <c r="M5099" s="103" t="str">
        <f t="shared" si="398"/>
        <v>http://oconnordata.com/mlink/modules/profile/index.cfm?action=profile&amp;prop_id=15310</v>
      </c>
      <c r="N5099" s="1">
        <f t="shared" si="399"/>
        <v>15310</v>
      </c>
    </row>
    <row r="5100" spans="1:14" x14ac:dyDescent="0.3">
      <c r="A5100" s="1">
        <v>15311</v>
      </c>
      <c r="B5100" s="7" t="s">
        <v>7701</v>
      </c>
      <c r="C5100" s="12">
        <v>5750</v>
      </c>
      <c r="D5100" s="7" t="s">
        <v>7702</v>
      </c>
      <c r="E5100" s="13" t="s">
        <v>332</v>
      </c>
      <c r="F5100" t="str">
        <f t="shared" si="395"/>
        <v>Sam</v>
      </c>
      <c r="G5100" t="str">
        <f t="shared" si="396"/>
        <v>Sam5750River Oaks</v>
      </c>
      <c r="H5100" t="s">
        <v>35957</v>
      </c>
      <c r="I5100" t="s">
        <v>27379</v>
      </c>
      <c r="J5100" t="str">
        <f t="shared" si="397"/>
        <v>E:\PropInv\MF</v>
      </c>
      <c r="K5100" s="103" t="str">
        <f>HYPERLINK("E:\PropInv\MF\River Oaks\Sam Calloway_5750_Calloway Place_River Oaks_15311","Sam Calloway_5750_Calloway Place_River Oaks_15311" )</f>
        <v>Sam Calloway_5750_Calloway Place_River Oaks_15311</v>
      </c>
      <c r="L5100" s="104" t="s">
        <v>22253</v>
      </c>
      <c r="M5100" s="103" t="str">
        <f t="shared" si="398"/>
        <v>http://oconnordata.com/mlink/modules/profile/index.cfm?action=profile&amp;prop_id=15311</v>
      </c>
      <c r="N5100" s="1">
        <f t="shared" si="399"/>
        <v>15311</v>
      </c>
    </row>
    <row r="5101" spans="1:14" x14ac:dyDescent="0.3">
      <c r="A5101" s="1">
        <v>15312</v>
      </c>
      <c r="B5101" s="7" t="s">
        <v>7703</v>
      </c>
      <c r="C5101" s="12">
        <v>8341</v>
      </c>
      <c r="D5101" s="7" t="s">
        <v>7704</v>
      </c>
      <c r="E5101" s="13" t="s">
        <v>6541</v>
      </c>
      <c r="F5101" t="str">
        <f t="shared" si="395"/>
        <v>Emerald</v>
      </c>
      <c r="G5101" t="str">
        <f t="shared" si="396"/>
        <v>Emerald8341North Richland Hills</v>
      </c>
      <c r="H5101" t="s">
        <v>35958</v>
      </c>
      <c r="I5101" t="s">
        <v>27380</v>
      </c>
      <c r="J5101" t="str">
        <f t="shared" si="397"/>
        <v>E:\PropInv\MF</v>
      </c>
      <c r="K5101" s="103" t="str">
        <f>HYPERLINK("E:\PropInv\MF\North Richland Hills\Emerald Hills Way_8341_Emerald Park_North Richland Hills_15312","Emerald Hills Way_8341_Emerald Park_North Richland Hills_15312" )</f>
        <v>Emerald Hills Way_8341_Emerald Park_North Richland Hills_15312</v>
      </c>
      <c r="L5101" s="104" t="s">
        <v>22253</v>
      </c>
      <c r="M5101" s="103" t="str">
        <f t="shared" si="398"/>
        <v>http://oconnordata.com/mlink/modules/profile/index.cfm?action=profile&amp;prop_id=15312</v>
      </c>
      <c r="N5101" s="1">
        <f t="shared" si="399"/>
        <v>15312</v>
      </c>
    </row>
    <row r="5102" spans="1:14" x14ac:dyDescent="0.3">
      <c r="A5102" s="1">
        <v>15313</v>
      </c>
      <c r="B5102" s="7" t="s">
        <v>5689</v>
      </c>
      <c r="C5102" s="12" t="s">
        <v>7705</v>
      </c>
      <c r="D5102" s="7" t="s">
        <v>7706</v>
      </c>
      <c r="E5102" s="13" t="s">
        <v>4996</v>
      </c>
      <c r="F5102" t="str">
        <f t="shared" si="395"/>
        <v>Plymouth</v>
      </c>
      <c r="G5102" t="str">
        <f t="shared" si="396"/>
        <v>Plymouth704-718Dallas</v>
      </c>
      <c r="H5102" t="s">
        <v>35959</v>
      </c>
      <c r="I5102" t="s">
        <v>27381</v>
      </c>
      <c r="J5102" t="str">
        <f t="shared" si="397"/>
        <v>E:\PropInv\MF</v>
      </c>
      <c r="K5102" s="103" t="str">
        <f>HYPERLINK("E:\PropInv\MF\Dallas\Plymouth N_704-718_Sonoma_Dallas_15313","Plymouth N_704-718_Sonoma_Dallas_15313" )</f>
        <v>Plymouth N_704-718_Sonoma_Dallas_15313</v>
      </c>
      <c r="L5102" s="104" t="s">
        <v>22253</v>
      </c>
      <c r="M5102" s="103" t="str">
        <f t="shared" si="398"/>
        <v>http://oconnordata.com/mlink/modules/profile/index.cfm?action=profile&amp;prop_id=15313</v>
      </c>
      <c r="N5102" s="1">
        <f t="shared" si="399"/>
        <v>15313</v>
      </c>
    </row>
    <row r="5103" spans="1:14" x14ac:dyDescent="0.3">
      <c r="A5103" s="1">
        <v>15315</v>
      </c>
      <c r="B5103" s="7" t="s">
        <v>862</v>
      </c>
      <c r="C5103" s="12">
        <v>1001</v>
      </c>
      <c r="D5103" s="7" t="s">
        <v>7707</v>
      </c>
      <c r="E5103" s="13" t="s">
        <v>5781</v>
      </c>
      <c r="F5103" t="str">
        <f t="shared" si="395"/>
        <v>Villa</v>
      </c>
      <c r="G5103" t="str">
        <f t="shared" si="396"/>
        <v>Villa1001Euless</v>
      </c>
      <c r="H5103" t="s">
        <v>35960</v>
      </c>
      <c r="I5103" t="s">
        <v>27382</v>
      </c>
      <c r="J5103" t="str">
        <f t="shared" si="397"/>
        <v>E:\PropInv\MF</v>
      </c>
      <c r="K5103" s="103" t="str">
        <f>HYPERLINK("E:\PropInv\MF\Euless\Villa Dr_1001_Concord House_Euless_15315","Villa Dr_1001_Concord House_Euless_15315" )</f>
        <v>Villa Dr_1001_Concord House_Euless_15315</v>
      </c>
      <c r="L5103" s="104" t="s">
        <v>22253</v>
      </c>
      <c r="M5103" s="103" t="str">
        <f t="shared" si="398"/>
        <v>http://oconnordata.com/mlink/modules/profile/index.cfm?action=profile&amp;prop_id=15315</v>
      </c>
      <c r="N5103" s="1">
        <f t="shared" si="399"/>
        <v>15315</v>
      </c>
    </row>
    <row r="5104" spans="1:14" x14ac:dyDescent="0.3">
      <c r="A5104" s="1">
        <v>15316</v>
      </c>
      <c r="B5104" s="7" t="s">
        <v>7708</v>
      </c>
      <c r="C5104" s="12">
        <v>7203</v>
      </c>
      <c r="D5104" s="7" t="s">
        <v>7709</v>
      </c>
      <c r="E5104" s="13" t="s">
        <v>4996</v>
      </c>
      <c r="F5104" t="str">
        <f t="shared" si="395"/>
        <v>12</v>
      </c>
      <c r="G5104" t="str">
        <f t="shared" si="396"/>
        <v>127203Dallas</v>
      </c>
      <c r="H5104" t="s">
        <v>35961</v>
      </c>
      <c r="I5104" t="s">
        <v>27383</v>
      </c>
      <c r="J5104" t="str">
        <f t="shared" si="397"/>
        <v>E:\PropInv\MF</v>
      </c>
      <c r="K5104" s="103" t="str">
        <f>HYPERLINK("E:\PropInv\MF\Dallas\12 Loop S_7203_Grove Village_Dallas_15316","12 Loop S_7203_Grove Village_Dallas_15316" )</f>
        <v>12 Loop S_7203_Grove Village_Dallas_15316</v>
      </c>
      <c r="L5104" s="104" t="s">
        <v>22253</v>
      </c>
      <c r="M5104" s="103" t="str">
        <f t="shared" si="398"/>
        <v>http://oconnordata.com/mlink/modules/profile/index.cfm?action=profile&amp;prop_id=15316</v>
      </c>
      <c r="N5104" s="1">
        <f t="shared" si="399"/>
        <v>15316</v>
      </c>
    </row>
    <row r="5105" spans="1:14" x14ac:dyDescent="0.3">
      <c r="A5105" s="1">
        <v>15317</v>
      </c>
      <c r="B5105" s="7" t="s">
        <v>7710</v>
      </c>
      <c r="C5105" s="12">
        <v>7500</v>
      </c>
      <c r="D5105" s="7" t="s">
        <v>7711</v>
      </c>
      <c r="E5105" s="13" t="s">
        <v>6541</v>
      </c>
      <c r="F5105" t="str">
        <f t="shared" si="395"/>
        <v>Maplewood</v>
      </c>
      <c r="G5105" t="str">
        <f t="shared" si="396"/>
        <v>Maplewood7500North Richland Hills</v>
      </c>
      <c r="H5105" t="s">
        <v>35962</v>
      </c>
      <c r="I5105" t="s">
        <v>27384</v>
      </c>
      <c r="J5105" t="str">
        <f t="shared" si="397"/>
        <v>E:\PropInv\MF</v>
      </c>
      <c r="K5105" s="103" t="str">
        <f>HYPERLINK("E:\PropInv\MF\North Richland Hills\Maplewood Ave_7500_Emerald Run_North Richland Hills_15317","Maplewood Ave_7500_Emerald Run_North Richland Hills_15317" )</f>
        <v>Maplewood Ave_7500_Emerald Run_North Richland Hills_15317</v>
      </c>
      <c r="L5105" s="104" t="s">
        <v>22253</v>
      </c>
      <c r="M5105" s="103" t="str">
        <f t="shared" si="398"/>
        <v>http://oconnordata.com/mlink/modules/profile/index.cfm?action=profile&amp;prop_id=15317</v>
      </c>
      <c r="N5105" s="1">
        <f t="shared" si="399"/>
        <v>15317</v>
      </c>
    </row>
    <row r="5106" spans="1:14" x14ac:dyDescent="0.3">
      <c r="A5106" s="1">
        <v>15318</v>
      </c>
      <c r="B5106" s="7" t="s">
        <v>5318</v>
      </c>
      <c r="C5106" s="12">
        <v>2149</v>
      </c>
      <c r="D5106" s="7" t="s">
        <v>1321</v>
      </c>
      <c r="E5106" s="13" t="s">
        <v>4996</v>
      </c>
      <c r="F5106" t="str">
        <f t="shared" si="395"/>
        <v>Highland</v>
      </c>
      <c r="G5106" t="str">
        <f t="shared" si="396"/>
        <v>Highland2149Dallas</v>
      </c>
      <c r="H5106" t="s">
        <v>35963</v>
      </c>
      <c r="I5106" t="s">
        <v>27385</v>
      </c>
      <c r="J5106" t="str">
        <f t="shared" si="397"/>
        <v>E:\PropInv\MF</v>
      </c>
      <c r="K5106" s="103" t="str">
        <f>HYPERLINK("E:\PropInv\MF\Dallas\Highland Rd_2149_Crestwood_Dallas_15318","Highland Rd_2149_Crestwood_Dallas_15318" )</f>
        <v>Highland Rd_2149_Crestwood_Dallas_15318</v>
      </c>
      <c r="L5106" s="104" t="s">
        <v>22253</v>
      </c>
      <c r="M5106" s="103" t="str">
        <f t="shared" si="398"/>
        <v>http://oconnordata.com/mlink/modules/profile/index.cfm?action=profile&amp;prop_id=15318</v>
      </c>
      <c r="N5106" s="1">
        <f t="shared" si="399"/>
        <v>15318</v>
      </c>
    </row>
    <row r="5107" spans="1:14" x14ac:dyDescent="0.3">
      <c r="A5107" s="1">
        <v>15320</v>
      </c>
      <c r="B5107" s="7" t="s">
        <v>7712</v>
      </c>
      <c r="C5107" s="12">
        <v>306</v>
      </c>
      <c r="D5107" s="7" t="s">
        <v>7713</v>
      </c>
      <c r="E5107" s="13" t="s">
        <v>5781</v>
      </c>
      <c r="F5107" t="str">
        <f t="shared" si="395"/>
        <v>Park</v>
      </c>
      <c r="G5107" t="str">
        <f t="shared" si="396"/>
        <v>Park306Euless</v>
      </c>
      <c r="H5107" t="s">
        <v>35964</v>
      </c>
      <c r="I5107" t="s">
        <v>27386</v>
      </c>
      <c r="J5107" t="str">
        <f t="shared" si="397"/>
        <v>E:\PropInv\MF</v>
      </c>
      <c r="K5107" s="103" t="str">
        <f>HYPERLINK("E:\PropInv\MF\Euless\Park Dr_306_Concord Terrace_Euless_15320","Park Dr_306_Concord Terrace_Euless_15320" )</f>
        <v>Park Dr_306_Concord Terrace_Euless_15320</v>
      </c>
      <c r="L5107" s="104" t="s">
        <v>22253</v>
      </c>
      <c r="M5107" s="103" t="str">
        <f t="shared" si="398"/>
        <v>http://oconnordata.com/mlink/modules/profile/index.cfm?action=profile&amp;prop_id=15320</v>
      </c>
      <c r="N5107" s="1">
        <f t="shared" si="399"/>
        <v>15320</v>
      </c>
    </row>
    <row r="5108" spans="1:14" x14ac:dyDescent="0.3">
      <c r="A5108" s="1">
        <v>15322</v>
      </c>
      <c r="B5108" s="7" t="s">
        <v>3060</v>
      </c>
      <c r="C5108" s="12">
        <v>11555</v>
      </c>
      <c r="D5108" s="7" t="s">
        <v>7714</v>
      </c>
      <c r="E5108" s="13" t="s">
        <v>1657</v>
      </c>
      <c r="F5108" t="str">
        <f t="shared" si="395"/>
        <v>Bissonnet</v>
      </c>
      <c r="G5108" t="str">
        <f t="shared" si="396"/>
        <v>Bissonnet11555Houston</v>
      </c>
      <c r="H5108" t="s">
        <v>35965</v>
      </c>
      <c r="I5108" t="s">
        <v>27387</v>
      </c>
      <c r="J5108" t="str">
        <f t="shared" si="397"/>
        <v>E:\PropInv\MF</v>
      </c>
      <c r="K5108" s="103" t="str">
        <f>HYPERLINK("E:\PropInv\MF\Houston\Bissonnet_11555_Catalina_Houston_15322","Bissonnet_11555_Catalina_Houston_15322" )</f>
        <v>Bissonnet_11555_Catalina_Houston_15322</v>
      </c>
      <c r="L5108" s="104" t="s">
        <v>22253</v>
      </c>
      <c r="M5108" s="103" t="str">
        <f t="shared" si="398"/>
        <v>http://oconnordata.com/mlink/modules/profile/index.cfm?action=profile&amp;prop_id=15322</v>
      </c>
      <c r="N5108" s="1">
        <f t="shared" si="399"/>
        <v>15322</v>
      </c>
    </row>
    <row r="5109" spans="1:14" x14ac:dyDescent="0.3">
      <c r="A5109" s="1">
        <v>15323</v>
      </c>
      <c r="B5109" s="7" t="s">
        <v>7715</v>
      </c>
      <c r="C5109" s="12">
        <v>812</v>
      </c>
      <c r="D5109" s="7" t="s">
        <v>7716</v>
      </c>
      <c r="E5109" s="13" t="s">
        <v>6555</v>
      </c>
      <c r="F5109" t="str">
        <f t="shared" si="395"/>
        <v>Cooper</v>
      </c>
      <c r="G5109" t="str">
        <f t="shared" si="396"/>
        <v>Cooper812Arlington</v>
      </c>
      <c r="H5109" t="s">
        <v>35966</v>
      </c>
      <c r="I5109" t="s">
        <v>27388</v>
      </c>
      <c r="J5109" t="str">
        <f t="shared" si="397"/>
        <v>E:\PropInv\MF</v>
      </c>
      <c r="K5109" s="103" t="str">
        <f>HYPERLINK("E:\PropInv\MF\Arlington\Cooper Sq Cir_812_Cooper Park_Arlington_15323","Cooper Sq Cir_812_Cooper Park_Arlington_15323" )</f>
        <v>Cooper Sq Cir_812_Cooper Park_Arlington_15323</v>
      </c>
      <c r="L5109" s="104" t="s">
        <v>22253</v>
      </c>
      <c r="M5109" s="103" t="str">
        <f t="shared" si="398"/>
        <v>http://oconnordata.com/mlink/modules/profile/index.cfm?action=profile&amp;prop_id=15323</v>
      </c>
      <c r="N5109" s="1">
        <f t="shared" si="399"/>
        <v>15323</v>
      </c>
    </row>
    <row r="5110" spans="1:14" x14ac:dyDescent="0.3">
      <c r="A5110" s="1">
        <v>15324</v>
      </c>
      <c r="B5110" s="7" t="s">
        <v>7717</v>
      </c>
      <c r="C5110" s="12">
        <v>3999</v>
      </c>
      <c r="D5110" s="7" t="s">
        <v>7718</v>
      </c>
      <c r="E5110" s="13" t="s">
        <v>5014</v>
      </c>
      <c r="F5110" t="str">
        <f t="shared" si="395"/>
        <v>Centreport</v>
      </c>
      <c r="G5110" t="str">
        <f t="shared" si="396"/>
        <v>Centreport3999Fort Worth</v>
      </c>
      <c r="H5110" t="s">
        <v>35967</v>
      </c>
      <c r="I5110" t="s">
        <v>27389</v>
      </c>
      <c r="J5110" t="str">
        <f t="shared" si="397"/>
        <v>E:\PropInv\MF</v>
      </c>
      <c r="K5110" s="103" t="str">
        <f>HYPERLINK("E:\PropInv\MF\Fort Worth\Centreport Dr_3999_Camden Centreport_Fort Worth_15324","Centreport Dr_3999_Camden Centreport_Fort Worth_15324" )</f>
        <v>Centreport Dr_3999_Camden Centreport_Fort Worth_15324</v>
      </c>
      <c r="L5110" s="104" t="s">
        <v>22253</v>
      </c>
      <c r="M5110" s="103" t="str">
        <f t="shared" si="398"/>
        <v>http://oconnordata.com/mlink/modules/profile/index.cfm?action=profile&amp;prop_id=15324</v>
      </c>
      <c r="N5110" s="1">
        <f t="shared" si="399"/>
        <v>15324</v>
      </c>
    </row>
    <row r="5111" spans="1:14" x14ac:dyDescent="0.3">
      <c r="A5111" s="1">
        <v>15326</v>
      </c>
      <c r="B5111" s="7" t="s">
        <v>7719</v>
      </c>
      <c r="C5111" s="12">
        <v>521</v>
      </c>
      <c r="D5111" s="7" t="s">
        <v>7720</v>
      </c>
      <c r="E5111" s="13" t="s">
        <v>6555</v>
      </c>
      <c r="F5111" t="str">
        <f t="shared" si="395"/>
        <v>Rd</v>
      </c>
      <c r="G5111" t="str">
        <f t="shared" si="396"/>
        <v>Rd521Arlington</v>
      </c>
      <c r="H5111" t="s">
        <v>35968</v>
      </c>
      <c r="I5111" t="s">
        <v>27390</v>
      </c>
      <c r="J5111" t="str">
        <f t="shared" si="397"/>
        <v>E:\PropInv\MF</v>
      </c>
      <c r="K5111" s="103" t="str">
        <f>HYPERLINK("E:\PropInv\MF\Arlington\Rd Six Flags W_521_Cooper Ridge_Arlington_15326","Rd Six Flags W_521_Cooper Ridge_Arlington_15326" )</f>
        <v>Rd Six Flags W_521_Cooper Ridge_Arlington_15326</v>
      </c>
      <c r="L5111" s="104" t="s">
        <v>22253</v>
      </c>
      <c r="M5111" s="103" t="str">
        <f t="shared" si="398"/>
        <v>http://oconnordata.com/mlink/modules/profile/index.cfm?action=profile&amp;prop_id=15326</v>
      </c>
      <c r="N5111" s="1">
        <f t="shared" si="399"/>
        <v>15326</v>
      </c>
    </row>
    <row r="5112" spans="1:14" x14ac:dyDescent="0.3">
      <c r="A5112" s="1">
        <v>15328</v>
      </c>
      <c r="B5112" s="7" t="s">
        <v>7721</v>
      </c>
      <c r="C5112" s="12">
        <v>2400</v>
      </c>
      <c r="D5112" s="7" t="s">
        <v>7722</v>
      </c>
      <c r="E5112" s="13" t="s">
        <v>4942</v>
      </c>
      <c r="F5112" t="str">
        <f t="shared" si="395"/>
        <v>Harwood</v>
      </c>
      <c r="G5112" t="str">
        <f t="shared" si="396"/>
        <v>Harwood2400Bedford</v>
      </c>
      <c r="H5112" t="s">
        <v>35969</v>
      </c>
      <c r="I5112" t="s">
        <v>27391</v>
      </c>
      <c r="J5112" t="str">
        <f t="shared" si="397"/>
        <v>E:\PropInv\MF</v>
      </c>
      <c r="K5112" s="103" t="str">
        <f>HYPERLINK("E:\PropInv\MF\Bedford\Harwood_2400_Copper Canyon_Bedford_15328","Harwood_2400_Copper Canyon_Bedford_15328" )</f>
        <v>Harwood_2400_Copper Canyon_Bedford_15328</v>
      </c>
      <c r="L5112" s="104" t="s">
        <v>22253</v>
      </c>
      <c r="M5112" s="103" t="str">
        <f t="shared" si="398"/>
        <v>http://oconnordata.com/mlink/modules/profile/index.cfm?action=profile&amp;prop_id=15328</v>
      </c>
      <c r="N5112" s="1">
        <f t="shared" si="399"/>
        <v>15328</v>
      </c>
    </row>
    <row r="5113" spans="1:14" x14ac:dyDescent="0.3">
      <c r="A5113" s="1">
        <v>15329</v>
      </c>
      <c r="B5113" s="7" t="s">
        <v>7723</v>
      </c>
      <c r="C5113" s="12">
        <v>7550</v>
      </c>
      <c r="D5113" s="7" t="s">
        <v>7724</v>
      </c>
      <c r="E5113" s="13" t="s">
        <v>4996</v>
      </c>
      <c r="F5113" t="str">
        <f t="shared" si="395"/>
        <v>Westmoreland</v>
      </c>
      <c r="G5113" t="str">
        <f t="shared" si="396"/>
        <v>Westmoreland7550Dallas</v>
      </c>
      <c r="H5113" t="s">
        <v>35970</v>
      </c>
      <c r="I5113" t="s">
        <v>27392</v>
      </c>
      <c r="J5113" t="str">
        <f t="shared" si="397"/>
        <v>E:\PropInv\MF</v>
      </c>
      <c r="K5113" s="103" t="str">
        <f>HYPERLINK("E:\PropInv\MF\Dallas\Westmoreland Rd S_7550_Harbors-Plum Tree_Dallas_15329","Westmoreland Rd S_7550_Harbors-Plum Tree_Dallas_15329" )</f>
        <v>Westmoreland Rd S_7550_Harbors-Plum Tree_Dallas_15329</v>
      </c>
      <c r="L5113" s="104" t="s">
        <v>22253</v>
      </c>
      <c r="M5113" s="103" t="str">
        <f t="shared" si="398"/>
        <v>http://oconnordata.com/mlink/modules/profile/index.cfm?action=profile&amp;prop_id=15329</v>
      </c>
      <c r="N5113" s="1">
        <f t="shared" si="399"/>
        <v>15329</v>
      </c>
    </row>
    <row r="5114" spans="1:14" x14ac:dyDescent="0.3">
      <c r="A5114" s="1">
        <v>15330</v>
      </c>
      <c r="B5114" s="7" t="s">
        <v>7725</v>
      </c>
      <c r="C5114" s="12">
        <v>2710</v>
      </c>
      <c r="D5114" s="7" t="s">
        <v>7726</v>
      </c>
      <c r="E5114" s="13" t="s">
        <v>6555</v>
      </c>
      <c r="F5114" t="str">
        <f t="shared" si="395"/>
        <v>Golden</v>
      </c>
      <c r="G5114" t="str">
        <f t="shared" si="396"/>
        <v>Golden2710Arlington</v>
      </c>
      <c r="H5114" t="s">
        <v>35971</v>
      </c>
      <c r="I5114" t="s">
        <v>27393</v>
      </c>
      <c r="J5114" t="str">
        <f t="shared" si="397"/>
        <v>E:\PropInv\MF</v>
      </c>
      <c r="K5114" s="103" t="str">
        <f>HYPERLINK("E:\PropInv\MF\Arlington\Golden Creek Ln_2710_Copper Chase_Arlington_15330","Golden Creek Ln_2710_Copper Chase_Arlington_15330" )</f>
        <v>Golden Creek Ln_2710_Copper Chase_Arlington_15330</v>
      </c>
      <c r="L5114" s="104" t="s">
        <v>22253</v>
      </c>
      <c r="M5114" s="103" t="str">
        <f t="shared" si="398"/>
        <v>http://oconnordata.com/mlink/modules/profile/index.cfm?action=profile&amp;prop_id=15330</v>
      </c>
      <c r="N5114" s="1">
        <f t="shared" si="399"/>
        <v>15330</v>
      </c>
    </row>
    <row r="5115" spans="1:14" x14ac:dyDescent="0.3">
      <c r="A5115" s="1">
        <v>15331</v>
      </c>
      <c r="B5115" s="7" t="s">
        <v>7727</v>
      </c>
      <c r="C5115" s="12">
        <v>500</v>
      </c>
      <c r="D5115" s="7" t="s">
        <v>7728</v>
      </c>
      <c r="E5115" s="13" t="s">
        <v>7729</v>
      </c>
      <c r="F5115" t="str">
        <f t="shared" si="395"/>
        <v>Ridgecrest</v>
      </c>
      <c r="G5115" t="str">
        <f t="shared" si="396"/>
        <v>Ridgecrest500Saginaw</v>
      </c>
      <c r="H5115" t="s">
        <v>35972</v>
      </c>
      <c r="I5115" t="s">
        <v>27394</v>
      </c>
      <c r="J5115" t="str">
        <f t="shared" si="397"/>
        <v>E:\PropInv\MF</v>
      </c>
      <c r="K5115" s="103" t="str">
        <f>HYPERLINK("E:\PropInv\MF\Saginaw\Ridgecrest Cir_500_Camelot Square_Saginaw_15331","Ridgecrest Cir_500_Camelot Square_Saginaw_15331" )</f>
        <v>Ridgecrest Cir_500_Camelot Square_Saginaw_15331</v>
      </c>
      <c r="L5115" s="104" t="s">
        <v>22253</v>
      </c>
      <c r="M5115" s="103" t="str">
        <f t="shared" si="398"/>
        <v>http://oconnordata.com/mlink/modules/profile/index.cfm?action=profile&amp;prop_id=15331</v>
      </c>
      <c r="N5115" s="1">
        <f t="shared" si="399"/>
        <v>15331</v>
      </c>
    </row>
    <row r="5116" spans="1:14" x14ac:dyDescent="0.3">
      <c r="A5116" s="1">
        <v>15332</v>
      </c>
      <c r="B5116" s="7" t="s">
        <v>7730</v>
      </c>
      <c r="C5116" s="12">
        <v>3000</v>
      </c>
      <c r="D5116" s="7" t="s">
        <v>7731</v>
      </c>
      <c r="E5116" s="13" t="s">
        <v>4942</v>
      </c>
      <c r="F5116" t="str">
        <f t="shared" si="395"/>
        <v>Bedford</v>
      </c>
      <c r="G5116" t="str">
        <f t="shared" si="396"/>
        <v>Bedford3000Bedford</v>
      </c>
      <c r="H5116" t="s">
        <v>35973</v>
      </c>
      <c r="I5116" t="s">
        <v>27395</v>
      </c>
      <c r="J5116" t="str">
        <f t="shared" si="397"/>
        <v>E:\PropInv\MF</v>
      </c>
      <c r="K5116" s="103" t="str">
        <f>HYPERLINK("E:\PropInv\MF\Bedford\Bedford Rd_3000_Copper Hill_Bedford_15332","Bedford Rd_3000_Copper Hill_Bedford_15332" )</f>
        <v>Bedford Rd_3000_Copper Hill_Bedford_15332</v>
      </c>
      <c r="L5116" s="104" t="s">
        <v>22253</v>
      </c>
      <c r="M5116" s="103" t="str">
        <f t="shared" si="398"/>
        <v>http://oconnordata.com/mlink/modules/profile/index.cfm?action=profile&amp;prop_id=15332</v>
      </c>
      <c r="N5116" s="1">
        <f t="shared" si="399"/>
        <v>15332</v>
      </c>
    </row>
    <row r="5117" spans="1:14" x14ac:dyDescent="0.3">
      <c r="A5117" s="1">
        <v>15333</v>
      </c>
      <c r="B5117" s="7" t="s">
        <v>7732</v>
      </c>
      <c r="C5117" s="12">
        <v>301</v>
      </c>
      <c r="D5117" s="7" t="s">
        <v>7733</v>
      </c>
      <c r="E5117" s="13" t="s">
        <v>5781</v>
      </c>
      <c r="F5117" t="str">
        <f t="shared" si="395"/>
        <v>Fair</v>
      </c>
      <c r="G5117" t="str">
        <f t="shared" si="396"/>
        <v>Fair301Euless</v>
      </c>
      <c r="H5117" t="s">
        <v>35974</v>
      </c>
      <c r="I5117" t="s">
        <v>27396</v>
      </c>
      <c r="J5117" t="str">
        <f t="shared" si="397"/>
        <v>E:\PropInv\MF</v>
      </c>
      <c r="K5117" s="103" t="str">
        <f>HYPERLINK("E:\PropInv\MF\Euless\Fair Oaks Blvd_301_The Lodge at Main_Euless_15333","Fair Oaks Blvd_301_The Lodge at Main_Euless_15333" )</f>
        <v>Fair Oaks Blvd_301_The Lodge at Main_Euless_15333</v>
      </c>
      <c r="L5117" s="104" t="s">
        <v>22253</v>
      </c>
      <c r="M5117" s="103" t="str">
        <f t="shared" si="398"/>
        <v>http://oconnordata.com/mlink/modules/profile/index.cfm?action=profile&amp;prop_id=15333</v>
      </c>
      <c r="N5117" s="1">
        <f t="shared" si="399"/>
        <v>15333</v>
      </c>
    </row>
    <row r="5118" spans="1:14" x14ac:dyDescent="0.3">
      <c r="A5118" s="1">
        <v>15335</v>
      </c>
      <c r="B5118" s="7" t="s">
        <v>5429</v>
      </c>
      <c r="C5118" s="12">
        <v>2815</v>
      </c>
      <c r="D5118" s="7" t="s">
        <v>7734</v>
      </c>
      <c r="E5118" s="13" t="s">
        <v>4996</v>
      </c>
      <c r="F5118" t="str">
        <f t="shared" si="395"/>
        <v>Peavy</v>
      </c>
      <c r="G5118" t="str">
        <f t="shared" si="396"/>
        <v>Peavy2815Dallas</v>
      </c>
      <c r="H5118" t="s">
        <v>35975</v>
      </c>
      <c r="I5118" t="s">
        <v>27397</v>
      </c>
      <c r="J5118" t="str">
        <f t="shared" si="397"/>
        <v>E:\PropInv\MF</v>
      </c>
      <c r="K5118" s="103" t="str">
        <f>HYPERLINK("E:\PropInv\MF\Dallas\Peavy Rd_2815_Dalton Place_Dallas_15335","Peavy Rd_2815_Dalton Place_Dallas_15335" )</f>
        <v>Peavy Rd_2815_Dalton Place_Dallas_15335</v>
      </c>
      <c r="L5118" s="104" t="s">
        <v>22253</v>
      </c>
      <c r="M5118" s="103" t="str">
        <f t="shared" si="398"/>
        <v>http://oconnordata.com/mlink/modules/profile/index.cfm?action=profile&amp;prop_id=15335</v>
      </c>
      <c r="N5118" s="1">
        <f t="shared" si="399"/>
        <v>15335</v>
      </c>
    </row>
    <row r="5119" spans="1:14" x14ac:dyDescent="0.3">
      <c r="A5119" s="1">
        <v>15336</v>
      </c>
      <c r="B5119" s="7" t="s">
        <v>7735</v>
      </c>
      <c r="C5119" s="12">
        <v>800</v>
      </c>
      <c r="D5119" s="7" t="s">
        <v>7736</v>
      </c>
      <c r="E5119" s="13" t="s">
        <v>5228</v>
      </c>
      <c r="F5119" t="str">
        <f t="shared" si="395"/>
        <v>Merrill</v>
      </c>
      <c r="G5119" t="str">
        <f t="shared" si="396"/>
        <v>Merrill800Duncanville</v>
      </c>
      <c r="H5119" t="s">
        <v>35976</v>
      </c>
      <c r="I5119" t="s">
        <v>27398</v>
      </c>
      <c r="J5119" t="str">
        <f t="shared" si="397"/>
        <v>E:\PropInv\MF</v>
      </c>
      <c r="K5119" s="103" t="str">
        <f>HYPERLINK("E:\PropInv\MF\Duncanville\Merrill N_800_Fairmeadows_Duncanville_15336","Merrill N_800_Fairmeadows_Duncanville_15336" )</f>
        <v>Merrill N_800_Fairmeadows_Duncanville_15336</v>
      </c>
      <c r="L5119" s="104" t="s">
        <v>22253</v>
      </c>
      <c r="M5119" s="103" t="str">
        <f t="shared" si="398"/>
        <v>http://oconnordata.com/mlink/modules/profile/index.cfm?action=profile&amp;prop_id=15336</v>
      </c>
      <c r="N5119" s="1">
        <f t="shared" si="399"/>
        <v>15336</v>
      </c>
    </row>
    <row r="5120" spans="1:14" x14ac:dyDescent="0.3">
      <c r="A5120" s="1">
        <v>15337</v>
      </c>
      <c r="B5120" s="7" t="s">
        <v>7737</v>
      </c>
      <c r="C5120" s="12">
        <v>806</v>
      </c>
      <c r="D5120" s="7" t="s">
        <v>7738</v>
      </c>
      <c r="E5120" s="13" t="s">
        <v>6555</v>
      </c>
      <c r="F5120" t="str">
        <f t="shared" si="395"/>
        <v>Benge</v>
      </c>
      <c r="G5120" t="str">
        <f t="shared" si="396"/>
        <v>Benge806Arlington</v>
      </c>
      <c r="H5120" t="s">
        <v>35977</v>
      </c>
      <c r="I5120" t="s">
        <v>27399</v>
      </c>
      <c r="J5120" t="str">
        <f t="shared" si="397"/>
        <v>E:\PropInv\MF</v>
      </c>
      <c r="K5120" s="103" t="str">
        <f>HYPERLINK("E:\PropInv\MF\Arlington\Benge Dr_806_Campus Walk_Arlington_15337","Benge Dr_806_Campus Walk_Arlington_15337" )</f>
        <v>Benge Dr_806_Campus Walk_Arlington_15337</v>
      </c>
      <c r="L5120" s="104" t="s">
        <v>22253</v>
      </c>
      <c r="M5120" s="103" t="str">
        <f t="shared" si="398"/>
        <v>http://oconnordata.com/mlink/modules/profile/index.cfm?action=profile&amp;prop_id=15337</v>
      </c>
      <c r="N5120" s="1">
        <f t="shared" si="399"/>
        <v>15337</v>
      </c>
    </row>
    <row r="5121" spans="1:14" x14ac:dyDescent="0.3">
      <c r="A5121" s="1">
        <v>15338</v>
      </c>
      <c r="B5121" s="7" t="s">
        <v>7739</v>
      </c>
      <c r="C5121" s="12">
        <v>4040</v>
      </c>
      <c r="D5121" s="7" t="s">
        <v>980</v>
      </c>
      <c r="E5121" s="13" t="s">
        <v>6581</v>
      </c>
      <c r="F5121" t="str">
        <f t="shared" si="395"/>
        <v>Denton</v>
      </c>
      <c r="G5121" t="str">
        <f t="shared" si="396"/>
        <v>Denton4040Haltom City</v>
      </c>
      <c r="H5121" t="s">
        <v>35978</v>
      </c>
      <c r="I5121" t="s">
        <v>27400</v>
      </c>
      <c r="J5121" t="str">
        <f t="shared" si="397"/>
        <v>E:\PropInv\MF</v>
      </c>
      <c r="K5121" s="103" t="str">
        <f>HYPERLINK("E:\PropInv\MF\Haltom City\Denton Hwy_4040_Cornerstone_Haltom City_15338","Denton Hwy_4040_Cornerstone_Haltom City_15338" )</f>
        <v>Denton Hwy_4040_Cornerstone_Haltom City_15338</v>
      </c>
      <c r="L5121" s="104" t="s">
        <v>22253</v>
      </c>
      <c r="M5121" s="103" t="str">
        <f t="shared" si="398"/>
        <v>http://oconnordata.com/mlink/modules/profile/index.cfm?action=profile&amp;prop_id=15338</v>
      </c>
      <c r="N5121" s="1">
        <f t="shared" si="399"/>
        <v>15338</v>
      </c>
    </row>
    <row r="5122" spans="1:14" x14ac:dyDescent="0.3">
      <c r="A5122" s="1">
        <v>15339</v>
      </c>
      <c r="B5122" s="7" t="s">
        <v>6322</v>
      </c>
      <c r="C5122" s="12">
        <v>515</v>
      </c>
      <c r="D5122" s="7" t="s">
        <v>7740</v>
      </c>
      <c r="E5122" s="13" t="s">
        <v>6555</v>
      </c>
      <c r="F5122" t="str">
        <f t="shared" ref="F5122:F5185" si="400">IFERROR(LEFT(B5122,FIND(" ",B5122)-1),B5122)</f>
        <v>Summit</v>
      </c>
      <c r="G5122" t="str">
        <f t="shared" ref="G5122:G5185" si="401">F5122&amp;C5122&amp;E5122</f>
        <v>Summit515Arlington</v>
      </c>
      <c r="H5122" t="s">
        <v>35979</v>
      </c>
      <c r="I5122" t="s">
        <v>27401</v>
      </c>
      <c r="J5122" t="str">
        <f t="shared" ref="J5122:J5185" si="402">IF(L5122="TX",Folder_Path,Folder_Path&amp;"\State_"&amp;L5122)</f>
        <v>E:\PropInv\MF</v>
      </c>
      <c r="K5122" s="103" t="str">
        <f>HYPERLINK("E:\PropInv\MF\Arlington\Summit_515_Campus West_Arlington_15339","Summit_515_Campus West_Arlington_15339" )</f>
        <v>Summit_515_Campus West_Arlington_15339</v>
      </c>
      <c r="L5122" s="104" t="s">
        <v>22253</v>
      </c>
      <c r="M5122" s="103" t="str">
        <f t="shared" ref="M5122:M5185" si="403">HYPERLINK("http://oconnordata.com/mlink/modules/profile/index.cfm?action=profile&amp;prop_id="&amp;A5122)</f>
        <v>http://oconnordata.com/mlink/modules/profile/index.cfm?action=profile&amp;prop_id=15339</v>
      </c>
      <c r="N5122" s="1">
        <f t="shared" ref="N5122:N5185" si="404">IF(LEN(A5122)=1,"0000"&amp;A5122,IF(LEN(A5122)=2,"000"&amp;A5122,IF(LEN(A5122)=3,"00"&amp;A5122,IF(LEN(A5122)=4,"0"&amp;A5122,IF(LEN(A5122)=5,IF(LEFT(A5122,1)="3",A5122+30000,A5122))))))</f>
        <v>15339</v>
      </c>
    </row>
    <row r="5123" spans="1:14" x14ac:dyDescent="0.3">
      <c r="A5123" s="1">
        <v>15340</v>
      </c>
      <c r="B5123" s="7" t="s">
        <v>7741</v>
      </c>
      <c r="C5123" s="12">
        <v>1801</v>
      </c>
      <c r="D5123" s="7" t="s">
        <v>7742</v>
      </c>
      <c r="E5123" s="13" t="s">
        <v>6555</v>
      </c>
      <c r="F5123" t="str">
        <f t="shared" si="400"/>
        <v>Arkansas</v>
      </c>
      <c r="G5123" t="str">
        <f t="shared" si="401"/>
        <v>Arkansas1801Arlington</v>
      </c>
      <c r="H5123" t="s">
        <v>35980</v>
      </c>
      <c r="I5123" t="s">
        <v>27402</v>
      </c>
      <c r="J5123" t="str">
        <f t="shared" si="402"/>
        <v>E:\PropInv\MF</v>
      </c>
      <c r="K5123" s="103" t="str">
        <f>HYPERLINK("E:\PropInv\MF\Arlington\Arkansas Ln W_1801_Springfield Crossing_Arlington_15340","Arkansas Ln W_1801_Springfield Crossing_Arlington_15340" )</f>
        <v>Arkansas Ln W_1801_Springfield Crossing_Arlington_15340</v>
      </c>
      <c r="L5123" s="104" t="s">
        <v>22253</v>
      </c>
      <c r="M5123" s="103" t="str">
        <f t="shared" si="403"/>
        <v>http://oconnordata.com/mlink/modules/profile/index.cfm?action=profile&amp;prop_id=15340</v>
      </c>
      <c r="N5123" s="1">
        <f t="shared" si="404"/>
        <v>15340</v>
      </c>
    </row>
    <row r="5124" spans="1:14" x14ac:dyDescent="0.3">
      <c r="A5124" s="1">
        <v>15341</v>
      </c>
      <c r="B5124" s="7" t="s">
        <v>7743</v>
      </c>
      <c r="C5124" s="12">
        <v>110</v>
      </c>
      <c r="D5124" s="7" t="s">
        <v>6240</v>
      </c>
      <c r="E5124" s="13" t="s">
        <v>6555</v>
      </c>
      <c r="F5124" t="str">
        <f t="shared" si="400"/>
        <v>3rd</v>
      </c>
      <c r="G5124" t="str">
        <f t="shared" si="401"/>
        <v>3rd110Arlington</v>
      </c>
      <c r="H5124" t="s">
        <v>35981</v>
      </c>
      <c r="I5124" t="s">
        <v>27403</v>
      </c>
      <c r="J5124" t="str">
        <f t="shared" si="402"/>
        <v>E:\PropInv\MF</v>
      </c>
      <c r="K5124" s="103" t="str">
        <f>HYPERLINK("E:\PropInv\MF\Arlington\3rd St E_110_Coronado_Arlington_15341","3rd St E_110_Coronado_Arlington_15341" )</f>
        <v>3rd St E_110_Coronado_Arlington_15341</v>
      </c>
      <c r="L5124" s="104" t="s">
        <v>22253</v>
      </c>
      <c r="M5124" s="103" t="str">
        <f t="shared" si="403"/>
        <v>http://oconnordata.com/mlink/modules/profile/index.cfm?action=profile&amp;prop_id=15341</v>
      </c>
      <c r="N5124" s="1">
        <f t="shared" si="404"/>
        <v>15341</v>
      </c>
    </row>
    <row r="5125" spans="1:14" x14ac:dyDescent="0.3">
      <c r="A5125" s="1">
        <v>15342</v>
      </c>
      <c r="B5125" s="7" t="s">
        <v>7384</v>
      </c>
      <c r="C5125" s="12">
        <v>1727</v>
      </c>
      <c r="D5125" s="7" t="s">
        <v>7744</v>
      </c>
      <c r="E5125" s="13" t="s">
        <v>6555</v>
      </c>
      <c r="F5125" t="str">
        <f t="shared" si="400"/>
        <v>Westview</v>
      </c>
      <c r="G5125" t="str">
        <f t="shared" si="401"/>
        <v>Westview1727Arlington</v>
      </c>
      <c r="H5125" t="s">
        <v>35982</v>
      </c>
      <c r="I5125" t="s">
        <v>27404</v>
      </c>
      <c r="J5125" t="str">
        <f t="shared" si="402"/>
        <v>E:\PropInv\MF</v>
      </c>
      <c r="K5125" s="103" t="str">
        <f>HYPERLINK("E:\PropInv\MF\Arlington\Westview Terrace_1727_Fielder Crossing Condos_Arlington_15342","Westview Terrace_1727_Fielder Crossing Condos_Arlington_15342" )</f>
        <v>Westview Terrace_1727_Fielder Crossing Condos_Arlington_15342</v>
      </c>
      <c r="L5125" s="104" t="s">
        <v>22253</v>
      </c>
      <c r="M5125" s="103" t="str">
        <f t="shared" si="403"/>
        <v>http://oconnordata.com/mlink/modules/profile/index.cfm?action=profile&amp;prop_id=15342</v>
      </c>
      <c r="N5125" s="1">
        <f t="shared" si="404"/>
        <v>15342</v>
      </c>
    </row>
    <row r="5126" spans="1:14" x14ac:dyDescent="0.3">
      <c r="A5126" s="1">
        <v>15344</v>
      </c>
      <c r="B5126" s="7" t="s">
        <v>5397</v>
      </c>
      <c r="C5126" s="12">
        <v>1409</v>
      </c>
      <c r="D5126" s="7" t="s">
        <v>7745</v>
      </c>
      <c r="E5126" s="13" t="s">
        <v>5046</v>
      </c>
      <c r="F5126" t="str">
        <f t="shared" si="400"/>
        <v>Pioneer</v>
      </c>
      <c r="G5126" t="str">
        <f t="shared" si="401"/>
        <v>Pioneer1409Irving</v>
      </c>
      <c r="H5126" t="s">
        <v>35983</v>
      </c>
      <c r="I5126" t="s">
        <v>27405</v>
      </c>
      <c r="J5126" t="str">
        <f t="shared" si="402"/>
        <v>E:\PropInv\MF</v>
      </c>
      <c r="K5126" s="103" t="str">
        <f>HYPERLINK("E:\PropInv\MF\Irving\Pioneer W_1409_Danvilla_Irving_15344","Pioneer W_1409_Danvilla_Irving_15344" )</f>
        <v>Pioneer W_1409_Danvilla_Irving_15344</v>
      </c>
      <c r="L5126" s="104" t="s">
        <v>22253</v>
      </c>
      <c r="M5126" s="103" t="str">
        <f t="shared" si="403"/>
        <v>http://oconnordata.com/mlink/modules/profile/index.cfm?action=profile&amp;prop_id=15344</v>
      </c>
      <c r="N5126" s="1">
        <f t="shared" si="404"/>
        <v>15344</v>
      </c>
    </row>
    <row r="5127" spans="1:14" x14ac:dyDescent="0.3">
      <c r="A5127" s="1">
        <v>15345</v>
      </c>
      <c r="B5127" s="7" t="s">
        <v>7746</v>
      </c>
      <c r="C5127" s="12">
        <v>3601</v>
      </c>
      <c r="D5127" s="7" t="s">
        <v>7747</v>
      </c>
      <c r="E5127" s="13" t="s">
        <v>6555</v>
      </c>
      <c r="F5127" t="str">
        <f t="shared" si="400"/>
        <v>Fielder</v>
      </c>
      <c r="G5127" t="str">
        <f t="shared" si="401"/>
        <v>Fielder3601Arlington</v>
      </c>
      <c r="H5127" t="s">
        <v>35984</v>
      </c>
      <c r="I5127" t="s">
        <v>27406</v>
      </c>
      <c r="J5127" t="str">
        <f t="shared" si="402"/>
        <v>E:\PropInv\MF</v>
      </c>
      <c r="K5127" s="103" t="str">
        <f>HYPERLINK("E:\PropInv\MF\Arlington\Fielder S_3601_Fielders Glen_Arlington_15345","Fielder S_3601_Fielders Glen_Arlington_15345" )</f>
        <v>Fielder S_3601_Fielders Glen_Arlington_15345</v>
      </c>
      <c r="L5127" s="104" t="s">
        <v>22253</v>
      </c>
      <c r="M5127" s="103" t="str">
        <f t="shared" si="403"/>
        <v>http://oconnordata.com/mlink/modules/profile/index.cfm?action=profile&amp;prop_id=15345</v>
      </c>
      <c r="N5127" s="1">
        <f t="shared" si="404"/>
        <v>15345</v>
      </c>
    </row>
    <row r="5128" spans="1:14" x14ac:dyDescent="0.3">
      <c r="A5128" s="1">
        <v>15346</v>
      </c>
      <c r="B5128" s="7" t="s">
        <v>7748</v>
      </c>
      <c r="C5128" s="12">
        <v>513</v>
      </c>
      <c r="D5128" s="7" t="s">
        <v>7749</v>
      </c>
      <c r="E5128" s="13" t="s">
        <v>5076</v>
      </c>
      <c r="F5128" t="str">
        <f t="shared" si="400"/>
        <v>Dickey</v>
      </c>
      <c r="G5128" t="str">
        <f t="shared" si="401"/>
        <v>Dickey513Grand Prairie</v>
      </c>
      <c r="H5128" t="s">
        <v>35985</v>
      </c>
      <c r="I5128" t="s">
        <v>27407</v>
      </c>
      <c r="J5128" t="str">
        <f t="shared" si="402"/>
        <v>E:\PropInv\MF</v>
      </c>
      <c r="K5128" s="103" t="str">
        <f>HYPERLINK("E:\PropInv\MF\Grand Prairie\Dickey Rd_513_Cottonwood Square_Grand Prairie_15346","Dickey Rd_513_Cottonwood Square_Grand Prairie_15346" )</f>
        <v>Dickey Rd_513_Cottonwood Square_Grand Prairie_15346</v>
      </c>
      <c r="L5128" s="104" t="s">
        <v>22253</v>
      </c>
      <c r="M5128" s="103" t="str">
        <f t="shared" si="403"/>
        <v>http://oconnordata.com/mlink/modules/profile/index.cfm?action=profile&amp;prop_id=15346</v>
      </c>
      <c r="N5128" s="1">
        <f t="shared" si="404"/>
        <v>15346</v>
      </c>
    </row>
    <row r="5129" spans="1:14" x14ac:dyDescent="0.3">
      <c r="A5129" s="1">
        <v>15347</v>
      </c>
      <c r="B5129" s="7" t="s">
        <v>4635</v>
      </c>
      <c r="C5129" s="12">
        <v>1600</v>
      </c>
      <c r="D5129" s="7" t="s">
        <v>7750</v>
      </c>
      <c r="E5129" s="13" t="s">
        <v>6555</v>
      </c>
      <c r="F5129" t="str">
        <f t="shared" si="400"/>
        <v>Jones</v>
      </c>
      <c r="G5129" t="str">
        <f t="shared" si="401"/>
        <v>Jones1600Arlington</v>
      </c>
      <c r="H5129" t="s">
        <v>35986</v>
      </c>
      <c r="I5129" t="s">
        <v>27408</v>
      </c>
      <c r="J5129" t="str">
        <f t="shared" si="402"/>
        <v>E:\PropInv\MF</v>
      </c>
      <c r="K5129" s="103" t="str">
        <f>HYPERLINK("E:\PropInv\MF\Arlington\Jones Dr_1600_Carriage Hill-Carriage Park_Arlington_15347","Jones Dr_1600_Carriage Hill-Carriage Park_Arlington_15347" )</f>
        <v>Jones Dr_1600_Carriage Hill-Carriage Park_Arlington_15347</v>
      </c>
      <c r="L5129" s="104" t="s">
        <v>22253</v>
      </c>
      <c r="M5129" s="103" t="str">
        <f t="shared" si="403"/>
        <v>http://oconnordata.com/mlink/modules/profile/index.cfm?action=profile&amp;prop_id=15347</v>
      </c>
      <c r="N5129" s="1">
        <f t="shared" si="404"/>
        <v>15347</v>
      </c>
    </row>
    <row r="5130" spans="1:14" x14ac:dyDescent="0.3">
      <c r="A5130" s="1">
        <v>15348</v>
      </c>
      <c r="B5130" s="7" t="s">
        <v>7751</v>
      </c>
      <c r="C5130" s="12">
        <v>3550</v>
      </c>
      <c r="D5130" s="7" t="s">
        <v>1994</v>
      </c>
      <c r="E5130" s="13" t="s">
        <v>4996</v>
      </c>
      <c r="F5130" t="str">
        <f t="shared" si="400"/>
        <v>Saint</v>
      </c>
      <c r="G5130" t="str">
        <f t="shared" si="401"/>
        <v>Saint3550Dallas</v>
      </c>
      <c r="H5130" t="s">
        <v>35987</v>
      </c>
      <c r="I5130" t="s">
        <v>27409</v>
      </c>
      <c r="J5130" t="str">
        <f t="shared" si="402"/>
        <v>E:\PropInv\MF</v>
      </c>
      <c r="K5130" s="103" t="str">
        <f>HYPERLINK("E:\PropInv\MF\Dallas\Saint Francis_3550_Deer Creek_Dallas_15348","Saint Francis_3550_Deer Creek_Dallas_15348" )</f>
        <v>Saint Francis_3550_Deer Creek_Dallas_15348</v>
      </c>
      <c r="L5130" s="104" t="s">
        <v>22253</v>
      </c>
      <c r="M5130" s="103" t="str">
        <f t="shared" si="403"/>
        <v>http://oconnordata.com/mlink/modules/profile/index.cfm?action=profile&amp;prop_id=15348</v>
      </c>
      <c r="N5130" s="1">
        <f t="shared" si="404"/>
        <v>15348</v>
      </c>
    </row>
    <row r="5131" spans="1:14" x14ac:dyDescent="0.3">
      <c r="A5131" s="1">
        <v>15349</v>
      </c>
      <c r="B5131" s="7" t="s">
        <v>5779</v>
      </c>
      <c r="C5131" s="12">
        <v>1401</v>
      </c>
      <c r="D5131" s="7" t="s">
        <v>7752</v>
      </c>
      <c r="E5131" s="13" t="s">
        <v>5781</v>
      </c>
      <c r="F5131" t="str">
        <f t="shared" si="400"/>
        <v>Sotogrande</v>
      </c>
      <c r="G5131" t="str">
        <f t="shared" si="401"/>
        <v>Sotogrande1401Euless</v>
      </c>
      <c r="H5131" t="s">
        <v>35988</v>
      </c>
      <c r="I5131" t="s">
        <v>27410</v>
      </c>
      <c r="J5131" t="str">
        <f t="shared" si="402"/>
        <v>E:\PropInv\MF</v>
      </c>
      <c r="K5131" s="103" t="str">
        <f>HYPERLINK("E:\PropInv\MF\Euless\Sotogrande Blvd_1401_Westdale Hills Firestone_Euless_15349","Sotogrande Blvd_1401_Westdale Hills Firestone_Euless_15349" )</f>
        <v>Sotogrande Blvd_1401_Westdale Hills Firestone_Euless_15349</v>
      </c>
      <c r="L5131" s="104" t="s">
        <v>22253</v>
      </c>
      <c r="M5131" s="103" t="str">
        <f t="shared" si="403"/>
        <v>http://oconnordata.com/mlink/modules/profile/index.cfm?action=profile&amp;prop_id=15349</v>
      </c>
      <c r="N5131" s="1">
        <f t="shared" si="404"/>
        <v>15349</v>
      </c>
    </row>
    <row r="5132" spans="1:14" x14ac:dyDescent="0.3">
      <c r="A5132" s="1">
        <v>15350</v>
      </c>
      <c r="B5132" s="7" t="s">
        <v>1054</v>
      </c>
      <c r="C5132" s="12">
        <v>2408</v>
      </c>
      <c r="D5132" s="7" t="s">
        <v>1054</v>
      </c>
      <c r="E5132" s="13" t="s">
        <v>6555</v>
      </c>
      <c r="F5132" t="str">
        <f t="shared" si="400"/>
        <v>Forest</v>
      </c>
      <c r="G5132" t="str">
        <f t="shared" si="401"/>
        <v>Forest2408Arlington</v>
      </c>
      <c r="H5132" t="s">
        <v>35989</v>
      </c>
      <c r="I5132" t="s">
        <v>27411</v>
      </c>
      <c r="J5132" t="str">
        <f t="shared" si="402"/>
        <v>E:\PropInv\MF</v>
      </c>
      <c r="K5132" s="103" t="str">
        <f>HYPERLINK("E:\PropInv\MF\Arlington\Forest Oaks_2408_Forest Oaks_Arlington_15350","Forest Oaks_2408_Forest Oaks_Arlington_15350" )</f>
        <v>Forest Oaks_2408_Forest Oaks_Arlington_15350</v>
      </c>
      <c r="L5132" s="104" t="s">
        <v>22253</v>
      </c>
      <c r="M5132" s="103" t="str">
        <f t="shared" si="403"/>
        <v>http://oconnordata.com/mlink/modules/profile/index.cfm?action=profile&amp;prop_id=15350</v>
      </c>
      <c r="N5132" s="1">
        <f t="shared" si="404"/>
        <v>15350</v>
      </c>
    </row>
    <row r="5133" spans="1:14" x14ac:dyDescent="0.3">
      <c r="A5133" s="1">
        <v>15352</v>
      </c>
      <c r="B5133" s="7" t="s">
        <v>7753</v>
      </c>
      <c r="C5133" s="12">
        <v>415</v>
      </c>
      <c r="D5133" s="7" t="s">
        <v>7754</v>
      </c>
      <c r="E5133" s="13" t="s">
        <v>6555</v>
      </c>
      <c r="F5133" t="str">
        <f t="shared" si="400"/>
        <v>Oak</v>
      </c>
      <c r="G5133" t="str">
        <f t="shared" si="401"/>
        <v>Oak415Arlington</v>
      </c>
      <c r="H5133" t="s">
        <v>35990</v>
      </c>
      <c r="I5133" t="s">
        <v>27412</v>
      </c>
      <c r="J5133" t="str">
        <f t="shared" si="402"/>
        <v>E:\PropInv\MF</v>
      </c>
      <c r="K5133" s="103" t="str">
        <f>HYPERLINK("E:\PropInv\MF\Arlington\Oak St S_415_Aquarius_Arlington_15352","Oak St S_415_Aquarius_Arlington_15352" )</f>
        <v>Oak St S_415_Aquarius_Arlington_15352</v>
      </c>
      <c r="L5133" s="104" t="s">
        <v>22253</v>
      </c>
      <c r="M5133" s="103" t="str">
        <f t="shared" si="403"/>
        <v>http://oconnordata.com/mlink/modules/profile/index.cfm?action=profile&amp;prop_id=15352</v>
      </c>
      <c r="N5133" s="1">
        <f t="shared" si="404"/>
        <v>15352</v>
      </c>
    </row>
    <row r="5134" spans="1:14" x14ac:dyDescent="0.3">
      <c r="A5134" s="1">
        <v>15353</v>
      </c>
      <c r="B5134" s="7" t="s">
        <v>7755</v>
      </c>
      <c r="C5134" s="12">
        <v>2913</v>
      </c>
      <c r="D5134" s="7" t="s">
        <v>7756</v>
      </c>
      <c r="E5134" s="13" t="s">
        <v>6578</v>
      </c>
      <c r="F5134" t="str">
        <f t="shared" si="400"/>
        <v>Mustang</v>
      </c>
      <c r="G5134" t="str">
        <f t="shared" si="401"/>
        <v>Mustang2913Grapevine</v>
      </c>
      <c r="H5134" t="s">
        <v>35991</v>
      </c>
      <c r="I5134" t="s">
        <v>27413</v>
      </c>
      <c r="J5134" t="str">
        <f t="shared" si="402"/>
        <v>E:\PropInv\MF</v>
      </c>
      <c r="K5134" s="103" t="str">
        <f>HYPERLINK("E:\PropInv\MF\Grapevine\Mustang Dr_2913_The Courtyards at Mustang_Grapevine_15353","Mustang Dr_2913_The Courtyards at Mustang_Grapevine_15353" )</f>
        <v>Mustang Dr_2913_The Courtyards at Mustang_Grapevine_15353</v>
      </c>
      <c r="L5134" s="104" t="s">
        <v>22253</v>
      </c>
      <c r="M5134" s="103" t="str">
        <f t="shared" si="403"/>
        <v>http://oconnordata.com/mlink/modules/profile/index.cfm?action=profile&amp;prop_id=15353</v>
      </c>
      <c r="N5134" s="1">
        <f t="shared" si="404"/>
        <v>15353</v>
      </c>
    </row>
    <row r="5135" spans="1:14" x14ac:dyDescent="0.3">
      <c r="A5135" s="1">
        <v>15354</v>
      </c>
      <c r="B5135" s="7" t="s">
        <v>7757</v>
      </c>
      <c r="C5135" s="12">
        <v>1552</v>
      </c>
      <c r="D5135" s="7" t="s">
        <v>7758</v>
      </c>
      <c r="E5135" s="13" t="s">
        <v>4942</v>
      </c>
      <c r="F5135" t="str">
        <f t="shared" si="400"/>
        <v>Forest</v>
      </c>
      <c r="G5135" t="str">
        <f t="shared" si="401"/>
        <v>Forest1552Bedford</v>
      </c>
      <c r="H5135" t="s">
        <v>35992</v>
      </c>
      <c r="I5135" t="s">
        <v>27414</v>
      </c>
      <c r="J5135" t="str">
        <f t="shared" si="402"/>
        <v>E:\PropInv\MF</v>
      </c>
      <c r="K5135" s="103" t="str">
        <f>HYPERLINK("E:\PropInv\MF\Bedford\Forest Park Cir_1552_Forest Park Apts_Bedford_15354","Forest Park Cir_1552_Forest Park Apts_Bedford_15354" )</f>
        <v>Forest Park Cir_1552_Forest Park Apts_Bedford_15354</v>
      </c>
      <c r="L5135" s="104" t="s">
        <v>22253</v>
      </c>
      <c r="M5135" s="103" t="str">
        <f t="shared" si="403"/>
        <v>http://oconnordata.com/mlink/modules/profile/index.cfm?action=profile&amp;prop_id=15354</v>
      </c>
      <c r="N5135" s="1">
        <f t="shared" si="404"/>
        <v>15354</v>
      </c>
    </row>
    <row r="5136" spans="1:14" x14ac:dyDescent="0.3">
      <c r="A5136" s="1">
        <v>15356</v>
      </c>
      <c r="B5136" s="7" t="s">
        <v>5470</v>
      </c>
      <c r="C5136" s="12">
        <v>1204</v>
      </c>
      <c r="D5136" s="7" t="s">
        <v>7759</v>
      </c>
      <c r="E5136" s="13" t="s">
        <v>5046</v>
      </c>
      <c r="F5136" t="str">
        <f t="shared" si="400"/>
        <v>Nursery</v>
      </c>
      <c r="G5136" t="str">
        <f t="shared" si="401"/>
        <v>Nursery1204Irving</v>
      </c>
      <c r="H5136" t="s">
        <v>35993</v>
      </c>
      <c r="I5136" t="s">
        <v>27415</v>
      </c>
      <c r="J5136" t="str">
        <f t="shared" si="402"/>
        <v>E:\PropInv\MF</v>
      </c>
      <c r="K5136" s="103" t="str">
        <f>HYPERLINK("E:\PropInv\MF\Irving\Nursery Rd N_1204_Demasiado_Irving_15356","Nursery Rd N_1204_Demasiado_Irving_15356" )</f>
        <v>Nursery Rd N_1204_Demasiado_Irving_15356</v>
      </c>
      <c r="L5136" s="104" t="s">
        <v>22253</v>
      </c>
      <c r="M5136" s="103" t="str">
        <f t="shared" si="403"/>
        <v>http://oconnordata.com/mlink/modules/profile/index.cfm?action=profile&amp;prop_id=15356</v>
      </c>
      <c r="N5136" s="1">
        <f t="shared" si="404"/>
        <v>15356</v>
      </c>
    </row>
    <row r="5137" spans="1:14" x14ac:dyDescent="0.3">
      <c r="A5137" s="1">
        <v>15357</v>
      </c>
      <c r="B5137" s="7" t="s">
        <v>7760</v>
      </c>
      <c r="C5137" s="12">
        <v>3325</v>
      </c>
      <c r="D5137" s="7" t="s">
        <v>7761</v>
      </c>
      <c r="E5137" s="13" t="s">
        <v>6541</v>
      </c>
      <c r="F5137" t="str">
        <f t="shared" si="400"/>
        <v>Willowcrest</v>
      </c>
      <c r="G5137" t="str">
        <f t="shared" si="401"/>
        <v>Willowcrest3325North Richland Hills</v>
      </c>
      <c r="H5137" t="s">
        <v>35994</v>
      </c>
      <c r="I5137" t="s">
        <v>27416</v>
      </c>
      <c r="J5137" t="str">
        <f t="shared" si="402"/>
        <v>E:\PropInv\MF</v>
      </c>
      <c r="K5137" s="103" t="str">
        <f>HYPERLINK("E:\PropInv\MF\North Richland Hills\Willowcrest Dr_3325_Appian Way_North Richland Hills_15357","Willowcrest Dr_3325_Appian Way_North Richland Hills_15357" )</f>
        <v>Willowcrest Dr_3325_Appian Way_North Richland Hills_15357</v>
      </c>
      <c r="L5137" s="104" t="s">
        <v>22253</v>
      </c>
      <c r="M5137" s="103" t="str">
        <f t="shared" si="403"/>
        <v>http://oconnordata.com/mlink/modules/profile/index.cfm?action=profile&amp;prop_id=15357</v>
      </c>
      <c r="N5137" s="1">
        <f t="shared" si="404"/>
        <v>15357</v>
      </c>
    </row>
    <row r="5138" spans="1:14" x14ac:dyDescent="0.3">
      <c r="A5138" s="1">
        <v>15358</v>
      </c>
      <c r="B5138" s="7" t="s">
        <v>7762</v>
      </c>
      <c r="C5138" s="12">
        <v>6324</v>
      </c>
      <c r="D5138" s="7" t="s">
        <v>989</v>
      </c>
      <c r="E5138" s="107" t="s">
        <v>6581</v>
      </c>
      <c r="F5138" t="str">
        <f t="shared" si="400"/>
        <v>Baker</v>
      </c>
      <c r="G5138" t="str">
        <f t="shared" si="401"/>
        <v>Baker6324Haltom City</v>
      </c>
      <c r="H5138" t="s">
        <v>35995</v>
      </c>
      <c r="I5138" t="s">
        <v>27417</v>
      </c>
      <c r="J5138" t="str">
        <f t="shared" si="402"/>
        <v>E:\PropInv\MF</v>
      </c>
      <c r="K5138" s="103" t="str">
        <f>HYPERLINK("E:\PropInv\MF\Haltom City\Baker Blvd_6324_Country View_Haltom City_15358","Baker Blvd_6324_Country View_Haltom City_15358" )</f>
        <v>Baker Blvd_6324_Country View_Haltom City_15358</v>
      </c>
      <c r="L5138" s="104" t="s">
        <v>22253</v>
      </c>
      <c r="M5138" s="103" t="str">
        <f t="shared" si="403"/>
        <v>http://oconnordata.com/mlink/modules/profile/index.cfm?action=profile&amp;prop_id=15358</v>
      </c>
      <c r="N5138" s="1">
        <f t="shared" si="404"/>
        <v>15358</v>
      </c>
    </row>
    <row r="5139" spans="1:14" x14ac:dyDescent="0.3">
      <c r="A5139" s="1">
        <v>15359</v>
      </c>
      <c r="B5139" s="7" t="s">
        <v>7763</v>
      </c>
      <c r="C5139" s="12">
        <v>4735</v>
      </c>
      <c r="D5139" s="7" t="s">
        <v>7764</v>
      </c>
      <c r="E5139" s="13" t="s">
        <v>4996</v>
      </c>
      <c r="F5139" t="str">
        <f t="shared" si="400"/>
        <v>Denton</v>
      </c>
      <c r="G5139" t="str">
        <f t="shared" si="401"/>
        <v>Denton4735Dallas</v>
      </c>
      <c r="H5139" t="s">
        <v>35996</v>
      </c>
      <c r="I5139" t="s">
        <v>27418</v>
      </c>
      <c r="J5139" t="str">
        <f t="shared" si="402"/>
        <v>E:\PropInv\MF</v>
      </c>
      <c r="K5139" s="103" t="str">
        <f>HYPERLINK("E:\PropInv\MF\Dallas\Denton Dr_4735_Rio Vista (Demolished)_Dallas_15359","Denton Dr_4735_Rio Vista (Demolished)_Dallas_15359" )</f>
        <v>Denton Dr_4735_Rio Vista (Demolished)_Dallas_15359</v>
      </c>
      <c r="L5139" s="104" t="s">
        <v>22253</v>
      </c>
      <c r="M5139" s="103" t="str">
        <f t="shared" si="403"/>
        <v>http://oconnordata.com/mlink/modules/profile/index.cfm?action=profile&amp;prop_id=15359</v>
      </c>
      <c r="N5139" s="1">
        <f t="shared" si="404"/>
        <v>15359</v>
      </c>
    </row>
    <row r="5140" spans="1:14" x14ac:dyDescent="0.3">
      <c r="A5140" s="1">
        <v>15361</v>
      </c>
      <c r="B5140" s="7" t="s">
        <v>6626</v>
      </c>
      <c r="C5140" s="12">
        <v>1611</v>
      </c>
      <c r="D5140" s="7" t="s">
        <v>7765</v>
      </c>
      <c r="E5140" s="13" t="s">
        <v>4942</v>
      </c>
      <c r="F5140" t="str">
        <f t="shared" si="400"/>
        <v>Oak</v>
      </c>
      <c r="G5140" t="str">
        <f t="shared" si="401"/>
        <v>Oak1611Bedford</v>
      </c>
      <c r="H5140" t="s">
        <v>35997</v>
      </c>
      <c r="I5140" t="s">
        <v>27419</v>
      </c>
      <c r="J5140" t="str">
        <f t="shared" si="402"/>
        <v>E:\PropInv\MF</v>
      </c>
      <c r="K5140" s="103" t="str">
        <f>HYPERLINK("E:\PropInv\MF\Bedford\Oak Creek Ln_1611_Oak Creek Apts_Bedford_15361","Oak Creek Ln_1611_Oak Creek Apts_Bedford_15361" )</f>
        <v>Oak Creek Ln_1611_Oak Creek Apts_Bedford_15361</v>
      </c>
      <c r="L5140" s="104" t="s">
        <v>22253</v>
      </c>
      <c r="M5140" s="103" t="str">
        <f t="shared" si="403"/>
        <v>http://oconnordata.com/mlink/modules/profile/index.cfm?action=profile&amp;prop_id=15361</v>
      </c>
      <c r="N5140" s="1">
        <f t="shared" si="404"/>
        <v>15361</v>
      </c>
    </row>
    <row r="5141" spans="1:14" x14ac:dyDescent="0.3">
      <c r="A5141" s="1">
        <v>15364</v>
      </c>
      <c r="B5141" s="7" t="s">
        <v>7766</v>
      </c>
      <c r="C5141" s="12">
        <v>531</v>
      </c>
      <c r="D5141" s="7" t="s">
        <v>7767</v>
      </c>
      <c r="E5141" s="13" t="s">
        <v>5076</v>
      </c>
      <c r="F5141" t="str">
        <f t="shared" si="400"/>
        <v>Beltline</v>
      </c>
      <c r="G5141" t="str">
        <f t="shared" si="401"/>
        <v>Beltline531Grand Prairie</v>
      </c>
      <c r="H5141" t="s">
        <v>35998</v>
      </c>
      <c r="I5141" t="s">
        <v>27420</v>
      </c>
      <c r="J5141" t="str">
        <f t="shared" si="402"/>
        <v>E:\PropInv\MF</v>
      </c>
      <c r="K5141" s="103" t="str">
        <f>HYPERLINK("E:\PropInv\MF\Grand Prairie\Beltline S_531_Carrier Arms_Grand Prairie_15364","Beltline S_531_Carrier Arms_Grand Prairie_15364" )</f>
        <v>Beltline S_531_Carrier Arms_Grand Prairie_15364</v>
      </c>
      <c r="L5141" s="104" t="s">
        <v>22253</v>
      </c>
      <c r="M5141" s="103" t="str">
        <f t="shared" si="403"/>
        <v>http://oconnordata.com/mlink/modules/profile/index.cfm?action=profile&amp;prop_id=15364</v>
      </c>
      <c r="N5141" s="1">
        <f t="shared" si="404"/>
        <v>15364</v>
      </c>
    </row>
    <row r="5142" spans="1:14" x14ac:dyDescent="0.3">
      <c r="A5142" s="1">
        <v>15365</v>
      </c>
      <c r="B5142" s="7" t="s">
        <v>5080</v>
      </c>
      <c r="C5142" s="12">
        <v>7229</v>
      </c>
      <c r="D5142" s="7" t="s">
        <v>7768</v>
      </c>
      <c r="E5142" s="13" t="s">
        <v>4996</v>
      </c>
      <c r="F5142" t="str">
        <f t="shared" si="400"/>
        <v>Ferguson</v>
      </c>
      <c r="G5142" t="str">
        <f t="shared" si="401"/>
        <v>Ferguson7229Dallas</v>
      </c>
      <c r="H5142" t="s">
        <v>35999</v>
      </c>
      <c r="I5142" t="s">
        <v>27421</v>
      </c>
      <c r="J5142" t="str">
        <f t="shared" si="402"/>
        <v>E:\PropInv\MF</v>
      </c>
      <c r="K5142" s="103" t="str">
        <f>HYPERLINK("E:\PropInv\MF\Dallas\Ferguson Rd_7229_White Rock Hills TH_Dallas_15365","Ferguson Rd_7229_White Rock Hills TH_Dallas_15365" )</f>
        <v>Ferguson Rd_7229_White Rock Hills TH_Dallas_15365</v>
      </c>
      <c r="L5142" s="104" t="s">
        <v>22253</v>
      </c>
      <c r="M5142" s="103" t="str">
        <f t="shared" si="403"/>
        <v>http://oconnordata.com/mlink/modules/profile/index.cfm?action=profile&amp;prop_id=15365</v>
      </c>
      <c r="N5142" s="1">
        <f t="shared" si="404"/>
        <v>15365</v>
      </c>
    </row>
    <row r="5143" spans="1:14" x14ac:dyDescent="0.3">
      <c r="A5143" s="1">
        <v>15366</v>
      </c>
      <c r="B5143" s="7" t="s">
        <v>5347</v>
      </c>
      <c r="C5143" s="12">
        <v>2600</v>
      </c>
      <c r="D5143" s="7" t="s">
        <v>7769</v>
      </c>
      <c r="E5143" s="13" t="s">
        <v>5195</v>
      </c>
      <c r="F5143" t="str">
        <f t="shared" si="400"/>
        <v>Bolton</v>
      </c>
      <c r="G5143" t="str">
        <f t="shared" si="401"/>
        <v>Bolton2600Desoto</v>
      </c>
      <c r="H5143" t="s">
        <v>36000</v>
      </c>
      <c r="I5143" t="s">
        <v>27422</v>
      </c>
      <c r="J5143" t="str">
        <f t="shared" si="402"/>
        <v>E:\PropInv\MF</v>
      </c>
      <c r="K5143" s="103" t="str">
        <f>HYPERLINK("E:\PropInv\MF\Desoto\Bolton Boone Dr_2600_Courtyards at Kirnwood_Desoto_15366","Bolton Boone Dr_2600_Courtyards at Kirnwood_Desoto_15366" )</f>
        <v>Bolton Boone Dr_2600_Courtyards at Kirnwood_Desoto_15366</v>
      </c>
      <c r="L5143" s="104" t="s">
        <v>22253</v>
      </c>
      <c r="M5143" s="103" t="str">
        <f t="shared" si="403"/>
        <v>http://oconnordata.com/mlink/modules/profile/index.cfm?action=profile&amp;prop_id=15366</v>
      </c>
      <c r="N5143" s="1">
        <f t="shared" si="404"/>
        <v>15366</v>
      </c>
    </row>
    <row r="5144" spans="1:14" x14ac:dyDescent="0.3">
      <c r="A5144" s="1">
        <v>15368</v>
      </c>
      <c r="B5144" s="7" t="s">
        <v>7770</v>
      </c>
      <c r="C5144" s="12">
        <v>3300</v>
      </c>
      <c r="D5144" s="7" t="s">
        <v>7771</v>
      </c>
      <c r="E5144" s="13" t="s">
        <v>5043</v>
      </c>
      <c r="F5144" t="str">
        <f t="shared" si="400"/>
        <v>McDonald</v>
      </c>
      <c r="G5144" t="str">
        <f t="shared" si="401"/>
        <v>McDonald3300McKinney</v>
      </c>
      <c r="H5144" t="s">
        <v>36001</v>
      </c>
      <c r="I5144" t="s">
        <v>27423</v>
      </c>
      <c r="J5144" t="str">
        <f t="shared" si="402"/>
        <v>E:\PropInv\MF</v>
      </c>
      <c r="K5144" s="103" t="str">
        <f>HYPERLINK("E:\PropInv\MF\McKinney\McDonald N_3300_Creek Point_McKinney_15368","McDonald N_3300_Creek Point_McKinney_15368" )</f>
        <v>McDonald N_3300_Creek Point_McKinney_15368</v>
      </c>
      <c r="L5144" s="104" t="s">
        <v>22253</v>
      </c>
      <c r="M5144" s="103" t="str">
        <f t="shared" si="403"/>
        <v>http://oconnordata.com/mlink/modules/profile/index.cfm?action=profile&amp;prop_id=15368</v>
      </c>
      <c r="N5144" s="1">
        <f t="shared" si="404"/>
        <v>15368</v>
      </c>
    </row>
    <row r="5145" spans="1:14" x14ac:dyDescent="0.3">
      <c r="A5145" s="1">
        <v>15371</v>
      </c>
      <c r="B5145" s="7" t="s">
        <v>7772</v>
      </c>
      <c r="C5145" s="12">
        <v>1002</v>
      </c>
      <c r="D5145" s="7" t="s">
        <v>7773</v>
      </c>
      <c r="E5145" s="13" t="s">
        <v>5781</v>
      </c>
      <c r="F5145" t="str">
        <f t="shared" si="400"/>
        <v>Fuller</v>
      </c>
      <c r="G5145" t="str">
        <f t="shared" si="401"/>
        <v>Fuller1002Euless</v>
      </c>
      <c r="H5145" t="s">
        <v>36002</v>
      </c>
      <c r="I5145" t="s">
        <v>27424</v>
      </c>
      <c r="J5145" t="str">
        <f t="shared" si="402"/>
        <v>E:\PropInv\MF</v>
      </c>
      <c r="K5145" s="103" t="str">
        <f>HYPERLINK("E:\PropInv\MF\Euless\Fuller Wiser_1002_Arbors of Euless_Euless_15371","Fuller Wiser_1002_Arbors of Euless_Euless_15371" )</f>
        <v>Fuller Wiser_1002_Arbors of Euless_Euless_15371</v>
      </c>
      <c r="L5145" s="104" t="s">
        <v>22253</v>
      </c>
      <c r="M5145" s="103" t="str">
        <f t="shared" si="403"/>
        <v>http://oconnordata.com/mlink/modules/profile/index.cfm?action=profile&amp;prop_id=15371</v>
      </c>
      <c r="N5145" s="1">
        <f t="shared" si="404"/>
        <v>15371</v>
      </c>
    </row>
    <row r="5146" spans="1:14" x14ac:dyDescent="0.3">
      <c r="A5146" s="1">
        <v>15372</v>
      </c>
      <c r="B5146" s="7" t="s">
        <v>7774</v>
      </c>
      <c r="C5146" s="12">
        <v>1500</v>
      </c>
      <c r="D5146" s="7" t="s">
        <v>92</v>
      </c>
      <c r="E5146" s="13" t="s">
        <v>6555</v>
      </c>
      <c r="F5146" t="str">
        <f t="shared" si="400"/>
        <v>San</v>
      </c>
      <c r="G5146" t="str">
        <f t="shared" si="401"/>
        <v>San1500Arlington</v>
      </c>
      <c r="H5146" t="s">
        <v>36003</v>
      </c>
      <c r="I5146" t="s">
        <v>27425</v>
      </c>
      <c r="J5146" t="str">
        <f t="shared" si="402"/>
        <v>E:\PropInv\MF</v>
      </c>
      <c r="K5146" s="103" t="str">
        <f>HYPERLINK("E:\PropInv\MF\Arlington\San Francisco Ct_1500_Cascades_Arlington_15372","San Francisco Ct_1500_Cascades_Arlington_15372" )</f>
        <v>San Francisco Ct_1500_Cascades_Arlington_15372</v>
      </c>
      <c r="L5146" s="104" t="s">
        <v>22253</v>
      </c>
      <c r="M5146" s="103" t="str">
        <f t="shared" si="403"/>
        <v>http://oconnordata.com/mlink/modules/profile/index.cfm?action=profile&amp;prop_id=15372</v>
      </c>
      <c r="N5146" s="1">
        <f t="shared" si="404"/>
        <v>15372</v>
      </c>
    </row>
    <row r="5147" spans="1:14" x14ac:dyDescent="0.3">
      <c r="A5147" s="1">
        <v>15373</v>
      </c>
      <c r="B5147" s="7" t="s">
        <v>7775</v>
      </c>
      <c r="C5147" s="12">
        <v>3109</v>
      </c>
      <c r="D5147" s="7" t="s">
        <v>7776</v>
      </c>
      <c r="E5147" s="13" t="s">
        <v>4996</v>
      </c>
      <c r="F5147" t="str">
        <f t="shared" si="400"/>
        <v>Douglas</v>
      </c>
      <c r="G5147" t="str">
        <f t="shared" si="401"/>
        <v>Douglas3109Dallas</v>
      </c>
      <c r="H5147" t="s">
        <v>36004</v>
      </c>
      <c r="I5147" t="s">
        <v>27426</v>
      </c>
      <c r="J5147" t="str">
        <f t="shared" si="402"/>
        <v>E:\PropInv\MF</v>
      </c>
      <c r="K5147" s="103" t="str">
        <f>HYPERLINK("E:\PropInv\MF\Dallas\Douglas_3109_Cheville Apts_Dallas_15373","Douglas_3109_Cheville Apts_Dallas_15373" )</f>
        <v>Douglas_3109_Cheville Apts_Dallas_15373</v>
      </c>
      <c r="L5147" s="104" t="s">
        <v>22253</v>
      </c>
      <c r="M5147" s="103" t="str">
        <f t="shared" si="403"/>
        <v>http://oconnordata.com/mlink/modules/profile/index.cfm?action=profile&amp;prop_id=15373</v>
      </c>
      <c r="N5147" s="1">
        <f t="shared" si="404"/>
        <v>15373</v>
      </c>
    </row>
    <row r="5148" spans="1:14" x14ac:dyDescent="0.3">
      <c r="A5148" s="1">
        <v>15374</v>
      </c>
      <c r="B5148" s="7" t="s">
        <v>7097</v>
      </c>
      <c r="C5148" s="12">
        <v>7275</v>
      </c>
      <c r="D5148" s="7" t="s">
        <v>7777</v>
      </c>
      <c r="E5148" s="13" t="s">
        <v>5488</v>
      </c>
      <c r="F5148" t="str">
        <f t="shared" si="400"/>
        <v>Hickory</v>
      </c>
      <c r="G5148" t="str">
        <f t="shared" si="401"/>
        <v>Hickory7275Frisco</v>
      </c>
      <c r="H5148" t="s">
        <v>36005</v>
      </c>
      <c r="I5148" t="s">
        <v>27427</v>
      </c>
      <c r="J5148" t="str">
        <f t="shared" si="402"/>
        <v>E:\PropInv\MF</v>
      </c>
      <c r="K5148" s="103" t="str">
        <f>HYPERLINK("E:\PropInv\MF\Frisco\Hickory_7275_Foxhaven_Frisco_15374","Hickory_7275_Foxhaven_Frisco_15374" )</f>
        <v>Hickory_7275_Foxhaven_Frisco_15374</v>
      </c>
      <c r="L5148" s="104" t="s">
        <v>22253</v>
      </c>
      <c r="M5148" s="103" t="str">
        <f t="shared" si="403"/>
        <v>http://oconnordata.com/mlink/modules/profile/index.cfm?action=profile&amp;prop_id=15374</v>
      </c>
      <c r="N5148" s="1">
        <f t="shared" si="404"/>
        <v>15374</v>
      </c>
    </row>
    <row r="5149" spans="1:14" x14ac:dyDescent="0.3">
      <c r="A5149" s="1">
        <v>15375</v>
      </c>
      <c r="B5149" s="7" t="s">
        <v>7778</v>
      </c>
      <c r="C5149" s="12">
        <v>805</v>
      </c>
      <c r="D5149" s="7" t="s">
        <v>7779</v>
      </c>
      <c r="E5149" s="13" t="s">
        <v>4942</v>
      </c>
      <c r="F5149" t="str">
        <f t="shared" si="400"/>
        <v>Central</v>
      </c>
      <c r="G5149" t="str">
        <f t="shared" si="401"/>
        <v>Central805Bedford</v>
      </c>
      <c r="H5149" t="s">
        <v>36006</v>
      </c>
      <c r="I5149" t="s">
        <v>27428</v>
      </c>
      <c r="J5149" t="str">
        <f t="shared" si="402"/>
        <v>E:\PropInv\MF</v>
      </c>
      <c r="K5149" s="103" t="str">
        <f>HYPERLINK("E:\PropInv\MF\Bedford\Central Dr_805_Hampton's At Central_Bedford_15375","Central Dr_805_Hampton's At Central_Bedford_15375" )</f>
        <v>Central Dr_805_Hampton's At Central_Bedford_15375</v>
      </c>
      <c r="L5149" s="104" t="s">
        <v>22253</v>
      </c>
      <c r="M5149" s="103" t="str">
        <f t="shared" si="403"/>
        <v>http://oconnordata.com/mlink/modules/profile/index.cfm?action=profile&amp;prop_id=15375</v>
      </c>
      <c r="N5149" s="1">
        <f t="shared" si="404"/>
        <v>15375</v>
      </c>
    </row>
    <row r="5150" spans="1:14" x14ac:dyDescent="0.3">
      <c r="A5150" s="1">
        <v>15376</v>
      </c>
      <c r="B5150" s="7" t="s">
        <v>6346</v>
      </c>
      <c r="C5150" s="12">
        <v>212</v>
      </c>
      <c r="D5150" s="7" t="s">
        <v>2363</v>
      </c>
      <c r="E5150" s="13" t="s">
        <v>5195</v>
      </c>
      <c r="F5150" t="str">
        <f t="shared" si="400"/>
        <v>Wintergreen</v>
      </c>
      <c r="G5150" t="str">
        <f t="shared" si="401"/>
        <v>Wintergreen212Desoto</v>
      </c>
      <c r="H5150" t="s">
        <v>36007</v>
      </c>
      <c r="I5150" t="s">
        <v>27429</v>
      </c>
      <c r="J5150" t="str">
        <f t="shared" si="402"/>
        <v>E:\PropInv\MF</v>
      </c>
      <c r="K5150" s="103" t="str">
        <f>HYPERLINK("E:\PropInv\MF\Desoto\Wintergreen W_212_Creekwood_Desoto_15376","Wintergreen W_212_Creekwood_Desoto_15376" )</f>
        <v>Wintergreen W_212_Creekwood_Desoto_15376</v>
      </c>
      <c r="L5150" s="104" t="s">
        <v>22253</v>
      </c>
      <c r="M5150" s="103" t="str">
        <f t="shared" si="403"/>
        <v>http://oconnordata.com/mlink/modules/profile/index.cfm?action=profile&amp;prop_id=15376</v>
      </c>
      <c r="N5150" s="1">
        <f t="shared" si="404"/>
        <v>15376</v>
      </c>
    </row>
    <row r="5151" spans="1:14" x14ac:dyDescent="0.3">
      <c r="A5151" s="1">
        <v>15377</v>
      </c>
      <c r="B5151" s="7" t="s">
        <v>6093</v>
      </c>
      <c r="C5151" s="12">
        <v>2885</v>
      </c>
      <c r="D5151" s="7" t="s">
        <v>7780</v>
      </c>
      <c r="E5151" s="13" t="s">
        <v>4996</v>
      </c>
      <c r="F5151" t="str">
        <f t="shared" si="400"/>
        <v>Woodside</v>
      </c>
      <c r="G5151" t="str">
        <f t="shared" si="401"/>
        <v>Woodside2885Dallas</v>
      </c>
      <c r="H5151" t="s">
        <v>36008</v>
      </c>
      <c r="I5151" t="s">
        <v>27430</v>
      </c>
      <c r="J5151" t="str">
        <f t="shared" si="402"/>
        <v>E:\PropInv\MF</v>
      </c>
      <c r="K5151" s="103" t="str">
        <f>HYPERLINK("E:\PropInv\MF\Dallas\Woodside_2885_Drexel Grand_Dallas_15377","Woodside_2885_Drexel Grand_Dallas_15377" )</f>
        <v>Woodside_2885_Drexel Grand_Dallas_15377</v>
      </c>
      <c r="L5151" s="104" t="s">
        <v>22253</v>
      </c>
      <c r="M5151" s="103" t="str">
        <f t="shared" si="403"/>
        <v>http://oconnordata.com/mlink/modules/profile/index.cfm?action=profile&amp;prop_id=15377</v>
      </c>
      <c r="N5151" s="1">
        <f t="shared" si="404"/>
        <v>15377</v>
      </c>
    </row>
    <row r="5152" spans="1:14" x14ac:dyDescent="0.3">
      <c r="A5152" s="1">
        <v>15378</v>
      </c>
      <c r="B5152" s="7" t="s">
        <v>7781</v>
      </c>
      <c r="C5152" s="12">
        <v>1111</v>
      </c>
      <c r="D5152" s="7" t="s">
        <v>7782</v>
      </c>
      <c r="E5152" s="13" t="s">
        <v>6555</v>
      </c>
      <c r="F5152" t="str">
        <f t="shared" si="400"/>
        <v>Honeysuckle</v>
      </c>
      <c r="G5152" t="str">
        <f t="shared" si="401"/>
        <v>Honeysuckle1111Arlington</v>
      </c>
      <c r="H5152" t="s">
        <v>36009</v>
      </c>
      <c r="I5152" t="s">
        <v>27431</v>
      </c>
      <c r="J5152" t="str">
        <f t="shared" si="402"/>
        <v>E:\PropInv\MF</v>
      </c>
      <c r="K5152" s="103" t="str">
        <f>HYPERLINK("E:\PropInv\MF\Arlington\Honeysuckle Way_1111_Arlington Oaks_Arlington_15378","Honeysuckle Way_1111_Arlington Oaks_Arlington_15378" )</f>
        <v>Honeysuckle Way_1111_Arlington Oaks_Arlington_15378</v>
      </c>
      <c r="L5152" s="104" t="s">
        <v>22253</v>
      </c>
      <c r="M5152" s="103" t="str">
        <f t="shared" si="403"/>
        <v>http://oconnordata.com/mlink/modules/profile/index.cfm?action=profile&amp;prop_id=15378</v>
      </c>
      <c r="N5152" s="1">
        <f t="shared" si="404"/>
        <v>15378</v>
      </c>
    </row>
    <row r="5153" spans="1:14" x14ac:dyDescent="0.3">
      <c r="A5153" s="1">
        <v>15380</v>
      </c>
      <c r="B5153" s="7" t="s">
        <v>7783</v>
      </c>
      <c r="C5153" s="12">
        <v>2452</v>
      </c>
      <c r="D5153" s="7" t="s">
        <v>7784</v>
      </c>
      <c r="E5153" s="13" t="s">
        <v>4942</v>
      </c>
      <c r="F5153" t="str">
        <f t="shared" si="400"/>
        <v>121</v>
      </c>
      <c r="G5153" t="str">
        <f t="shared" si="401"/>
        <v>1212452Bedford</v>
      </c>
      <c r="H5153" t="s">
        <v>36010</v>
      </c>
      <c r="I5153" t="s">
        <v>27432</v>
      </c>
      <c r="J5153" t="str">
        <f t="shared" si="402"/>
        <v>E:\PropInv\MF</v>
      </c>
      <c r="K5153" s="103" t="str">
        <f>HYPERLINK("E:\PropInv\MF\Bedford\121 Hwy_2452_Harwood Hills_Bedford_15380","121 Hwy_2452_Harwood Hills_Bedford_15380" )</f>
        <v>121 Hwy_2452_Harwood Hills_Bedford_15380</v>
      </c>
      <c r="L5153" s="104" t="s">
        <v>22253</v>
      </c>
      <c r="M5153" s="103" t="str">
        <f t="shared" si="403"/>
        <v>http://oconnordata.com/mlink/modules/profile/index.cfm?action=profile&amp;prop_id=15380</v>
      </c>
      <c r="N5153" s="1">
        <f t="shared" si="404"/>
        <v>15380</v>
      </c>
    </row>
    <row r="5154" spans="1:14" x14ac:dyDescent="0.3">
      <c r="A5154" s="1">
        <v>15381</v>
      </c>
      <c r="B5154" s="7" t="s">
        <v>7785</v>
      </c>
      <c r="C5154" s="12">
        <v>815</v>
      </c>
      <c r="D5154" s="7" t="s">
        <v>7714</v>
      </c>
      <c r="E5154" s="13" t="s">
        <v>6555</v>
      </c>
      <c r="F5154" t="str">
        <f t="shared" si="400"/>
        <v>Abram</v>
      </c>
      <c r="G5154" t="str">
        <f t="shared" si="401"/>
        <v>Abram815Arlington</v>
      </c>
      <c r="H5154" t="s">
        <v>36011</v>
      </c>
      <c r="I5154" t="s">
        <v>27433</v>
      </c>
      <c r="J5154" t="str">
        <f t="shared" si="402"/>
        <v>E:\PropInv\MF</v>
      </c>
      <c r="K5154" s="103" t="str">
        <f>HYPERLINK("E:\PropInv\MF\Arlington\Abram W_815_Catalina_Arlington_15381","Abram W_815_Catalina_Arlington_15381" )</f>
        <v>Abram W_815_Catalina_Arlington_15381</v>
      </c>
      <c r="L5154" s="104" t="s">
        <v>22253</v>
      </c>
      <c r="M5154" s="103" t="str">
        <f t="shared" si="403"/>
        <v>http://oconnordata.com/mlink/modules/profile/index.cfm?action=profile&amp;prop_id=15381</v>
      </c>
      <c r="N5154" s="1">
        <f t="shared" si="404"/>
        <v>15381</v>
      </c>
    </row>
    <row r="5155" spans="1:14" x14ac:dyDescent="0.3">
      <c r="A5155" s="1">
        <v>15382</v>
      </c>
      <c r="B5155" s="7" t="s">
        <v>7786</v>
      </c>
      <c r="C5155" s="12">
        <v>2601</v>
      </c>
      <c r="D5155" s="7" t="s">
        <v>7787</v>
      </c>
      <c r="E5155" s="13" t="s">
        <v>6555</v>
      </c>
      <c r="F5155" t="str">
        <f t="shared" si="400"/>
        <v>Randol</v>
      </c>
      <c r="G5155" t="str">
        <f t="shared" si="401"/>
        <v>Randol2601Arlington</v>
      </c>
      <c r="H5155" t="s">
        <v>36012</v>
      </c>
      <c r="I5155" t="s">
        <v>27434</v>
      </c>
      <c r="J5155" t="str">
        <f t="shared" si="402"/>
        <v>E:\PropInv\MF</v>
      </c>
      <c r="K5155" s="103" t="str">
        <f>HYPERLINK("E:\PropInv\MF\Arlington\Randol Mill Rd W_2601_Arlington Villa_Arlington_15382","Randol Mill Rd W_2601_Arlington Villa_Arlington_15382" )</f>
        <v>Randol Mill Rd W_2601_Arlington Villa_Arlington_15382</v>
      </c>
      <c r="L5155" s="104" t="s">
        <v>22253</v>
      </c>
      <c r="M5155" s="103" t="str">
        <f t="shared" si="403"/>
        <v>http://oconnordata.com/mlink/modules/profile/index.cfm?action=profile&amp;prop_id=15382</v>
      </c>
      <c r="N5155" s="1">
        <f t="shared" si="404"/>
        <v>15382</v>
      </c>
    </row>
    <row r="5156" spans="1:14" x14ac:dyDescent="0.3">
      <c r="A5156" s="1">
        <v>15383</v>
      </c>
      <c r="B5156" s="19" t="s">
        <v>4343</v>
      </c>
      <c r="C5156" s="18">
        <v>1315</v>
      </c>
      <c r="D5156" s="19" t="s">
        <v>7788</v>
      </c>
      <c r="E5156" s="20" t="s">
        <v>1657</v>
      </c>
      <c r="F5156" t="str">
        <f t="shared" si="400"/>
        <v>Nasa</v>
      </c>
      <c r="G5156" t="str">
        <f t="shared" si="401"/>
        <v>Nasa1315Houston</v>
      </c>
      <c r="H5156" t="s">
        <v>36013</v>
      </c>
      <c r="I5156" t="s">
        <v>27435</v>
      </c>
      <c r="J5156" t="str">
        <f t="shared" si="402"/>
        <v>E:\PropInv\MF</v>
      </c>
      <c r="K5156" s="103" t="str">
        <f>HYPERLINK("E:\PropInv\MF\Houston\Nasa Pkwy_1315_Regatta I_Houston_15383","Nasa Pkwy_1315_Regatta I_Houston_15383" )</f>
        <v>Nasa Pkwy_1315_Regatta I_Houston_15383</v>
      </c>
      <c r="L5156" s="104" t="s">
        <v>22253</v>
      </c>
      <c r="M5156" s="103" t="str">
        <f t="shared" si="403"/>
        <v>http://oconnordata.com/mlink/modules/profile/index.cfm?action=profile&amp;prop_id=15383</v>
      </c>
      <c r="N5156" s="1">
        <f t="shared" si="404"/>
        <v>15383</v>
      </c>
    </row>
    <row r="5157" spans="1:14" x14ac:dyDescent="0.3">
      <c r="A5157" s="1">
        <v>15384</v>
      </c>
      <c r="B5157" s="7" t="s">
        <v>5434</v>
      </c>
      <c r="C5157" s="12">
        <v>525</v>
      </c>
      <c r="D5157" s="7" t="s">
        <v>7789</v>
      </c>
      <c r="E5157" s="13" t="s">
        <v>7790</v>
      </c>
      <c r="F5157" t="str">
        <f t="shared" si="400"/>
        <v>Commerce</v>
      </c>
      <c r="G5157" t="str">
        <f t="shared" si="401"/>
        <v>Commerce525Azle</v>
      </c>
      <c r="H5157" t="s">
        <v>36014</v>
      </c>
      <c r="I5157" t="s">
        <v>27436</v>
      </c>
      <c r="J5157" t="str">
        <f t="shared" si="402"/>
        <v>E:\PropInv\MF</v>
      </c>
      <c r="K5157" s="103" t="str">
        <f>HYPERLINK("E:\PropInv\MF\Azle\Commerce_525_Crestwood AH_Azle_15384","Commerce_525_Crestwood AH_Azle_15384" )</f>
        <v>Commerce_525_Crestwood AH_Azle_15384</v>
      </c>
      <c r="L5157" s="104" t="s">
        <v>22253</v>
      </c>
      <c r="M5157" s="103" t="str">
        <f t="shared" si="403"/>
        <v>http://oconnordata.com/mlink/modules/profile/index.cfm?action=profile&amp;prop_id=15384</v>
      </c>
      <c r="N5157" s="1">
        <f t="shared" si="404"/>
        <v>15384</v>
      </c>
    </row>
    <row r="5158" spans="1:14" x14ac:dyDescent="0.3">
      <c r="A5158" s="1">
        <v>15385</v>
      </c>
      <c r="B5158" s="7" t="s">
        <v>7791</v>
      </c>
      <c r="C5158" s="12">
        <v>6889</v>
      </c>
      <c r="D5158" s="7" t="s">
        <v>7792</v>
      </c>
      <c r="E5158" s="13" t="s">
        <v>6541</v>
      </c>
      <c r="F5158" t="str">
        <f t="shared" si="400"/>
        <v>Hightower</v>
      </c>
      <c r="G5158" t="str">
        <f t="shared" si="401"/>
        <v>Hightower6889North Richland Hills</v>
      </c>
      <c r="H5158" t="s">
        <v>36015</v>
      </c>
      <c r="I5158" t="s">
        <v>27437</v>
      </c>
      <c r="J5158" t="str">
        <f t="shared" si="402"/>
        <v>E:\PropInv\MF</v>
      </c>
      <c r="K5158" s="103" t="str">
        <f>HYPERLINK("E:\PropInv\MF\North Richland Hills\Hightower Dr_6889_The Abbey at Hightower_North Richland Hills_15385","Hightower Dr_6889_The Abbey at Hightower_North Richland Hills_15385" )</f>
        <v>Hightower Dr_6889_The Abbey at Hightower_North Richland Hills_15385</v>
      </c>
      <c r="L5158" s="104" t="s">
        <v>22253</v>
      </c>
      <c r="M5158" s="103" t="str">
        <f t="shared" si="403"/>
        <v>http://oconnordata.com/mlink/modules/profile/index.cfm?action=profile&amp;prop_id=15385</v>
      </c>
      <c r="N5158" s="1">
        <f t="shared" si="404"/>
        <v>15385</v>
      </c>
    </row>
    <row r="5159" spans="1:14" x14ac:dyDescent="0.3">
      <c r="A5159" s="1">
        <v>15386</v>
      </c>
      <c r="B5159" s="7" t="s">
        <v>7793</v>
      </c>
      <c r="C5159" s="12">
        <v>3419</v>
      </c>
      <c r="D5159" s="7" t="s">
        <v>7794</v>
      </c>
      <c r="E5159" s="13" t="s">
        <v>4428</v>
      </c>
      <c r="F5159" t="str">
        <f t="shared" si="400"/>
        <v>Fountains</v>
      </c>
      <c r="G5159" t="str">
        <f t="shared" si="401"/>
        <v>Fountains3419Rosenberg</v>
      </c>
      <c r="H5159" t="s">
        <v>36016</v>
      </c>
      <c r="I5159" t="s">
        <v>27438</v>
      </c>
      <c r="J5159" t="str">
        <f t="shared" si="402"/>
        <v>E:\PropInv\MF</v>
      </c>
      <c r="K5159" s="103" t="str">
        <f>HYPERLINK("E:\PropInv\MF\Rosenberg\Fountains Dr_3419_Fountains of Rosenberg_Rosenberg_15386","Fountains Dr_3419_Fountains of Rosenberg_Rosenberg_15386" )</f>
        <v>Fountains Dr_3419_Fountains of Rosenberg_Rosenberg_15386</v>
      </c>
      <c r="L5159" s="104" t="s">
        <v>22253</v>
      </c>
      <c r="M5159" s="103" t="str">
        <f t="shared" si="403"/>
        <v>http://oconnordata.com/mlink/modules/profile/index.cfm?action=profile&amp;prop_id=15386</v>
      </c>
      <c r="N5159" s="1">
        <f t="shared" si="404"/>
        <v>15386</v>
      </c>
    </row>
    <row r="5160" spans="1:14" x14ac:dyDescent="0.3">
      <c r="A5160" s="1">
        <v>15387</v>
      </c>
      <c r="B5160" s="7" t="s">
        <v>7795</v>
      </c>
      <c r="C5160" s="12">
        <v>2606</v>
      </c>
      <c r="D5160" s="7" t="s">
        <v>7796</v>
      </c>
      <c r="E5160" s="13" t="s">
        <v>6555</v>
      </c>
      <c r="F5160" t="str">
        <f t="shared" si="400"/>
        <v>Holly</v>
      </c>
      <c r="G5160" t="str">
        <f t="shared" si="401"/>
        <v>Holly2606Arlington</v>
      </c>
      <c r="H5160" t="s">
        <v>36017</v>
      </c>
      <c r="I5160" t="s">
        <v>27439</v>
      </c>
      <c r="J5160" t="str">
        <f t="shared" si="402"/>
        <v>E:\PropInv\MF</v>
      </c>
      <c r="K5160" s="103" t="str">
        <f>HYPERLINK("E:\PropInv\MF\Arlington\Holly Brook_2606_Cedar Bend_Arlington_15387","Holly Brook_2606_Cedar Bend_Arlington_15387" )</f>
        <v>Holly Brook_2606_Cedar Bend_Arlington_15387</v>
      </c>
      <c r="L5160" s="104" t="s">
        <v>22253</v>
      </c>
      <c r="M5160" s="103" t="str">
        <f t="shared" si="403"/>
        <v>http://oconnordata.com/mlink/modules/profile/index.cfm?action=profile&amp;prop_id=15387</v>
      </c>
      <c r="N5160" s="1">
        <f t="shared" si="404"/>
        <v>15387</v>
      </c>
    </row>
    <row r="5161" spans="1:14" x14ac:dyDescent="0.3">
      <c r="A5161" s="1">
        <v>15388</v>
      </c>
      <c r="B5161" s="7" t="s">
        <v>7797</v>
      </c>
      <c r="C5161" s="12">
        <v>2300</v>
      </c>
      <c r="D5161" s="7" t="s">
        <v>7798</v>
      </c>
      <c r="E5161" s="13" t="s">
        <v>6555</v>
      </c>
      <c r="F5161" t="str">
        <f t="shared" si="400"/>
        <v>Ridge</v>
      </c>
      <c r="G5161" t="str">
        <f t="shared" si="401"/>
        <v>Ridge2300Arlington</v>
      </c>
      <c r="H5161" t="s">
        <v>36018</v>
      </c>
      <c r="I5161" t="s">
        <v>27440</v>
      </c>
      <c r="J5161" t="str">
        <f t="shared" si="402"/>
        <v>E:\PropInv\MF</v>
      </c>
      <c r="K5161" s="103" t="str">
        <f>HYPERLINK("E:\PropInv\MF\Arlington\Ridge Run Rd_2300_Heather Glen TH_Arlington_15388","Ridge Run Rd_2300_Heather Glen TH_Arlington_15388" )</f>
        <v>Ridge Run Rd_2300_Heather Glen TH_Arlington_15388</v>
      </c>
      <c r="L5161" s="104" t="s">
        <v>22253</v>
      </c>
      <c r="M5161" s="103" t="str">
        <f t="shared" si="403"/>
        <v>http://oconnordata.com/mlink/modules/profile/index.cfm?action=profile&amp;prop_id=15388</v>
      </c>
      <c r="N5161" s="1">
        <f t="shared" si="404"/>
        <v>15388</v>
      </c>
    </row>
    <row r="5162" spans="1:14" x14ac:dyDescent="0.3">
      <c r="A5162" s="1">
        <v>15389</v>
      </c>
      <c r="B5162" s="7" t="s">
        <v>7799</v>
      </c>
      <c r="C5162" s="12">
        <v>2215</v>
      </c>
      <c r="D5162" s="7" t="s">
        <v>7800</v>
      </c>
      <c r="E5162" s="13" t="s">
        <v>6555</v>
      </c>
      <c r="F5162" t="str">
        <f t="shared" si="400"/>
        <v>Harriett</v>
      </c>
      <c r="G5162" t="str">
        <f t="shared" si="401"/>
        <v>Harriett2215Arlington</v>
      </c>
      <c r="H5162" t="s">
        <v>36019</v>
      </c>
      <c r="I5162" t="s">
        <v>27441</v>
      </c>
      <c r="J5162" t="str">
        <f t="shared" si="402"/>
        <v>E:\PropInv\MF</v>
      </c>
      <c r="K5162" s="103" t="str">
        <f>HYPERLINK("E:\PropInv\MF\Arlington\Harriett_2215_Arlington Village_Arlington_15389","Harriett_2215_Arlington Village_Arlington_15389" )</f>
        <v>Harriett_2215_Arlington Village_Arlington_15389</v>
      </c>
      <c r="L5162" s="104" t="s">
        <v>22253</v>
      </c>
      <c r="M5162" s="103" t="str">
        <f t="shared" si="403"/>
        <v>http://oconnordata.com/mlink/modules/profile/index.cfm?action=profile&amp;prop_id=15389</v>
      </c>
      <c r="N5162" s="1">
        <f t="shared" si="404"/>
        <v>15389</v>
      </c>
    </row>
    <row r="5163" spans="1:14" x14ac:dyDescent="0.3">
      <c r="A5163" s="1">
        <v>15390</v>
      </c>
      <c r="B5163" s="7" t="s">
        <v>6160</v>
      </c>
      <c r="C5163" s="12">
        <v>3913</v>
      </c>
      <c r="D5163" s="7" t="s">
        <v>7801</v>
      </c>
      <c r="E5163" s="13" t="s">
        <v>4996</v>
      </c>
      <c r="F5163" t="str">
        <f t="shared" si="400"/>
        <v>Gannon</v>
      </c>
      <c r="G5163" t="str">
        <f t="shared" si="401"/>
        <v>Gannon3913Dallas</v>
      </c>
      <c r="H5163" t="s">
        <v>36020</v>
      </c>
      <c r="I5163" t="s">
        <v>27442</v>
      </c>
      <c r="J5163" t="str">
        <f t="shared" si="402"/>
        <v>E:\PropInv\MF</v>
      </c>
      <c r="K5163" s="103" t="str">
        <f>HYPERLINK("E:\PropInv\MF\Dallas\Gannon_3913_Eagle Pointe_Dallas_15390","Gannon_3913_Eagle Pointe_Dallas_15390" )</f>
        <v>Gannon_3913_Eagle Pointe_Dallas_15390</v>
      </c>
      <c r="L5163" s="104" t="s">
        <v>22253</v>
      </c>
      <c r="M5163" s="103" t="str">
        <f t="shared" si="403"/>
        <v>http://oconnordata.com/mlink/modules/profile/index.cfm?action=profile&amp;prop_id=15390</v>
      </c>
      <c r="N5163" s="1">
        <f t="shared" si="404"/>
        <v>15390</v>
      </c>
    </row>
    <row r="5164" spans="1:14" x14ac:dyDescent="0.3">
      <c r="A5164" s="1">
        <v>15391</v>
      </c>
      <c r="B5164" s="7" t="s">
        <v>6620</v>
      </c>
      <c r="C5164" s="12">
        <v>724</v>
      </c>
      <c r="D5164" s="7" t="s">
        <v>7802</v>
      </c>
      <c r="E5164" s="13" t="s">
        <v>6555</v>
      </c>
      <c r="F5164" t="str">
        <f t="shared" si="400"/>
        <v>Polk</v>
      </c>
      <c r="G5164" t="str">
        <f t="shared" si="401"/>
        <v>Polk724Arlington</v>
      </c>
      <c r="H5164" t="s">
        <v>36021</v>
      </c>
      <c r="I5164" t="s">
        <v>27443</v>
      </c>
      <c r="J5164" t="str">
        <f t="shared" si="402"/>
        <v>E:\PropInv\MF</v>
      </c>
      <c r="K5164" s="103" t="str">
        <f>HYPERLINK("E:\PropInv\MF\Arlington\Polk Dr_724_Cypress Chase_Arlington_15391","Polk Dr_724_Cypress Chase_Arlington_15391" )</f>
        <v>Polk Dr_724_Cypress Chase_Arlington_15391</v>
      </c>
      <c r="L5164" s="104" t="s">
        <v>22253</v>
      </c>
      <c r="M5164" s="103" t="str">
        <f t="shared" si="403"/>
        <v>http://oconnordata.com/mlink/modules/profile/index.cfm?action=profile&amp;prop_id=15391</v>
      </c>
      <c r="N5164" s="1">
        <f t="shared" si="404"/>
        <v>15391</v>
      </c>
    </row>
    <row r="5165" spans="1:14" x14ac:dyDescent="0.3">
      <c r="A5165" s="1">
        <v>15392</v>
      </c>
      <c r="B5165" s="7" t="s">
        <v>7803</v>
      </c>
      <c r="C5165" s="12">
        <v>707</v>
      </c>
      <c r="D5165" s="7" t="s">
        <v>275</v>
      </c>
      <c r="E5165" s="13" t="s">
        <v>6555</v>
      </c>
      <c r="F5165" t="str">
        <f t="shared" si="400"/>
        <v>Washington</v>
      </c>
      <c r="G5165" t="str">
        <f t="shared" si="401"/>
        <v>Washington707Arlington</v>
      </c>
      <c r="H5165" t="s">
        <v>36022</v>
      </c>
      <c r="I5165" t="s">
        <v>27444</v>
      </c>
      <c r="J5165" t="str">
        <f t="shared" si="402"/>
        <v>E:\PropInv\MF</v>
      </c>
      <c r="K5165" s="103" t="str">
        <f>HYPERLINK("E:\PropInv\MF\Arlington\Washington Dr_707_Oak Creek_Arlington_15392","Washington Dr_707_Oak Creek_Arlington_15392" )</f>
        <v>Washington Dr_707_Oak Creek_Arlington_15392</v>
      </c>
      <c r="L5165" s="104" t="s">
        <v>22253</v>
      </c>
      <c r="M5165" s="103" t="str">
        <f t="shared" si="403"/>
        <v>http://oconnordata.com/mlink/modules/profile/index.cfm?action=profile&amp;prop_id=15392</v>
      </c>
      <c r="N5165" s="1">
        <f t="shared" si="404"/>
        <v>15392</v>
      </c>
    </row>
    <row r="5166" spans="1:14" x14ac:dyDescent="0.3">
      <c r="A5166" s="1">
        <v>15393</v>
      </c>
      <c r="B5166" s="7" t="s">
        <v>7804</v>
      </c>
      <c r="C5166" s="12">
        <v>1609</v>
      </c>
      <c r="D5166" s="7" t="s">
        <v>7805</v>
      </c>
      <c r="E5166" s="13" t="s">
        <v>6555</v>
      </c>
      <c r="F5166" t="str">
        <f t="shared" si="400"/>
        <v>Sherry</v>
      </c>
      <c r="G5166" t="str">
        <f t="shared" si="401"/>
        <v>Sherry1609Arlington</v>
      </c>
      <c r="H5166" t="s">
        <v>36023</v>
      </c>
      <c r="I5166" t="s">
        <v>27445</v>
      </c>
      <c r="J5166" t="str">
        <f t="shared" si="402"/>
        <v>E:\PropInv\MF</v>
      </c>
      <c r="K5166" s="103" t="str">
        <f>HYPERLINK("E:\PropInv\MF\Arlington\Sherry_1609_Garden Park_Arlington_15393","Sherry_1609_Garden Park_Arlington_15393" )</f>
        <v>Sherry_1609_Garden Park_Arlington_15393</v>
      </c>
      <c r="L5166" s="104" t="s">
        <v>22253</v>
      </c>
      <c r="M5166" s="103" t="str">
        <f t="shared" si="403"/>
        <v>http://oconnordata.com/mlink/modules/profile/index.cfm?action=profile&amp;prop_id=15393</v>
      </c>
      <c r="N5166" s="1">
        <f t="shared" si="404"/>
        <v>15393</v>
      </c>
    </row>
    <row r="5167" spans="1:14" x14ac:dyDescent="0.3">
      <c r="A5167" s="1">
        <v>15394</v>
      </c>
      <c r="B5167" s="7" t="s">
        <v>7806</v>
      </c>
      <c r="C5167" s="12">
        <v>501</v>
      </c>
      <c r="D5167" s="7" t="s">
        <v>3955</v>
      </c>
      <c r="E5167" s="13" t="s">
        <v>6555</v>
      </c>
      <c r="F5167" t="str">
        <f t="shared" si="400"/>
        <v>Green</v>
      </c>
      <c r="G5167" t="str">
        <f t="shared" si="401"/>
        <v>Green501Arlington</v>
      </c>
      <c r="H5167" t="s">
        <v>36024</v>
      </c>
      <c r="I5167" t="s">
        <v>27446</v>
      </c>
      <c r="J5167" t="str">
        <f t="shared" si="402"/>
        <v>E:\PropInv\MF</v>
      </c>
      <c r="K5167" s="103" t="str">
        <f>HYPERLINK("E:\PropInv\MF\Arlington\Green Oaks Ct_501_Cedar Creek_Arlington_15394","Green Oaks Ct_501_Cedar Creek_Arlington_15394" )</f>
        <v>Green Oaks Ct_501_Cedar Creek_Arlington_15394</v>
      </c>
      <c r="L5167" s="104" t="s">
        <v>22253</v>
      </c>
      <c r="M5167" s="103" t="str">
        <f t="shared" si="403"/>
        <v>http://oconnordata.com/mlink/modules/profile/index.cfm?action=profile&amp;prop_id=15394</v>
      </c>
      <c r="N5167" s="1">
        <f t="shared" si="404"/>
        <v>15394</v>
      </c>
    </row>
    <row r="5168" spans="1:14" x14ac:dyDescent="0.3">
      <c r="A5168" s="1">
        <v>15395</v>
      </c>
      <c r="B5168" s="7" t="s">
        <v>7785</v>
      </c>
      <c r="C5168" s="12">
        <v>1020</v>
      </c>
      <c r="D5168" s="7" t="s">
        <v>7807</v>
      </c>
      <c r="E5168" s="13" t="s">
        <v>6555</v>
      </c>
      <c r="F5168" t="str">
        <f t="shared" si="400"/>
        <v>Abram</v>
      </c>
      <c r="G5168" t="str">
        <f t="shared" si="401"/>
        <v>Abram1020Arlington</v>
      </c>
      <c r="H5168" t="s">
        <v>36025</v>
      </c>
      <c r="I5168" t="s">
        <v>27447</v>
      </c>
      <c r="J5168" t="str">
        <f t="shared" si="402"/>
        <v>E:\PropInv\MF</v>
      </c>
      <c r="K5168" s="103" t="str">
        <f>HYPERLINK("E:\PropInv\MF\Arlington\Abram W_1020_Heather Way_Arlington_15395","Abram W_1020_Heather Way_Arlington_15395" )</f>
        <v>Abram W_1020_Heather Way_Arlington_15395</v>
      </c>
      <c r="L5168" s="104" t="s">
        <v>22253</v>
      </c>
      <c r="M5168" s="103" t="str">
        <f t="shared" si="403"/>
        <v>http://oconnordata.com/mlink/modules/profile/index.cfm?action=profile&amp;prop_id=15395</v>
      </c>
      <c r="N5168" s="1">
        <f t="shared" si="404"/>
        <v>15395</v>
      </c>
    </row>
    <row r="5169" spans="1:14" x14ac:dyDescent="0.3">
      <c r="A5169" s="1">
        <v>15396</v>
      </c>
      <c r="B5169" s="7" t="s">
        <v>5284</v>
      </c>
      <c r="C5169" s="12">
        <v>4909</v>
      </c>
      <c r="D5169" s="7" t="s">
        <v>7808</v>
      </c>
      <c r="E5169" s="13" t="s">
        <v>4996</v>
      </c>
      <c r="F5169" t="str">
        <f t="shared" si="400"/>
        <v>Haverwood</v>
      </c>
      <c r="G5169" t="str">
        <f t="shared" si="401"/>
        <v>Haverwood4909Dallas</v>
      </c>
      <c r="H5169" t="s">
        <v>36026</v>
      </c>
      <c r="I5169" t="s">
        <v>27448</v>
      </c>
      <c r="J5169" t="str">
        <f t="shared" si="402"/>
        <v>E:\PropInv\MF</v>
      </c>
      <c r="K5169" s="103" t="str">
        <f>HYPERLINK("E:\PropInv\MF\Dallas\Haverwood_4909_Mission Gleneagles-Creekside_Dallas_15396","Haverwood_4909_Mission Gleneagles-Creekside_Dallas_15396" )</f>
        <v>Haverwood_4909_Mission Gleneagles-Creekside_Dallas_15396</v>
      </c>
      <c r="L5169" s="104" t="s">
        <v>22253</v>
      </c>
      <c r="M5169" s="103" t="str">
        <f t="shared" si="403"/>
        <v>http://oconnordata.com/mlink/modules/profile/index.cfm?action=profile&amp;prop_id=15396</v>
      </c>
      <c r="N5169" s="1">
        <f t="shared" si="404"/>
        <v>15396</v>
      </c>
    </row>
    <row r="5170" spans="1:14" x14ac:dyDescent="0.3">
      <c r="A5170" s="1">
        <v>15397</v>
      </c>
      <c r="B5170" s="7" t="s">
        <v>7809</v>
      </c>
      <c r="C5170" s="12">
        <v>1948</v>
      </c>
      <c r="D5170" s="7" t="s">
        <v>7810</v>
      </c>
      <c r="E5170" s="13" t="s">
        <v>4942</v>
      </c>
      <c r="F5170" t="str">
        <f t="shared" si="400"/>
        <v>Shadybrook</v>
      </c>
      <c r="G5170" t="str">
        <f t="shared" si="401"/>
        <v>Shadybrook1948Bedford</v>
      </c>
      <c r="H5170" t="s">
        <v>36027</v>
      </c>
      <c r="I5170" t="s">
        <v>27449</v>
      </c>
      <c r="J5170" t="str">
        <f t="shared" si="402"/>
        <v>E:\PropInv\MF</v>
      </c>
      <c r="K5170" s="103" t="str">
        <f>HYPERLINK("E:\PropInv\MF\Bedford\Shadybrook Dr_1948_Gardens of Bedford_Bedford_15397","Shadybrook Dr_1948_Gardens of Bedford_Bedford_15397" )</f>
        <v>Shadybrook Dr_1948_Gardens of Bedford_Bedford_15397</v>
      </c>
      <c r="L5170" s="104" t="s">
        <v>22253</v>
      </c>
      <c r="M5170" s="103" t="str">
        <f t="shared" si="403"/>
        <v>http://oconnordata.com/mlink/modules/profile/index.cfm?action=profile&amp;prop_id=15397</v>
      </c>
      <c r="N5170" s="1">
        <f t="shared" si="404"/>
        <v>15397</v>
      </c>
    </row>
    <row r="5171" spans="1:14" x14ac:dyDescent="0.3">
      <c r="A5171" s="1">
        <v>15398</v>
      </c>
      <c r="B5171" s="7" t="s">
        <v>5867</v>
      </c>
      <c r="C5171" s="12">
        <v>8404</v>
      </c>
      <c r="D5171" s="7" t="s">
        <v>7811</v>
      </c>
      <c r="E5171" s="13" t="s">
        <v>5488</v>
      </c>
      <c r="F5171" t="str">
        <f t="shared" si="400"/>
        <v>Warren</v>
      </c>
      <c r="G5171" t="str">
        <f t="shared" si="401"/>
        <v>Warren8404Frisco</v>
      </c>
      <c r="H5171" t="s">
        <v>36028</v>
      </c>
      <c r="I5171" t="s">
        <v>27450</v>
      </c>
      <c r="J5171" t="str">
        <f t="shared" si="402"/>
        <v>E:\PropInv\MF</v>
      </c>
      <c r="K5171" s="103" t="str">
        <f>HYPERLINK("E:\PropInv\MF\Frisco\Warren Pkwy_8404_Cypress Lake at Stonebriar_Frisco_15398","Warren Pkwy_8404_Cypress Lake at Stonebriar_Frisco_15398" )</f>
        <v>Warren Pkwy_8404_Cypress Lake at Stonebriar_Frisco_15398</v>
      </c>
      <c r="L5171" s="104" t="s">
        <v>22253</v>
      </c>
      <c r="M5171" s="103" t="str">
        <f t="shared" si="403"/>
        <v>http://oconnordata.com/mlink/modules/profile/index.cfm?action=profile&amp;prop_id=15398</v>
      </c>
      <c r="N5171" s="1">
        <f t="shared" si="404"/>
        <v>15398</v>
      </c>
    </row>
    <row r="5172" spans="1:14" x14ac:dyDescent="0.3">
      <c r="A5172" s="1">
        <v>15399</v>
      </c>
      <c r="B5172" s="7" t="s">
        <v>7812</v>
      </c>
      <c r="C5172" s="12">
        <v>5501</v>
      </c>
      <c r="D5172" s="7" t="s">
        <v>7813</v>
      </c>
      <c r="E5172" s="13" t="s">
        <v>6581</v>
      </c>
      <c r="F5172" t="str">
        <f t="shared" si="400"/>
        <v>Adams</v>
      </c>
      <c r="G5172" t="str">
        <f t="shared" si="401"/>
        <v>Adams5501Haltom City</v>
      </c>
      <c r="H5172" t="s">
        <v>36029</v>
      </c>
      <c r="I5172" t="s">
        <v>27451</v>
      </c>
      <c r="J5172" t="str">
        <f t="shared" si="402"/>
        <v>E:\PropInv\MF</v>
      </c>
      <c r="K5172" s="103" t="str">
        <f>HYPERLINK("E:\PropInv\MF\Haltom City\Adams Dr_5501_The Heritage Apts_Haltom City_15399","Adams Dr_5501_The Heritage Apts_Haltom City_15399" )</f>
        <v>Adams Dr_5501_The Heritage Apts_Haltom City_15399</v>
      </c>
      <c r="L5172" s="104" t="s">
        <v>22253</v>
      </c>
      <c r="M5172" s="103" t="str">
        <f t="shared" si="403"/>
        <v>http://oconnordata.com/mlink/modules/profile/index.cfm?action=profile&amp;prop_id=15399</v>
      </c>
      <c r="N5172" s="1">
        <f t="shared" si="404"/>
        <v>15399</v>
      </c>
    </row>
    <row r="5173" spans="1:14" x14ac:dyDescent="0.3">
      <c r="A5173" s="1">
        <v>15400</v>
      </c>
      <c r="B5173" s="7" t="s">
        <v>7814</v>
      </c>
      <c r="C5173" s="12">
        <v>3210</v>
      </c>
      <c r="D5173" s="7" t="s">
        <v>7815</v>
      </c>
      <c r="E5173" s="13" t="s">
        <v>6799</v>
      </c>
      <c r="F5173" t="str">
        <f t="shared" si="400"/>
        <v>Ash</v>
      </c>
      <c r="G5173" t="str">
        <f t="shared" si="401"/>
        <v>Ash3210Richland Hills</v>
      </c>
      <c r="H5173" t="s">
        <v>36030</v>
      </c>
      <c r="I5173" t="s">
        <v>27452</v>
      </c>
      <c r="J5173" t="str">
        <f t="shared" si="402"/>
        <v>E:\PropInv\MF</v>
      </c>
      <c r="K5173" s="103" t="str">
        <f>HYPERLINK("E:\PropInv\MF\Richland Hills\Ash Park #29_3210_Ash Park_Richland Hills_15400","Ash Park #29_3210_Ash Park_Richland Hills_15400" )</f>
        <v>Ash Park #29_3210_Ash Park_Richland Hills_15400</v>
      </c>
      <c r="L5173" s="104" t="s">
        <v>22253</v>
      </c>
      <c r="M5173" s="103" t="str">
        <f t="shared" si="403"/>
        <v>http://oconnordata.com/mlink/modules/profile/index.cfm?action=profile&amp;prop_id=15400</v>
      </c>
      <c r="N5173" s="1">
        <f t="shared" si="404"/>
        <v>15400</v>
      </c>
    </row>
    <row r="5174" spans="1:14" x14ac:dyDescent="0.3">
      <c r="A5174" s="1">
        <v>15402</v>
      </c>
      <c r="B5174" s="7" t="s">
        <v>7816</v>
      </c>
      <c r="C5174" s="12">
        <v>7808</v>
      </c>
      <c r="D5174" s="7" t="s">
        <v>7817</v>
      </c>
      <c r="E5174" s="13" t="s">
        <v>6541</v>
      </c>
      <c r="F5174" t="str">
        <f t="shared" si="400"/>
        <v>Irish</v>
      </c>
      <c r="G5174" t="str">
        <f t="shared" si="401"/>
        <v>Irish7808North Richland Hills</v>
      </c>
      <c r="H5174" t="s">
        <v>36031</v>
      </c>
      <c r="I5174" t="s">
        <v>27453</v>
      </c>
      <c r="J5174" t="str">
        <f t="shared" si="402"/>
        <v>E:\PropInv\MF</v>
      </c>
      <c r="K5174" s="103" t="str">
        <f>HYPERLINK("E:\PropInv\MF\North Richland Hills\Irish Dr #A_7808_Davis Plaza_North Richland Hills_15402","Irish Dr #A_7808_Davis Plaza_North Richland Hills_15402" )</f>
        <v>Irish Dr #A_7808_Davis Plaza_North Richland Hills_15402</v>
      </c>
      <c r="L5174" s="104" t="s">
        <v>22253</v>
      </c>
      <c r="M5174" s="103" t="str">
        <f t="shared" si="403"/>
        <v>http://oconnordata.com/mlink/modules/profile/index.cfm?action=profile&amp;prop_id=15402</v>
      </c>
      <c r="N5174" s="1">
        <f t="shared" si="404"/>
        <v>15402</v>
      </c>
    </row>
    <row r="5175" spans="1:14" x14ac:dyDescent="0.3">
      <c r="A5175" s="1">
        <v>15403</v>
      </c>
      <c r="B5175" s="7" t="s">
        <v>7818</v>
      </c>
      <c r="C5175" s="12">
        <v>3550</v>
      </c>
      <c r="D5175" s="7" t="s">
        <v>7819</v>
      </c>
      <c r="E5175" s="13" t="s">
        <v>6555</v>
      </c>
      <c r="F5175" t="str">
        <f t="shared" si="400"/>
        <v>Fielder</v>
      </c>
      <c r="G5175" t="str">
        <f t="shared" si="401"/>
        <v>Fielder3550Arlington</v>
      </c>
      <c r="H5175" t="s">
        <v>36032</v>
      </c>
      <c r="I5175" t="s">
        <v>27454</v>
      </c>
      <c r="J5175" t="str">
        <f t="shared" si="402"/>
        <v>E:\PropInv\MF</v>
      </c>
      <c r="K5175" s="103" t="str">
        <f>HYPERLINK("E:\PropInv\MF\Arlington\Fielder Rd S_3550_Ashford Park TH_Arlington_15403","Fielder Rd S_3550_Ashford Park TH_Arlington_15403" )</f>
        <v>Fielder Rd S_3550_Ashford Park TH_Arlington_15403</v>
      </c>
      <c r="L5175" s="104" t="s">
        <v>22253</v>
      </c>
      <c r="M5175" s="103" t="str">
        <f t="shared" si="403"/>
        <v>http://oconnordata.com/mlink/modules/profile/index.cfm?action=profile&amp;prop_id=15403</v>
      </c>
      <c r="N5175" s="1">
        <f t="shared" si="404"/>
        <v>15403</v>
      </c>
    </row>
    <row r="5176" spans="1:14" x14ac:dyDescent="0.3">
      <c r="A5176" s="1">
        <v>15405</v>
      </c>
      <c r="B5176" s="7" t="s">
        <v>7820</v>
      </c>
      <c r="C5176" s="12">
        <v>14300</v>
      </c>
      <c r="D5176" s="7" t="s">
        <v>7821</v>
      </c>
      <c r="E5176" s="13" t="s">
        <v>5014</v>
      </c>
      <c r="F5176" t="str">
        <f t="shared" si="400"/>
        <v>Statler</v>
      </c>
      <c r="G5176" t="str">
        <f t="shared" si="401"/>
        <v>Statler14300Fort Worth</v>
      </c>
      <c r="H5176" t="s">
        <v>36033</v>
      </c>
      <c r="I5176" t="s">
        <v>27455</v>
      </c>
      <c r="J5176" t="str">
        <f t="shared" si="402"/>
        <v>E:\PropInv\MF</v>
      </c>
      <c r="K5176" s="103" t="str">
        <f>HYPERLINK("E:\PropInv\MF\Fort Worth\Statler Blvd_14300_Gateways at Centerport_Fort Worth_15405","Statler Blvd_14300_Gateways at Centerport_Fort Worth_15405" )</f>
        <v>Statler Blvd_14300_Gateways at Centerport_Fort Worth_15405</v>
      </c>
      <c r="L5176" s="104" t="s">
        <v>22253</v>
      </c>
      <c r="M5176" s="103" t="str">
        <f t="shared" si="403"/>
        <v>http://oconnordata.com/mlink/modules/profile/index.cfm?action=profile&amp;prop_id=15405</v>
      </c>
      <c r="N5176" s="1">
        <f t="shared" si="404"/>
        <v>15405</v>
      </c>
    </row>
    <row r="5177" spans="1:14" x14ac:dyDescent="0.3">
      <c r="A5177" s="1">
        <v>15406</v>
      </c>
      <c r="B5177" s="7" t="s">
        <v>7822</v>
      </c>
      <c r="C5177" s="12">
        <v>901</v>
      </c>
      <c r="D5177" s="7" t="s">
        <v>7823</v>
      </c>
      <c r="E5177" s="13" t="s">
        <v>6555</v>
      </c>
      <c r="F5177" t="str">
        <f t="shared" si="400"/>
        <v>Linda</v>
      </c>
      <c r="G5177" t="str">
        <f t="shared" si="401"/>
        <v>Linda901Arlington</v>
      </c>
      <c r="H5177" t="s">
        <v>36034</v>
      </c>
      <c r="I5177" t="s">
        <v>27456</v>
      </c>
      <c r="J5177" t="str">
        <f t="shared" si="402"/>
        <v>E:\PropInv\MF</v>
      </c>
      <c r="K5177" s="103" t="str">
        <f>HYPERLINK("E:\PropInv\MF\Arlington\Linda Vista Ave_901_CJ Heritage_Arlington_15406","Linda Vista Ave_901_CJ Heritage_Arlington_15406" )</f>
        <v>Linda Vista Ave_901_CJ Heritage_Arlington_15406</v>
      </c>
      <c r="L5177" s="104" t="s">
        <v>22253</v>
      </c>
      <c r="M5177" s="103" t="str">
        <f t="shared" si="403"/>
        <v>http://oconnordata.com/mlink/modules/profile/index.cfm?action=profile&amp;prop_id=15406</v>
      </c>
      <c r="N5177" s="1">
        <f t="shared" si="404"/>
        <v>15406</v>
      </c>
    </row>
    <row r="5178" spans="1:14" x14ac:dyDescent="0.3">
      <c r="A5178" s="1">
        <v>15407</v>
      </c>
      <c r="B5178" s="7" t="s">
        <v>7824</v>
      </c>
      <c r="C5178" s="12">
        <v>2029</v>
      </c>
      <c r="D5178" s="7" t="s">
        <v>7825</v>
      </c>
      <c r="E5178" s="13" t="s">
        <v>6581</v>
      </c>
      <c r="F5178" t="str">
        <f t="shared" si="400"/>
        <v>Dayton</v>
      </c>
      <c r="G5178" t="str">
        <f t="shared" si="401"/>
        <v>Dayton2029Haltom City</v>
      </c>
      <c r="H5178" t="s">
        <v>36035</v>
      </c>
      <c r="I5178" t="s">
        <v>27457</v>
      </c>
      <c r="J5178" t="str">
        <f t="shared" si="402"/>
        <v>E:\PropInv\MF</v>
      </c>
      <c r="K5178" s="103" t="str">
        <f>HYPERLINK("E:\PropInv\MF\Haltom City\Dayton_2029_Dayton Square_Haltom City_15407","Dayton_2029_Dayton Square_Haltom City_15407" )</f>
        <v>Dayton_2029_Dayton Square_Haltom City_15407</v>
      </c>
      <c r="L5178" s="104" t="s">
        <v>22253</v>
      </c>
      <c r="M5178" s="103" t="str">
        <f t="shared" si="403"/>
        <v>http://oconnordata.com/mlink/modules/profile/index.cfm?action=profile&amp;prop_id=15407</v>
      </c>
      <c r="N5178" s="1">
        <f t="shared" si="404"/>
        <v>15407</v>
      </c>
    </row>
    <row r="5179" spans="1:14" x14ac:dyDescent="0.3">
      <c r="A5179" s="1">
        <v>15408</v>
      </c>
      <c r="B5179" s="7" t="s">
        <v>7826</v>
      </c>
      <c r="C5179" s="12">
        <v>2305</v>
      </c>
      <c r="D5179" s="7" t="s">
        <v>5082</v>
      </c>
      <c r="E5179" s="13" t="s">
        <v>6555</v>
      </c>
      <c r="F5179" t="str">
        <f t="shared" si="400"/>
        <v>Ashcroft</v>
      </c>
      <c r="G5179" t="str">
        <f t="shared" si="401"/>
        <v>Ashcroft2305Arlington</v>
      </c>
      <c r="H5179" t="s">
        <v>36036</v>
      </c>
      <c r="I5179" t="s">
        <v>27458</v>
      </c>
      <c r="J5179" t="str">
        <f t="shared" si="402"/>
        <v>E:\PropInv\MF</v>
      </c>
      <c r="K5179" s="103" t="str">
        <f>HYPERLINK("E:\PropInv\MF\Arlington\Ashcroft Ln_2305_Aspen Court_Arlington_15408","Ashcroft Ln_2305_Aspen Court_Arlington_15408" )</f>
        <v>Ashcroft Ln_2305_Aspen Court_Arlington_15408</v>
      </c>
      <c r="L5179" s="104" t="s">
        <v>22253</v>
      </c>
      <c r="M5179" s="103" t="str">
        <f t="shared" si="403"/>
        <v>http://oconnordata.com/mlink/modules/profile/index.cfm?action=profile&amp;prop_id=15408</v>
      </c>
      <c r="N5179" s="1">
        <f t="shared" si="404"/>
        <v>15408</v>
      </c>
    </row>
    <row r="5180" spans="1:14" x14ac:dyDescent="0.3">
      <c r="A5180" s="1">
        <v>15409</v>
      </c>
      <c r="B5180" s="7" t="s">
        <v>5266</v>
      </c>
      <c r="C5180" s="12">
        <v>2020</v>
      </c>
      <c r="D5180" s="7" t="s">
        <v>5266</v>
      </c>
      <c r="E5180" s="13" t="s">
        <v>6555</v>
      </c>
      <c r="F5180" t="str">
        <f t="shared" si="400"/>
        <v>Cedar</v>
      </c>
      <c r="G5180" t="str">
        <f t="shared" si="401"/>
        <v>Cedar2020Arlington</v>
      </c>
      <c r="H5180" t="s">
        <v>36037</v>
      </c>
      <c r="I5180" t="s">
        <v>27459</v>
      </c>
      <c r="J5180" t="str">
        <f t="shared" si="402"/>
        <v>E:\PropInv\MF</v>
      </c>
      <c r="K5180" s="103" t="str">
        <f>HYPERLINK("E:\PropInv\MF\Arlington\Cedar Point_2020_Cedar Point_Arlington_15409","Cedar Point_2020_Cedar Point_Arlington_15409" )</f>
        <v>Cedar Point_2020_Cedar Point_Arlington_15409</v>
      </c>
      <c r="L5180" s="104" t="s">
        <v>22253</v>
      </c>
      <c r="M5180" s="103" t="str">
        <f t="shared" si="403"/>
        <v>http://oconnordata.com/mlink/modules/profile/index.cfm?action=profile&amp;prop_id=15409</v>
      </c>
      <c r="N5180" s="1">
        <f t="shared" si="404"/>
        <v>15409</v>
      </c>
    </row>
    <row r="5181" spans="1:14" x14ac:dyDescent="0.3">
      <c r="A5181" s="1">
        <v>15410</v>
      </c>
      <c r="B5181" s="7" t="s">
        <v>7827</v>
      </c>
      <c r="C5181" s="12">
        <v>928</v>
      </c>
      <c r="D5181" s="7" t="s">
        <v>7828</v>
      </c>
      <c r="E5181" s="13" t="s">
        <v>5781</v>
      </c>
      <c r="F5181" t="str">
        <f t="shared" si="400"/>
        <v>Del</v>
      </c>
      <c r="G5181" t="str">
        <f t="shared" si="401"/>
        <v>Del928Euless</v>
      </c>
      <c r="H5181" t="s">
        <v>36038</v>
      </c>
      <c r="I5181" t="s">
        <v>27460</v>
      </c>
      <c r="J5181" t="str">
        <f t="shared" si="402"/>
        <v>E:\PropInv\MF</v>
      </c>
      <c r="K5181" s="103" t="str">
        <f>HYPERLINK("E:\PropInv\MF\Euless\Del Prado Dr_928_Del Prado at Texas Star_Euless_15410","Del Prado Dr_928_Del Prado at Texas Star_Euless_15410" )</f>
        <v>Del Prado Dr_928_Del Prado at Texas Star_Euless_15410</v>
      </c>
      <c r="L5181" s="104" t="s">
        <v>22253</v>
      </c>
      <c r="M5181" s="103" t="str">
        <f t="shared" si="403"/>
        <v>http://oconnordata.com/mlink/modules/profile/index.cfm?action=profile&amp;prop_id=15410</v>
      </c>
      <c r="N5181" s="1">
        <f t="shared" si="404"/>
        <v>15410</v>
      </c>
    </row>
    <row r="5182" spans="1:14" x14ac:dyDescent="0.3">
      <c r="A5182" s="1">
        <v>15411</v>
      </c>
      <c r="B5182" s="7" t="s">
        <v>7730</v>
      </c>
      <c r="C5182" s="12">
        <v>328</v>
      </c>
      <c r="D5182" s="7" t="s">
        <v>7829</v>
      </c>
      <c r="E5182" s="13" t="s">
        <v>4942</v>
      </c>
      <c r="F5182" t="str">
        <f t="shared" si="400"/>
        <v>Bedford</v>
      </c>
      <c r="G5182" t="str">
        <f t="shared" si="401"/>
        <v>Bedford328Bedford</v>
      </c>
      <c r="H5182" t="s">
        <v>36039</v>
      </c>
      <c r="I5182" t="s">
        <v>27461</v>
      </c>
      <c r="J5182" t="str">
        <f t="shared" si="402"/>
        <v>E:\PropInv\MF</v>
      </c>
      <c r="K5182" s="103" t="str">
        <f>HYPERLINK("E:\PropInv\MF\Bedford\Bedford Rd_328_Gentry's Walk_Bedford_15411","Bedford Rd_328_Gentry's Walk_Bedford_15411" )</f>
        <v>Bedford Rd_328_Gentry's Walk_Bedford_15411</v>
      </c>
      <c r="L5182" s="104" t="s">
        <v>22253</v>
      </c>
      <c r="M5182" s="103" t="str">
        <f t="shared" si="403"/>
        <v>http://oconnordata.com/mlink/modules/profile/index.cfm?action=profile&amp;prop_id=15411</v>
      </c>
      <c r="N5182" s="1">
        <f t="shared" si="404"/>
        <v>15411</v>
      </c>
    </row>
    <row r="5183" spans="1:14" x14ac:dyDescent="0.3">
      <c r="A5183" s="1">
        <v>15412</v>
      </c>
      <c r="B5183" s="7" t="s">
        <v>7830</v>
      </c>
      <c r="C5183" s="12">
        <v>2019</v>
      </c>
      <c r="D5183" s="7" t="s">
        <v>7831</v>
      </c>
      <c r="E5183" s="13" t="s">
        <v>6555</v>
      </c>
      <c r="F5183" t="str">
        <f t="shared" si="400"/>
        <v>Coopers</v>
      </c>
      <c r="G5183" t="str">
        <f t="shared" si="401"/>
        <v>Coopers2019Arlington</v>
      </c>
      <c r="H5183" t="s">
        <v>36040</v>
      </c>
      <c r="I5183" t="s">
        <v>27462</v>
      </c>
      <c r="J5183" t="str">
        <f t="shared" si="402"/>
        <v>E:\PropInv\MF</v>
      </c>
      <c r="K5183" s="103" t="str">
        <f>HYPERLINK("E:\PropInv\MF\Arlington\Coopers Corner Dr_2019_Hidden Hollow_Arlington_15412","Coopers Corner Dr_2019_Hidden Hollow_Arlington_15412" )</f>
        <v>Coopers Corner Dr_2019_Hidden Hollow_Arlington_15412</v>
      </c>
      <c r="L5183" s="104" t="s">
        <v>22253</v>
      </c>
      <c r="M5183" s="103" t="str">
        <f t="shared" si="403"/>
        <v>http://oconnordata.com/mlink/modules/profile/index.cfm?action=profile&amp;prop_id=15412</v>
      </c>
      <c r="N5183" s="1">
        <f t="shared" si="404"/>
        <v>15412</v>
      </c>
    </row>
    <row r="5184" spans="1:14" x14ac:dyDescent="0.3">
      <c r="A5184" s="1">
        <v>15413</v>
      </c>
      <c r="B5184" s="7" t="s">
        <v>5961</v>
      </c>
      <c r="C5184" s="12">
        <v>611</v>
      </c>
      <c r="D5184" s="7" t="s">
        <v>7832</v>
      </c>
      <c r="E5184" s="13" t="s">
        <v>6612</v>
      </c>
      <c r="F5184" t="str">
        <f t="shared" si="400"/>
        <v>Timberline</v>
      </c>
      <c r="G5184" t="str">
        <f t="shared" si="401"/>
        <v>Timberline611Hurst</v>
      </c>
      <c r="H5184" t="s">
        <v>36041</v>
      </c>
      <c r="I5184" t="s">
        <v>27463</v>
      </c>
      <c r="J5184" t="str">
        <f t="shared" si="402"/>
        <v>E:\PropInv\MF</v>
      </c>
      <c r="K5184" s="103" t="str">
        <f>HYPERLINK("E:\PropInv\MF\Hurst\Timberline Dr_611_Cedar Ridge at Hurst_Hurst_15413","Timberline Dr_611_Cedar Ridge at Hurst_Hurst_15413" )</f>
        <v>Timberline Dr_611_Cedar Ridge at Hurst_Hurst_15413</v>
      </c>
      <c r="L5184" s="104" t="s">
        <v>22253</v>
      </c>
      <c r="M5184" s="103" t="str">
        <f t="shared" si="403"/>
        <v>http://oconnordata.com/mlink/modules/profile/index.cfm?action=profile&amp;prop_id=15413</v>
      </c>
      <c r="N5184" s="1">
        <f t="shared" si="404"/>
        <v>15413</v>
      </c>
    </row>
    <row r="5185" spans="1:14" x14ac:dyDescent="0.3">
      <c r="A5185" s="1">
        <v>15414</v>
      </c>
      <c r="B5185" s="7" t="s">
        <v>7833</v>
      </c>
      <c r="C5185" s="12">
        <v>2082</v>
      </c>
      <c r="D5185" s="7" t="s">
        <v>7834</v>
      </c>
      <c r="E5185" s="13" t="s">
        <v>6555</v>
      </c>
      <c r="F5185" t="str">
        <f t="shared" si="400"/>
        <v>Knoll</v>
      </c>
      <c r="G5185" t="str">
        <f t="shared" si="401"/>
        <v>Knoll2082Arlington</v>
      </c>
      <c r="H5185" t="s">
        <v>36042</v>
      </c>
      <c r="I5185" t="s">
        <v>27464</v>
      </c>
      <c r="J5185" t="str">
        <f t="shared" si="402"/>
        <v>E:\PropInv\MF</v>
      </c>
      <c r="K5185" s="103" t="str">
        <f>HYPERLINK("E:\PropInv\MF\Arlington\Knoll Crest_2082_Cedar Ridge TH_Arlington_15414","Knoll Crest_2082_Cedar Ridge TH_Arlington_15414" )</f>
        <v>Knoll Crest_2082_Cedar Ridge TH_Arlington_15414</v>
      </c>
      <c r="L5185" s="104" t="s">
        <v>22253</v>
      </c>
      <c r="M5185" s="103" t="str">
        <f t="shared" si="403"/>
        <v>http://oconnordata.com/mlink/modules/profile/index.cfm?action=profile&amp;prop_id=15414</v>
      </c>
      <c r="N5185" s="1">
        <f t="shared" si="404"/>
        <v>15414</v>
      </c>
    </row>
    <row r="5186" spans="1:14" x14ac:dyDescent="0.3">
      <c r="A5186" s="1">
        <v>15417</v>
      </c>
      <c r="B5186" s="7" t="s">
        <v>5655</v>
      </c>
      <c r="C5186" s="12">
        <v>316</v>
      </c>
      <c r="D5186" s="7" t="s">
        <v>7835</v>
      </c>
      <c r="E5186" s="13" t="s">
        <v>6555</v>
      </c>
      <c r="F5186" t="str">
        <f t="shared" ref="F5186:F5249" si="405">IFERROR(LEFT(B5186,FIND(" ",B5186)-1),B5186)</f>
        <v>5th</v>
      </c>
      <c r="G5186" t="str">
        <f t="shared" ref="G5186:G5249" si="406">F5186&amp;C5186&amp;E5186</f>
        <v>5th316Arlington</v>
      </c>
      <c r="H5186" t="s">
        <v>36043</v>
      </c>
      <c r="I5186" t="s">
        <v>27465</v>
      </c>
      <c r="J5186" t="str">
        <f t="shared" ref="J5186:J5249" si="407">IF(L5186="TX",Folder_Path,Folder_Path&amp;"\State_"&amp;L5186)</f>
        <v>E:\PropInv\MF</v>
      </c>
      <c r="K5186" s="103" t="str">
        <f>HYPERLINK("E:\PropInv\MF\Arlington\5th St W_316_O'Connor Place (Demolished)_Arlington_15417","5th St W_316_O'Connor Place (Demolished)_Arlington_15417" )</f>
        <v>5th St W_316_O'Connor Place (Demolished)_Arlington_15417</v>
      </c>
      <c r="L5186" s="104" t="s">
        <v>22253</v>
      </c>
      <c r="M5186" s="103" t="str">
        <f t="shared" ref="M5186:M5249" si="408">HYPERLINK("http://oconnordata.com/mlink/modules/profile/index.cfm?action=profile&amp;prop_id="&amp;A5186)</f>
        <v>http://oconnordata.com/mlink/modules/profile/index.cfm?action=profile&amp;prop_id=15417</v>
      </c>
      <c r="N5186" s="1">
        <f t="shared" ref="N5186:N5249" si="409">IF(LEN(A5186)=1,"0000"&amp;A5186,IF(LEN(A5186)=2,"000"&amp;A5186,IF(LEN(A5186)=3,"00"&amp;A5186,IF(LEN(A5186)=4,"0"&amp;A5186,IF(LEN(A5186)=5,IF(LEFT(A5186,1)="3",A5186+30000,A5186))))))</f>
        <v>15417</v>
      </c>
    </row>
    <row r="5187" spans="1:14" x14ac:dyDescent="0.3">
      <c r="A5187" s="1">
        <v>15418</v>
      </c>
      <c r="B5187" s="7" t="s">
        <v>7836</v>
      </c>
      <c r="C5187" s="12">
        <v>3005</v>
      </c>
      <c r="D5187" s="7" t="s">
        <v>7837</v>
      </c>
      <c r="E5187" s="13" t="s">
        <v>6555</v>
      </c>
      <c r="F5187" t="str">
        <f t="shared" si="405"/>
        <v>Center</v>
      </c>
      <c r="G5187" t="str">
        <f t="shared" si="406"/>
        <v>Center3005Arlington</v>
      </c>
      <c r="H5187" t="s">
        <v>36044</v>
      </c>
      <c r="I5187" t="s">
        <v>27466</v>
      </c>
      <c r="J5187" t="str">
        <f t="shared" si="407"/>
        <v>E:\PropInv\MF</v>
      </c>
      <c r="K5187" s="103" t="str">
        <f>HYPERLINK("E:\PropInv\MF\Arlington\Center S_3005_Center Place_Arlington_15418","Center S_3005_Center Place_Arlington_15418" )</f>
        <v>Center S_3005_Center Place_Arlington_15418</v>
      </c>
      <c r="L5187" s="104" t="s">
        <v>22253</v>
      </c>
      <c r="M5187" s="103" t="str">
        <f t="shared" si="408"/>
        <v>http://oconnordata.com/mlink/modules/profile/index.cfm?action=profile&amp;prop_id=15418</v>
      </c>
      <c r="N5187" s="1">
        <f t="shared" si="409"/>
        <v>15418</v>
      </c>
    </row>
    <row r="5188" spans="1:14" x14ac:dyDescent="0.3">
      <c r="A5188" s="1">
        <v>15419</v>
      </c>
      <c r="B5188" s="7" t="s">
        <v>3901</v>
      </c>
      <c r="C5188" s="12">
        <v>6100</v>
      </c>
      <c r="D5188" s="7" t="s">
        <v>7838</v>
      </c>
      <c r="E5188" s="13" t="s">
        <v>6541</v>
      </c>
      <c r="F5188" t="str">
        <f t="shared" si="405"/>
        <v>Glenview</v>
      </c>
      <c r="G5188" t="str">
        <f t="shared" si="406"/>
        <v>Glenview6100North Richland Hills</v>
      </c>
      <c r="H5188" t="s">
        <v>36045</v>
      </c>
      <c r="I5188" t="s">
        <v>27467</v>
      </c>
      <c r="J5188" t="str">
        <f t="shared" si="407"/>
        <v>E:\PropInv\MF</v>
      </c>
      <c r="K5188" s="103" t="str">
        <f>HYPERLINK("E:\PropInv\MF\North Richland Hills\Glenview_6100_Diamond Loch_North Richland Hills_15419","Glenview_6100_Diamond Loch_North Richland Hills_15419" )</f>
        <v>Glenview_6100_Diamond Loch_North Richland Hills_15419</v>
      </c>
      <c r="L5188" s="104" t="s">
        <v>22253</v>
      </c>
      <c r="M5188" s="103" t="str">
        <f t="shared" si="408"/>
        <v>http://oconnordata.com/mlink/modules/profile/index.cfm?action=profile&amp;prop_id=15419</v>
      </c>
      <c r="N5188" s="1">
        <f t="shared" si="409"/>
        <v>15419</v>
      </c>
    </row>
    <row r="5189" spans="1:14" x14ac:dyDescent="0.3">
      <c r="A5189" s="1">
        <v>15420</v>
      </c>
      <c r="B5189" s="7" t="s">
        <v>7839</v>
      </c>
      <c r="C5189" s="12">
        <v>745</v>
      </c>
      <c r="D5189" s="7" t="s">
        <v>7840</v>
      </c>
      <c r="E5189" s="13" t="s">
        <v>6612</v>
      </c>
      <c r="F5189" t="str">
        <f t="shared" si="405"/>
        <v>Pecan</v>
      </c>
      <c r="G5189" t="str">
        <f t="shared" si="406"/>
        <v>Pecan745Hurst</v>
      </c>
      <c r="H5189" t="s">
        <v>36046</v>
      </c>
      <c r="I5189" t="s">
        <v>27468</v>
      </c>
      <c r="J5189" t="str">
        <f t="shared" si="407"/>
        <v>E:\PropInv\MF</v>
      </c>
      <c r="K5189" s="103" t="str">
        <f>HYPERLINK("E:\PropInv\MF\Hurst\Pecan St E_745_Glen Rose Park_Hurst_15420","Pecan St E_745_Glen Rose Park_Hurst_15420" )</f>
        <v>Pecan St E_745_Glen Rose Park_Hurst_15420</v>
      </c>
      <c r="L5189" s="104" t="s">
        <v>22253</v>
      </c>
      <c r="M5189" s="103" t="str">
        <f t="shared" si="408"/>
        <v>http://oconnordata.com/mlink/modules/profile/index.cfm?action=profile&amp;prop_id=15420</v>
      </c>
      <c r="N5189" s="1">
        <f t="shared" si="409"/>
        <v>15420</v>
      </c>
    </row>
    <row r="5190" spans="1:14" x14ac:dyDescent="0.3">
      <c r="A5190" s="1">
        <v>15421</v>
      </c>
      <c r="B5190" s="7" t="s">
        <v>3901</v>
      </c>
      <c r="C5190" s="12">
        <v>6525</v>
      </c>
      <c r="D5190" s="7" t="s">
        <v>7841</v>
      </c>
      <c r="E5190" s="13" t="s">
        <v>6541</v>
      </c>
      <c r="F5190" t="str">
        <f t="shared" si="405"/>
        <v>Glenview</v>
      </c>
      <c r="G5190" t="str">
        <f t="shared" si="406"/>
        <v>Glenview6525North Richland Hills</v>
      </c>
      <c r="H5190" t="s">
        <v>36047</v>
      </c>
      <c r="I5190" t="s">
        <v>27469</v>
      </c>
      <c r="J5190" t="str">
        <f t="shared" si="407"/>
        <v>E:\PropInv\MF</v>
      </c>
      <c r="K5190" s="103" t="str">
        <f>HYPERLINK("E:\PropInv\MF\North Richland Hills\Glenview_6525_Diamond Ridge_North Richland Hills_15421","Glenview_6525_Diamond Ridge_North Richland Hills_15421" )</f>
        <v>Glenview_6525_Diamond Ridge_North Richland Hills_15421</v>
      </c>
      <c r="L5190" s="104" t="s">
        <v>22253</v>
      </c>
      <c r="M5190" s="103" t="str">
        <f t="shared" si="408"/>
        <v>http://oconnordata.com/mlink/modules/profile/index.cfm?action=profile&amp;prop_id=15421</v>
      </c>
      <c r="N5190" s="1">
        <f t="shared" si="409"/>
        <v>15421</v>
      </c>
    </row>
    <row r="5191" spans="1:14" x14ac:dyDescent="0.3">
      <c r="A5191" s="1">
        <v>15422</v>
      </c>
      <c r="B5191" s="7" t="s">
        <v>7842</v>
      </c>
      <c r="C5191" s="12">
        <v>600</v>
      </c>
      <c r="D5191" s="7" t="s">
        <v>7843</v>
      </c>
      <c r="E5191" s="13" t="s">
        <v>6555</v>
      </c>
      <c r="F5191" t="str">
        <f t="shared" si="405"/>
        <v>Pioneer</v>
      </c>
      <c r="G5191" t="str">
        <f t="shared" si="406"/>
        <v>Pioneer600Arlington</v>
      </c>
      <c r="H5191" t="s">
        <v>36048</v>
      </c>
      <c r="I5191" t="s">
        <v>27470</v>
      </c>
      <c r="J5191" t="str">
        <f t="shared" si="407"/>
        <v>E:\PropInv\MF</v>
      </c>
      <c r="K5191" s="103" t="str">
        <f>HYPERLINK("E:\PropInv\MF\Arlington\Pioneer Pkwy W_600_Arroyo Park TH_Arlington_15422","Pioneer Pkwy W_600_Arroyo Park TH_Arlington_15422" )</f>
        <v>Pioneer Pkwy W_600_Arroyo Park TH_Arlington_15422</v>
      </c>
      <c r="L5191" s="104" t="s">
        <v>22253</v>
      </c>
      <c r="M5191" s="103" t="str">
        <f t="shared" si="408"/>
        <v>http://oconnordata.com/mlink/modules/profile/index.cfm?action=profile&amp;prop_id=15422</v>
      </c>
      <c r="N5191" s="1">
        <f t="shared" si="409"/>
        <v>15422</v>
      </c>
    </row>
    <row r="5192" spans="1:14" x14ac:dyDescent="0.3">
      <c r="A5192" s="1">
        <v>15423</v>
      </c>
      <c r="B5192" s="7" t="s">
        <v>7803</v>
      </c>
      <c r="C5192" s="12">
        <v>743</v>
      </c>
      <c r="D5192" s="7" t="s">
        <v>7844</v>
      </c>
      <c r="E5192" s="13" t="s">
        <v>6555</v>
      </c>
      <c r="F5192" t="str">
        <f t="shared" si="405"/>
        <v>Washington</v>
      </c>
      <c r="G5192" t="str">
        <f t="shared" si="406"/>
        <v>Washington743Arlington</v>
      </c>
      <c r="H5192" t="s">
        <v>36049</v>
      </c>
      <c r="I5192" t="s">
        <v>27471</v>
      </c>
      <c r="J5192" t="str">
        <f t="shared" si="407"/>
        <v>E:\PropInv\MF</v>
      </c>
      <c r="K5192" s="103" t="str">
        <f>HYPERLINK("E:\PropInv\MF\Arlington\Washington Dr_743_Maddison Creek_Arlington_15423","Washington Dr_743_Maddison Creek_Arlington_15423" )</f>
        <v>Washington Dr_743_Maddison Creek_Arlington_15423</v>
      </c>
      <c r="L5192" s="104" t="s">
        <v>22253</v>
      </c>
      <c r="M5192" s="103" t="str">
        <f t="shared" si="408"/>
        <v>http://oconnordata.com/mlink/modules/profile/index.cfm?action=profile&amp;prop_id=15423</v>
      </c>
      <c r="N5192" s="1">
        <f t="shared" si="409"/>
        <v>15423</v>
      </c>
    </row>
    <row r="5193" spans="1:14" x14ac:dyDescent="0.3">
      <c r="A5193" s="1">
        <v>15424</v>
      </c>
      <c r="B5193" s="7" t="s">
        <v>5541</v>
      </c>
      <c r="C5193" s="12">
        <v>1750</v>
      </c>
      <c r="D5193" s="7" t="s">
        <v>7845</v>
      </c>
      <c r="E5193" s="13" t="s">
        <v>5076</v>
      </c>
      <c r="F5193" t="str">
        <f t="shared" si="405"/>
        <v>Tarrant</v>
      </c>
      <c r="G5193" t="str">
        <f t="shared" si="406"/>
        <v>Tarrant1750Grand Prairie</v>
      </c>
      <c r="H5193" t="s">
        <v>36050</v>
      </c>
      <c r="I5193" t="s">
        <v>27472</v>
      </c>
      <c r="J5193" t="str">
        <f t="shared" si="407"/>
        <v>E:\PropInv\MF</v>
      </c>
      <c r="K5193" s="103" t="str">
        <f>HYPERLINK("E:\PropInv\MF\Grand Prairie\Tarrant Rd W_1750_Grand Manor_Grand Prairie_15424","Tarrant Rd W_1750_Grand Manor_Grand Prairie_15424" )</f>
        <v>Tarrant Rd W_1750_Grand Manor_Grand Prairie_15424</v>
      </c>
      <c r="L5193" s="104" t="s">
        <v>22253</v>
      </c>
      <c r="M5193" s="103" t="str">
        <f t="shared" si="408"/>
        <v>http://oconnordata.com/mlink/modules/profile/index.cfm?action=profile&amp;prop_id=15424</v>
      </c>
      <c r="N5193" s="1">
        <f t="shared" si="409"/>
        <v>15424</v>
      </c>
    </row>
    <row r="5194" spans="1:14" x14ac:dyDescent="0.3">
      <c r="A5194" s="1">
        <v>15425</v>
      </c>
      <c r="B5194" s="7" t="s">
        <v>7846</v>
      </c>
      <c r="C5194" s="12">
        <v>14609</v>
      </c>
      <c r="D5194" s="7" t="s">
        <v>7847</v>
      </c>
      <c r="E5194" s="13" t="s">
        <v>5014</v>
      </c>
      <c r="F5194" t="str">
        <f t="shared" si="405"/>
        <v>Chimney</v>
      </c>
      <c r="G5194" t="str">
        <f t="shared" si="406"/>
        <v>Chimney14609Fort Worth</v>
      </c>
      <c r="H5194" t="s">
        <v>36051</v>
      </c>
      <c r="I5194" t="s">
        <v>27473</v>
      </c>
      <c r="J5194" t="str">
        <f t="shared" si="407"/>
        <v>E:\PropInv\MF</v>
      </c>
      <c r="K5194" s="103" t="str">
        <f>HYPERLINK("E:\PropInv\MF\Fort Worth\Chimney Meadow_14609_Centre Oaks_Fort Worth_15425","Chimney Meadow_14609_Centre Oaks_Fort Worth_15425" )</f>
        <v>Chimney Meadow_14609_Centre Oaks_Fort Worth_15425</v>
      </c>
      <c r="L5194" s="104" t="s">
        <v>22253</v>
      </c>
      <c r="M5194" s="103" t="str">
        <f t="shared" si="408"/>
        <v>http://oconnordata.com/mlink/modules/profile/index.cfm?action=profile&amp;prop_id=15425</v>
      </c>
      <c r="N5194" s="1">
        <f t="shared" si="409"/>
        <v>15425</v>
      </c>
    </row>
    <row r="5195" spans="1:14" x14ac:dyDescent="0.3">
      <c r="A5195" s="1">
        <v>15426</v>
      </c>
      <c r="B5195" s="7" t="s">
        <v>7848</v>
      </c>
      <c r="C5195" s="12">
        <v>14301</v>
      </c>
      <c r="D5195" s="7" t="s">
        <v>7849</v>
      </c>
      <c r="E5195" s="13" t="s">
        <v>5014</v>
      </c>
      <c r="F5195" t="str">
        <f t="shared" si="405"/>
        <v>Statler</v>
      </c>
      <c r="G5195" t="str">
        <f t="shared" si="406"/>
        <v>Statler14301Fort Worth</v>
      </c>
      <c r="H5195" t="s">
        <v>36052</v>
      </c>
      <c r="I5195" t="s">
        <v>27474</v>
      </c>
      <c r="J5195" t="str">
        <f t="shared" si="407"/>
        <v>E:\PropInv\MF</v>
      </c>
      <c r="K5195" s="103" t="str">
        <f>HYPERLINK("E:\PropInv\MF\Fort Worth\Statler Ct_14301_Centreport Landing_Fort Worth_15426","Statler Ct_14301_Centreport Landing_Fort Worth_15426" )</f>
        <v>Statler Ct_14301_Centreport Landing_Fort Worth_15426</v>
      </c>
      <c r="L5195" s="104" t="s">
        <v>22253</v>
      </c>
      <c r="M5195" s="103" t="str">
        <f t="shared" si="408"/>
        <v>http://oconnordata.com/mlink/modules/profile/index.cfm?action=profile&amp;prop_id=15426</v>
      </c>
      <c r="N5195" s="1">
        <f t="shared" si="409"/>
        <v>15426</v>
      </c>
    </row>
    <row r="5196" spans="1:14" x14ac:dyDescent="0.3">
      <c r="A5196" s="1">
        <v>15427</v>
      </c>
      <c r="B5196" s="7" t="s">
        <v>7850</v>
      </c>
      <c r="C5196" s="12">
        <v>105</v>
      </c>
      <c r="D5196" s="7" t="s">
        <v>7851</v>
      </c>
      <c r="E5196" s="13" t="s">
        <v>5781</v>
      </c>
      <c r="F5196" t="str">
        <f t="shared" si="405"/>
        <v>Harwood</v>
      </c>
      <c r="G5196" t="str">
        <f t="shared" si="406"/>
        <v>Harwood105Euless</v>
      </c>
      <c r="H5196" t="s">
        <v>36053</v>
      </c>
      <c r="I5196" t="s">
        <v>27475</v>
      </c>
      <c r="J5196" t="str">
        <f t="shared" si="407"/>
        <v>E:\PropInv\MF</v>
      </c>
      <c r="K5196" s="103" t="str">
        <f>HYPERLINK("E:\PropInv\MF\Euless\Harwood E_105_Charter Oaks_Euless_15427","Harwood E_105_Charter Oaks_Euless_15427" )</f>
        <v>Harwood E_105_Charter Oaks_Euless_15427</v>
      </c>
      <c r="L5196" s="104" t="s">
        <v>22253</v>
      </c>
      <c r="M5196" s="103" t="str">
        <f t="shared" si="408"/>
        <v>http://oconnordata.com/mlink/modules/profile/index.cfm?action=profile&amp;prop_id=15427</v>
      </c>
      <c r="N5196" s="1">
        <f t="shared" si="409"/>
        <v>15427</v>
      </c>
    </row>
    <row r="5197" spans="1:14" x14ac:dyDescent="0.3">
      <c r="A5197" s="1">
        <v>15428</v>
      </c>
      <c r="B5197" s="7" t="s">
        <v>7852</v>
      </c>
      <c r="C5197" s="12">
        <v>3191</v>
      </c>
      <c r="D5197" s="7" t="s">
        <v>7853</v>
      </c>
      <c r="E5197" s="13" t="s">
        <v>5043</v>
      </c>
      <c r="F5197" t="str">
        <f t="shared" si="405"/>
        <v>Medical</v>
      </c>
      <c r="G5197" t="str">
        <f t="shared" si="406"/>
        <v>Medical3191McKinney</v>
      </c>
      <c r="H5197" t="s">
        <v>36054</v>
      </c>
      <c r="I5197" t="s">
        <v>27476</v>
      </c>
      <c r="J5197" t="str">
        <f t="shared" si="407"/>
        <v>E:\PropInv\MF</v>
      </c>
      <c r="K5197" s="103" t="str">
        <f>HYPERLINK("E:\PropInv\MF\McKinney\Medical Center Dr_3191_Fairways at Wilson Creek_McKinney_15428","Medical Center Dr_3191_Fairways at Wilson Creek_McKinney_15428" )</f>
        <v>Medical Center Dr_3191_Fairways at Wilson Creek_McKinney_15428</v>
      </c>
      <c r="L5197" s="104" t="s">
        <v>22253</v>
      </c>
      <c r="M5197" s="103" t="str">
        <f t="shared" si="408"/>
        <v>http://oconnordata.com/mlink/modules/profile/index.cfm?action=profile&amp;prop_id=15428</v>
      </c>
      <c r="N5197" s="1">
        <f t="shared" si="409"/>
        <v>15428</v>
      </c>
    </row>
    <row r="5198" spans="1:14" x14ac:dyDescent="0.3">
      <c r="A5198" s="1">
        <v>15429</v>
      </c>
      <c r="B5198" s="7" t="s">
        <v>7854</v>
      </c>
      <c r="C5198" s="12">
        <v>2505</v>
      </c>
      <c r="D5198" s="7" t="s">
        <v>7855</v>
      </c>
      <c r="E5198" s="13" t="s">
        <v>6555</v>
      </c>
      <c r="F5198" t="str">
        <f t="shared" si="405"/>
        <v>Thomason</v>
      </c>
      <c r="G5198" t="str">
        <f t="shared" si="406"/>
        <v>Thomason2505Arlington</v>
      </c>
      <c r="H5198" t="s">
        <v>36055</v>
      </c>
      <c r="I5198" t="s">
        <v>27477</v>
      </c>
      <c r="J5198" t="str">
        <f t="shared" si="407"/>
        <v>E:\PropInv\MF</v>
      </c>
      <c r="K5198" s="103" t="str">
        <f>HYPERLINK("E:\PropInv\MF\Arlington\Thomason Cir_2505_Madera Brookside_Arlington_15429","Thomason Cir_2505_Madera Brookside_Arlington_15429" )</f>
        <v>Thomason Cir_2505_Madera Brookside_Arlington_15429</v>
      </c>
      <c r="L5198" s="104" t="s">
        <v>22253</v>
      </c>
      <c r="M5198" s="103" t="str">
        <f t="shared" si="408"/>
        <v>http://oconnordata.com/mlink/modules/profile/index.cfm?action=profile&amp;prop_id=15429</v>
      </c>
      <c r="N5198" s="1">
        <f t="shared" si="409"/>
        <v>15429</v>
      </c>
    </row>
    <row r="5199" spans="1:14" x14ac:dyDescent="0.3">
      <c r="A5199" s="1">
        <v>15430</v>
      </c>
      <c r="B5199" s="7" t="s">
        <v>7136</v>
      </c>
      <c r="C5199" s="12">
        <v>2308</v>
      </c>
      <c r="D5199" s="7" t="s">
        <v>7856</v>
      </c>
      <c r="E5199" s="13" t="s">
        <v>6555</v>
      </c>
      <c r="F5199" t="str">
        <f t="shared" si="405"/>
        <v>Fair</v>
      </c>
      <c r="G5199" t="str">
        <f t="shared" si="406"/>
        <v>Fair2308Arlington</v>
      </c>
      <c r="H5199" t="s">
        <v>36056</v>
      </c>
      <c r="I5199" t="s">
        <v>27478</v>
      </c>
      <c r="J5199" t="str">
        <f t="shared" si="407"/>
        <v>E:\PropInv\MF</v>
      </c>
      <c r="K5199" s="103" t="str">
        <f>HYPERLINK("E:\PropInv\MF\Arlington\Fair Oaks Dr_2308_Landmark at Heritage Fields_Arlington_15430","Fair Oaks Dr_2308_Landmark at Heritage Fields_Arlington_15430" )</f>
        <v>Fair Oaks Dr_2308_Landmark at Heritage Fields_Arlington_15430</v>
      </c>
      <c r="L5199" s="104" t="s">
        <v>22253</v>
      </c>
      <c r="M5199" s="103" t="str">
        <f t="shared" si="408"/>
        <v>http://oconnordata.com/mlink/modules/profile/index.cfm?action=profile&amp;prop_id=15430</v>
      </c>
      <c r="N5199" s="1">
        <f t="shared" si="409"/>
        <v>15430</v>
      </c>
    </row>
    <row r="5200" spans="1:14" x14ac:dyDescent="0.3">
      <c r="A5200" s="1">
        <v>15431</v>
      </c>
      <c r="B5200" s="7" t="s">
        <v>5037</v>
      </c>
      <c r="C5200" s="12">
        <v>2300</v>
      </c>
      <c r="D5200" s="7" t="s">
        <v>7857</v>
      </c>
      <c r="E5200" s="13" t="s">
        <v>5060</v>
      </c>
      <c r="F5200" t="str">
        <f t="shared" si="405"/>
        <v>Marsh</v>
      </c>
      <c r="G5200" t="str">
        <f t="shared" si="406"/>
        <v>Marsh2300Carrollton</v>
      </c>
      <c r="H5200" t="s">
        <v>36057</v>
      </c>
      <c r="I5200" t="s">
        <v>27479</v>
      </c>
      <c r="J5200" t="str">
        <f t="shared" si="407"/>
        <v>E:\PropInv\MF</v>
      </c>
      <c r="K5200" s="103" t="str">
        <f>HYPERLINK("E:\PropInv\MF\Carrollton\Marsh Ln_2300_Westbridge_Carrollton_15431","Marsh Ln_2300_Westbridge_Carrollton_15431" )</f>
        <v>Marsh Ln_2300_Westbridge_Carrollton_15431</v>
      </c>
      <c r="L5200" s="104" t="s">
        <v>22253</v>
      </c>
      <c r="M5200" s="103" t="str">
        <f t="shared" si="408"/>
        <v>http://oconnordata.com/mlink/modules/profile/index.cfm?action=profile&amp;prop_id=15431</v>
      </c>
      <c r="N5200" s="1">
        <f t="shared" si="409"/>
        <v>15431</v>
      </c>
    </row>
    <row r="5201" spans="1:14" x14ac:dyDescent="0.3">
      <c r="A5201" s="1">
        <v>15433</v>
      </c>
      <c r="B5201" s="7" t="s">
        <v>7858</v>
      </c>
      <c r="C5201" s="12">
        <v>1508</v>
      </c>
      <c r="D5201" s="7" t="s">
        <v>7859</v>
      </c>
      <c r="E5201" s="13" t="s">
        <v>6555</v>
      </c>
      <c r="F5201" t="str">
        <f t="shared" si="405"/>
        <v>Cherry</v>
      </c>
      <c r="G5201" t="str">
        <f t="shared" si="406"/>
        <v>Cherry1508Arlington</v>
      </c>
      <c r="H5201" t="s">
        <v>36058</v>
      </c>
      <c r="I5201" t="s">
        <v>27480</v>
      </c>
      <c r="J5201" t="str">
        <f t="shared" si="407"/>
        <v>E:\PropInv\MF</v>
      </c>
      <c r="K5201" s="103" t="str">
        <f>HYPERLINK("E:\PropInv\MF\Arlington\Cherry Dr_1508_Cherry Circle I_Arlington_15433","Cherry Dr_1508_Cherry Circle I_Arlington_15433" )</f>
        <v>Cherry Dr_1508_Cherry Circle I_Arlington_15433</v>
      </c>
      <c r="L5201" s="104" t="s">
        <v>22253</v>
      </c>
      <c r="M5201" s="103" t="str">
        <f t="shared" si="408"/>
        <v>http://oconnordata.com/mlink/modules/profile/index.cfm?action=profile&amp;prop_id=15433</v>
      </c>
      <c r="N5201" s="1">
        <f t="shared" si="409"/>
        <v>15433</v>
      </c>
    </row>
    <row r="5202" spans="1:14" x14ac:dyDescent="0.3">
      <c r="A5202" s="1">
        <v>15434</v>
      </c>
      <c r="B5202" s="7" t="s">
        <v>7860</v>
      </c>
      <c r="C5202" s="12">
        <v>5151</v>
      </c>
      <c r="D5202" s="7" t="s">
        <v>7861</v>
      </c>
      <c r="E5202" s="13" t="s">
        <v>6581</v>
      </c>
      <c r="F5202" t="str">
        <f t="shared" si="405"/>
        <v>Broadway</v>
      </c>
      <c r="G5202" t="str">
        <f t="shared" si="406"/>
        <v>Broadway5151Haltom City</v>
      </c>
      <c r="H5202" t="s">
        <v>36059</v>
      </c>
      <c r="I5202" t="s">
        <v>27481</v>
      </c>
      <c r="J5202" t="str">
        <f t="shared" si="407"/>
        <v>E:\PropInv\MF</v>
      </c>
      <c r="K5202" s="103" t="str">
        <f>HYPERLINK("E:\PropInv\MF\Haltom City\Broadway Ave_5151_Haltom Oaks_Haltom City_15434","Broadway Ave_5151_Haltom Oaks_Haltom City_15434" )</f>
        <v>Broadway Ave_5151_Haltom Oaks_Haltom City_15434</v>
      </c>
      <c r="L5202" s="104" t="s">
        <v>22253</v>
      </c>
      <c r="M5202" s="103" t="str">
        <f t="shared" si="408"/>
        <v>http://oconnordata.com/mlink/modules/profile/index.cfm?action=profile&amp;prop_id=15434</v>
      </c>
      <c r="N5202" s="1">
        <f t="shared" si="409"/>
        <v>15434</v>
      </c>
    </row>
    <row r="5203" spans="1:14" x14ac:dyDescent="0.3">
      <c r="A5203" s="1">
        <v>15435</v>
      </c>
      <c r="B5203" s="7" t="s">
        <v>7803</v>
      </c>
      <c r="C5203" s="12">
        <v>715</v>
      </c>
      <c r="D5203" s="7" t="s">
        <v>7862</v>
      </c>
      <c r="E5203" s="13" t="s">
        <v>6555</v>
      </c>
      <c r="F5203" t="str">
        <f t="shared" si="405"/>
        <v>Washington</v>
      </c>
      <c r="G5203" t="str">
        <f t="shared" si="406"/>
        <v>Washington715Arlington</v>
      </c>
      <c r="H5203" t="s">
        <v>36060</v>
      </c>
      <c r="I5203" t="s">
        <v>27482</v>
      </c>
      <c r="J5203" t="str">
        <f t="shared" si="407"/>
        <v>E:\PropInv\MF</v>
      </c>
      <c r="K5203" s="103" t="str">
        <f>HYPERLINK("E:\PropInv\MF\Arlington\Washington Dr_715_Hampton Hills_Arlington_15435","Washington Dr_715_Hampton Hills_Arlington_15435" )</f>
        <v>Washington Dr_715_Hampton Hills_Arlington_15435</v>
      </c>
      <c r="L5203" s="104" t="s">
        <v>22253</v>
      </c>
      <c r="M5203" s="103" t="str">
        <f t="shared" si="408"/>
        <v>http://oconnordata.com/mlink/modules/profile/index.cfm?action=profile&amp;prop_id=15435</v>
      </c>
      <c r="N5203" s="1">
        <f t="shared" si="409"/>
        <v>15435</v>
      </c>
    </row>
    <row r="5204" spans="1:14" x14ac:dyDescent="0.3">
      <c r="A5204" s="1">
        <v>15436</v>
      </c>
      <c r="B5204" s="7" t="s">
        <v>7863</v>
      </c>
      <c r="C5204" s="12">
        <v>2014</v>
      </c>
      <c r="D5204" s="7" t="s">
        <v>7864</v>
      </c>
      <c r="E5204" s="13" t="s">
        <v>6555</v>
      </c>
      <c r="F5204" t="str">
        <f t="shared" si="405"/>
        <v>Remington</v>
      </c>
      <c r="G5204" t="str">
        <f t="shared" si="406"/>
        <v>Remington2014Arlington</v>
      </c>
      <c r="H5204" t="s">
        <v>36061</v>
      </c>
      <c r="I5204" t="s">
        <v>27483</v>
      </c>
      <c r="J5204" t="str">
        <f t="shared" si="407"/>
        <v>E:\PropInv\MF</v>
      </c>
      <c r="K5204" s="103" t="str">
        <f>HYPERLINK("E:\PropInv\MF\Arlington\Remington Dr_2014_Cimmarron Crossing_Arlington_15436","Remington Dr_2014_Cimmarron Crossing_Arlington_15436" )</f>
        <v>Remington Dr_2014_Cimmarron Crossing_Arlington_15436</v>
      </c>
      <c r="L5204" s="104" t="s">
        <v>22253</v>
      </c>
      <c r="M5204" s="103" t="str">
        <f t="shared" si="408"/>
        <v>http://oconnordata.com/mlink/modules/profile/index.cfm?action=profile&amp;prop_id=15436</v>
      </c>
      <c r="N5204" s="1">
        <f t="shared" si="409"/>
        <v>15436</v>
      </c>
    </row>
    <row r="5205" spans="1:14" x14ac:dyDescent="0.3">
      <c r="A5205" s="1">
        <v>15437</v>
      </c>
      <c r="B5205" s="7" t="s">
        <v>7865</v>
      </c>
      <c r="C5205" s="12">
        <v>905</v>
      </c>
      <c r="D5205" s="7" t="s">
        <v>7866</v>
      </c>
      <c r="E5205" s="13" t="s">
        <v>5781</v>
      </c>
      <c r="F5205" t="str">
        <f t="shared" si="405"/>
        <v>Ash</v>
      </c>
      <c r="G5205" t="str">
        <f t="shared" si="406"/>
        <v>Ash905Euless</v>
      </c>
      <c r="H5205" t="s">
        <v>36062</v>
      </c>
      <c r="I5205" t="s">
        <v>27484</v>
      </c>
      <c r="J5205" t="str">
        <f t="shared" si="407"/>
        <v>E:\PropInv\MF</v>
      </c>
      <c r="K5205" s="103" t="str">
        <f>HYPERLINK("E:\PropInv\MF\Euless\Ash Ln W_905_Aspen Oaks_Euless_15437","Ash Ln W_905_Aspen Oaks_Euless_15437" )</f>
        <v>Ash Ln W_905_Aspen Oaks_Euless_15437</v>
      </c>
      <c r="L5205" s="104" t="s">
        <v>22253</v>
      </c>
      <c r="M5205" s="103" t="str">
        <f t="shared" si="408"/>
        <v>http://oconnordata.com/mlink/modules/profile/index.cfm?action=profile&amp;prop_id=15437</v>
      </c>
      <c r="N5205" s="1">
        <f t="shared" si="409"/>
        <v>15437</v>
      </c>
    </row>
    <row r="5206" spans="1:14" x14ac:dyDescent="0.3">
      <c r="A5206" s="1">
        <v>15438</v>
      </c>
      <c r="B5206" s="7" t="s">
        <v>5981</v>
      </c>
      <c r="C5206" s="12">
        <v>6601</v>
      </c>
      <c r="D5206" s="7" t="s">
        <v>7867</v>
      </c>
      <c r="E5206" s="13" t="s">
        <v>5009</v>
      </c>
      <c r="F5206" t="str">
        <f t="shared" si="405"/>
        <v>Plano</v>
      </c>
      <c r="G5206" t="str">
        <f t="shared" si="406"/>
        <v>Plano6601Plano</v>
      </c>
      <c r="H5206" t="s">
        <v>36063</v>
      </c>
      <c r="I5206" t="s">
        <v>27485</v>
      </c>
      <c r="J5206" t="str">
        <f t="shared" si="407"/>
        <v>E:\PropInv\MF</v>
      </c>
      <c r="K5206" s="103" t="str">
        <f>HYPERLINK("E:\PropInv\MF\Plano\Plano Pkwy W_6601_Prestonwood Hills_Plano_15438","Plano Pkwy W_6601_Prestonwood Hills_Plano_15438" )</f>
        <v>Plano Pkwy W_6601_Prestonwood Hills_Plano_15438</v>
      </c>
      <c r="L5206" s="104" t="s">
        <v>22253</v>
      </c>
      <c r="M5206" s="103" t="str">
        <f t="shared" si="408"/>
        <v>http://oconnordata.com/mlink/modules/profile/index.cfm?action=profile&amp;prop_id=15438</v>
      </c>
      <c r="N5206" s="1">
        <f t="shared" si="409"/>
        <v>15438</v>
      </c>
    </row>
    <row r="5207" spans="1:14" x14ac:dyDescent="0.3">
      <c r="A5207" s="1">
        <v>15441</v>
      </c>
      <c r="B5207" s="7" t="s">
        <v>7868</v>
      </c>
      <c r="C5207" s="12">
        <v>2910</v>
      </c>
      <c r="D5207" s="7" t="s">
        <v>7869</v>
      </c>
      <c r="E5207" s="13" t="s">
        <v>6555</v>
      </c>
      <c r="F5207" t="str">
        <f t="shared" si="405"/>
        <v>Collins</v>
      </c>
      <c r="G5207" t="str">
        <f t="shared" si="406"/>
        <v>Collins2910Arlington</v>
      </c>
      <c r="H5207" t="s">
        <v>36064</v>
      </c>
      <c r="I5207" t="s">
        <v>27486</v>
      </c>
      <c r="J5207" t="str">
        <f t="shared" si="407"/>
        <v>E:\PropInv\MF</v>
      </c>
      <c r="K5207" s="103" t="str">
        <f>HYPERLINK("E:\PropInv\MF\Arlington\Collins S_2910_Aspen Woods_Arlington_15441","Collins S_2910_Aspen Woods_Arlington_15441" )</f>
        <v>Collins S_2910_Aspen Woods_Arlington_15441</v>
      </c>
      <c r="L5207" s="104" t="s">
        <v>22253</v>
      </c>
      <c r="M5207" s="103" t="str">
        <f t="shared" si="408"/>
        <v>http://oconnordata.com/mlink/modules/profile/index.cfm?action=profile&amp;prop_id=15441</v>
      </c>
      <c r="N5207" s="1">
        <f t="shared" si="409"/>
        <v>15441</v>
      </c>
    </row>
    <row r="5208" spans="1:14" x14ac:dyDescent="0.3">
      <c r="A5208" s="1">
        <v>15442</v>
      </c>
      <c r="B5208" s="7" t="s">
        <v>7870</v>
      </c>
      <c r="C5208" s="12">
        <v>3565</v>
      </c>
      <c r="D5208" s="7" t="s">
        <v>7805</v>
      </c>
      <c r="E5208" s="13" t="s">
        <v>5046</v>
      </c>
      <c r="F5208" t="str">
        <f t="shared" si="405"/>
        <v>Portland</v>
      </c>
      <c r="G5208" t="str">
        <f t="shared" si="406"/>
        <v>Portland3565Irving</v>
      </c>
      <c r="H5208" t="s">
        <v>36065</v>
      </c>
      <c r="I5208" t="s">
        <v>27487</v>
      </c>
      <c r="J5208" t="str">
        <f t="shared" si="407"/>
        <v>E:\PropInv\MF</v>
      </c>
      <c r="K5208" s="103" t="str">
        <f>HYPERLINK("E:\PropInv\MF\Irving\Portland St_3565_Garden Park_Irving_15442","Portland St_3565_Garden Park_Irving_15442" )</f>
        <v>Portland St_3565_Garden Park_Irving_15442</v>
      </c>
      <c r="L5208" s="104" t="s">
        <v>22253</v>
      </c>
      <c r="M5208" s="103" t="str">
        <f t="shared" si="408"/>
        <v>http://oconnordata.com/mlink/modules/profile/index.cfm?action=profile&amp;prop_id=15442</v>
      </c>
      <c r="N5208" s="1">
        <f t="shared" si="409"/>
        <v>15442</v>
      </c>
    </row>
    <row r="5209" spans="1:14" x14ac:dyDescent="0.3">
      <c r="A5209" s="1">
        <v>15443</v>
      </c>
      <c r="B5209" s="7" t="s">
        <v>7871</v>
      </c>
      <c r="C5209" s="12">
        <v>903</v>
      </c>
      <c r="D5209" s="7" t="s">
        <v>7872</v>
      </c>
      <c r="E5209" s="13" t="s">
        <v>6555</v>
      </c>
      <c r="F5209" t="str">
        <f t="shared" si="405"/>
        <v>Rd</v>
      </c>
      <c r="G5209" t="str">
        <f t="shared" si="406"/>
        <v>Rd903Arlington</v>
      </c>
      <c r="H5209" t="s">
        <v>36066</v>
      </c>
      <c r="I5209" t="s">
        <v>27488</v>
      </c>
      <c r="J5209" t="str">
        <f t="shared" si="407"/>
        <v>E:\PropInv\MF</v>
      </c>
      <c r="K5209" s="103" t="str">
        <f>HYPERLINK("E:\PropInv\MF\Arlington\Rd to Six Flags W_903_Clover Hill_Arlington_15443","Rd to Six Flags W_903_Clover Hill_Arlington_15443" )</f>
        <v>Rd to Six Flags W_903_Clover Hill_Arlington_15443</v>
      </c>
      <c r="L5209" s="104" t="s">
        <v>22253</v>
      </c>
      <c r="M5209" s="103" t="str">
        <f t="shared" si="408"/>
        <v>http://oconnordata.com/mlink/modules/profile/index.cfm?action=profile&amp;prop_id=15443</v>
      </c>
      <c r="N5209" s="1">
        <f t="shared" si="409"/>
        <v>15443</v>
      </c>
    </row>
    <row r="5210" spans="1:14" x14ac:dyDescent="0.3">
      <c r="A5210" s="1">
        <v>15444</v>
      </c>
      <c r="B5210" s="7" t="s">
        <v>7696</v>
      </c>
      <c r="C5210" s="12">
        <v>2656</v>
      </c>
      <c r="D5210" s="7" t="s">
        <v>7873</v>
      </c>
      <c r="E5210" s="13" t="s">
        <v>5046</v>
      </c>
      <c r="F5210" t="str">
        <f t="shared" si="405"/>
        <v>Grauwyler</v>
      </c>
      <c r="G5210" t="str">
        <f t="shared" si="406"/>
        <v>Grauwyler2656Irving</v>
      </c>
      <c r="H5210" t="s">
        <v>36067</v>
      </c>
      <c r="I5210" t="s">
        <v>27489</v>
      </c>
      <c r="J5210" t="str">
        <f t="shared" si="407"/>
        <v>E:\PropInv\MF</v>
      </c>
      <c r="K5210" s="103" t="str">
        <f>HYPERLINK("E:\PropInv\MF\Irving\Grauwyler W_2656_Garden Plaza_Irving_15444","Grauwyler W_2656_Garden Plaza_Irving_15444" )</f>
        <v>Grauwyler W_2656_Garden Plaza_Irving_15444</v>
      </c>
      <c r="L5210" s="104" t="s">
        <v>22253</v>
      </c>
      <c r="M5210" s="103" t="str">
        <f t="shared" si="408"/>
        <v>http://oconnordata.com/mlink/modules/profile/index.cfm?action=profile&amp;prop_id=15444</v>
      </c>
      <c r="N5210" s="1">
        <f t="shared" si="409"/>
        <v>15444</v>
      </c>
    </row>
    <row r="5211" spans="1:14" x14ac:dyDescent="0.3">
      <c r="A5211" s="1">
        <v>15445</v>
      </c>
      <c r="B5211" s="7" t="s">
        <v>6732</v>
      </c>
      <c r="C5211" s="12">
        <v>5201</v>
      </c>
      <c r="D5211" s="7" t="s">
        <v>7874</v>
      </c>
      <c r="E5211" s="13" t="s">
        <v>6581</v>
      </c>
      <c r="F5211" t="str">
        <f t="shared" si="405"/>
        <v>Springlake</v>
      </c>
      <c r="G5211" t="str">
        <f t="shared" si="406"/>
        <v>Springlake5201Haltom City</v>
      </c>
      <c r="H5211" t="s">
        <v>36068</v>
      </c>
      <c r="I5211" t="s">
        <v>27490</v>
      </c>
      <c r="J5211" t="str">
        <f t="shared" si="407"/>
        <v>E:\PropInv\MF</v>
      </c>
      <c r="K5211" s="103" t="str">
        <f>HYPERLINK("E:\PropInv\MF\Haltom City\Springlake Pkwy_5201_Club at Springlake_Haltom City_15445","Springlake Pkwy_5201_Club at Springlake_Haltom City_15445" )</f>
        <v>Springlake Pkwy_5201_Club at Springlake_Haltom City_15445</v>
      </c>
      <c r="L5211" s="104" t="s">
        <v>22253</v>
      </c>
      <c r="M5211" s="103" t="str">
        <f t="shared" si="408"/>
        <v>http://oconnordata.com/mlink/modules/profile/index.cfm?action=profile&amp;prop_id=15445</v>
      </c>
      <c r="N5211" s="1">
        <f t="shared" si="409"/>
        <v>15445</v>
      </c>
    </row>
    <row r="5212" spans="1:14" x14ac:dyDescent="0.3">
      <c r="A5212" s="1">
        <v>15447</v>
      </c>
      <c r="B5212" s="7" t="s">
        <v>7875</v>
      </c>
      <c r="C5212" s="12">
        <v>1021</v>
      </c>
      <c r="D5212" s="7" t="s">
        <v>7876</v>
      </c>
      <c r="E5212" s="13" t="s">
        <v>7790</v>
      </c>
      <c r="F5212" t="str">
        <f t="shared" si="405"/>
        <v>Timberoaks</v>
      </c>
      <c r="G5212" t="str">
        <f t="shared" si="406"/>
        <v>Timberoaks1021Azle</v>
      </c>
      <c r="H5212" t="s">
        <v>36069</v>
      </c>
      <c r="I5212" t="s">
        <v>27491</v>
      </c>
      <c r="J5212" t="str">
        <f t="shared" si="407"/>
        <v>E:\PropInv\MF</v>
      </c>
      <c r="K5212" s="103" t="str">
        <f>HYPERLINK("E:\PropInv\MF\Azle\Timberoaks Dr_1021_Azlewood_Azle_15447","Timberoaks Dr_1021_Azlewood_Azle_15447" )</f>
        <v>Timberoaks Dr_1021_Azlewood_Azle_15447</v>
      </c>
      <c r="L5212" s="104" t="s">
        <v>22253</v>
      </c>
      <c r="M5212" s="103" t="str">
        <f t="shared" si="408"/>
        <v>http://oconnordata.com/mlink/modules/profile/index.cfm?action=profile&amp;prop_id=15447</v>
      </c>
      <c r="N5212" s="1">
        <f t="shared" si="409"/>
        <v>15447</v>
      </c>
    </row>
    <row r="5213" spans="1:14" x14ac:dyDescent="0.3">
      <c r="A5213" s="1">
        <v>15448</v>
      </c>
      <c r="B5213" s="7" t="s">
        <v>5223</v>
      </c>
      <c r="C5213" s="12">
        <v>901</v>
      </c>
      <c r="D5213" s="7" t="s">
        <v>1619</v>
      </c>
      <c r="E5213" s="13" t="s">
        <v>5088</v>
      </c>
      <c r="F5213" t="str">
        <f t="shared" si="405"/>
        <v>80</v>
      </c>
      <c r="G5213" t="str">
        <f t="shared" si="406"/>
        <v>80901Mesquite</v>
      </c>
      <c r="H5213" t="s">
        <v>36070</v>
      </c>
      <c r="I5213" t="s">
        <v>27492</v>
      </c>
      <c r="J5213" t="str">
        <f t="shared" si="407"/>
        <v>E:\PropInv\MF</v>
      </c>
      <c r="K5213" s="103" t="str">
        <f>HYPERLINK("E:\PropInv\MF\Mesquite\80 Hwy E_901_Mission Ranch_Mesquite_15448","80 Hwy E_901_Mission Ranch_Mesquite_15448" )</f>
        <v>80 Hwy E_901_Mission Ranch_Mesquite_15448</v>
      </c>
      <c r="L5213" s="104" t="s">
        <v>22253</v>
      </c>
      <c r="M5213" s="103" t="str">
        <f t="shared" si="408"/>
        <v>http://oconnordata.com/mlink/modules/profile/index.cfm?action=profile&amp;prop_id=15448</v>
      </c>
      <c r="N5213" s="1">
        <f t="shared" si="409"/>
        <v>15448</v>
      </c>
    </row>
    <row r="5214" spans="1:14" x14ac:dyDescent="0.3">
      <c r="A5214" s="1">
        <v>15449</v>
      </c>
      <c r="B5214" s="7" t="s">
        <v>7877</v>
      </c>
      <c r="C5214" s="12">
        <v>1615</v>
      </c>
      <c r="D5214" s="7" t="s">
        <v>3872</v>
      </c>
      <c r="E5214" s="13" t="s">
        <v>6555</v>
      </c>
      <c r="F5214" t="str">
        <f t="shared" si="405"/>
        <v>Stoneleigh</v>
      </c>
      <c r="G5214" t="str">
        <f t="shared" si="406"/>
        <v>Stoneleigh1615Arlington</v>
      </c>
      <c r="H5214" t="s">
        <v>36071</v>
      </c>
      <c r="I5214" t="s">
        <v>27493</v>
      </c>
      <c r="J5214" t="str">
        <f t="shared" si="407"/>
        <v>E:\PropInv\MF</v>
      </c>
      <c r="K5214" s="103" t="str">
        <f>HYPERLINK("E:\PropInv\MF\Arlington\Stoneleigh Ct_1615_Cobblestone_Arlington_15449","Stoneleigh Ct_1615_Cobblestone_Arlington_15449" )</f>
        <v>Stoneleigh Ct_1615_Cobblestone_Arlington_15449</v>
      </c>
      <c r="L5214" s="104" t="s">
        <v>22253</v>
      </c>
      <c r="M5214" s="103" t="str">
        <f t="shared" si="408"/>
        <v>http://oconnordata.com/mlink/modules/profile/index.cfm?action=profile&amp;prop_id=15449</v>
      </c>
      <c r="N5214" s="1">
        <f t="shared" si="409"/>
        <v>15449</v>
      </c>
    </row>
    <row r="5215" spans="1:14" x14ac:dyDescent="0.3">
      <c r="A5215" s="1">
        <v>15450</v>
      </c>
      <c r="B5215" s="7" t="s">
        <v>5976</v>
      </c>
      <c r="C5215" s="12">
        <v>4049</v>
      </c>
      <c r="D5215" s="7" t="s">
        <v>7878</v>
      </c>
      <c r="E5215" s="13" t="s">
        <v>5088</v>
      </c>
      <c r="F5215" t="str">
        <f t="shared" si="405"/>
        <v>Samuell</v>
      </c>
      <c r="G5215" t="str">
        <f t="shared" si="406"/>
        <v>Samuell4049Mesquite</v>
      </c>
      <c r="H5215" t="s">
        <v>36072</v>
      </c>
      <c r="I5215" t="s">
        <v>27494</v>
      </c>
      <c r="J5215" t="str">
        <f t="shared" si="407"/>
        <v>E:\PropInv\MF</v>
      </c>
      <c r="K5215" s="103" t="str">
        <f>HYPERLINK("E:\PropInv\MF\Mesquite\Samuell Blvd_4049_Tripoint Square_Mesquite_15450","Samuell Blvd_4049_Tripoint Square_Mesquite_15450" )</f>
        <v>Samuell Blvd_4049_Tripoint Square_Mesquite_15450</v>
      </c>
      <c r="L5215" s="104" t="s">
        <v>22253</v>
      </c>
      <c r="M5215" s="103" t="str">
        <f t="shared" si="408"/>
        <v>http://oconnordata.com/mlink/modules/profile/index.cfm?action=profile&amp;prop_id=15450</v>
      </c>
      <c r="N5215" s="1">
        <f t="shared" si="409"/>
        <v>15450</v>
      </c>
    </row>
    <row r="5216" spans="1:14" x14ac:dyDescent="0.3">
      <c r="A5216" s="1">
        <v>15452</v>
      </c>
      <c r="B5216" s="7" t="s">
        <v>7693</v>
      </c>
      <c r="C5216" s="12">
        <v>1000</v>
      </c>
      <c r="D5216" s="7" t="s">
        <v>7879</v>
      </c>
      <c r="E5216" s="13" t="s">
        <v>6555</v>
      </c>
      <c r="F5216" t="str">
        <f t="shared" si="405"/>
        <v>Peach</v>
      </c>
      <c r="G5216" t="str">
        <f t="shared" si="406"/>
        <v>Peach1000Arlington</v>
      </c>
      <c r="H5216" t="s">
        <v>36073</v>
      </c>
      <c r="I5216" t="s">
        <v>27495</v>
      </c>
      <c r="J5216" t="str">
        <f t="shared" si="407"/>
        <v>E:\PropInv\MF</v>
      </c>
      <c r="K5216" s="103" t="str">
        <f>HYPERLINK("E:\PropInv\MF\Arlington\Peach St_1000_Creekside I &amp; II_Arlington_15452","Peach St_1000_Creekside I &amp; II_Arlington_15452" )</f>
        <v>Peach St_1000_Creekside I &amp; II_Arlington_15452</v>
      </c>
      <c r="L5216" s="104" t="s">
        <v>22253</v>
      </c>
      <c r="M5216" s="103" t="str">
        <f t="shared" si="408"/>
        <v>http://oconnordata.com/mlink/modules/profile/index.cfm?action=profile&amp;prop_id=15452</v>
      </c>
      <c r="N5216" s="1">
        <f t="shared" si="409"/>
        <v>15452</v>
      </c>
    </row>
    <row r="5217" spans="1:14" x14ac:dyDescent="0.3">
      <c r="A5217" s="1">
        <v>15453</v>
      </c>
      <c r="B5217" s="7" t="s">
        <v>7880</v>
      </c>
      <c r="C5217" s="12">
        <v>904</v>
      </c>
      <c r="D5217" s="7" t="s">
        <v>7881</v>
      </c>
      <c r="E5217" s="13" t="s">
        <v>6555</v>
      </c>
      <c r="F5217" t="str">
        <f t="shared" si="405"/>
        <v>Johnson</v>
      </c>
      <c r="G5217" t="str">
        <f t="shared" si="406"/>
        <v>Johnson904Arlington</v>
      </c>
      <c r="H5217" t="s">
        <v>36074</v>
      </c>
      <c r="I5217" t="s">
        <v>27496</v>
      </c>
      <c r="J5217" t="str">
        <f t="shared" si="407"/>
        <v>E:\PropInv\MF</v>
      </c>
      <c r="K5217" s="103" t="str">
        <f>HYPERLINK("E:\PropInv\MF\Arlington\Johnson_904_Collins Court_Arlington_15453","Johnson_904_Collins Court_Arlington_15453" )</f>
        <v>Johnson_904_Collins Court_Arlington_15453</v>
      </c>
      <c r="L5217" s="104" t="s">
        <v>22253</v>
      </c>
      <c r="M5217" s="103" t="str">
        <f t="shared" si="408"/>
        <v>http://oconnordata.com/mlink/modules/profile/index.cfm?action=profile&amp;prop_id=15453</v>
      </c>
      <c r="N5217" s="1">
        <f t="shared" si="409"/>
        <v>15453</v>
      </c>
    </row>
    <row r="5218" spans="1:14" x14ac:dyDescent="0.3">
      <c r="A5218" s="1">
        <v>15454</v>
      </c>
      <c r="B5218" s="7" t="s">
        <v>7513</v>
      </c>
      <c r="C5218" s="12">
        <v>1415</v>
      </c>
      <c r="D5218" s="7" t="s">
        <v>7882</v>
      </c>
      <c r="E5218" s="13" t="s">
        <v>5046</v>
      </c>
      <c r="F5218" t="str">
        <f t="shared" si="405"/>
        <v>Airport</v>
      </c>
      <c r="G5218" t="str">
        <f t="shared" si="406"/>
        <v>Airport1415Irving</v>
      </c>
      <c r="H5218" t="s">
        <v>36075</v>
      </c>
      <c r="I5218" t="s">
        <v>27497</v>
      </c>
      <c r="J5218" t="str">
        <f t="shared" si="407"/>
        <v>E:\PropInv\MF</v>
      </c>
      <c r="K5218" s="103" t="str">
        <f>HYPERLINK("E:\PropInv\MF\Irving\Airport Fwy W_1415_Embassy_Irving_15454","Airport Fwy W_1415_Embassy_Irving_15454" )</f>
        <v>Airport Fwy W_1415_Embassy_Irving_15454</v>
      </c>
      <c r="L5218" s="104" t="s">
        <v>22253</v>
      </c>
      <c r="M5218" s="103" t="str">
        <f t="shared" si="408"/>
        <v>http://oconnordata.com/mlink/modules/profile/index.cfm?action=profile&amp;prop_id=15454</v>
      </c>
      <c r="N5218" s="1">
        <f t="shared" si="409"/>
        <v>15454</v>
      </c>
    </row>
    <row r="5219" spans="1:14" x14ac:dyDescent="0.3">
      <c r="A5219" s="1">
        <v>15455</v>
      </c>
      <c r="B5219" s="7" t="s">
        <v>7883</v>
      </c>
      <c r="C5219" s="12">
        <v>723</v>
      </c>
      <c r="D5219" s="7" t="s">
        <v>7884</v>
      </c>
      <c r="E5219" s="13" t="s">
        <v>6555</v>
      </c>
      <c r="F5219" t="str">
        <f t="shared" si="405"/>
        <v>Garden</v>
      </c>
      <c r="G5219" t="str">
        <f t="shared" si="406"/>
        <v>Garden723Arlington</v>
      </c>
      <c r="H5219" t="s">
        <v>36076</v>
      </c>
      <c r="I5219" t="s">
        <v>27498</v>
      </c>
      <c r="J5219" t="str">
        <f t="shared" si="407"/>
        <v>E:\PropInv\MF</v>
      </c>
      <c r="K5219" s="103" t="str">
        <f>HYPERLINK("E:\PropInv\MF\Arlington\Garden Shadow Ln_723_Rogers Landing_Arlington_15455","Garden Shadow Ln_723_Rogers Landing_Arlington_15455" )</f>
        <v>Garden Shadow Ln_723_Rogers Landing_Arlington_15455</v>
      </c>
      <c r="L5219" s="104" t="s">
        <v>22253</v>
      </c>
      <c r="M5219" s="103" t="str">
        <f t="shared" si="408"/>
        <v>http://oconnordata.com/mlink/modules/profile/index.cfm?action=profile&amp;prop_id=15455</v>
      </c>
      <c r="N5219" s="1">
        <f t="shared" si="409"/>
        <v>15455</v>
      </c>
    </row>
    <row r="5220" spans="1:14" x14ac:dyDescent="0.3">
      <c r="A5220" s="1">
        <v>15457</v>
      </c>
      <c r="B5220" s="7" t="s">
        <v>5386</v>
      </c>
      <c r="C5220" s="12">
        <v>15550</v>
      </c>
      <c r="D5220" s="7" t="s">
        <v>7885</v>
      </c>
      <c r="E5220" s="13" t="s">
        <v>4996</v>
      </c>
      <c r="F5220" t="str">
        <f t="shared" si="405"/>
        <v>Knoll</v>
      </c>
      <c r="G5220" t="str">
        <f t="shared" si="406"/>
        <v>Knoll15550Dallas</v>
      </c>
      <c r="H5220" t="s">
        <v>36077</v>
      </c>
      <c r="I5220" t="s">
        <v>27499</v>
      </c>
      <c r="J5220" t="str">
        <f t="shared" si="407"/>
        <v>E:\PropInv\MF</v>
      </c>
      <c r="K5220" s="103" t="str">
        <f>HYPERLINK("E:\PropInv\MF\Dallas\Knoll Trl_15550_Villas of Bent Trails_Dallas_15457","Knoll Trl_15550_Villas of Bent Trails_Dallas_15457" )</f>
        <v>Knoll Trl_15550_Villas of Bent Trails_Dallas_15457</v>
      </c>
      <c r="L5220" s="104" t="s">
        <v>22253</v>
      </c>
      <c r="M5220" s="103" t="str">
        <f t="shared" si="408"/>
        <v>http://oconnordata.com/mlink/modules/profile/index.cfm?action=profile&amp;prop_id=15457</v>
      </c>
      <c r="N5220" s="1">
        <f t="shared" si="409"/>
        <v>15457</v>
      </c>
    </row>
    <row r="5221" spans="1:14" x14ac:dyDescent="0.3">
      <c r="A5221" s="1">
        <v>15458</v>
      </c>
      <c r="B5221" s="7" t="s">
        <v>7886</v>
      </c>
      <c r="C5221" s="12">
        <v>4301</v>
      </c>
      <c r="D5221" s="7" t="s">
        <v>1223</v>
      </c>
      <c r="E5221" s="13" t="s">
        <v>5014</v>
      </c>
      <c r="F5221" t="str">
        <f t="shared" si="405"/>
        <v>Weber</v>
      </c>
      <c r="G5221" t="str">
        <f t="shared" si="406"/>
        <v>Weber4301Fort Worth</v>
      </c>
      <c r="H5221" t="s">
        <v>36078</v>
      </c>
      <c r="I5221" t="s">
        <v>27500</v>
      </c>
      <c r="J5221" t="str">
        <f t="shared" si="407"/>
        <v>E:\PropInv\MF</v>
      </c>
      <c r="K5221" s="103" t="str">
        <f>HYPERLINK("E:\PropInv\MF\Fort Worth\Weber St_4301_Northwood_Fort Worth_15458","Weber St_4301_Northwood_Fort Worth_15458" )</f>
        <v>Weber St_4301_Northwood_Fort Worth_15458</v>
      </c>
      <c r="L5221" s="104" t="s">
        <v>22253</v>
      </c>
      <c r="M5221" s="103" t="str">
        <f t="shared" si="408"/>
        <v>http://oconnordata.com/mlink/modules/profile/index.cfm?action=profile&amp;prop_id=15458</v>
      </c>
      <c r="N5221" s="1">
        <f t="shared" si="409"/>
        <v>15458</v>
      </c>
    </row>
    <row r="5222" spans="1:14" x14ac:dyDescent="0.3">
      <c r="A5222" s="1">
        <v>15459</v>
      </c>
      <c r="B5222" s="7" t="s">
        <v>7887</v>
      </c>
      <c r="C5222" s="12">
        <v>500</v>
      </c>
      <c r="D5222" s="7" t="s">
        <v>7888</v>
      </c>
      <c r="E5222" s="13" t="s">
        <v>6555</v>
      </c>
      <c r="F5222" t="str">
        <f t="shared" si="405"/>
        <v>Tish</v>
      </c>
      <c r="G5222" t="str">
        <f t="shared" si="406"/>
        <v>Tish500Arlington</v>
      </c>
      <c r="H5222" t="s">
        <v>36079</v>
      </c>
      <c r="I5222" t="s">
        <v>27501</v>
      </c>
      <c r="J5222" t="str">
        <f t="shared" si="407"/>
        <v>E:\PropInv\MF</v>
      </c>
      <c r="K5222" s="103" t="str">
        <f>HYPERLINK("E:\PropInv\MF\Arlington\Tish Cir_500_Northwood Place_Arlington_15459","Tish Cir_500_Northwood Place_Arlington_15459" )</f>
        <v>Tish Cir_500_Northwood Place_Arlington_15459</v>
      </c>
      <c r="L5222" s="104" t="s">
        <v>22253</v>
      </c>
      <c r="M5222" s="103" t="str">
        <f t="shared" si="408"/>
        <v>http://oconnordata.com/mlink/modules/profile/index.cfm?action=profile&amp;prop_id=15459</v>
      </c>
      <c r="N5222" s="1">
        <f t="shared" si="409"/>
        <v>15459</v>
      </c>
    </row>
    <row r="5223" spans="1:14" x14ac:dyDescent="0.3">
      <c r="A5223" s="1">
        <v>15460</v>
      </c>
      <c r="B5223" s="7" t="s">
        <v>7889</v>
      </c>
      <c r="C5223" s="12">
        <v>904</v>
      </c>
      <c r="D5223" s="7" t="s">
        <v>4615</v>
      </c>
      <c r="E5223" s="13" t="s">
        <v>6555</v>
      </c>
      <c r="F5223" t="str">
        <f t="shared" si="405"/>
        <v>Johnson</v>
      </c>
      <c r="G5223" t="str">
        <f t="shared" si="406"/>
        <v>Johnson904Arlington</v>
      </c>
      <c r="H5223" t="s">
        <v>36080</v>
      </c>
      <c r="I5223" t="s">
        <v>27502</v>
      </c>
      <c r="J5223" t="str">
        <f t="shared" si="407"/>
        <v>E:\PropInv\MF</v>
      </c>
      <c r="K5223" s="103" t="str">
        <f>HYPERLINK("E:\PropInv\MF\Arlington\Johnson Ave_904_Rosewood_Arlington_15460","Johnson Ave_904_Rosewood_Arlington_15460" )</f>
        <v>Johnson Ave_904_Rosewood_Arlington_15460</v>
      </c>
      <c r="L5223" s="104" t="s">
        <v>22253</v>
      </c>
      <c r="M5223" s="103" t="str">
        <f t="shared" si="408"/>
        <v>http://oconnordata.com/mlink/modules/profile/index.cfm?action=profile&amp;prop_id=15460</v>
      </c>
      <c r="N5223" s="1">
        <f t="shared" si="409"/>
        <v>15460</v>
      </c>
    </row>
    <row r="5224" spans="1:14" x14ac:dyDescent="0.3">
      <c r="A5224" s="1">
        <v>15463</v>
      </c>
      <c r="B5224" s="7" t="s">
        <v>7890</v>
      </c>
      <c r="C5224" s="12">
        <v>717</v>
      </c>
      <c r="D5224" s="7" t="s">
        <v>7891</v>
      </c>
      <c r="E5224" s="25" t="s">
        <v>5076</v>
      </c>
      <c r="F5224" t="str">
        <f t="shared" si="405"/>
        <v>Great</v>
      </c>
      <c r="G5224" t="str">
        <f t="shared" si="406"/>
        <v>Great717Grand Prairie</v>
      </c>
      <c r="H5224" t="s">
        <v>36081</v>
      </c>
      <c r="I5224" t="s">
        <v>27503</v>
      </c>
      <c r="J5224" t="str">
        <f t="shared" si="407"/>
        <v>E:\PropInv\MF</v>
      </c>
      <c r="K5224" s="103" t="str">
        <f>HYPERLINK("E:\PropInv\MF\Grand Prairie\Great SW Pkwy_717_Parkway Villas_Grand Prairie_15463","Great SW Pkwy_717_Parkway Villas_Grand Prairie_15463" )</f>
        <v>Great SW Pkwy_717_Parkway Villas_Grand Prairie_15463</v>
      </c>
      <c r="L5224" s="104" t="s">
        <v>22253</v>
      </c>
      <c r="M5224" s="103" t="str">
        <f t="shared" si="408"/>
        <v>http://oconnordata.com/mlink/modules/profile/index.cfm?action=profile&amp;prop_id=15463</v>
      </c>
      <c r="N5224" s="1">
        <f t="shared" si="409"/>
        <v>15463</v>
      </c>
    </row>
    <row r="5225" spans="1:14" x14ac:dyDescent="0.3">
      <c r="A5225" s="1">
        <v>15464</v>
      </c>
      <c r="B5225" s="7" t="s">
        <v>7892</v>
      </c>
      <c r="C5225" s="12">
        <v>306</v>
      </c>
      <c r="D5225" s="7" t="s">
        <v>7893</v>
      </c>
      <c r="E5225" s="13" t="s">
        <v>5781</v>
      </c>
      <c r="F5225" t="str">
        <f t="shared" si="405"/>
        <v>Martha</v>
      </c>
      <c r="G5225" t="str">
        <f t="shared" si="406"/>
        <v>Martha306Euless</v>
      </c>
      <c r="H5225" t="s">
        <v>36082</v>
      </c>
      <c r="I5225" t="s">
        <v>27504</v>
      </c>
      <c r="J5225" t="str">
        <f t="shared" si="407"/>
        <v>E:\PropInv\MF</v>
      </c>
      <c r="K5225" s="103" t="str">
        <f>HYPERLINK("E:\PropInv\MF\Euless\Martha St_306_Royal Terrace_Euless_15464","Martha St_306_Royal Terrace_Euless_15464" )</f>
        <v>Martha St_306_Royal Terrace_Euless_15464</v>
      </c>
      <c r="L5225" s="104" t="s">
        <v>22253</v>
      </c>
      <c r="M5225" s="103" t="str">
        <f t="shared" si="408"/>
        <v>http://oconnordata.com/mlink/modules/profile/index.cfm?action=profile&amp;prop_id=15464</v>
      </c>
      <c r="N5225" s="1">
        <f t="shared" si="409"/>
        <v>15464</v>
      </c>
    </row>
    <row r="5226" spans="1:14" x14ac:dyDescent="0.3">
      <c r="A5226" s="1">
        <v>15465</v>
      </c>
      <c r="B5226" s="7" t="s">
        <v>1328</v>
      </c>
      <c r="C5226" s="12">
        <v>507</v>
      </c>
      <c r="D5226" s="7" t="s">
        <v>7894</v>
      </c>
      <c r="E5226" s="13" t="s">
        <v>6555</v>
      </c>
      <c r="F5226" t="str">
        <f t="shared" si="405"/>
        <v>Sandpiper</v>
      </c>
      <c r="G5226" t="str">
        <f t="shared" si="406"/>
        <v>Sandpiper507Arlington</v>
      </c>
      <c r="H5226" t="s">
        <v>36083</v>
      </c>
      <c r="I5226" t="s">
        <v>27505</v>
      </c>
      <c r="J5226" t="str">
        <f t="shared" si="407"/>
        <v>E:\PropInv\MF</v>
      </c>
      <c r="K5226" s="103" t="str">
        <f>HYPERLINK("E:\PropInv\MF\Arlington\Sandpiper_507_Norwood Village_Arlington_15465","Sandpiper_507_Norwood Village_Arlington_15465" )</f>
        <v>Sandpiper_507_Norwood Village_Arlington_15465</v>
      </c>
      <c r="L5226" s="104" t="s">
        <v>22253</v>
      </c>
      <c r="M5226" s="103" t="str">
        <f t="shared" si="408"/>
        <v>http://oconnordata.com/mlink/modules/profile/index.cfm?action=profile&amp;prop_id=15465</v>
      </c>
      <c r="N5226" s="1">
        <f t="shared" si="409"/>
        <v>15465</v>
      </c>
    </row>
    <row r="5227" spans="1:14" x14ac:dyDescent="0.3">
      <c r="A5227" s="1">
        <v>15466</v>
      </c>
      <c r="B5227" s="7" t="s">
        <v>7895</v>
      </c>
      <c r="C5227" s="12">
        <v>1201</v>
      </c>
      <c r="D5227" s="7" t="s">
        <v>7896</v>
      </c>
      <c r="E5227" s="13" t="s">
        <v>5009</v>
      </c>
      <c r="F5227" t="str">
        <f t="shared" si="405"/>
        <v>Medical</v>
      </c>
      <c r="G5227" t="str">
        <f t="shared" si="406"/>
        <v>Medical1201Plano</v>
      </c>
      <c r="H5227" t="s">
        <v>36084</v>
      </c>
      <c r="I5227" t="s">
        <v>27506</v>
      </c>
      <c r="J5227" t="str">
        <f t="shared" si="407"/>
        <v>E:\PropInv\MF</v>
      </c>
      <c r="K5227" s="103" t="str">
        <f>HYPERLINK("E:\PropInv\MF\Plano\Medical Ave_1201_Villas of Mission Bend_Plano_15466","Medical Ave_1201_Villas of Mission Bend_Plano_15466" )</f>
        <v>Medical Ave_1201_Villas of Mission Bend_Plano_15466</v>
      </c>
      <c r="L5227" s="104" t="s">
        <v>22253</v>
      </c>
      <c r="M5227" s="103" t="str">
        <f t="shared" si="408"/>
        <v>http://oconnordata.com/mlink/modules/profile/index.cfm?action=profile&amp;prop_id=15466</v>
      </c>
      <c r="N5227" s="1">
        <f t="shared" si="409"/>
        <v>15466</v>
      </c>
    </row>
    <row r="5228" spans="1:14" x14ac:dyDescent="0.3">
      <c r="A5228" s="1">
        <v>15467</v>
      </c>
      <c r="B5228" s="7" t="s">
        <v>7897</v>
      </c>
      <c r="C5228" s="12">
        <v>1519</v>
      </c>
      <c r="D5228" s="7" t="s">
        <v>7897</v>
      </c>
      <c r="E5228" s="13" t="s">
        <v>6555</v>
      </c>
      <c r="F5228" t="str">
        <f t="shared" si="405"/>
        <v>Running</v>
      </c>
      <c r="G5228" t="str">
        <f t="shared" si="406"/>
        <v>Running1519Arlington</v>
      </c>
      <c r="H5228" t="s">
        <v>36085</v>
      </c>
      <c r="I5228" t="s">
        <v>27507</v>
      </c>
      <c r="J5228" t="str">
        <f t="shared" si="407"/>
        <v>E:\PropInv\MF</v>
      </c>
      <c r="K5228" s="103" t="str">
        <f>HYPERLINK("E:\PropInv\MF\Arlington\Running Brook_1519_Running Brook_Arlington_15467","Running Brook_1519_Running Brook_Arlington_15467" )</f>
        <v>Running Brook_1519_Running Brook_Arlington_15467</v>
      </c>
      <c r="L5228" s="104" t="s">
        <v>22253</v>
      </c>
      <c r="M5228" s="103" t="str">
        <f t="shared" si="408"/>
        <v>http://oconnordata.com/mlink/modules/profile/index.cfm?action=profile&amp;prop_id=15467</v>
      </c>
      <c r="N5228" s="1">
        <f t="shared" si="409"/>
        <v>15467</v>
      </c>
    </row>
    <row r="5229" spans="1:14" x14ac:dyDescent="0.3">
      <c r="A5229" s="1">
        <v>15468</v>
      </c>
      <c r="B5229" s="7" t="s">
        <v>3983</v>
      </c>
      <c r="C5229" s="12">
        <v>6900</v>
      </c>
      <c r="D5229" s="7" t="s">
        <v>7898</v>
      </c>
      <c r="E5229" s="13" t="s">
        <v>5009</v>
      </c>
      <c r="F5229" t="str">
        <f t="shared" si="405"/>
        <v>Preston</v>
      </c>
      <c r="G5229" t="str">
        <f t="shared" si="406"/>
        <v>Preston6900Plano</v>
      </c>
      <c r="H5229" t="s">
        <v>36086</v>
      </c>
      <c r="I5229" t="s">
        <v>27508</v>
      </c>
      <c r="J5229" t="str">
        <f t="shared" si="407"/>
        <v>E:\PropInv\MF</v>
      </c>
      <c r="K5229" s="103" t="str">
        <f>HYPERLINK("E:\PropInv\MF\Plano\Preston Rd_6900_The Villas of Preston Creek_Plano_15468","Preston Rd_6900_The Villas of Preston Creek_Plano_15468" )</f>
        <v>Preston Rd_6900_The Villas of Preston Creek_Plano_15468</v>
      </c>
      <c r="L5229" s="104" t="s">
        <v>22253</v>
      </c>
      <c r="M5229" s="103" t="str">
        <f t="shared" si="408"/>
        <v>http://oconnordata.com/mlink/modules/profile/index.cfm?action=profile&amp;prop_id=15468</v>
      </c>
      <c r="N5229" s="1">
        <f t="shared" si="409"/>
        <v>15468</v>
      </c>
    </row>
    <row r="5230" spans="1:14" x14ac:dyDescent="0.3">
      <c r="A5230" s="1">
        <v>15469</v>
      </c>
      <c r="B5230" s="7" t="s">
        <v>5277</v>
      </c>
      <c r="C5230" s="12">
        <v>7421</v>
      </c>
      <c r="D5230" s="7" t="s">
        <v>7899</v>
      </c>
      <c r="E5230" s="13" t="s">
        <v>4996</v>
      </c>
      <c r="F5230" t="str">
        <f t="shared" si="405"/>
        <v>Frankford</v>
      </c>
      <c r="G5230" t="str">
        <f t="shared" si="406"/>
        <v>Frankford7421Dallas</v>
      </c>
      <c r="H5230" t="s">
        <v>36087</v>
      </c>
      <c r="I5230" t="s">
        <v>27509</v>
      </c>
      <c r="J5230" t="str">
        <f t="shared" si="407"/>
        <v>E:\PropInv\MF</v>
      </c>
      <c r="K5230" s="103" t="str">
        <f>HYPERLINK("E:\PropInv\MF\Dallas\Frankford_7421_AMLI at Frankford_Dallas_15469","Frankford_7421_AMLI at Frankford_Dallas_15469" )</f>
        <v>Frankford_7421_AMLI at Frankford_Dallas_15469</v>
      </c>
      <c r="L5230" s="104" t="s">
        <v>22253</v>
      </c>
      <c r="M5230" s="103" t="str">
        <f t="shared" si="408"/>
        <v>http://oconnordata.com/mlink/modules/profile/index.cfm?action=profile&amp;prop_id=15469</v>
      </c>
      <c r="N5230" s="1">
        <f t="shared" si="409"/>
        <v>15469</v>
      </c>
    </row>
    <row r="5231" spans="1:14" x14ac:dyDescent="0.3">
      <c r="A5231" s="1">
        <v>15470</v>
      </c>
      <c r="B5231" s="7" t="s">
        <v>7900</v>
      </c>
      <c r="C5231" s="12">
        <v>6301</v>
      </c>
      <c r="D5231" s="7" t="s">
        <v>7901</v>
      </c>
      <c r="E5231" s="13" t="s">
        <v>5009</v>
      </c>
      <c r="F5231" t="str">
        <f t="shared" si="405"/>
        <v>Stonewood</v>
      </c>
      <c r="G5231" t="str">
        <f t="shared" si="406"/>
        <v>Stonewood6301Plano</v>
      </c>
      <c r="H5231" t="s">
        <v>36088</v>
      </c>
      <c r="I5231" t="s">
        <v>27510</v>
      </c>
      <c r="J5231" t="str">
        <f t="shared" si="407"/>
        <v>E:\PropInv\MF</v>
      </c>
      <c r="K5231" s="103" t="str">
        <f>HYPERLINK("E:\PropInv\MF\Plano\Stonewood Dr_6301_Villas of Spring Creek I_Plano_15470","Stonewood Dr_6301_Villas of Spring Creek I_Plano_15470" )</f>
        <v>Stonewood Dr_6301_Villas of Spring Creek I_Plano_15470</v>
      </c>
      <c r="L5231" s="104" t="s">
        <v>22253</v>
      </c>
      <c r="M5231" s="103" t="str">
        <f t="shared" si="408"/>
        <v>http://oconnordata.com/mlink/modules/profile/index.cfm?action=profile&amp;prop_id=15470</v>
      </c>
      <c r="N5231" s="1">
        <f t="shared" si="409"/>
        <v>15470</v>
      </c>
    </row>
    <row r="5232" spans="1:14" x14ac:dyDescent="0.3">
      <c r="A5232" s="1">
        <v>15471</v>
      </c>
      <c r="B5232" s="7" t="s">
        <v>5047</v>
      </c>
      <c r="C5232" s="12">
        <v>3637</v>
      </c>
      <c r="D5232" s="7" t="s">
        <v>7902</v>
      </c>
      <c r="E5232" s="13" t="s">
        <v>4996</v>
      </c>
      <c r="F5232" t="str">
        <f t="shared" si="405"/>
        <v>Timberglen</v>
      </c>
      <c r="G5232" t="str">
        <f t="shared" si="406"/>
        <v>Timberglen3637Dallas</v>
      </c>
      <c r="H5232" t="s">
        <v>36089</v>
      </c>
      <c r="I5232" t="s">
        <v>27511</v>
      </c>
      <c r="J5232" t="str">
        <f t="shared" si="407"/>
        <v>E:\PropInv\MF</v>
      </c>
      <c r="K5232" s="103" t="str">
        <f>HYPERLINK("E:\PropInv\MF\Dallas\Timberglen_3637_Tuscany Square_Dallas_15471","Timberglen_3637_Tuscany Square_Dallas_15471" )</f>
        <v>Timberglen_3637_Tuscany Square_Dallas_15471</v>
      </c>
      <c r="L5232" s="104" t="s">
        <v>22253</v>
      </c>
      <c r="M5232" s="103" t="str">
        <f t="shared" si="408"/>
        <v>http://oconnordata.com/mlink/modules/profile/index.cfm?action=profile&amp;prop_id=15471</v>
      </c>
      <c r="N5232" s="1">
        <f t="shared" si="409"/>
        <v>15471</v>
      </c>
    </row>
    <row r="5233" spans="1:14" x14ac:dyDescent="0.3">
      <c r="A5233" s="1">
        <v>15472</v>
      </c>
      <c r="B5233" s="7" t="s">
        <v>5268</v>
      </c>
      <c r="C5233" s="12">
        <v>4343</v>
      </c>
      <c r="D5233" s="7" t="s">
        <v>7903</v>
      </c>
      <c r="E5233" s="13" t="s">
        <v>4996</v>
      </c>
      <c r="F5233" t="str">
        <f t="shared" si="405"/>
        <v>Rosemeade</v>
      </c>
      <c r="G5233" t="str">
        <f t="shared" si="406"/>
        <v>Rosemeade4343Dallas</v>
      </c>
      <c r="H5233" t="s">
        <v>36090</v>
      </c>
      <c r="I5233" t="s">
        <v>27512</v>
      </c>
      <c r="J5233" t="str">
        <f t="shared" si="407"/>
        <v>E:\PropInv\MF</v>
      </c>
      <c r="K5233" s="103" t="str">
        <f>HYPERLINK("E:\PropInv\MF\Dallas\Rosemeade Pkwy_4343_4343 at the Parkway_Dallas_15472","Rosemeade Pkwy_4343_4343 at the Parkway_Dallas_15472" )</f>
        <v>Rosemeade Pkwy_4343_4343 at the Parkway_Dallas_15472</v>
      </c>
      <c r="L5233" s="104" t="s">
        <v>22253</v>
      </c>
      <c r="M5233" s="103" t="str">
        <f t="shared" si="408"/>
        <v>http://oconnordata.com/mlink/modules/profile/index.cfm?action=profile&amp;prop_id=15472</v>
      </c>
      <c r="N5233" s="1">
        <f t="shared" si="409"/>
        <v>15472</v>
      </c>
    </row>
    <row r="5234" spans="1:14" x14ac:dyDescent="0.3">
      <c r="A5234" s="1">
        <v>15473</v>
      </c>
      <c r="B5234" s="7" t="s">
        <v>6626</v>
      </c>
      <c r="C5234" s="12">
        <v>1800</v>
      </c>
      <c r="D5234" s="7" t="s">
        <v>275</v>
      </c>
      <c r="E5234" s="13" t="s">
        <v>4942</v>
      </c>
      <c r="F5234" t="str">
        <f t="shared" si="405"/>
        <v>Oak</v>
      </c>
      <c r="G5234" t="str">
        <f t="shared" si="406"/>
        <v>Oak1800Bedford</v>
      </c>
      <c r="H5234" t="s">
        <v>36091</v>
      </c>
      <c r="I5234" t="s">
        <v>27513</v>
      </c>
      <c r="J5234" t="str">
        <f t="shared" si="407"/>
        <v>E:\PropInv\MF</v>
      </c>
      <c r="K5234" s="103" t="str">
        <f>HYPERLINK("E:\PropInv\MF\Bedford\Oak Creek Ln_1800_Oak Creek_Bedford_15473","Oak Creek Ln_1800_Oak Creek_Bedford_15473" )</f>
        <v>Oak Creek Ln_1800_Oak Creek_Bedford_15473</v>
      </c>
      <c r="L5234" s="104" t="s">
        <v>22253</v>
      </c>
      <c r="M5234" s="103" t="str">
        <f t="shared" si="408"/>
        <v>http://oconnordata.com/mlink/modules/profile/index.cfm?action=profile&amp;prop_id=15473</v>
      </c>
      <c r="N5234" s="1">
        <f t="shared" si="409"/>
        <v>15473</v>
      </c>
    </row>
    <row r="5235" spans="1:14" x14ac:dyDescent="0.3">
      <c r="A5235" s="1">
        <v>15474</v>
      </c>
      <c r="B5235" s="7" t="s">
        <v>7850</v>
      </c>
      <c r="C5235" s="12">
        <v>500</v>
      </c>
      <c r="D5235" s="7" t="s">
        <v>7904</v>
      </c>
      <c r="E5235" s="13" t="s">
        <v>5781</v>
      </c>
      <c r="F5235" t="str">
        <f t="shared" si="405"/>
        <v>Harwood</v>
      </c>
      <c r="G5235" t="str">
        <f t="shared" si="406"/>
        <v>Harwood500Euless</v>
      </c>
      <c r="H5235" t="s">
        <v>36092</v>
      </c>
      <c r="I5235" t="s">
        <v>27514</v>
      </c>
      <c r="J5235" t="str">
        <f t="shared" si="407"/>
        <v>E:\PropInv\MF</v>
      </c>
      <c r="K5235" s="103" t="str">
        <f>HYPERLINK("E:\PropInv\MF\Euless\Harwood E_500_Bear Creek Villas_Euless_15474","Harwood E_500_Bear Creek Villas_Euless_15474" )</f>
        <v>Harwood E_500_Bear Creek Villas_Euless_15474</v>
      </c>
      <c r="L5235" s="104" t="s">
        <v>22253</v>
      </c>
      <c r="M5235" s="103" t="str">
        <f t="shared" si="408"/>
        <v>http://oconnordata.com/mlink/modules/profile/index.cfm?action=profile&amp;prop_id=15474</v>
      </c>
      <c r="N5235" s="1">
        <f t="shared" si="409"/>
        <v>15474</v>
      </c>
    </row>
    <row r="5236" spans="1:14" x14ac:dyDescent="0.3">
      <c r="A5236" s="1">
        <v>15475</v>
      </c>
      <c r="B5236" s="7" t="s">
        <v>7905</v>
      </c>
      <c r="C5236" s="12">
        <v>1215</v>
      </c>
      <c r="D5236" s="7" t="s">
        <v>7906</v>
      </c>
      <c r="E5236" s="13" t="s">
        <v>5014</v>
      </c>
      <c r="F5236" t="str">
        <f t="shared" si="405"/>
        <v>Terminal</v>
      </c>
      <c r="G5236" t="str">
        <f t="shared" si="406"/>
        <v>Terminal1215Fort Worth</v>
      </c>
      <c r="H5236" t="s">
        <v>36093</v>
      </c>
      <c r="I5236" t="s">
        <v>27515</v>
      </c>
      <c r="J5236" t="str">
        <f t="shared" si="407"/>
        <v>E:\PropInv\MF</v>
      </c>
      <c r="K5236" s="103" t="str">
        <f>HYPERLINK("E:\PropInv\MF\Fort Worth\Terminal Rd_1215_Sabine Place_Fort Worth_15475","Terminal Rd_1215_Sabine Place_Fort Worth_15475" )</f>
        <v>Terminal Rd_1215_Sabine Place_Fort Worth_15475</v>
      </c>
      <c r="L5236" s="104" t="s">
        <v>22253</v>
      </c>
      <c r="M5236" s="103" t="str">
        <f t="shared" si="408"/>
        <v>http://oconnordata.com/mlink/modules/profile/index.cfm?action=profile&amp;prop_id=15475</v>
      </c>
      <c r="N5236" s="1">
        <f t="shared" si="409"/>
        <v>15475</v>
      </c>
    </row>
    <row r="5237" spans="1:14" x14ac:dyDescent="0.3">
      <c r="A5237" s="1">
        <v>15476</v>
      </c>
      <c r="B5237" s="7" t="s">
        <v>7907</v>
      </c>
      <c r="C5237" s="12">
        <v>1315</v>
      </c>
      <c r="D5237" s="7" t="s">
        <v>7908</v>
      </c>
      <c r="E5237" s="13" t="s">
        <v>6555</v>
      </c>
      <c r="F5237" t="str">
        <f t="shared" si="405"/>
        <v>Cooper</v>
      </c>
      <c r="G5237" t="str">
        <f t="shared" si="406"/>
        <v>Cooper1315Arlington</v>
      </c>
      <c r="H5237" t="s">
        <v>36094</v>
      </c>
      <c r="I5237" t="s">
        <v>27516</v>
      </c>
      <c r="J5237" t="str">
        <f t="shared" si="407"/>
        <v>E:\PropInv\MF</v>
      </c>
      <c r="K5237" s="103" t="str">
        <f>HYPERLINK("E:\PropInv\MF\Arlington\Cooper N_1315_St. Charles Place_Arlington_15476","Cooper N_1315_St. Charles Place_Arlington_15476" )</f>
        <v>Cooper N_1315_St. Charles Place_Arlington_15476</v>
      </c>
      <c r="L5237" s="104" t="s">
        <v>22253</v>
      </c>
      <c r="M5237" s="103" t="str">
        <f t="shared" si="408"/>
        <v>http://oconnordata.com/mlink/modules/profile/index.cfm?action=profile&amp;prop_id=15476</v>
      </c>
      <c r="N5237" s="1">
        <f t="shared" si="409"/>
        <v>15476</v>
      </c>
    </row>
    <row r="5238" spans="1:14" x14ac:dyDescent="0.3">
      <c r="A5238" s="1">
        <v>15477</v>
      </c>
      <c r="B5238" s="7" t="s">
        <v>7909</v>
      </c>
      <c r="C5238" s="12" t="s">
        <v>7910</v>
      </c>
      <c r="D5238" s="7" t="s">
        <v>7911</v>
      </c>
      <c r="E5238" s="13" t="s">
        <v>4942</v>
      </c>
      <c r="F5238" t="str">
        <f t="shared" si="405"/>
        <v>Shadybrook</v>
      </c>
      <c r="G5238" t="str">
        <f t="shared" si="406"/>
        <v>Shadybrook3526-ABedford</v>
      </c>
      <c r="H5238" t="s">
        <v>36095</v>
      </c>
      <c r="I5238" t="s">
        <v>27517</v>
      </c>
      <c r="J5238" t="str">
        <f t="shared" si="407"/>
        <v>E:\PropInv\MF</v>
      </c>
      <c r="K5238" s="103" t="str">
        <f>HYPERLINK("E:\PropInv\MF\Bedford\Shadybrook_3526-A_Bedford Hills_Bedford_15477","Shadybrook_3526-A_Bedford Hills_Bedford_15477" )</f>
        <v>Shadybrook_3526-A_Bedford Hills_Bedford_15477</v>
      </c>
      <c r="L5238" s="104" t="s">
        <v>22253</v>
      </c>
      <c r="M5238" s="103" t="str">
        <f t="shared" si="408"/>
        <v>http://oconnordata.com/mlink/modules/profile/index.cfm?action=profile&amp;prop_id=15477</v>
      </c>
      <c r="N5238" s="1">
        <f t="shared" si="409"/>
        <v>15477</v>
      </c>
    </row>
    <row r="5239" spans="1:14" x14ac:dyDescent="0.3">
      <c r="A5239" s="1">
        <v>15478</v>
      </c>
      <c r="B5239" s="7" t="s">
        <v>5047</v>
      </c>
      <c r="C5239" s="12">
        <v>3565</v>
      </c>
      <c r="D5239" s="7" t="s">
        <v>7912</v>
      </c>
      <c r="E5239" s="13" t="s">
        <v>4996</v>
      </c>
      <c r="F5239" t="str">
        <f t="shared" si="405"/>
        <v>Timberglen</v>
      </c>
      <c r="G5239" t="str">
        <f t="shared" si="406"/>
        <v>Timberglen3565Dallas</v>
      </c>
      <c r="H5239" t="s">
        <v>36096</v>
      </c>
      <c r="I5239" t="s">
        <v>27518</v>
      </c>
      <c r="J5239" t="str">
        <f t="shared" si="407"/>
        <v>E:\PropInv\MF</v>
      </c>
      <c r="K5239" s="103" t="str">
        <f>HYPERLINK("E:\PropInv\MF\Dallas\Timberglen_3565_Village on Timberglen_Dallas_15478","Timberglen_3565_Village on Timberglen_Dallas_15478" )</f>
        <v>Timberglen_3565_Village on Timberglen_Dallas_15478</v>
      </c>
      <c r="L5239" s="104" t="s">
        <v>22253</v>
      </c>
      <c r="M5239" s="103" t="str">
        <f t="shared" si="408"/>
        <v>http://oconnordata.com/mlink/modules/profile/index.cfm?action=profile&amp;prop_id=15478</v>
      </c>
      <c r="N5239" s="1">
        <f t="shared" si="409"/>
        <v>15478</v>
      </c>
    </row>
    <row r="5240" spans="1:14" x14ac:dyDescent="0.3">
      <c r="A5240" s="1">
        <v>15479</v>
      </c>
      <c r="B5240" s="7" t="s">
        <v>7913</v>
      </c>
      <c r="C5240" s="12">
        <v>1350</v>
      </c>
      <c r="D5240" s="7" t="s">
        <v>7914</v>
      </c>
      <c r="E5240" s="13" t="s">
        <v>5781</v>
      </c>
      <c r="F5240" t="str">
        <f t="shared" si="405"/>
        <v>Main</v>
      </c>
      <c r="G5240" t="str">
        <f t="shared" si="406"/>
        <v>Main1350Euless</v>
      </c>
      <c r="H5240" t="s">
        <v>36097</v>
      </c>
      <c r="I5240" t="s">
        <v>27519</v>
      </c>
      <c r="J5240" t="str">
        <f t="shared" si="407"/>
        <v>E:\PropInv\MF</v>
      </c>
      <c r="K5240" s="103" t="str">
        <f>HYPERLINK("E:\PropInv\MF\Euless\Main St N_1350_Oak Park I &amp; II_Euless_15479","Main St N_1350_Oak Park I &amp; II_Euless_15479" )</f>
        <v>Main St N_1350_Oak Park I &amp; II_Euless_15479</v>
      </c>
      <c r="L5240" s="104" t="s">
        <v>22253</v>
      </c>
      <c r="M5240" s="103" t="str">
        <f t="shared" si="408"/>
        <v>http://oconnordata.com/mlink/modules/profile/index.cfm?action=profile&amp;prop_id=15479</v>
      </c>
      <c r="N5240" s="1">
        <f t="shared" si="409"/>
        <v>15479</v>
      </c>
    </row>
    <row r="5241" spans="1:14" x14ac:dyDescent="0.3">
      <c r="A5241" s="1">
        <v>15480</v>
      </c>
      <c r="B5241" s="7" t="s">
        <v>6734</v>
      </c>
      <c r="C5241" s="12">
        <v>1500</v>
      </c>
      <c r="D5241" s="7" t="s">
        <v>7915</v>
      </c>
      <c r="E5241" s="13" t="s">
        <v>5781</v>
      </c>
      <c r="F5241" t="str">
        <f t="shared" si="405"/>
        <v>Bear</v>
      </c>
      <c r="G5241" t="str">
        <f t="shared" si="406"/>
        <v>Bear1500Euless</v>
      </c>
      <c r="H5241" t="s">
        <v>36098</v>
      </c>
      <c r="I5241" t="s">
        <v>27520</v>
      </c>
      <c r="J5241" t="str">
        <f t="shared" si="407"/>
        <v>E:\PropInv\MF</v>
      </c>
      <c r="K5241" s="103" t="str">
        <f>HYPERLINK("E:\PropInv\MF\Euless\Bear Creek Pkwy_1500_Sandstone at Bear Creek_Euless_15480","Bear Creek Pkwy_1500_Sandstone at Bear Creek_Euless_15480" )</f>
        <v>Bear Creek Pkwy_1500_Sandstone at Bear Creek_Euless_15480</v>
      </c>
      <c r="L5241" s="104" t="s">
        <v>22253</v>
      </c>
      <c r="M5241" s="103" t="str">
        <f t="shared" si="408"/>
        <v>http://oconnordata.com/mlink/modules/profile/index.cfm?action=profile&amp;prop_id=15480</v>
      </c>
      <c r="N5241" s="1">
        <f t="shared" si="409"/>
        <v>15480</v>
      </c>
    </row>
    <row r="5242" spans="1:14" x14ac:dyDescent="0.3">
      <c r="A5242" s="1">
        <v>15481</v>
      </c>
      <c r="B5242" s="7" t="s">
        <v>7916</v>
      </c>
      <c r="C5242" s="12">
        <v>400</v>
      </c>
      <c r="D5242" s="7" t="s">
        <v>7917</v>
      </c>
      <c r="E5242" s="13" t="s">
        <v>4942</v>
      </c>
      <c r="F5242" t="str">
        <f t="shared" si="405"/>
        <v>Pecan</v>
      </c>
      <c r="G5242" t="str">
        <f t="shared" si="406"/>
        <v>Pecan400Bedford</v>
      </c>
      <c r="H5242" t="s">
        <v>36099</v>
      </c>
      <c r="I5242" t="s">
        <v>27521</v>
      </c>
      <c r="J5242" t="str">
        <f t="shared" si="407"/>
        <v>E:\PropInv\MF</v>
      </c>
      <c r="K5242" s="103" t="str">
        <f>HYPERLINK("E:\PropInv\MF\Bedford\Pecan Bend_400_The Brownstones_Bedford_15481","Pecan Bend_400_The Brownstones_Bedford_15481" )</f>
        <v>Pecan Bend_400_The Brownstones_Bedford_15481</v>
      </c>
      <c r="L5242" s="104" t="s">
        <v>22253</v>
      </c>
      <c r="M5242" s="103" t="str">
        <f t="shared" si="408"/>
        <v>http://oconnordata.com/mlink/modules/profile/index.cfm?action=profile&amp;prop_id=15481</v>
      </c>
      <c r="N5242" s="1">
        <f t="shared" si="409"/>
        <v>15481</v>
      </c>
    </row>
    <row r="5243" spans="1:14" x14ac:dyDescent="0.3">
      <c r="A5243" s="1">
        <v>15482</v>
      </c>
      <c r="B5243" s="7" t="s">
        <v>6722</v>
      </c>
      <c r="C5243" s="12">
        <v>5701</v>
      </c>
      <c r="D5243" s="7" t="s">
        <v>7918</v>
      </c>
      <c r="E5243" s="13" t="s">
        <v>5014</v>
      </c>
      <c r="F5243" t="str">
        <f t="shared" si="405"/>
        <v>Sandshell</v>
      </c>
      <c r="G5243" t="str">
        <f t="shared" si="406"/>
        <v>Sandshell5701Fort Worth</v>
      </c>
      <c r="H5243" t="s">
        <v>36100</v>
      </c>
      <c r="I5243" t="s">
        <v>27522</v>
      </c>
      <c r="J5243" t="str">
        <f t="shared" si="407"/>
        <v>E:\PropInv\MF</v>
      </c>
      <c r="K5243" s="103" t="str">
        <f>HYPERLINK("E:\PropInv\MF\Fort Worth\Sandshell Dr_5701_The Grove at Sandshell Drive_Fort Worth_15482","Sandshell Dr_5701_The Grove at Sandshell Drive_Fort Worth_15482" )</f>
        <v>Sandshell Dr_5701_The Grove at Sandshell Drive_Fort Worth_15482</v>
      </c>
      <c r="L5243" s="104" t="s">
        <v>22253</v>
      </c>
      <c r="M5243" s="103" t="str">
        <f t="shared" si="408"/>
        <v>http://oconnordata.com/mlink/modules/profile/index.cfm?action=profile&amp;prop_id=15482</v>
      </c>
      <c r="N5243" s="1">
        <f t="shared" si="409"/>
        <v>15482</v>
      </c>
    </row>
    <row r="5244" spans="1:14" x14ac:dyDescent="0.3">
      <c r="A5244" s="1">
        <v>15483</v>
      </c>
      <c r="B5244" s="7" t="s">
        <v>7919</v>
      </c>
      <c r="C5244" s="12">
        <v>901</v>
      </c>
      <c r="D5244" s="7" t="s">
        <v>7920</v>
      </c>
      <c r="E5244" s="13" t="s">
        <v>6555</v>
      </c>
      <c r="F5244" t="str">
        <f t="shared" si="405"/>
        <v>Oak</v>
      </c>
      <c r="G5244" t="str">
        <f t="shared" si="406"/>
        <v>Oak901Arlington</v>
      </c>
      <c r="H5244" t="s">
        <v>36101</v>
      </c>
      <c r="I5244" t="s">
        <v>27523</v>
      </c>
      <c r="J5244" t="str">
        <f t="shared" si="407"/>
        <v>E:\PropInv\MF</v>
      </c>
      <c r="K5244" s="103" t="str">
        <f>HYPERLINK("E:\PropInv\MF\Arlington\Oak St N_901_Oak Square_Arlington_15483","Oak St N_901_Oak Square_Arlington_15483" )</f>
        <v>Oak St N_901_Oak Square_Arlington_15483</v>
      </c>
      <c r="L5244" s="104" t="s">
        <v>22253</v>
      </c>
      <c r="M5244" s="103" t="str">
        <f t="shared" si="408"/>
        <v>http://oconnordata.com/mlink/modules/profile/index.cfm?action=profile&amp;prop_id=15483</v>
      </c>
      <c r="N5244" s="1">
        <f t="shared" si="409"/>
        <v>15483</v>
      </c>
    </row>
    <row r="5245" spans="1:14" x14ac:dyDescent="0.3">
      <c r="A5245" s="1">
        <v>15484</v>
      </c>
      <c r="B5245" s="7" t="s">
        <v>7921</v>
      </c>
      <c r="C5245" s="12">
        <v>11515</v>
      </c>
      <c r="D5245" s="7" t="s">
        <v>7922</v>
      </c>
      <c r="E5245" s="13" t="s">
        <v>4996</v>
      </c>
      <c r="F5245" t="str">
        <f t="shared" si="405"/>
        <v>Leisure</v>
      </c>
      <c r="G5245" t="str">
        <f t="shared" si="406"/>
        <v>Leisure11515Dallas</v>
      </c>
      <c r="H5245" t="s">
        <v>36102</v>
      </c>
      <c r="I5245" t="s">
        <v>27524</v>
      </c>
      <c r="J5245" t="str">
        <f t="shared" si="407"/>
        <v>E:\PropInv\MF</v>
      </c>
      <c r="K5245" s="103" t="str">
        <f>HYPERLINK("E:\PropInv\MF\Dallas\Leisure Dr_11515_The Solaris_Dallas_15484","Leisure Dr_11515_The Solaris_Dallas_15484" )</f>
        <v>Leisure Dr_11515_The Solaris_Dallas_15484</v>
      </c>
      <c r="L5245" s="104" t="s">
        <v>22253</v>
      </c>
      <c r="M5245" s="103" t="str">
        <f t="shared" si="408"/>
        <v>http://oconnordata.com/mlink/modules/profile/index.cfm?action=profile&amp;prop_id=15484</v>
      </c>
      <c r="N5245" s="1">
        <f t="shared" si="409"/>
        <v>15484</v>
      </c>
    </row>
    <row r="5246" spans="1:14" x14ac:dyDescent="0.3">
      <c r="A5246" s="1">
        <v>15486</v>
      </c>
      <c r="B5246" s="7" t="s">
        <v>7923</v>
      </c>
      <c r="C5246" s="12">
        <v>5030</v>
      </c>
      <c r="D5246" s="7" t="s">
        <v>7924</v>
      </c>
      <c r="E5246" s="13" t="s">
        <v>6555</v>
      </c>
      <c r="F5246" t="str">
        <f t="shared" si="405"/>
        <v>Savannah</v>
      </c>
      <c r="G5246" t="str">
        <f t="shared" si="406"/>
        <v>Savannah5030Arlington</v>
      </c>
      <c r="H5246" t="s">
        <v>36103</v>
      </c>
      <c r="I5246" t="s">
        <v>27525</v>
      </c>
      <c r="J5246" t="str">
        <f t="shared" si="407"/>
        <v>E:\PropInv\MF</v>
      </c>
      <c r="K5246" s="103" t="str">
        <f>HYPERLINK("E:\PropInv\MF\Arlington\Savannah Club_5030_The Laurels of Sendera_Arlington_15486","Savannah Club_5030_The Laurels of Sendera_Arlington_15486" )</f>
        <v>Savannah Club_5030_The Laurels of Sendera_Arlington_15486</v>
      </c>
      <c r="L5246" s="104" t="s">
        <v>22253</v>
      </c>
      <c r="M5246" s="103" t="str">
        <f t="shared" si="408"/>
        <v>http://oconnordata.com/mlink/modules/profile/index.cfm?action=profile&amp;prop_id=15486</v>
      </c>
      <c r="N5246" s="1">
        <f t="shared" si="409"/>
        <v>15486</v>
      </c>
    </row>
    <row r="5247" spans="1:14" x14ac:dyDescent="0.3">
      <c r="A5247" s="1">
        <v>15487</v>
      </c>
      <c r="B5247" s="7" t="s">
        <v>7925</v>
      </c>
      <c r="C5247" s="12">
        <v>501</v>
      </c>
      <c r="D5247" s="7" t="s">
        <v>7926</v>
      </c>
      <c r="E5247" s="13" t="s">
        <v>6555</v>
      </c>
      <c r="F5247" t="str">
        <f t="shared" si="405"/>
        <v>Fuller</v>
      </c>
      <c r="G5247" t="str">
        <f t="shared" si="406"/>
        <v>Fuller501Arlington</v>
      </c>
      <c r="H5247" t="s">
        <v>36104</v>
      </c>
      <c r="I5247" t="s">
        <v>27526</v>
      </c>
      <c r="J5247" t="str">
        <f t="shared" si="407"/>
        <v>E:\PropInv\MF</v>
      </c>
      <c r="K5247" s="103" t="str">
        <f>HYPERLINK("E:\PropInv\MF\Arlington\Fuller St_501_Sawyers Mill_Arlington_15487","Fuller St_501_Sawyers Mill_Arlington_15487" )</f>
        <v>Fuller St_501_Sawyers Mill_Arlington_15487</v>
      </c>
      <c r="L5247" s="104" t="s">
        <v>22253</v>
      </c>
      <c r="M5247" s="103" t="str">
        <f t="shared" si="408"/>
        <v>http://oconnordata.com/mlink/modules/profile/index.cfm?action=profile&amp;prop_id=15487</v>
      </c>
      <c r="N5247" s="1">
        <f t="shared" si="409"/>
        <v>15487</v>
      </c>
    </row>
    <row r="5248" spans="1:14" x14ac:dyDescent="0.3">
      <c r="A5248" s="1">
        <v>15488</v>
      </c>
      <c r="B5248" s="7" t="s">
        <v>7927</v>
      </c>
      <c r="C5248" s="12">
        <v>708</v>
      </c>
      <c r="D5248" s="7" t="s">
        <v>7928</v>
      </c>
      <c r="E5248" s="13" t="s">
        <v>6555</v>
      </c>
      <c r="F5248" t="str">
        <f t="shared" si="405"/>
        <v>Woodard</v>
      </c>
      <c r="G5248" t="str">
        <f t="shared" si="406"/>
        <v>Woodard708Arlington</v>
      </c>
      <c r="H5248" t="s">
        <v>36105</v>
      </c>
      <c r="I5248" t="s">
        <v>27527</v>
      </c>
      <c r="J5248" t="str">
        <f t="shared" si="407"/>
        <v>E:\PropInv\MF</v>
      </c>
      <c r="K5248" s="103" t="str">
        <f>HYPERLINK("E:\PropInv\MF\Arlington\Woodard Way_708_The Crestmont_Arlington_15488","Woodard Way_708_The Crestmont_Arlington_15488" )</f>
        <v>Woodard Way_708_The Crestmont_Arlington_15488</v>
      </c>
      <c r="L5248" s="104" t="s">
        <v>22253</v>
      </c>
      <c r="M5248" s="103" t="str">
        <f t="shared" si="408"/>
        <v>http://oconnordata.com/mlink/modules/profile/index.cfm?action=profile&amp;prop_id=15488</v>
      </c>
      <c r="N5248" s="1">
        <f t="shared" si="409"/>
        <v>15488</v>
      </c>
    </row>
    <row r="5249" spans="1:14" x14ac:dyDescent="0.3">
      <c r="A5249" s="1">
        <v>15489</v>
      </c>
      <c r="B5249" s="7" t="s">
        <v>22289</v>
      </c>
      <c r="C5249" s="12">
        <v>818</v>
      </c>
      <c r="D5249" s="7" t="s">
        <v>13185</v>
      </c>
      <c r="E5249" s="13" t="s">
        <v>6555</v>
      </c>
      <c r="F5249" t="str">
        <f t="shared" si="405"/>
        <v>Tharp</v>
      </c>
      <c r="G5249" t="str">
        <f t="shared" si="406"/>
        <v>Tharp818Arlington</v>
      </c>
      <c r="H5249" t="s">
        <v>36106</v>
      </c>
      <c r="I5249" t="s">
        <v>27528</v>
      </c>
      <c r="J5249" t="str">
        <f t="shared" si="407"/>
        <v>E:\PropInv\MF</v>
      </c>
      <c r="K5249" s="103" t="str">
        <f>HYPERLINK("E:\PropInv\MF\Arlington\Tharp St_818_Bel Aire_Arlington_15489","Tharp St_818_Bel Aire_Arlington_15489" )</f>
        <v>Tharp St_818_Bel Aire_Arlington_15489</v>
      </c>
      <c r="L5249" s="104" t="s">
        <v>22253</v>
      </c>
      <c r="M5249" s="103" t="str">
        <f t="shared" si="408"/>
        <v>http://oconnordata.com/mlink/modules/profile/index.cfm?action=profile&amp;prop_id=15489</v>
      </c>
      <c r="N5249" s="1">
        <f t="shared" si="409"/>
        <v>15489</v>
      </c>
    </row>
    <row r="5250" spans="1:14" x14ac:dyDescent="0.3">
      <c r="A5250" s="1">
        <v>15490</v>
      </c>
      <c r="B5250" s="7" t="s">
        <v>7929</v>
      </c>
      <c r="C5250" s="12">
        <v>4924</v>
      </c>
      <c r="D5250" s="7" t="s">
        <v>7930</v>
      </c>
      <c r="E5250" s="13" t="s">
        <v>6555</v>
      </c>
      <c r="F5250" t="str">
        <f t="shared" ref="F5250:F5313" si="410">IFERROR(LEFT(B5250,FIND(" ",B5250)-1),B5250)</f>
        <v>Sigmond</v>
      </c>
      <c r="G5250" t="str">
        <f t="shared" ref="G5250:G5313" si="411">F5250&amp;C5250&amp;E5250</f>
        <v>Sigmond4924Arlington</v>
      </c>
      <c r="H5250" t="s">
        <v>36107</v>
      </c>
      <c r="I5250" t="s">
        <v>27529</v>
      </c>
      <c r="J5250" t="str">
        <f t="shared" ref="J5250:J5313" si="412">IF(L5250="TX",Folder_Path,Folder_Path&amp;"\State_"&amp;L5250)</f>
        <v>E:\PropInv\MF</v>
      </c>
      <c r="K5250" s="103" t="str">
        <f>HYPERLINK("E:\PropInv\MF\Arlington\Sigmond Dr_4924_Oak Chase_Arlington_15490","Sigmond Dr_4924_Oak Chase_Arlington_15490" )</f>
        <v>Sigmond Dr_4924_Oak Chase_Arlington_15490</v>
      </c>
      <c r="L5250" s="104" t="s">
        <v>22253</v>
      </c>
      <c r="M5250" s="103" t="str">
        <f t="shared" ref="M5250:M5313" si="413">HYPERLINK("http://oconnordata.com/mlink/modules/profile/index.cfm?action=profile&amp;prop_id="&amp;A5250)</f>
        <v>http://oconnordata.com/mlink/modules/profile/index.cfm?action=profile&amp;prop_id=15490</v>
      </c>
      <c r="N5250" s="1">
        <f t="shared" ref="N5250:N5313" si="414">IF(LEN(A5250)=1,"0000"&amp;A5250,IF(LEN(A5250)=2,"000"&amp;A5250,IF(LEN(A5250)=3,"00"&amp;A5250,IF(LEN(A5250)=4,"0"&amp;A5250,IF(LEN(A5250)=5,IF(LEFT(A5250,1)="3",A5250+30000,A5250))))))</f>
        <v>15490</v>
      </c>
    </row>
    <row r="5251" spans="1:14" x14ac:dyDescent="0.3">
      <c r="A5251" s="1">
        <v>15491</v>
      </c>
      <c r="B5251" s="7" t="s">
        <v>5403</v>
      </c>
      <c r="C5251" s="12">
        <v>2710</v>
      </c>
      <c r="D5251" s="7" t="s">
        <v>7931</v>
      </c>
      <c r="E5251" s="13" t="s">
        <v>5019</v>
      </c>
      <c r="F5251" t="str">
        <f t="shared" si="410"/>
        <v>Walnut</v>
      </c>
      <c r="G5251" t="str">
        <f t="shared" si="411"/>
        <v>Walnut2710Garland</v>
      </c>
      <c r="H5251" t="s">
        <v>36108</v>
      </c>
      <c r="I5251" t="s">
        <v>27530</v>
      </c>
      <c r="J5251" t="str">
        <f t="shared" si="412"/>
        <v>E:\PropInv\MF</v>
      </c>
      <c r="K5251" s="103" t="str">
        <f>HYPERLINK("E:\PropInv\MF\Garland\Walnut W_2710_Sierra Springs_Garland_15491","Walnut W_2710_Sierra Springs_Garland_15491" )</f>
        <v>Walnut W_2710_Sierra Springs_Garland_15491</v>
      </c>
      <c r="L5251" s="104" t="s">
        <v>22253</v>
      </c>
      <c r="M5251" s="103" t="str">
        <f t="shared" si="413"/>
        <v>http://oconnordata.com/mlink/modules/profile/index.cfm?action=profile&amp;prop_id=15491</v>
      </c>
      <c r="N5251" s="1">
        <f t="shared" si="414"/>
        <v>15491</v>
      </c>
    </row>
    <row r="5252" spans="1:14" x14ac:dyDescent="0.3">
      <c r="A5252" s="1">
        <v>15493</v>
      </c>
      <c r="B5252" s="7" t="s">
        <v>7932</v>
      </c>
      <c r="C5252" s="12">
        <v>544</v>
      </c>
      <c r="D5252" s="7" t="s">
        <v>7932</v>
      </c>
      <c r="E5252" s="13" t="s">
        <v>5140</v>
      </c>
      <c r="F5252" t="str">
        <f t="shared" si="410"/>
        <v>Bethany</v>
      </c>
      <c r="G5252" t="str">
        <f t="shared" si="411"/>
        <v>Bethany544Allen</v>
      </c>
      <c r="H5252" t="s">
        <v>36109</v>
      </c>
      <c r="I5252" t="s">
        <v>27531</v>
      </c>
      <c r="J5252" t="str">
        <f t="shared" si="412"/>
        <v>E:\PropInv\MF</v>
      </c>
      <c r="K5252" s="103" t="str">
        <f>HYPERLINK("E:\PropInv\MF\Allen\Bethany_544_Bethany_Allen_15493","Bethany_544_Bethany_Allen_15493" )</f>
        <v>Bethany_544_Bethany_Allen_15493</v>
      </c>
      <c r="L5252" s="104" t="s">
        <v>22253</v>
      </c>
      <c r="M5252" s="103" t="str">
        <f t="shared" si="413"/>
        <v>http://oconnordata.com/mlink/modules/profile/index.cfm?action=profile&amp;prop_id=15493</v>
      </c>
      <c r="N5252" s="1">
        <f t="shared" si="414"/>
        <v>15493</v>
      </c>
    </row>
    <row r="5253" spans="1:14" x14ac:dyDescent="0.3">
      <c r="A5253" s="1">
        <v>15494</v>
      </c>
      <c r="B5253" s="7" t="s">
        <v>7701</v>
      </c>
      <c r="C5253" s="12">
        <v>5901</v>
      </c>
      <c r="D5253" s="7" t="s">
        <v>7933</v>
      </c>
      <c r="E5253" s="13" t="s">
        <v>5014</v>
      </c>
      <c r="F5253" t="str">
        <f t="shared" si="410"/>
        <v>Sam</v>
      </c>
      <c r="G5253" t="str">
        <f t="shared" si="411"/>
        <v>Sam5901Fort Worth</v>
      </c>
      <c r="H5253" t="s">
        <v>36110</v>
      </c>
      <c r="I5253" t="s">
        <v>27532</v>
      </c>
      <c r="J5253" t="str">
        <f t="shared" si="412"/>
        <v>E:\PropInv\MF</v>
      </c>
      <c r="K5253" s="103" t="str">
        <f>HYPERLINK("E:\PropInv\MF\Fort Worth\Sam Calloway_5901_Second Dimension_Fort Worth_15494","Sam Calloway_5901_Second Dimension_Fort Worth_15494" )</f>
        <v>Sam Calloway_5901_Second Dimension_Fort Worth_15494</v>
      </c>
      <c r="L5253" s="104" t="s">
        <v>22253</v>
      </c>
      <c r="M5253" s="103" t="str">
        <f t="shared" si="413"/>
        <v>http://oconnordata.com/mlink/modules/profile/index.cfm?action=profile&amp;prop_id=15494</v>
      </c>
      <c r="N5253" s="1">
        <f t="shared" si="414"/>
        <v>15494</v>
      </c>
    </row>
    <row r="5254" spans="1:14" x14ac:dyDescent="0.3">
      <c r="A5254" s="1">
        <v>15495</v>
      </c>
      <c r="B5254" s="7" t="s">
        <v>6734</v>
      </c>
      <c r="C5254" s="12">
        <v>2121</v>
      </c>
      <c r="D5254" s="7" t="s">
        <v>7934</v>
      </c>
      <c r="E5254" s="13" t="s">
        <v>5781</v>
      </c>
      <c r="F5254" t="str">
        <f t="shared" si="410"/>
        <v>Bear</v>
      </c>
      <c r="G5254" t="str">
        <f t="shared" si="411"/>
        <v>Bear2121Euless</v>
      </c>
      <c r="H5254" t="s">
        <v>36111</v>
      </c>
      <c r="I5254" t="s">
        <v>27533</v>
      </c>
      <c r="J5254" t="str">
        <f t="shared" si="412"/>
        <v>E:\PropInv\MF</v>
      </c>
      <c r="K5254" s="103" t="str">
        <f>HYPERLINK("E:\PropInv\MF\Euless\Bear Creek Pkwy_2121_Oakmont of Bear Creek_Euless_15495","Bear Creek Pkwy_2121_Oakmont of Bear Creek_Euless_15495" )</f>
        <v>Bear Creek Pkwy_2121_Oakmont of Bear Creek_Euless_15495</v>
      </c>
      <c r="L5254" s="104" t="s">
        <v>22253</v>
      </c>
      <c r="M5254" s="103" t="str">
        <f t="shared" si="413"/>
        <v>http://oconnordata.com/mlink/modules/profile/index.cfm?action=profile&amp;prop_id=15495</v>
      </c>
      <c r="N5254" s="1">
        <f t="shared" si="414"/>
        <v>15495</v>
      </c>
    </row>
    <row r="5255" spans="1:14" x14ac:dyDescent="0.3">
      <c r="A5255" s="1">
        <v>15496</v>
      </c>
      <c r="B5255" s="7" t="s">
        <v>7935</v>
      </c>
      <c r="C5255" s="12">
        <v>601</v>
      </c>
      <c r="D5255" s="7" t="s">
        <v>7936</v>
      </c>
      <c r="E5255" s="13" t="s">
        <v>6612</v>
      </c>
      <c r="F5255" t="str">
        <f t="shared" si="410"/>
        <v>Brown</v>
      </c>
      <c r="G5255" t="str">
        <f t="shared" si="411"/>
        <v>Brown601Hurst</v>
      </c>
      <c r="H5255" t="s">
        <v>36112</v>
      </c>
      <c r="I5255" t="s">
        <v>27534</v>
      </c>
      <c r="J5255" t="str">
        <f t="shared" si="412"/>
        <v>E:\PropInv\MF</v>
      </c>
      <c r="K5255" s="103" t="str">
        <f>HYPERLINK("E:\PropInv\MF\Hurst\Brown Trl_601_Sequoia Bend_Hurst_15496","Brown Trl_601_Sequoia Bend_Hurst_15496" )</f>
        <v>Brown Trl_601_Sequoia Bend_Hurst_15496</v>
      </c>
      <c r="L5255" s="104" t="s">
        <v>22253</v>
      </c>
      <c r="M5255" s="103" t="str">
        <f t="shared" si="413"/>
        <v>http://oconnordata.com/mlink/modules/profile/index.cfm?action=profile&amp;prop_id=15496</v>
      </c>
      <c r="N5255" s="1">
        <f t="shared" si="414"/>
        <v>15496</v>
      </c>
    </row>
    <row r="5256" spans="1:14" x14ac:dyDescent="0.3">
      <c r="A5256" s="1">
        <v>15497</v>
      </c>
      <c r="B5256" s="7" t="s">
        <v>7937</v>
      </c>
      <c r="C5256" s="12">
        <v>505</v>
      </c>
      <c r="D5256" s="7" t="s">
        <v>7938</v>
      </c>
      <c r="E5256" s="13" t="s">
        <v>6555</v>
      </c>
      <c r="F5256" t="str">
        <f t="shared" si="410"/>
        <v>Bowen</v>
      </c>
      <c r="G5256" t="str">
        <f t="shared" si="411"/>
        <v>Bowen505Arlington</v>
      </c>
      <c r="H5256" t="s">
        <v>36113</v>
      </c>
      <c r="I5256" t="s">
        <v>27535</v>
      </c>
      <c r="J5256" t="str">
        <f t="shared" si="412"/>
        <v>E:\PropInv\MF</v>
      </c>
      <c r="K5256" s="103" t="str">
        <f>HYPERLINK("E:\PropInv\MF\Arlington\Bowen Rd N_505_Bowen I &amp; II_Arlington_15497","Bowen Rd N_505_Bowen I &amp; II_Arlington_15497" )</f>
        <v>Bowen Rd N_505_Bowen I &amp; II_Arlington_15497</v>
      </c>
      <c r="L5256" s="104" t="s">
        <v>22253</v>
      </c>
      <c r="M5256" s="103" t="str">
        <f t="shared" si="413"/>
        <v>http://oconnordata.com/mlink/modules/profile/index.cfm?action=profile&amp;prop_id=15497</v>
      </c>
      <c r="N5256" s="1">
        <f t="shared" si="414"/>
        <v>15497</v>
      </c>
    </row>
    <row r="5257" spans="1:14" x14ac:dyDescent="0.3">
      <c r="A5257" s="1">
        <v>15499</v>
      </c>
      <c r="B5257" s="7" t="s">
        <v>7939</v>
      </c>
      <c r="C5257" s="12">
        <v>1415</v>
      </c>
      <c r="D5257" s="7" t="s">
        <v>909</v>
      </c>
      <c r="E5257" s="13" t="s">
        <v>6555</v>
      </c>
      <c r="F5257" t="str">
        <f t="shared" si="410"/>
        <v>Wiscasset</v>
      </c>
      <c r="G5257" t="str">
        <f t="shared" si="411"/>
        <v>Wiscasset1415Arlington</v>
      </c>
      <c r="H5257" t="s">
        <v>36114</v>
      </c>
      <c r="I5257" t="s">
        <v>27536</v>
      </c>
      <c r="J5257" t="str">
        <f t="shared" si="412"/>
        <v>E:\PropInv\MF</v>
      </c>
      <c r="K5257" s="103" t="str">
        <f>HYPERLINK("E:\PropInv\MF\Arlington\Wiscasset Dr_1415_Brandon Oaks_Arlington_15499","Wiscasset Dr_1415_Brandon Oaks_Arlington_15499" )</f>
        <v>Wiscasset Dr_1415_Brandon Oaks_Arlington_15499</v>
      </c>
      <c r="L5257" s="104" t="s">
        <v>22253</v>
      </c>
      <c r="M5257" s="103" t="str">
        <f t="shared" si="413"/>
        <v>http://oconnordata.com/mlink/modules/profile/index.cfm?action=profile&amp;prop_id=15499</v>
      </c>
      <c r="N5257" s="1">
        <f t="shared" si="414"/>
        <v>15499</v>
      </c>
    </row>
    <row r="5258" spans="1:14" x14ac:dyDescent="0.3">
      <c r="A5258" s="1">
        <v>15501</v>
      </c>
      <c r="B5258" s="7" t="s">
        <v>7940</v>
      </c>
      <c r="C5258" s="12">
        <v>2008</v>
      </c>
      <c r="D5258" s="7" t="s">
        <v>7941</v>
      </c>
      <c r="E5258" s="13" t="s">
        <v>6555</v>
      </c>
      <c r="F5258" t="str">
        <f t="shared" si="410"/>
        <v>Terlingua</v>
      </c>
      <c r="G5258" t="str">
        <f t="shared" si="411"/>
        <v>Terlingua2008Arlington</v>
      </c>
      <c r="H5258" t="s">
        <v>36115</v>
      </c>
      <c r="I5258" t="s">
        <v>27537</v>
      </c>
      <c r="J5258" t="str">
        <f t="shared" si="412"/>
        <v>E:\PropInv\MF</v>
      </c>
      <c r="K5258" s="103" t="str">
        <f>HYPERLINK("E:\PropInv\MF\Arlington\Terlingua_2008_Brazos Park_Arlington_15501","Terlingua_2008_Brazos Park_Arlington_15501" )</f>
        <v>Terlingua_2008_Brazos Park_Arlington_15501</v>
      </c>
      <c r="L5258" s="104" t="s">
        <v>22253</v>
      </c>
      <c r="M5258" s="103" t="str">
        <f t="shared" si="413"/>
        <v>http://oconnordata.com/mlink/modules/profile/index.cfm?action=profile&amp;prop_id=15501</v>
      </c>
      <c r="N5258" s="1">
        <f t="shared" si="414"/>
        <v>15501</v>
      </c>
    </row>
    <row r="5259" spans="1:14" x14ac:dyDescent="0.3">
      <c r="A5259" s="1">
        <v>15502</v>
      </c>
      <c r="B5259" s="7" t="s">
        <v>7942</v>
      </c>
      <c r="C5259" s="12">
        <v>200</v>
      </c>
      <c r="D5259" s="7" t="s">
        <v>7943</v>
      </c>
      <c r="E5259" s="13" t="s">
        <v>6612</v>
      </c>
      <c r="F5259" t="str">
        <f t="shared" si="410"/>
        <v>Booth</v>
      </c>
      <c r="G5259" t="str">
        <f t="shared" si="411"/>
        <v>Booth200Hurst</v>
      </c>
      <c r="H5259" t="s">
        <v>36116</v>
      </c>
      <c r="I5259" t="s">
        <v>27538</v>
      </c>
      <c r="J5259" t="str">
        <f t="shared" si="412"/>
        <v>E:\PropInv\MF</v>
      </c>
      <c r="K5259" s="103" t="str">
        <f>HYPERLINK("E:\PropInv\MF\Hurst\Booth Calloway Rd_200_Hamilton Villas_Hurst_15502","Booth Calloway Rd_200_Hamilton Villas_Hurst_15502" )</f>
        <v>Booth Calloway Rd_200_Hamilton Villas_Hurst_15502</v>
      </c>
      <c r="L5259" s="104" t="s">
        <v>22253</v>
      </c>
      <c r="M5259" s="103" t="str">
        <f t="shared" si="413"/>
        <v>http://oconnordata.com/mlink/modules/profile/index.cfm?action=profile&amp;prop_id=15502</v>
      </c>
      <c r="N5259" s="1">
        <f t="shared" si="414"/>
        <v>15502</v>
      </c>
    </row>
    <row r="5260" spans="1:14" x14ac:dyDescent="0.3">
      <c r="A5260" s="1">
        <v>15503</v>
      </c>
      <c r="B5260" s="7" t="s">
        <v>7721</v>
      </c>
      <c r="C5260" s="12">
        <v>3800</v>
      </c>
      <c r="D5260" s="7" t="s">
        <v>7944</v>
      </c>
      <c r="E5260" s="13" t="s">
        <v>4942</v>
      </c>
      <c r="F5260" t="str">
        <f t="shared" si="410"/>
        <v>Harwood</v>
      </c>
      <c r="G5260" t="str">
        <f t="shared" si="411"/>
        <v>Harwood3800Bedford</v>
      </c>
      <c r="H5260" t="s">
        <v>36117</v>
      </c>
      <c r="I5260" t="s">
        <v>27539</v>
      </c>
      <c r="J5260" t="str">
        <f t="shared" si="412"/>
        <v>E:\PropInv\MF</v>
      </c>
      <c r="K5260" s="103" t="str">
        <f>HYPERLINK("E:\PropInv\MF\Bedford\Harwood_3800_Oakwood Condominiums_Bedford_15503","Harwood_3800_Oakwood Condominiums_Bedford_15503" )</f>
        <v>Harwood_3800_Oakwood Condominiums_Bedford_15503</v>
      </c>
      <c r="L5260" s="104" t="s">
        <v>22253</v>
      </c>
      <c r="M5260" s="103" t="str">
        <f t="shared" si="413"/>
        <v>http://oconnordata.com/mlink/modules/profile/index.cfm?action=profile&amp;prop_id=15503</v>
      </c>
      <c r="N5260" s="1">
        <f t="shared" si="414"/>
        <v>15503</v>
      </c>
    </row>
    <row r="5261" spans="1:14" x14ac:dyDescent="0.3">
      <c r="A5261" s="1">
        <v>15504</v>
      </c>
      <c r="B5261" s="7" t="s">
        <v>7945</v>
      </c>
      <c r="C5261" s="12">
        <v>1705</v>
      </c>
      <c r="D5261" s="7" t="s">
        <v>7946</v>
      </c>
      <c r="E5261" s="13" t="s">
        <v>6555</v>
      </c>
      <c r="F5261" t="str">
        <f t="shared" si="410"/>
        <v>Big</v>
      </c>
      <c r="G5261" t="str">
        <f t="shared" si="411"/>
        <v>Big1705Arlington</v>
      </c>
      <c r="H5261" t="s">
        <v>36118</v>
      </c>
      <c r="I5261" t="s">
        <v>27540</v>
      </c>
      <c r="J5261" t="str">
        <f t="shared" si="412"/>
        <v>E:\PropInv\MF</v>
      </c>
      <c r="K5261" s="103" t="str">
        <f>HYPERLINK("E:\PropInv\MF\Arlington\Big Sur_1705_Breckenridge_Arlington_15504","Big Sur_1705_Breckenridge_Arlington_15504" )</f>
        <v>Big Sur_1705_Breckenridge_Arlington_15504</v>
      </c>
      <c r="L5261" s="104" t="s">
        <v>22253</v>
      </c>
      <c r="M5261" s="103" t="str">
        <f t="shared" si="413"/>
        <v>http://oconnordata.com/mlink/modules/profile/index.cfm?action=profile&amp;prop_id=15504</v>
      </c>
      <c r="N5261" s="1">
        <f t="shared" si="414"/>
        <v>15504</v>
      </c>
    </row>
    <row r="5262" spans="1:14" x14ac:dyDescent="0.3">
      <c r="A5262" s="1">
        <v>15505</v>
      </c>
      <c r="B5262" s="7" t="s">
        <v>7947</v>
      </c>
      <c r="C5262" s="12">
        <v>2020</v>
      </c>
      <c r="D5262" s="7" t="s">
        <v>7948</v>
      </c>
      <c r="E5262" s="13" t="s">
        <v>6555</v>
      </c>
      <c r="F5262" t="str">
        <f t="shared" si="410"/>
        <v>Cooper</v>
      </c>
      <c r="G5262" t="str">
        <f t="shared" si="411"/>
        <v>Cooper2020Arlington</v>
      </c>
      <c r="H5262" t="s">
        <v>36119</v>
      </c>
      <c r="I5262" t="s">
        <v>27541</v>
      </c>
      <c r="J5262" t="str">
        <f t="shared" si="412"/>
        <v>E:\PropInv\MF</v>
      </c>
      <c r="K5262" s="103" t="str">
        <f>HYPERLINK("E:\PropInv\MF\Arlington\Cooper S_2020_Shadow Brook_Arlington_15505","Cooper S_2020_Shadow Brook_Arlington_15505" )</f>
        <v>Cooper S_2020_Shadow Brook_Arlington_15505</v>
      </c>
      <c r="L5262" s="104" t="s">
        <v>22253</v>
      </c>
      <c r="M5262" s="103" t="str">
        <f t="shared" si="413"/>
        <v>http://oconnordata.com/mlink/modules/profile/index.cfm?action=profile&amp;prop_id=15505</v>
      </c>
      <c r="N5262" s="1">
        <f t="shared" si="414"/>
        <v>15505</v>
      </c>
    </row>
    <row r="5263" spans="1:14" x14ac:dyDescent="0.3">
      <c r="A5263" s="1">
        <v>15506</v>
      </c>
      <c r="B5263" s="7" t="s">
        <v>7949</v>
      </c>
      <c r="C5263" s="12">
        <v>2420</v>
      </c>
      <c r="D5263" s="7" t="s">
        <v>7950</v>
      </c>
      <c r="E5263" s="13" t="s">
        <v>6555</v>
      </c>
      <c r="F5263" t="str">
        <f t="shared" si="410"/>
        <v>Abram</v>
      </c>
      <c r="G5263" t="str">
        <f t="shared" si="411"/>
        <v>Abram2420Arlington</v>
      </c>
      <c r="H5263" t="s">
        <v>36120</v>
      </c>
      <c r="I5263" t="s">
        <v>27542</v>
      </c>
      <c r="J5263" t="str">
        <f t="shared" si="412"/>
        <v>E:\PropInv\MF</v>
      </c>
      <c r="K5263" s="103" t="str">
        <f>HYPERLINK("E:\PropInv\MF\Arlington\Abram E_2420_Regal Commons_Arlington_15506","Abram E_2420_Regal Commons_Arlington_15506" )</f>
        <v>Abram E_2420_Regal Commons_Arlington_15506</v>
      </c>
      <c r="L5263" s="104" t="s">
        <v>22253</v>
      </c>
      <c r="M5263" s="103" t="str">
        <f t="shared" si="413"/>
        <v>http://oconnordata.com/mlink/modules/profile/index.cfm?action=profile&amp;prop_id=15506</v>
      </c>
      <c r="N5263" s="1">
        <f t="shared" si="414"/>
        <v>15506</v>
      </c>
    </row>
    <row r="5264" spans="1:14" x14ac:dyDescent="0.3">
      <c r="A5264" s="1">
        <v>15507</v>
      </c>
      <c r="B5264" s="7" t="s">
        <v>7951</v>
      </c>
      <c r="C5264" s="12">
        <v>1414</v>
      </c>
      <c r="D5264" s="7" t="s">
        <v>7952</v>
      </c>
      <c r="E5264" s="13" t="s">
        <v>5009</v>
      </c>
      <c r="F5264" t="str">
        <f t="shared" si="410"/>
        <v>Shiloh</v>
      </c>
      <c r="G5264" t="str">
        <f t="shared" si="411"/>
        <v>Shiloh1414Plano</v>
      </c>
      <c r="H5264" t="s">
        <v>36121</v>
      </c>
      <c r="I5264" t="s">
        <v>27543</v>
      </c>
      <c r="J5264" t="str">
        <f t="shared" si="412"/>
        <v>E:\PropInv\MF</v>
      </c>
      <c r="K5264" s="103" t="str">
        <f>HYPERLINK("E:\PropInv\MF\Plano\Shiloh_1414_Waterford on the Meadow_Plano_15507","Shiloh_1414_Waterford on the Meadow_Plano_15507" )</f>
        <v>Shiloh_1414_Waterford on the Meadow_Plano_15507</v>
      </c>
      <c r="L5264" s="104" t="s">
        <v>22253</v>
      </c>
      <c r="M5264" s="103" t="str">
        <f t="shared" si="413"/>
        <v>http://oconnordata.com/mlink/modules/profile/index.cfm?action=profile&amp;prop_id=15507</v>
      </c>
      <c r="N5264" s="1">
        <f t="shared" si="414"/>
        <v>15507</v>
      </c>
    </row>
    <row r="5265" spans="1:14" x14ac:dyDescent="0.3">
      <c r="A5265" s="1">
        <v>15509</v>
      </c>
      <c r="B5265" s="7" t="s">
        <v>7953</v>
      </c>
      <c r="C5265" s="12">
        <v>5223</v>
      </c>
      <c r="D5265" s="7" t="s">
        <v>7954</v>
      </c>
      <c r="E5265" s="13" t="s">
        <v>6555</v>
      </c>
      <c r="F5265" t="str">
        <f t="shared" si="410"/>
        <v>Camino</v>
      </c>
      <c r="G5265" t="str">
        <f t="shared" si="411"/>
        <v>Camino5223Arlington</v>
      </c>
      <c r="H5265" t="s">
        <v>36122</v>
      </c>
      <c r="I5265" t="s">
        <v>27544</v>
      </c>
      <c r="J5265" t="str">
        <f t="shared" si="412"/>
        <v>E:\PropInv\MF</v>
      </c>
      <c r="K5265" s="103" t="str">
        <f>HYPERLINK("E:\PropInv\MF\Arlington\Camino Verdes Blvd_5223_Palos Verde TH_Arlington_15509","Camino Verdes Blvd_5223_Palos Verde TH_Arlington_15509" )</f>
        <v>Camino Verdes Blvd_5223_Palos Verde TH_Arlington_15509</v>
      </c>
      <c r="L5265" s="104" t="s">
        <v>22253</v>
      </c>
      <c r="M5265" s="103" t="str">
        <f t="shared" si="413"/>
        <v>http://oconnordata.com/mlink/modules/profile/index.cfm?action=profile&amp;prop_id=15509</v>
      </c>
      <c r="N5265" s="1">
        <f t="shared" si="414"/>
        <v>15509</v>
      </c>
    </row>
    <row r="5266" spans="1:14" x14ac:dyDescent="0.3">
      <c r="A5266" s="1">
        <v>15510</v>
      </c>
      <c r="B5266" s="7" t="s">
        <v>7955</v>
      </c>
      <c r="C5266" s="12" t="s">
        <v>7956</v>
      </c>
      <c r="D5266" s="7" t="s">
        <v>7957</v>
      </c>
      <c r="E5266" s="13" t="s">
        <v>6555</v>
      </c>
      <c r="F5266" t="str">
        <f t="shared" si="410"/>
        <v>Madison</v>
      </c>
      <c r="G5266" t="str">
        <f t="shared" si="411"/>
        <v>Madison2225-2227Arlington</v>
      </c>
      <c r="H5266" t="s">
        <v>36123</v>
      </c>
      <c r="I5266" t="s">
        <v>27545</v>
      </c>
      <c r="J5266" t="str">
        <f t="shared" si="412"/>
        <v>E:\PropInv\MF</v>
      </c>
      <c r="K5266" s="103" t="str">
        <f>HYPERLINK("E:\PropInv\MF\Arlington\Madison Dr_2225-2227_Shadow Tree Condominium_Arlington_15510","Madison Dr_2225-2227_Shadow Tree Condominium_Arlington_15510" )</f>
        <v>Madison Dr_2225-2227_Shadow Tree Condominium_Arlington_15510</v>
      </c>
      <c r="L5266" s="104" t="s">
        <v>22253</v>
      </c>
      <c r="M5266" s="103" t="str">
        <f t="shared" si="413"/>
        <v>http://oconnordata.com/mlink/modules/profile/index.cfm?action=profile&amp;prop_id=15510</v>
      </c>
      <c r="N5266" s="1">
        <f t="shared" si="414"/>
        <v>15510</v>
      </c>
    </row>
    <row r="5267" spans="1:14" x14ac:dyDescent="0.3">
      <c r="A5267" s="1">
        <v>15512</v>
      </c>
      <c r="B5267" s="21" t="s">
        <v>7958</v>
      </c>
      <c r="C5267" s="12">
        <v>820</v>
      </c>
      <c r="D5267" s="7" t="s">
        <v>7959</v>
      </c>
      <c r="E5267" s="13" t="s">
        <v>7790</v>
      </c>
      <c r="F5267" t="str">
        <f t="shared" si="410"/>
        <v>SE</v>
      </c>
      <c r="G5267" t="str">
        <f t="shared" si="411"/>
        <v>SE820Azle</v>
      </c>
      <c r="H5267" t="s">
        <v>36124</v>
      </c>
      <c r="I5267" t="s">
        <v>27546</v>
      </c>
      <c r="J5267" t="str">
        <f t="shared" si="412"/>
        <v>E:\PropInv\MF</v>
      </c>
      <c r="K5267" s="103" t="str">
        <f>HYPERLINK("E:\PropInv\MF\Azle\SE Pkwy_820_Shady Creek_Azle_15512","SE Pkwy_820_Shady Creek_Azle_15512" )</f>
        <v>SE Pkwy_820_Shady Creek_Azle_15512</v>
      </c>
      <c r="L5267" s="104" t="s">
        <v>22253</v>
      </c>
      <c r="M5267" s="103" t="str">
        <f t="shared" si="413"/>
        <v>http://oconnordata.com/mlink/modules/profile/index.cfm?action=profile&amp;prop_id=15512</v>
      </c>
      <c r="N5267" s="1">
        <f t="shared" si="414"/>
        <v>15512</v>
      </c>
    </row>
    <row r="5268" spans="1:14" x14ac:dyDescent="0.3">
      <c r="A5268" s="1">
        <v>15515</v>
      </c>
      <c r="B5268" s="7" t="s">
        <v>2225</v>
      </c>
      <c r="C5268" s="12">
        <v>1400</v>
      </c>
      <c r="D5268" s="7" t="s">
        <v>7960</v>
      </c>
      <c r="E5268" s="13" t="s">
        <v>4942</v>
      </c>
      <c r="F5268" t="str">
        <f t="shared" si="410"/>
        <v>Shady</v>
      </c>
      <c r="G5268" t="str">
        <f t="shared" si="411"/>
        <v>Shady1400Bedford</v>
      </c>
      <c r="H5268" t="s">
        <v>36125</v>
      </c>
      <c r="I5268" t="s">
        <v>27547</v>
      </c>
      <c r="J5268" t="str">
        <f t="shared" si="412"/>
        <v>E:\PropInv\MF</v>
      </c>
      <c r="K5268" s="103" t="str">
        <f>HYPERLINK("E:\PropInv\MF\Bedford\Shady Ln_1400_Shenandoah Village_Bedford_15515","Shady Ln_1400_Shenandoah Village_Bedford_15515" )</f>
        <v>Shady Ln_1400_Shenandoah Village_Bedford_15515</v>
      </c>
      <c r="L5268" s="104" t="s">
        <v>22253</v>
      </c>
      <c r="M5268" s="103" t="str">
        <f t="shared" si="413"/>
        <v>http://oconnordata.com/mlink/modules/profile/index.cfm?action=profile&amp;prop_id=15515</v>
      </c>
      <c r="N5268" s="1">
        <f t="shared" si="414"/>
        <v>15515</v>
      </c>
    </row>
    <row r="5269" spans="1:14" x14ac:dyDescent="0.3">
      <c r="A5269" s="1">
        <v>15516</v>
      </c>
      <c r="B5269" s="7" t="s">
        <v>7961</v>
      </c>
      <c r="C5269" s="12">
        <v>5000</v>
      </c>
      <c r="D5269" s="7" t="s">
        <v>772</v>
      </c>
      <c r="E5269" s="13" t="s">
        <v>5009</v>
      </c>
      <c r="F5269" t="str">
        <f t="shared" si="410"/>
        <v>Whitestone</v>
      </c>
      <c r="G5269" t="str">
        <f t="shared" si="411"/>
        <v>Whitestone5000Plano</v>
      </c>
      <c r="H5269" t="s">
        <v>36126</v>
      </c>
      <c r="I5269" t="s">
        <v>27548</v>
      </c>
      <c r="J5269" t="str">
        <f t="shared" si="412"/>
        <v>E:\PropInv\MF</v>
      </c>
      <c r="K5269" s="103" t="str">
        <f>HYPERLINK("E:\PropInv\MF\Plano\Whitestone_5000_Waters Edge_Plano_15516","Whitestone_5000_Waters Edge_Plano_15516" )</f>
        <v>Whitestone_5000_Waters Edge_Plano_15516</v>
      </c>
      <c r="L5269" s="104" t="s">
        <v>22253</v>
      </c>
      <c r="M5269" s="103" t="str">
        <f t="shared" si="413"/>
        <v>http://oconnordata.com/mlink/modules/profile/index.cfm?action=profile&amp;prop_id=15516</v>
      </c>
      <c r="N5269" s="1">
        <f t="shared" si="414"/>
        <v>15516</v>
      </c>
    </row>
    <row r="5270" spans="1:14" x14ac:dyDescent="0.3">
      <c r="A5270" s="1">
        <v>15517</v>
      </c>
      <c r="B5270" s="7" t="s">
        <v>7962</v>
      </c>
      <c r="C5270" s="12">
        <v>5501</v>
      </c>
      <c r="D5270" s="7" t="s">
        <v>7963</v>
      </c>
      <c r="E5270" s="13" t="s">
        <v>7964</v>
      </c>
      <c r="F5270" t="str">
        <f t="shared" si="410"/>
        <v>Lakeview</v>
      </c>
      <c r="G5270" t="str">
        <f t="shared" si="411"/>
        <v>Lakeview5501Rowlett</v>
      </c>
      <c r="H5270" t="s">
        <v>36127</v>
      </c>
      <c r="I5270" t="s">
        <v>27549</v>
      </c>
      <c r="J5270" t="str">
        <f t="shared" si="412"/>
        <v>E:\PropInv\MF</v>
      </c>
      <c r="K5270" s="103" t="str">
        <f>HYPERLINK("E:\PropInv\MF\Rowlett\Lakeview Pkwy_5501_Waters Edge Villas_Rowlett_15517","Lakeview Pkwy_5501_Waters Edge Villas_Rowlett_15517" )</f>
        <v>Lakeview Pkwy_5501_Waters Edge Villas_Rowlett_15517</v>
      </c>
      <c r="L5270" s="104" t="s">
        <v>22253</v>
      </c>
      <c r="M5270" s="103" t="str">
        <f t="shared" si="413"/>
        <v>http://oconnordata.com/mlink/modules/profile/index.cfm?action=profile&amp;prop_id=15517</v>
      </c>
      <c r="N5270" s="1">
        <f t="shared" si="414"/>
        <v>15517</v>
      </c>
    </row>
    <row r="5271" spans="1:14" x14ac:dyDescent="0.3">
      <c r="A5271" s="1">
        <v>15518</v>
      </c>
      <c r="B5271" s="7" t="s">
        <v>7965</v>
      </c>
      <c r="C5271" s="12">
        <v>2800</v>
      </c>
      <c r="D5271" s="7" t="s">
        <v>7966</v>
      </c>
      <c r="E5271" s="13" t="s">
        <v>3328</v>
      </c>
      <c r="F5271" t="str">
        <f t="shared" si="410"/>
        <v>Waterview</v>
      </c>
      <c r="G5271" t="str">
        <f t="shared" si="411"/>
        <v>Waterview2800Richardson</v>
      </c>
      <c r="H5271" t="s">
        <v>36128</v>
      </c>
      <c r="I5271" t="s">
        <v>27550</v>
      </c>
      <c r="J5271" t="str">
        <f t="shared" si="412"/>
        <v>E:\PropInv\MF</v>
      </c>
      <c r="K5271" s="103" t="str">
        <f>HYPERLINK("E:\PropInv\MF\Richardson\Waterview Pkwy_2800_Waterview Park_Richardson_15518","Waterview Pkwy_2800_Waterview Park_Richardson_15518" )</f>
        <v>Waterview Pkwy_2800_Waterview Park_Richardson_15518</v>
      </c>
      <c r="L5271" s="104" t="s">
        <v>22253</v>
      </c>
      <c r="M5271" s="103" t="str">
        <f t="shared" si="413"/>
        <v>http://oconnordata.com/mlink/modules/profile/index.cfm?action=profile&amp;prop_id=15518</v>
      </c>
      <c r="N5271" s="1">
        <f t="shared" si="414"/>
        <v>15518</v>
      </c>
    </row>
    <row r="5272" spans="1:14" x14ac:dyDescent="0.3">
      <c r="A5272" s="97">
        <v>15519</v>
      </c>
      <c r="B5272" s="7" t="s">
        <v>7074</v>
      </c>
      <c r="C5272" s="12">
        <v>301</v>
      </c>
      <c r="D5272" s="7" t="s">
        <v>7967</v>
      </c>
      <c r="E5272" s="13" t="s">
        <v>5140</v>
      </c>
      <c r="F5272" t="str">
        <f t="shared" si="410"/>
        <v>Jupiter</v>
      </c>
      <c r="G5272" t="str">
        <f t="shared" si="411"/>
        <v>Jupiter301Allen</v>
      </c>
      <c r="H5272" t="s">
        <v>36129</v>
      </c>
      <c r="I5272" t="s">
        <v>27551</v>
      </c>
      <c r="J5272" t="str">
        <f t="shared" si="412"/>
        <v>E:\PropInv\MF</v>
      </c>
      <c r="K5272" s="103" t="str">
        <f>HYPERLINK("E:\PropInv\MF\Allen\Jupiter S_301_Wyndsor Court_Allen_15519","Jupiter S_301_Wyndsor Court_Allen_15519" )</f>
        <v>Jupiter S_301_Wyndsor Court_Allen_15519</v>
      </c>
      <c r="L5272" s="104" t="s">
        <v>22253</v>
      </c>
      <c r="M5272" s="103" t="str">
        <f t="shared" si="413"/>
        <v>http://oconnordata.com/mlink/modules/profile/index.cfm?action=profile&amp;prop_id=15519</v>
      </c>
      <c r="N5272" s="1">
        <f t="shared" si="414"/>
        <v>15519</v>
      </c>
    </row>
    <row r="5273" spans="1:14" x14ac:dyDescent="0.3">
      <c r="A5273" s="1">
        <v>15520</v>
      </c>
      <c r="B5273" s="7" t="s">
        <v>2225</v>
      </c>
      <c r="C5273" s="12">
        <v>1401</v>
      </c>
      <c r="D5273" s="7" t="s">
        <v>7968</v>
      </c>
      <c r="E5273" s="13" t="s">
        <v>4942</v>
      </c>
      <c r="F5273" t="str">
        <f t="shared" si="410"/>
        <v>Shady</v>
      </c>
      <c r="G5273" t="str">
        <f t="shared" si="411"/>
        <v>Shady1401Bedford</v>
      </c>
      <c r="H5273" t="s">
        <v>36130</v>
      </c>
      <c r="I5273" t="s">
        <v>27552</v>
      </c>
      <c r="J5273" t="str">
        <f t="shared" si="412"/>
        <v>E:\PropInv\MF</v>
      </c>
      <c r="K5273" s="103" t="str">
        <f>HYPERLINK("E:\PropInv\MF\Bedford\Shady Ln_1401_Waters Park AH_Bedford_15520","Shady Ln_1401_Waters Park AH_Bedford_15520" )</f>
        <v>Shady Ln_1401_Waters Park AH_Bedford_15520</v>
      </c>
      <c r="L5273" s="104" t="s">
        <v>22253</v>
      </c>
      <c r="M5273" s="103" t="str">
        <f t="shared" si="413"/>
        <v>http://oconnordata.com/mlink/modules/profile/index.cfm?action=profile&amp;prop_id=15520</v>
      </c>
      <c r="N5273" s="1">
        <f t="shared" si="414"/>
        <v>15520</v>
      </c>
    </row>
    <row r="5274" spans="1:14" x14ac:dyDescent="0.3">
      <c r="A5274" s="1">
        <v>15521</v>
      </c>
      <c r="B5274" s="7" t="s">
        <v>7969</v>
      </c>
      <c r="C5274" s="12">
        <v>3100</v>
      </c>
      <c r="D5274" s="7" t="s">
        <v>6022</v>
      </c>
      <c r="E5274" s="13" t="s">
        <v>6555</v>
      </c>
      <c r="F5274" t="str">
        <f t="shared" si="410"/>
        <v>Park</v>
      </c>
      <c r="G5274" t="str">
        <f t="shared" si="411"/>
        <v>Park3100Arlington</v>
      </c>
      <c r="H5274" t="s">
        <v>36131</v>
      </c>
      <c r="I5274" t="s">
        <v>27553</v>
      </c>
      <c r="J5274" t="str">
        <f t="shared" si="412"/>
        <v>E:\PropInv\MF</v>
      </c>
      <c r="K5274" s="103" t="str">
        <f>HYPERLINK("E:\PropInv\MF\Arlington\Park Row E_3100_Park Lane_Arlington_15521","Park Row E_3100_Park Lane_Arlington_15521" )</f>
        <v>Park Row E_3100_Park Lane_Arlington_15521</v>
      </c>
      <c r="L5274" s="104" t="s">
        <v>22253</v>
      </c>
      <c r="M5274" s="103" t="str">
        <f t="shared" si="413"/>
        <v>http://oconnordata.com/mlink/modules/profile/index.cfm?action=profile&amp;prop_id=15521</v>
      </c>
      <c r="N5274" s="1">
        <f t="shared" si="414"/>
        <v>15521</v>
      </c>
    </row>
    <row r="5275" spans="1:14" x14ac:dyDescent="0.3">
      <c r="A5275" s="1">
        <v>15522</v>
      </c>
      <c r="B5275" s="7" t="s">
        <v>7689</v>
      </c>
      <c r="C5275" s="12">
        <v>2301</v>
      </c>
      <c r="D5275" s="7" t="s">
        <v>7970</v>
      </c>
      <c r="E5275" s="13" t="s">
        <v>5043</v>
      </c>
      <c r="F5275" t="str">
        <f t="shared" si="410"/>
        <v>White</v>
      </c>
      <c r="G5275" t="str">
        <f t="shared" si="411"/>
        <v>White2301McKinney</v>
      </c>
      <c r="H5275" t="s">
        <v>36132</v>
      </c>
      <c r="I5275" t="s">
        <v>27554</v>
      </c>
      <c r="J5275" t="str">
        <f t="shared" si="412"/>
        <v>E:\PropInv\MF</v>
      </c>
      <c r="K5275" s="103" t="str">
        <f>HYPERLINK("E:\PropInv\MF\McKinney\White Ave_2301_Park On The Creek_McKinney_15522","White Ave_2301_Park On The Creek_McKinney_15522" )</f>
        <v>White Ave_2301_Park On The Creek_McKinney_15522</v>
      </c>
      <c r="L5275" s="104" t="s">
        <v>22253</v>
      </c>
      <c r="M5275" s="103" t="str">
        <f t="shared" si="413"/>
        <v>http://oconnordata.com/mlink/modules/profile/index.cfm?action=profile&amp;prop_id=15522</v>
      </c>
      <c r="N5275" s="1">
        <f t="shared" si="414"/>
        <v>15522</v>
      </c>
    </row>
    <row r="5276" spans="1:14" x14ac:dyDescent="0.3">
      <c r="A5276" s="97">
        <v>15523</v>
      </c>
      <c r="B5276" s="7" t="s">
        <v>7971</v>
      </c>
      <c r="C5276" s="12">
        <v>2003</v>
      </c>
      <c r="D5276" s="7" t="s">
        <v>2747</v>
      </c>
      <c r="E5276" s="13" t="s">
        <v>6555</v>
      </c>
      <c r="F5276" t="str">
        <f t="shared" si="410"/>
        <v>Wesley</v>
      </c>
      <c r="G5276" t="str">
        <f t="shared" si="411"/>
        <v>Wesley2003Arlington</v>
      </c>
      <c r="H5276" t="s">
        <v>36133</v>
      </c>
      <c r="I5276" t="s">
        <v>27555</v>
      </c>
      <c r="J5276" t="str">
        <f t="shared" si="412"/>
        <v>E:\PropInv\MF</v>
      </c>
      <c r="K5276" s="103" t="str">
        <f>HYPERLINK("E:\PropInv\MF\Arlington\Wesley_2003_Windemere_Arlington_15523","Wesley_2003_Windemere_Arlington_15523" )</f>
        <v>Wesley_2003_Windemere_Arlington_15523</v>
      </c>
      <c r="L5276" s="104" t="s">
        <v>22253</v>
      </c>
      <c r="M5276" s="103" t="str">
        <f t="shared" si="413"/>
        <v>http://oconnordata.com/mlink/modules/profile/index.cfm?action=profile&amp;prop_id=15523</v>
      </c>
      <c r="N5276" s="1">
        <f t="shared" si="414"/>
        <v>15523</v>
      </c>
    </row>
    <row r="5277" spans="1:14" x14ac:dyDescent="0.3">
      <c r="A5277" s="1">
        <v>15524</v>
      </c>
      <c r="B5277" s="7" t="s">
        <v>7972</v>
      </c>
      <c r="C5277" s="12">
        <v>621</v>
      </c>
      <c r="D5277" s="7" t="s">
        <v>548</v>
      </c>
      <c r="E5277" s="13" t="s">
        <v>6612</v>
      </c>
      <c r="F5277" t="str">
        <f t="shared" si="410"/>
        <v>Arcadia</v>
      </c>
      <c r="G5277" t="str">
        <f t="shared" si="411"/>
        <v>Arcadia621Hurst</v>
      </c>
      <c r="H5277" t="s">
        <v>36134</v>
      </c>
      <c r="I5277" t="s">
        <v>27556</v>
      </c>
      <c r="J5277" t="str">
        <f t="shared" si="412"/>
        <v>E:\PropInv\MF</v>
      </c>
      <c r="K5277" s="103" t="str">
        <f>HYPERLINK("E:\PropInv\MF\Hurst\Arcadia St_621_Park Place_Hurst_15524","Arcadia St_621_Park Place_Hurst_15524" )</f>
        <v>Arcadia St_621_Park Place_Hurst_15524</v>
      </c>
      <c r="L5277" s="104" t="s">
        <v>22253</v>
      </c>
      <c r="M5277" s="103" t="str">
        <f t="shared" si="413"/>
        <v>http://oconnordata.com/mlink/modules/profile/index.cfm?action=profile&amp;prop_id=15524</v>
      </c>
      <c r="N5277" s="1">
        <f t="shared" si="414"/>
        <v>15524</v>
      </c>
    </row>
    <row r="5278" spans="1:14" x14ac:dyDescent="0.3">
      <c r="A5278" s="97">
        <v>15525</v>
      </c>
      <c r="B5278" s="7" t="s">
        <v>7969</v>
      </c>
      <c r="C5278" s="12">
        <v>3025</v>
      </c>
      <c r="D5278" s="7" t="s">
        <v>7973</v>
      </c>
      <c r="E5278" s="13" t="s">
        <v>6555</v>
      </c>
      <c r="F5278" t="str">
        <f t="shared" si="410"/>
        <v>Park</v>
      </c>
      <c r="G5278" t="str">
        <f t="shared" si="411"/>
        <v>Park3025Arlington</v>
      </c>
      <c r="H5278" t="s">
        <v>36135</v>
      </c>
      <c r="I5278" t="s">
        <v>27557</v>
      </c>
      <c r="J5278" t="str">
        <f t="shared" si="412"/>
        <v>E:\PropInv\MF</v>
      </c>
      <c r="K5278" s="103" t="str">
        <f>HYPERLINK("E:\PropInv\MF\Arlington\Park Row E_3025_Winding Oaks_Arlington_15525","Park Row E_3025_Winding Oaks_Arlington_15525" )</f>
        <v>Park Row E_3025_Winding Oaks_Arlington_15525</v>
      </c>
      <c r="L5278" s="104" t="s">
        <v>22253</v>
      </c>
      <c r="M5278" s="103" t="str">
        <f t="shared" si="413"/>
        <v>http://oconnordata.com/mlink/modules/profile/index.cfm?action=profile&amp;prop_id=15525</v>
      </c>
      <c r="N5278" s="1">
        <f t="shared" si="414"/>
        <v>15525</v>
      </c>
    </row>
    <row r="5279" spans="1:14" x14ac:dyDescent="0.3">
      <c r="A5279" s="1">
        <v>15527</v>
      </c>
      <c r="B5279" s="7" t="s">
        <v>7969</v>
      </c>
      <c r="C5279" s="12">
        <v>3201</v>
      </c>
      <c r="D5279" s="7" t="s">
        <v>7974</v>
      </c>
      <c r="E5279" s="13" t="s">
        <v>6555</v>
      </c>
      <c r="F5279" t="str">
        <f t="shared" si="410"/>
        <v>Park</v>
      </c>
      <c r="G5279" t="str">
        <f t="shared" si="411"/>
        <v>Park3201Arlington</v>
      </c>
      <c r="H5279" t="s">
        <v>36136</v>
      </c>
      <c r="I5279" t="s">
        <v>27558</v>
      </c>
      <c r="J5279" t="str">
        <f t="shared" si="412"/>
        <v>E:\PropInv\MF</v>
      </c>
      <c r="K5279" s="103" t="str">
        <f>HYPERLINK("E:\PropInv\MF\Arlington\Park Row E_3201_Park Row East_Arlington_15527","Park Row E_3201_Park Row East_Arlington_15527" )</f>
        <v>Park Row E_3201_Park Row East_Arlington_15527</v>
      </c>
      <c r="L5279" s="104" t="s">
        <v>22253</v>
      </c>
      <c r="M5279" s="103" t="str">
        <f t="shared" si="413"/>
        <v>http://oconnordata.com/mlink/modules/profile/index.cfm?action=profile&amp;prop_id=15527</v>
      </c>
      <c r="N5279" s="1">
        <f t="shared" si="414"/>
        <v>15527</v>
      </c>
    </row>
    <row r="5280" spans="1:14" x14ac:dyDescent="0.3">
      <c r="A5280" s="1">
        <v>15528</v>
      </c>
      <c r="B5280" s="7" t="s">
        <v>7975</v>
      </c>
      <c r="C5280" s="12">
        <v>555</v>
      </c>
      <c r="D5280" s="7" t="s">
        <v>1261</v>
      </c>
      <c r="E5280" s="13" t="s">
        <v>6612</v>
      </c>
      <c r="F5280" t="str">
        <f t="shared" si="410"/>
        <v>Precinct</v>
      </c>
      <c r="G5280" t="str">
        <f t="shared" si="411"/>
        <v>Precinct555Hurst</v>
      </c>
      <c r="H5280" t="s">
        <v>36137</v>
      </c>
      <c r="I5280" t="s">
        <v>27559</v>
      </c>
      <c r="J5280" t="str">
        <f t="shared" si="412"/>
        <v>E:\PropInv\MF</v>
      </c>
      <c r="K5280" s="103" t="str">
        <f>HYPERLINK("E:\PropInv\MF\Hurst\Precinct Line Rd_555_Parkside_Hurst_15528","Precinct Line Rd_555_Parkside_Hurst_15528" )</f>
        <v>Precinct Line Rd_555_Parkside_Hurst_15528</v>
      </c>
      <c r="L5280" s="104" t="s">
        <v>22253</v>
      </c>
      <c r="M5280" s="103" t="str">
        <f t="shared" si="413"/>
        <v>http://oconnordata.com/mlink/modules/profile/index.cfm?action=profile&amp;prop_id=15528</v>
      </c>
      <c r="N5280" s="1">
        <f t="shared" si="414"/>
        <v>15528</v>
      </c>
    </row>
    <row r="5281" spans="1:14" x14ac:dyDescent="0.3">
      <c r="A5281" s="1">
        <v>15529</v>
      </c>
      <c r="B5281" s="7" t="s">
        <v>7539</v>
      </c>
      <c r="C5281" s="12">
        <v>4019</v>
      </c>
      <c r="D5281" s="7" t="s">
        <v>7976</v>
      </c>
      <c r="E5281" s="13" t="s">
        <v>6555</v>
      </c>
      <c r="F5281" t="str">
        <f t="shared" si="410"/>
        <v>Park</v>
      </c>
      <c r="G5281" t="str">
        <f t="shared" si="411"/>
        <v>Park4019Arlington</v>
      </c>
      <c r="H5281" t="s">
        <v>36138</v>
      </c>
      <c r="I5281" t="s">
        <v>27560</v>
      </c>
      <c r="J5281" t="str">
        <f t="shared" si="412"/>
        <v>E:\PropInv\MF</v>
      </c>
      <c r="K5281" s="103" t="str">
        <f>HYPERLINK("E:\PropInv\MF\Arlington\Park Sq Dr_4019_Park Square_Arlington_15529","Park Sq Dr_4019_Park Square_Arlington_15529" )</f>
        <v>Park Sq Dr_4019_Park Square_Arlington_15529</v>
      </c>
      <c r="L5281" s="104" t="s">
        <v>22253</v>
      </c>
      <c r="M5281" s="103" t="str">
        <f t="shared" si="413"/>
        <v>http://oconnordata.com/mlink/modules/profile/index.cfm?action=profile&amp;prop_id=15529</v>
      </c>
      <c r="N5281" s="1">
        <f t="shared" si="414"/>
        <v>15529</v>
      </c>
    </row>
    <row r="5282" spans="1:14" x14ac:dyDescent="0.3">
      <c r="A5282" s="1">
        <v>15530</v>
      </c>
      <c r="B5282" s="7" t="s">
        <v>7977</v>
      </c>
      <c r="C5282" s="12">
        <v>6728</v>
      </c>
      <c r="D5282" s="7" t="s">
        <v>7978</v>
      </c>
      <c r="E5282" s="107" t="s">
        <v>22287</v>
      </c>
      <c r="F5282" t="str">
        <f t="shared" si="410"/>
        <v>Park</v>
      </c>
      <c r="G5282" t="str">
        <f t="shared" si="411"/>
        <v>Park6728Watauga</v>
      </c>
      <c r="H5282" t="s">
        <v>36139</v>
      </c>
      <c r="I5282" t="s">
        <v>27561</v>
      </c>
      <c r="J5282" t="str">
        <f t="shared" si="412"/>
        <v>E:\PropInv\MF</v>
      </c>
      <c r="K5282" s="103" t="str">
        <f>HYPERLINK("E:\PropInv\MF\Watauga\Park Vista Rd_6728_Park Vista TH_Watauga_15530","Park Vista Rd_6728_Park Vista TH_Watauga_15530" )</f>
        <v>Park Vista Rd_6728_Park Vista TH_Watauga_15530</v>
      </c>
      <c r="L5282" s="104" t="s">
        <v>22253</v>
      </c>
      <c r="M5282" s="103" t="str">
        <f t="shared" si="413"/>
        <v>http://oconnordata.com/mlink/modules/profile/index.cfm?action=profile&amp;prop_id=15530</v>
      </c>
      <c r="N5282" s="1">
        <f t="shared" si="414"/>
        <v>15530</v>
      </c>
    </row>
    <row r="5283" spans="1:14" x14ac:dyDescent="0.3">
      <c r="A5283" s="1">
        <v>15531</v>
      </c>
      <c r="B5283" s="7" t="s">
        <v>7979</v>
      </c>
      <c r="C5283" s="12">
        <v>6601</v>
      </c>
      <c r="D5283" s="7" t="s">
        <v>7980</v>
      </c>
      <c r="E5283" s="13" t="s">
        <v>6555</v>
      </c>
      <c r="F5283" t="str">
        <f t="shared" si="410"/>
        <v>Treepoint</v>
      </c>
      <c r="G5283" t="str">
        <f t="shared" si="411"/>
        <v>Treepoint6601Arlington</v>
      </c>
      <c r="H5283" t="s">
        <v>36140</v>
      </c>
      <c r="I5283" t="s">
        <v>27562</v>
      </c>
      <c r="J5283" t="str">
        <f t="shared" si="412"/>
        <v>E:\PropInv\MF</v>
      </c>
      <c r="K5283" s="103" t="str">
        <f>HYPERLINK("E:\PropInv\MF\Arlington\Treepoint_6601_Parks at Tree Point_Arlington_15531","Treepoint_6601_Parks at Tree Point_Arlington_15531" )</f>
        <v>Treepoint_6601_Parks at Tree Point_Arlington_15531</v>
      </c>
      <c r="L5283" s="104" t="s">
        <v>22253</v>
      </c>
      <c r="M5283" s="103" t="str">
        <f t="shared" si="413"/>
        <v>http://oconnordata.com/mlink/modules/profile/index.cfm?action=profile&amp;prop_id=15531</v>
      </c>
      <c r="N5283" s="1">
        <f t="shared" si="414"/>
        <v>15531</v>
      </c>
    </row>
    <row r="5284" spans="1:14" x14ac:dyDescent="0.3">
      <c r="A5284" s="1">
        <v>15532</v>
      </c>
      <c r="B5284" s="7" t="s">
        <v>7981</v>
      </c>
      <c r="C5284" s="12">
        <v>1122</v>
      </c>
      <c r="D5284" s="7" t="s">
        <v>7982</v>
      </c>
      <c r="E5284" s="13" t="s">
        <v>6555</v>
      </c>
      <c r="F5284" t="str">
        <f t="shared" si="410"/>
        <v>Millview</v>
      </c>
      <c r="G5284" t="str">
        <f t="shared" si="411"/>
        <v>Millview1122Arlington</v>
      </c>
      <c r="H5284" t="s">
        <v>36141</v>
      </c>
      <c r="I5284" t="s">
        <v>27563</v>
      </c>
      <c r="J5284" t="str">
        <f t="shared" si="412"/>
        <v>E:\PropInv\MF</v>
      </c>
      <c r="K5284" s="103" t="str">
        <f>HYPERLINK("E:\PropInv\MF\Arlington\Millview_1122_Parkside TH_Arlington_15532","Millview_1122_Parkside TH_Arlington_15532" )</f>
        <v>Millview_1122_Parkside TH_Arlington_15532</v>
      </c>
      <c r="L5284" s="104" t="s">
        <v>22253</v>
      </c>
      <c r="M5284" s="103" t="str">
        <f t="shared" si="413"/>
        <v>http://oconnordata.com/mlink/modules/profile/index.cfm?action=profile&amp;prop_id=15532</v>
      </c>
      <c r="N5284" s="1">
        <f t="shared" si="414"/>
        <v>15532</v>
      </c>
    </row>
    <row r="5285" spans="1:14" x14ac:dyDescent="0.3">
      <c r="A5285" s="1">
        <v>15533</v>
      </c>
      <c r="B5285" s="7" t="s">
        <v>7983</v>
      </c>
      <c r="C5285" s="12">
        <v>1541</v>
      </c>
      <c r="D5285" s="7" t="s">
        <v>7984</v>
      </c>
      <c r="E5285" s="13" t="s">
        <v>6555</v>
      </c>
      <c r="F5285" t="str">
        <f t="shared" si="410"/>
        <v>Pkwy</v>
      </c>
      <c r="G5285" t="str">
        <f t="shared" si="411"/>
        <v>Pkwy1541Arlington</v>
      </c>
      <c r="H5285" t="s">
        <v>36142</v>
      </c>
      <c r="I5285" t="s">
        <v>27564</v>
      </c>
      <c r="J5285" t="str">
        <f t="shared" si="412"/>
        <v>E:\PropInv\MF</v>
      </c>
      <c r="K5285" s="103" t="str">
        <f>HYPERLINK("E:\PropInv\MF\Arlington\Pkwy Ln_1541_Parkway East TH_Arlington_15533","Pkwy Ln_1541_Parkway East TH_Arlington_15533" )</f>
        <v>Pkwy Ln_1541_Parkway East TH_Arlington_15533</v>
      </c>
      <c r="L5285" s="104" t="s">
        <v>22253</v>
      </c>
      <c r="M5285" s="103" t="str">
        <f t="shared" si="413"/>
        <v>http://oconnordata.com/mlink/modules/profile/index.cfm?action=profile&amp;prop_id=15533</v>
      </c>
      <c r="N5285" s="1">
        <f t="shared" si="414"/>
        <v>15533</v>
      </c>
    </row>
    <row r="5286" spans="1:14" x14ac:dyDescent="0.3">
      <c r="A5286" s="1">
        <v>15535</v>
      </c>
      <c r="B5286" s="7" t="s">
        <v>7842</v>
      </c>
      <c r="C5286" s="12">
        <v>300</v>
      </c>
      <c r="D5286" s="7" t="s">
        <v>7985</v>
      </c>
      <c r="E5286" s="13" t="s">
        <v>6555</v>
      </c>
      <c r="F5286" t="str">
        <f t="shared" si="410"/>
        <v>Pioneer</v>
      </c>
      <c r="G5286" t="str">
        <f t="shared" si="411"/>
        <v>Pioneer300Arlington</v>
      </c>
      <c r="H5286" t="s">
        <v>36143</v>
      </c>
      <c r="I5286" t="s">
        <v>27565</v>
      </c>
      <c r="J5286" t="str">
        <f t="shared" si="412"/>
        <v>E:\PropInv\MF</v>
      </c>
      <c r="K5286" s="103" t="str">
        <f>HYPERLINK("E:\PropInv\MF\Arlington\Pioneer Pkwy W_300_English Village TH_Arlington_15535","Pioneer Pkwy W_300_English Village TH_Arlington_15535" )</f>
        <v>Pioneer Pkwy W_300_English Village TH_Arlington_15535</v>
      </c>
      <c r="L5286" s="104" t="s">
        <v>22253</v>
      </c>
      <c r="M5286" s="103" t="str">
        <f t="shared" si="413"/>
        <v>http://oconnordata.com/mlink/modules/profile/index.cfm?action=profile&amp;prop_id=15535</v>
      </c>
      <c r="N5286" s="1">
        <f t="shared" si="414"/>
        <v>15535</v>
      </c>
    </row>
    <row r="5287" spans="1:14" x14ac:dyDescent="0.3">
      <c r="A5287" s="1">
        <v>15536</v>
      </c>
      <c r="B5287" s="7" t="s">
        <v>5272</v>
      </c>
      <c r="C5287" s="12">
        <v>713</v>
      </c>
      <c r="D5287" s="7" t="s">
        <v>7986</v>
      </c>
      <c r="E5287" s="13" t="s">
        <v>5228</v>
      </c>
      <c r="F5287" t="str">
        <f t="shared" si="410"/>
        <v>Center</v>
      </c>
      <c r="G5287" t="str">
        <f t="shared" si="411"/>
        <v>Center713Duncanville</v>
      </c>
      <c r="H5287" t="s">
        <v>36144</v>
      </c>
      <c r="I5287" t="s">
        <v>27566</v>
      </c>
      <c r="J5287" t="str">
        <f t="shared" si="412"/>
        <v>E:\PropInv\MF</v>
      </c>
      <c r="K5287" s="103" t="str">
        <f>HYPERLINK("E:\PropInv\MF\Duncanville\Center W_713_Parkwood Plaza TH_Duncanville_15536","Center W_713_Parkwood Plaza TH_Duncanville_15536" )</f>
        <v>Center W_713_Parkwood Plaza TH_Duncanville_15536</v>
      </c>
      <c r="L5287" s="104" t="s">
        <v>22253</v>
      </c>
      <c r="M5287" s="103" t="str">
        <f t="shared" si="413"/>
        <v>http://oconnordata.com/mlink/modules/profile/index.cfm?action=profile&amp;prop_id=15536</v>
      </c>
      <c r="N5287" s="1">
        <f t="shared" si="414"/>
        <v>15536</v>
      </c>
    </row>
    <row r="5288" spans="1:14" x14ac:dyDescent="0.3">
      <c r="A5288" s="1">
        <v>15538</v>
      </c>
      <c r="B5288" s="7" t="s">
        <v>7778</v>
      </c>
      <c r="C5288" s="12">
        <v>2500</v>
      </c>
      <c r="D5288" s="7" t="s">
        <v>7987</v>
      </c>
      <c r="E5288" s="13" t="s">
        <v>4942</v>
      </c>
      <c r="F5288" t="str">
        <f t="shared" si="410"/>
        <v>Central</v>
      </c>
      <c r="G5288" t="str">
        <f t="shared" si="411"/>
        <v>Central2500Bedford</v>
      </c>
      <c r="H5288" t="s">
        <v>36145</v>
      </c>
      <c r="I5288" t="s">
        <v>27567</v>
      </c>
      <c r="J5288" t="str">
        <f t="shared" si="412"/>
        <v>E:\PropInv\MF</v>
      </c>
      <c r="K5288" s="103" t="str">
        <f>HYPERLINK("E:\PropInv\MF\Bedford\Central Dr_2500_Pecan Creek_Bedford_15538","Central Dr_2500_Pecan Creek_Bedford_15538" )</f>
        <v>Central Dr_2500_Pecan Creek_Bedford_15538</v>
      </c>
      <c r="L5288" s="104" t="s">
        <v>22253</v>
      </c>
      <c r="M5288" s="103" t="str">
        <f t="shared" si="413"/>
        <v>http://oconnordata.com/mlink/modules/profile/index.cfm?action=profile&amp;prop_id=15538</v>
      </c>
      <c r="N5288" s="1">
        <f t="shared" si="414"/>
        <v>15538</v>
      </c>
    </row>
    <row r="5289" spans="1:14" x14ac:dyDescent="0.3">
      <c r="A5289" s="1">
        <v>15540</v>
      </c>
      <c r="B5289" s="7" t="s">
        <v>7737</v>
      </c>
      <c r="C5289" s="12">
        <v>907</v>
      </c>
      <c r="D5289" s="7" t="s">
        <v>1270</v>
      </c>
      <c r="E5289" s="13" t="s">
        <v>6555</v>
      </c>
      <c r="F5289" t="str">
        <f t="shared" si="410"/>
        <v>Benge</v>
      </c>
      <c r="G5289" t="str">
        <f t="shared" si="411"/>
        <v>Benge907Arlington</v>
      </c>
      <c r="H5289" t="s">
        <v>36146</v>
      </c>
      <c r="I5289" t="s">
        <v>27568</v>
      </c>
      <c r="J5289" t="str">
        <f t="shared" si="412"/>
        <v>E:\PropInv\MF</v>
      </c>
      <c r="K5289" s="103" t="str">
        <f>HYPERLINK("E:\PropInv\MF\Arlington\Benge Dr_907_Peppermill_Arlington_15540","Benge Dr_907_Peppermill_Arlington_15540" )</f>
        <v>Benge Dr_907_Peppermill_Arlington_15540</v>
      </c>
      <c r="L5289" s="104" t="s">
        <v>22253</v>
      </c>
      <c r="M5289" s="103" t="str">
        <f t="shared" si="413"/>
        <v>http://oconnordata.com/mlink/modules/profile/index.cfm?action=profile&amp;prop_id=15540</v>
      </c>
      <c r="N5289" s="1">
        <f t="shared" si="414"/>
        <v>15540</v>
      </c>
    </row>
    <row r="5290" spans="1:14" x14ac:dyDescent="0.3">
      <c r="A5290" s="1">
        <v>15541</v>
      </c>
      <c r="B5290" s="7" t="s">
        <v>7988</v>
      </c>
      <c r="C5290" s="12">
        <v>5333</v>
      </c>
      <c r="D5290" s="7" t="s">
        <v>7989</v>
      </c>
      <c r="E5290" s="13" t="s">
        <v>6581</v>
      </c>
      <c r="F5290" t="str">
        <f t="shared" si="410"/>
        <v>Fossil</v>
      </c>
      <c r="G5290" t="str">
        <f t="shared" si="411"/>
        <v>Fossil5333Haltom City</v>
      </c>
      <c r="H5290" t="s">
        <v>36147</v>
      </c>
      <c r="I5290" t="s">
        <v>27569</v>
      </c>
      <c r="J5290" t="str">
        <f t="shared" si="412"/>
        <v>E:\PropInv\MF</v>
      </c>
      <c r="K5290" s="103" t="str">
        <f>HYPERLINK("E:\PropInv\MF\Haltom City\Fossil Creek Blvd_5333_Hidden Lakes_Haltom City_15541","Fossil Creek Blvd_5333_Hidden Lakes_Haltom City_15541" )</f>
        <v>Fossil Creek Blvd_5333_Hidden Lakes_Haltom City_15541</v>
      </c>
      <c r="L5290" s="104" t="s">
        <v>22253</v>
      </c>
      <c r="M5290" s="103" t="str">
        <f t="shared" si="413"/>
        <v>http://oconnordata.com/mlink/modules/profile/index.cfm?action=profile&amp;prop_id=15541</v>
      </c>
      <c r="N5290" s="1">
        <f t="shared" si="414"/>
        <v>15541</v>
      </c>
    </row>
    <row r="5291" spans="1:14" x14ac:dyDescent="0.3">
      <c r="A5291" s="1">
        <v>15542</v>
      </c>
      <c r="B5291" s="7" t="s">
        <v>7803</v>
      </c>
      <c r="C5291" s="12">
        <v>744</v>
      </c>
      <c r="D5291" s="7" t="s">
        <v>7990</v>
      </c>
      <c r="E5291" s="13" t="s">
        <v>6555</v>
      </c>
      <c r="F5291" t="str">
        <f t="shared" si="410"/>
        <v>Washington</v>
      </c>
      <c r="G5291" t="str">
        <f t="shared" si="411"/>
        <v>Washington744Arlington</v>
      </c>
      <c r="H5291" t="s">
        <v>36148</v>
      </c>
      <c r="I5291" t="s">
        <v>27570</v>
      </c>
      <c r="J5291" t="str">
        <f t="shared" si="412"/>
        <v>E:\PropInv\MF</v>
      </c>
      <c r="K5291" s="103" t="str">
        <f>HYPERLINK("E:\PropInv\MF\Arlington\Washington Dr_744_Hidden Valley_Arlington_15542","Washington Dr_744_Hidden Valley_Arlington_15542" )</f>
        <v>Washington Dr_744_Hidden Valley_Arlington_15542</v>
      </c>
      <c r="L5291" s="104" t="s">
        <v>22253</v>
      </c>
      <c r="M5291" s="103" t="str">
        <f t="shared" si="413"/>
        <v>http://oconnordata.com/mlink/modules/profile/index.cfm?action=profile&amp;prop_id=15542</v>
      </c>
      <c r="N5291" s="1">
        <f t="shared" si="414"/>
        <v>15542</v>
      </c>
    </row>
    <row r="5292" spans="1:14" x14ac:dyDescent="0.3">
      <c r="A5292" s="1">
        <v>15543</v>
      </c>
      <c r="B5292" s="7" t="s">
        <v>7991</v>
      </c>
      <c r="C5292" s="12">
        <v>825</v>
      </c>
      <c r="D5292" s="7" t="s">
        <v>7992</v>
      </c>
      <c r="E5292" s="13" t="s">
        <v>6612</v>
      </c>
      <c r="F5292" t="str">
        <f t="shared" si="410"/>
        <v>Bedford</v>
      </c>
      <c r="G5292" t="str">
        <f t="shared" si="411"/>
        <v>Bedford825Hurst</v>
      </c>
      <c r="H5292" t="s">
        <v>36149</v>
      </c>
      <c r="I5292" t="s">
        <v>27571</v>
      </c>
      <c r="J5292" t="str">
        <f t="shared" si="412"/>
        <v>E:\PropInv\MF</v>
      </c>
      <c r="K5292" s="103" t="str">
        <f>HYPERLINK("E:\PropInv\MF\Hurst\Bedford Euless W_825_Hurst Gardens_Hurst_15543","Bedford Euless W_825_Hurst Gardens_Hurst_15543" )</f>
        <v>Bedford Euless W_825_Hurst Gardens_Hurst_15543</v>
      </c>
      <c r="L5292" s="104" t="s">
        <v>22253</v>
      </c>
      <c r="M5292" s="103" t="str">
        <f t="shared" si="413"/>
        <v>http://oconnordata.com/mlink/modules/profile/index.cfm?action=profile&amp;prop_id=15543</v>
      </c>
      <c r="N5292" s="1">
        <f t="shared" si="414"/>
        <v>15543</v>
      </c>
    </row>
    <row r="5293" spans="1:14" x14ac:dyDescent="0.3">
      <c r="A5293" s="97">
        <v>15544</v>
      </c>
      <c r="B5293" s="10" t="s">
        <v>7993</v>
      </c>
      <c r="C5293" s="9">
        <v>605</v>
      </c>
      <c r="D5293" s="10" t="s">
        <v>7973</v>
      </c>
      <c r="E5293" s="11" t="s">
        <v>6555</v>
      </c>
      <c r="F5293" t="str">
        <f t="shared" si="410"/>
        <v>Brent</v>
      </c>
      <c r="G5293" t="str">
        <f t="shared" si="411"/>
        <v>Brent605Arlington</v>
      </c>
      <c r="H5293" t="s">
        <v>36150</v>
      </c>
      <c r="I5293" t="s">
        <v>27572</v>
      </c>
      <c r="J5293" t="str">
        <f t="shared" si="412"/>
        <v>E:\PropInv\MF</v>
      </c>
      <c r="K5293" s="103" t="str">
        <f>HYPERLINK("E:\PropInv\MF\Arlington\Brent Dr_605_Winding Oaks_Arlington_15544","Brent Dr_605_Winding Oaks_Arlington_15544" )</f>
        <v>Brent Dr_605_Winding Oaks_Arlington_15544</v>
      </c>
      <c r="L5293" s="104" t="s">
        <v>22253</v>
      </c>
      <c r="M5293" s="103" t="str">
        <f t="shared" si="413"/>
        <v>http://oconnordata.com/mlink/modules/profile/index.cfm?action=profile&amp;prop_id=15544</v>
      </c>
      <c r="N5293" s="1">
        <f t="shared" si="414"/>
        <v>15544</v>
      </c>
    </row>
    <row r="5294" spans="1:14" x14ac:dyDescent="0.3">
      <c r="A5294" s="1">
        <v>15545</v>
      </c>
      <c r="B5294" s="7" t="s">
        <v>7994</v>
      </c>
      <c r="C5294" s="12">
        <v>300</v>
      </c>
      <c r="D5294" s="7" t="s">
        <v>7995</v>
      </c>
      <c r="E5294" s="13" t="s">
        <v>6612</v>
      </c>
      <c r="F5294" t="str">
        <f t="shared" si="410"/>
        <v>Booth</v>
      </c>
      <c r="G5294" t="str">
        <f t="shared" si="411"/>
        <v>Booth300Hurst</v>
      </c>
      <c r="H5294" t="s">
        <v>36151</v>
      </c>
      <c r="I5294" t="s">
        <v>27573</v>
      </c>
      <c r="J5294" t="str">
        <f t="shared" si="412"/>
        <v>E:\PropInv\MF</v>
      </c>
      <c r="K5294" s="103" t="str">
        <f>HYPERLINK("E:\PropInv\MF\Hurst\Booth Calloway N_300_Hurst Manor_Hurst_15545","Booth Calloway N_300_Hurst Manor_Hurst_15545" )</f>
        <v>Booth Calloway N_300_Hurst Manor_Hurst_15545</v>
      </c>
      <c r="L5294" s="104" t="s">
        <v>22253</v>
      </c>
      <c r="M5294" s="103" t="str">
        <f t="shared" si="413"/>
        <v>http://oconnordata.com/mlink/modules/profile/index.cfm?action=profile&amp;prop_id=15545</v>
      </c>
      <c r="N5294" s="1">
        <f t="shared" si="414"/>
        <v>15545</v>
      </c>
    </row>
    <row r="5295" spans="1:14" x14ac:dyDescent="0.3">
      <c r="A5295" s="1">
        <v>15546</v>
      </c>
      <c r="B5295" s="7" t="s">
        <v>7996</v>
      </c>
      <c r="C5295" s="12">
        <v>139</v>
      </c>
      <c r="D5295" s="7" t="s">
        <v>7997</v>
      </c>
      <c r="E5295" s="13" t="s">
        <v>5407</v>
      </c>
      <c r="F5295" t="str">
        <f t="shared" si="410"/>
        <v>Clark</v>
      </c>
      <c r="G5295" t="str">
        <f t="shared" si="411"/>
        <v>Clark139Cedar Hill</v>
      </c>
      <c r="H5295" t="s">
        <v>36152</v>
      </c>
      <c r="I5295" t="s">
        <v>27574</v>
      </c>
      <c r="J5295" t="str">
        <f t="shared" si="412"/>
        <v>E:\PropInv\MF</v>
      </c>
      <c r="K5295" s="103" t="str">
        <f>HYPERLINK("E:\PropInv\MF\Cedar Hill\Clark Rd S_139_High Pointe Village I_Cedar Hill_15546","Clark Rd S_139_High Pointe Village I_Cedar Hill_15546" )</f>
        <v>Clark Rd S_139_High Pointe Village I_Cedar Hill_15546</v>
      </c>
      <c r="L5295" s="104" t="s">
        <v>22253</v>
      </c>
      <c r="M5295" s="103" t="str">
        <f t="shared" si="413"/>
        <v>http://oconnordata.com/mlink/modules/profile/index.cfm?action=profile&amp;prop_id=15546</v>
      </c>
      <c r="N5295" s="1">
        <f t="shared" si="414"/>
        <v>15546</v>
      </c>
    </row>
    <row r="5296" spans="1:14" x14ac:dyDescent="0.3">
      <c r="A5296" s="1">
        <v>15547</v>
      </c>
      <c r="B5296" s="7" t="s">
        <v>5722</v>
      </c>
      <c r="C5296" s="12">
        <v>2712</v>
      </c>
      <c r="D5296" s="7" t="s">
        <v>5722</v>
      </c>
      <c r="E5296" s="13" t="s">
        <v>6555</v>
      </c>
      <c r="F5296" t="str">
        <f t="shared" si="410"/>
        <v>Indian</v>
      </c>
      <c r="G5296" t="str">
        <f t="shared" si="411"/>
        <v>Indian2712Arlington</v>
      </c>
      <c r="H5296" t="s">
        <v>36153</v>
      </c>
      <c r="I5296" t="s">
        <v>27575</v>
      </c>
      <c r="J5296" t="str">
        <f t="shared" si="412"/>
        <v>E:\PropInv\MF</v>
      </c>
      <c r="K5296" s="103" t="str">
        <f>HYPERLINK("E:\PropInv\MF\Arlington\Indian Creek_2712_Indian Creek_Arlington_15547","Indian Creek_2712_Indian Creek_Arlington_15547" )</f>
        <v>Indian Creek_2712_Indian Creek_Arlington_15547</v>
      </c>
      <c r="L5296" s="104" t="s">
        <v>22253</v>
      </c>
      <c r="M5296" s="103" t="str">
        <f t="shared" si="413"/>
        <v>http://oconnordata.com/mlink/modules/profile/index.cfm?action=profile&amp;prop_id=15547</v>
      </c>
      <c r="N5296" s="1">
        <f t="shared" si="414"/>
        <v>15547</v>
      </c>
    </row>
    <row r="5297" spans="1:14" x14ac:dyDescent="0.3">
      <c r="A5297" s="1">
        <v>15549</v>
      </c>
      <c r="B5297" s="7" t="s">
        <v>7998</v>
      </c>
      <c r="C5297" s="12">
        <v>302</v>
      </c>
      <c r="D5297" s="7" t="s">
        <v>7999</v>
      </c>
      <c r="E5297" s="13" t="s">
        <v>8000</v>
      </c>
      <c r="F5297" t="str">
        <f t="shared" si="410"/>
        <v>Indian</v>
      </c>
      <c r="G5297" t="str">
        <f t="shared" si="411"/>
        <v>Indian302Trophy Club</v>
      </c>
      <c r="H5297" t="s">
        <v>36154</v>
      </c>
      <c r="I5297" t="s">
        <v>27576</v>
      </c>
      <c r="J5297" t="str">
        <f t="shared" si="412"/>
        <v>E:\PropInv\MF</v>
      </c>
      <c r="K5297" s="103" t="str">
        <f>HYPERLINK("E:\PropInv\MF\Trophy Club\Indian Creek Dr_302_Indian Creek Duplexes_Trophy Club_15549","Indian Creek Dr_302_Indian Creek Duplexes_Trophy Club_15549" )</f>
        <v>Indian Creek Dr_302_Indian Creek Duplexes_Trophy Club_15549</v>
      </c>
      <c r="L5297" s="104" t="s">
        <v>22253</v>
      </c>
      <c r="M5297" s="103" t="str">
        <f t="shared" si="413"/>
        <v>http://oconnordata.com/mlink/modules/profile/index.cfm?action=profile&amp;prop_id=15549</v>
      </c>
      <c r="N5297" s="1">
        <f t="shared" si="414"/>
        <v>15549</v>
      </c>
    </row>
    <row r="5298" spans="1:14" x14ac:dyDescent="0.3">
      <c r="A5298" s="1">
        <v>15550</v>
      </c>
      <c r="B5298" s="7" t="s">
        <v>8001</v>
      </c>
      <c r="C5298" s="12">
        <v>4701</v>
      </c>
      <c r="D5298" s="7" t="s">
        <v>8002</v>
      </c>
      <c r="E5298" s="13" t="s">
        <v>5781</v>
      </c>
      <c r="F5298" t="str">
        <f t="shared" si="410"/>
        <v>American</v>
      </c>
      <c r="G5298" t="str">
        <f t="shared" si="411"/>
        <v>American4701Euless</v>
      </c>
      <c r="H5298" t="s">
        <v>36155</v>
      </c>
      <c r="I5298" t="s">
        <v>27577</v>
      </c>
      <c r="J5298" t="str">
        <f t="shared" si="412"/>
        <v>E:\PropInv\MF</v>
      </c>
      <c r="K5298" s="103" t="str">
        <f>HYPERLINK("E:\PropInv\MF\Euless\American Blvd_4701_Crest Oasis_Euless_15550","American Blvd_4701_Crest Oasis_Euless_15550" )</f>
        <v>American Blvd_4701_Crest Oasis_Euless_15550</v>
      </c>
      <c r="L5298" s="104" t="s">
        <v>22253</v>
      </c>
      <c r="M5298" s="103" t="str">
        <f t="shared" si="413"/>
        <v>http://oconnordata.com/mlink/modules/profile/index.cfm?action=profile&amp;prop_id=15550</v>
      </c>
      <c r="N5298" s="1">
        <f t="shared" si="414"/>
        <v>15550</v>
      </c>
    </row>
    <row r="5299" spans="1:14" x14ac:dyDescent="0.3">
      <c r="A5299" s="1">
        <v>15551</v>
      </c>
      <c r="B5299" s="7" t="s">
        <v>8003</v>
      </c>
      <c r="C5299" s="12">
        <v>3001</v>
      </c>
      <c r="D5299" s="7" t="s">
        <v>8004</v>
      </c>
      <c r="E5299" s="13" t="s">
        <v>6581</v>
      </c>
      <c r="F5299" t="str">
        <f t="shared" si="410"/>
        <v>Jane</v>
      </c>
      <c r="G5299" t="str">
        <f t="shared" si="411"/>
        <v>Jane3001Haltom City</v>
      </c>
      <c r="H5299" t="s">
        <v>36156</v>
      </c>
      <c r="I5299" t="s">
        <v>27578</v>
      </c>
      <c r="J5299" t="str">
        <f t="shared" si="412"/>
        <v>E:\PropInv\MF</v>
      </c>
      <c r="K5299" s="103" t="str">
        <f>HYPERLINK("E:\PropInv\MF\Haltom City\Jane Ln_3001_Jane Lane_Haltom City_15551","Jane Ln_3001_Jane Lane_Haltom City_15551" )</f>
        <v>Jane Ln_3001_Jane Lane_Haltom City_15551</v>
      </c>
      <c r="L5299" s="104" t="s">
        <v>22253</v>
      </c>
      <c r="M5299" s="103" t="str">
        <f t="shared" si="413"/>
        <v>http://oconnordata.com/mlink/modules/profile/index.cfm?action=profile&amp;prop_id=15551</v>
      </c>
      <c r="N5299" s="1">
        <f t="shared" si="414"/>
        <v>15551</v>
      </c>
    </row>
    <row r="5300" spans="1:14" x14ac:dyDescent="0.3">
      <c r="A5300" s="1">
        <v>15552</v>
      </c>
      <c r="B5300" s="7" t="s">
        <v>7975</v>
      </c>
      <c r="C5300" s="12">
        <v>445</v>
      </c>
      <c r="D5300" s="7" t="s">
        <v>8005</v>
      </c>
      <c r="E5300" s="13" t="s">
        <v>6612</v>
      </c>
      <c r="F5300" t="str">
        <f t="shared" si="410"/>
        <v>Precinct</v>
      </c>
      <c r="G5300" t="str">
        <f t="shared" si="411"/>
        <v>Precinct445Hurst</v>
      </c>
      <c r="H5300" t="s">
        <v>36157</v>
      </c>
      <c r="I5300" t="s">
        <v>27579</v>
      </c>
      <c r="J5300" t="str">
        <f t="shared" si="412"/>
        <v>E:\PropInv\MF</v>
      </c>
      <c r="K5300" s="103" t="str">
        <f>HYPERLINK("E:\PropInv\MF\Hurst\Precinct Line Rd_445_Hurst Estates_Hurst_15552","Precinct Line Rd_445_Hurst Estates_Hurst_15552" )</f>
        <v>Precinct Line Rd_445_Hurst Estates_Hurst_15552</v>
      </c>
      <c r="L5300" s="104" t="s">
        <v>22253</v>
      </c>
      <c r="M5300" s="103" t="str">
        <f t="shared" si="413"/>
        <v>http://oconnordata.com/mlink/modules/profile/index.cfm?action=profile&amp;prop_id=15552</v>
      </c>
      <c r="N5300" s="1">
        <f t="shared" si="414"/>
        <v>15552</v>
      </c>
    </row>
    <row r="5301" spans="1:14" x14ac:dyDescent="0.3">
      <c r="A5301" s="1">
        <v>15554</v>
      </c>
      <c r="B5301" s="7" t="s">
        <v>8006</v>
      </c>
      <c r="C5301" s="12">
        <v>407</v>
      </c>
      <c r="D5301" s="7" t="s">
        <v>8007</v>
      </c>
      <c r="E5301" s="13" t="s">
        <v>6555</v>
      </c>
      <c r="F5301" t="str">
        <f t="shared" si="410"/>
        <v>Cora</v>
      </c>
      <c r="G5301" t="str">
        <f t="shared" si="411"/>
        <v>Cora407Arlington</v>
      </c>
      <c r="H5301" t="s">
        <v>36158</v>
      </c>
      <c r="I5301" t="s">
        <v>27580</v>
      </c>
      <c r="J5301" t="str">
        <f t="shared" si="412"/>
        <v>E:\PropInv\MF</v>
      </c>
      <c r="K5301" s="103" t="str">
        <f>HYPERLINK("E:\PropInv\MF\Arlington\Cora St_407_Key Largo_Arlington_15554","Cora St_407_Key Largo_Arlington_15554" )</f>
        <v>Cora St_407_Key Largo_Arlington_15554</v>
      </c>
      <c r="L5301" s="104" t="s">
        <v>22253</v>
      </c>
      <c r="M5301" s="103" t="str">
        <f t="shared" si="413"/>
        <v>http://oconnordata.com/mlink/modules/profile/index.cfm?action=profile&amp;prop_id=15554</v>
      </c>
      <c r="N5301" s="1">
        <f t="shared" si="414"/>
        <v>15554</v>
      </c>
    </row>
    <row r="5302" spans="1:14" x14ac:dyDescent="0.3">
      <c r="A5302" s="1">
        <v>15555</v>
      </c>
      <c r="B5302" s="7" t="s">
        <v>8008</v>
      </c>
      <c r="C5302" s="12">
        <v>306</v>
      </c>
      <c r="D5302" s="7" t="s">
        <v>8009</v>
      </c>
      <c r="E5302" s="13" t="s">
        <v>5781</v>
      </c>
      <c r="F5302" t="str">
        <f t="shared" si="410"/>
        <v>Vine</v>
      </c>
      <c r="G5302" t="str">
        <f t="shared" si="411"/>
        <v>Vine306Euless</v>
      </c>
      <c r="H5302" t="s">
        <v>36159</v>
      </c>
      <c r="I5302" t="s">
        <v>27581</v>
      </c>
      <c r="J5302" t="str">
        <f t="shared" si="412"/>
        <v>E:\PropInv\MF</v>
      </c>
      <c r="K5302" s="103" t="str">
        <f>HYPERLINK("E:\PropInv\MF\Euless\Vine_306_Hillside Village_Euless_15555","Vine_306_Hillside Village_Euless_15555" )</f>
        <v>Vine_306_Hillside Village_Euless_15555</v>
      </c>
      <c r="L5302" s="104" t="s">
        <v>22253</v>
      </c>
      <c r="M5302" s="103" t="str">
        <f t="shared" si="413"/>
        <v>http://oconnordata.com/mlink/modules/profile/index.cfm?action=profile&amp;prop_id=15555</v>
      </c>
      <c r="N5302" s="1">
        <f t="shared" si="414"/>
        <v>15555</v>
      </c>
    </row>
    <row r="5303" spans="1:14" x14ac:dyDescent="0.3">
      <c r="A5303" s="1">
        <v>15556</v>
      </c>
      <c r="B5303" s="7" t="s">
        <v>8010</v>
      </c>
      <c r="C5303" s="12">
        <v>1676</v>
      </c>
      <c r="D5303" s="7" t="s">
        <v>8011</v>
      </c>
      <c r="E5303" s="13" t="s">
        <v>6555</v>
      </c>
      <c r="F5303" t="str">
        <f t="shared" si="410"/>
        <v>Carter</v>
      </c>
      <c r="G5303" t="str">
        <f t="shared" si="411"/>
        <v>Carter1676Arlington</v>
      </c>
      <c r="H5303" t="s">
        <v>36160</v>
      </c>
      <c r="I5303" t="s">
        <v>27582</v>
      </c>
      <c r="J5303" t="str">
        <f t="shared" si="412"/>
        <v>E:\PropInv\MF</v>
      </c>
      <c r="K5303" s="103" t="str">
        <f>HYPERLINK("E:\PropInv\MF\Arlington\Carter Dr_1676_L'Atrium on the Creek_Arlington_15556","Carter Dr_1676_L'Atrium on the Creek_Arlington_15556" )</f>
        <v>Carter Dr_1676_L'Atrium on the Creek_Arlington_15556</v>
      </c>
      <c r="L5303" s="104" t="s">
        <v>22253</v>
      </c>
      <c r="M5303" s="103" t="str">
        <f t="shared" si="413"/>
        <v>http://oconnordata.com/mlink/modules/profile/index.cfm?action=profile&amp;prop_id=15556</v>
      </c>
      <c r="N5303" s="1">
        <f t="shared" si="414"/>
        <v>15556</v>
      </c>
    </row>
    <row r="5304" spans="1:14" x14ac:dyDescent="0.3">
      <c r="A5304" s="1">
        <v>15557</v>
      </c>
      <c r="B5304" s="7" t="s">
        <v>8012</v>
      </c>
      <c r="C5304" s="12">
        <v>1030</v>
      </c>
      <c r="D5304" s="7" t="s">
        <v>7608</v>
      </c>
      <c r="E5304" s="13" t="s">
        <v>6578</v>
      </c>
      <c r="F5304" t="str">
        <f t="shared" si="410"/>
        <v>Hilltop</v>
      </c>
      <c r="G5304" t="str">
        <f t="shared" si="411"/>
        <v>Hilltop1030Grapevine</v>
      </c>
      <c r="H5304" t="s">
        <v>36161</v>
      </c>
      <c r="I5304" t="s">
        <v>27583</v>
      </c>
      <c r="J5304" t="str">
        <f t="shared" si="412"/>
        <v>E:\PropInv\MF</v>
      </c>
      <c r="K5304" s="103" t="str">
        <f>HYPERLINK("E:\PropInv\MF\Grapevine\Hilltop Dr_1030_Hilltop_Grapevine_15557","Hilltop Dr_1030_Hilltop_Grapevine_15557" )</f>
        <v>Hilltop Dr_1030_Hilltop_Grapevine_15557</v>
      </c>
      <c r="L5304" s="104" t="s">
        <v>22253</v>
      </c>
      <c r="M5304" s="103" t="str">
        <f t="shared" si="413"/>
        <v>http://oconnordata.com/mlink/modules/profile/index.cfm?action=profile&amp;prop_id=15557</v>
      </c>
      <c r="N5304" s="1">
        <f t="shared" si="414"/>
        <v>15557</v>
      </c>
    </row>
    <row r="5305" spans="1:14" x14ac:dyDescent="0.3">
      <c r="A5305" s="1">
        <v>15558</v>
      </c>
      <c r="B5305" s="7" t="s">
        <v>8013</v>
      </c>
      <c r="C5305" s="12">
        <v>1707</v>
      </c>
      <c r="D5305" s="7" t="s">
        <v>8014</v>
      </c>
      <c r="E5305" s="13" t="s">
        <v>6555</v>
      </c>
      <c r="F5305" t="str">
        <f t="shared" si="410"/>
        <v>New</v>
      </c>
      <c r="G5305" t="str">
        <f t="shared" si="411"/>
        <v>New1707Arlington</v>
      </c>
      <c r="H5305" t="s">
        <v>36162</v>
      </c>
      <c r="I5305" t="s">
        <v>27584</v>
      </c>
      <c r="J5305" t="str">
        <f t="shared" si="412"/>
        <v>E:\PropInv\MF</v>
      </c>
      <c r="K5305" s="103" t="str">
        <f>HYPERLINK("E:\PropInv\MF\Arlington\New York_1707_La Joya_Arlington_15558","New York_1707_La Joya_Arlington_15558" )</f>
        <v>New York_1707_La Joya_Arlington_15558</v>
      </c>
      <c r="L5305" s="104" t="s">
        <v>22253</v>
      </c>
      <c r="M5305" s="103" t="str">
        <f t="shared" si="413"/>
        <v>http://oconnordata.com/mlink/modules/profile/index.cfm?action=profile&amp;prop_id=15558</v>
      </c>
      <c r="N5305" s="1">
        <f t="shared" si="414"/>
        <v>15558</v>
      </c>
    </row>
    <row r="5306" spans="1:14" x14ac:dyDescent="0.3">
      <c r="A5306" s="1">
        <v>15559</v>
      </c>
      <c r="B5306" s="7" t="s">
        <v>7836</v>
      </c>
      <c r="C5306" s="12">
        <v>3200</v>
      </c>
      <c r="D5306" s="7" t="s">
        <v>6953</v>
      </c>
      <c r="E5306" s="13" t="s">
        <v>6555</v>
      </c>
      <c r="F5306" t="str">
        <f t="shared" si="410"/>
        <v>Center</v>
      </c>
      <c r="G5306" t="str">
        <f t="shared" si="411"/>
        <v>Center3200Arlington</v>
      </c>
      <c r="H5306" t="s">
        <v>36163</v>
      </c>
      <c r="I5306" t="s">
        <v>27585</v>
      </c>
      <c r="J5306" t="str">
        <f t="shared" si="412"/>
        <v>E:\PropInv\MF</v>
      </c>
      <c r="K5306" s="103" t="str">
        <f>HYPERLINK("E:\PropInv\MF\Arlington\Center S_3200_The Carlyle_Arlington_15559","Center S_3200_The Carlyle_Arlington_15559" )</f>
        <v>Center S_3200_The Carlyle_Arlington_15559</v>
      </c>
      <c r="L5306" s="104" t="s">
        <v>22253</v>
      </c>
      <c r="M5306" s="103" t="str">
        <f t="shared" si="413"/>
        <v>http://oconnordata.com/mlink/modules/profile/index.cfm?action=profile&amp;prop_id=15559</v>
      </c>
      <c r="N5306" s="1">
        <f t="shared" si="414"/>
        <v>15559</v>
      </c>
    </row>
    <row r="5307" spans="1:14" x14ac:dyDescent="0.3">
      <c r="A5307" s="1">
        <v>15561</v>
      </c>
      <c r="B5307" s="7" t="s">
        <v>8015</v>
      </c>
      <c r="C5307" s="12">
        <v>2500</v>
      </c>
      <c r="D5307" s="7" t="s">
        <v>8016</v>
      </c>
      <c r="E5307" s="13" t="s">
        <v>6555</v>
      </c>
      <c r="F5307" t="str">
        <f t="shared" si="410"/>
        <v>Brown</v>
      </c>
      <c r="G5307" t="str">
        <f t="shared" si="411"/>
        <v>Brown2500Arlington</v>
      </c>
      <c r="H5307" t="s">
        <v>36164</v>
      </c>
      <c r="I5307" t="s">
        <v>27586</v>
      </c>
      <c r="J5307" t="str">
        <f t="shared" si="412"/>
        <v>E:\PropInv\MF</v>
      </c>
      <c r="K5307" s="103" t="str">
        <f>HYPERLINK("E:\PropInv\MF\Arlington\Brown Blvd_2500_Lake O' The Woods_Arlington_15561","Brown Blvd_2500_Lake O' The Woods_Arlington_15561" )</f>
        <v>Brown Blvd_2500_Lake O' The Woods_Arlington_15561</v>
      </c>
      <c r="L5307" s="104" t="s">
        <v>22253</v>
      </c>
      <c r="M5307" s="103" t="str">
        <f t="shared" si="413"/>
        <v>http://oconnordata.com/mlink/modules/profile/index.cfm?action=profile&amp;prop_id=15561</v>
      </c>
      <c r="N5307" s="1">
        <f t="shared" si="414"/>
        <v>15561</v>
      </c>
    </row>
    <row r="5308" spans="1:14" x14ac:dyDescent="0.3">
      <c r="A5308" s="1">
        <v>15562</v>
      </c>
      <c r="B5308" s="19" t="s">
        <v>4844</v>
      </c>
      <c r="C5308" s="18">
        <v>3525</v>
      </c>
      <c r="D5308" s="19" t="s">
        <v>7303</v>
      </c>
      <c r="E5308" s="20" t="s">
        <v>1657</v>
      </c>
      <c r="F5308" t="str">
        <f t="shared" si="410"/>
        <v>Blodgett</v>
      </c>
      <c r="G5308" t="str">
        <f t="shared" si="411"/>
        <v>Blodgett3525Houston</v>
      </c>
      <c r="H5308" t="s">
        <v>36165</v>
      </c>
      <c r="I5308" t="s">
        <v>27587</v>
      </c>
      <c r="J5308" t="str">
        <f t="shared" si="412"/>
        <v>E:\PropInv\MF</v>
      </c>
      <c r="K5308" s="103" t="str">
        <f>HYPERLINK("E:\PropInv\MF\Houston\Blodgett_3525_University Courtyard_Houston_15562","Blodgett_3525_University Courtyard_Houston_15562" )</f>
        <v>Blodgett_3525_University Courtyard_Houston_15562</v>
      </c>
      <c r="L5308" s="104" t="s">
        <v>22253</v>
      </c>
      <c r="M5308" s="103" t="str">
        <f t="shared" si="413"/>
        <v>http://oconnordata.com/mlink/modules/profile/index.cfm?action=profile&amp;prop_id=15562</v>
      </c>
      <c r="N5308" s="1">
        <f t="shared" si="414"/>
        <v>15562</v>
      </c>
    </row>
    <row r="5309" spans="1:14" x14ac:dyDescent="0.3">
      <c r="A5309" s="1">
        <v>15564</v>
      </c>
      <c r="B5309" s="7" t="s">
        <v>4465</v>
      </c>
      <c r="C5309" s="12">
        <v>2950</v>
      </c>
      <c r="D5309" s="7" t="s">
        <v>8017</v>
      </c>
      <c r="E5309" s="13" t="s">
        <v>6578</v>
      </c>
      <c r="F5309" t="str">
        <f t="shared" si="410"/>
        <v>Mustang</v>
      </c>
      <c r="G5309" t="str">
        <f t="shared" si="411"/>
        <v>Mustang2950Grapevine</v>
      </c>
      <c r="H5309" t="s">
        <v>36166</v>
      </c>
      <c r="I5309" t="s">
        <v>27588</v>
      </c>
      <c r="J5309" t="str">
        <f t="shared" si="412"/>
        <v>E:\PropInv\MF</v>
      </c>
      <c r="K5309" s="103" t="str">
        <f>HYPERLINK("E:\PropInv\MF\Grapevine\Mustang_2950_Lakes of Williamsberg_Grapevine_15564","Mustang_2950_Lakes of Williamsberg_Grapevine_15564" )</f>
        <v>Mustang_2950_Lakes of Williamsberg_Grapevine_15564</v>
      </c>
      <c r="L5309" s="104" t="s">
        <v>22253</v>
      </c>
      <c r="M5309" s="103" t="str">
        <f t="shared" si="413"/>
        <v>http://oconnordata.com/mlink/modules/profile/index.cfm?action=profile&amp;prop_id=15564</v>
      </c>
      <c r="N5309" s="1">
        <f t="shared" si="414"/>
        <v>15564</v>
      </c>
    </row>
    <row r="5310" spans="1:14" x14ac:dyDescent="0.3">
      <c r="A5310" s="1">
        <v>15565</v>
      </c>
      <c r="B5310" s="7" t="s">
        <v>8018</v>
      </c>
      <c r="C5310" s="12">
        <v>1000</v>
      </c>
      <c r="D5310" s="7" t="s">
        <v>8019</v>
      </c>
      <c r="E5310" s="13" t="s">
        <v>6555</v>
      </c>
      <c r="F5310" t="str">
        <f t="shared" si="410"/>
        <v>Mitchell</v>
      </c>
      <c r="G5310" t="str">
        <f t="shared" si="411"/>
        <v>Mitchell1000Arlington</v>
      </c>
      <c r="H5310" t="s">
        <v>36167</v>
      </c>
      <c r="I5310" t="s">
        <v>27589</v>
      </c>
      <c r="J5310" t="str">
        <f t="shared" si="412"/>
        <v>E:\PropInv\MF</v>
      </c>
      <c r="K5310" s="103" t="str">
        <f>HYPERLINK("E:\PropInv\MF\Arlington\Mitchell St W_1000_Pinewoods_Arlington_15565","Mitchell St W_1000_Pinewoods_Arlington_15565" )</f>
        <v>Mitchell St W_1000_Pinewoods_Arlington_15565</v>
      </c>
      <c r="L5310" s="104" t="s">
        <v>22253</v>
      </c>
      <c r="M5310" s="103" t="str">
        <f t="shared" si="413"/>
        <v>http://oconnordata.com/mlink/modules/profile/index.cfm?action=profile&amp;prop_id=15565</v>
      </c>
      <c r="N5310" s="1">
        <f t="shared" si="414"/>
        <v>15565</v>
      </c>
    </row>
    <row r="5311" spans="1:14" x14ac:dyDescent="0.3">
      <c r="A5311" s="1">
        <v>15566</v>
      </c>
      <c r="B5311" s="7" t="s">
        <v>8020</v>
      </c>
      <c r="C5311" s="12">
        <v>504</v>
      </c>
      <c r="D5311" s="7" t="s">
        <v>8021</v>
      </c>
      <c r="E5311" s="13" t="s">
        <v>6555</v>
      </c>
      <c r="F5311" t="str">
        <f t="shared" si="410"/>
        <v>Dudley</v>
      </c>
      <c r="G5311" t="str">
        <f t="shared" si="411"/>
        <v>Dudley504Arlington</v>
      </c>
      <c r="H5311" t="s">
        <v>36168</v>
      </c>
      <c r="I5311" t="s">
        <v>27590</v>
      </c>
      <c r="J5311" t="str">
        <f t="shared" si="412"/>
        <v>E:\PropInv\MF</v>
      </c>
      <c r="K5311" s="103" t="str">
        <f>HYPERLINK("E:\PropInv\MF\Arlington\Dudley Cir_504_Olympic Club_Arlington_15566","Dudley Cir_504_Olympic Club_Arlington_15566" )</f>
        <v>Dudley Cir_504_Olympic Club_Arlington_15566</v>
      </c>
      <c r="L5311" s="104" t="s">
        <v>22253</v>
      </c>
      <c r="M5311" s="103" t="str">
        <f t="shared" si="413"/>
        <v>http://oconnordata.com/mlink/modules/profile/index.cfm?action=profile&amp;prop_id=15566</v>
      </c>
      <c r="N5311" s="1">
        <f t="shared" si="414"/>
        <v>15566</v>
      </c>
    </row>
    <row r="5312" spans="1:14" x14ac:dyDescent="0.3">
      <c r="A5312" s="1">
        <v>15567</v>
      </c>
      <c r="B5312" s="7" t="s">
        <v>7842</v>
      </c>
      <c r="C5312" s="12">
        <v>200</v>
      </c>
      <c r="D5312" s="7" t="s">
        <v>8022</v>
      </c>
      <c r="E5312" s="13" t="s">
        <v>6555</v>
      </c>
      <c r="F5312" t="str">
        <f t="shared" si="410"/>
        <v>Pioneer</v>
      </c>
      <c r="G5312" t="str">
        <f t="shared" si="411"/>
        <v>Pioneer200Arlington</v>
      </c>
      <c r="H5312" t="s">
        <v>36169</v>
      </c>
      <c r="I5312" t="s">
        <v>27591</v>
      </c>
      <c r="J5312" t="str">
        <f t="shared" si="412"/>
        <v>E:\PropInv\MF</v>
      </c>
      <c r="K5312" s="103" t="str">
        <f>HYPERLINK("E:\PropInv\MF\Arlington\Pioneer Pkwy W_200_Matlock Place_Arlington_15567","Pioneer Pkwy W_200_Matlock Place_Arlington_15567" )</f>
        <v>Pioneer Pkwy W_200_Matlock Place_Arlington_15567</v>
      </c>
      <c r="L5312" s="104" t="s">
        <v>22253</v>
      </c>
      <c r="M5312" s="103" t="str">
        <f t="shared" si="413"/>
        <v>http://oconnordata.com/mlink/modules/profile/index.cfm?action=profile&amp;prop_id=15567</v>
      </c>
      <c r="N5312" s="1">
        <f t="shared" si="414"/>
        <v>15567</v>
      </c>
    </row>
    <row r="5313" spans="1:14" x14ac:dyDescent="0.3">
      <c r="A5313" s="1">
        <v>15568</v>
      </c>
      <c r="B5313" s="7" t="s">
        <v>8023</v>
      </c>
      <c r="C5313" s="12">
        <v>2021</v>
      </c>
      <c r="D5313" s="7" t="s">
        <v>8024</v>
      </c>
      <c r="E5313" s="13" t="s">
        <v>6555</v>
      </c>
      <c r="F5313" t="str">
        <f t="shared" si="410"/>
        <v>Pioneer</v>
      </c>
      <c r="G5313" t="str">
        <f t="shared" si="411"/>
        <v>Pioneer2021Arlington</v>
      </c>
      <c r="H5313" t="s">
        <v>36170</v>
      </c>
      <c r="I5313" t="s">
        <v>27592</v>
      </c>
      <c r="J5313" t="str">
        <f t="shared" si="412"/>
        <v>E:\PropInv\MF</v>
      </c>
      <c r="K5313" s="103" t="str">
        <f>HYPERLINK("E:\PropInv\MF\Arlington\Pioneer Pkwy E_2021_Place on the Park_Arlington_15568","Pioneer Pkwy E_2021_Place on the Park_Arlington_15568" )</f>
        <v>Pioneer Pkwy E_2021_Place on the Park_Arlington_15568</v>
      </c>
      <c r="L5313" s="104" t="s">
        <v>22253</v>
      </c>
      <c r="M5313" s="103" t="str">
        <f t="shared" si="413"/>
        <v>http://oconnordata.com/mlink/modules/profile/index.cfm?action=profile&amp;prop_id=15568</v>
      </c>
      <c r="N5313" s="1">
        <f t="shared" si="414"/>
        <v>15568</v>
      </c>
    </row>
    <row r="5314" spans="1:14" x14ac:dyDescent="0.3">
      <c r="A5314" s="1">
        <v>15569</v>
      </c>
      <c r="B5314" s="7" t="s">
        <v>8025</v>
      </c>
      <c r="C5314" s="12">
        <v>1500</v>
      </c>
      <c r="D5314" s="7" t="s">
        <v>8026</v>
      </c>
      <c r="E5314" s="13" t="s">
        <v>8000</v>
      </c>
      <c r="F5314" t="str">
        <f t="shared" ref="F5314:F5377" si="415">IFERROR(LEFT(B5314,FIND(" ",B5314)-1),B5314)</f>
        <v>Plantation</v>
      </c>
      <c r="G5314" t="str">
        <f t="shared" ref="G5314:G5377" si="416">F5314&amp;C5314&amp;E5314</f>
        <v>Plantation1500Trophy Club</v>
      </c>
      <c r="H5314" t="s">
        <v>36171</v>
      </c>
      <c r="I5314" t="s">
        <v>27593</v>
      </c>
      <c r="J5314" t="str">
        <f t="shared" ref="J5314:J5377" si="417">IF(L5314="TX",Folder_Path,Folder_Path&amp;"\State_"&amp;L5314)</f>
        <v>E:\PropInv\MF</v>
      </c>
      <c r="K5314" s="103" t="str">
        <f>HYPERLINK("E:\PropInv\MF\Trophy Club\Plantation Oaks_1500_The Vineyards at Trophy Club_Trophy Club_15569","Plantation Oaks_1500_The Vineyards at Trophy Club_Trophy Club_15569" )</f>
        <v>Plantation Oaks_1500_The Vineyards at Trophy Club_Trophy Club_15569</v>
      </c>
      <c r="L5314" s="104" t="s">
        <v>22253</v>
      </c>
      <c r="M5314" s="103" t="str">
        <f t="shared" ref="M5314:M5377" si="418">HYPERLINK("http://oconnordata.com/mlink/modules/profile/index.cfm?action=profile&amp;prop_id="&amp;A5314)</f>
        <v>http://oconnordata.com/mlink/modules/profile/index.cfm?action=profile&amp;prop_id=15569</v>
      </c>
      <c r="N5314" s="1">
        <f t="shared" ref="N5314:N5377" si="419">IF(LEN(A5314)=1,"0000"&amp;A5314,IF(LEN(A5314)=2,"000"&amp;A5314,IF(LEN(A5314)=3,"00"&amp;A5314,IF(LEN(A5314)=4,"0"&amp;A5314,IF(LEN(A5314)=5,IF(LEFT(A5314,1)="3",A5314+30000,A5314))))))</f>
        <v>15569</v>
      </c>
    </row>
    <row r="5315" spans="1:14" x14ac:dyDescent="0.3">
      <c r="A5315" s="1">
        <v>15570</v>
      </c>
      <c r="B5315" s="7" t="s">
        <v>8027</v>
      </c>
      <c r="C5315" s="12">
        <v>700</v>
      </c>
      <c r="D5315" s="7" t="s">
        <v>8028</v>
      </c>
      <c r="E5315" s="13" t="s">
        <v>6555</v>
      </c>
      <c r="F5315" t="str">
        <f t="shared" si="415"/>
        <v>Randol</v>
      </c>
      <c r="G5315" t="str">
        <f t="shared" si="416"/>
        <v>Randol700Arlington</v>
      </c>
      <c r="H5315" t="s">
        <v>36172</v>
      </c>
      <c r="I5315" t="s">
        <v>27594</v>
      </c>
      <c r="J5315" t="str">
        <f t="shared" si="417"/>
        <v>E:\PropInv\MF</v>
      </c>
      <c r="K5315" s="103" t="str">
        <f>HYPERLINK("E:\PropInv\MF\Arlington\Randol Mill Rd E_700_Plantation Place &amp; Court_Arlington_15570","Randol Mill Rd E_700_Plantation Place &amp; Court_Arlington_15570" )</f>
        <v>Randol Mill Rd E_700_Plantation Place &amp; Court_Arlington_15570</v>
      </c>
      <c r="L5315" s="104" t="s">
        <v>22253</v>
      </c>
      <c r="M5315" s="103" t="str">
        <f t="shared" si="418"/>
        <v>http://oconnordata.com/mlink/modules/profile/index.cfm?action=profile&amp;prop_id=15570</v>
      </c>
      <c r="N5315" s="1">
        <f t="shared" si="419"/>
        <v>15570</v>
      </c>
    </row>
    <row r="5316" spans="1:14" x14ac:dyDescent="0.3">
      <c r="A5316" s="1">
        <v>15571</v>
      </c>
      <c r="B5316" s="7" t="s">
        <v>6798</v>
      </c>
      <c r="C5316" s="12">
        <v>612</v>
      </c>
      <c r="D5316" s="7" t="s">
        <v>8029</v>
      </c>
      <c r="E5316" s="13" t="s">
        <v>6612</v>
      </c>
      <c r="F5316" t="str">
        <f t="shared" si="415"/>
        <v>Booth</v>
      </c>
      <c r="G5316" t="str">
        <f t="shared" si="416"/>
        <v>Booth612Hurst</v>
      </c>
      <c r="H5316" t="s">
        <v>36173</v>
      </c>
      <c r="I5316" t="s">
        <v>27595</v>
      </c>
      <c r="J5316" t="str">
        <f t="shared" si="417"/>
        <v>E:\PropInv\MF</v>
      </c>
      <c r="K5316" s="103" t="str">
        <f>HYPERLINK("E:\PropInv\MF\Hurst\Booth Calloway_612_Plantation West_Hurst_15571","Booth Calloway_612_Plantation West_Hurst_15571" )</f>
        <v>Booth Calloway_612_Plantation West_Hurst_15571</v>
      </c>
      <c r="L5316" s="104" t="s">
        <v>22253</v>
      </c>
      <c r="M5316" s="103" t="str">
        <f t="shared" si="418"/>
        <v>http://oconnordata.com/mlink/modules/profile/index.cfm?action=profile&amp;prop_id=15571</v>
      </c>
      <c r="N5316" s="1">
        <f t="shared" si="419"/>
        <v>15571</v>
      </c>
    </row>
    <row r="5317" spans="1:14" x14ac:dyDescent="0.3">
      <c r="A5317" s="1">
        <v>15572</v>
      </c>
      <c r="B5317" s="7" t="s">
        <v>8030</v>
      </c>
      <c r="C5317" s="12">
        <v>1508</v>
      </c>
      <c r="D5317" s="7" t="s">
        <v>8031</v>
      </c>
      <c r="E5317" s="13" t="s">
        <v>5411</v>
      </c>
      <c r="F5317" t="str">
        <f t="shared" si="415"/>
        <v>Dewberry</v>
      </c>
      <c r="G5317" t="str">
        <f t="shared" si="416"/>
        <v>Dewberry1508Lancaster</v>
      </c>
      <c r="H5317" t="s">
        <v>36174</v>
      </c>
      <c r="I5317" t="s">
        <v>27596</v>
      </c>
      <c r="J5317" t="str">
        <f t="shared" si="417"/>
        <v>E:\PropInv\MF</v>
      </c>
      <c r="K5317" s="103" t="str">
        <f>HYPERLINK("E:\PropInv\MF\Lancaster\Dewberry Blvd_1508_Bel-Air Place_Lancaster_15572","Dewberry Blvd_1508_Bel-Air Place_Lancaster_15572" )</f>
        <v>Dewberry Blvd_1508_Bel-Air Place_Lancaster_15572</v>
      </c>
      <c r="L5317" s="104" t="s">
        <v>22253</v>
      </c>
      <c r="M5317" s="103" t="str">
        <f t="shared" si="418"/>
        <v>http://oconnordata.com/mlink/modules/profile/index.cfm?action=profile&amp;prop_id=15572</v>
      </c>
      <c r="N5317" s="1">
        <f t="shared" si="419"/>
        <v>15572</v>
      </c>
    </row>
    <row r="5318" spans="1:14" x14ac:dyDescent="0.3">
      <c r="A5318" s="1">
        <v>15573</v>
      </c>
      <c r="B5318" s="7" t="s">
        <v>8032</v>
      </c>
      <c r="C5318" s="12">
        <v>5928</v>
      </c>
      <c r="D5318" s="7" t="s">
        <v>8033</v>
      </c>
      <c r="E5318" s="13" t="s">
        <v>6555</v>
      </c>
      <c r="F5318" t="str">
        <f t="shared" si="415"/>
        <v>Troy</v>
      </c>
      <c r="G5318" t="str">
        <f t="shared" si="416"/>
        <v>Troy5928Arlington</v>
      </c>
      <c r="H5318" t="s">
        <v>36175</v>
      </c>
      <c r="I5318" t="s">
        <v>27597</v>
      </c>
      <c r="J5318" t="str">
        <f t="shared" si="417"/>
        <v>E:\PropInv\MF</v>
      </c>
      <c r="K5318" s="103" t="str">
        <f>HYPERLINK("E:\PropInv\MF\Arlington\Troy Ln_5928_Pleasant Ridge Villas_Arlington_15573","Troy Ln_5928_Pleasant Ridge Villas_Arlington_15573" )</f>
        <v>Troy Ln_5928_Pleasant Ridge Villas_Arlington_15573</v>
      </c>
      <c r="L5318" s="104" t="s">
        <v>22253</v>
      </c>
      <c r="M5318" s="103" t="str">
        <f t="shared" si="418"/>
        <v>http://oconnordata.com/mlink/modules/profile/index.cfm?action=profile&amp;prop_id=15573</v>
      </c>
      <c r="N5318" s="1">
        <f t="shared" si="419"/>
        <v>15573</v>
      </c>
    </row>
    <row r="5319" spans="1:14" x14ac:dyDescent="0.3">
      <c r="A5319" s="1">
        <v>15574</v>
      </c>
      <c r="B5319" s="7" t="s">
        <v>8034</v>
      </c>
      <c r="C5319" s="12">
        <v>1020</v>
      </c>
      <c r="D5319" s="7" t="s">
        <v>6751</v>
      </c>
      <c r="E5319" s="13" t="s">
        <v>6555</v>
      </c>
      <c r="F5319" t="str">
        <f t="shared" si="415"/>
        <v>Gibbons</v>
      </c>
      <c r="G5319" t="str">
        <f t="shared" si="416"/>
        <v>Gibbons1020Arlington</v>
      </c>
      <c r="H5319" t="s">
        <v>36176</v>
      </c>
      <c r="I5319" t="s">
        <v>27598</v>
      </c>
      <c r="J5319" t="str">
        <f t="shared" si="417"/>
        <v>E:\PropInv\MF</v>
      </c>
      <c r="K5319" s="103" t="str">
        <f>HYPERLINK("E:\PropInv\MF\Arlington\Gibbons_1020_Brentwood_Arlington_15574","Gibbons_1020_Brentwood_Arlington_15574" )</f>
        <v>Gibbons_1020_Brentwood_Arlington_15574</v>
      </c>
      <c r="L5319" s="104" t="s">
        <v>22253</v>
      </c>
      <c r="M5319" s="103" t="str">
        <f t="shared" si="418"/>
        <v>http://oconnordata.com/mlink/modules/profile/index.cfm?action=profile&amp;prop_id=15574</v>
      </c>
      <c r="N5319" s="1">
        <f t="shared" si="419"/>
        <v>15574</v>
      </c>
    </row>
    <row r="5320" spans="1:14" x14ac:dyDescent="0.3">
      <c r="A5320" s="1">
        <v>15575</v>
      </c>
      <c r="B5320" s="7" t="s">
        <v>8035</v>
      </c>
      <c r="C5320" s="12">
        <v>408</v>
      </c>
      <c r="D5320" s="7" t="s">
        <v>4980</v>
      </c>
      <c r="E5320" s="13" t="s">
        <v>6555</v>
      </c>
      <c r="F5320" t="str">
        <f t="shared" si="415"/>
        <v>Fielder</v>
      </c>
      <c r="G5320" t="str">
        <f t="shared" si="416"/>
        <v>Fielder408Arlington</v>
      </c>
      <c r="H5320" t="s">
        <v>36177</v>
      </c>
      <c r="I5320" t="s">
        <v>27599</v>
      </c>
      <c r="J5320" t="str">
        <f t="shared" si="417"/>
        <v>E:\PropInv\MF</v>
      </c>
      <c r="K5320" s="103" t="str">
        <f>HYPERLINK("E:\PropInv\MF\Arlington\Fielder Rd N_408_The Village_Arlington_15575","Fielder Rd N_408_The Village_Arlington_15575" )</f>
        <v>Fielder Rd N_408_The Village_Arlington_15575</v>
      </c>
      <c r="L5320" s="104" t="s">
        <v>22253</v>
      </c>
      <c r="M5320" s="103" t="str">
        <f t="shared" si="418"/>
        <v>http://oconnordata.com/mlink/modules/profile/index.cfm?action=profile&amp;prop_id=15575</v>
      </c>
      <c r="N5320" s="1">
        <f t="shared" si="419"/>
        <v>15575</v>
      </c>
    </row>
    <row r="5321" spans="1:14" x14ac:dyDescent="0.3">
      <c r="A5321" s="1">
        <v>15576</v>
      </c>
      <c r="B5321" s="7" t="s">
        <v>8036</v>
      </c>
      <c r="C5321" s="12">
        <v>505</v>
      </c>
      <c r="D5321" s="7" t="s">
        <v>8037</v>
      </c>
      <c r="E5321" s="13" t="s">
        <v>6555</v>
      </c>
      <c r="F5321" t="str">
        <f t="shared" si="415"/>
        <v>Lamar</v>
      </c>
      <c r="G5321" t="str">
        <f t="shared" si="416"/>
        <v>Lamar505Arlington</v>
      </c>
      <c r="H5321" t="s">
        <v>36178</v>
      </c>
      <c r="I5321" t="s">
        <v>27600</v>
      </c>
      <c r="J5321" t="str">
        <f t="shared" si="417"/>
        <v>E:\PropInv\MF</v>
      </c>
      <c r="K5321" s="103" t="str">
        <f>HYPERLINK("E:\PropInv\MF\Arlington\Lamar Ave E_505_The Pointe of North Arlington_Arlington_15576","Lamar Ave E_505_The Pointe of North Arlington_Arlington_15576" )</f>
        <v>Lamar Ave E_505_The Pointe of North Arlington_Arlington_15576</v>
      </c>
      <c r="L5321" s="104" t="s">
        <v>22253</v>
      </c>
      <c r="M5321" s="103" t="str">
        <f t="shared" si="418"/>
        <v>http://oconnordata.com/mlink/modules/profile/index.cfm?action=profile&amp;prop_id=15576</v>
      </c>
      <c r="N5321" s="1">
        <f t="shared" si="419"/>
        <v>15576</v>
      </c>
    </row>
    <row r="5322" spans="1:14" x14ac:dyDescent="0.3">
      <c r="A5322" s="1">
        <v>15577</v>
      </c>
      <c r="B5322" s="7" t="s">
        <v>5138</v>
      </c>
      <c r="C5322" s="12">
        <v>505</v>
      </c>
      <c r="D5322" s="7" t="s">
        <v>8038</v>
      </c>
      <c r="E5322" s="13" t="s">
        <v>5140</v>
      </c>
      <c r="F5322" t="str">
        <f t="shared" si="415"/>
        <v>Benton</v>
      </c>
      <c r="G5322" t="str">
        <f t="shared" si="416"/>
        <v>Benton505Allen</v>
      </c>
      <c r="H5322" t="s">
        <v>36179</v>
      </c>
      <c r="I5322" t="s">
        <v>27601</v>
      </c>
      <c r="J5322" t="str">
        <f t="shared" si="417"/>
        <v>E:\PropInv\MF</v>
      </c>
      <c r="K5322" s="103" t="str">
        <f>HYPERLINK("E:\PropInv\MF\Allen\Benton Dr_505_Lansbrook at Twin Creeks_Allen_15577","Benton Dr_505_Lansbrook at Twin Creeks_Allen_15577" )</f>
        <v>Benton Dr_505_Lansbrook at Twin Creeks_Allen_15577</v>
      </c>
      <c r="L5322" s="104" t="s">
        <v>22253</v>
      </c>
      <c r="M5322" s="103" t="str">
        <f t="shared" si="418"/>
        <v>http://oconnordata.com/mlink/modules/profile/index.cfm?action=profile&amp;prop_id=15577</v>
      </c>
      <c r="N5322" s="1">
        <f t="shared" si="419"/>
        <v>15577</v>
      </c>
    </row>
    <row r="5323" spans="1:14" x14ac:dyDescent="0.3">
      <c r="A5323" s="1">
        <v>15578</v>
      </c>
      <c r="B5323" s="7" t="s">
        <v>8039</v>
      </c>
      <c r="C5323" s="12">
        <v>13950</v>
      </c>
      <c r="D5323" s="7" t="s">
        <v>8040</v>
      </c>
      <c r="E5323" s="13" t="s">
        <v>5781</v>
      </c>
      <c r="F5323" t="str">
        <f t="shared" si="415"/>
        <v>Trinity</v>
      </c>
      <c r="G5323" t="str">
        <f t="shared" si="416"/>
        <v>Trinity13950Euless</v>
      </c>
      <c r="H5323" t="s">
        <v>36180</v>
      </c>
      <c r="I5323" t="s">
        <v>27602</v>
      </c>
      <c r="J5323" t="str">
        <f t="shared" si="417"/>
        <v>E:\PropInv\MF</v>
      </c>
      <c r="K5323" s="103" t="str">
        <f>HYPERLINK("E:\PropInv\MF\Euless\Trinity Blvd_13950_Post Oak Place_Euless_15578","Trinity Blvd_13950_Post Oak Place_Euless_15578" )</f>
        <v>Trinity Blvd_13950_Post Oak Place_Euless_15578</v>
      </c>
      <c r="L5323" s="104" t="s">
        <v>22253</v>
      </c>
      <c r="M5323" s="103" t="str">
        <f t="shared" si="418"/>
        <v>http://oconnordata.com/mlink/modules/profile/index.cfm?action=profile&amp;prop_id=15578</v>
      </c>
      <c r="N5323" s="1">
        <f t="shared" si="419"/>
        <v>15578</v>
      </c>
    </row>
    <row r="5324" spans="1:14" x14ac:dyDescent="0.3">
      <c r="A5324" s="1">
        <v>15579</v>
      </c>
      <c r="B5324" s="7" t="s">
        <v>7730</v>
      </c>
      <c r="C5324" s="12">
        <v>531</v>
      </c>
      <c r="D5324" s="7" t="s">
        <v>8041</v>
      </c>
      <c r="E5324" s="13" t="s">
        <v>4942</v>
      </c>
      <c r="F5324" t="str">
        <f t="shared" si="415"/>
        <v>Bedford</v>
      </c>
      <c r="G5324" t="str">
        <f t="shared" si="416"/>
        <v>Bedford531Bedford</v>
      </c>
      <c r="H5324" t="s">
        <v>36181</v>
      </c>
      <c r="I5324" t="s">
        <v>27603</v>
      </c>
      <c r="J5324" t="str">
        <f t="shared" si="417"/>
        <v>E:\PropInv\MF</v>
      </c>
      <c r="K5324" s="103" t="str">
        <f>HYPERLINK("E:\PropInv\MF\Bedford\Bedford Rd_531_Linbrook_Bedford_15579","Bedford Rd_531_Linbrook_Bedford_15579" )</f>
        <v>Bedford Rd_531_Linbrook_Bedford_15579</v>
      </c>
      <c r="L5324" s="104" t="s">
        <v>22253</v>
      </c>
      <c r="M5324" s="103" t="str">
        <f t="shared" si="418"/>
        <v>http://oconnordata.com/mlink/modules/profile/index.cfm?action=profile&amp;prop_id=15579</v>
      </c>
      <c r="N5324" s="1">
        <f t="shared" si="419"/>
        <v>15579</v>
      </c>
    </row>
    <row r="5325" spans="1:14" x14ac:dyDescent="0.3">
      <c r="A5325" s="1">
        <v>15580</v>
      </c>
      <c r="B5325" s="7" t="s">
        <v>8042</v>
      </c>
      <c r="C5325" s="12">
        <v>1325</v>
      </c>
      <c r="D5325" s="7" t="s">
        <v>8043</v>
      </c>
      <c r="E5325" s="13" t="s">
        <v>5076</v>
      </c>
      <c r="F5325" t="str">
        <f t="shared" si="415"/>
        <v>Daja</v>
      </c>
      <c r="G5325" t="str">
        <f t="shared" si="416"/>
        <v>Daja1325Grand Prairie</v>
      </c>
      <c r="H5325" t="s">
        <v>36182</v>
      </c>
      <c r="I5325" t="s">
        <v>27604</v>
      </c>
      <c r="J5325" t="str">
        <f t="shared" si="417"/>
        <v>E:\PropInv\MF</v>
      </c>
      <c r="K5325" s="103" t="str">
        <f>HYPERLINK("E:\PropInv\MF\Grand Prairie\Daja Ln_1325_Prairie Estates_Grand Prairie_15580","Daja Ln_1325_Prairie Estates_Grand Prairie_15580" )</f>
        <v>Daja Ln_1325_Prairie Estates_Grand Prairie_15580</v>
      </c>
      <c r="L5325" s="104" t="s">
        <v>22253</v>
      </c>
      <c r="M5325" s="103" t="str">
        <f t="shared" si="418"/>
        <v>http://oconnordata.com/mlink/modules/profile/index.cfm?action=profile&amp;prop_id=15580</v>
      </c>
      <c r="N5325" s="1">
        <f t="shared" si="419"/>
        <v>15580</v>
      </c>
    </row>
    <row r="5326" spans="1:14" x14ac:dyDescent="0.3">
      <c r="A5326" s="1">
        <v>15582</v>
      </c>
      <c r="B5326" s="7" t="s">
        <v>7822</v>
      </c>
      <c r="C5326" s="12">
        <v>711</v>
      </c>
      <c r="D5326" s="7" t="s">
        <v>2359</v>
      </c>
      <c r="E5326" s="13" t="s">
        <v>6555</v>
      </c>
      <c r="F5326" t="str">
        <f t="shared" si="415"/>
        <v>Linda</v>
      </c>
      <c r="G5326" t="str">
        <f t="shared" si="416"/>
        <v>Linda711Arlington</v>
      </c>
      <c r="H5326" t="s">
        <v>36183</v>
      </c>
      <c r="I5326" t="s">
        <v>27605</v>
      </c>
      <c r="J5326" t="str">
        <f t="shared" si="417"/>
        <v>E:\PropInv\MF</v>
      </c>
      <c r="K5326" s="103" t="str">
        <f>HYPERLINK("E:\PropInv\MF\Arlington\Linda Vista Ave_711_Linda Vista_Arlington_15582","Linda Vista Ave_711_Linda Vista_Arlington_15582" )</f>
        <v>Linda Vista Ave_711_Linda Vista_Arlington_15582</v>
      </c>
      <c r="L5326" s="104" t="s">
        <v>22253</v>
      </c>
      <c r="M5326" s="103" t="str">
        <f t="shared" si="418"/>
        <v>http://oconnordata.com/mlink/modules/profile/index.cfm?action=profile&amp;prop_id=15582</v>
      </c>
      <c r="N5326" s="1">
        <f t="shared" si="419"/>
        <v>15582</v>
      </c>
    </row>
    <row r="5327" spans="1:14" x14ac:dyDescent="0.3">
      <c r="A5327" s="1">
        <v>15584</v>
      </c>
      <c r="B5327" s="7" t="s">
        <v>8044</v>
      </c>
      <c r="C5327" s="12">
        <v>313</v>
      </c>
      <c r="D5327" s="7" t="s">
        <v>8045</v>
      </c>
      <c r="E5327" s="13" t="s">
        <v>5076</v>
      </c>
      <c r="F5327" t="str">
        <f t="shared" si="415"/>
        <v>Freetown</v>
      </c>
      <c r="G5327" t="str">
        <f t="shared" si="416"/>
        <v>Freetown313Grand Prairie</v>
      </c>
      <c r="H5327" t="s">
        <v>36184</v>
      </c>
      <c r="I5327" t="s">
        <v>27606</v>
      </c>
      <c r="J5327" t="str">
        <f t="shared" si="417"/>
        <v>E:\PropInv\MF</v>
      </c>
      <c r="K5327" s="103" t="str">
        <f>HYPERLINK("E:\PropInv\MF\Grand Prairie\Freetown Rd_313_Prairie Ridge_Grand Prairie_15584","Freetown Rd_313_Prairie Ridge_Grand Prairie_15584" )</f>
        <v>Freetown Rd_313_Prairie Ridge_Grand Prairie_15584</v>
      </c>
      <c r="L5327" s="104" t="s">
        <v>22253</v>
      </c>
      <c r="M5327" s="103" t="str">
        <f t="shared" si="418"/>
        <v>http://oconnordata.com/mlink/modules/profile/index.cfm?action=profile&amp;prop_id=15584</v>
      </c>
      <c r="N5327" s="1">
        <f t="shared" si="419"/>
        <v>15584</v>
      </c>
    </row>
    <row r="5328" spans="1:14" x14ac:dyDescent="0.3">
      <c r="A5328" s="1">
        <v>15585</v>
      </c>
      <c r="B5328" s="7" t="s">
        <v>8046</v>
      </c>
      <c r="C5328" s="12">
        <v>6424</v>
      </c>
      <c r="D5328" s="7" t="s">
        <v>7608</v>
      </c>
      <c r="E5328" s="13" t="s">
        <v>6541</v>
      </c>
      <c r="F5328" t="str">
        <f t="shared" si="415"/>
        <v>Industrial</v>
      </c>
      <c r="G5328" t="str">
        <f t="shared" si="416"/>
        <v>Industrial6424North Richland Hills</v>
      </c>
      <c r="H5328" t="s">
        <v>36185</v>
      </c>
      <c r="I5328" t="s">
        <v>27607</v>
      </c>
      <c r="J5328" t="str">
        <f t="shared" si="417"/>
        <v>E:\PropInv\MF</v>
      </c>
      <c r="K5328" s="103" t="str">
        <f>HYPERLINK("E:\PropInv\MF\North Richland Hills\Industrial Park Blvd_6424_Hilltop_North Richland Hills_15585","Industrial Park Blvd_6424_Hilltop_North Richland Hills_15585" )</f>
        <v>Industrial Park Blvd_6424_Hilltop_North Richland Hills_15585</v>
      </c>
      <c r="L5328" s="104" t="s">
        <v>22253</v>
      </c>
      <c r="M5328" s="103" t="str">
        <f t="shared" si="418"/>
        <v>http://oconnordata.com/mlink/modules/profile/index.cfm?action=profile&amp;prop_id=15585</v>
      </c>
      <c r="N5328" s="1">
        <f t="shared" si="419"/>
        <v>15585</v>
      </c>
    </row>
    <row r="5329" spans="1:14" x14ac:dyDescent="0.3">
      <c r="A5329" s="1">
        <v>15586</v>
      </c>
      <c r="B5329" s="7" t="s">
        <v>8047</v>
      </c>
      <c r="C5329" s="12">
        <v>2201</v>
      </c>
      <c r="D5329" s="7" t="s">
        <v>8047</v>
      </c>
      <c r="E5329" s="13" t="s">
        <v>6555</v>
      </c>
      <c r="F5329" t="str">
        <f t="shared" si="415"/>
        <v>Presidents</v>
      </c>
      <c r="G5329" t="str">
        <f t="shared" si="416"/>
        <v>Presidents2201Arlington</v>
      </c>
      <c r="H5329" t="s">
        <v>36186</v>
      </c>
      <c r="I5329" t="s">
        <v>27608</v>
      </c>
      <c r="J5329" t="str">
        <f t="shared" si="417"/>
        <v>E:\PropInv\MF</v>
      </c>
      <c r="K5329" s="103" t="str">
        <f>HYPERLINK("E:\PropInv\MF\Arlington\Presidents Corner_2201_Presidents Corner_Arlington_15586","Presidents Corner_2201_Presidents Corner_Arlington_15586" )</f>
        <v>Presidents Corner_2201_Presidents Corner_Arlington_15586</v>
      </c>
      <c r="L5329" s="104" t="s">
        <v>22253</v>
      </c>
      <c r="M5329" s="103" t="str">
        <f t="shared" si="418"/>
        <v>http://oconnordata.com/mlink/modules/profile/index.cfm?action=profile&amp;prop_id=15586</v>
      </c>
      <c r="N5329" s="1">
        <f t="shared" si="419"/>
        <v>15586</v>
      </c>
    </row>
    <row r="5330" spans="1:14" x14ac:dyDescent="0.3">
      <c r="A5330" s="1">
        <v>15587</v>
      </c>
      <c r="B5330" s="7" t="s">
        <v>8048</v>
      </c>
      <c r="C5330" s="12">
        <v>350</v>
      </c>
      <c r="D5330" s="7" t="s">
        <v>8049</v>
      </c>
      <c r="E5330" s="13" t="s">
        <v>8000</v>
      </c>
      <c r="F5330" t="str">
        <f t="shared" si="415"/>
        <v>Quorum</v>
      </c>
      <c r="G5330" t="str">
        <f t="shared" si="416"/>
        <v>Quorum350Trophy Club</v>
      </c>
      <c r="H5330" t="s">
        <v>36187</v>
      </c>
      <c r="I5330" t="s">
        <v>27609</v>
      </c>
      <c r="J5330" t="str">
        <f t="shared" si="417"/>
        <v>E:\PropInv\MF</v>
      </c>
      <c r="K5330" s="103" t="str">
        <f>HYPERLINK("E:\PropInv\MF\Trophy Club\Quorum Dr_350_Quorum TH_Trophy Club_15587","Quorum Dr_350_Quorum TH_Trophy Club_15587" )</f>
        <v>Quorum Dr_350_Quorum TH_Trophy Club_15587</v>
      </c>
      <c r="L5330" s="104" t="s">
        <v>22253</v>
      </c>
      <c r="M5330" s="103" t="str">
        <f t="shared" si="418"/>
        <v>http://oconnordata.com/mlink/modules/profile/index.cfm?action=profile&amp;prop_id=15587</v>
      </c>
      <c r="N5330" s="1">
        <f t="shared" si="419"/>
        <v>15587</v>
      </c>
    </row>
    <row r="5331" spans="1:14" x14ac:dyDescent="0.3">
      <c r="A5331" s="1">
        <v>15588</v>
      </c>
      <c r="B5331" s="7" t="s">
        <v>8050</v>
      </c>
      <c r="C5331" s="12">
        <v>1500</v>
      </c>
      <c r="D5331" s="7" t="s">
        <v>8051</v>
      </c>
      <c r="E5331" s="13" t="s">
        <v>6612</v>
      </c>
      <c r="F5331" t="str">
        <f t="shared" si="415"/>
        <v>Sylvan</v>
      </c>
      <c r="G5331" t="str">
        <f t="shared" si="416"/>
        <v>Sylvan1500Hurst</v>
      </c>
      <c r="H5331" t="s">
        <v>36188</v>
      </c>
      <c r="I5331" t="s">
        <v>27610</v>
      </c>
      <c r="J5331" t="str">
        <f t="shared" si="417"/>
        <v>E:\PropInv\MF</v>
      </c>
      <c r="K5331" s="103" t="str">
        <f>HYPERLINK("E:\PropInv\MF\Hurst\Sylvan Dr_1500_Hunter Chase_Hurst_15588","Sylvan Dr_1500_Hunter Chase_Hurst_15588" )</f>
        <v>Sylvan Dr_1500_Hunter Chase_Hurst_15588</v>
      </c>
      <c r="L5331" s="104" t="s">
        <v>22253</v>
      </c>
      <c r="M5331" s="103" t="str">
        <f t="shared" si="418"/>
        <v>http://oconnordata.com/mlink/modules/profile/index.cfm?action=profile&amp;prop_id=15588</v>
      </c>
      <c r="N5331" s="1">
        <f t="shared" si="419"/>
        <v>15588</v>
      </c>
    </row>
    <row r="5332" spans="1:14" x14ac:dyDescent="0.3">
      <c r="A5332" s="1">
        <v>15590</v>
      </c>
      <c r="B5332" s="7" t="s">
        <v>8052</v>
      </c>
      <c r="C5332" s="12">
        <v>101</v>
      </c>
      <c r="D5332" s="7" t="s">
        <v>8053</v>
      </c>
      <c r="E5332" s="13" t="s">
        <v>7729</v>
      </c>
      <c r="F5332" t="str">
        <f t="shared" si="415"/>
        <v>Hialeah</v>
      </c>
      <c r="G5332" t="str">
        <f t="shared" si="416"/>
        <v>Hialeah101Saginaw</v>
      </c>
      <c r="H5332" t="s">
        <v>36189</v>
      </c>
      <c r="I5332" t="s">
        <v>27611</v>
      </c>
      <c r="J5332" t="str">
        <f t="shared" si="417"/>
        <v>E:\PropInv\MF</v>
      </c>
      <c r="K5332" s="103" t="str">
        <f>HYPERLINK("E:\PropInv\MF\Saginaw\Hialeah Park_101_Saginaw Crossings_Saginaw_15590","Hialeah Park_101_Saginaw Crossings_Saginaw_15590" )</f>
        <v>Hialeah Park_101_Saginaw Crossings_Saginaw_15590</v>
      </c>
      <c r="L5332" s="104" t="s">
        <v>22253</v>
      </c>
      <c r="M5332" s="103" t="str">
        <f t="shared" si="418"/>
        <v>http://oconnordata.com/mlink/modules/profile/index.cfm?action=profile&amp;prop_id=15590</v>
      </c>
      <c r="N5332" s="1">
        <f t="shared" si="419"/>
        <v>15590</v>
      </c>
    </row>
    <row r="5333" spans="1:14" x14ac:dyDescent="0.3">
      <c r="A5333" s="1">
        <v>15591</v>
      </c>
      <c r="B5333" s="7" t="s">
        <v>8054</v>
      </c>
      <c r="C5333" s="12">
        <v>2507</v>
      </c>
      <c r="D5333" s="7" t="s">
        <v>8055</v>
      </c>
      <c r="E5333" s="13" t="s">
        <v>6555</v>
      </c>
      <c r="F5333" t="str">
        <f t="shared" si="415"/>
        <v>Airport</v>
      </c>
      <c r="G5333" t="str">
        <f t="shared" si="416"/>
        <v>Airport2507Arlington</v>
      </c>
      <c r="H5333" t="s">
        <v>36190</v>
      </c>
      <c r="I5333" t="s">
        <v>27612</v>
      </c>
      <c r="J5333" t="str">
        <f t="shared" si="417"/>
        <v>E:\PropInv\MF</v>
      </c>
      <c r="K5333" s="103" t="str">
        <f>HYPERLINK("E:\PropInv\MF\Arlington\Airport Cir_2507_Regency_Arlington_15591","Airport Cir_2507_Regency_Arlington_15591" )</f>
        <v>Airport Cir_2507_Regency_Arlington_15591</v>
      </c>
      <c r="L5333" s="104" t="s">
        <v>22253</v>
      </c>
      <c r="M5333" s="103" t="str">
        <f t="shared" si="418"/>
        <v>http://oconnordata.com/mlink/modules/profile/index.cfm?action=profile&amp;prop_id=15591</v>
      </c>
      <c r="N5333" s="1">
        <f t="shared" si="419"/>
        <v>15591</v>
      </c>
    </row>
    <row r="5334" spans="1:14" x14ac:dyDescent="0.3">
      <c r="A5334" s="1">
        <v>15592</v>
      </c>
      <c r="B5334" s="7" t="s">
        <v>8056</v>
      </c>
      <c r="C5334" s="12">
        <v>2311</v>
      </c>
      <c r="D5334" s="7" t="s">
        <v>711</v>
      </c>
      <c r="E5334" s="13" t="s">
        <v>6555</v>
      </c>
      <c r="F5334" t="str">
        <f t="shared" si="415"/>
        <v>Stratton</v>
      </c>
      <c r="G5334" t="str">
        <f t="shared" si="416"/>
        <v>Stratton2311Arlington</v>
      </c>
      <c r="H5334" t="s">
        <v>36191</v>
      </c>
      <c r="I5334" t="s">
        <v>27613</v>
      </c>
      <c r="J5334" t="str">
        <f t="shared" si="417"/>
        <v>E:\PropInv\MF</v>
      </c>
      <c r="K5334" s="103" t="str">
        <f>HYPERLINK("E:\PropInv\MF\Arlington\Stratton_2311_Huntington Meadows_Arlington_15592","Stratton_2311_Huntington Meadows_Arlington_15592" )</f>
        <v>Stratton_2311_Huntington Meadows_Arlington_15592</v>
      </c>
      <c r="L5334" s="104" t="s">
        <v>22253</v>
      </c>
      <c r="M5334" s="103" t="str">
        <f t="shared" si="418"/>
        <v>http://oconnordata.com/mlink/modules/profile/index.cfm?action=profile&amp;prop_id=15592</v>
      </c>
      <c r="N5334" s="1">
        <f t="shared" si="419"/>
        <v>15592</v>
      </c>
    </row>
    <row r="5335" spans="1:14" x14ac:dyDescent="0.3">
      <c r="A5335" s="1">
        <v>15593</v>
      </c>
      <c r="B5335" s="7" t="s">
        <v>7935</v>
      </c>
      <c r="C5335" s="12">
        <v>503</v>
      </c>
      <c r="D5335" s="7" t="s">
        <v>8057</v>
      </c>
      <c r="E5335" s="13" t="s">
        <v>6612</v>
      </c>
      <c r="F5335" t="str">
        <f t="shared" si="415"/>
        <v>Brown</v>
      </c>
      <c r="G5335" t="str">
        <f t="shared" si="416"/>
        <v>Brown503Hurst</v>
      </c>
      <c r="H5335" t="s">
        <v>36192</v>
      </c>
      <c r="I5335" t="s">
        <v>27614</v>
      </c>
      <c r="J5335" t="str">
        <f t="shared" si="417"/>
        <v>E:\PropInv\MF</v>
      </c>
      <c r="K5335" s="103" t="str">
        <f>HYPERLINK("E:\PropInv\MF\Hurst\Brown Trl_503_Regency Place_Hurst_15593","Brown Trl_503_Regency Place_Hurst_15593" )</f>
        <v>Brown Trl_503_Regency Place_Hurst_15593</v>
      </c>
      <c r="L5335" s="104" t="s">
        <v>22253</v>
      </c>
      <c r="M5335" s="103" t="str">
        <f t="shared" si="418"/>
        <v>http://oconnordata.com/mlink/modules/profile/index.cfm?action=profile&amp;prop_id=15593</v>
      </c>
      <c r="N5335" s="1">
        <f t="shared" si="419"/>
        <v>15593</v>
      </c>
    </row>
    <row r="5336" spans="1:14" x14ac:dyDescent="0.3">
      <c r="A5336" s="1">
        <v>15594</v>
      </c>
      <c r="B5336" s="10" t="s">
        <v>7755</v>
      </c>
      <c r="C5336" s="9">
        <v>3037</v>
      </c>
      <c r="D5336" s="10" t="s">
        <v>8058</v>
      </c>
      <c r="E5336" s="11" t="s">
        <v>6578</v>
      </c>
      <c r="F5336" t="str">
        <f t="shared" si="415"/>
        <v>Mustang</v>
      </c>
      <c r="G5336" t="str">
        <f t="shared" si="416"/>
        <v>Mustang3037Grapevine</v>
      </c>
      <c r="H5336" t="s">
        <v>36193</v>
      </c>
      <c r="I5336" t="s">
        <v>27615</v>
      </c>
      <c r="J5336" t="str">
        <f t="shared" si="417"/>
        <v>E:\PropInv\MF</v>
      </c>
      <c r="K5336" s="103" t="str">
        <f>HYPERLINK("E:\PropInv\MF\Grapevine\Mustang Dr_3037_Regional Place_Grapevine_15594","Mustang Dr_3037_Regional Place_Grapevine_15594" )</f>
        <v>Mustang Dr_3037_Regional Place_Grapevine_15594</v>
      </c>
      <c r="L5336" s="104" t="s">
        <v>22253</v>
      </c>
      <c r="M5336" s="103" t="str">
        <f t="shared" si="418"/>
        <v>http://oconnordata.com/mlink/modules/profile/index.cfm?action=profile&amp;prop_id=15594</v>
      </c>
      <c r="N5336" s="1">
        <f t="shared" si="419"/>
        <v>15594</v>
      </c>
    </row>
    <row r="5337" spans="1:14" x14ac:dyDescent="0.3">
      <c r="A5337" s="1">
        <v>15595</v>
      </c>
      <c r="B5337" s="7" t="s">
        <v>8059</v>
      </c>
      <c r="C5337" s="12">
        <v>903</v>
      </c>
      <c r="D5337" s="7" t="s">
        <v>8060</v>
      </c>
      <c r="E5337" s="13" t="s">
        <v>6555</v>
      </c>
      <c r="F5337" t="str">
        <f t="shared" si="415"/>
        <v>Ashford</v>
      </c>
      <c r="G5337" t="str">
        <f t="shared" si="416"/>
        <v>Ashford903Arlington</v>
      </c>
      <c r="H5337" t="s">
        <v>36194</v>
      </c>
      <c r="I5337" t="s">
        <v>27616</v>
      </c>
      <c r="J5337" t="str">
        <f t="shared" si="417"/>
        <v>E:\PropInv\MF</v>
      </c>
      <c r="K5337" s="103" t="str">
        <f>HYPERLINK("E:\PropInv\MF\Arlington\Ashford Ln_903_Remington Meadows_Arlington_15595","Ashford Ln_903_Remington Meadows_Arlington_15595" )</f>
        <v>Ashford Ln_903_Remington Meadows_Arlington_15595</v>
      </c>
      <c r="L5337" s="104" t="s">
        <v>22253</v>
      </c>
      <c r="M5337" s="103" t="str">
        <f t="shared" si="418"/>
        <v>http://oconnordata.com/mlink/modules/profile/index.cfm?action=profile&amp;prop_id=15595</v>
      </c>
      <c r="N5337" s="1">
        <f t="shared" si="419"/>
        <v>15595</v>
      </c>
    </row>
    <row r="5338" spans="1:14" x14ac:dyDescent="0.3">
      <c r="A5338" s="1">
        <v>15597</v>
      </c>
      <c r="B5338" s="7" t="s">
        <v>5129</v>
      </c>
      <c r="C5338" s="12">
        <v>9940</v>
      </c>
      <c r="D5338" s="7" t="s">
        <v>6471</v>
      </c>
      <c r="E5338" s="13" t="s">
        <v>4996</v>
      </c>
      <c r="F5338" t="str">
        <f t="shared" si="415"/>
        <v>Forest</v>
      </c>
      <c r="G5338" t="str">
        <f t="shared" si="416"/>
        <v>Forest9940Dallas</v>
      </c>
      <c r="H5338" t="s">
        <v>36195</v>
      </c>
      <c r="I5338" t="s">
        <v>27617</v>
      </c>
      <c r="J5338" t="str">
        <f t="shared" si="417"/>
        <v>E:\PropInv\MF</v>
      </c>
      <c r="K5338" s="103" t="str">
        <f>HYPERLINK("E:\PropInv\MF\Dallas\Forest Ln_9940_Wellington Place_Dallas_15597","Forest Ln_9940_Wellington Place_Dallas_15597" )</f>
        <v>Forest Ln_9940_Wellington Place_Dallas_15597</v>
      </c>
      <c r="L5338" s="104" t="s">
        <v>22253</v>
      </c>
      <c r="M5338" s="103" t="str">
        <f t="shared" si="418"/>
        <v>http://oconnordata.com/mlink/modules/profile/index.cfm?action=profile&amp;prop_id=15597</v>
      </c>
      <c r="N5338" s="1">
        <f t="shared" si="419"/>
        <v>15597</v>
      </c>
    </row>
    <row r="5339" spans="1:14" x14ac:dyDescent="0.3">
      <c r="A5339" s="1">
        <v>15598</v>
      </c>
      <c r="B5339" s="7" t="s">
        <v>5077</v>
      </c>
      <c r="C5339" s="12">
        <v>6820</v>
      </c>
      <c r="D5339" s="7" t="s">
        <v>8061</v>
      </c>
      <c r="E5339" s="13" t="s">
        <v>4996</v>
      </c>
      <c r="F5339" t="str">
        <f t="shared" si="415"/>
        <v>Skillman</v>
      </c>
      <c r="G5339" t="str">
        <f t="shared" si="416"/>
        <v>Skillman6820Dallas</v>
      </c>
      <c r="H5339" t="s">
        <v>36196</v>
      </c>
      <c r="I5339" t="s">
        <v>27618</v>
      </c>
      <c r="J5339" t="str">
        <f t="shared" si="417"/>
        <v>E:\PropInv\MF</v>
      </c>
      <c r="K5339" s="103" t="str">
        <f>HYPERLINK("E:\PropInv\MF\Dallas\Skillman_6820_White Rock Trail_Dallas_15598","Skillman_6820_White Rock Trail_Dallas_15598" )</f>
        <v>Skillman_6820_White Rock Trail_Dallas_15598</v>
      </c>
      <c r="L5339" s="104" t="s">
        <v>22253</v>
      </c>
      <c r="M5339" s="103" t="str">
        <f t="shared" si="418"/>
        <v>http://oconnordata.com/mlink/modules/profile/index.cfm?action=profile&amp;prop_id=15598</v>
      </c>
      <c r="N5339" s="1">
        <f t="shared" si="419"/>
        <v>15598</v>
      </c>
    </row>
    <row r="5340" spans="1:14" x14ac:dyDescent="0.3">
      <c r="A5340" s="1">
        <v>15599</v>
      </c>
      <c r="B5340" s="7" t="s">
        <v>7755</v>
      </c>
      <c r="C5340" s="12">
        <v>2805</v>
      </c>
      <c r="D5340" s="7" t="s">
        <v>8062</v>
      </c>
      <c r="E5340" s="13" t="s">
        <v>6578</v>
      </c>
      <c r="F5340" t="str">
        <f t="shared" si="415"/>
        <v>Mustang</v>
      </c>
      <c r="G5340" t="str">
        <f t="shared" si="416"/>
        <v>Mustang2805Grapevine</v>
      </c>
      <c r="H5340" t="s">
        <v>36197</v>
      </c>
      <c r="I5340" t="s">
        <v>27619</v>
      </c>
      <c r="J5340" t="str">
        <f t="shared" si="417"/>
        <v>E:\PropInv\MF</v>
      </c>
      <c r="K5340" s="103" t="str">
        <f>HYPERLINK("E:\PropInv\MF\Grapevine\Mustang Dr_2805_Ridge Crest_Grapevine_15599","Mustang Dr_2805_Ridge Crest_Grapevine_15599" )</f>
        <v>Mustang Dr_2805_Ridge Crest_Grapevine_15599</v>
      </c>
      <c r="L5340" s="104" t="s">
        <v>22253</v>
      </c>
      <c r="M5340" s="103" t="str">
        <f t="shared" si="418"/>
        <v>http://oconnordata.com/mlink/modules/profile/index.cfm?action=profile&amp;prop_id=15599</v>
      </c>
      <c r="N5340" s="1">
        <f t="shared" si="419"/>
        <v>15599</v>
      </c>
    </row>
    <row r="5341" spans="1:14" x14ac:dyDescent="0.3">
      <c r="A5341" s="1">
        <v>15601</v>
      </c>
      <c r="B5341" s="7" t="s">
        <v>8063</v>
      </c>
      <c r="C5341" s="12">
        <v>711</v>
      </c>
      <c r="D5341" s="7" t="s">
        <v>332</v>
      </c>
      <c r="E5341" s="13" t="s">
        <v>6555</v>
      </c>
      <c r="F5341" t="str">
        <f t="shared" si="415"/>
        <v>Brentford</v>
      </c>
      <c r="G5341" t="str">
        <f t="shared" si="416"/>
        <v>Brentford711Arlington</v>
      </c>
      <c r="H5341" t="s">
        <v>36198</v>
      </c>
      <c r="I5341" t="s">
        <v>27620</v>
      </c>
      <c r="J5341" t="str">
        <f t="shared" si="417"/>
        <v>E:\PropInv\MF</v>
      </c>
      <c r="K5341" s="103" t="str">
        <f>HYPERLINK("E:\PropInv\MF\Arlington\Brentford Place_711_River Oaks_Arlington_15601","Brentford Place_711_River Oaks_Arlington_15601" )</f>
        <v>Brentford Place_711_River Oaks_Arlington_15601</v>
      </c>
      <c r="L5341" s="104" t="s">
        <v>22253</v>
      </c>
      <c r="M5341" s="103" t="str">
        <f t="shared" si="418"/>
        <v>http://oconnordata.com/mlink/modules/profile/index.cfm?action=profile&amp;prop_id=15601</v>
      </c>
      <c r="N5341" s="1">
        <f t="shared" si="419"/>
        <v>15601</v>
      </c>
    </row>
    <row r="5342" spans="1:14" x14ac:dyDescent="0.3">
      <c r="A5342" s="1">
        <v>15603</v>
      </c>
      <c r="B5342" s="7" t="s">
        <v>8064</v>
      </c>
      <c r="C5342" s="12">
        <v>2604</v>
      </c>
      <c r="D5342" s="7" t="s">
        <v>8065</v>
      </c>
      <c r="E5342" s="13" t="s">
        <v>6555</v>
      </c>
      <c r="F5342" t="str">
        <f t="shared" si="415"/>
        <v>Furrs</v>
      </c>
      <c r="G5342" t="str">
        <f t="shared" si="416"/>
        <v>Furrs2604Arlington</v>
      </c>
      <c r="H5342" t="s">
        <v>36199</v>
      </c>
      <c r="I5342" t="s">
        <v>27621</v>
      </c>
      <c r="J5342" t="str">
        <f t="shared" si="417"/>
        <v>E:\PropInv\MF</v>
      </c>
      <c r="K5342" s="103" t="str">
        <f>HYPERLINK("E:\PropInv\MF\Arlington\Furrs Ave_2604_The Rochester_Arlington_15603","Furrs Ave_2604_The Rochester_Arlington_15603" )</f>
        <v>Furrs Ave_2604_The Rochester_Arlington_15603</v>
      </c>
      <c r="L5342" s="104" t="s">
        <v>22253</v>
      </c>
      <c r="M5342" s="103" t="str">
        <f t="shared" si="418"/>
        <v>http://oconnordata.com/mlink/modules/profile/index.cfm?action=profile&amp;prop_id=15603</v>
      </c>
      <c r="N5342" s="1">
        <f t="shared" si="419"/>
        <v>15603</v>
      </c>
    </row>
    <row r="5343" spans="1:14" x14ac:dyDescent="0.3">
      <c r="A5343" s="1">
        <v>15604</v>
      </c>
      <c r="B5343" s="7" t="s">
        <v>8066</v>
      </c>
      <c r="C5343" s="12">
        <v>711</v>
      </c>
      <c r="D5343" s="7" t="s">
        <v>7344</v>
      </c>
      <c r="E5343" s="13" t="s">
        <v>6555</v>
      </c>
      <c r="F5343" t="str">
        <f t="shared" si="415"/>
        <v>Trinity</v>
      </c>
      <c r="G5343" t="str">
        <f t="shared" si="416"/>
        <v>Trinity711Arlington</v>
      </c>
      <c r="H5343" t="s">
        <v>36200</v>
      </c>
      <c r="I5343" t="s">
        <v>27622</v>
      </c>
      <c r="J5343" t="str">
        <f t="shared" si="417"/>
        <v>E:\PropInv\MF</v>
      </c>
      <c r="K5343" s="103" t="str">
        <f>HYPERLINK("E:\PropInv\MF\Arlington\Trinity Cir_711_Bella Vista_Arlington_15604","Trinity Cir_711_Bella Vista_Arlington_15604" )</f>
        <v>Trinity Cir_711_Bella Vista_Arlington_15604</v>
      </c>
      <c r="L5343" s="104" t="s">
        <v>22253</v>
      </c>
      <c r="M5343" s="103" t="str">
        <f t="shared" si="418"/>
        <v>http://oconnordata.com/mlink/modules/profile/index.cfm?action=profile&amp;prop_id=15604</v>
      </c>
      <c r="N5343" s="1">
        <f t="shared" si="419"/>
        <v>15604</v>
      </c>
    </row>
    <row r="5344" spans="1:14" x14ac:dyDescent="0.3">
      <c r="A5344" s="1">
        <v>15606</v>
      </c>
      <c r="B5344" s="7" t="s">
        <v>8015</v>
      </c>
      <c r="C5344" s="12">
        <v>812</v>
      </c>
      <c r="D5344" s="7" t="s">
        <v>1377</v>
      </c>
      <c r="E5344" s="13" t="s">
        <v>6555</v>
      </c>
      <c r="F5344" t="str">
        <f t="shared" si="415"/>
        <v>Brown</v>
      </c>
      <c r="G5344" t="str">
        <f t="shared" si="416"/>
        <v>Brown812Arlington</v>
      </c>
      <c r="H5344" t="s">
        <v>36201</v>
      </c>
      <c r="I5344" t="s">
        <v>27623</v>
      </c>
      <c r="J5344" t="str">
        <f t="shared" si="417"/>
        <v>E:\PropInv\MF</v>
      </c>
      <c r="K5344" s="103" t="str">
        <f>HYPERLINK("E:\PropInv\MF\Arlington\Brown Blvd_812_Summer Oaks_Arlington_15606","Brown Blvd_812_Summer Oaks_Arlington_15606" )</f>
        <v>Brown Blvd_812_Summer Oaks_Arlington_15606</v>
      </c>
      <c r="L5344" s="104" t="s">
        <v>22253</v>
      </c>
      <c r="M5344" s="103" t="str">
        <f t="shared" si="418"/>
        <v>http://oconnordata.com/mlink/modules/profile/index.cfm?action=profile&amp;prop_id=15606</v>
      </c>
      <c r="N5344" s="1">
        <f t="shared" si="419"/>
        <v>15606</v>
      </c>
    </row>
    <row r="5345" spans="1:14" x14ac:dyDescent="0.3">
      <c r="A5345" s="1">
        <v>15607</v>
      </c>
      <c r="B5345" s="7" t="s">
        <v>8067</v>
      </c>
      <c r="C5345" s="12">
        <v>3900</v>
      </c>
      <c r="D5345" s="7" t="s">
        <v>8068</v>
      </c>
      <c r="E5345" s="13" t="s">
        <v>5014</v>
      </c>
      <c r="F5345" t="str">
        <f t="shared" si="415"/>
        <v>Centreport</v>
      </c>
      <c r="G5345" t="str">
        <f t="shared" si="416"/>
        <v>Centreport3900Fort Worth</v>
      </c>
      <c r="H5345" t="s">
        <v>36202</v>
      </c>
      <c r="I5345" t="s">
        <v>27624</v>
      </c>
      <c r="J5345" t="str">
        <f t="shared" si="417"/>
        <v>E:\PropInv\MF</v>
      </c>
      <c r="K5345" s="103" t="str">
        <f>HYPERLINK("E:\PropInv\MF\Fort Worth\Centreport_3900_Summer's Landing_Fort Worth_15607","Centreport_3900_Summer's Landing_Fort Worth_15607" )</f>
        <v>Centreport_3900_Summer's Landing_Fort Worth_15607</v>
      </c>
      <c r="L5345" s="104" t="s">
        <v>22253</v>
      </c>
      <c r="M5345" s="103" t="str">
        <f t="shared" si="418"/>
        <v>http://oconnordata.com/mlink/modules/profile/index.cfm?action=profile&amp;prop_id=15607</v>
      </c>
      <c r="N5345" s="1">
        <f t="shared" si="419"/>
        <v>15607</v>
      </c>
    </row>
    <row r="5346" spans="1:14" x14ac:dyDescent="0.3">
      <c r="A5346" s="1">
        <v>15608</v>
      </c>
      <c r="B5346" s="7" t="s">
        <v>6854</v>
      </c>
      <c r="C5346" s="12">
        <v>6555</v>
      </c>
      <c r="D5346" s="7" t="s">
        <v>8069</v>
      </c>
      <c r="E5346" s="13" t="s">
        <v>5014</v>
      </c>
      <c r="F5346" t="str">
        <f t="shared" si="415"/>
        <v>Shady</v>
      </c>
      <c r="G5346" t="str">
        <f t="shared" si="416"/>
        <v>Shady6555Fort Worth</v>
      </c>
      <c r="H5346" t="s">
        <v>36203</v>
      </c>
      <c r="I5346" t="s">
        <v>16279</v>
      </c>
      <c r="J5346" t="str">
        <f t="shared" si="417"/>
        <v>E:\PropInv\MF</v>
      </c>
      <c r="K5346" s="103" t="str">
        <f>HYPERLINK("E:\PropInv\MF\Fort Worth\Shady Oaks Manor_6555_Summit On The Lake_Fort Worth_15608","Shady Oaks Manor_6555_Summit On The Lake_Fort Worth_15608" )</f>
        <v>Shady Oaks Manor_6555_Summit On The Lake_Fort Worth_15608</v>
      </c>
      <c r="L5346" s="104" t="s">
        <v>22253</v>
      </c>
      <c r="M5346" s="103" t="str">
        <f t="shared" si="418"/>
        <v>http://oconnordata.com/mlink/modules/profile/index.cfm?action=profile&amp;prop_id=15608</v>
      </c>
      <c r="N5346" s="1">
        <f t="shared" si="419"/>
        <v>15608</v>
      </c>
    </row>
    <row r="5347" spans="1:14" x14ac:dyDescent="0.3">
      <c r="A5347" s="1">
        <v>15609</v>
      </c>
      <c r="B5347" s="7" t="s">
        <v>8070</v>
      </c>
      <c r="C5347" s="12">
        <v>416</v>
      </c>
      <c r="D5347" s="7" t="s">
        <v>8071</v>
      </c>
      <c r="E5347" s="13" t="s">
        <v>6555</v>
      </c>
      <c r="F5347" t="str">
        <f t="shared" si="415"/>
        <v>Summit</v>
      </c>
      <c r="G5347" t="str">
        <f t="shared" si="416"/>
        <v>Summit416Arlington</v>
      </c>
      <c r="H5347" t="s">
        <v>36204</v>
      </c>
      <c r="I5347" t="s">
        <v>27625</v>
      </c>
      <c r="J5347" t="str">
        <f t="shared" si="417"/>
        <v>E:\PropInv\MF</v>
      </c>
      <c r="K5347" s="103" t="str">
        <f>HYPERLINK("E:\PropInv\MF\Arlington\Summit Ave_416_Summit Plaza_Arlington_15609","Summit Ave_416_Summit Plaza_Arlington_15609" )</f>
        <v>Summit Ave_416_Summit Plaza_Arlington_15609</v>
      </c>
      <c r="L5347" s="104" t="s">
        <v>22253</v>
      </c>
      <c r="M5347" s="103" t="str">
        <f t="shared" si="418"/>
        <v>http://oconnordata.com/mlink/modules/profile/index.cfm?action=profile&amp;prop_id=15609</v>
      </c>
      <c r="N5347" s="1">
        <f t="shared" si="419"/>
        <v>15609</v>
      </c>
    </row>
    <row r="5348" spans="1:14" x14ac:dyDescent="0.3">
      <c r="A5348" s="1">
        <v>15611</v>
      </c>
      <c r="B5348" s="7" t="s">
        <v>8072</v>
      </c>
      <c r="C5348" s="12">
        <v>2015</v>
      </c>
      <c r="D5348" s="7" t="s">
        <v>8073</v>
      </c>
      <c r="E5348" s="13" t="s">
        <v>6555</v>
      </c>
      <c r="F5348" t="str">
        <f t="shared" si="415"/>
        <v>Randy</v>
      </c>
      <c r="G5348" t="str">
        <f t="shared" si="416"/>
        <v>Randy2015Arlington</v>
      </c>
      <c r="H5348" t="s">
        <v>36205</v>
      </c>
      <c r="I5348" t="s">
        <v>27626</v>
      </c>
      <c r="J5348" t="str">
        <f t="shared" si="417"/>
        <v>E:\PropInv\MF</v>
      </c>
      <c r="K5348" s="103" t="str">
        <f>HYPERLINK("E:\PropInv\MF\Arlington\Randy Snow_2015_Sunset Point_Arlington_15611","Randy Snow_2015_Sunset Point_Arlington_15611" )</f>
        <v>Randy Snow_2015_Sunset Point_Arlington_15611</v>
      </c>
      <c r="L5348" s="104" t="s">
        <v>22253</v>
      </c>
      <c r="M5348" s="103" t="str">
        <f t="shared" si="418"/>
        <v>http://oconnordata.com/mlink/modules/profile/index.cfm?action=profile&amp;prop_id=15611</v>
      </c>
      <c r="N5348" s="1">
        <f t="shared" si="419"/>
        <v>15611</v>
      </c>
    </row>
    <row r="5349" spans="1:14" x14ac:dyDescent="0.3">
      <c r="A5349" s="97">
        <v>15612</v>
      </c>
      <c r="B5349" s="7" t="s">
        <v>5874</v>
      </c>
      <c r="C5349" s="12">
        <v>3535</v>
      </c>
      <c r="D5349" s="7" t="s">
        <v>8074</v>
      </c>
      <c r="E5349" s="13" t="s">
        <v>5009</v>
      </c>
      <c r="F5349" t="str">
        <f t="shared" si="415"/>
        <v>14th</v>
      </c>
      <c r="G5349" t="str">
        <f t="shared" si="416"/>
        <v>14th3535Plano</v>
      </c>
      <c r="H5349" t="s">
        <v>36206</v>
      </c>
      <c r="I5349" t="s">
        <v>27627</v>
      </c>
      <c r="J5349" t="str">
        <f t="shared" si="417"/>
        <v>E:\PropInv\MF</v>
      </c>
      <c r="K5349" s="103" t="str">
        <f>HYPERLINK("E:\PropInv\MF\Plano\14th St E_3535_Windsor Place TH_Plano_15612","14th St E_3535_Windsor Place TH_Plano_15612" )</f>
        <v>14th St E_3535_Windsor Place TH_Plano_15612</v>
      </c>
      <c r="L5349" s="104" t="s">
        <v>22253</v>
      </c>
      <c r="M5349" s="103" t="str">
        <f t="shared" si="418"/>
        <v>http://oconnordata.com/mlink/modules/profile/index.cfm?action=profile&amp;prop_id=15612</v>
      </c>
      <c r="N5349" s="1">
        <f t="shared" si="419"/>
        <v>15612</v>
      </c>
    </row>
    <row r="5350" spans="1:14" x14ac:dyDescent="0.3">
      <c r="A5350" s="1">
        <v>15613</v>
      </c>
      <c r="B5350" s="7" t="s">
        <v>8075</v>
      </c>
      <c r="C5350" s="12">
        <v>1924</v>
      </c>
      <c r="D5350" s="7" t="s">
        <v>8076</v>
      </c>
      <c r="E5350" s="13" t="s">
        <v>6578</v>
      </c>
      <c r="F5350" t="str">
        <f t="shared" si="415"/>
        <v>Shorewood</v>
      </c>
      <c r="G5350" t="str">
        <f t="shared" si="416"/>
        <v>Shorewood1924Grapevine</v>
      </c>
      <c r="H5350" t="s">
        <v>36207</v>
      </c>
      <c r="I5350" t="s">
        <v>27628</v>
      </c>
      <c r="J5350" t="str">
        <f t="shared" si="417"/>
        <v>E:\PropInv\MF</v>
      </c>
      <c r="K5350" s="103" t="str">
        <f>HYPERLINK("E:\PropInv\MF\Grapevine\Shorewood Dr_1924_Shorewood Park TH_Grapevine_15613","Shorewood Dr_1924_Shorewood Park TH_Grapevine_15613" )</f>
        <v>Shorewood Dr_1924_Shorewood Park TH_Grapevine_15613</v>
      </c>
      <c r="L5350" s="104" t="s">
        <v>22253</v>
      </c>
      <c r="M5350" s="103" t="str">
        <f t="shared" si="418"/>
        <v>http://oconnordata.com/mlink/modules/profile/index.cfm?action=profile&amp;prop_id=15613</v>
      </c>
      <c r="N5350" s="1">
        <f t="shared" si="419"/>
        <v>15613</v>
      </c>
    </row>
    <row r="5351" spans="1:14" x14ac:dyDescent="0.3">
      <c r="A5351" s="1">
        <v>15614</v>
      </c>
      <c r="B5351" s="7" t="s">
        <v>8077</v>
      </c>
      <c r="C5351" s="12">
        <v>4912</v>
      </c>
      <c r="D5351" s="7" t="s">
        <v>8078</v>
      </c>
      <c r="E5351" s="13" t="s">
        <v>6555</v>
      </c>
      <c r="F5351" t="str">
        <f t="shared" si="415"/>
        <v>Paces</v>
      </c>
      <c r="G5351" t="str">
        <f t="shared" si="416"/>
        <v>Paces4912Arlington</v>
      </c>
      <c r="H5351" t="s">
        <v>36208</v>
      </c>
      <c r="I5351" t="s">
        <v>27629</v>
      </c>
      <c r="J5351" t="str">
        <f t="shared" si="417"/>
        <v>E:\PropInv\MF</v>
      </c>
      <c r="K5351" s="103" t="str">
        <f>HYPERLINK("E:\PropInv\MF\Arlington\Paces Trl_4912_The Trails_Arlington_15614","Paces Trl_4912_The Trails_Arlington_15614" )</f>
        <v>Paces Trl_4912_The Trails_Arlington_15614</v>
      </c>
      <c r="L5351" s="104" t="s">
        <v>22253</v>
      </c>
      <c r="M5351" s="103" t="str">
        <f t="shared" si="418"/>
        <v>http://oconnordata.com/mlink/modules/profile/index.cfm?action=profile&amp;prop_id=15614</v>
      </c>
      <c r="N5351" s="1">
        <f t="shared" si="419"/>
        <v>15614</v>
      </c>
    </row>
    <row r="5352" spans="1:14" x14ac:dyDescent="0.3">
      <c r="A5352" s="1">
        <v>15615</v>
      </c>
      <c r="B5352" s="7" t="s">
        <v>8079</v>
      </c>
      <c r="C5352" s="12">
        <v>4812</v>
      </c>
      <c r="D5352" s="7" t="s">
        <v>8079</v>
      </c>
      <c r="E5352" s="13" t="s">
        <v>6581</v>
      </c>
      <c r="F5352" t="str">
        <f t="shared" si="415"/>
        <v>Waldemar</v>
      </c>
      <c r="G5352" t="str">
        <f t="shared" si="416"/>
        <v>Waldemar4812Haltom City</v>
      </c>
      <c r="H5352" t="s">
        <v>36209</v>
      </c>
      <c r="I5352" t="s">
        <v>27630</v>
      </c>
      <c r="J5352" t="str">
        <f t="shared" si="417"/>
        <v>E:\PropInv\MF</v>
      </c>
      <c r="K5352" s="103" t="str">
        <f>HYPERLINK("E:\PropInv\MF\Haltom City\Waldemar_4812_Waldemar_Haltom City_15615","Waldemar_4812_Waldemar_Haltom City_15615" )</f>
        <v>Waldemar_4812_Waldemar_Haltom City_15615</v>
      </c>
      <c r="L5352" s="104" t="s">
        <v>22253</v>
      </c>
      <c r="M5352" s="103" t="str">
        <f t="shared" si="418"/>
        <v>http://oconnordata.com/mlink/modules/profile/index.cfm?action=profile&amp;prop_id=15615</v>
      </c>
      <c r="N5352" s="1">
        <f t="shared" si="419"/>
        <v>15615</v>
      </c>
    </row>
    <row r="5353" spans="1:14" x14ac:dyDescent="0.3">
      <c r="A5353" s="1">
        <v>15616</v>
      </c>
      <c r="B5353" s="7" t="s">
        <v>8080</v>
      </c>
      <c r="C5353" s="12">
        <v>601</v>
      </c>
      <c r="D5353" s="7" t="s">
        <v>8081</v>
      </c>
      <c r="E5353" s="13" t="s">
        <v>6612</v>
      </c>
      <c r="F5353" t="str">
        <f t="shared" si="415"/>
        <v>Bellaire</v>
      </c>
      <c r="G5353" t="str">
        <f t="shared" si="416"/>
        <v>Bellaire601Hurst</v>
      </c>
      <c r="H5353" t="s">
        <v>36210</v>
      </c>
      <c r="I5353" t="s">
        <v>27631</v>
      </c>
      <c r="J5353" t="str">
        <f t="shared" si="417"/>
        <v>E:\PropInv\MF</v>
      </c>
      <c r="K5353" s="103" t="str">
        <f>HYPERLINK("E:\PropInv\MF\Hurst\Bellaire Dr_601_Sutton Square_Hurst_15616","Bellaire Dr_601_Sutton Square_Hurst_15616" )</f>
        <v>Bellaire Dr_601_Sutton Square_Hurst_15616</v>
      </c>
      <c r="L5353" s="104" t="s">
        <v>22253</v>
      </c>
      <c r="M5353" s="103" t="str">
        <f t="shared" si="418"/>
        <v>http://oconnordata.com/mlink/modules/profile/index.cfm?action=profile&amp;prop_id=15616</v>
      </c>
      <c r="N5353" s="1">
        <f t="shared" si="419"/>
        <v>15616</v>
      </c>
    </row>
    <row r="5354" spans="1:14" x14ac:dyDescent="0.3">
      <c r="A5354" s="1">
        <v>15619</v>
      </c>
      <c r="B5354" s="7" t="s">
        <v>7949</v>
      </c>
      <c r="C5354" s="12">
        <v>2015</v>
      </c>
      <c r="D5354" s="7" t="s">
        <v>4767</v>
      </c>
      <c r="E5354" s="13" t="s">
        <v>6555</v>
      </c>
      <c r="F5354" t="str">
        <f t="shared" si="415"/>
        <v>Abram</v>
      </c>
      <c r="G5354" t="str">
        <f t="shared" si="416"/>
        <v>Abram2015Arlington</v>
      </c>
      <c r="H5354" t="s">
        <v>36211</v>
      </c>
      <c r="I5354" t="s">
        <v>27632</v>
      </c>
      <c r="J5354" t="str">
        <f t="shared" si="417"/>
        <v>E:\PropInv\MF</v>
      </c>
      <c r="K5354" s="103" t="str">
        <f>HYPERLINK("E:\PropInv\MF\Arlington\Abram E_2015_Tanglewood_Arlington_15619","Abram E_2015_Tanglewood_Arlington_15619" )</f>
        <v>Abram E_2015_Tanglewood_Arlington_15619</v>
      </c>
      <c r="L5354" s="104" t="s">
        <v>22253</v>
      </c>
      <c r="M5354" s="103" t="str">
        <f t="shared" si="418"/>
        <v>http://oconnordata.com/mlink/modules/profile/index.cfm?action=profile&amp;prop_id=15619</v>
      </c>
      <c r="N5354" s="1">
        <f t="shared" si="419"/>
        <v>15619</v>
      </c>
    </row>
    <row r="5355" spans="1:14" x14ac:dyDescent="0.3">
      <c r="A5355" s="1">
        <v>15620</v>
      </c>
      <c r="B5355" s="7" t="s">
        <v>3725</v>
      </c>
      <c r="C5355" s="12">
        <v>2253</v>
      </c>
      <c r="D5355" s="7" t="s">
        <v>8082</v>
      </c>
      <c r="E5355" s="13" t="s">
        <v>5009</v>
      </c>
      <c r="F5355" t="str">
        <f t="shared" si="415"/>
        <v>Ashley</v>
      </c>
      <c r="G5355" t="str">
        <f t="shared" si="416"/>
        <v>Ashley2253Plano</v>
      </c>
      <c r="H5355" t="s">
        <v>36212</v>
      </c>
      <c r="I5355" t="s">
        <v>27633</v>
      </c>
      <c r="J5355" t="str">
        <f t="shared" si="417"/>
        <v>E:\PropInv\MF</v>
      </c>
      <c r="K5355" s="103" t="str">
        <f>HYPERLINK("E:\PropInv\MF\Plano\Ashley Park_2253_Ashley Park TH_Plano_15620","Ashley Park_2253_Ashley Park TH_Plano_15620" )</f>
        <v>Ashley Park_2253_Ashley Park TH_Plano_15620</v>
      </c>
      <c r="L5355" s="104" t="s">
        <v>22253</v>
      </c>
      <c r="M5355" s="103" t="str">
        <f t="shared" si="418"/>
        <v>http://oconnordata.com/mlink/modules/profile/index.cfm?action=profile&amp;prop_id=15620</v>
      </c>
      <c r="N5355" s="1">
        <f t="shared" si="419"/>
        <v>15620</v>
      </c>
    </row>
    <row r="5356" spans="1:14" x14ac:dyDescent="0.3">
      <c r="A5356" s="1">
        <v>15621</v>
      </c>
      <c r="B5356" s="7" t="s">
        <v>8083</v>
      </c>
      <c r="C5356" s="12">
        <v>2500</v>
      </c>
      <c r="D5356" s="7" t="s">
        <v>8084</v>
      </c>
      <c r="E5356" s="13" t="s">
        <v>6555</v>
      </c>
      <c r="F5356" t="str">
        <f t="shared" si="415"/>
        <v>Burney</v>
      </c>
      <c r="G5356" t="str">
        <f t="shared" si="416"/>
        <v>Burney2500Arlington</v>
      </c>
      <c r="H5356" t="s">
        <v>36213</v>
      </c>
      <c r="I5356" t="s">
        <v>27634</v>
      </c>
      <c r="J5356" t="str">
        <f t="shared" si="417"/>
        <v>E:\PropInv\MF</v>
      </c>
      <c r="K5356" s="103" t="str">
        <f>HYPERLINK("E:\PropInv\MF\Arlington\Burney_2500_Walnut Ridge_Arlington_15621","Burney_2500_Walnut Ridge_Arlington_15621" )</f>
        <v>Burney_2500_Walnut Ridge_Arlington_15621</v>
      </c>
      <c r="L5356" s="104" t="s">
        <v>22253</v>
      </c>
      <c r="M5356" s="103" t="str">
        <f t="shared" si="418"/>
        <v>http://oconnordata.com/mlink/modules/profile/index.cfm?action=profile&amp;prop_id=15621</v>
      </c>
      <c r="N5356" s="1">
        <f t="shared" si="419"/>
        <v>15621</v>
      </c>
    </row>
    <row r="5357" spans="1:14" x14ac:dyDescent="0.3">
      <c r="A5357" s="1">
        <v>15623</v>
      </c>
      <c r="B5357" s="7" t="s">
        <v>5682</v>
      </c>
      <c r="C5357" s="12">
        <v>732</v>
      </c>
      <c r="D5357" s="7" t="s">
        <v>8085</v>
      </c>
      <c r="E5357" s="13" t="s">
        <v>3328</v>
      </c>
      <c r="F5357" t="str">
        <f t="shared" si="415"/>
        <v>Spring</v>
      </c>
      <c r="G5357" t="str">
        <f t="shared" si="416"/>
        <v>Spring732Richardson</v>
      </c>
      <c r="H5357" t="s">
        <v>36214</v>
      </c>
      <c r="I5357" t="s">
        <v>27635</v>
      </c>
      <c r="J5357" t="str">
        <f t="shared" si="417"/>
        <v>E:\PropInv\MF</v>
      </c>
      <c r="K5357" s="103" t="str">
        <f>HYPERLINK("E:\PropInv\MF\Richardson\Spring Valley W_732_Ashley Place_Richardson_15623","Spring Valley W_732_Ashley Place_Richardson_15623" )</f>
        <v>Spring Valley W_732_Ashley Place_Richardson_15623</v>
      </c>
      <c r="L5357" s="104" t="s">
        <v>22253</v>
      </c>
      <c r="M5357" s="103" t="str">
        <f t="shared" si="418"/>
        <v>http://oconnordata.com/mlink/modules/profile/index.cfm?action=profile&amp;prop_id=15623</v>
      </c>
      <c r="N5357" s="1">
        <f t="shared" si="419"/>
        <v>15623</v>
      </c>
    </row>
    <row r="5358" spans="1:14" x14ac:dyDescent="0.3">
      <c r="A5358" s="1">
        <v>15624</v>
      </c>
      <c r="B5358" s="7" t="s">
        <v>8086</v>
      </c>
      <c r="C5358" s="12">
        <v>6400</v>
      </c>
      <c r="D5358" s="7" t="s">
        <v>8087</v>
      </c>
      <c r="E5358" s="13" t="s">
        <v>8088</v>
      </c>
      <c r="F5358" t="str">
        <f t="shared" si="415"/>
        <v>Tealcove</v>
      </c>
      <c r="G5358" t="str">
        <f t="shared" si="416"/>
        <v>Tealcove6400Kennedale</v>
      </c>
      <c r="H5358" t="s">
        <v>36215</v>
      </c>
      <c r="I5358" t="s">
        <v>27636</v>
      </c>
      <c r="J5358" t="str">
        <f t="shared" si="417"/>
        <v>E:\PropInv\MF</v>
      </c>
      <c r="K5358" s="103" t="str">
        <f>HYPERLINK("E:\PropInv\MF\Kennedale\Tealcove Dr W_6400_Tealwood_Kennedale_15624","Tealcove Dr W_6400_Tealwood_Kennedale_15624" )</f>
        <v>Tealcove Dr W_6400_Tealwood_Kennedale_15624</v>
      </c>
      <c r="L5358" s="104" t="s">
        <v>22253</v>
      </c>
      <c r="M5358" s="103" t="str">
        <f t="shared" si="418"/>
        <v>http://oconnordata.com/mlink/modules/profile/index.cfm?action=profile&amp;prop_id=15624</v>
      </c>
      <c r="N5358" s="1">
        <f t="shared" si="419"/>
        <v>15624</v>
      </c>
    </row>
    <row r="5359" spans="1:14" x14ac:dyDescent="0.3">
      <c r="A5359" s="1">
        <v>15626</v>
      </c>
      <c r="B5359" s="10" t="s">
        <v>8089</v>
      </c>
      <c r="C5359" s="9">
        <v>2201</v>
      </c>
      <c r="D5359" s="10" t="s">
        <v>8090</v>
      </c>
      <c r="E5359" s="11" t="s">
        <v>6555</v>
      </c>
      <c r="F5359" t="str">
        <f t="shared" si="415"/>
        <v>Waterbury</v>
      </c>
      <c r="G5359" t="str">
        <f t="shared" si="416"/>
        <v>Waterbury2201Arlington</v>
      </c>
      <c r="H5359" t="s">
        <v>36216</v>
      </c>
      <c r="I5359" t="s">
        <v>27637</v>
      </c>
      <c r="J5359" t="str">
        <f t="shared" si="417"/>
        <v>E:\PropInv\MF</v>
      </c>
      <c r="K5359" s="103" t="str">
        <f>HYPERLINK("E:\PropInv\MF\Arlington\Waterbury Place_2201_Waterbury Place TH_Arlington_15626","Waterbury Place_2201_Waterbury Place TH_Arlington_15626" )</f>
        <v>Waterbury Place_2201_Waterbury Place TH_Arlington_15626</v>
      </c>
      <c r="L5359" s="104" t="s">
        <v>22253</v>
      </c>
      <c r="M5359" s="103" t="str">
        <f t="shared" si="418"/>
        <v>http://oconnordata.com/mlink/modules/profile/index.cfm?action=profile&amp;prop_id=15626</v>
      </c>
      <c r="N5359" s="1">
        <f t="shared" si="419"/>
        <v>15626</v>
      </c>
    </row>
    <row r="5360" spans="1:14" x14ac:dyDescent="0.3">
      <c r="A5360" s="1">
        <v>15628</v>
      </c>
      <c r="B5360" s="7" t="s">
        <v>5541</v>
      </c>
      <c r="C5360" s="12">
        <v>417</v>
      </c>
      <c r="D5360" s="7" t="s">
        <v>8091</v>
      </c>
      <c r="E5360" s="13" t="s">
        <v>5076</v>
      </c>
      <c r="F5360" t="str">
        <f t="shared" si="415"/>
        <v>Tarrant</v>
      </c>
      <c r="G5360" t="str">
        <f t="shared" si="416"/>
        <v>Tarrant417Grand Prairie</v>
      </c>
      <c r="H5360" t="s">
        <v>36217</v>
      </c>
      <c r="I5360" t="s">
        <v>27638</v>
      </c>
      <c r="J5360" t="str">
        <f t="shared" si="417"/>
        <v>E:\PropInv\MF</v>
      </c>
      <c r="K5360" s="103" t="str">
        <f>HYPERLINK("E:\PropInv\MF\Grand Prairie\Tarrant Rd W_417_Terrace View_Grand Prairie_15628","Tarrant Rd W_417_Terrace View_Grand Prairie_15628" )</f>
        <v>Tarrant Rd W_417_Terrace View_Grand Prairie_15628</v>
      </c>
      <c r="L5360" s="104" t="s">
        <v>22253</v>
      </c>
      <c r="M5360" s="103" t="str">
        <f t="shared" si="418"/>
        <v>http://oconnordata.com/mlink/modules/profile/index.cfm?action=profile&amp;prop_id=15628</v>
      </c>
      <c r="N5360" s="1">
        <f t="shared" si="419"/>
        <v>15628</v>
      </c>
    </row>
    <row r="5361" spans="1:14" x14ac:dyDescent="0.3">
      <c r="A5361" s="1">
        <v>15630</v>
      </c>
      <c r="B5361" s="7" t="s">
        <v>8092</v>
      </c>
      <c r="C5361" s="12">
        <v>1135</v>
      </c>
      <c r="D5361" s="7" t="s">
        <v>8092</v>
      </c>
      <c r="E5361" s="13" t="s">
        <v>6555</v>
      </c>
      <c r="F5361" t="str">
        <f t="shared" si="415"/>
        <v>Silverwood</v>
      </c>
      <c r="G5361" t="str">
        <f t="shared" si="416"/>
        <v>Silverwood1135Arlington</v>
      </c>
      <c r="H5361" t="s">
        <v>36218</v>
      </c>
      <c r="I5361" t="s">
        <v>27639</v>
      </c>
      <c r="J5361" t="str">
        <f t="shared" si="417"/>
        <v>E:\PropInv\MF</v>
      </c>
      <c r="K5361" s="103" t="str">
        <f>HYPERLINK("E:\PropInv\MF\Arlington\Silverwood_1135_Silverwood_Arlington_15630","Silverwood_1135_Silverwood_Arlington_15630" )</f>
        <v>Silverwood_1135_Silverwood_Arlington_15630</v>
      </c>
      <c r="L5361" s="104" t="s">
        <v>22253</v>
      </c>
      <c r="M5361" s="103" t="str">
        <f t="shared" si="418"/>
        <v>http://oconnordata.com/mlink/modules/profile/index.cfm?action=profile&amp;prop_id=15630</v>
      </c>
      <c r="N5361" s="1">
        <f t="shared" si="419"/>
        <v>15630</v>
      </c>
    </row>
    <row r="5362" spans="1:14" x14ac:dyDescent="0.3">
      <c r="A5362" s="97">
        <v>15631</v>
      </c>
      <c r="B5362" s="7" t="s">
        <v>8093</v>
      </c>
      <c r="C5362" s="12">
        <v>1370</v>
      </c>
      <c r="D5362" s="7" t="s">
        <v>8094</v>
      </c>
      <c r="E5362" s="13" t="s">
        <v>5009</v>
      </c>
      <c r="F5362" t="str">
        <f t="shared" si="415"/>
        <v>Rigsbee</v>
      </c>
      <c r="G5362" t="str">
        <f t="shared" si="416"/>
        <v>Rigsbee1370Plano</v>
      </c>
      <c r="H5362" t="s">
        <v>36219</v>
      </c>
      <c r="I5362" t="s">
        <v>27640</v>
      </c>
      <c r="J5362" t="str">
        <f t="shared" si="417"/>
        <v>E:\PropInv\MF</v>
      </c>
      <c r="K5362" s="103" t="str">
        <f>HYPERLINK("E:\PropInv\MF\Plano\Rigsbee S_1370_Woodlands of Plano_Plano_15631","Rigsbee S_1370_Woodlands of Plano_Plano_15631" )</f>
        <v>Rigsbee S_1370_Woodlands of Plano_Plano_15631</v>
      </c>
      <c r="L5362" s="104" t="s">
        <v>22253</v>
      </c>
      <c r="M5362" s="103" t="str">
        <f t="shared" si="418"/>
        <v>http://oconnordata.com/mlink/modules/profile/index.cfm?action=profile&amp;prop_id=15631</v>
      </c>
      <c r="N5362" s="1">
        <f t="shared" si="419"/>
        <v>15631</v>
      </c>
    </row>
    <row r="5363" spans="1:14" x14ac:dyDescent="0.3">
      <c r="A5363" s="1">
        <v>15633</v>
      </c>
      <c r="B5363" s="7" t="s">
        <v>7513</v>
      </c>
      <c r="C5363" s="12">
        <v>1881</v>
      </c>
      <c r="D5363" s="7" t="s">
        <v>8095</v>
      </c>
      <c r="E5363" s="13" t="s">
        <v>5781</v>
      </c>
      <c r="F5363" t="str">
        <f t="shared" si="415"/>
        <v>Airport</v>
      </c>
      <c r="G5363" t="str">
        <f t="shared" si="416"/>
        <v>Airport1881Euless</v>
      </c>
      <c r="H5363" t="s">
        <v>36220</v>
      </c>
      <c r="I5363" t="s">
        <v>27641</v>
      </c>
      <c r="J5363" t="str">
        <f t="shared" si="417"/>
        <v>E:\PropInv\MF</v>
      </c>
      <c r="K5363" s="103" t="str">
        <f>HYPERLINK("E:\PropInv\MF\Euless\Airport Fwy W_1881_Bandera Ranch_Euless_15633","Airport Fwy W_1881_Bandera Ranch_Euless_15633" )</f>
        <v>Airport Fwy W_1881_Bandera Ranch_Euless_15633</v>
      </c>
      <c r="L5363" s="104" t="s">
        <v>22253</v>
      </c>
      <c r="M5363" s="103" t="str">
        <f t="shared" si="418"/>
        <v>http://oconnordata.com/mlink/modules/profile/index.cfm?action=profile&amp;prop_id=15633</v>
      </c>
      <c r="N5363" s="1">
        <f t="shared" si="419"/>
        <v>15633</v>
      </c>
    </row>
    <row r="5364" spans="1:14" x14ac:dyDescent="0.3">
      <c r="A5364" s="1">
        <v>15634</v>
      </c>
      <c r="B5364" s="10" t="s">
        <v>8096</v>
      </c>
      <c r="C5364" s="9">
        <v>201</v>
      </c>
      <c r="D5364" s="10" t="s">
        <v>8097</v>
      </c>
      <c r="E5364" s="11" t="s">
        <v>5076</v>
      </c>
      <c r="F5364" t="str">
        <f t="shared" si="415"/>
        <v>Skyline</v>
      </c>
      <c r="G5364" t="str">
        <f t="shared" si="416"/>
        <v>Skyline201Grand Prairie</v>
      </c>
      <c r="H5364" t="s">
        <v>36221</v>
      </c>
      <c r="I5364" t="s">
        <v>27642</v>
      </c>
      <c r="J5364" t="str">
        <f t="shared" si="417"/>
        <v>E:\PropInv\MF</v>
      </c>
      <c r="K5364" s="103" t="str">
        <f>HYPERLINK("E:\PropInv\MF\Grand Prairie\Skyline Cir_201_Spanish Villas_Grand Prairie_15634","Skyline Cir_201_Spanish Villas_Grand Prairie_15634" )</f>
        <v>Skyline Cir_201_Spanish Villas_Grand Prairie_15634</v>
      </c>
      <c r="L5364" s="104" t="s">
        <v>22253</v>
      </c>
      <c r="M5364" s="103" t="str">
        <f t="shared" si="418"/>
        <v>http://oconnordata.com/mlink/modules/profile/index.cfm?action=profile&amp;prop_id=15634</v>
      </c>
      <c r="N5364" s="1">
        <f t="shared" si="419"/>
        <v>15634</v>
      </c>
    </row>
    <row r="5365" spans="1:14" x14ac:dyDescent="0.3">
      <c r="A5365" s="1">
        <v>15635</v>
      </c>
      <c r="B5365" s="7" t="s">
        <v>5399</v>
      </c>
      <c r="C5365" s="12">
        <v>11321</v>
      </c>
      <c r="D5365" s="7" t="s">
        <v>8098</v>
      </c>
      <c r="E5365" s="13" t="s">
        <v>4996</v>
      </c>
      <c r="F5365" t="str">
        <f t="shared" si="415"/>
        <v>Woodmeadow</v>
      </c>
      <c r="G5365" t="str">
        <f t="shared" si="416"/>
        <v>Woodmeadow11321Dallas</v>
      </c>
      <c r="H5365" t="s">
        <v>36222</v>
      </c>
      <c r="I5365" t="s">
        <v>27643</v>
      </c>
      <c r="J5365" t="str">
        <f t="shared" si="417"/>
        <v>E:\PropInv\MF</v>
      </c>
      <c r="K5365" s="103" t="str">
        <f>HYPERLINK("E:\PropInv\MF\Dallas\Woodmeadow Pkwy_11321_Villa Jolla_Dallas_15635","Woodmeadow Pkwy_11321_Villa Jolla_Dallas_15635" )</f>
        <v>Woodmeadow Pkwy_11321_Villa Jolla_Dallas_15635</v>
      </c>
      <c r="L5365" s="104" t="s">
        <v>22253</v>
      </c>
      <c r="M5365" s="103" t="str">
        <f t="shared" si="418"/>
        <v>http://oconnordata.com/mlink/modules/profile/index.cfm?action=profile&amp;prop_id=15635</v>
      </c>
      <c r="N5365" s="1">
        <f t="shared" si="419"/>
        <v>15635</v>
      </c>
    </row>
    <row r="5366" spans="1:14" x14ac:dyDescent="0.3">
      <c r="A5366" s="1">
        <v>15636</v>
      </c>
      <c r="B5366" s="7" t="s">
        <v>8099</v>
      </c>
      <c r="C5366" s="12">
        <v>1405</v>
      </c>
      <c r="D5366" s="7" t="s">
        <v>1415</v>
      </c>
      <c r="E5366" s="13" t="s">
        <v>6555</v>
      </c>
      <c r="F5366" t="str">
        <f t="shared" si="415"/>
        <v>Elite</v>
      </c>
      <c r="G5366" t="str">
        <f t="shared" si="416"/>
        <v>Elite1405Arlington</v>
      </c>
      <c r="H5366" t="s">
        <v>36223</v>
      </c>
      <c r="I5366" t="s">
        <v>27644</v>
      </c>
      <c r="J5366" t="str">
        <f t="shared" si="417"/>
        <v>E:\PropInv\MF</v>
      </c>
      <c r="K5366" s="103" t="str">
        <f>HYPERLINK("E:\PropInv\MF\Arlington\Elite Cir_1405_Timber Ridge_Arlington_15636","Elite Cir_1405_Timber Ridge_Arlington_15636" )</f>
        <v>Elite Cir_1405_Timber Ridge_Arlington_15636</v>
      </c>
      <c r="L5366" s="104" t="s">
        <v>22253</v>
      </c>
      <c r="M5366" s="103" t="str">
        <f t="shared" si="418"/>
        <v>http://oconnordata.com/mlink/modules/profile/index.cfm?action=profile&amp;prop_id=15636</v>
      </c>
      <c r="N5366" s="1">
        <f t="shared" si="419"/>
        <v>15636</v>
      </c>
    </row>
    <row r="5367" spans="1:14" x14ac:dyDescent="0.3">
      <c r="A5367" s="1">
        <v>15637</v>
      </c>
      <c r="B5367" s="7" t="s">
        <v>8100</v>
      </c>
      <c r="C5367" s="12">
        <v>3501</v>
      </c>
      <c r="D5367" s="7" t="s">
        <v>8101</v>
      </c>
      <c r="E5367" s="13" t="s">
        <v>6578</v>
      </c>
      <c r="F5367" t="str">
        <f t="shared" si="415"/>
        <v>Timberline</v>
      </c>
      <c r="G5367" t="str">
        <f t="shared" si="416"/>
        <v>Timberline3501Grapevine</v>
      </c>
      <c r="H5367" t="s">
        <v>36224</v>
      </c>
      <c r="I5367" t="s">
        <v>27645</v>
      </c>
      <c r="J5367" t="str">
        <f t="shared" si="417"/>
        <v>E:\PropInv\MF</v>
      </c>
      <c r="K5367" s="103" t="str">
        <f>HYPERLINK("E:\PropInv\MF\Grapevine\Timberline_3501_Timberline Condos_Grapevine_15637","Timberline_3501_Timberline Condos_Grapevine_15637" )</f>
        <v>Timberline_3501_Timberline Condos_Grapevine_15637</v>
      </c>
      <c r="L5367" s="104" t="s">
        <v>22253</v>
      </c>
      <c r="M5367" s="103" t="str">
        <f t="shared" si="418"/>
        <v>http://oconnordata.com/mlink/modules/profile/index.cfm?action=profile&amp;prop_id=15637</v>
      </c>
      <c r="N5367" s="1">
        <f t="shared" si="419"/>
        <v>15637</v>
      </c>
    </row>
    <row r="5368" spans="1:14" x14ac:dyDescent="0.3">
      <c r="A5368" s="97">
        <v>15638</v>
      </c>
      <c r="B5368" s="7" t="s">
        <v>8102</v>
      </c>
      <c r="C5368" s="12">
        <v>703</v>
      </c>
      <c r="D5368" s="7" t="s">
        <v>2478</v>
      </c>
      <c r="E5368" s="13" t="s">
        <v>7691</v>
      </c>
      <c r="F5368" t="str">
        <f t="shared" si="415"/>
        <v>Bumpas</v>
      </c>
      <c r="G5368" t="str">
        <f t="shared" si="416"/>
        <v>Bumpas703Mckinney</v>
      </c>
      <c r="H5368" t="s">
        <v>36225</v>
      </c>
      <c r="I5368" t="s">
        <v>27646</v>
      </c>
      <c r="J5368" t="str">
        <f t="shared" si="417"/>
        <v>E:\PropInv\MF</v>
      </c>
      <c r="K5368" s="103" t="str">
        <f>HYPERLINK("E:\PropInv\MF\Mckinney\Bumpas_703_Woodside Village_Mckinney_15638","Bumpas_703_Woodside Village_Mckinney_15638" )</f>
        <v>Bumpas_703_Woodside Village_Mckinney_15638</v>
      </c>
      <c r="L5368" s="104" t="s">
        <v>22253</v>
      </c>
      <c r="M5368" s="103" t="str">
        <f t="shared" si="418"/>
        <v>http://oconnordata.com/mlink/modules/profile/index.cfm?action=profile&amp;prop_id=15638</v>
      </c>
      <c r="N5368" s="1">
        <f t="shared" si="419"/>
        <v>15638</v>
      </c>
    </row>
    <row r="5369" spans="1:14" x14ac:dyDescent="0.3">
      <c r="A5369" s="1">
        <v>15642</v>
      </c>
      <c r="B5369" s="7" t="s">
        <v>5216</v>
      </c>
      <c r="C5369" s="12">
        <v>10765</v>
      </c>
      <c r="D5369" s="7" t="s">
        <v>8103</v>
      </c>
      <c r="E5369" s="13" t="s">
        <v>4996</v>
      </c>
      <c r="F5369" t="str">
        <f t="shared" si="415"/>
        <v>NW</v>
      </c>
      <c r="G5369" t="str">
        <f t="shared" si="416"/>
        <v>NW10765Dallas</v>
      </c>
      <c r="H5369" t="s">
        <v>36226</v>
      </c>
      <c r="I5369" t="s">
        <v>27647</v>
      </c>
      <c r="J5369" t="str">
        <f t="shared" si="417"/>
        <v>E:\PropInv\MF</v>
      </c>
      <c r="K5369" s="103" t="str">
        <f>HYPERLINK("E:\PropInv\MF\Dallas\NW Hwy E_10765_Autumn Creek_Dallas_15642","NW Hwy E_10765_Autumn Creek_Dallas_15642" )</f>
        <v>NW Hwy E_10765_Autumn Creek_Dallas_15642</v>
      </c>
      <c r="L5369" s="104" t="s">
        <v>22253</v>
      </c>
      <c r="M5369" s="103" t="str">
        <f t="shared" si="418"/>
        <v>http://oconnordata.com/mlink/modules/profile/index.cfm?action=profile&amp;prop_id=15642</v>
      </c>
      <c r="N5369" s="1">
        <f t="shared" si="419"/>
        <v>15642</v>
      </c>
    </row>
    <row r="5370" spans="1:14" x14ac:dyDescent="0.3">
      <c r="A5370" s="1">
        <v>15643</v>
      </c>
      <c r="B5370" s="7" t="s">
        <v>6657</v>
      </c>
      <c r="C5370" s="12">
        <v>1325</v>
      </c>
      <c r="D5370" s="7" t="s">
        <v>8104</v>
      </c>
      <c r="E5370" s="13" t="s">
        <v>4942</v>
      </c>
      <c r="F5370" t="str">
        <f t="shared" si="415"/>
        <v>Tennis</v>
      </c>
      <c r="G5370" t="str">
        <f t="shared" si="416"/>
        <v>Tennis1325Bedford</v>
      </c>
      <c r="H5370" t="s">
        <v>36227</v>
      </c>
      <c r="I5370" t="s">
        <v>27648</v>
      </c>
      <c r="J5370" t="str">
        <f t="shared" si="417"/>
        <v>E:\PropInv\MF</v>
      </c>
      <c r="K5370" s="103" t="str">
        <f>HYPERLINK("E:\PropInv\MF\Bedford\Tennis Dr_1325_Toscana Villas_Bedford_15643","Tennis Dr_1325_Toscana Villas_Bedford_15643" )</f>
        <v>Tennis Dr_1325_Toscana Villas_Bedford_15643</v>
      </c>
      <c r="L5370" s="104" t="s">
        <v>22253</v>
      </c>
      <c r="M5370" s="103" t="str">
        <f t="shared" si="418"/>
        <v>http://oconnordata.com/mlink/modules/profile/index.cfm?action=profile&amp;prop_id=15643</v>
      </c>
      <c r="N5370" s="1">
        <f t="shared" si="419"/>
        <v>15643</v>
      </c>
    </row>
    <row r="5371" spans="1:14" x14ac:dyDescent="0.3">
      <c r="A5371" s="1">
        <v>15644</v>
      </c>
      <c r="B5371" s="7" t="s">
        <v>8105</v>
      </c>
      <c r="C5371" s="12">
        <v>9607</v>
      </c>
      <c r="D5371" s="7" t="s">
        <v>8106</v>
      </c>
      <c r="E5371" s="13" t="s">
        <v>4996</v>
      </c>
      <c r="F5371" t="str">
        <f t="shared" si="415"/>
        <v>Wickersham</v>
      </c>
      <c r="G5371" t="str">
        <f t="shared" si="416"/>
        <v>Wickersham9607Dallas</v>
      </c>
      <c r="H5371" t="s">
        <v>36228</v>
      </c>
      <c r="I5371" t="s">
        <v>27649</v>
      </c>
      <c r="J5371" t="str">
        <f t="shared" si="417"/>
        <v>E:\PropInv\MF</v>
      </c>
      <c r="K5371" s="103" t="str">
        <f>HYPERLINK("E:\PropInv\MF\Dallas\Wickersham_9607_Del Rey Village_Dallas_15644","Wickersham_9607_Del Rey Village_Dallas_15644" )</f>
        <v>Wickersham_9607_Del Rey Village_Dallas_15644</v>
      </c>
      <c r="L5371" s="104" t="s">
        <v>22253</v>
      </c>
      <c r="M5371" s="103" t="str">
        <f t="shared" si="418"/>
        <v>http://oconnordata.com/mlink/modules/profile/index.cfm?action=profile&amp;prop_id=15644</v>
      </c>
      <c r="N5371" s="1">
        <f t="shared" si="419"/>
        <v>15644</v>
      </c>
    </row>
    <row r="5372" spans="1:14" x14ac:dyDescent="0.3">
      <c r="A5372" s="1">
        <v>15645</v>
      </c>
      <c r="B5372" s="7" t="s">
        <v>8107</v>
      </c>
      <c r="C5372" s="12">
        <v>14018</v>
      </c>
      <c r="D5372" s="7" t="s">
        <v>8108</v>
      </c>
      <c r="E5372" s="13" t="s">
        <v>4996</v>
      </c>
      <c r="F5372" t="str">
        <f t="shared" si="415"/>
        <v>Brookgreen</v>
      </c>
      <c r="G5372" t="str">
        <f t="shared" si="416"/>
        <v>Brookgreen14018Dallas</v>
      </c>
      <c r="H5372" t="s">
        <v>36229</v>
      </c>
      <c r="I5372" t="s">
        <v>27650</v>
      </c>
      <c r="J5372" t="str">
        <f t="shared" si="417"/>
        <v>E:\PropInv\MF</v>
      </c>
      <c r="K5372" s="103" t="str">
        <f>HYPERLINK("E:\PropInv\MF\Dallas\Brookgreen_14018_Las Terrazas_Dallas_15645","Brookgreen_14018_Las Terrazas_Dallas_15645" )</f>
        <v>Brookgreen_14018_Las Terrazas_Dallas_15645</v>
      </c>
      <c r="L5372" s="104" t="s">
        <v>22253</v>
      </c>
      <c r="M5372" s="103" t="str">
        <f t="shared" si="418"/>
        <v>http://oconnordata.com/mlink/modules/profile/index.cfm?action=profile&amp;prop_id=15645</v>
      </c>
      <c r="N5372" s="1">
        <f t="shared" si="419"/>
        <v>15645</v>
      </c>
    </row>
    <row r="5373" spans="1:14" x14ac:dyDescent="0.3">
      <c r="A5373" s="1">
        <v>15646</v>
      </c>
      <c r="B5373" s="7" t="s">
        <v>7839</v>
      </c>
      <c r="C5373" s="12">
        <v>365</v>
      </c>
      <c r="D5373" s="7" t="s">
        <v>8109</v>
      </c>
      <c r="E5373" s="13" t="s">
        <v>6612</v>
      </c>
      <c r="F5373" t="str">
        <f t="shared" si="415"/>
        <v>Pecan</v>
      </c>
      <c r="G5373" t="str">
        <f t="shared" si="416"/>
        <v>Pecan365Hurst</v>
      </c>
      <c r="H5373" t="s">
        <v>36230</v>
      </c>
      <c r="I5373" t="s">
        <v>27651</v>
      </c>
      <c r="J5373" t="str">
        <f t="shared" si="417"/>
        <v>E:\PropInv\MF</v>
      </c>
      <c r="K5373" s="103" t="str">
        <f>HYPERLINK("E:\PropInv\MF\Hurst\Pecan St E_365_Wellesly Park_Hurst_15646","Pecan St E_365_Wellesly Park_Hurst_15646" )</f>
        <v>Pecan St E_365_Wellesly Park_Hurst_15646</v>
      </c>
      <c r="L5373" s="104" t="s">
        <v>22253</v>
      </c>
      <c r="M5373" s="103" t="str">
        <f t="shared" si="418"/>
        <v>http://oconnordata.com/mlink/modules/profile/index.cfm?action=profile&amp;prop_id=15646</v>
      </c>
      <c r="N5373" s="1">
        <f t="shared" si="419"/>
        <v>15646</v>
      </c>
    </row>
    <row r="5374" spans="1:14" x14ac:dyDescent="0.3">
      <c r="A5374" s="1">
        <v>15647</v>
      </c>
      <c r="B5374" s="7" t="s">
        <v>6961</v>
      </c>
      <c r="C5374" s="12">
        <v>6603</v>
      </c>
      <c r="D5374" s="7" t="s">
        <v>8110</v>
      </c>
      <c r="E5374" s="13" t="s">
        <v>4996</v>
      </c>
      <c r="F5374" t="str">
        <f t="shared" si="415"/>
        <v>Lovers</v>
      </c>
      <c r="G5374" t="str">
        <f t="shared" si="416"/>
        <v>Lovers6603Dallas</v>
      </c>
      <c r="H5374" t="s">
        <v>36231</v>
      </c>
      <c r="I5374" t="s">
        <v>27652</v>
      </c>
      <c r="J5374" t="str">
        <f t="shared" si="417"/>
        <v>E:\PropInv\MF</v>
      </c>
      <c r="K5374" s="103" t="str">
        <f>HYPERLINK("E:\PropInv\MF\Dallas\Lovers Ln E_6603_La Vita on Lovers Lane_Dallas_15647","Lovers Ln E_6603_La Vita on Lovers Lane_Dallas_15647" )</f>
        <v>Lovers Ln E_6603_La Vita on Lovers Lane_Dallas_15647</v>
      </c>
      <c r="L5374" s="104" t="s">
        <v>22253</v>
      </c>
      <c r="M5374" s="103" t="str">
        <f t="shared" si="418"/>
        <v>http://oconnordata.com/mlink/modules/profile/index.cfm?action=profile&amp;prop_id=15647</v>
      </c>
      <c r="N5374" s="1">
        <f t="shared" si="419"/>
        <v>15647</v>
      </c>
    </row>
    <row r="5375" spans="1:14" x14ac:dyDescent="0.3">
      <c r="A5375" s="1">
        <v>15648</v>
      </c>
      <c r="B5375" s="7" t="s">
        <v>5371</v>
      </c>
      <c r="C5375" s="12">
        <v>315</v>
      </c>
      <c r="D5375" s="7" t="s">
        <v>8111</v>
      </c>
      <c r="E5375" s="13" t="s">
        <v>5140</v>
      </c>
      <c r="F5375" t="str">
        <f t="shared" si="415"/>
        <v>Greenville</v>
      </c>
      <c r="G5375" t="str">
        <f t="shared" si="416"/>
        <v>Greenville315Allen</v>
      </c>
      <c r="H5375" t="s">
        <v>36232</v>
      </c>
      <c r="I5375" t="s">
        <v>27653</v>
      </c>
      <c r="J5375" t="str">
        <f t="shared" si="417"/>
        <v>E:\PropInv\MF</v>
      </c>
      <c r="K5375" s="103" t="str">
        <f>HYPERLINK("E:\PropInv\MF\Allen\Greenville Ave N_315_Maple Trail_Allen_15648","Greenville Ave N_315_Maple Trail_Allen_15648" )</f>
        <v>Greenville Ave N_315_Maple Trail_Allen_15648</v>
      </c>
      <c r="L5375" s="104" t="s">
        <v>22253</v>
      </c>
      <c r="M5375" s="103" t="str">
        <f t="shared" si="418"/>
        <v>http://oconnordata.com/mlink/modules/profile/index.cfm?action=profile&amp;prop_id=15648</v>
      </c>
      <c r="N5375" s="1">
        <f t="shared" si="419"/>
        <v>15648</v>
      </c>
    </row>
    <row r="5376" spans="1:14" x14ac:dyDescent="0.3">
      <c r="A5376" s="1">
        <v>15650</v>
      </c>
      <c r="B5376" s="7" t="s">
        <v>8112</v>
      </c>
      <c r="C5376" s="12">
        <v>3903</v>
      </c>
      <c r="D5376" s="7" t="s">
        <v>3075</v>
      </c>
      <c r="E5376" s="13" t="s">
        <v>6555</v>
      </c>
      <c r="F5376" t="str">
        <f t="shared" si="415"/>
        <v>Ichabod</v>
      </c>
      <c r="G5376" t="str">
        <f t="shared" si="416"/>
        <v>Ichabod3903Arlington</v>
      </c>
      <c r="H5376" t="s">
        <v>36233</v>
      </c>
      <c r="I5376" t="s">
        <v>27654</v>
      </c>
      <c r="J5376" t="str">
        <f t="shared" si="417"/>
        <v>E:\PropInv\MF</v>
      </c>
      <c r="K5376" s="103" t="str">
        <f>HYPERLINK("E:\PropInv\MF\Arlington\Ichabod Cir_3903_Sleepy Hollow_Arlington_15650","Ichabod Cir_3903_Sleepy Hollow_Arlington_15650" )</f>
        <v>Ichabod Cir_3903_Sleepy Hollow_Arlington_15650</v>
      </c>
      <c r="L5376" s="104" t="s">
        <v>22253</v>
      </c>
      <c r="M5376" s="103" t="str">
        <f t="shared" si="418"/>
        <v>http://oconnordata.com/mlink/modules/profile/index.cfm?action=profile&amp;prop_id=15650</v>
      </c>
      <c r="N5376" s="1">
        <f t="shared" si="419"/>
        <v>15650</v>
      </c>
    </row>
    <row r="5377" spans="1:14" x14ac:dyDescent="0.3">
      <c r="A5377" s="110">
        <v>15651</v>
      </c>
      <c r="B5377" s="7" t="s">
        <v>8113</v>
      </c>
      <c r="C5377" s="12">
        <v>1620</v>
      </c>
      <c r="D5377" s="7" t="s">
        <v>447</v>
      </c>
      <c r="E5377" s="109" t="s">
        <v>5043</v>
      </c>
      <c r="F5377" t="str">
        <f t="shared" si="415"/>
        <v>Virginia</v>
      </c>
      <c r="G5377" t="str">
        <f t="shared" si="416"/>
        <v>Virginia1620McKinney</v>
      </c>
      <c r="H5377" t="s">
        <v>36234</v>
      </c>
      <c r="I5377" t="s">
        <v>27655</v>
      </c>
      <c r="J5377" t="str">
        <f t="shared" si="417"/>
        <v>E:\PropInv\MF</v>
      </c>
      <c r="K5377" s="103" t="str">
        <f>HYPERLINK("E:\PropInv\MF\McKinney\Virginia W_1620_Westwood_McKinney_15651","Virginia W_1620_Westwood_McKinney_15651" )</f>
        <v>Virginia W_1620_Westwood_McKinney_15651</v>
      </c>
      <c r="L5377" s="104" t="s">
        <v>22253</v>
      </c>
      <c r="M5377" s="103" t="str">
        <f t="shared" si="418"/>
        <v>http://oconnordata.com/mlink/modules/profile/index.cfm?action=profile&amp;prop_id=15651</v>
      </c>
      <c r="N5377" s="1">
        <f t="shared" si="419"/>
        <v>15651</v>
      </c>
    </row>
    <row r="5378" spans="1:14" x14ac:dyDescent="0.3">
      <c r="A5378" s="1">
        <v>15652</v>
      </c>
      <c r="B5378" s="7" t="s">
        <v>7053</v>
      </c>
      <c r="C5378" s="12">
        <v>15935</v>
      </c>
      <c r="D5378" s="7" t="s">
        <v>888</v>
      </c>
      <c r="E5378" s="13" t="s">
        <v>4996</v>
      </c>
      <c r="F5378" t="str">
        <f t="shared" ref="F5378:F5441" si="420">IFERROR(LEFT(B5378,FIND(" ",B5378)-1),B5378)</f>
        <v>Bent</v>
      </c>
      <c r="G5378" t="str">
        <f t="shared" ref="G5378:G5441" si="421">F5378&amp;C5378&amp;E5378</f>
        <v>Bent15935Dallas</v>
      </c>
      <c r="H5378" t="s">
        <v>36235</v>
      </c>
      <c r="I5378" t="s">
        <v>27656</v>
      </c>
      <c r="J5378" t="str">
        <f t="shared" ref="J5378:J5441" si="422">IF(L5378="TX",Folder_Path,Folder_Path&amp;"\State_"&amp;L5378)</f>
        <v>E:\PropInv\MF</v>
      </c>
      <c r="K5378" s="103" t="str">
        <f>HYPERLINK("E:\PropInv\MF\Dallas\Bent Tree Forest Cir_15935_Bear Creek_Dallas_15652","Bent Tree Forest Cir_15935_Bear Creek_Dallas_15652" )</f>
        <v>Bent Tree Forest Cir_15935_Bear Creek_Dallas_15652</v>
      </c>
      <c r="L5378" s="104" t="s">
        <v>22253</v>
      </c>
      <c r="M5378" s="103" t="str">
        <f t="shared" ref="M5378:M5441" si="423">HYPERLINK("http://oconnordata.com/mlink/modules/profile/index.cfm?action=profile&amp;prop_id="&amp;A5378)</f>
        <v>http://oconnordata.com/mlink/modules/profile/index.cfm?action=profile&amp;prop_id=15652</v>
      </c>
      <c r="N5378" s="1">
        <f t="shared" ref="N5378:N5441" si="424">IF(LEN(A5378)=1,"0000"&amp;A5378,IF(LEN(A5378)=2,"000"&amp;A5378,IF(LEN(A5378)=3,"00"&amp;A5378,IF(LEN(A5378)=4,"0"&amp;A5378,IF(LEN(A5378)=5,IF(LEFT(A5378,1)="3",A5378+30000,A5378))))))</f>
        <v>15652</v>
      </c>
    </row>
    <row r="5379" spans="1:14" x14ac:dyDescent="0.3">
      <c r="A5379" s="1">
        <v>15653</v>
      </c>
      <c r="B5379" s="7" t="s">
        <v>8114</v>
      </c>
      <c r="C5379" s="12">
        <v>1600</v>
      </c>
      <c r="D5379" s="7" t="s">
        <v>8115</v>
      </c>
      <c r="E5379" s="13" t="s">
        <v>8116</v>
      </c>
      <c r="F5379" t="str">
        <f t="shared" si="420"/>
        <v>9th</v>
      </c>
      <c r="G5379" t="str">
        <f t="shared" si="421"/>
        <v>9th1600Midlothian</v>
      </c>
      <c r="H5379" t="s">
        <v>36236</v>
      </c>
      <c r="I5379" t="s">
        <v>27657</v>
      </c>
      <c r="J5379" t="str">
        <f t="shared" si="422"/>
        <v>E:\PropInv\MF</v>
      </c>
      <c r="K5379" s="103" t="str">
        <f>HYPERLINK("E:\PropInv\MF\Midlothian\9th St N_1600_Turtle Cove_Midlothian_15653","9th St N_1600_Turtle Cove_Midlothian_15653" )</f>
        <v>9th St N_1600_Turtle Cove_Midlothian_15653</v>
      </c>
      <c r="L5379" s="104" t="s">
        <v>22253</v>
      </c>
      <c r="M5379" s="103" t="str">
        <f t="shared" si="423"/>
        <v>http://oconnordata.com/mlink/modules/profile/index.cfm?action=profile&amp;prop_id=15653</v>
      </c>
      <c r="N5379" s="1">
        <f t="shared" si="424"/>
        <v>15653</v>
      </c>
    </row>
    <row r="5380" spans="1:14" x14ac:dyDescent="0.3">
      <c r="A5380" s="1">
        <v>15654</v>
      </c>
      <c r="B5380" s="7" t="s">
        <v>8117</v>
      </c>
      <c r="C5380" s="12">
        <v>1713</v>
      </c>
      <c r="D5380" s="7" t="s">
        <v>8118</v>
      </c>
      <c r="E5380" s="13" t="s">
        <v>6578</v>
      </c>
      <c r="F5380" t="str">
        <f t="shared" si="420"/>
        <v>Dove</v>
      </c>
      <c r="G5380" t="str">
        <f t="shared" si="421"/>
        <v>Dove1713Grapevine</v>
      </c>
      <c r="H5380" t="s">
        <v>36237</v>
      </c>
      <c r="I5380" t="s">
        <v>27658</v>
      </c>
      <c r="J5380" t="str">
        <f t="shared" si="422"/>
        <v>E:\PropInv\MF</v>
      </c>
      <c r="K5380" s="103" t="str">
        <f>HYPERLINK("E:\PropInv\MF\Grapevine\Dove Loop Rd_1713_Marina Del Rey_Grapevine_15654","Dove Loop Rd_1713_Marina Del Rey_Grapevine_15654" )</f>
        <v>Dove Loop Rd_1713_Marina Del Rey_Grapevine_15654</v>
      </c>
      <c r="L5380" s="104" t="s">
        <v>22253</v>
      </c>
      <c r="M5380" s="103" t="str">
        <f t="shared" si="423"/>
        <v>http://oconnordata.com/mlink/modules/profile/index.cfm?action=profile&amp;prop_id=15654</v>
      </c>
      <c r="N5380" s="1">
        <f t="shared" si="424"/>
        <v>15654</v>
      </c>
    </row>
    <row r="5381" spans="1:14" x14ac:dyDescent="0.3">
      <c r="A5381" s="1">
        <v>15655</v>
      </c>
      <c r="B5381" s="7" t="s">
        <v>8119</v>
      </c>
      <c r="C5381" s="12">
        <v>808</v>
      </c>
      <c r="D5381" s="7" t="s">
        <v>8120</v>
      </c>
      <c r="E5381" s="13" t="s">
        <v>6555</v>
      </c>
      <c r="F5381" t="str">
        <f t="shared" si="420"/>
        <v>Sanford</v>
      </c>
      <c r="G5381" t="str">
        <f t="shared" si="421"/>
        <v>Sanford808Arlington</v>
      </c>
      <c r="H5381" t="s">
        <v>36238</v>
      </c>
      <c r="I5381" t="s">
        <v>27659</v>
      </c>
      <c r="J5381" t="str">
        <f t="shared" si="422"/>
        <v>E:\PropInv\MF</v>
      </c>
      <c r="K5381" s="103" t="str">
        <f>HYPERLINK("E:\PropInv\MF\Arlington\Sanford St E_808_Collins Park_Arlington_15655","Sanford St E_808_Collins Park_Arlington_15655" )</f>
        <v>Sanford St E_808_Collins Park_Arlington_15655</v>
      </c>
      <c r="L5381" s="104" t="s">
        <v>22253</v>
      </c>
      <c r="M5381" s="103" t="str">
        <f t="shared" si="423"/>
        <v>http://oconnordata.com/mlink/modules/profile/index.cfm?action=profile&amp;prop_id=15655</v>
      </c>
      <c r="N5381" s="1">
        <f t="shared" si="424"/>
        <v>15655</v>
      </c>
    </row>
    <row r="5382" spans="1:14" x14ac:dyDescent="0.3">
      <c r="A5382" s="1">
        <v>15656</v>
      </c>
      <c r="B5382" s="7" t="s">
        <v>7947</v>
      </c>
      <c r="C5382" s="12">
        <v>2005</v>
      </c>
      <c r="D5382" s="7" t="s">
        <v>8121</v>
      </c>
      <c r="E5382" s="13" t="s">
        <v>6555</v>
      </c>
      <c r="F5382" t="str">
        <f t="shared" si="420"/>
        <v>Cooper</v>
      </c>
      <c r="G5382" t="str">
        <f t="shared" si="421"/>
        <v>Cooper2005Arlington</v>
      </c>
      <c r="H5382" t="s">
        <v>36239</v>
      </c>
      <c r="I5382" t="s">
        <v>27660</v>
      </c>
      <c r="J5382" t="str">
        <f t="shared" si="422"/>
        <v>E:\PropInv\MF</v>
      </c>
      <c r="K5382" s="103" t="str">
        <f>HYPERLINK("E:\PropInv\MF\Arlington\Cooper S_2005_Casa Serena_Arlington_15656","Cooper S_2005_Casa Serena_Arlington_15656" )</f>
        <v>Cooper S_2005_Casa Serena_Arlington_15656</v>
      </c>
      <c r="L5382" s="104" t="s">
        <v>22253</v>
      </c>
      <c r="M5382" s="103" t="str">
        <f t="shared" si="423"/>
        <v>http://oconnordata.com/mlink/modules/profile/index.cfm?action=profile&amp;prop_id=15656</v>
      </c>
      <c r="N5382" s="1">
        <f t="shared" si="424"/>
        <v>15656</v>
      </c>
    </row>
    <row r="5383" spans="1:14" x14ac:dyDescent="0.3">
      <c r="A5383" s="97">
        <v>15657</v>
      </c>
      <c r="B5383" s="7" t="s">
        <v>8122</v>
      </c>
      <c r="C5383" s="12">
        <v>1601</v>
      </c>
      <c r="D5383" s="7" t="s">
        <v>8123</v>
      </c>
      <c r="E5383" s="13" t="s">
        <v>5019</v>
      </c>
      <c r="F5383" t="str">
        <f t="shared" si="420"/>
        <v>Wynn</v>
      </c>
      <c r="G5383" t="str">
        <f t="shared" si="421"/>
        <v>Wynn1601Garland</v>
      </c>
      <c r="H5383" t="s">
        <v>36240</v>
      </c>
      <c r="I5383" t="s">
        <v>27661</v>
      </c>
      <c r="J5383" t="str">
        <f t="shared" si="422"/>
        <v>E:\PropInv\MF</v>
      </c>
      <c r="K5383" s="103" t="str">
        <f>HYPERLINK("E:\PropInv\MF\Garland\Wynn Joyce Rd_1601_Wyngate TH_Garland_15657","Wynn Joyce Rd_1601_Wyngate TH_Garland_15657" )</f>
        <v>Wynn Joyce Rd_1601_Wyngate TH_Garland_15657</v>
      </c>
      <c r="L5383" s="104" t="s">
        <v>22253</v>
      </c>
      <c r="M5383" s="103" t="str">
        <f t="shared" si="423"/>
        <v>http://oconnordata.com/mlink/modules/profile/index.cfm?action=profile&amp;prop_id=15657</v>
      </c>
      <c r="N5383" s="1">
        <f t="shared" si="424"/>
        <v>15657</v>
      </c>
    </row>
    <row r="5384" spans="1:14" x14ac:dyDescent="0.3">
      <c r="A5384" s="1">
        <v>15658</v>
      </c>
      <c r="B5384" s="7" t="s">
        <v>8124</v>
      </c>
      <c r="C5384" s="12">
        <v>3144</v>
      </c>
      <c r="D5384" s="7" t="s">
        <v>8125</v>
      </c>
      <c r="E5384" s="13" t="s">
        <v>5014</v>
      </c>
      <c r="F5384" t="str">
        <f t="shared" si="420"/>
        <v>NW</v>
      </c>
      <c r="G5384" t="str">
        <f t="shared" si="421"/>
        <v>NW3144Fort Worth</v>
      </c>
      <c r="H5384" t="s">
        <v>36241</v>
      </c>
      <c r="I5384" t="s">
        <v>27662</v>
      </c>
      <c r="J5384" t="str">
        <f t="shared" si="422"/>
        <v>E:\PropInv\MF</v>
      </c>
      <c r="K5384" s="103" t="str">
        <f>HYPERLINK("E:\PropInv\MF\Fort Worth\NW 33rd St_3144_Marine Park_Fort Worth_15658","NW 33rd St_3144_Marine Park_Fort Worth_15658" )</f>
        <v>NW 33rd St_3144_Marine Park_Fort Worth_15658</v>
      </c>
      <c r="L5384" s="104" t="s">
        <v>22253</v>
      </c>
      <c r="M5384" s="103" t="str">
        <f t="shared" si="423"/>
        <v>http://oconnordata.com/mlink/modules/profile/index.cfm?action=profile&amp;prop_id=15658</v>
      </c>
      <c r="N5384" s="1">
        <f t="shared" si="424"/>
        <v>15658</v>
      </c>
    </row>
    <row r="5385" spans="1:14" x14ac:dyDescent="0.3">
      <c r="A5385" s="1">
        <v>15659</v>
      </c>
      <c r="B5385" s="7" t="s">
        <v>6754</v>
      </c>
      <c r="C5385" s="12">
        <v>700</v>
      </c>
      <c r="D5385" s="7" t="s">
        <v>8126</v>
      </c>
      <c r="E5385" s="13" t="s">
        <v>6612</v>
      </c>
      <c r="F5385" t="str">
        <f t="shared" si="420"/>
        <v>Airport</v>
      </c>
      <c r="G5385" t="str">
        <f t="shared" si="421"/>
        <v>Airport700Hurst</v>
      </c>
      <c r="H5385" t="s">
        <v>36242</v>
      </c>
      <c r="I5385" t="s">
        <v>27663</v>
      </c>
      <c r="J5385" t="str">
        <f t="shared" si="422"/>
        <v>E:\PropInv\MF</v>
      </c>
      <c r="K5385" s="103" t="str">
        <f>HYPERLINK("E:\PropInv\MF\Hurst\Airport Fwy_700_Sonterra_Hurst_15659","Airport Fwy_700_Sonterra_Hurst_15659" )</f>
        <v>Airport Fwy_700_Sonterra_Hurst_15659</v>
      </c>
      <c r="L5385" s="104" t="s">
        <v>22253</v>
      </c>
      <c r="M5385" s="103" t="str">
        <f t="shared" si="423"/>
        <v>http://oconnordata.com/mlink/modules/profile/index.cfm?action=profile&amp;prop_id=15659</v>
      </c>
      <c r="N5385" s="1">
        <f t="shared" si="424"/>
        <v>15659</v>
      </c>
    </row>
    <row r="5386" spans="1:14" x14ac:dyDescent="0.3">
      <c r="A5386" s="1">
        <v>15660</v>
      </c>
      <c r="B5386" s="7" t="s">
        <v>7053</v>
      </c>
      <c r="C5386" s="12">
        <v>16000</v>
      </c>
      <c r="D5386" s="7" t="s">
        <v>668</v>
      </c>
      <c r="E5386" s="13" t="s">
        <v>4996</v>
      </c>
      <c r="F5386" t="str">
        <f t="shared" si="420"/>
        <v>Bent</v>
      </c>
      <c r="G5386" t="str">
        <f t="shared" si="421"/>
        <v>Bent16000Dallas</v>
      </c>
      <c r="H5386" t="s">
        <v>36243</v>
      </c>
      <c r="I5386" t="s">
        <v>27664</v>
      </c>
      <c r="J5386" t="str">
        <f t="shared" si="422"/>
        <v>E:\PropInv\MF</v>
      </c>
      <c r="K5386" s="103" t="str">
        <f>HYPERLINK("E:\PropInv\MF\Dallas\Bent Tree Forest Cir_16000_Bent Oaks_Dallas_15660","Bent Tree Forest Cir_16000_Bent Oaks_Dallas_15660" )</f>
        <v>Bent Tree Forest Cir_16000_Bent Oaks_Dallas_15660</v>
      </c>
      <c r="L5386" s="104" t="s">
        <v>22253</v>
      </c>
      <c r="M5386" s="103" t="str">
        <f t="shared" si="423"/>
        <v>http://oconnordata.com/mlink/modules/profile/index.cfm?action=profile&amp;prop_id=15660</v>
      </c>
      <c r="N5386" s="1">
        <f t="shared" si="424"/>
        <v>15660</v>
      </c>
    </row>
    <row r="5387" spans="1:14" x14ac:dyDescent="0.3">
      <c r="A5387" s="1">
        <v>15662</v>
      </c>
      <c r="B5387" s="7" t="s">
        <v>8127</v>
      </c>
      <c r="C5387" s="12">
        <v>600</v>
      </c>
      <c r="D5387" s="7" t="s">
        <v>8128</v>
      </c>
      <c r="E5387" s="13" t="s">
        <v>5228</v>
      </c>
      <c r="F5387" t="str">
        <f t="shared" si="420"/>
        <v>Wembley</v>
      </c>
      <c r="G5387" t="str">
        <f t="shared" si="421"/>
        <v>Wembley600Duncanville</v>
      </c>
      <c r="H5387" t="s">
        <v>36244</v>
      </c>
      <c r="I5387" t="s">
        <v>27665</v>
      </c>
      <c r="J5387" t="str">
        <f t="shared" si="422"/>
        <v>E:\PropInv\MF</v>
      </c>
      <c r="K5387" s="103" t="str">
        <f>HYPERLINK("E:\PropInv\MF\Duncanville\Wembley Cir_600_Wexford TH_Duncanville_15662","Wembley Cir_600_Wexford TH_Duncanville_15662" )</f>
        <v>Wembley Cir_600_Wexford TH_Duncanville_15662</v>
      </c>
      <c r="L5387" s="104" t="s">
        <v>22253</v>
      </c>
      <c r="M5387" s="103" t="str">
        <f t="shared" si="423"/>
        <v>http://oconnordata.com/mlink/modules/profile/index.cfm?action=profile&amp;prop_id=15662</v>
      </c>
      <c r="N5387" s="1">
        <f t="shared" si="424"/>
        <v>15662</v>
      </c>
    </row>
    <row r="5388" spans="1:14" x14ac:dyDescent="0.3">
      <c r="A5388" s="1">
        <v>15664</v>
      </c>
      <c r="B5388" s="7" t="s">
        <v>8129</v>
      </c>
      <c r="C5388" s="12">
        <v>603</v>
      </c>
      <c r="D5388" s="7" t="s">
        <v>8130</v>
      </c>
      <c r="E5388" s="13" t="s">
        <v>6555</v>
      </c>
      <c r="F5388" t="str">
        <f t="shared" si="420"/>
        <v>Causley</v>
      </c>
      <c r="G5388" t="str">
        <f t="shared" si="421"/>
        <v>Causley603Arlington</v>
      </c>
      <c r="H5388" t="s">
        <v>36245</v>
      </c>
      <c r="I5388" t="s">
        <v>27666</v>
      </c>
      <c r="J5388" t="str">
        <f t="shared" si="422"/>
        <v>E:\PropInv\MF</v>
      </c>
      <c r="K5388" s="103" t="str">
        <f>HYPERLINK("E:\PropInv\MF\Arlington\Causley Ave_603_South Campus_Arlington_15664","Causley Ave_603_South Campus_Arlington_15664" )</f>
        <v>Causley Ave_603_South Campus_Arlington_15664</v>
      </c>
      <c r="L5388" s="104" t="s">
        <v>22253</v>
      </c>
      <c r="M5388" s="103" t="str">
        <f t="shared" si="423"/>
        <v>http://oconnordata.com/mlink/modules/profile/index.cfm?action=profile&amp;prop_id=15664</v>
      </c>
      <c r="N5388" s="1">
        <f t="shared" si="424"/>
        <v>15664</v>
      </c>
    </row>
    <row r="5389" spans="1:14" x14ac:dyDescent="0.3">
      <c r="A5389" s="97">
        <v>15665</v>
      </c>
      <c r="B5389" s="7" t="s">
        <v>8015</v>
      </c>
      <c r="C5389" s="12">
        <v>2403</v>
      </c>
      <c r="D5389" s="7" t="s">
        <v>8131</v>
      </c>
      <c r="E5389" s="13" t="s">
        <v>6555</v>
      </c>
      <c r="F5389" t="str">
        <f t="shared" si="420"/>
        <v>Brown</v>
      </c>
      <c r="G5389" t="str">
        <f t="shared" si="421"/>
        <v>Brown2403Arlington</v>
      </c>
      <c r="H5389" t="s">
        <v>36246</v>
      </c>
      <c r="I5389" t="s">
        <v>27667</v>
      </c>
      <c r="J5389" t="str">
        <f t="shared" si="422"/>
        <v>E:\PropInv\MF</v>
      </c>
      <c r="K5389" s="103" t="str">
        <f>HYPERLINK("E:\PropInv\MF\Arlington\Brown Blvd_2403_Woodbridge TH_Arlington_15665","Brown Blvd_2403_Woodbridge TH_Arlington_15665" )</f>
        <v>Brown Blvd_2403_Woodbridge TH_Arlington_15665</v>
      </c>
      <c r="L5389" s="104" t="s">
        <v>22253</v>
      </c>
      <c r="M5389" s="103" t="str">
        <f t="shared" si="423"/>
        <v>http://oconnordata.com/mlink/modules/profile/index.cfm?action=profile&amp;prop_id=15665</v>
      </c>
      <c r="N5389" s="1">
        <f t="shared" si="424"/>
        <v>15665</v>
      </c>
    </row>
    <row r="5390" spans="1:14" x14ac:dyDescent="0.3">
      <c r="A5390" s="1">
        <v>15666</v>
      </c>
      <c r="B5390" s="10" t="s">
        <v>892</v>
      </c>
      <c r="C5390" s="9">
        <v>600</v>
      </c>
      <c r="D5390" s="10" t="s">
        <v>8132</v>
      </c>
      <c r="E5390" s="11" t="s">
        <v>6612</v>
      </c>
      <c r="F5390" t="str">
        <f t="shared" si="420"/>
        <v>Bellaire</v>
      </c>
      <c r="G5390" t="str">
        <f t="shared" si="421"/>
        <v>Bellaire600Hurst</v>
      </c>
      <c r="H5390" t="s">
        <v>36247</v>
      </c>
      <c r="I5390" t="s">
        <v>27668</v>
      </c>
      <c r="J5390" t="str">
        <f t="shared" si="422"/>
        <v>E:\PropInv\MF</v>
      </c>
      <c r="K5390" s="103" t="str">
        <f>HYPERLINK("E:\PropInv\MF\Hurst\Bellaire_600_Whispering Run_Hurst_15666","Bellaire_600_Whispering Run_Hurst_15666" )</f>
        <v>Bellaire_600_Whispering Run_Hurst_15666</v>
      </c>
      <c r="L5390" s="104" t="s">
        <v>22253</v>
      </c>
      <c r="M5390" s="103" t="str">
        <f t="shared" si="423"/>
        <v>http://oconnordata.com/mlink/modules/profile/index.cfm?action=profile&amp;prop_id=15666</v>
      </c>
      <c r="N5390" s="1">
        <f t="shared" si="424"/>
        <v>15666</v>
      </c>
    </row>
    <row r="5391" spans="1:14" x14ac:dyDescent="0.3">
      <c r="A5391" s="97">
        <v>15668</v>
      </c>
      <c r="B5391" s="7" t="s">
        <v>8133</v>
      </c>
      <c r="C5391" s="12">
        <v>2717</v>
      </c>
      <c r="D5391" s="7" t="s">
        <v>8134</v>
      </c>
      <c r="E5391" s="13" t="s">
        <v>6555</v>
      </c>
      <c r="F5391" t="str">
        <f t="shared" si="420"/>
        <v>Lawrence</v>
      </c>
      <c r="G5391" t="str">
        <f t="shared" si="421"/>
        <v>Lawrence2717Arlington</v>
      </c>
      <c r="H5391" t="s">
        <v>36248</v>
      </c>
      <c r="I5391" t="s">
        <v>27669</v>
      </c>
      <c r="J5391" t="str">
        <f t="shared" si="422"/>
        <v>E:\PropInv\MF</v>
      </c>
      <c r="K5391" s="103" t="str">
        <f>HYPERLINK("E:\PropInv\MF\Arlington\Lawrence Rd_2717_Woodcreek_Arlington_15668","Lawrence Rd_2717_Woodcreek_Arlington_15668" )</f>
        <v>Lawrence Rd_2717_Woodcreek_Arlington_15668</v>
      </c>
      <c r="L5391" s="104" t="s">
        <v>22253</v>
      </c>
      <c r="M5391" s="103" t="str">
        <f t="shared" si="423"/>
        <v>http://oconnordata.com/mlink/modules/profile/index.cfm?action=profile&amp;prop_id=15668</v>
      </c>
      <c r="N5391" s="1">
        <f t="shared" si="424"/>
        <v>15668</v>
      </c>
    </row>
    <row r="5392" spans="1:14" x14ac:dyDescent="0.3">
      <c r="A5392" s="1">
        <v>15669</v>
      </c>
      <c r="B5392" s="10" t="s">
        <v>8135</v>
      </c>
      <c r="C5392" s="9">
        <v>1224</v>
      </c>
      <c r="D5392" s="10" t="s">
        <v>8136</v>
      </c>
      <c r="E5392" s="11" t="s">
        <v>6555</v>
      </c>
      <c r="F5392" t="str">
        <f t="shared" si="420"/>
        <v>Deuce</v>
      </c>
      <c r="G5392" t="str">
        <f t="shared" si="421"/>
        <v>Deuce1224Arlington</v>
      </c>
      <c r="H5392" t="s">
        <v>36249</v>
      </c>
      <c r="I5392" t="s">
        <v>27670</v>
      </c>
      <c r="J5392" t="str">
        <f t="shared" si="422"/>
        <v>E:\PropInv\MF</v>
      </c>
      <c r="K5392" s="103" t="str">
        <f>HYPERLINK("E:\PropInv\MF\Arlington\Deuce Dr_1224_Wimbledon Court_Arlington_15669","Deuce Dr_1224_Wimbledon Court_Arlington_15669" )</f>
        <v>Deuce Dr_1224_Wimbledon Court_Arlington_15669</v>
      </c>
      <c r="L5392" s="104" t="s">
        <v>22253</v>
      </c>
      <c r="M5392" s="103" t="str">
        <f t="shared" si="423"/>
        <v>http://oconnordata.com/mlink/modules/profile/index.cfm?action=profile&amp;prop_id=15669</v>
      </c>
      <c r="N5392" s="1">
        <f t="shared" si="424"/>
        <v>15669</v>
      </c>
    </row>
    <row r="5393" spans="1:14" x14ac:dyDescent="0.3">
      <c r="A5393" s="1">
        <v>15670</v>
      </c>
      <c r="B5393" s="7" t="s">
        <v>888</v>
      </c>
      <c r="C5393" s="12">
        <v>200</v>
      </c>
      <c r="D5393" s="7" t="s">
        <v>8137</v>
      </c>
      <c r="E5393" s="13" t="s">
        <v>5781</v>
      </c>
      <c r="F5393" t="str">
        <f t="shared" si="420"/>
        <v>Bear</v>
      </c>
      <c r="G5393" t="str">
        <f t="shared" si="421"/>
        <v>Bear200Euless</v>
      </c>
      <c r="H5393" t="s">
        <v>36250</v>
      </c>
      <c r="I5393" t="s">
        <v>27671</v>
      </c>
      <c r="J5393" t="str">
        <f t="shared" si="422"/>
        <v>E:\PropInv\MF</v>
      </c>
      <c r="K5393" s="103" t="str">
        <f>HYPERLINK("E:\PropInv\MF\Euless\Bear Creek_200_The Palisades at Bear Creek_Euless_15670","Bear Creek_200_The Palisades at Bear Creek_Euless_15670" )</f>
        <v>Bear Creek_200_The Palisades at Bear Creek_Euless_15670</v>
      </c>
      <c r="L5393" s="104" t="s">
        <v>22253</v>
      </c>
      <c r="M5393" s="103" t="str">
        <f t="shared" si="423"/>
        <v>http://oconnordata.com/mlink/modules/profile/index.cfm?action=profile&amp;prop_id=15670</v>
      </c>
      <c r="N5393" s="1">
        <f t="shared" si="424"/>
        <v>15670</v>
      </c>
    </row>
    <row r="5394" spans="1:14" x14ac:dyDescent="0.3">
      <c r="A5394" s="97">
        <v>15671</v>
      </c>
      <c r="B5394" s="7" t="s">
        <v>8138</v>
      </c>
      <c r="C5394" s="12">
        <v>1527</v>
      </c>
      <c r="D5394" s="7" t="s">
        <v>8139</v>
      </c>
      <c r="E5394" s="13" t="s">
        <v>6555</v>
      </c>
      <c r="F5394" t="str">
        <f t="shared" si="420"/>
        <v>College</v>
      </c>
      <c r="G5394" t="str">
        <f t="shared" si="421"/>
        <v>College1527Arlington</v>
      </c>
      <c r="H5394" t="s">
        <v>36251</v>
      </c>
      <c r="I5394" t="s">
        <v>27672</v>
      </c>
      <c r="J5394" t="str">
        <f t="shared" si="422"/>
        <v>E:\PropInv\MF</v>
      </c>
      <c r="K5394" s="103" t="str">
        <f>HYPERLINK("E:\PropInv\MF\Arlington\College St_1527_Woodcrest_Arlington_15671","College St_1527_Woodcrest_Arlington_15671" )</f>
        <v>College St_1527_Woodcrest_Arlington_15671</v>
      </c>
      <c r="L5394" s="104" t="s">
        <v>22253</v>
      </c>
      <c r="M5394" s="103" t="str">
        <f t="shared" si="423"/>
        <v>http://oconnordata.com/mlink/modules/profile/index.cfm?action=profile&amp;prop_id=15671</v>
      </c>
      <c r="N5394" s="1">
        <f t="shared" si="424"/>
        <v>15671</v>
      </c>
    </row>
    <row r="5395" spans="1:14" x14ac:dyDescent="0.3">
      <c r="A5395" s="1">
        <v>15672</v>
      </c>
      <c r="B5395" s="7" t="s">
        <v>8140</v>
      </c>
      <c r="C5395" s="12">
        <v>4500</v>
      </c>
      <c r="D5395" s="7" t="s">
        <v>8141</v>
      </c>
      <c r="E5395" s="13" t="s">
        <v>5005</v>
      </c>
      <c r="F5395" t="str">
        <f t="shared" si="420"/>
        <v>Sojourn</v>
      </c>
      <c r="G5395" t="str">
        <f t="shared" si="421"/>
        <v>Sojourn4500Addison</v>
      </c>
      <c r="H5395" t="s">
        <v>36252</v>
      </c>
      <c r="I5395" t="s">
        <v>27673</v>
      </c>
      <c r="J5395" t="str">
        <f t="shared" si="422"/>
        <v>E:\PropInv\MF</v>
      </c>
      <c r="K5395" s="103" t="str">
        <f>HYPERLINK("E:\PropInv\MF\Addison\Sojourn_4500_Bent Tree Park_Addison_15672","Sojourn_4500_Bent Tree Park_Addison_15672" )</f>
        <v>Sojourn_4500_Bent Tree Park_Addison_15672</v>
      </c>
      <c r="L5395" s="104" t="s">
        <v>22253</v>
      </c>
      <c r="M5395" s="103" t="str">
        <f t="shared" si="423"/>
        <v>http://oconnordata.com/mlink/modules/profile/index.cfm?action=profile&amp;prop_id=15672</v>
      </c>
      <c r="N5395" s="1">
        <f t="shared" si="424"/>
        <v>15672</v>
      </c>
    </row>
    <row r="5396" spans="1:14" x14ac:dyDescent="0.3">
      <c r="A5396" s="1">
        <v>15673</v>
      </c>
      <c r="B5396" s="7" t="s">
        <v>8142</v>
      </c>
      <c r="C5396" s="12">
        <v>1802</v>
      </c>
      <c r="D5396" s="7" t="s">
        <v>8142</v>
      </c>
      <c r="E5396" s="13" t="s">
        <v>6555</v>
      </c>
      <c r="F5396" t="str">
        <f t="shared" si="420"/>
        <v>Wimbledon</v>
      </c>
      <c r="G5396" t="str">
        <f t="shared" si="421"/>
        <v>Wimbledon1802Arlington</v>
      </c>
      <c r="H5396" t="s">
        <v>36253</v>
      </c>
      <c r="I5396" t="s">
        <v>27674</v>
      </c>
      <c r="J5396" t="str">
        <f t="shared" si="422"/>
        <v>E:\PropInv\MF</v>
      </c>
      <c r="K5396" s="103" t="str">
        <f>HYPERLINK("E:\PropInv\MF\Arlington\Wimbledon Oaks_1802_Wimbledon Oaks_Arlington_15673","Wimbledon Oaks_1802_Wimbledon Oaks_Arlington_15673" )</f>
        <v>Wimbledon Oaks_1802_Wimbledon Oaks_Arlington_15673</v>
      </c>
      <c r="L5396" s="104" t="s">
        <v>22253</v>
      </c>
      <c r="M5396" s="103" t="str">
        <f t="shared" si="423"/>
        <v>http://oconnordata.com/mlink/modules/profile/index.cfm?action=profile&amp;prop_id=15673</v>
      </c>
      <c r="N5396" s="1">
        <f t="shared" si="424"/>
        <v>15673</v>
      </c>
    </row>
    <row r="5397" spans="1:14" x14ac:dyDescent="0.3">
      <c r="A5397" s="97">
        <v>15675</v>
      </c>
      <c r="B5397" s="10" t="s">
        <v>8143</v>
      </c>
      <c r="C5397" s="9">
        <v>4046</v>
      </c>
      <c r="D5397" s="10" t="s">
        <v>2786</v>
      </c>
      <c r="E5397" s="11" t="s">
        <v>6555</v>
      </c>
      <c r="F5397" t="str">
        <f t="shared" si="420"/>
        <v>Woodland</v>
      </c>
      <c r="G5397" t="str">
        <f t="shared" si="421"/>
        <v>Woodland4046Arlington</v>
      </c>
      <c r="H5397" t="s">
        <v>36254</v>
      </c>
      <c r="I5397" t="s">
        <v>27675</v>
      </c>
      <c r="J5397" t="str">
        <f t="shared" si="422"/>
        <v>E:\PropInv\MF</v>
      </c>
      <c r="K5397" s="103" t="str">
        <f>HYPERLINK("E:\PropInv\MF\Arlington\Woodland Park Blvd_4046_Woodland Park_Arlington_15675","Woodland Park Blvd_4046_Woodland Park_Arlington_15675" )</f>
        <v>Woodland Park Blvd_4046_Woodland Park_Arlington_15675</v>
      </c>
      <c r="L5397" s="104" t="s">
        <v>22253</v>
      </c>
      <c r="M5397" s="103" t="str">
        <f t="shared" si="423"/>
        <v>http://oconnordata.com/mlink/modules/profile/index.cfm?action=profile&amp;prop_id=15675</v>
      </c>
      <c r="N5397" s="1">
        <f t="shared" si="424"/>
        <v>15675</v>
      </c>
    </row>
    <row r="5398" spans="1:14" x14ac:dyDescent="0.3">
      <c r="A5398" s="1">
        <v>15676</v>
      </c>
      <c r="B5398" s="7" t="s">
        <v>8144</v>
      </c>
      <c r="C5398" s="12">
        <v>15215</v>
      </c>
      <c r="D5398" s="7" t="s">
        <v>8145</v>
      </c>
      <c r="E5398" s="13" t="s">
        <v>4996</v>
      </c>
      <c r="F5398" t="str">
        <f t="shared" si="420"/>
        <v>Berry</v>
      </c>
      <c r="G5398" t="str">
        <f t="shared" si="421"/>
        <v>Berry15215Dallas</v>
      </c>
      <c r="H5398" t="s">
        <v>36255</v>
      </c>
      <c r="I5398" t="s">
        <v>27676</v>
      </c>
      <c r="J5398" t="str">
        <f t="shared" si="422"/>
        <v>E:\PropInv\MF</v>
      </c>
      <c r="K5398" s="103" t="str">
        <f>HYPERLINK("E:\PropInv\MF\Dallas\Berry Trl_15215_Berry Trail_Dallas_15676","Berry Trl_15215_Berry Trail_Dallas_15676" )</f>
        <v>Berry Trl_15215_Berry Trail_Dallas_15676</v>
      </c>
      <c r="L5398" s="104" t="s">
        <v>22253</v>
      </c>
      <c r="M5398" s="103" t="str">
        <f t="shared" si="423"/>
        <v>http://oconnordata.com/mlink/modules/profile/index.cfm?action=profile&amp;prop_id=15676</v>
      </c>
      <c r="N5398" s="1">
        <f t="shared" si="424"/>
        <v>15676</v>
      </c>
    </row>
    <row r="5399" spans="1:14" x14ac:dyDescent="0.3">
      <c r="A5399" s="97">
        <v>15677</v>
      </c>
      <c r="B5399" s="7" t="s">
        <v>8146</v>
      </c>
      <c r="C5399" s="12">
        <v>2601</v>
      </c>
      <c r="D5399" s="7" t="s">
        <v>8147</v>
      </c>
      <c r="E5399" s="13" t="s">
        <v>6555</v>
      </c>
      <c r="F5399" t="str">
        <f t="shared" si="420"/>
        <v>Lynnwood</v>
      </c>
      <c r="G5399" t="str">
        <f t="shared" si="421"/>
        <v>Lynnwood2601Arlington</v>
      </c>
      <c r="H5399" t="s">
        <v>36256</v>
      </c>
      <c r="I5399" t="s">
        <v>27677</v>
      </c>
      <c r="J5399" t="str">
        <f t="shared" si="422"/>
        <v>E:\PropInv\MF</v>
      </c>
      <c r="K5399" s="103" t="str">
        <f>HYPERLINK("E:\PropInv\MF\Arlington\Lynnwood Dr_2601_Woodland West_Arlington_15677","Lynnwood Dr_2601_Woodland West_Arlington_15677" )</f>
        <v>Lynnwood Dr_2601_Woodland West_Arlington_15677</v>
      </c>
      <c r="L5399" s="104" t="s">
        <v>22253</v>
      </c>
      <c r="M5399" s="103" t="str">
        <f t="shared" si="423"/>
        <v>http://oconnordata.com/mlink/modules/profile/index.cfm?action=profile&amp;prop_id=15677</v>
      </c>
      <c r="N5399" s="1">
        <f t="shared" si="424"/>
        <v>15677</v>
      </c>
    </row>
    <row r="5400" spans="1:14" x14ac:dyDescent="0.3">
      <c r="A5400" s="1">
        <v>15678</v>
      </c>
      <c r="B5400" s="7" t="s">
        <v>8148</v>
      </c>
      <c r="C5400" s="12">
        <v>2007</v>
      </c>
      <c r="D5400" s="7" t="s">
        <v>8149</v>
      </c>
      <c r="E5400" s="13" t="s">
        <v>6555</v>
      </c>
      <c r="F5400" t="str">
        <f t="shared" si="420"/>
        <v>Springcrest</v>
      </c>
      <c r="G5400" t="str">
        <f t="shared" si="421"/>
        <v>Springcrest2007Arlington</v>
      </c>
      <c r="H5400" t="s">
        <v>36257</v>
      </c>
      <c r="I5400" t="s">
        <v>27678</v>
      </c>
      <c r="J5400" t="str">
        <f t="shared" si="422"/>
        <v>E:\PropInv\MF</v>
      </c>
      <c r="K5400" s="103" t="str">
        <f>HYPERLINK("E:\PropInv\MF\Arlington\Springcrest Dr_2007_Springcrest_Arlington_15678","Springcrest Dr_2007_Springcrest_Arlington_15678" )</f>
        <v>Springcrest Dr_2007_Springcrest_Arlington_15678</v>
      </c>
      <c r="L5400" s="104" t="s">
        <v>22253</v>
      </c>
      <c r="M5400" s="103" t="str">
        <f t="shared" si="423"/>
        <v>http://oconnordata.com/mlink/modules/profile/index.cfm?action=profile&amp;prop_id=15678</v>
      </c>
      <c r="N5400" s="1">
        <f t="shared" si="424"/>
        <v>15678</v>
      </c>
    </row>
    <row r="5401" spans="1:14" x14ac:dyDescent="0.3">
      <c r="A5401" s="1">
        <v>15679</v>
      </c>
      <c r="B5401" s="7" t="s">
        <v>8150</v>
      </c>
      <c r="C5401" s="12">
        <v>325</v>
      </c>
      <c r="D5401" s="7" t="s">
        <v>8151</v>
      </c>
      <c r="E5401" s="13" t="s">
        <v>5076</v>
      </c>
      <c r="F5401" t="str">
        <f t="shared" si="420"/>
        <v>5th</v>
      </c>
      <c r="G5401" t="str">
        <f t="shared" si="421"/>
        <v>5th325Grand Prairie</v>
      </c>
      <c r="H5401" t="s">
        <v>36258</v>
      </c>
      <c r="I5401" t="s">
        <v>27679</v>
      </c>
      <c r="J5401" t="str">
        <f t="shared" si="422"/>
        <v>E:\PropInv\MF</v>
      </c>
      <c r="K5401" s="103" t="str">
        <f>HYPERLINK("E:\PropInv\MF\Grand Prairie\5th St NE_325_Willow Wood_Grand Prairie_15679","5th St NE_325_Willow Wood_Grand Prairie_15679" )</f>
        <v>5th St NE_325_Willow Wood_Grand Prairie_15679</v>
      </c>
      <c r="L5401" s="104" t="s">
        <v>22253</v>
      </c>
      <c r="M5401" s="103" t="str">
        <f t="shared" si="423"/>
        <v>http://oconnordata.com/mlink/modules/profile/index.cfm?action=profile&amp;prop_id=15679</v>
      </c>
      <c r="N5401" s="1">
        <f t="shared" si="424"/>
        <v>15679</v>
      </c>
    </row>
    <row r="5402" spans="1:14" x14ac:dyDescent="0.3">
      <c r="A5402" s="97">
        <v>15680</v>
      </c>
      <c r="B5402" s="7" t="s">
        <v>8152</v>
      </c>
      <c r="C5402" s="12">
        <v>2800</v>
      </c>
      <c r="D5402" s="7" t="s">
        <v>8153</v>
      </c>
      <c r="E5402" s="13" t="s">
        <v>6555</v>
      </c>
      <c r="F5402" t="str">
        <f t="shared" si="420"/>
        <v>Lynnwood</v>
      </c>
      <c r="G5402" t="str">
        <f t="shared" si="421"/>
        <v>Lynnwood2800Arlington</v>
      </c>
      <c r="H5402" t="s">
        <v>36259</v>
      </c>
      <c r="I5402" t="s">
        <v>27680</v>
      </c>
      <c r="J5402" t="str">
        <f t="shared" si="422"/>
        <v>E:\PropInv\MF</v>
      </c>
      <c r="K5402" s="103" t="str">
        <f>HYPERLINK("E:\PropInv\MF\Arlington\Lynnwood_2800_Woodlands of Arlington_Arlington_15680","Lynnwood_2800_Woodlands of Arlington_Arlington_15680" )</f>
        <v>Lynnwood_2800_Woodlands of Arlington_Arlington_15680</v>
      </c>
      <c r="L5402" s="104" t="s">
        <v>22253</v>
      </c>
      <c r="M5402" s="103" t="str">
        <f t="shared" si="423"/>
        <v>http://oconnordata.com/mlink/modules/profile/index.cfm?action=profile&amp;prop_id=15680</v>
      </c>
      <c r="N5402" s="1">
        <f t="shared" si="424"/>
        <v>15680</v>
      </c>
    </row>
    <row r="5403" spans="1:14" x14ac:dyDescent="0.3">
      <c r="A5403" s="1">
        <v>15681</v>
      </c>
      <c r="B5403" s="7" t="s">
        <v>5958</v>
      </c>
      <c r="C5403" s="12">
        <v>8749</v>
      </c>
      <c r="D5403" s="7" t="s">
        <v>8154</v>
      </c>
      <c r="E5403" s="13" t="s">
        <v>4996</v>
      </c>
      <c r="F5403" t="str">
        <f t="shared" si="420"/>
        <v>Southwestern</v>
      </c>
      <c r="G5403" t="str">
        <f t="shared" si="421"/>
        <v>Southwestern8749Dallas</v>
      </c>
      <c r="H5403" t="s">
        <v>36260</v>
      </c>
      <c r="I5403" t="s">
        <v>27681</v>
      </c>
      <c r="J5403" t="str">
        <f t="shared" si="422"/>
        <v>E:\PropInv\MF</v>
      </c>
      <c r="K5403" s="103" t="str">
        <f>HYPERLINK("E:\PropInv\MF\Dallas\Southwestern Blvd_8749_The Bluffs_Dallas_15681","Southwestern Blvd_8749_The Bluffs_Dallas_15681" )</f>
        <v>Southwestern Blvd_8749_The Bluffs_Dallas_15681</v>
      </c>
      <c r="L5403" s="104" t="s">
        <v>22253</v>
      </c>
      <c r="M5403" s="103" t="str">
        <f t="shared" si="423"/>
        <v>http://oconnordata.com/mlink/modules/profile/index.cfm?action=profile&amp;prop_id=15681</v>
      </c>
      <c r="N5403" s="1">
        <f t="shared" si="424"/>
        <v>15681</v>
      </c>
    </row>
    <row r="5404" spans="1:14" x14ac:dyDescent="0.3">
      <c r="A5404" s="1">
        <v>15682</v>
      </c>
      <c r="B5404" s="7" t="s">
        <v>8155</v>
      </c>
      <c r="C5404" s="12">
        <v>1909</v>
      </c>
      <c r="D5404" s="7" t="s">
        <v>8156</v>
      </c>
      <c r="E5404" s="13" t="s">
        <v>6581</v>
      </c>
      <c r="F5404" t="str">
        <f t="shared" si="420"/>
        <v>Higgins</v>
      </c>
      <c r="G5404" t="str">
        <f t="shared" si="421"/>
        <v>Higgins1909Haltom City</v>
      </c>
      <c r="H5404" t="s">
        <v>36261</v>
      </c>
      <c r="I5404" t="s">
        <v>27682</v>
      </c>
      <c r="J5404" t="str">
        <f t="shared" si="422"/>
        <v>E:\PropInv\MF</v>
      </c>
      <c r="K5404" s="103" t="str">
        <f>HYPERLINK("E:\PropInv\MF\Haltom City\Higgins Ln_1909_Springdale_Haltom City_15682","Higgins Ln_1909_Springdale_Haltom City_15682" )</f>
        <v>Higgins Ln_1909_Springdale_Haltom City_15682</v>
      </c>
      <c r="L5404" s="104" t="s">
        <v>22253</v>
      </c>
      <c r="M5404" s="103" t="str">
        <f t="shared" si="423"/>
        <v>http://oconnordata.com/mlink/modules/profile/index.cfm?action=profile&amp;prop_id=15682</v>
      </c>
      <c r="N5404" s="1">
        <f t="shared" si="424"/>
        <v>15682</v>
      </c>
    </row>
    <row r="5405" spans="1:14" x14ac:dyDescent="0.3">
      <c r="A5405" s="1">
        <v>15683</v>
      </c>
      <c r="B5405" s="7" t="s">
        <v>8157</v>
      </c>
      <c r="C5405" s="12">
        <v>812</v>
      </c>
      <c r="D5405" s="7" t="s">
        <v>8158</v>
      </c>
      <c r="E5405" s="13" t="s">
        <v>6555</v>
      </c>
      <c r="F5405" t="str">
        <f t="shared" si="420"/>
        <v>Center</v>
      </c>
      <c r="G5405" t="str">
        <f t="shared" si="421"/>
        <v>Center812Arlington</v>
      </c>
      <c r="H5405" t="s">
        <v>36262</v>
      </c>
      <c r="I5405" t="s">
        <v>27683</v>
      </c>
      <c r="J5405" t="str">
        <f t="shared" si="422"/>
        <v>E:\PropInv\MF</v>
      </c>
      <c r="K5405" s="103" t="str">
        <f>HYPERLINK("E:\PropInv\MF\Arlington\Center N_812_Willow Wood North_Arlington_15683","Center N_812_Willow Wood North_Arlington_15683" )</f>
        <v>Center N_812_Willow Wood North_Arlington_15683</v>
      </c>
      <c r="L5405" s="104" t="s">
        <v>22253</v>
      </c>
      <c r="M5405" s="103" t="str">
        <f t="shared" si="423"/>
        <v>http://oconnordata.com/mlink/modules/profile/index.cfm?action=profile&amp;prop_id=15683</v>
      </c>
      <c r="N5405" s="1">
        <f t="shared" si="424"/>
        <v>15683</v>
      </c>
    </row>
    <row r="5406" spans="1:14" x14ac:dyDescent="0.3">
      <c r="A5406" s="97">
        <v>15684</v>
      </c>
      <c r="B5406" s="7" t="s">
        <v>7778</v>
      </c>
      <c r="C5406" s="12">
        <v>2700</v>
      </c>
      <c r="D5406" s="7" t="s">
        <v>8159</v>
      </c>
      <c r="E5406" s="13" t="s">
        <v>4942</v>
      </c>
      <c r="F5406" t="str">
        <f t="shared" si="420"/>
        <v>Central</v>
      </c>
      <c r="G5406" t="str">
        <f t="shared" si="421"/>
        <v>Central2700Bedford</v>
      </c>
      <c r="H5406" t="s">
        <v>36263</v>
      </c>
      <c r="I5406" t="s">
        <v>27684</v>
      </c>
      <c r="J5406" t="str">
        <f t="shared" si="422"/>
        <v>E:\PropInv\MF</v>
      </c>
      <c r="K5406" s="103" t="str">
        <f>HYPERLINK("E:\PropInv\MF\Bedford\Central Dr_2700_Woods of Bedford_Bedford_15684","Central Dr_2700_Woods of Bedford_Bedford_15684" )</f>
        <v>Central Dr_2700_Woods of Bedford_Bedford_15684</v>
      </c>
      <c r="L5406" s="104" t="s">
        <v>22253</v>
      </c>
      <c r="M5406" s="103" t="str">
        <f t="shared" si="423"/>
        <v>http://oconnordata.com/mlink/modules/profile/index.cfm?action=profile&amp;prop_id=15684</v>
      </c>
      <c r="N5406" s="1">
        <f t="shared" si="424"/>
        <v>15684</v>
      </c>
    </row>
    <row r="5407" spans="1:14" x14ac:dyDescent="0.3">
      <c r="A5407" s="1">
        <v>15685</v>
      </c>
      <c r="B5407" s="7" t="s">
        <v>6032</v>
      </c>
      <c r="C5407" s="12">
        <v>2024</v>
      </c>
      <c r="D5407" s="7" t="s">
        <v>8160</v>
      </c>
      <c r="E5407" s="13" t="s">
        <v>6555</v>
      </c>
      <c r="F5407" t="str">
        <f t="shared" si="420"/>
        <v>Park</v>
      </c>
      <c r="G5407" t="str">
        <f t="shared" si="421"/>
        <v>Park2024Arlington</v>
      </c>
      <c r="H5407" t="s">
        <v>36264</v>
      </c>
      <c r="I5407" t="s">
        <v>27685</v>
      </c>
      <c r="J5407" t="str">
        <f t="shared" si="422"/>
        <v>E:\PropInv\MF</v>
      </c>
      <c r="K5407" s="103" t="str">
        <f>HYPERLINK("E:\PropInv\MF\Arlington\Park Springs_2024_Willows II_Arlington_15685","Park Springs_2024_Willows II_Arlington_15685" )</f>
        <v>Park Springs_2024_Willows II_Arlington_15685</v>
      </c>
      <c r="L5407" s="104" t="s">
        <v>22253</v>
      </c>
      <c r="M5407" s="103" t="str">
        <f t="shared" si="423"/>
        <v>http://oconnordata.com/mlink/modules/profile/index.cfm?action=profile&amp;prop_id=15685</v>
      </c>
      <c r="N5407" s="1">
        <f t="shared" si="424"/>
        <v>15685</v>
      </c>
    </row>
    <row r="5408" spans="1:14" x14ac:dyDescent="0.3">
      <c r="A5408" s="97">
        <v>15687</v>
      </c>
      <c r="B5408" s="7" t="s">
        <v>8161</v>
      </c>
      <c r="C5408" s="12">
        <v>712</v>
      </c>
      <c r="D5408" s="7" t="s">
        <v>7515</v>
      </c>
      <c r="E5408" s="13" t="s">
        <v>6555</v>
      </c>
      <c r="F5408" t="str">
        <f t="shared" si="420"/>
        <v>Washington</v>
      </c>
      <c r="G5408" t="str">
        <f t="shared" si="421"/>
        <v>Washington712Arlington</v>
      </c>
      <c r="H5408" t="s">
        <v>36265</v>
      </c>
      <c r="I5408" t="s">
        <v>27686</v>
      </c>
      <c r="J5408" t="str">
        <f t="shared" si="422"/>
        <v>E:\PropInv\MF</v>
      </c>
      <c r="K5408" s="103" t="str">
        <f>HYPERLINK("E:\PropInv\MF\Arlington\Washington Cir_712_Woodstock_Arlington_15687","Washington Cir_712_Woodstock_Arlington_15687" )</f>
        <v>Washington Cir_712_Woodstock_Arlington_15687</v>
      </c>
      <c r="L5408" s="104" t="s">
        <v>22253</v>
      </c>
      <c r="M5408" s="103" t="str">
        <f t="shared" si="423"/>
        <v>http://oconnordata.com/mlink/modules/profile/index.cfm?action=profile&amp;prop_id=15687</v>
      </c>
      <c r="N5408" s="1">
        <f t="shared" si="424"/>
        <v>15687</v>
      </c>
    </row>
    <row r="5409" spans="1:14" x14ac:dyDescent="0.3">
      <c r="A5409" s="97">
        <v>15688</v>
      </c>
      <c r="B5409" s="7" t="s">
        <v>7947</v>
      </c>
      <c r="C5409" s="12">
        <v>1605</v>
      </c>
      <c r="D5409" s="7" t="s">
        <v>8162</v>
      </c>
      <c r="E5409" s="13" t="s">
        <v>6555</v>
      </c>
      <c r="F5409" t="str">
        <f t="shared" si="420"/>
        <v>Cooper</v>
      </c>
      <c r="G5409" t="str">
        <f t="shared" si="421"/>
        <v>Cooper1605Arlington</v>
      </c>
      <c r="H5409" t="s">
        <v>36266</v>
      </c>
      <c r="I5409" t="s">
        <v>27687</v>
      </c>
      <c r="J5409" t="str">
        <f t="shared" si="422"/>
        <v>E:\PropInv\MF</v>
      </c>
      <c r="K5409" s="103" t="str">
        <f>HYPERLINK("E:\PropInv\MF\Arlington\Cooper S_1605_Woodwind_Arlington_15688","Cooper S_1605_Woodwind_Arlington_15688" )</f>
        <v>Cooper S_1605_Woodwind_Arlington_15688</v>
      </c>
      <c r="L5409" s="104" t="s">
        <v>22253</v>
      </c>
      <c r="M5409" s="103" t="str">
        <f t="shared" si="423"/>
        <v>http://oconnordata.com/mlink/modules/profile/index.cfm?action=profile&amp;prop_id=15688</v>
      </c>
      <c r="N5409" s="1">
        <f t="shared" si="424"/>
        <v>15688</v>
      </c>
    </row>
    <row r="5410" spans="1:14" x14ac:dyDescent="0.3">
      <c r="A5410" s="97">
        <v>15689</v>
      </c>
      <c r="B5410" s="7" t="s">
        <v>8163</v>
      </c>
      <c r="C5410" s="12">
        <v>3001</v>
      </c>
      <c r="D5410" s="7" t="s">
        <v>8164</v>
      </c>
      <c r="E5410" s="13" t="s">
        <v>5076</v>
      </c>
      <c r="F5410" t="str">
        <f t="shared" si="420"/>
        <v>Carrier</v>
      </c>
      <c r="G5410" t="str">
        <f t="shared" si="421"/>
        <v>Carrier3001Grand Prairie</v>
      </c>
      <c r="H5410" t="s">
        <v>36267</v>
      </c>
      <c r="I5410" t="s">
        <v>27688</v>
      </c>
      <c r="J5410" t="str">
        <f t="shared" si="422"/>
        <v>E:\PropInv\MF</v>
      </c>
      <c r="K5410" s="103" t="str">
        <f>HYPERLINK("E:\PropInv\MF\Grand Prairie\Carrier Pkwy S_3001_Wymberly Crossing_Grand Prairie_15689","Carrier Pkwy S_3001_Wymberly Crossing_Grand Prairie_15689" )</f>
        <v>Carrier Pkwy S_3001_Wymberly Crossing_Grand Prairie_15689</v>
      </c>
      <c r="L5410" s="104" t="s">
        <v>22253</v>
      </c>
      <c r="M5410" s="103" t="str">
        <f t="shared" si="423"/>
        <v>http://oconnordata.com/mlink/modules/profile/index.cfm?action=profile&amp;prop_id=15689</v>
      </c>
      <c r="N5410" s="1">
        <f t="shared" si="424"/>
        <v>15689</v>
      </c>
    </row>
    <row r="5411" spans="1:14" x14ac:dyDescent="0.3">
      <c r="A5411" s="1">
        <v>15690</v>
      </c>
      <c r="B5411" s="10" t="s">
        <v>8165</v>
      </c>
      <c r="C5411" s="9">
        <v>711</v>
      </c>
      <c r="D5411" s="10" t="s">
        <v>8166</v>
      </c>
      <c r="E5411" s="11" t="s">
        <v>6555</v>
      </c>
      <c r="F5411" t="str">
        <f t="shared" si="420"/>
        <v>Grand</v>
      </c>
      <c r="G5411" t="str">
        <f t="shared" si="421"/>
        <v>Grand711Arlington</v>
      </c>
      <c r="H5411" t="s">
        <v>36268</v>
      </c>
      <c r="I5411" t="s">
        <v>27689</v>
      </c>
      <c r="J5411" t="str">
        <f t="shared" si="422"/>
        <v>E:\PropInv\MF</v>
      </c>
      <c r="K5411" s="103" t="str">
        <f>HYPERLINK("E:\PropInv\MF\Arlington\Grand Ct_711_Maverick_Arlington_15690","Grand Ct_711_Maverick_Arlington_15690" )</f>
        <v>Grand Ct_711_Maverick_Arlington_15690</v>
      </c>
      <c r="L5411" s="104" t="s">
        <v>22253</v>
      </c>
      <c r="M5411" s="103" t="str">
        <f t="shared" si="423"/>
        <v>http://oconnordata.com/mlink/modules/profile/index.cfm?action=profile&amp;prop_id=15690</v>
      </c>
      <c r="N5411" s="1">
        <f t="shared" si="424"/>
        <v>15690</v>
      </c>
    </row>
    <row r="5412" spans="1:14" x14ac:dyDescent="0.3">
      <c r="A5412" s="97">
        <v>15691</v>
      </c>
      <c r="B5412" s="7" t="s">
        <v>8167</v>
      </c>
      <c r="C5412" s="12">
        <v>702</v>
      </c>
      <c r="D5412" s="7" t="s">
        <v>8168</v>
      </c>
      <c r="E5412" s="13" t="s">
        <v>5076</v>
      </c>
      <c r="F5412" t="str">
        <f t="shared" si="420"/>
        <v>Warrior</v>
      </c>
      <c r="G5412" t="str">
        <f t="shared" si="421"/>
        <v>Warrior702Grand Prairie</v>
      </c>
      <c r="H5412" t="s">
        <v>36269</v>
      </c>
      <c r="I5412" t="s">
        <v>27690</v>
      </c>
      <c r="J5412" t="str">
        <f t="shared" si="422"/>
        <v>E:\PropInv\MF</v>
      </c>
      <c r="K5412" s="103" t="str">
        <f>HYPERLINK("E:\PropInv\MF\Grand Prairie\Warrior Trl W_702_Wymberly Pointe_Grand Prairie_15691","Warrior Trl W_702_Wymberly Pointe_Grand Prairie_15691" )</f>
        <v>Warrior Trl W_702_Wymberly Pointe_Grand Prairie_15691</v>
      </c>
      <c r="L5412" s="104" t="s">
        <v>22253</v>
      </c>
      <c r="M5412" s="103" t="str">
        <f t="shared" si="423"/>
        <v>http://oconnordata.com/mlink/modules/profile/index.cfm?action=profile&amp;prop_id=15691</v>
      </c>
      <c r="N5412" s="1">
        <f t="shared" si="424"/>
        <v>15691</v>
      </c>
    </row>
    <row r="5413" spans="1:14" x14ac:dyDescent="0.3">
      <c r="A5413" s="1">
        <v>15693</v>
      </c>
      <c r="B5413" s="7" t="s">
        <v>8169</v>
      </c>
      <c r="C5413" s="12">
        <v>2821</v>
      </c>
      <c r="D5413" s="7" t="s">
        <v>81</v>
      </c>
      <c r="E5413" s="13" t="s">
        <v>5009</v>
      </c>
      <c r="F5413" t="str">
        <f t="shared" si="420"/>
        <v>Townbluff</v>
      </c>
      <c r="G5413" t="str">
        <f t="shared" si="421"/>
        <v>Townbluff2821Plano</v>
      </c>
      <c r="H5413" t="s">
        <v>36270</v>
      </c>
      <c r="I5413" t="s">
        <v>27691</v>
      </c>
      <c r="J5413" t="str">
        <f t="shared" si="422"/>
        <v>E:\PropInv\MF</v>
      </c>
      <c r="K5413" s="103" t="str">
        <f>HYPERLINK("E:\PropInv\MF\Plano\Townbluff_2821_Laurel Ridge_Plano_15693","Townbluff_2821_Laurel Ridge_Plano_15693" )</f>
        <v>Townbluff_2821_Laurel Ridge_Plano_15693</v>
      </c>
      <c r="L5413" s="104" t="s">
        <v>22253</v>
      </c>
      <c r="M5413" s="103" t="str">
        <f t="shared" si="423"/>
        <v>http://oconnordata.com/mlink/modules/profile/index.cfm?action=profile&amp;prop_id=15693</v>
      </c>
      <c r="N5413" s="1">
        <f t="shared" si="424"/>
        <v>15693</v>
      </c>
    </row>
    <row r="5414" spans="1:14" x14ac:dyDescent="0.3">
      <c r="A5414" s="1">
        <v>15694</v>
      </c>
      <c r="B5414" s="7" t="s">
        <v>7947</v>
      </c>
      <c r="C5414" s="12">
        <v>5620</v>
      </c>
      <c r="D5414" s="7" t="s">
        <v>8170</v>
      </c>
      <c r="E5414" s="13" t="s">
        <v>6555</v>
      </c>
      <c r="F5414" t="str">
        <f t="shared" si="420"/>
        <v>Cooper</v>
      </c>
      <c r="G5414" t="str">
        <f t="shared" si="421"/>
        <v>Cooper5620Arlington</v>
      </c>
      <c r="H5414" t="s">
        <v>36271</v>
      </c>
      <c r="I5414" t="s">
        <v>27692</v>
      </c>
      <c r="J5414" t="str">
        <f t="shared" si="422"/>
        <v>E:\PropInv\MF</v>
      </c>
      <c r="K5414" s="103" t="str">
        <f>HYPERLINK("E:\PropInv\MF\Arlington\Cooper S_5620_Twenty Oaks_Arlington_15694","Cooper S_5620_Twenty Oaks_Arlington_15694" )</f>
        <v>Cooper S_5620_Twenty Oaks_Arlington_15694</v>
      </c>
      <c r="L5414" s="104" t="s">
        <v>22253</v>
      </c>
      <c r="M5414" s="103" t="str">
        <f t="shared" si="423"/>
        <v>http://oconnordata.com/mlink/modules/profile/index.cfm?action=profile&amp;prop_id=15694</v>
      </c>
      <c r="N5414" s="1">
        <f t="shared" si="424"/>
        <v>15694</v>
      </c>
    </row>
    <row r="5415" spans="1:14" x14ac:dyDescent="0.3">
      <c r="A5415" s="1">
        <v>15695</v>
      </c>
      <c r="B5415" s="7" t="s">
        <v>8171</v>
      </c>
      <c r="C5415" s="12">
        <v>1000</v>
      </c>
      <c r="D5415" s="7" t="s">
        <v>8172</v>
      </c>
      <c r="E5415" s="13" t="s">
        <v>6555</v>
      </c>
      <c r="F5415" t="str">
        <f t="shared" si="420"/>
        <v>Mill</v>
      </c>
      <c r="G5415" t="str">
        <f t="shared" si="421"/>
        <v>Mill1000Arlington</v>
      </c>
      <c r="H5415" t="s">
        <v>36272</v>
      </c>
      <c r="I5415" t="s">
        <v>27693</v>
      </c>
      <c r="J5415" t="str">
        <f t="shared" si="422"/>
        <v>E:\PropInv\MF</v>
      </c>
      <c r="K5415" s="103" t="str">
        <f>HYPERLINK("E:\PropInv\MF\Arlington\Mill Crossing Place_1000_Landmark at Ridgewood Preserve_Arlington_15695","Mill Crossing Place_1000_Landmark at Ridgewood Preserve_Arlington_15695" )</f>
        <v>Mill Crossing Place_1000_Landmark at Ridgewood Preserve_Arlington_15695</v>
      </c>
      <c r="L5415" s="104" t="s">
        <v>22253</v>
      </c>
      <c r="M5415" s="103" t="str">
        <f t="shared" si="423"/>
        <v>http://oconnordata.com/mlink/modules/profile/index.cfm?action=profile&amp;prop_id=15695</v>
      </c>
      <c r="N5415" s="1">
        <f t="shared" si="424"/>
        <v>15695</v>
      </c>
    </row>
    <row r="5416" spans="1:14" x14ac:dyDescent="0.3">
      <c r="A5416" s="1">
        <v>15696</v>
      </c>
      <c r="B5416" s="7" t="s">
        <v>5316</v>
      </c>
      <c r="C5416" s="12">
        <v>2825</v>
      </c>
      <c r="D5416" s="7" t="s">
        <v>8173</v>
      </c>
      <c r="E5416" s="13" t="s">
        <v>5076</v>
      </c>
      <c r="F5416" t="str">
        <f t="shared" si="420"/>
        <v>360</v>
      </c>
      <c r="G5416" t="str">
        <f t="shared" si="421"/>
        <v>3602825Grand Prairie</v>
      </c>
      <c r="H5416" t="s">
        <v>36273</v>
      </c>
      <c r="I5416" t="s">
        <v>27694</v>
      </c>
      <c r="J5416" t="str">
        <f t="shared" si="422"/>
        <v>E:\PropInv\MF</v>
      </c>
      <c r="K5416" s="103" t="str">
        <f>HYPERLINK("E:\PropInv\MF\Grand Prairie\360 Hwy N_2825_St. Laurent_Grand Prairie_15696","360 Hwy N_2825_St. Laurent_Grand Prairie_15696" )</f>
        <v>360 Hwy N_2825_St. Laurent_Grand Prairie_15696</v>
      </c>
      <c r="L5416" s="104" t="s">
        <v>22253</v>
      </c>
      <c r="M5416" s="103" t="str">
        <f t="shared" si="423"/>
        <v>http://oconnordata.com/mlink/modules/profile/index.cfm?action=profile&amp;prop_id=15696</v>
      </c>
      <c r="N5416" s="1">
        <f t="shared" si="424"/>
        <v>15696</v>
      </c>
    </row>
    <row r="5417" spans="1:14" x14ac:dyDescent="0.3">
      <c r="A5417" s="1">
        <v>15697</v>
      </c>
      <c r="B5417" s="7" t="s">
        <v>8174</v>
      </c>
      <c r="C5417" s="12">
        <v>917</v>
      </c>
      <c r="D5417" s="7" t="s">
        <v>8175</v>
      </c>
      <c r="E5417" s="13" t="s">
        <v>5781</v>
      </c>
      <c r="F5417" t="str">
        <f t="shared" si="420"/>
        <v>Del</v>
      </c>
      <c r="G5417" t="str">
        <f t="shared" si="421"/>
        <v>Del917Euless</v>
      </c>
      <c r="H5417" t="s">
        <v>36274</v>
      </c>
      <c r="I5417" t="s">
        <v>27695</v>
      </c>
      <c r="J5417" t="str">
        <f t="shared" si="422"/>
        <v>E:\PropInv\MF</v>
      </c>
      <c r="K5417" s="103" t="str">
        <f>HYPERLINK("E:\PropInv\MF\Euless\Del Paso St_917_Mission Pointe Club_Euless_15697","Del Paso St_917_Mission Pointe Club_Euless_15697" )</f>
        <v>Del Paso St_917_Mission Pointe Club_Euless_15697</v>
      </c>
      <c r="L5417" s="104" t="s">
        <v>22253</v>
      </c>
      <c r="M5417" s="103" t="str">
        <f t="shared" si="423"/>
        <v>http://oconnordata.com/mlink/modules/profile/index.cfm?action=profile&amp;prop_id=15697</v>
      </c>
      <c r="N5417" s="1">
        <f t="shared" si="424"/>
        <v>15697</v>
      </c>
    </row>
    <row r="5418" spans="1:14" x14ac:dyDescent="0.3">
      <c r="A5418" s="1">
        <v>15698</v>
      </c>
      <c r="B5418" s="7" t="s">
        <v>8176</v>
      </c>
      <c r="C5418" s="12">
        <v>2506</v>
      </c>
      <c r="D5418" s="7" t="s">
        <v>8177</v>
      </c>
      <c r="E5418" s="13" t="s">
        <v>6555</v>
      </c>
      <c r="F5418" t="str">
        <f t="shared" si="420"/>
        <v>Forty</v>
      </c>
      <c r="G5418" t="str">
        <f t="shared" si="421"/>
        <v>Forty2506Arlington</v>
      </c>
      <c r="H5418" t="s">
        <v>36275</v>
      </c>
      <c r="I5418" t="s">
        <v>27696</v>
      </c>
      <c r="J5418" t="str">
        <f t="shared" si="422"/>
        <v>E:\PropInv\MF</v>
      </c>
      <c r="K5418" s="103" t="str">
        <f>HYPERLINK("E:\PropInv\MF\Arlington\Forty Cir N_2506_Misty Hollow_Arlington_15698","Forty Cir N_2506_Misty Hollow_Arlington_15698" )</f>
        <v>Forty Cir N_2506_Misty Hollow_Arlington_15698</v>
      </c>
      <c r="L5418" s="104" t="s">
        <v>22253</v>
      </c>
      <c r="M5418" s="103" t="str">
        <f t="shared" si="423"/>
        <v>http://oconnordata.com/mlink/modules/profile/index.cfm?action=profile&amp;prop_id=15698</v>
      </c>
      <c r="N5418" s="1">
        <f t="shared" si="424"/>
        <v>15698</v>
      </c>
    </row>
    <row r="5419" spans="1:14" x14ac:dyDescent="0.3">
      <c r="A5419" s="1">
        <v>15699</v>
      </c>
      <c r="B5419" s="7" t="s">
        <v>8178</v>
      </c>
      <c r="C5419" s="12">
        <v>605</v>
      </c>
      <c r="D5419" s="7" t="s">
        <v>888</v>
      </c>
      <c r="E5419" s="13" t="s">
        <v>5781</v>
      </c>
      <c r="F5419" t="str">
        <f t="shared" si="420"/>
        <v>Del</v>
      </c>
      <c r="G5419" t="str">
        <f t="shared" si="421"/>
        <v>Del605Euless</v>
      </c>
      <c r="H5419" t="s">
        <v>36276</v>
      </c>
      <c r="I5419" t="s">
        <v>27697</v>
      </c>
      <c r="J5419" t="str">
        <f t="shared" si="422"/>
        <v>E:\PropInv\MF</v>
      </c>
      <c r="K5419" s="103" t="str">
        <f>HYPERLINK("E:\PropInv\MF\Euless\Del Paso_605_Bear Creek_Euless_15699","Del Paso_605_Bear Creek_Euless_15699" )</f>
        <v>Del Paso_605_Bear Creek_Euless_15699</v>
      </c>
      <c r="L5419" s="104" t="s">
        <v>22253</v>
      </c>
      <c r="M5419" s="103" t="str">
        <f t="shared" si="423"/>
        <v>http://oconnordata.com/mlink/modules/profile/index.cfm?action=profile&amp;prop_id=15699</v>
      </c>
      <c r="N5419" s="1">
        <f t="shared" si="424"/>
        <v>15699</v>
      </c>
    </row>
    <row r="5420" spans="1:14" x14ac:dyDescent="0.3">
      <c r="A5420" s="1">
        <v>15700</v>
      </c>
      <c r="B5420" s="7" t="s">
        <v>7836</v>
      </c>
      <c r="C5420" s="12">
        <v>805</v>
      </c>
      <c r="D5420" s="7" t="s">
        <v>2074</v>
      </c>
      <c r="E5420" s="13" t="s">
        <v>6555</v>
      </c>
      <c r="F5420" t="str">
        <f t="shared" si="420"/>
        <v>Center</v>
      </c>
      <c r="G5420" t="str">
        <f t="shared" si="421"/>
        <v>Center805Arlington</v>
      </c>
      <c r="H5420" t="s">
        <v>36277</v>
      </c>
      <c r="I5420" t="s">
        <v>27698</v>
      </c>
      <c r="J5420" t="str">
        <f t="shared" si="422"/>
        <v>E:\PropInv\MF</v>
      </c>
      <c r="K5420" s="103" t="str">
        <f>HYPERLINK("E:\PropInv\MF\Arlington\Center S_805_Meadow Creek_Arlington_15700","Center S_805_Meadow Creek_Arlington_15700" )</f>
        <v>Center S_805_Meadow Creek_Arlington_15700</v>
      </c>
      <c r="L5420" s="104" t="s">
        <v>22253</v>
      </c>
      <c r="M5420" s="103" t="str">
        <f t="shared" si="423"/>
        <v>http://oconnordata.com/mlink/modules/profile/index.cfm?action=profile&amp;prop_id=15700</v>
      </c>
      <c r="N5420" s="1">
        <f t="shared" si="424"/>
        <v>15700</v>
      </c>
    </row>
    <row r="5421" spans="1:14" x14ac:dyDescent="0.3">
      <c r="A5421" s="1">
        <v>15701</v>
      </c>
      <c r="B5421" s="7" t="s">
        <v>6539</v>
      </c>
      <c r="C5421" s="12">
        <v>1598</v>
      </c>
      <c r="D5421" s="7" t="s">
        <v>8179</v>
      </c>
      <c r="E5421" s="13" t="s">
        <v>6541</v>
      </c>
      <c r="F5421" t="str">
        <f t="shared" si="420"/>
        <v>Weyland</v>
      </c>
      <c r="G5421" t="str">
        <f t="shared" si="421"/>
        <v>Weyland1598North Richland Hills</v>
      </c>
      <c r="H5421" t="s">
        <v>36278</v>
      </c>
      <c r="I5421" t="s">
        <v>27699</v>
      </c>
      <c r="J5421" t="str">
        <f t="shared" si="422"/>
        <v>E:\PropInv\MF</v>
      </c>
      <c r="K5421" s="103" t="str">
        <f>HYPERLINK("E:\PropInv\MF\North Richland Hills\Weyland Dr_1598_Two Thousand Oaks_North Richland Hills_15701","Weyland Dr_1598_Two Thousand Oaks_North Richland Hills_15701" )</f>
        <v>Weyland Dr_1598_Two Thousand Oaks_North Richland Hills_15701</v>
      </c>
      <c r="L5421" s="104" t="s">
        <v>22253</v>
      </c>
      <c r="M5421" s="103" t="str">
        <f t="shared" si="423"/>
        <v>http://oconnordata.com/mlink/modules/profile/index.cfm?action=profile&amp;prop_id=15701</v>
      </c>
      <c r="N5421" s="1">
        <f t="shared" si="424"/>
        <v>15701</v>
      </c>
    </row>
    <row r="5422" spans="1:14" x14ac:dyDescent="0.3">
      <c r="A5422" s="1">
        <v>15702</v>
      </c>
      <c r="B5422" s="7" t="s">
        <v>2892</v>
      </c>
      <c r="C5422" s="12">
        <v>7001</v>
      </c>
      <c r="D5422" s="7" t="s">
        <v>8180</v>
      </c>
      <c r="E5422" s="13" t="s">
        <v>6555</v>
      </c>
      <c r="F5422" t="str">
        <f t="shared" si="420"/>
        <v>Silber</v>
      </c>
      <c r="G5422" t="str">
        <f t="shared" si="421"/>
        <v>Silber7001Arlington</v>
      </c>
      <c r="H5422" t="s">
        <v>36279</v>
      </c>
      <c r="I5422" t="s">
        <v>27700</v>
      </c>
      <c r="J5422" t="str">
        <f t="shared" si="422"/>
        <v>E:\PropInv\MF</v>
      </c>
      <c r="K5422" s="103" t="str">
        <f>HYPERLINK("E:\PropInv\MF\Arlington\Silber_7001_Sterling Crest_Arlington_15702","Silber_7001_Sterling Crest_Arlington_15702" )</f>
        <v>Silber_7001_Sterling Crest_Arlington_15702</v>
      </c>
      <c r="L5422" s="104" t="s">
        <v>22253</v>
      </c>
      <c r="M5422" s="103" t="str">
        <f t="shared" si="423"/>
        <v>http://oconnordata.com/mlink/modules/profile/index.cfm?action=profile&amp;prop_id=15702</v>
      </c>
      <c r="N5422" s="1">
        <f t="shared" si="424"/>
        <v>15702</v>
      </c>
    </row>
    <row r="5423" spans="1:14" x14ac:dyDescent="0.3">
      <c r="A5423" s="1">
        <v>15703</v>
      </c>
      <c r="B5423" s="7" t="s">
        <v>8181</v>
      </c>
      <c r="C5423" s="12">
        <v>1400</v>
      </c>
      <c r="D5423" s="7" t="s">
        <v>8182</v>
      </c>
      <c r="E5423" s="13" t="s">
        <v>5781</v>
      </c>
      <c r="F5423" t="str">
        <f t="shared" si="420"/>
        <v>Monterrey</v>
      </c>
      <c r="G5423" t="str">
        <f t="shared" si="421"/>
        <v>Monterrey1400Euless</v>
      </c>
      <c r="H5423" t="s">
        <v>36280</v>
      </c>
      <c r="I5423" t="s">
        <v>27701</v>
      </c>
      <c r="J5423" t="str">
        <f t="shared" si="422"/>
        <v>E:\PropInv\MF</v>
      </c>
      <c r="K5423" s="103" t="str">
        <f>HYPERLINK("E:\PropInv\MF\Euless\Monterrey Blvd_1400_Westdale Hills Muirfield Village_Euless_15703","Monterrey Blvd_1400_Westdale Hills Muirfield Village_Euless_15703" )</f>
        <v>Monterrey Blvd_1400_Westdale Hills Muirfield Village_Euless_15703</v>
      </c>
      <c r="L5423" s="104" t="s">
        <v>22253</v>
      </c>
      <c r="M5423" s="103" t="str">
        <f t="shared" si="423"/>
        <v>http://oconnordata.com/mlink/modules/profile/index.cfm?action=profile&amp;prop_id=15703</v>
      </c>
      <c r="N5423" s="1">
        <f t="shared" si="424"/>
        <v>15703</v>
      </c>
    </row>
    <row r="5424" spans="1:14" x14ac:dyDescent="0.3">
      <c r="A5424" s="1">
        <v>15704</v>
      </c>
      <c r="B5424" s="7" t="s">
        <v>8183</v>
      </c>
      <c r="C5424" s="12">
        <v>125</v>
      </c>
      <c r="D5424" s="7" t="s">
        <v>6403</v>
      </c>
      <c r="E5424" s="13" t="s">
        <v>6612</v>
      </c>
      <c r="F5424" t="str">
        <f t="shared" si="420"/>
        <v>Wanda</v>
      </c>
      <c r="G5424" t="str">
        <f t="shared" si="421"/>
        <v>Wanda125Hurst</v>
      </c>
      <c r="H5424" t="s">
        <v>36281</v>
      </c>
      <c r="I5424" t="s">
        <v>27702</v>
      </c>
      <c r="J5424" t="str">
        <f t="shared" si="422"/>
        <v>E:\PropInv\MF</v>
      </c>
      <c r="K5424" s="103" t="str">
        <f>HYPERLINK("E:\PropInv\MF\Hurst\Wanda Way_125_Valley Creek_Hurst_15704","Wanda Way_125_Valley Creek_Hurst_15704" )</f>
        <v>Wanda Way_125_Valley Creek_Hurst_15704</v>
      </c>
      <c r="L5424" s="104" t="s">
        <v>22253</v>
      </c>
      <c r="M5424" s="103" t="str">
        <f t="shared" si="423"/>
        <v>http://oconnordata.com/mlink/modules/profile/index.cfm?action=profile&amp;prop_id=15704</v>
      </c>
      <c r="N5424" s="1">
        <f t="shared" si="424"/>
        <v>15704</v>
      </c>
    </row>
    <row r="5425" spans="1:14" x14ac:dyDescent="0.3">
      <c r="A5425" s="1">
        <v>15705</v>
      </c>
      <c r="B5425" s="7" t="s">
        <v>8163</v>
      </c>
      <c r="C5425" s="12">
        <v>2421</v>
      </c>
      <c r="D5425" s="7" t="s">
        <v>4978</v>
      </c>
      <c r="E5425" s="13" t="s">
        <v>5076</v>
      </c>
      <c r="F5425" t="str">
        <f t="shared" si="420"/>
        <v>Carrier</v>
      </c>
      <c r="G5425" t="str">
        <f t="shared" si="421"/>
        <v>Carrier2421Grand Prairie</v>
      </c>
      <c r="H5425" t="s">
        <v>36282</v>
      </c>
      <c r="I5425" t="s">
        <v>27703</v>
      </c>
      <c r="J5425" t="str">
        <f t="shared" si="422"/>
        <v>E:\PropInv\MF</v>
      </c>
      <c r="K5425" s="103" t="str">
        <f>HYPERLINK("E:\PropInv\MF\Grand Prairie\Carrier Pkwy S_2421_Williamsburg_Grand Prairie_15705","Carrier Pkwy S_2421_Williamsburg_Grand Prairie_15705" )</f>
        <v>Carrier Pkwy S_2421_Williamsburg_Grand Prairie_15705</v>
      </c>
      <c r="L5425" s="104" t="s">
        <v>22253</v>
      </c>
      <c r="M5425" s="103" t="str">
        <f t="shared" si="423"/>
        <v>http://oconnordata.com/mlink/modules/profile/index.cfm?action=profile&amp;prop_id=15705</v>
      </c>
      <c r="N5425" s="1">
        <f t="shared" si="424"/>
        <v>15705</v>
      </c>
    </row>
    <row r="5426" spans="1:14" x14ac:dyDescent="0.3">
      <c r="A5426" s="1">
        <v>15707</v>
      </c>
      <c r="B5426" s="7" t="s">
        <v>8184</v>
      </c>
      <c r="C5426" s="12">
        <v>2513</v>
      </c>
      <c r="D5426" s="7" t="s">
        <v>8185</v>
      </c>
      <c r="E5426" s="13" t="s">
        <v>6555</v>
      </c>
      <c r="F5426" t="str">
        <f t="shared" si="420"/>
        <v>Summer</v>
      </c>
      <c r="G5426" t="str">
        <f t="shared" si="421"/>
        <v>Summer2513Arlington</v>
      </c>
      <c r="H5426" t="s">
        <v>36283</v>
      </c>
      <c r="I5426" t="s">
        <v>27704</v>
      </c>
      <c r="J5426" t="str">
        <f t="shared" si="422"/>
        <v>E:\PropInv\MF</v>
      </c>
      <c r="K5426" s="103" t="str">
        <f>HYPERLINK("E:\PropInv\MF\Arlington\Summer Tree Ln_2513_Valleytree_Arlington_15707","Summer Tree Ln_2513_Valleytree_Arlington_15707" )</f>
        <v>Summer Tree Ln_2513_Valleytree_Arlington_15707</v>
      </c>
      <c r="L5426" s="104" t="s">
        <v>22253</v>
      </c>
      <c r="M5426" s="103" t="str">
        <f t="shared" si="423"/>
        <v>http://oconnordata.com/mlink/modules/profile/index.cfm?action=profile&amp;prop_id=15707</v>
      </c>
      <c r="N5426" s="1">
        <f t="shared" si="424"/>
        <v>15707</v>
      </c>
    </row>
    <row r="5427" spans="1:14" x14ac:dyDescent="0.3">
      <c r="A5427" s="1">
        <v>15709</v>
      </c>
      <c r="B5427" s="7" t="s">
        <v>281</v>
      </c>
      <c r="C5427" s="12">
        <v>3501</v>
      </c>
      <c r="D5427" s="7" t="s">
        <v>8186</v>
      </c>
      <c r="E5427" s="13" t="s">
        <v>6581</v>
      </c>
      <c r="F5427" t="str">
        <f t="shared" si="420"/>
        <v>Hills</v>
      </c>
      <c r="G5427" t="str">
        <f t="shared" si="421"/>
        <v>Hills3501Haltom City</v>
      </c>
      <c r="H5427" t="s">
        <v>36284</v>
      </c>
      <c r="I5427" t="s">
        <v>27705</v>
      </c>
      <c r="J5427" t="str">
        <f t="shared" si="422"/>
        <v>E:\PropInv\MF</v>
      </c>
      <c r="K5427" s="103" t="str">
        <f>HYPERLINK("E:\PropInv\MF\Haltom City\Hills Dr N_3501_North Hills Crest_Haltom City_15709","Hills Dr N_3501_North Hills Crest_Haltom City_15709" )</f>
        <v>Hills Dr N_3501_North Hills Crest_Haltom City_15709</v>
      </c>
      <c r="L5427" s="104" t="s">
        <v>22253</v>
      </c>
      <c r="M5427" s="103" t="str">
        <f t="shared" si="423"/>
        <v>http://oconnordata.com/mlink/modules/profile/index.cfm?action=profile&amp;prop_id=15709</v>
      </c>
      <c r="N5427" s="1">
        <f t="shared" si="424"/>
        <v>15709</v>
      </c>
    </row>
    <row r="5428" spans="1:14" x14ac:dyDescent="0.3">
      <c r="A5428" s="1">
        <v>15710</v>
      </c>
      <c r="B5428" s="7" t="s">
        <v>8187</v>
      </c>
      <c r="C5428" s="12">
        <v>681</v>
      </c>
      <c r="D5428" s="7" t="s">
        <v>8188</v>
      </c>
      <c r="E5428" s="13" t="s">
        <v>7729</v>
      </c>
      <c r="F5428" t="str">
        <f t="shared" si="420"/>
        <v>Saginaw</v>
      </c>
      <c r="G5428" t="str">
        <f t="shared" si="421"/>
        <v>Saginaw681Saginaw</v>
      </c>
      <c r="H5428" t="s">
        <v>36285</v>
      </c>
      <c r="I5428" t="s">
        <v>27706</v>
      </c>
      <c r="J5428" t="str">
        <f t="shared" si="422"/>
        <v>E:\PropInv\MF</v>
      </c>
      <c r="K5428" s="103" t="str">
        <f>HYPERLINK("E:\PropInv\MF\Saginaw\Saginaw Blvd N_681_Williamsburg Village_Saginaw_15710","Saginaw Blvd N_681_Williamsburg Village_Saginaw_15710" )</f>
        <v>Saginaw Blvd N_681_Williamsburg Village_Saginaw_15710</v>
      </c>
      <c r="L5428" s="104" t="s">
        <v>22253</v>
      </c>
      <c r="M5428" s="103" t="str">
        <f t="shared" si="423"/>
        <v>http://oconnordata.com/mlink/modules/profile/index.cfm?action=profile&amp;prop_id=15710</v>
      </c>
      <c r="N5428" s="1">
        <f t="shared" si="424"/>
        <v>15710</v>
      </c>
    </row>
    <row r="5429" spans="1:14" x14ac:dyDescent="0.3">
      <c r="A5429" s="1">
        <v>15711</v>
      </c>
      <c r="B5429" s="7" t="s">
        <v>8189</v>
      </c>
      <c r="C5429" s="12">
        <v>3015</v>
      </c>
      <c r="D5429" s="7" t="s">
        <v>8190</v>
      </c>
      <c r="E5429" s="13" t="s">
        <v>5781</v>
      </c>
      <c r="F5429" t="str">
        <f t="shared" si="420"/>
        <v>Pipeline</v>
      </c>
      <c r="G5429" t="str">
        <f t="shared" si="421"/>
        <v>Pipeline3015Euless</v>
      </c>
      <c r="H5429" t="s">
        <v>36286</v>
      </c>
      <c r="I5429" t="s">
        <v>27707</v>
      </c>
      <c r="J5429" t="str">
        <f t="shared" si="422"/>
        <v>E:\PropInv\MF</v>
      </c>
      <c r="K5429" s="103" t="str">
        <f>HYPERLINK("E:\PropInv\MF\Euless\Pipeline_3015_Vickery Square_Euless_15711","Pipeline_3015_Vickery Square_Euless_15711" )</f>
        <v>Pipeline_3015_Vickery Square_Euless_15711</v>
      </c>
      <c r="L5429" s="104" t="s">
        <v>22253</v>
      </c>
      <c r="M5429" s="103" t="str">
        <f t="shared" si="423"/>
        <v>http://oconnordata.com/mlink/modules/profile/index.cfm?action=profile&amp;prop_id=15711</v>
      </c>
      <c r="N5429" s="1">
        <f t="shared" si="424"/>
        <v>15711</v>
      </c>
    </row>
    <row r="5430" spans="1:14" x14ac:dyDescent="0.3">
      <c r="A5430" s="1">
        <v>15712</v>
      </c>
      <c r="B5430" s="7" t="s">
        <v>7942</v>
      </c>
      <c r="C5430" s="12">
        <v>3817</v>
      </c>
      <c r="D5430" s="7" t="s">
        <v>8191</v>
      </c>
      <c r="E5430" s="13" t="s">
        <v>6799</v>
      </c>
      <c r="F5430" t="str">
        <f t="shared" si="420"/>
        <v>Booth</v>
      </c>
      <c r="G5430" t="str">
        <f t="shared" si="421"/>
        <v>Booth3817Richland Hills</v>
      </c>
      <c r="H5430" t="s">
        <v>36287</v>
      </c>
      <c r="I5430" t="s">
        <v>27708</v>
      </c>
      <c r="J5430" t="str">
        <f t="shared" si="422"/>
        <v>E:\PropInv\MF</v>
      </c>
      <c r="K5430" s="103" t="str">
        <f>HYPERLINK("E:\PropInv\MF\Richland Hills\Booth Calloway Rd_3817_North Hills Place_Richland Hills_15712","Booth Calloway Rd_3817_North Hills Place_Richland Hills_15712" )</f>
        <v>Booth Calloway Rd_3817_North Hills Place_Richland Hills_15712</v>
      </c>
      <c r="L5430" s="104" t="s">
        <v>22253</v>
      </c>
      <c r="M5430" s="103" t="str">
        <f t="shared" si="423"/>
        <v>http://oconnordata.com/mlink/modules/profile/index.cfm?action=profile&amp;prop_id=15712</v>
      </c>
      <c r="N5430" s="1">
        <f t="shared" si="424"/>
        <v>15712</v>
      </c>
    </row>
    <row r="5431" spans="1:14" x14ac:dyDescent="0.3">
      <c r="A5431" s="1">
        <v>15713</v>
      </c>
      <c r="B5431" s="7" t="s">
        <v>8192</v>
      </c>
      <c r="C5431" s="12">
        <v>2011</v>
      </c>
      <c r="D5431" s="7" t="s">
        <v>8193</v>
      </c>
      <c r="E5431" s="13" t="s">
        <v>6555</v>
      </c>
      <c r="F5431" t="str">
        <f t="shared" si="420"/>
        <v>Lincoln</v>
      </c>
      <c r="G5431" t="str">
        <f t="shared" si="421"/>
        <v>Lincoln2011Arlington</v>
      </c>
      <c r="H5431" t="s">
        <v>36288</v>
      </c>
      <c r="I5431" t="s">
        <v>27709</v>
      </c>
      <c r="J5431" t="str">
        <f t="shared" si="422"/>
        <v>E:\PropInv\MF</v>
      </c>
      <c r="K5431" s="103" t="str">
        <f>HYPERLINK("E:\PropInv\MF\Arlington\Lincoln Dr_2011_Manchester Park_Arlington_15713","Lincoln Dr_2011_Manchester Park_Arlington_15713" )</f>
        <v>Lincoln Dr_2011_Manchester Park_Arlington_15713</v>
      </c>
      <c r="L5431" s="104" t="s">
        <v>22253</v>
      </c>
      <c r="M5431" s="103" t="str">
        <f t="shared" si="423"/>
        <v>http://oconnordata.com/mlink/modules/profile/index.cfm?action=profile&amp;prop_id=15713</v>
      </c>
      <c r="N5431" s="1">
        <f t="shared" si="424"/>
        <v>15713</v>
      </c>
    </row>
    <row r="5432" spans="1:14" x14ac:dyDescent="0.3">
      <c r="A5432" s="1">
        <v>15716</v>
      </c>
      <c r="B5432" s="7" t="s">
        <v>7865</v>
      </c>
      <c r="C5432" s="12">
        <v>1050</v>
      </c>
      <c r="D5432" s="7" t="s">
        <v>8194</v>
      </c>
      <c r="E5432" s="13" t="s">
        <v>5781</v>
      </c>
      <c r="F5432" t="str">
        <f t="shared" si="420"/>
        <v>Ash</v>
      </c>
      <c r="G5432" t="str">
        <f t="shared" si="421"/>
        <v>Ash1050Euless</v>
      </c>
      <c r="H5432" t="s">
        <v>36289</v>
      </c>
      <c r="I5432" t="s">
        <v>27710</v>
      </c>
      <c r="J5432" t="str">
        <f t="shared" si="422"/>
        <v>E:\PropInv\MF</v>
      </c>
      <c r="K5432" s="103" t="str">
        <f>HYPERLINK("E:\PropInv\MF\Euless\Ash Ln W_1050_Willow Ridge TH_Euless_15716","Ash Ln W_1050_Willow Ridge TH_Euless_15716" )</f>
        <v>Ash Ln W_1050_Willow Ridge TH_Euless_15716</v>
      </c>
      <c r="L5432" s="104" t="s">
        <v>22253</v>
      </c>
      <c r="M5432" s="103" t="str">
        <f t="shared" si="423"/>
        <v>http://oconnordata.com/mlink/modules/profile/index.cfm?action=profile&amp;prop_id=15716</v>
      </c>
      <c r="N5432" s="1">
        <f t="shared" si="424"/>
        <v>15716</v>
      </c>
    </row>
    <row r="5433" spans="1:14" x14ac:dyDescent="0.3">
      <c r="A5433" s="1">
        <v>15717</v>
      </c>
      <c r="B5433" s="10" t="s">
        <v>8195</v>
      </c>
      <c r="C5433" s="9">
        <v>5203</v>
      </c>
      <c r="D5433" s="10" t="s">
        <v>8196</v>
      </c>
      <c r="E5433" s="11" t="s">
        <v>6555</v>
      </c>
      <c r="F5433" t="str">
        <f t="shared" si="420"/>
        <v>Villa</v>
      </c>
      <c r="G5433" t="str">
        <f t="shared" si="421"/>
        <v>Villa5203Arlington</v>
      </c>
      <c r="H5433" t="s">
        <v>36290</v>
      </c>
      <c r="I5433" t="s">
        <v>27711</v>
      </c>
      <c r="J5433" t="str">
        <f t="shared" si="422"/>
        <v>E:\PropInv\MF</v>
      </c>
      <c r="K5433" s="103" t="str">
        <f>HYPERLINK("E:\PropInv\MF\Arlington\Villa Del Mar Ave_5203_Villa Del Mar_Arlington_15717","Villa Del Mar Ave_5203_Villa Del Mar_Arlington_15717" )</f>
        <v>Villa Del Mar Ave_5203_Villa Del Mar_Arlington_15717</v>
      </c>
      <c r="L5433" s="104" t="s">
        <v>22253</v>
      </c>
      <c r="M5433" s="103" t="str">
        <f t="shared" si="423"/>
        <v>http://oconnordata.com/mlink/modules/profile/index.cfm?action=profile&amp;prop_id=15717</v>
      </c>
      <c r="N5433" s="1">
        <f t="shared" si="424"/>
        <v>15717</v>
      </c>
    </row>
    <row r="5434" spans="1:14" x14ac:dyDescent="0.3">
      <c r="A5434" s="1">
        <v>15718</v>
      </c>
      <c r="B5434" s="7" t="s">
        <v>8192</v>
      </c>
      <c r="C5434" s="12">
        <v>2109</v>
      </c>
      <c r="D5434" s="7" t="s">
        <v>8197</v>
      </c>
      <c r="E5434" s="13" t="s">
        <v>6555</v>
      </c>
      <c r="F5434" t="str">
        <f t="shared" si="420"/>
        <v>Lincoln</v>
      </c>
      <c r="G5434" t="str">
        <f t="shared" si="421"/>
        <v>Lincoln2109Arlington</v>
      </c>
      <c r="H5434" t="s">
        <v>36291</v>
      </c>
      <c r="I5434" t="s">
        <v>27712</v>
      </c>
      <c r="J5434" t="str">
        <f t="shared" si="422"/>
        <v>E:\PropInv\MF</v>
      </c>
      <c r="K5434" s="103" t="str">
        <f>HYPERLINK("E:\PropInv\MF\Arlington\Lincoln Dr_2109_Forest Hills_Arlington_15718","Lincoln Dr_2109_Forest Hills_Arlington_15718" )</f>
        <v>Lincoln Dr_2109_Forest Hills_Arlington_15718</v>
      </c>
      <c r="L5434" s="104" t="s">
        <v>22253</v>
      </c>
      <c r="M5434" s="103" t="str">
        <f t="shared" si="423"/>
        <v>http://oconnordata.com/mlink/modules/profile/index.cfm?action=profile&amp;prop_id=15718</v>
      </c>
      <c r="N5434" s="1">
        <f t="shared" si="424"/>
        <v>15718</v>
      </c>
    </row>
    <row r="5435" spans="1:14" x14ac:dyDescent="0.3">
      <c r="A5435" s="1">
        <v>15720</v>
      </c>
      <c r="B5435" s="7" t="s">
        <v>7721</v>
      </c>
      <c r="C5435" s="12">
        <v>7913</v>
      </c>
      <c r="D5435" s="7" t="s">
        <v>8198</v>
      </c>
      <c r="E5435" s="13" t="s">
        <v>6541</v>
      </c>
      <c r="F5435" t="str">
        <f t="shared" si="420"/>
        <v>Harwood</v>
      </c>
      <c r="G5435" t="str">
        <f t="shared" si="421"/>
        <v>Harwood7913North Richland Hills</v>
      </c>
      <c r="H5435" t="s">
        <v>36292</v>
      </c>
      <c r="I5435" t="s">
        <v>27713</v>
      </c>
      <c r="J5435" t="str">
        <f t="shared" si="422"/>
        <v>E:\PropInv\MF</v>
      </c>
      <c r="K5435" s="103" t="str">
        <f>HYPERLINK("E:\PropInv\MF\North Richland Hills\Harwood_7913_The Arts Apts_North Richland Hills_15720","Harwood_7913_The Arts Apts_North Richland Hills_15720" )</f>
        <v>Harwood_7913_The Arts Apts_North Richland Hills_15720</v>
      </c>
      <c r="L5435" s="104" t="s">
        <v>22253</v>
      </c>
      <c r="M5435" s="103" t="str">
        <f t="shared" si="423"/>
        <v>http://oconnordata.com/mlink/modules/profile/index.cfm?action=profile&amp;prop_id=15720</v>
      </c>
      <c r="N5435" s="1">
        <f t="shared" si="424"/>
        <v>15720</v>
      </c>
    </row>
    <row r="5436" spans="1:14" x14ac:dyDescent="0.3">
      <c r="A5436" s="1">
        <v>15722</v>
      </c>
      <c r="B5436" s="10" t="s">
        <v>7772</v>
      </c>
      <c r="C5436" s="9">
        <v>1800</v>
      </c>
      <c r="D5436" s="10" t="s">
        <v>8199</v>
      </c>
      <c r="E5436" s="11" t="s">
        <v>5781</v>
      </c>
      <c r="F5436" t="str">
        <f t="shared" si="420"/>
        <v>Fuller</v>
      </c>
      <c r="G5436" t="str">
        <f t="shared" si="421"/>
        <v>Fuller1800Euless</v>
      </c>
      <c r="H5436" t="s">
        <v>36293</v>
      </c>
      <c r="I5436" t="s">
        <v>27714</v>
      </c>
      <c r="J5436" t="str">
        <f t="shared" si="422"/>
        <v>E:\PropInv\MF</v>
      </c>
      <c r="K5436" s="103" t="str">
        <f>HYPERLINK("E:\PropInv\MF\Euless\Fuller Wiser_1800_Village Green at Bear Creek_Euless_15722","Fuller Wiser_1800_Village Green at Bear Creek_Euless_15722" )</f>
        <v>Fuller Wiser_1800_Village Green at Bear Creek_Euless_15722</v>
      </c>
      <c r="L5436" s="104" t="s">
        <v>22253</v>
      </c>
      <c r="M5436" s="103" t="str">
        <f t="shared" si="423"/>
        <v>http://oconnordata.com/mlink/modules/profile/index.cfm?action=profile&amp;prop_id=15722</v>
      </c>
      <c r="N5436" s="1">
        <f t="shared" si="424"/>
        <v>15722</v>
      </c>
    </row>
    <row r="5437" spans="1:14" x14ac:dyDescent="0.3">
      <c r="A5437" s="1">
        <v>15723</v>
      </c>
      <c r="B5437" s="7" t="s">
        <v>8200</v>
      </c>
      <c r="C5437" s="12">
        <v>1233</v>
      </c>
      <c r="D5437" s="7" t="s">
        <v>8201</v>
      </c>
      <c r="E5437" s="13" t="s">
        <v>6612</v>
      </c>
      <c r="F5437" t="str">
        <f t="shared" si="420"/>
        <v>Cavender</v>
      </c>
      <c r="G5437" t="str">
        <f t="shared" si="421"/>
        <v>Cavender1233Hurst</v>
      </c>
      <c r="H5437" t="s">
        <v>36294</v>
      </c>
      <c r="I5437" t="s">
        <v>27715</v>
      </c>
      <c r="J5437" t="str">
        <f t="shared" si="422"/>
        <v>E:\PropInv\MF</v>
      </c>
      <c r="K5437" s="103" t="str">
        <f>HYPERLINK("E:\PropInv\MF\Hurst\Cavender Dr_1233_M &amp; M Gardens_Hurst_15723","Cavender Dr_1233_M &amp; M Gardens_Hurst_15723" )</f>
        <v>Cavender Dr_1233_M &amp; M Gardens_Hurst_15723</v>
      </c>
      <c r="L5437" s="104" t="s">
        <v>22253</v>
      </c>
      <c r="M5437" s="103" t="str">
        <f t="shared" si="423"/>
        <v>http://oconnordata.com/mlink/modules/profile/index.cfm?action=profile&amp;prop_id=15723</v>
      </c>
      <c r="N5437" s="1">
        <f t="shared" si="424"/>
        <v>15723</v>
      </c>
    </row>
    <row r="5438" spans="1:14" x14ac:dyDescent="0.3">
      <c r="A5438" s="1">
        <v>15726</v>
      </c>
      <c r="B5438" s="7" t="s">
        <v>8202</v>
      </c>
      <c r="C5438" s="12">
        <v>100</v>
      </c>
      <c r="D5438" s="7" t="s">
        <v>8202</v>
      </c>
      <c r="E5438" s="13" t="s">
        <v>5781</v>
      </c>
      <c r="F5438" t="str">
        <f t="shared" si="420"/>
        <v>Manchester</v>
      </c>
      <c r="G5438" t="str">
        <f t="shared" si="421"/>
        <v>Manchester100Euless</v>
      </c>
      <c r="H5438" t="s">
        <v>36295</v>
      </c>
      <c r="I5438" t="s">
        <v>27716</v>
      </c>
      <c r="J5438" t="str">
        <f t="shared" si="422"/>
        <v>E:\PropInv\MF</v>
      </c>
      <c r="K5438" s="103" t="str">
        <f>HYPERLINK("E:\PropInv\MF\Euless\Manchester_100_Manchester_Euless_15726","Manchester_100_Manchester_Euless_15726" )</f>
        <v>Manchester_100_Manchester_Euless_15726</v>
      </c>
      <c r="L5438" s="104" t="s">
        <v>22253</v>
      </c>
      <c r="M5438" s="103" t="str">
        <f t="shared" si="423"/>
        <v>http://oconnordata.com/mlink/modules/profile/index.cfm?action=profile&amp;prop_id=15726</v>
      </c>
      <c r="N5438" s="1">
        <f t="shared" si="424"/>
        <v>15726</v>
      </c>
    </row>
    <row r="5439" spans="1:14" x14ac:dyDescent="0.3">
      <c r="A5439" s="1">
        <v>15727</v>
      </c>
      <c r="B5439" s="7" t="s">
        <v>4921</v>
      </c>
      <c r="C5439" s="12">
        <v>3808</v>
      </c>
      <c r="D5439" s="7" t="s">
        <v>8203</v>
      </c>
      <c r="E5439" s="13" t="s">
        <v>5781</v>
      </c>
      <c r="F5439" t="str">
        <f t="shared" si="420"/>
        <v>Post</v>
      </c>
      <c r="G5439" t="str">
        <f t="shared" si="421"/>
        <v>Post3808Euless</v>
      </c>
      <c r="H5439" t="s">
        <v>36296</v>
      </c>
      <c r="I5439" t="s">
        <v>27717</v>
      </c>
      <c r="J5439" t="str">
        <f t="shared" si="422"/>
        <v>E:\PropInv\MF</v>
      </c>
      <c r="K5439" s="103" t="str">
        <f>HYPERLINK("E:\PropInv\MF\Euless\Post Oak Blvd_3808_The Village on Post Oak_Euless_15727","Post Oak Blvd_3808_The Village on Post Oak_Euless_15727" )</f>
        <v>Post Oak Blvd_3808_The Village on Post Oak_Euless_15727</v>
      </c>
      <c r="L5439" s="104" t="s">
        <v>22253</v>
      </c>
      <c r="M5439" s="103" t="str">
        <f t="shared" si="423"/>
        <v>http://oconnordata.com/mlink/modules/profile/index.cfm?action=profile&amp;prop_id=15727</v>
      </c>
      <c r="N5439" s="1">
        <f t="shared" si="424"/>
        <v>15727</v>
      </c>
    </row>
    <row r="5440" spans="1:14" x14ac:dyDescent="0.3">
      <c r="A5440" s="1">
        <v>15728</v>
      </c>
      <c r="B5440" s="7" t="s">
        <v>8204</v>
      </c>
      <c r="C5440" s="12">
        <v>6700</v>
      </c>
      <c r="D5440" s="7" t="s">
        <v>8205</v>
      </c>
      <c r="E5440" s="13" t="s">
        <v>5014</v>
      </c>
      <c r="F5440" t="str">
        <f t="shared" si="420"/>
        <v>Sandshell</v>
      </c>
      <c r="G5440" t="str">
        <f t="shared" si="421"/>
        <v>Sandshell6700Fort Worth</v>
      </c>
      <c r="H5440" t="s">
        <v>36297</v>
      </c>
      <c r="I5440" t="s">
        <v>27718</v>
      </c>
      <c r="J5440" t="str">
        <f t="shared" si="422"/>
        <v>E:\PropInv\MF</v>
      </c>
      <c r="K5440" s="103" t="str">
        <f>HYPERLINK("E:\PropInv\MF\Fort Worth\Sandshell Blvd_6700_The Abbey at Fossil Creek_Fort Worth_15728","Sandshell Blvd_6700_The Abbey at Fossil Creek_Fort Worth_15728" )</f>
        <v>Sandshell Blvd_6700_The Abbey at Fossil Creek_Fort Worth_15728</v>
      </c>
      <c r="L5440" s="104" t="s">
        <v>22253</v>
      </c>
      <c r="M5440" s="103" t="str">
        <f t="shared" si="423"/>
        <v>http://oconnordata.com/mlink/modules/profile/index.cfm?action=profile&amp;prop_id=15728</v>
      </c>
      <c r="N5440" s="1">
        <f t="shared" si="424"/>
        <v>15728</v>
      </c>
    </row>
    <row r="5441" spans="1:14" x14ac:dyDescent="0.3">
      <c r="A5441" s="1">
        <v>15729</v>
      </c>
      <c r="B5441" s="7" t="s">
        <v>6091</v>
      </c>
      <c r="C5441" s="12">
        <v>1500</v>
      </c>
      <c r="D5441" s="7" t="s">
        <v>1195</v>
      </c>
      <c r="E5441" s="13" t="s">
        <v>5411</v>
      </c>
      <c r="F5441" t="str">
        <f t="shared" si="420"/>
        <v>Bluegrove</v>
      </c>
      <c r="G5441" t="str">
        <f t="shared" si="421"/>
        <v>Bluegrove1500Lancaster</v>
      </c>
      <c r="H5441" t="s">
        <v>36298</v>
      </c>
      <c r="I5441" t="s">
        <v>27719</v>
      </c>
      <c r="J5441" t="str">
        <f t="shared" si="422"/>
        <v>E:\PropInv\MF</v>
      </c>
      <c r="K5441" s="103" t="str">
        <f>HYPERLINK("E:\PropInv\MF\Lancaster\Bluegrove N_1500_Meadows_Lancaster_15729","Bluegrove N_1500_Meadows_Lancaster_15729" )</f>
        <v>Bluegrove N_1500_Meadows_Lancaster_15729</v>
      </c>
      <c r="L5441" s="104" t="s">
        <v>22253</v>
      </c>
      <c r="M5441" s="103" t="str">
        <f t="shared" si="423"/>
        <v>http://oconnordata.com/mlink/modules/profile/index.cfm?action=profile&amp;prop_id=15729</v>
      </c>
      <c r="N5441" s="1">
        <f t="shared" si="424"/>
        <v>15729</v>
      </c>
    </row>
    <row r="5442" spans="1:14" x14ac:dyDescent="0.3">
      <c r="A5442" s="1">
        <v>15730</v>
      </c>
      <c r="B5442" s="7" t="s">
        <v>5041</v>
      </c>
      <c r="C5442" s="12">
        <v>7101</v>
      </c>
      <c r="D5442" s="7" t="s">
        <v>8206</v>
      </c>
      <c r="E5442" s="13" t="s">
        <v>5043</v>
      </c>
      <c r="F5442" t="str">
        <f t="shared" ref="F5442:F5505" si="425">IFERROR(LEFT(B5442,FIND(" ",B5442)-1),B5442)</f>
        <v>Virginia</v>
      </c>
      <c r="G5442" t="str">
        <f t="shared" ref="G5442:G5505" si="426">F5442&amp;C5442&amp;E5442</f>
        <v>Virginia7101McKinney</v>
      </c>
      <c r="H5442" t="s">
        <v>36299</v>
      </c>
      <c r="I5442" t="s">
        <v>27720</v>
      </c>
      <c r="J5442" t="str">
        <f t="shared" ref="J5442:J5505" si="427">IF(L5442="TX",Folder_Path,Folder_Path&amp;"\State_"&amp;L5442)</f>
        <v>E:\PropInv\MF</v>
      </c>
      <c r="K5442" s="103" t="str">
        <f>HYPERLINK("E:\PropInv\MF\McKinney\Virginia Pkwy_7101_Villas at Stonebridge Ranch_McKinney_15730","Virginia Pkwy_7101_Villas at Stonebridge Ranch_McKinney_15730" )</f>
        <v>Virginia Pkwy_7101_Villas at Stonebridge Ranch_McKinney_15730</v>
      </c>
      <c r="L5442" s="104" t="s">
        <v>22253</v>
      </c>
      <c r="M5442" s="103" t="str">
        <f t="shared" ref="M5442:M5505" si="428">HYPERLINK("http://oconnordata.com/mlink/modules/profile/index.cfm?action=profile&amp;prop_id="&amp;A5442)</f>
        <v>http://oconnordata.com/mlink/modules/profile/index.cfm?action=profile&amp;prop_id=15730</v>
      </c>
      <c r="N5442" s="1">
        <f t="shared" ref="N5442:N5505" si="429">IF(LEN(A5442)=1,"0000"&amp;A5442,IF(LEN(A5442)=2,"000"&amp;A5442,IF(LEN(A5442)=3,"00"&amp;A5442,IF(LEN(A5442)=4,"0"&amp;A5442,IF(LEN(A5442)=5,IF(LEFT(A5442,1)="3",A5442+30000,A5442))))))</f>
        <v>15730</v>
      </c>
    </row>
    <row r="5443" spans="1:14" x14ac:dyDescent="0.3">
      <c r="A5443" s="1">
        <v>15732</v>
      </c>
      <c r="B5443" s="7" t="s">
        <v>8207</v>
      </c>
      <c r="C5443" s="12">
        <v>2300</v>
      </c>
      <c r="D5443" s="7" t="s">
        <v>8208</v>
      </c>
      <c r="E5443" s="13" t="s">
        <v>6555</v>
      </c>
      <c r="F5443" t="str">
        <f t="shared" si="425"/>
        <v>Citrus</v>
      </c>
      <c r="G5443" t="str">
        <f t="shared" si="426"/>
        <v>Citrus2300Arlington</v>
      </c>
      <c r="H5443" t="s">
        <v>36300</v>
      </c>
      <c r="I5443" t="s">
        <v>27721</v>
      </c>
      <c r="J5443" t="str">
        <f t="shared" si="427"/>
        <v>E:\PropInv\MF</v>
      </c>
      <c r="K5443" s="103" t="str">
        <f>HYPERLINK("E:\PropInv\MF\Arlington\Citrus Ln_2300_Villas of Lime Tree_Arlington_15732","Citrus Ln_2300_Villas of Lime Tree_Arlington_15732" )</f>
        <v>Citrus Ln_2300_Villas of Lime Tree_Arlington_15732</v>
      </c>
      <c r="L5443" s="104" t="s">
        <v>22253</v>
      </c>
      <c r="M5443" s="103" t="str">
        <f t="shared" si="428"/>
        <v>http://oconnordata.com/mlink/modules/profile/index.cfm?action=profile&amp;prop_id=15732</v>
      </c>
      <c r="N5443" s="1">
        <f t="shared" si="429"/>
        <v>15732</v>
      </c>
    </row>
    <row r="5444" spans="1:14" x14ac:dyDescent="0.3">
      <c r="A5444" s="1">
        <v>15733</v>
      </c>
      <c r="B5444" s="7" t="s">
        <v>8209</v>
      </c>
      <c r="C5444" s="12">
        <v>3000</v>
      </c>
      <c r="D5444" s="7" t="s">
        <v>8210</v>
      </c>
      <c r="E5444" s="13" t="s">
        <v>5014</v>
      </c>
      <c r="F5444" t="str">
        <f t="shared" si="425"/>
        <v>Creekside</v>
      </c>
      <c r="G5444" t="str">
        <f t="shared" si="426"/>
        <v>Creekside3000Fort Worth</v>
      </c>
      <c r="H5444" t="s">
        <v>36301</v>
      </c>
      <c r="I5444" t="s">
        <v>27722</v>
      </c>
      <c r="J5444" t="str">
        <f t="shared" si="427"/>
        <v>E:\PropInv\MF</v>
      </c>
      <c r="K5444" s="103" t="str">
        <f>HYPERLINK("E:\PropInv\MF\Fort Worth\Creekside Dr_3000_Villas of Marine Creek_Fort Worth_15733","Creekside Dr_3000_Villas of Marine Creek_Fort Worth_15733" )</f>
        <v>Creekside Dr_3000_Villas of Marine Creek_Fort Worth_15733</v>
      </c>
      <c r="L5444" s="104" t="s">
        <v>22253</v>
      </c>
      <c r="M5444" s="103" t="str">
        <f t="shared" si="428"/>
        <v>http://oconnordata.com/mlink/modules/profile/index.cfm?action=profile&amp;prop_id=15733</v>
      </c>
      <c r="N5444" s="1">
        <f t="shared" si="429"/>
        <v>15733</v>
      </c>
    </row>
    <row r="5445" spans="1:14" x14ac:dyDescent="0.3">
      <c r="A5445" s="1">
        <v>15734</v>
      </c>
      <c r="B5445" s="7" t="s">
        <v>8157</v>
      </c>
      <c r="C5445" s="12">
        <v>900</v>
      </c>
      <c r="D5445" s="7" t="s">
        <v>8211</v>
      </c>
      <c r="E5445" s="13" t="s">
        <v>6555</v>
      </c>
      <c r="F5445" t="str">
        <f t="shared" si="425"/>
        <v>Center</v>
      </c>
      <c r="G5445" t="str">
        <f t="shared" si="426"/>
        <v>Center900Arlington</v>
      </c>
      <c r="H5445" t="s">
        <v>36302</v>
      </c>
      <c r="I5445" t="s">
        <v>27723</v>
      </c>
      <c r="J5445" t="str">
        <f t="shared" si="427"/>
        <v>E:\PropInv\MF</v>
      </c>
      <c r="K5445" s="103" t="str">
        <f>HYPERLINK("E:\PropInv\MF\Arlington\Center N_900_Dillon Apts_Arlington_15734","Center N_900_Dillon Apts_Arlington_15734" )</f>
        <v>Center N_900_Dillon Apts_Arlington_15734</v>
      </c>
      <c r="L5445" s="104" t="s">
        <v>22253</v>
      </c>
      <c r="M5445" s="103" t="str">
        <f t="shared" si="428"/>
        <v>http://oconnordata.com/mlink/modules/profile/index.cfm?action=profile&amp;prop_id=15734</v>
      </c>
      <c r="N5445" s="1">
        <f t="shared" si="429"/>
        <v>15734</v>
      </c>
    </row>
    <row r="5446" spans="1:14" x14ac:dyDescent="0.3">
      <c r="A5446" s="1">
        <v>15736</v>
      </c>
      <c r="B5446" s="7" t="s">
        <v>8212</v>
      </c>
      <c r="C5446" s="12">
        <v>631</v>
      </c>
      <c r="D5446" s="7" t="s">
        <v>374</v>
      </c>
      <c r="E5446" s="13" t="s">
        <v>5228</v>
      </c>
      <c r="F5446" t="str">
        <f t="shared" si="425"/>
        <v>Alexander</v>
      </c>
      <c r="G5446" t="str">
        <f t="shared" si="426"/>
        <v>Alexander631Duncanville</v>
      </c>
      <c r="H5446" t="s">
        <v>36303</v>
      </c>
      <c r="I5446" t="s">
        <v>27724</v>
      </c>
      <c r="J5446" t="str">
        <f t="shared" si="427"/>
        <v>E:\PropInv\MF</v>
      </c>
      <c r="K5446" s="103" t="str">
        <f>HYPERLINK("E:\PropInv\MF\Duncanville\Alexander N_631_Vista Ridge_Duncanville_15736","Alexander N_631_Vista Ridge_Duncanville_15736" )</f>
        <v>Alexander N_631_Vista Ridge_Duncanville_15736</v>
      </c>
      <c r="L5446" s="104" t="s">
        <v>22253</v>
      </c>
      <c r="M5446" s="103" t="str">
        <f t="shared" si="428"/>
        <v>http://oconnordata.com/mlink/modules/profile/index.cfm?action=profile&amp;prop_id=15736</v>
      </c>
      <c r="N5446" s="1">
        <f t="shared" si="429"/>
        <v>15736</v>
      </c>
    </row>
    <row r="5447" spans="1:14" x14ac:dyDescent="0.3">
      <c r="A5447" s="1">
        <v>15737</v>
      </c>
      <c r="B5447" s="7" t="s">
        <v>8023</v>
      </c>
      <c r="C5447" s="12">
        <v>400</v>
      </c>
      <c r="D5447" s="7" t="s">
        <v>8213</v>
      </c>
      <c r="E5447" s="13" t="s">
        <v>6555</v>
      </c>
      <c r="F5447" t="str">
        <f t="shared" si="425"/>
        <v>Pioneer</v>
      </c>
      <c r="G5447" t="str">
        <f t="shared" si="426"/>
        <v>Pioneer400Arlington</v>
      </c>
      <c r="H5447" t="s">
        <v>36304</v>
      </c>
      <c r="I5447" t="s">
        <v>27725</v>
      </c>
      <c r="J5447" t="str">
        <f t="shared" si="427"/>
        <v>E:\PropInv\MF</v>
      </c>
      <c r="K5447" s="103" t="str">
        <f>HYPERLINK("E:\PropInv\MF\Arlington\Pioneer Pkwy E_400_Waterdance I &amp; II_Arlington_15737","Pioneer Pkwy E_400_Waterdance I &amp; II_Arlington_15737" )</f>
        <v>Pioneer Pkwy E_400_Waterdance I &amp; II_Arlington_15737</v>
      </c>
      <c r="L5447" s="104" t="s">
        <v>22253</v>
      </c>
      <c r="M5447" s="103" t="str">
        <f t="shared" si="428"/>
        <v>http://oconnordata.com/mlink/modules/profile/index.cfm?action=profile&amp;prop_id=15737</v>
      </c>
      <c r="N5447" s="1">
        <f t="shared" si="429"/>
        <v>15737</v>
      </c>
    </row>
    <row r="5448" spans="1:14" x14ac:dyDescent="0.3">
      <c r="A5448" s="1">
        <v>15738</v>
      </c>
      <c r="B5448" s="7" t="s">
        <v>6770</v>
      </c>
      <c r="C5448" s="12">
        <v>2000</v>
      </c>
      <c r="D5448" s="7" t="s">
        <v>8214</v>
      </c>
      <c r="E5448" s="13" t="s">
        <v>4942</v>
      </c>
      <c r="F5448" t="str">
        <f t="shared" si="425"/>
        <v>Park</v>
      </c>
      <c r="G5448" t="str">
        <f t="shared" si="426"/>
        <v>Park2000Bedford</v>
      </c>
      <c r="H5448" t="s">
        <v>36305</v>
      </c>
      <c r="I5448" t="s">
        <v>27726</v>
      </c>
      <c r="J5448" t="str">
        <f t="shared" si="427"/>
        <v>E:\PropInv\MF</v>
      </c>
      <c r="K5448" s="103" t="str">
        <f>HYPERLINK("E:\PropInv\MF\Bedford\Park Place Blvd_2000_Cottages at Bedford_Bedford_15738","Park Place Blvd_2000_Cottages at Bedford_Bedford_15738" )</f>
        <v>Park Place Blvd_2000_Cottages at Bedford_Bedford_15738</v>
      </c>
      <c r="L5448" s="104" t="s">
        <v>22253</v>
      </c>
      <c r="M5448" s="103" t="str">
        <f t="shared" si="428"/>
        <v>http://oconnordata.com/mlink/modules/profile/index.cfm?action=profile&amp;prop_id=15738</v>
      </c>
      <c r="N5448" s="1">
        <f t="shared" si="429"/>
        <v>15738</v>
      </c>
    </row>
    <row r="5449" spans="1:14" x14ac:dyDescent="0.3">
      <c r="A5449" s="1">
        <v>15739</v>
      </c>
      <c r="B5449" s="7" t="s">
        <v>6702</v>
      </c>
      <c r="C5449" s="12">
        <v>6228</v>
      </c>
      <c r="D5449" s="7" t="s">
        <v>8215</v>
      </c>
      <c r="E5449" s="13" t="s">
        <v>6541</v>
      </c>
      <c r="F5449" t="str">
        <f t="shared" si="425"/>
        <v>Glenview</v>
      </c>
      <c r="G5449" t="str">
        <f t="shared" si="426"/>
        <v>Glenview6228North Richland Hills</v>
      </c>
      <c r="H5449" t="s">
        <v>36306</v>
      </c>
      <c r="I5449" t="s">
        <v>27727</v>
      </c>
      <c r="J5449" t="str">
        <f t="shared" si="427"/>
        <v>E:\PropInv\MF</v>
      </c>
      <c r="K5449" s="103" t="str">
        <f>HYPERLINK("E:\PropInv\MF\North Richland Hills\Glenview Dr_6228_Waterford on the Green_North Richland Hills_15739","Glenview Dr_6228_Waterford on the Green_North Richland Hills_15739" )</f>
        <v>Glenview Dr_6228_Waterford on the Green_North Richland Hills_15739</v>
      </c>
      <c r="L5449" s="104" t="s">
        <v>22253</v>
      </c>
      <c r="M5449" s="103" t="str">
        <f t="shared" si="428"/>
        <v>http://oconnordata.com/mlink/modules/profile/index.cfm?action=profile&amp;prop_id=15739</v>
      </c>
      <c r="N5449" s="1">
        <f t="shared" si="429"/>
        <v>15739</v>
      </c>
    </row>
    <row r="5450" spans="1:14" x14ac:dyDescent="0.3">
      <c r="A5450" s="1">
        <v>15740</v>
      </c>
      <c r="B5450" s="7" t="s">
        <v>6725</v>
      </c>
      <c r="C5450" s="12">
        <v>2250</v>
      </c>
      <c r="D5450" s="7" t="s">
        <v>8216</v>
      </c>
      <c r="E5450" s="13" t="s">
        <v>5781</v>
      </c>
      <c r="F5450" t="str">
        <f t="shared" si="425"/>
        <v>Fuller</v>
      </c>
      <c r="G5450" t="str">
        <f t="shared" si="426"/>
        <v>Fuller2250Euless</v>
      </c>
      <c r="H5450" t="s">
        <v>36307</v>
      </c>
      <c r="I5450" t="s">
        <v>27728</v>
      </c>
      <c r="J5450" t="str">
        <f t="shared" si="427"/>
        <v>E:\PropInv\MF</v>
      </c>
      <c r="K5450" s="103" t="str">
        <f>HYPERLINK("E:\PropInv\MF\Euless\Fuller Wiser Rd_2250_Stone Bridge at Bear Creek_Euless_15740","Fuller Wiser Rd_2250_Stone Bridge at Bear Creek_Euless_15740" )</f>
        <v>Fuller Wiser Rd_2250_Stone Bridge at Bear Creek_Euless_15740</v>
      </c>
      <c r="L5450" s="104" t="s">
        <v>22253</v>
      </c>
      <c r="M5450" s="103" t="str">
        <f t="shared" si="428"/>
        <v>http://oconnordata.com/mlink/modules/profile/index.cfm?action=profile&amp;prop_id=15740</v>
      </c>
      <c r="N5450" s="1">
        <f t="shared" si="429"/>
        <v>15740</v>
      </c>
    </row>
    <row r="5451" spans="1:14" x14ac:dyDescent="0.3">
      <c r="A5451" s="1">
        <v>15741</v>
      </c>
      <c r="B5451" s="7" t="s">
        <v>7955</v>
      </c>
      <c r="C5451" s="12">
        <v>2121</v>
      </c>
      <c r="D5451" s="7" t="s">
        <v>2103</v>
      </c>
      <c r="E5451" s="13" t="s">
        <v>6555</v>
      </c>
      <c r="F5451" t="str">
        <f t="shared" si="425"/>
        <v>Madison</v>
      </c>
      <c r="G5451" t="str">
        <f t="shared" si="426"/>
        <v>Madison2121Arlington</v>
      </c>
      <c r="H5451" t="s">
        <v>36308</v>
      </c>
      <c r="I5451" t="s">
        <v>27729</v>
      </c>
      <c r="J5451" t="str">
        <f t="shared" si="427"/>
        <v>E:\PropInv\MF</v>
      </c>
      <c r="K5451" s="103" t="str">
        <f>HYPERLINK("E:\PropInv\MF\Arlington\Madison Dr_2121_Stone Canyon_Arlington_15741","Madison Dr_2121_Stone Canyon_Arlington_15741" )</f>
        <v>Madison Dr_2121_Stone Canyon_Arlington_15741</v>
      </c>
      <c r="L5451" s="104" t="s">
        <v>22253</v>
      </c>
      <c r="M5451" s="103" t="str">
        <f t="shared" si="428"/>
        <v>http://oconnordata.com/mlink/modules/profile/index.cfm?action=profile&amp;prop_id=15741</v>
      </c>
      <c r="N5451" s="1">
        <f t="shared" si="429"/>
        <v>15741</v>
      </c>
    </row>
    <row r="5452" spans="1:14" x14ac:dyDescent="0.3">
      <c r="A5452" s="1">
        <v>15742</v>
      </c>
      <c r="B5452" s="7" t="s">
        <v>8217</v>
      </c>
      <c r="C5452" s="12">
        <v>900</v>
      </c>
      <c r="D5452" s="7" t="s">
        <v>8218</v>
      </c>
      <c r="E5452" s="13" t="s">
        <v>6555</v>
      </c>
      <c r="F5452" t="str">
        <f t="shared" si="425"/>
        <v>Randol</v>
      </c>
      <c r="G5452" t="str">
        <f t="shared" si="426"/>
        <v>Randol900Arlington</v>
      </c>
      <c r="H5452" t="s">
        <v>36309</v>
      </c>
      <c r="I5452" t="s">
        <v>27730</v>
      </c>
      <c r="J5452" t="str">
        <f t="shared" si="427"/>
        <v>E:\PropInv\MF</v>
      </c>
      <c r="K5452" s="103" t="str">
        <f>HYPERLINK("E:\PropInv\MF\Arlington\Randol Mill E_900_Waterford I &amp; II_Arlington_15742","Randol Mill E_900_Waterford I &amp; II_Arlington_15742" )</f>
        <v>Randol Mill E_900_Waterford I &amp; II_Arlington_15742</v>
      </c>
      <c r="L5452" s="104" t="s">
        <v>22253</v>
      </c>
      <c r="M5452" s="103" t="str">
        <f t="shared" si="428"/>
        <v>http://oconnordata.com/mlink/modules/profile/index.cfm?action=profile&amp;prop_id=15742</v>
      </c>
      <c r="N5452" s="1">
        <f t="shared" si="429"/>
        <v>15742</v>
      </c>
    </row>
    <row r="5453" spans="1:14" x14ac:dyDescent="0.3">
      <c r="A5453" s="1">
        <v>15743</v>
      </c>
      <c r="B5453" s="7" t="s">
        <v>7683</v>
      </c>
      <c r="C5453" s="12">
        <v>600</v>
      </c>
      <c r="D5453" s="7" t="s">
        <v>5915</v>
      </c>
      <c r="E5453" s="13" t="s">
        <v>6555</v>
      </c>
      <c r="F5453" t="str">
        <f t="shared" si="425"/>
        <v>Arkansas</v>
      </c>
      <c r="G5453" t="str">
        <f t="shared" si="426"/>
        <v>Arkansas600Arlington</v>
      </c>
      <c r="H5453" t="s">
        <v>36310</v>
      </c>
      <c r="I5453" t="s">
        <v>27731</v>
      </c>
      <c r="J5453" t="str">
        <f t="shared" si="427"/>
        <v>E:\PropInv\MF</v>
      </c>
      <c r="K5453" s="103" t="str">
        <f>HYPERLINK("E:\PropInv\MF\Arlington\Arkansas Ln E_600_Stone Ridge_Arlington_15743","Arkansas Ln E_600_Stone Ridge_Arlington_15743" )</f>
        <v>Arkansas Ln E_600_Stone Ridge_Arlington_15743</v>
      </c>
      <c r="L5453" s="104" t="s">
        <v>22253</v>
      </c>
      <c r="M5453" s="103" t="str">
        <f t="shared" si="428"/>
        <v>http://oconnordata.com/mlink/modules/profile/index.cfm?action=profile&amp;prop_id=15743</v>
      </c>
      <c r="N5453" s="1">
        <f t="shared" si="429"/>
        <v>15743</v>
      </c>
    </row>
    <row r="5454" spans="1:14" x14ac:dyDescent="0.3">
      <c r="A5454" s="1">
        <v>15747</v>
      </c>
      <c r="B5454" s="7" t="s">
        <v>8072</v>
      </c>
      <c r="C5454" s="12">
        <v>1908</v>
      </c>
      <c r="D5454" s="7" t="s">
        <v>8219</v>
      </c>
      <c r="E5454" s="13" t="s">
        <v>6555</v>
      </c>
      <c r="F5454" t="str">
        <f t="shared" si="425"/>
        <v>Randy</v>
      </c>
      <c r="G5454" t="str">
        <f t="shared" si="426"/>
        <v>Randy1908Arlington</v>
      </c>
      <c r="H5454" t="s">
        <v>36311</v>
      </c>
      <c r="I5454" t="s">
        <v>27732</v>
      </c>
      <c r="J5454" t="str">
        <f t="shared" si="427"/>
        <v>E:\PropInv\MF</v>
      </c>
      <c r="K5454" s="103" t="str">
        <f>HYPERLINK("E:\PropInv\MF\Arlington\Randy Snow_1908_Summer Brook_Arlington_15747","Randy Snow_1908_Summer Brook_Arlington_15747" )</f>
        <v>Randy Snow_1908_Summer Brook_Arlington_15747</v>
      </c>
      <c r="L5454" s="104" t="s">
        <v>22253</v>
      </c>
      <c r="M5454" s="103" t="str">
        <f t="shared" si="428"/>
        <v>http://oconnordata.com/mlink/modules/profile/index.cfm?action=profile&amp;prop_id=15747</v>
      </c>
      <c r="N5454" s="1">
        <f t="shared" si="429"/>
        <v>15747</v>
      </c>
    </row>
    <row r="5455" spans="1:14" x14ac:dyDescent="0.3">
      <c r="A5455" s="1">
        <v>15751</v>
      </c>
      <c r="B5455" s="7" t="s">
        <v>8220</v>
      </c>
      <c r="C5455" s="12">
        <v>8037</v>
      </c>
      <c r="D5455" s="7" t="s">
        <v>321</v>
      </c>
      <c r="E5455" s="13" t="s">
        <v>5014</v>
      </c>
      <c r="F5455" t="str">
        <f t="shared" si="425"/>
        <v>Elizabeth</v>
      </c>
      <c r="G5455" t="str">
        <f t="shared" si="426"/>
        <v>Elizabeth8037Fort Worth</v>
      </c>
      <c r="H5455" t="s">
        <v>36312</v>
      </c>
      <c r="I5455" t="s">
        <v>27733</v>
      </c>
      <c r="J5455" t="str">
        <f t="shared" si="427"/>
        <v>E:\PropInv\MF</v>
      </c>
      <c r="K5455" s="103" t="str">
        <f>HYPERLINK("E:\PropInv\MF\Fort Worth\Elizabeth Ln W_8037_Broadmoor_Fort Worth_15751","Elizabeth Ln W_8037_Broadmoor_Fort Worth_15751" )</f>
        <v>Elizabeth Ln W_8037_Broadmoor_Fort Worth_15751</v>
      </c>
      <c r="L5455" s="104" t="s">
        <v>22253</v>
      </c>
      <c r="M5455" s="103" t="str">
        <f t="shared" si="428"/>
        <v>http://oconnordata.com/mlink/modules/profile/index.cfm?action=profile&amp;prop_id=15751</v>
      </c>
      <c r="N5455" s="1">
        <f t="shared" si="429"/>
        <v>15751</v>
      </c>
    </row>
    <row r="5456" spans="1:14" x14ac:dyDescent="0.3">
      <c r="A5456" s="1">
        <v>15755</v>
      </c>
      <c r="B5456" s="7" t="s">
        <v>8221</v>
      </c>
      <c r="C5456" s="12">
        <v>8300</v>
      </c>
      <c r="D5456" s="7" t="s">
        <v>8222</v>
      </c>
      <c r="E5456" s="13" t="s">
        <v>1657</v>
      </c>
      <c r="F5456" t="str">
        <f t="shared" si="425"/>
        <v>Canyon</v>
      </c>
      <c r="G5456" t="str">
        <f t="shared" si="426"/>
        <v>Canyon8300Houston</v>
      </c>
      <c r="H5456" t="s">
        <v>36313</v>
      </c>
      <c r="I5456" t="s">
        <v>27734</v>
      </c>
      <c r="J5456" t="str">
        <f t="shared" si="427"/>
        <v>E:\PropInv\MF</v>
      </c>
      <c r="K5456" s="103" t="str">
        <f>HYPERLINK("E:\PropInv\MF\Houston\Canyon St_8300_Bellfort Pines_Houston_15755","Canyon St_8300_Bellfort Pines_Houston_15755" )</f>
        <v>Canyon St_8300_Bellfort Pines_Houston_15755</v>
      </c>
      <c r="L5456" s="104" t="s">
        <v>22253</v>
      </c>
      <c r="M5456" s="103" t="str">
        <f t="shared" si="428"/>
        <v>http://oconnordata.com/mlink/modules/profile/index.cfm?action=profile&amp;prop_id=15755</v>
      </c>
      <c r="N5456" s="1">
        <f t="shared" si="429"/>
        <v>15755</v>
      </c>
    </row>
    <row r="5457" spans="1:14" x14ac:dyDescent="0.3">
      <c r="A5457" s="1">
        <v>15756</v>
      </c>
      <c r="B5457" s="7" t="s">
        <v>1209</v>
      </c>
      <c r="C5457" s="12">
        <v>6611</v>
      </c>
      <c r="D5457" s="7" t="s">
        <v>8223</v>
      </c>
      <c r="E5457" s="13" t="s">
        <v>842</v>
      </c>
      <c r="F5457" t="str">
        <f t="shared" si="425"/>
        <v>Commerce</v>
      </c>
      <c r="G5457" t="str">
        <f t="shared" si="426"/>
        <v>Commerce6611San Antonio</v>
      </c>
      <c r="H5457" t="s">
        <v>36314</v>
      </c>
      <c r="I5457" t="s">
        <v>27735</v>
      </c>
      <c r="J5457" t="str">
        <f t="shared" si="427"/>
        <v>E:\PropInv\MF</v>
      </c>
      <c r="K5457" s="103" t="str">
        <f>HYPERLINK("E:\PropInv\MF\San Antonio\Commerce St W_6611_Las Villas de Leon_San Antonio_15756","Commerce St W_6611_Las Villas de Leon_San Antonio_15756" )</f>
        <v>Commerce St W_6611_Las Villas de Leon_San Antonio_15756</v>
      </c>
      <c r="L5457" s="104" t="s">
        <v>22253</v>
      </c>
      <c r="M5457" s="103" t="str">
        <f t="shared" si="428"/>
        <v>http://oconnordata.com/mlink/modules/profile/index.cfm?action=profile&amp;prop_id=15756</v>
      </c>
      <c r="N5457" s="1">
        <f t="shared" si="429"/>
        <v>15756</v>
      </c>
    </row>
    <row r="5458" spans="1:14" x14ac:dyDescent="0.3">
      <c r="A5458" s="1">
        <v>15757</v>
      </c>
      <c r="B5458" s="7" t="s">
        <v>1177</v>
      </c>
      <c r="C5458" s="12">
        <v>2300</v>
      </c>
      <c r="D5458" s="7" t="s">
        <v>254</v>
      </c>
      <c r="E5458" s="13" t="s">
        <v>1138</v>
      </c>
      <c r="F5458" t="str">
        <f t="shared" si="425"/>
        <v>Junction</v>
      </c>
      <c r="G5458" t="str">
        <f t="shared" si="426"/>
        <v>Junction2300Kerrville</v>
      </c>
      <c r="H5458" t="s">
        <v>36315</v>
      </c>
      <c r="I5458" t="s">
        <v>27736</v>
      </c>
      <c r="J5458" t="str">
        <f t="shared" si="427"/>
        <v>E:\PropInv\MF</v>
      </c>
      <c r="K5458" s="103" t="str">
        <f>HYPERLINK("E:\PropInv\MF\Kerrville\Junction Hwy_2300_The Meadows_Kerrville_15757","Junction Hwy_2300_The Meadows_Kerrville_15757" )</f>
        <v>Junction Hwy_2300_The Meadows_Kerrville_15757</v>
      </c>
      <c r="L5458" s="104" t="s">
        <v>22253</v>
      </c>
      <c r="M5458" s="103" t="str">
        <f t="shared" si="428"/>
        <v>http://oconnordata.com/mlink/modules/profile/index.cfm?action=profile&amp;prop_id=15757</v>
      </c>
      <c r="N5458" s="1">
        <f t="shared" si="429"/>
        <v>15757</v>
      </c>
    </row>
    <row r="5459" spans="1:14" x14ac:dyDescent="0.3">
      <c r="A5459" s="1">
        <v>15758</v>
      </c>
      <c r="B5459" s="7" t="s">
        <v>8224</v>
      </c>
      <c r="C5459" s="12">
        <v>289</v>
      </c>
      <c r="D5459" s="7" t="s">
        <v>8225</v>
      </c>
      <c r="E5459" s="13" t="s">
        <v>8226</v>
      </c>
      <c r="F5459" t="str">
        <f t="shared" si="425"/>
        <v>Springs</v>
      </c>
      <c r="G5459" t="str">
        <f t="shared" si="426"/>
        <v>Springs289Dripping Springs</v>
      </c>
      <c r="H5459" t="s">
        <v>36316</v>
      </c>
      <c r="I5459" t="s">
        <v>27737</v>
      </c>
      <c r="J5459" t="str">
        <f t="shared" si="427"/>
        <v>E:\PropInv\MF</v>
      </c>
      <c r="K5459" s="103" t="str">
        <f>HYPERLINK("E:\PropInv\MF\Dripping Springs\Springs Ln_289_The Springs_Dripping Springs_15758","Springs Ln_289_The Springs_Dripping Springs_15758" )</f>
        <v>Springs Ln_289_The Springs_Dripping Springs_15758</v>
      </c>
      <c r="L5459" s="104" t="s">
        <v>22253</v>
      </c>
      <c r="M5459" s="103" t="str">
        <f t="shared" si="428"/>
        <v>http://oconnordata.com/mlink/modules/profile/index.cfm?action=profile&amp;prop_id=15758</v>
      </c>
      <c r="N5459" s="1">
        <f t="shared" si="429"/>
        <v>15758</v>
      </c>
    </row>
    <row r="5460" spans="1:14" x14ac:dyDescent="0.3">
      <c r="A5460" s="1">
        <v>15759</v>
      </c>
      <c r="B5460" s="7" t="s">
        <v>8227</v>
      </c>
      <c r="C5460" s="12">
        <v>7601</v>
      </c>
      <c r="D5460" s="7" t="s">
        <v>8228</v>
      </c>
      <c r="E5460" s="13" t="s">
        <v>7</v>
      </c>
      <c r="F5460" t="str">
        <f t="shared" si="425"/>
        <v>Rialto</v>
      </c>
      <c r="G5460" t="str">
        <f t="shared" si="426"/>
        <v>Rialto7601Austin</v>
      </c>
      <c r="H5460" t="s">
        <v>36317</v>
      </c>
      <c r="I5460" t="s">
        <v>27738</v>
      </c>
      <c r="J5460" t="str">
        <f t="shared" si="427"/>
        <v>E:\PropInv\MF</v>
      </c>
      <c r="K5460" s="103" t="str">
        <f>HYPERLINK("E:\PropInv\MF\Austin\Rialto Dr_7601_AMLI Lantana Hills_Austin_15759","Rialto Dr_7601_AMLI Lantana Hills_Austin_15759" )</f>
        <v>Rialto Dr_7601_AMLI Lantana Hills_Austin_15759</v>
      </c>
      <c r="L5460" s="104" t="s">
        <v>22253</v>
      </c>
      <c r="M5460" s="103" t="str">
        <f t="shared" si="428"/>
        <v>http://oconnordata.com/mlink/modules/profile/index.cfm?action=profile&amp;prop_id=15759</v>
      </c>
      <c r="N5460" s="1">
        <f t="shared" si="429"/>
        <v>15759</v>
      </c>
    </row>
    <row r="5461" spans="1:14" x14ac:dyDescent="0.3">
      <c r="A5461" s="1">
        <v>15760</v>
      </c>
      <c r="B5461" s="7" t="s">
        <v>662</v>
      </c>
      <c r="C5461" s="12">
        <v>10101</v>
      </c>
      <c r="D5461" s="7" t="s">
        <v>8229</v>
      </c>
      <c r="E5461" s="13" t="s">
        <v>7</v>
      </c>
      <c r="F5461" t="str">
        <f t="shared" si="425"/>
        <v>Parmer</v>
      </c>
      <c r="G5461" t="str">
        <f t="shared" si="426"/>
        <v>Parmer10101Austin</v>
      </c>
      <c r="H5461" t="s">
        <v>36318</v>
      </c>
      <c r="I5461" t="s">
        <v>27739</v>
      </c>
      <c r="J5461" t="str">
        <f t="shared" si="427"/>
        <v>E:\PropInv\MF</v>
      </c>
      <c r="K5461" s="103" t="str">
        <f>HYPERLINK("E:\PropInv\MF\Austin\Parmer Ln W_10101_Riverton at Davis Springs_Austin_15760","Parmer Ln W_10101_Riverton at Davis Springs_Austin_15760" )</f>
        <v>Parmer Ln W_10101_Riverton at Davis Springs_Austin_15760</v>
      </c>
      <c r="L5461" s="104" t="s">
        <v>22253</v>
      </c>
      <c r="M5461" s="103" t="str">
        <f t="shared" si="428"/>
        <v>http://oconnordata.com/mlink/modules/profile/index.cfm?action=profile&amp;prop_id=15760</v>
      </c>
      <c r="N5461" s="1">
        <f t="shared" si="429"/>
        <v>15760</v>
      </c>
    </row>
    <row r="5462" spans="1:14" x14ac:dyDescent="0.3">
      <c r="A5462" s="1">
        <v>15761</v>
      </c>
      <c r="B5462" s="7" t="s">
        <v>5779</v>
      </c>
      <c r="C5462" s="12">
        <v>1401</v>
      </c>
      <c r="D5462" s="7" t="s">
        <v>8230</v>
      </c>
      <c r="E5462" s="13" t="s">
        <v>5781</v>
      </c>
      <c r="F5462" t="str">
        <f t="shared" si="425"/>
        <v>Sotogrande</v>
      </c>
      <c r="G5462" t="str">
        <f t="shared" si="426"/>
        <v>Sotogrande1401Euless</v>
      </c>
      <c r="H5462" t="s">
        <v>36319</v>
      </c>
      <c r="I5462" t="s">
        <v>27740</v>
      </c>
      <c r="J5462" t="str">
        <f t="shared" si="427"/>
        <v>E:\PropInv\MF</v>
      </c>
      <c r="K5462" s="103" t="str">
        <f>HYPERLINK("E:\PropInv\MF\Euless\Sotogrande Blvd_1401_Westdale Hills Doral_Euless_15761","Sotogrande Blvd_1401_Westdale Hills Doral_Euless_15761" )</f>
        <v>Sotogrande Blvd_1401_Westdale Hills Doral_Euless_15761</v>
      </c>
      <c r="L5462" s="104" t="s">
        <v>22253</v>
      </c>
      <c r="M5462" s="103" t="str">
        <f t="shared" si="428"/>
        <v>http://oconnordata.com/mlink/modules/profile/index.cfm?action=profile&amp;prop_id=15761</v>
      </c>
      <c r="N5462" s="1">
        <f t="shared" si="429"/>
        <v>15761</v>
      </c>
    </row>
    <row r="5463" spans="1:14" x14ac:dyDescent="0.3">
      <c r="A5463" s="1">
        <v>15762</v>
      </c>
      <c r="B5463" s="7" t="s">
        <v>5779</v>
      </c>
      <c r="C5463" s="12">
        <v>1401</v>
      </c>
      <c r="D5463" s="7" t="s">
        <v>8231</v>
      </c>
      <c r="E5463" s="13" t="s">
        <v>5781</v>
      </c>
      <c r="F5463" t="str">
        <f t="shared" si="425"/>
        <v>Sotogrande</v>
      </c>
      <c r="G5463" t="str">
        <f t="shared" si="426"/>
        <v>Sotogrande1401Euless</v>
      </c>
      <c r="H5463" t="s">
        <v>36320</v>
      </c>
      <c r="I5463" t="s">
        <v>27741</v>
      </c>
      <c r="J5463" t="str">
        <f t="shared" si="427"/>
        <v>E:\PropInv\MF</v>
      </c>
      <c r="K5463" s="103" t="str">
        <f>HYPERLINK("E:\PropInv\MF\Euless\Sotogrande Blvd_1401_Westdale Hills Sawgrass_Euless_15762","Sotogrande Blvd_1401_Westdale Hills Sawgrass_Euless_15762" )</f>
        <v>Sotogrande Blvd_1401_Westdale Hills Sawgrass_Euless_15762</v>
      </c>
      <c r="L5463" s="104" t="s">
        <v>22253</v>
      </c>
      <c r="M5463" s="103" t="str">
        <f t="shared" si="428"/>
        <v>http://oconnordata.com/mlink/modules/profile/index.cfm?action=profile&amp;prop_id=15762</v>
      </c>
      <c r="N5463" s="1">
        <f t="shared" si="429"/>
        <v>15762</v>
      </c>
    </row>
    <row r="5464" spans="1:14" x14ac:dyDescent="0.3">
      <c r="A5464" s="1">
        <v>15763</v>
      </c>
      <c r="B5464" s="7" t="s">
        <v>5779</v>
      </c>
      <c r="C5464" s="12">
        <v>1401</v>
      </c>
      <c r="D5464" s="7" t="s">
        <v>8232</v>
      </c>
      <c r="E5464" s="13" t="s">
        <v>5781</v>
      </c>
      <c r="F5464" t="str">
        <f t="shared" si="425"/>
        <v>Sotogrande</v>
      </c>
      <c r="G5464" t="str">
        <f t="shared" si="426"/>
        <v>Sotogrande1401Euless</v>
      </c>
      <c r="H5464" t="s">
        <v>36321</v>
      </c>
      <c r="I5464" t="s">
        <v>27742</v>
      </c>
      <c r="J5464" t="str">
        <f t="shared" si="427"/>
        <v>E:\PropInv\MF</v>
      </c>
      <c r="K5464" s="103" t="str">
        <f>HYPERLINK("E:\PropInv\MF\Euless\Sotogrande Blvd_1401_Westdale Hills Pinehurst_Euless_15763","Sotogrande Blvd_1401_Westdale Hills Pinehurst_Euless_15763" )</f>
        <v>Sotogrande Blvd_1401_Westdale Hills Pinehurst_Euless_15763</v>
      </c>
      <c r="L5464" s="104" t="s">
        <v>22253</v>
      </c>
      <c r="M5464" s="103" t="str">
        <f t="shared" si="428"/>
        <v>http://oconnordata.com/mlink/modules/profile/index.cfm?action=profile&amp;prop_id=15763</v>
      </c>
      <c r="N5464" s="1">
        <f t="shared" si="429"/>
        <v>15763</v>
      </c>
    </row>
    <row r="5465" spans="1:14" x14ac:dyDescent="0.3">
      <c r="A5465" s="1">
        <v>15764</v>
      </c>
      <c r="B5465" s="7" t="s">
        <v>5779</v>
      </c>
      <c r="C5465" s="12">
        <v>1401</v>
      </c>
      <c r="D5465" s="7" t="s">
        <v>8233</v>
      </c>
      <c r="E5465" s="13" t="s">
        <v>5781</v>
      </c>
      <c r="F5465" t="str">
        <f t="shared" si="425"/>
        <v>Sotogrande</v>
      </c>
      <c r="G5465" t="str">
        <f t="shared" si="426"/>
        <v>Sotogrande1401Euless</v>
      </c>
      <c r="H5465" t="s">
        <v>36322</v>
      </c>
      <c r="I5465" t="s">
        <v>27743</v>
      </c>
      <c r="J5465" t="str">
        <f t="shared" si="427"/>
        <v>E:\PropInv\MF</v>
      </c>
      <c r="K5465" s="103" t="str">
        <f>HYPERLINK("E:\PropInv\MF\Euless\Sotogrande Blvd_1401_Westdale Hills Oakmont_Euless_15764","Sotogrande Blvd_1401_Westdale Hills Oakmont_Euless_15764" )</f>
        <v>Sotogrande Blvd_1401_Westdale Hills Oakmont_Euless_15764</v>
      </c>
      <c r="L5465" s="104" t="s">
        <v>22253</v>
      </c>
      <c r="M5465" s="103" t="str">
        <f t="shared" si="428"/>
        <v>http://oconnordata.com/mlink/modules/profile/index.cfm?action=profile&amp;prop_id=15764</v>
      </c>
      <c r="N5465" s="1">
        <f t="shared" si="429"/>
        <v>15764</v>
      </c>
    </row>
    <row r="5466" spans="1:14" x14ac:dyDescent="0.3">
      <c r="A5466" s="1">
        <v>15765</v>
      </c>
      <c r="B5466" s="7" t="s">
        <v>5779</v>
      </c>
      <c r="C5466" s="12">
        <v>1401</v>
      </c>
      <c r="D5466" s="7" t="s">
        <v>8234</v>
      </c>
      <c r="E5466" s="13" t="s">
        <v>5781</v>
      </c>
      <c r="F5466" t="str">
        <f t="shared" si="425"/>
        <v>Sotogrande</v>
      </c>
      <c r="G5466" t="str">
        <f t="shared" si="426"/>
        <v>Sotogrande1401Euless</v>
      </c>
      <c r="H5466" t="s">
        <v>36323</v>
      </c>
      <c r="I5466" t="s">
        <v>27744</v>
      </c>
      <c r="J5466" t="str">
        <f t="shared" si="427"/>
        <v>E:\PropInv\MF</v>
      </c>
      <c r="K5466" s="103" t="str">
        <f>HYPERLINK("E:\PropInv\MF\Euless\Sotogrande Blvd_1401_Westdale Hills Crooked Stick_Euless_15765","Sotogrande Blvd_1401_Westdale Hills Crooked Stick_Euless_15765" )</f>
        <v>Sotogrande Blvd_1401_Westdale Hills Crooked Stick_Euless_15765</v>
      </c>
      <c r="L5466" s="104" t="s">
        <v>22253</v>
      </c>
      <c r="M5466" s="103" t="str">
        <f t="shared" si="428"/>
        <v>http://oconnordata.com/mlink/modules/profile/index.cfm?action=profile&amp;prop_id=15765</v>
      </c>
      <c r="N5466" s="1">
        <f t="shared" si="429"/>
        <v>15765</v>
      </c>
    </row>
    <row r="5467" spans="1:14" x14ac:dyDescent="0.3">
      <c r="A5467" s="1">
        <v>15766</v>
      </c>
      <c r="B5467" s="7" t="s">
        <v>5779</v>
      </c>
      <c r="C5467" s="12">
        <v>1401</v>
      </c>
      <c r="D5467" s="7" t="s">
        <v>8235</v>
      </c>
      <c r="E5467" s="13" t="s">
        <v>5781</v>
      </c>
      <c r="F5467" t="str">
        <f t="shared" si="425"/>
        <v>Sotogrande</v>
      </c>
      <c r="G5467" t="str">
        <f t="shared" si="426"/>
        <v>Sotogrande1401Euless</v>
      </c>
      <c r="H5467" t="s">
        <v>36324</v>
      </c>
      <c r="I5467" t="s">
        <v>27745</v>
      </c>
      <c r="J5467" t="str">
        <f t="shared" si="427"/>
        <v>E:\PropInv\MF</v>
      </c>
      <c r="K5467" s="103" t="str">
        <f>HYPERLINK("E:\PropInv\MF\Euless\Sotogrande Blvd_1401_Westdale Hills Bonaventure_Euless_15766","Sotogrande Blvd_1401_Westdale Hills Bonaventure_Euless_15766" )</f>
        <v>Sotogrande Blvd_1401_Westdale Hills Bonaventure_Euless_15766</v>
      </c>
      <c r="L5467" s="104" t="s">
        <v>22253</v>
      </c>
      <c r="M5467" s="103" t="str">
        <f t="shared" si="428"/>
        <v>http://oconnordata.com/mlink/modules/profile/index.cfm?action=profile&amp;prop_id=15766</v>
      </c>
      <c r="N5467" s="1">
        <f t="shared" si="429"/>
        <v>15766</v>
      </c>
    </row>
    <row r="5468" spans="1:14" x14ac:dyDescent="0.3">
      <c r="A5468" s="1">
        <v>15768</v>
      </c>
      <c r="B5468" s="7" t="s">
        <v>8236</v>
      </c>
      <c r="C5468" s="12">
        <v>8302</v>
      </c>
      <c r="D5468" s="7" t="s">
        <v>262</v>
      </c>
      <c r="E5468" s="13" t="s">
        <v>842</v>
      </c>
      <c r="F5468" t="str">
        <f t="shared" si="425"/>
        <v>Hausman</v>
      </c>
      <c r="G5468" t="str">
        <f t="shared" si="426"/>
        <v>Hausman8302San Antonio</v>
      </c>
      <c r="H5468" t="s">
        <v>36325</v>
      </c>
      <c r="I5468" t="s">
        <v>27746</v>
      </c>
      <c r="J5468" t="str">
        <f t="shared" si="427"/>
        <v>E:\PropInv\MF</v>
      </c>
      <c r="K5468" s="103" t="str">
        <f>HYPERLINK("E:\PropInv\MF\San Antonio\Hausman Rd W_8302_Montecito_San Antonio_15768","Hausman Rd W_8302_Montecito_San Antonio_15768" )</f>
        <v>Hausman Rd W_8302_Montecito_San Antonio_15768</v>
      </c>
      <c r="L5468" s="104" t="s">
        <v>22253</v>
      </c>
      <c r="M5468" s="103" t="str">
        <f t="shared" si="428"/>
        <v>http://oconnordata.com/mlink/modules/profile/index.cfm?action=profile&amp;prop_id=15768</v>
      </c>
      <c r="N5468" s="1">
        <f t="shared" si="429"/>
        <v>15768</v>
      </c>
    </row>
    <row r="5469" spans="1:14" x14ac:dyDescent="0.3">
      <c r="A5469" s="1">
        <v>15769</v>
      </c>
      <c r="B5469" s="7" t="s">
        <v>8237</v>
      </c>
      <c r="C5469" s="12">
        <v>708</v>
      </c>
      <c r="D5469" s="7" t="s">
        <v>8238</v>
      </c>
      <c r="E5469" s="13" t="s">
        <v>1138</v>
      </c>
      <c r="F5469" t="str">
        <f t="shared" si="425"/>
        <v>Smokey</v>
      </c>
      <c r="G5469" t="str">
        <f t="shared" si="426"/>
        <v>Smokey708Kerrville</v>
      </c>
      <c r="H5469" t="s">
        <v>36326</v>
      </c>
      <c r="I5469" t="s">
        <v>27747</v>
      </c>
      <c r="J5469" t="str">
        <f t="shared" si="427"/>
        <v>E:\PropInv\MF</v>
      </c>
      <c r="K5469" s="103" t="str">
        <f>HYPERLINK("E:\PropInv\MF\Kerrville\Smokey Mountain Dr_708_Summit Apts_Kerrville_15769","Smokey Mountain Dr_708_Summit Apts_Kerrville_15769" )</f>
        <v>Smokey Mountain Dr_708_Summit Apts_Kerrville_15769</v>
      </c>
      <c r="L5469" s="104" t="s">
        <v>22253</v>
      </c>
      <c r="M5469" s="103" t="str">
        <f t="shared" si="428"/>
        <v>http://oconnordata.com/mlink/modules/profile/index.cfm?action=profile&amp;prop_id=15769</v>
      </c>
      <c r="N5469" s="1">
        <f t="shared" si="429"/>
        <v>15769</v>
      </c>
    </row>
    <row r="5470" spans="1:14" x14ac:dyDescent="0.3">
      <c r="A5470" s="1">
        <v>15770</v>
      </c>
      <c r="B5470" s="7" t="s">
        <v>8239</v>
      </c>
      <c r="C5470" s="12">
        <v>516</v>
      </c>
      <c r="D5470" s="7" t="s">
        <v>8240</v>
      </c>
      <c r="E5470" s="13" t="s">
        <v>1138</v>
      </c>
      <c r="F5470" t="str">
        <f t="shared" si="425"/>
        <v>Brian</v>
      </c>
      <c r="G5470" t="str">
        <f t="shared" si="426"/>
        <v>Brian516Kerrville</v>
      </c>
      <c r="H5470" t="s">
        <v>36327</v>
      </c>
      <c r="I5470" t="s">
        <v>27748</v>
      </c>
      <c r="J5470" t="str">
        <f t="shared" si="427"/>
        <v>E:\PropInv\MF</v>
      </c>
      <c r="K5470" s="103" t="str">
        <f>HYPERLINK("E:\PropInv\MF\Kerrville\Brian Dr_516_North Ridge Village Duplex Apts_Kerrville_15770","Brian Dr_516_North Ridge Village Duplex Apts_Kerrville_15770" )</f>
        <v>Brian Dr_516_North Ridge Village Duplex Apts_Kerrville_15770</v>
      </c>
      <c r="L5470" s="104" t="s">
        <v>22253</v>
      </c>
      <c r="M5470" s="103" t="str">
        <f t="shared" si="428"/>
        <v>http://oconnordata.com/mlink/modules/profile/index.cfm?action=profile&amp;prop_id=15770</v>
      </c>
      <c r="N5470" s="1">
        <f t="shared" si="429"/>
        <v>15770</v>
      </c>
    </row>
    <row r="5471" spans="1:14" x14ac:dyDescent="0.3">
      <c r="A5471" s="1">
        <v>15771</v>
      </c>
      <c r="B5471" s="7" t="s">
        <v>8241</v>
      </c>
      <c r="C5471" s="12">
        <v>100</v>
      </c>
      <c r="D5471" s="7" t="s">
        <v>8242</v>
      </c>
      <c r="E5471" s="13" t="s">
        <v>1138</v>
      </c>
      <c r="F5471" t="str">
        <f t="shared" si="425"/>
        <v>Park</v>
      </c>
      <c r="G5471" t="str">
        <f t="shared" si="426"/>
        <v>Park100Kerrville</v>
      </c>
      <c r="H5471" t="s">
        <v>36328</v>
      </c>
      <c r="I5471" t="s">
        <v>27749</v>
      </c>
      <c r="J5471" t="str">
        <f t="shared" si="427"/>
        <v>E:\PropInv\MF</v>
      </c>
      <c r="K5471" s="103" t="str">
        <f>HYPERLINK("E:\PropInv\MF\Kerrville\Park Ln Dr_100_Park Lane Apts_Kerrville_15771","Park Ln Dr_100_Park Lane Apts_Kerrville_15771" )</f>
        <v>Park Ln Dr_100_Park Lane Apts_Kerrville_15771</v>
      </c>
      <c r="L5471" s="104" t="s">
        <v>22253</v>
      </c>
      <c r="M5471" s="103" t="str">
        <f t="shared" si="428"/>
        <v>http://oconnordata.com/mlink/modules/profile/index.cfm?action=profile&amp;prop_id=15771</v>
      </c>
      <c r="N5471" s="1">
        <f t="shared" si="429"/>
        <v>15771</v>
      </c>
    </row>
    <row r="5472" spans="1:14" x14ac:dyDescent="0.3">
      <c r="A5472" s="1">
        <v>15772</v>
      </c>
      <c r="B5472" s="7" t="s">
        <v>5</v>
      </c>
      <c r="C5472" s="12">
        <v>9235</v>
      </c>
      <c r="D5472" s="7" t="s">
        <v>8243</v>
      </c>
      <c r="E5472" s="13" t="s">
        <v>1657</v>
      </c>
      <c r="F5472" t="str">
        <f t="shared" si="425"/>
        <v>Westheimer</v>
      </c>
      <c r="G5472" t="str">
        <f t="shared" si="426"/>
        <v>Westheimer9235Houston</v>
      </c>
      <c r="H5472" t="s">
        <v>36329</v>
      </c>
      <c r="I5472" t="s">
        <v>27750</v>
      </c>
      <c r="J5472" t="str">
        <f t="shared" si="427"/>
        <v>E:\PropInv\MF</v>
      </c>
      <c r="K5472" s="103" t="str">
        <f>HYPERLINK("E:\PropInv\MF\Houston\Westheimer_9235_The Westheimer Park_Houston_15772","Westheimer_9235_The Westheimer Park_Houston_15772" )</f>
        <v>Westheimer_9235_The Westheimer Park_Houston_15772</v>
      </c>
      <c r="L5472" s="104" t="s">
        <v>22253</v>
      </c>
      <c r="M5472" s="103" t="str">
        <f t="shared" si="428"/>
        <v>http://oconnordata.com/mlink/modules/profile/index.cfm?action=profile&amp;prop_id=15772</v>
      </c>
      <c r="N5472" s="1">
        <f t="shared" si="429"/>
        <v>15772</v>
      </c>
    </row>
    <row r="5473" spans="1:14" x14ac:dyDescent="0.3">
      <c r="A5473" s="1">
        <v>15774</v>
      </c>
      <c r="B5473" s="7" t="s">
        <v>2621</v>
      </c>
      <c r="C5473" s="12">
        <v>3903</v>
      </c>
      <c r="D5473" s="7" t="s">
        <v>8244</v>
      </c>
      <c r="E5473" s="13" t="s">
        <v>2198</v>
      </c>
      <c r="F5473" t="str">
        <f t="shared" si="425"/>
        <v>Mason</v>
      </c>
      <c r="G5473" t="str">
        <f t="shared" si="426"/>
        <v>Mason3903Katy</v>
      </c>
      <c r="H5473" t="s">
        <v>36330</v>
      </c>
      <c r="I5473" t="s">
        <v>27751</v>
      </c>
      <c r="J5473" t="str">
        <f t="shared" si="427"/>
        <v>E:\PropInv\MF</v>
      </c>
      <c r="K5473" s="103" t="str">
        <f>HYPERLINK("E:\PropInv\MF\Katy\Mason Rd S_3903_Ashley House_Katy_15774","Mason Rd S_3903_Ashley House_Katy_15774" )</f>
        <v>Mason Rd S_3903_Ashley House_Katy_15774</v>
      </c>
      <c r="L5473" s="104" t="s">
        <v>22253</v>
      </c>
      <c r="M5473" s="103" t="str">
        <f t="shared" si="428"/>
        <v>http://oconnordata.com/mlink/modules/profile/index.cfm?action=profile&amp;prop_id=15774</v>
      </c>
      <c r="N5473" s="1">
        <f t="shared" si="429"/>
        <v>15774</v>
      </c>
    </row>
    <row r="5474" spans="1:14" x14ac:dyDescent="0.3">
      <c r="A5474" s="1">
        <v>15775</v>
      </c>
      <c r="B5474" s="7" t="s">
        <v>805</v>
      </c>
      <c r="C5474" s="12">
        <v>2000</v>
      </c>
      <c r="D5474" s="7" t="s">
        <v>8245</v>
      </c>
      <c r="E5474" s="13" t="s">
        <v>7</v>
      </c>
      <c r="F5474" t="str">
        <f t="shared" si="425"/>
        <v>Lakeline</v>
      </c>
      <c r="G5474" t="str">
        <f t="shared" si="426"/>
        <v>Lakeline2000Austin</v>
      </c>
      <c r="H5474" t="s">
        <v>36331</v>
      </c>
      <c r="I5474" t="s">
        <v>27752</v>
      </c>
      <c r="J5474" t="str">
        <f t="shared" si="427"/>
        <v>E:\PropInv\MF</v>
      </c>
      <c r="K5474" s="103" t="str">
        <f>HYPERLINK("E:\PropInv\MF\Austin\Lakeline Blvd S_2000_Lodge At Lakeline Village_Austin_15775","Lakeline Blvd S_2000_Lodge At Lakeline Village_Austin_15775" )</f>
        <v>Lakeline Blvd S_2000_Lodge At Lakeline Village_Austin_15775</v>
      </c>
      <c r="L5474" s="104" t="s">
        <v>22253</v>
      </c>
      <c r="M5474" s="103" t="str">
        <f t="shared" si="428"/>
        <v>http://oconnordata.com/mlink/modules/profile/index.cfm?action=profile&amp;prop_id=15775</v>
      </c>
      <c r="N5474" s="1">
        <f t="shared" si="429"/>
        <v>15775</v>
      </c>
    </row>
    <row r="5475" spans="1:14" x14ac:dyDescent="0.3">
      <c r="A5475" s="1">
        <v>15776</v>
      </c>
      <c r="B5475" s="7" t="s">
        <v>793</v>
      </c>
      <c r="C5475" s="12">
        <v>9715</v>
      </c>
      <c r="D5475" s="7" t="s">
        <v>8246</v>
      </c>
      <c r="E5475" s="13" t="s">
        <v>7</v>
      </c>
      <c r="F5475" t="str">
        <f t="shared" si="425"/>
        <v>620</v>
      </c>
      <c r="G5475" t="str">
        <f t="shared" si="426"/>
        <v>6209715Austin</v>
      </c>
      <c r="H5475" t="s">
        <v>36332</v>
      </c>
      <c r="I5475" t="s">
        <v>27753</v>
      </c>
      <c r="J5475" t="str">
        <f t="shared" si="427"/>
        <v>E:\PropInv\MF</v>
      </c>
      <c r="K5475" s="103" t="str">
        <f>HYPERLINK("E:\PropInv\MF\Austin\620 FM N_9715_Escalon at Canyon Creek_Austin_15776","620 FM N_9715_Escalon at Canyon Creek_Austin_15776" )</f>
        <v>620 FM N_9715_Escalon at Canyon Creek_Austin_15776</v>
      </c>
      <c r="L5475" s="104" t="s">
        <v>22253</v>
      </c>
      <c r="M5475" s="103" t="str">
        <f t="shared" si="428"/>
        <v>http://oconnordata.com/mlink/modules/profile/index.cfm?action=profile&amp;prop_id=15776</v>
      </c>
      <c r="N5475" s="1">
        <f t="shared" si="429"/>
        <v>15776</v>
      </c>
    </row>
    <row r="5476" spans="1:14" x14ac:dyDescent="0.3">
      <c r="A5476" s="1">
        <v>15777</v>
      </c>
      <c r="B5476" s="7" t="s">
        <v>8247</v>
      </c>
      <c r="C5476" s="12">
        <v>401</v>
      </c>
      <c r="D5476" s="7" t="s">
        <v>8248</v>
      </c>
      <c r="E5476" s="13" t="s">
        <v>7</v>
      </c>
      <c r="F5476" t="str">
        <f t="shared" si="425"/>
        <v>Little</v>
      </c>
      <c r="G5476" t="str">
        <f t="shared" si="426"/>
        <v>Little401Austin</v>
      </c>
      <c r="H5476" t="s">
        <v>36333</v>
      </c>
      <c r="I5476" t="s">
        <v>27754</v>
      </c>
      <c r="J5476" t="str">
        <f t="shared" si="427"/>
        <v>E:\PropInv\MF</v>
      </c>
      <c r="K5476" s="103" t="str">
        <f>HYPERLINK("E:\PropInv\MF\Austin\Little Texas Ln_401_Regency Park_Austin_15777","Little Texas Ln_401_Regency Park_Austin_15777" )</f>
        <v>Little Texas Ln_401_Regency Park_Austin_15777</v>
      </c>
      <c r="L5476" s="104" t="s">
        <v>22253</v>
      </c>
      <c r="M5476" s="103" t="str">
        <f t="shared" si="428"/>
        <v>http://oconnordata.com/mlink/modules/profile/index.cfm?action=profile&amp;prop_id=15777</v>
      </c>
      <c r="N5476" s="1">
        <f t="shared" si="429"/>
        <v>15777</v>
      </c>
    </row>
    <row r="5477" spans="1:14" x14ac:dyDescent="0.3">
      <c r="A5477" s="1">
        <v>15778</v>
      </c>
      <c r="B5477" s="7" t="s">
        <v>1075</v>
      </c>
      <c r="C5477" s="12">
        <v>3007</v>
      </c>
      <c r="D5477" s="7" t="s">
        <v>8249</v>
      </c>
      <c r="E5477" s="13" t="s">
        <v>842</v>
      </c>
      <c r="F5477" t="str">
        <f t="shared" si="425"/>
        <v>Military</v>
      </c>
      <c r="G5477" t="str">
        <f t="shared" si="426"/>
        <v>Military3007San Antonio</v>
      </c>
      <c r="H5477" t="s">
        <v>36334</v>
      </c>
      <c r="I5477" t="s">
        <v>27755</v>
      </c>
      <c r="J5477" t="str">
        <f t="shared" si="427"/>
        <v>E:\PropInv\MF</v>
      </c>
      <c r="K5477" s="103" t="str">
        <f>HYPERLINK("E:\PropInv\MF\San Antonio\Military Dr SE_3007_Villas Of Costa Dorada_San Antonio_15778","Military Dr SE_3007_Villas Of Costa Dorada_San Antonio_15778" )</f>
        <v>Military Dr SE_3007_Villas Of Costa Dorada_San Antonio_15778</v>
      </c>
      <c r="L5477" s="104" t="s">
        <v>22253</v>
      </c>
      <c r="M5477" s="103" t="str">
        <f t="shared" si="428"/>
        <v>http://oconnordata.com/mlink/modules/profile/index.cfm?action=profile&amp;prop_id=15778</v>
      </c>
      <c r="N5477" s="1">
        <f t="shared" si="429"/>
        <v>15778</v>
      </c>
    </row>
    <row r="5478" spans="1:14" x14ac:dyDescent="0.3">
      <c r="A5478" s="1">
        <v>15779</v>
      </c>
      <c r="B5478" s="7" t="s">
        <v>8250</v>
      </c>
      <c r="C5478" s="12">
        <v>500</v>
      </c>
      <c r="D5478" s="7" t="s">
        <v>8251</v>
      </c>
      <c r="E5478" s="13" t="s">
        <v>5043</v>
      </c>
      <c r="F5478" t="str">
        <f t="shared" si="425"/>
        <v>Lamar</v>
      </c>
      <c r="G5478" t="str">
        <f t="shared" si="426"/>
        <v>Lamar500McKinney</v>
      </c>
      <c r="H5478" t="s">
        <v>36335</v>
      </c>
      <c r="I5478" t="s">
        <v>27756</v>
      </c>
      <c r="J5478" t="str">
        <f t="shared" si="427"/>
        <v>E:\PropInv\MF</v>
      </c>
      <c r="K5478" s="103" t="str">
        <f>HYPERLINK("E:\PropInv\MF\McKinney\Lamar St W_500_Lamar Plaza_McKinney_15779","Lamar St W_500_Lamar Plaza_McKinney_15779" )</f>
        <v>Lamar St W_500_Lamar Plaza_McKinney_15779</v>
      </c>
      <c r="L5478" s="104" t="s">
        <v>22253</v>
      </c>
      <c r="M5478" s="103" t="str">
        <f t="shared" si="428"/>
        <v>http://oconnordata.com/mlink/modules/profile/index.cfm?action=profile&amp;prop_id=15779</v>
      </c>
      <c r="N5478" s="1">
        <f t="shared" si="429"/>
        <v>15779</v>
      </c>
    </row>
    <row r="5479" spans="1:14" x14ac:dyDescent="0.3">
      <c r="A5479" s="1">
        <v>15783</v>
      </c>
      <c r="B5479" s="7" t="s">
        <v>3703</v>
      </c>
      <c r="C5479" s="12">
        <v>9550</v>
      </c>
      <c r="D5479" s="7" t="s">
        <v>8252</v>
      </c>
      <c r="E5479" s="13" t="s">
        <v>1657</v>
      </c>
      <c r="F5479" t="str">
        <f t="shared" si="425"/>
        <v>Meyer</v>
      </c>
      <c r="G5479" t="str">
        <f t="shared" si="426"/>
        <v>Meyer9550Houston</v>
      </c>
      <c r="H5479" t="s">
        <v>36336</v>
      </c>
      <c r="I5479" t="s">
        <v>27757</v>
      </c>
      <c r="J5479" t="str">
        <f t="shared" si="427"/>
        <v>E:\PropInv\MF</v>
      </c>
      <c r="K5479" s="103" t="str">
        <f>HYPERLINK("E:\PropInv\MF\Houston\Meyer Forest Dr_9550_Meyer Park Lakeside (II)_Houston_15783","Meyer Forest Dr_9550_Meyer Park Lakeside (II)_Houston_15783" )</f>
        <v>Meyer Forest Dr_9550_Meyer Park Lakeside (II)_Houston_15783</v>
      </c>
      <c r="L5479" s="104" t="s">
        <v>22253</v>
      </c>
      <c r="M5479" s="103" t="str">
        <f t="shared" si="428"/>
        <v>http://oconnordata.com/mlink/modules/profile/index.cfm?action=profile&amp;prop_id=15783</v>
      </c>
      <c r="N5479" s="1">
        <f t="shared" si="429"/>
        <v>15783</v>
      </c>
    </row>
    <row r="5480" spans="1:14" x14ac:dyDescent="0.3">
      <c r="A5480" s="1">
        <v>15784</v>
      </c>
      <c r="B5480" s="7" t="s">
        <v>1937</v>
      </c>
      <c r="C5480" s="12">
        <v>6060</v>
      </c>
      <c r="D5480" s="7" t="s">
        <v>8253</v>
      </c>
      <c r="E5480" s="13" t="s">
        <v>1763</v>
      </c>
      <c r="F5480" t="str">
        <f t="shared" si="425"/>
        <v>Greens</v>
      </c>
      <c r="G5480" t="str">
        <f t="shared" si="426"/>
        <v>Greens6060Humble</v>
      </c>
      <c r="H5480" t="s">
        <v>36337</v>
      </c>
      <c r="I5480" t="s">
        <v>27758</v>
      </c>
      <c r="J5480" t="str">
        <f t="shared" si="427"/>
        <v>E:\PropInv\MF</v>
      </c>
      <c r="K5480" s="103" t="str">
        <f>HYPERLINK("E:\PropInv\MF\Humble\Greens Rd_6060_Green Pines_Humble_15784","Greens Rd_6060_Green Pines_Humble_15784" )</f>
        <v>Greens Rd_6060_Green Pines_Humble_15784</v>
      </c>
      <c r="L5480" s="104" t="s">
        <v>22253</v>
      </c>
      <c r="M5480" s="103" t="str">
        <f t="shared" si="428"/>
        <v>http://oconnordata.com/mlink/modules/profile/index.cfm?action=profile&amp;prop_id=15784</v>
      </c>
      <c r="N5480" s="1">
        <f t="shared" si="429"/>
        <v>15784</v>
      </c>
    </row>
    <row r="5481" spans="1:14" x14ac:dyDescent="0.3">
      <c r="A5481" s="1">
        <v>15785</v>
      </c>
      <c r="B5481" s="7" t="s">
        <v>8254</v>
      </c>
      <c r="C5481" s="12">
        <v>3101</v>
      </c>
      <c r="D5481" s="7" t="s">
        <v>8255</v>
      </c>
      <c r="E5481" s="13" t="s">
        <v>4428</v>
      </c>
      <c r="F5481" t="str">
        <f t="shared" si="425"/>
        <v>Vista</v>
      </c>
      <c r="G5481" t="str">
        <f t="shared" si="426"/>
        <v>Vista3101Rosenberg</v>
      </c>
      <c r="H5481" t="s">
        <v>36338</v>
      </c>
      <c r="I5481" t="s">
        <v>27759</v>
      </c>
      <c r="J5481" t="str">
        <f t="shared" si="427"/>
        <v>E:\PropInv\MF</v>
      </c>
      <c r="K5481" s="103" t="str">
        <f>HYPERLINK("E:\PropInv\MF\Rosenberg\Vista Dr_3101_The Club of the Brazos_Rosenberg_15785","Vista Dr_3101_The Club of the Brazos_Rosenberg_15785" )</f>
        <v>Vista Dr_3101_The Club of the Brazos_Rosenberg_15785</v>
      </c>
      <c r="L5481" s="104" t="s">
        <v>22253</v>
      </c>
      <c r="M5481" s="103" t="str">
        <f t="shared" si="428"/>
        <v>http://oconnordata.com/mlink/modules/profile/index.cfm?action=profile&amp;prop_id=15785</v>
      </c>
      <c r="N5481" s="1">
        <f t="shared" si="429"/>
        <v>15785</v>
      </c>
    </row>
    <row r="5482" spans="1:14" x14ac:dyDescent="0.3">
      <c r="A5482" s="1">
        <v>15787</v>
      </c>
      <c r="B5482" s="7" t="s">
        <v>4238</v>
      </c>
      <c r="C5482" s="12">
        <v>2901</v>
      </c>
      <c r="D5482" s="7" t="s">
        <v>8256</v>
      </c>
      <c r="E5482" s="13" t="s">
        <v>4047</v>
      </c>
      <c r="F5482" t="str">
        <f t="shared" si="425"/>
        <v>Broadway</v>
      </c>
      <c r="G5482" t="str">
        <f t="shared" si="426"/>
        <v>Broadway2901La Porte</v>
      </c>
      <c r="H5482" t="s">
        <v>36339</v>
      </c>
      <c r="I5482" t="s">
        <v>27760</v>
      </c>
      <c r="J5482" t="str">
        <f t="shared" si="427"/>
        <v>E:\PropInv\MF</v>
      </c>
      <c r="K5482" s="103" t="str">
        <f>HYPERLINK("E:\PropInv\MF\La Porte\Broadway S_2901_Churchill Place_La Porte_15787","Broadway S_2901_Churchill Place_La Porte_15787" )</f>
        <v>Broadway S_2901_Churchill Place_La Porte_15787</v>
      </c>
      <c r="L5482" s="104" t="s">
        <v>22253</v>
      </c>
      <c r="M5482" s="103" t="str">
        <f t="shared" si="428"/>
        <v>http://oconnordata.com/mlink/modules/profile/index.cfm?action=profile&amp;prop_id=15787</v>
      </c>
      <c r="N5482" s="1">
        <f t="shared" si="429"/>
        <v>15787</v>
      </c>
    </row>
    <row r="5483" spans="1:14" x14ac:dyDescent="0.3">
      <c r="A5483" s="1">
        <v>15788</v>
      </c>
      <c r="B5483" s="7" t="s">
        <v>7641</v>
      </c>
      <c r="C5483" s="12">
        <v>3720</v>
      </c>
      <c r="D5483" s="7" t="s">
        <v>8257</v>
      </c>
      <c r="E5483" s="13" t="s">
        <v>5088</v>
      </c>
      <c r="F5483" t="str">
        <f t="shared" si="425"/>
        <v>Oates</v>
      </c>
      <c r="G5483" t="str">
        <f t="shared" si="426"/>
        <v>Oates3720Mesquite</v>
      </c>
      <c r="H5483" t="s">
        <v>36340</v>
      </c>
      <c r="I5483" t="s">
        <v>27761</v>
      </c>
      <c r="J5483" t="str">
        <f t="shared" si="427"/>
        <v>E:\PropInv\MF</v>
      </c>
      <c r="K5483" s="103" t="str">
        <f>HYPERLINK("E:\PropInv\MF\Mesquite\Oates Dr_3720_Summit Point_Mesquite_15788","Oates Dr_3720_Summit Point_Mesquite_15788" )</f>
        <v>Oates Dr_3720_Summit Point_Mesquite_15788</v>
      </c>
      <c r="L5483" s="104" t="s">
        <v>22253</v>
      </c>
      <c r="M5483" s="103" t="str">
        <f t="shared" si="428"/>
        <v>http://oconnordata.com/mlink/modules/profile/index.cfm?action=profile&amp;prop_id=15788</v>
      </c>
      <c r="N5483" s="1">
        <f t="shared" si="429"/>
        <v>15788</v>
      </c>
    </row>
    <row r="5484" spans="1:14" x14ac:dyDescent="0.3">
      <c r="A5484" s="1">
        <v>15791</v>
      </c>
      <c r="B5484" s="7" t="s">
        <v>3114</v>
      </c>
      <c r="C5484" s="12">
        <v>2115</v>
      </c>
      <c r="D5484" s="7" t="s">
        <v>8258</v>
      </c>
      <c r="E5484" s="13" t="s">
        <v>1657</v>
      </c>
      <c r="F5484" t="str">
        <f t="shared" si="425"/>
        <v>Runnels</v>
      </c>
      <c r="G5484" t="str">
        <f t="shared" si="426"/>
        <v>Runnels2115Houston</v>
      </c>
      <c r="H5484" t="s">
        <v>36341</v>
      </c>
      <c r="I5484" t="s">
        <v>27762</v>
      </c>
      <c r="J5484" t="str">
        <f t="shared" si="427"/>
        <v>E:\PropInv\MF</v>
      </c>
      <c r="K5484" s="103" t="str">
        <f>HYPERLINK("E:\PropInv\MF\Houston\Runnels St_2115_Marquis Downtown Lofts_Houston_15791","Runnels St_2115_Marquis Downtown Lofts_Houston_15791" )</f>
        <v>Runnels St_2115_Marquis Downtown Lofts_Houston_15791</v>
      </c>
      <c r="L5484" s="104" t="s">
        <v>22253</v>
      </c>
      <c r="M5484" s="103" t="str">
        <f t="shared" si="428"/>
        <v>http://oconnordata.com/mlink/modules/profile/index.cfm?action=profile&amp;prop_id=15791</v>
      </c>
      <c r="N5484" s="1">
        <f t="shared" si="429"/>
        <v>15791</v>
      </c>
    </row>
    <row r="5485" spans="1:14" x14ac:dyDescent="0.3">
      <c r="A5485" s="1">
        <v>15792</v>
      </c>
      <c r="B5485" s="7" t="s">
        <v>8259</v>
      </c>
      <c r="C5485" s="12">
        <v>1938</v>
      </c>
      <c r="D5485" s="7" t="s">
        <v>8260</v>
      </c>
      <c r="E5485" s="13" t="s">
        <v>5019</v>
      </c>
      <c r="F5485" t="str">
        <f t="shared" si="425"/>
        <v>Cranford</v>
      </c>
      <c r="G5485" t="str">
        <f t="shared" si="426"/>
        <v>Cranford1938Garland</v>
      </c>
      <c r="H5485" t="s">
        <v>36342</v>
      </c>
      <c r="I5485" t="s">
        <v>27763</v>
      </c>
      <c r="J5485" t="str">
        <f t="shared" si="427"/>
        <v>E:\PropInv\MF</v>
      </c>
      <c r="K5485" s="103" t="str">
        <f>HYPERLINK("E:\PropInv\MF\Garland\Cranford #1_1938_Pecan Pointe TH_Garland_15792","Cranford #1_1938_Pecan Pointe TH_Garland_15792" )</f>
        <v>Cranford #1_1938_Pecan Pointe TH_Garland_15792</v>
      </c>
      <c r="L5485" s="104" t="s">
        <v>22253</v>
      </c>
      <c r="M5485" s="103" t="str">
        <f t="shared" si="428"/>
        <v>http://oconnordata.com/mlink/modules/profile/index.cfm?action=profile&amp;prop_id=15792</v>
      </c>
      <c r="N5485" s="1">
        <f t="shared" si="429"/>
        <v>15792</v>
      </c>
    </row>
    <row r="5486" spans="1:14" x14ac:dyDescent="0.3">
      <c r="A5486" s="1">
        <v>15793</v>
      </c>
      <c r="B5486" s="7" t="s">
        <v>8261</v>
      </c>
      <c r="C5486" s="12">
        <v>500</v>
      </c>
      <c r="D5486" s="7" t="s">
        <v>8262</v>
      </c>
      <c r="E5486" s="13" t="s">
        <v>6578</v>
      </c>
      <c r="F5486" t="str">
        <f t="shared" si="425"/>
        <v>Dove</v>
      </c>
      <c r="G5486" t="str">
        <f t="shared" si="426"/>
        <v>Dove500Grapevine</v>
      </c>
      <c r="H5486" t="s">
        <v>36343</v>
      </c>
      <c r="I5486" t="s">
        <v>27764</v>
      </c>
      <c r="J5486" t="str">
        <f t="shared" si="427"/>
        <v>E:\PropInv\MF</v>
      </c>
      <c r="K5486" s="103" t="str">
        <f>HYPERLINK("E:\PropInv\MF\Grapevine\Dove Rd_500_Dove Creek Villas_Grapevine_15793","Dove Rd_500_Dove Creek Villas_Grapevine_15793" )</f>
        <v>Dove Rd_500_Dove Creek Villas_Grapevine_15793</v>
      </c>
      <c r="L5486" s="104" t="s">
        <v>22253</v>
      </c>
      <c r="M5486" s="103" t="str">
        <f t="shared" si="428"/>
        <v>http://oconnordata.com/mlink/modules/profile/index.cfm?action=profile&amp;prop_id=15793</v>
      </c>
      <c r="N5486" s="1">
        <f t="shared" si="429"/>
        <v>15793</v>
      </c>
    </row>
    <row r="5487" spans="1:14" x14ac:dyDescent="0.3">
      <c r="A5487" s="1">
        <v>15794</v>
      </c>
      <c r="B5487" s="7" t="s">
        <v>8263</v>
      </c>
      <c r="C5487" s="12">
        <v>8383</v>
      </c>
      <c r="D5487" s="7" t="s">
        <v>8264</v>
      </c>
      <c r="E5487" s="13" t="s">
        <v>1657</v>
      </c>
      <c r="F5487" t="str">
        <f t="shared" si="425"/>
        <v>El</v>
      </c>
      <c r="G5487" t="str">
        <f t="shared" si="426"/>
        <v>El8383Houston</v>
      </c>
      <c r="H5487" t="s">
        <v>36344</v>
      </c>
      <c r="I5487" t="s">
        <v>27765</v>
      </c>
      <c r="J5487" t="str">
        <f t="shared" si="427"/>
        <v>E:\PropInv\MF</v>
      </c>
      <c r="K5487" s="103" t="str">
        <f>HYPERLINK("E:\PropInv\MF\Houston\El Mundo Dr_8383_San Melia_Houston_15794","El Mundo Dr_8383_San Melia_Houston_15794" )</f>
        <v>El Mundo Dr_8383_San Melia_Houston_15794</v>
      </c>
      <c r="L5487" s="104" t="s">
        <v>22253</v>
      </c>
      <c r="M5487" s="103" t="str">
        <f t="shared" si="428"/>
        <v>http://oconnordata.com/mlink/modules/profile/index.cfm?action=profile&amp;prop_id=15794</v>
      </c>
      <c r="N5487" s="1">
        <f t="shared" si="429"/>
        <v>15794</v>
      </c>
    </row>
    <row r="5488" spans="1:14" x14ac:dyDescent="0.3">
      <c r="A5488" s="1">
        <v>15795</v>
      </c>
      <c r="B5488" s="7" t="s">
        <v>4219</v>
      </c>
      <c r="C5488" s="12">
        <v>12055</v>
      </c>
      <c r="D5488" s="7" t="s">
        <v>8265</v>
      </c>
      <c r="E5488" s="13" t="s">
        <v>1657</v>
      </c>
      <c r="F5488" t="str">
        <f t="shared" si="425"/>
        <v>Sabo</v>
      </c>
      <c r="G5488" t="str">
        <f t="shared" si="426"/>
        <v>Sabo12055Houston</v>
      </c>
      <c r="H5488" t="s">
        <v>36345</v>
      </c>
      <c r="I5488" t="s">
        <v>27766</v>
      </c>
      <c r="J5488" t="str">
        <f t="shared" si="427"/>
        <v>E:\PropInv\MF</v>
      </c>
      <c r="K5488" s="103" t="str">
        <f>HYPERLINK("E:\PropInv\MF\Houston\Sabo Rd_12055_Mirabella_Houston_15795","Sabo Rd_12055_Mirabella_Houston_15795" )</f>
        <v>Sabo Rd_12055_Mirabella_Houston_15795</v>
      </c>
      <c r="L5488" s="104" t="s">
        <v>22253</v>
      </c>
      <c r="M5488" s="103" t="str">
        <f t="shared" si="428"/>
        <v>http://oconnordata.com/mlink/modules/profile/index.cfm?action=profile&amp;prop_id=15795</v>
      </c>
      <c r="N5488" s="1">
        <f t="shared" si="429"/>
        <v>15795</v>
      </c>
    </row>
    <row r="5489" spans="1:14" x14ac:dyDescent="0.3">
      <c r="A5489" s="1">
        <v>15796</v>
      </c>
      <c r="B5489" s="7" t="s">
        <v>8266</v>
      </c>
      <c r="C5489" s="12">
        <v>14333</v>
      </c>
      <c r="D5489" s="7" t="s">
        <v>8267</v>
      </c>
      <c r="E5489" s="13" t="s">
        <v>1657</v>
      </c>
      <c r="F5489" t="str">
        <f t="shared" si="425"/>
        <v>Philippine</v>
      </c>
      <c r="G5489" t="str">
        <f t="shared" si="426"/>
        <v>Philippine14333Houston</v>
      </c>
      <c r="H5489" t="s">
        <v>36346</v>
      </c>
      <c r="I5489" t="s">
        <v>27767</v>
      </c>
      <c r="J5489" t="str">
        <f t="shared" si="427"/>
        <v>E:\PropInv\MF</v>
      </c>
      <c r="K5489" s="103" t="str">
        <f>HYPERLINK("E:\PropInv\MF\Houston\Philippine St_14333_Park at Woodwind Lakes_Houston_15796","Philippine St_14333_Park at Woodwind Lakes_Houston_15796" )</f>
        <v>Philippine St_14333_Park at Woodwind Lakes_Houston_15796</v>
      </c>
      <c r="L5489" s="104" t="s">
        <v>22253</v>
      </c>
      <c r="M5489" s="103" t="str">
        <f t="shared" si="428"/>
        <v>http://oconnordata.com/mlink/modules/profile/index.cfm?action=profile&amp;prop_id=15796</v>
      </c>
      <c r="N5489" s="1">
        <f t="shared" si="429"/>
        <v>15796</v>
      </c>
    </row>
    <row r="5490" spans="1:14" x14ac:dyDescent="0.3">
      <c r="A5490" s="1">
        <v>15797</v>
      </c>
      <c r="B5490" s="7" t="s">
        <v>8268</v>
      </c>
      <c r="C5490" s="12">
        <v>10155</v>
      </c>
      <c r="D5490" s="7" t="s">
        <v>8269</v>
      </c>
      <c r="E5490" s="13" t="s">
        <v>1657</v>
      </c>
      <c r="F5490" t="str">
        <f t="shared" si="425"/>
        <v>Bammel</v>
      </c>
      <c r="G5490" t="str">
        <f t="shared" si="426"/>
        <v>Bammel10155Houston</v>
      </c>
      <c r="H5490" t="s">
        <v>36347</v>
      </c>
      <c r="I5490" t="s">
        <v>27768</v>
      </c>
      <c r="J5490" t="str">
        <f t="shared" si="427"/>
        <v>E:\PropInv\MF</v>
      </c>
      <c r="K5490" s="103" t="str">
        <f>HYPERLINK("E:\PropInv\MF\Houston\Bammel Houston Rd N_10155_Park at Fallbrook_Houston_15797","Bammel Houston Rd N_10155_Park at Fallbrook_Houston_15797" )</f>
        <v>Bammel Houston Rd N_10155_Park at Fallbrook_Houston_15797</v>
      </c>
      <c r="L5490" s="104" t="s">
        <v>22253</v>
      </c>
      <c r="M5490" s="103" t="str">
        <f t="shared" si="428"/>
        <v>http://oconnordata.com/mlink/modules/profile/index.cfm?action=profile&amp;prop_id=15797</v>
      </c>
      <c r="N5490" s="1">
        <f t="shared" si="429"/>
        <v>15797</v>
      </c>
    </row>
    <row r="5491" spans="1:14" x14ac:dyDescent="0.3">
      <c r="A5491" s="1">
        <v>15798</v>
      </c>
      <c r="B5491" s="7" t="s">
        <v>8270</v>
      </c>
      <c r="C5491" s="12">
        <v>5350</v>
      </c>
      <c r="D5491" s="7" t="s">
        <v>3218</v>
      </c>
      <c r="E5491" s="13" t="s">
        <v>1657</v>
      </c>
      <c r="F5491" t="str">
        <f t="shared" si="425"/>
        <v>Aeropark</v>
      </c>
      <c r="G5491" t="str">
        <f t="shared" si="426"/>
        <v>Aeropark5350Houston</v>
      </c>
      <c r="H5491" t="s">
        <v>36348</v>
      </c>
      <c r="I5491" t="s">
        <v>27769</v>
      </c>
      <c r="J5491" t="str">
        <f t="shared" si="427"/>
        <v>E:\PropInv\MF</v>
      </c>
      <c r="K5491" s="103" t="str">
        <f>HYPERLINK("E:\PropInv\MF\Houston\Aeropark_5350_Timber Ridge I_Houston_15798","Aeropark_5350_Timber Ridge I_Houston_15798" )</f>
        <v>Aeropark_5350_Timber Ridge I_Houston_15798</v>
      </c>
      <c r="L5491" s="104" t="s">
        <v>22253</v>
      </c>
      <c r="M5491" s="103" t="str">
        <f t="shared" si="428"/>
        <v>http://oconnordata.com/mlink/modules/profile/index.cfm?action=profile&amp;prop_id=15798</v>
      </c>
      <c r="N5491" s="1">
        <f t="shared" si="429"/>
        <v>15798</v>
      </c>
    </row>
    <row r="5492" spans="1:14" x14ac:dyDescent="0.3">
      <c r="A5492" s="1">
        <v>15799</v>
      </c>
      <c r="B5492" s="7" t="s">
        <v>8271</v>
      </c>
      <c r="C5492" s="12">
        <v>6304</v>
      </c>
      <c r="D5492" s="7" t="s">
        <v>8272</v>
      </c>
      <c r="E5492" s="13" t="s">
        <v>2609</v>
      </c>
      <c r="F5492" t="str">
        <f t="shared" si="425"/>
        <v>Decker</v>
      </c>
      <c r="G5492" t="str">
        <f t="shared" si="426"/>
        <v>Decker6304Baytown</v>
      </c>
      <c r="H5492" t="s">
        <v>36349</v>
      </c>
      <c r="I5492" t="s">
        <v>27770</v>
      </c>
      <c r="J5492" t="str">
        <f t="shared" si="427"/>
        <v>E:\PropInv\MF</v>
      </c>
      <c r="K5492" s="103" t="str">
        <f>HYPERLINK("E:\PropInv\MF\Baytown\Decker_6304_TH of Bay Forest_Baytown_15799","Decker_6304_TH of Bay Forest_Baytown_15799" )</f>
        <v>Decker_6304_TH of Bay Forest_Baytown_15799</v>
      </c>
      <c r="L5492" s="104" t="s">
        <v>22253</v>
      </c>
      <c r="M5492" s="103" t="str">
        <f t="shared" si="428"/>
        <v>http://oconnordata.com/mlink/modules/profile/index.cfm?action=profile&amp;prop_id=15799</v>
      </c>
      <c r="N5492" s="1">
        <f t="shared" si="429"/>
        <v>15799</v>
      </c>
    </row>
    <row r="5493" spans="1:14" x14ac:dyDescent="0.3">
      <c r="A5493" s="1">
        <v>15800</v>
      </c>
      <c r="B5493" s="7" t="s">
        <v>8273</v>
      </c>
      <c r="C5493" s="12">
        <v>10950</v>
      </c>
      <c r="D5493" s="7" t="s">
        <v>8274</v>
      </c>
      <c r="E5493" s="13" t="s">
        <v>1657</v>
      </c>
      <c r="F5493" t="str">
        <f t="shared" si="425"/>
        <v>Tanner</v>
      </c>
      <c r="G5493" t="str">
        <f t="shared" si="426"/>
        <v>Tanner10950Houston</v>
      </c>
      <c r="H5493" t="s">
        <v>36350</v>
      </c>
      <c r="I5493" t="s">
        <v>27771</v>
      </c>
      <c r="J5493" t="str">
        <f t="shared" si="427"/>
        <v>E:\PropInv\MF</v>
      </c>
      <c r="K5493" s="103" t="str">
        <f>HYPERLINK("E:\PropInv\MF\Houston\Tanner Park Ct_10950_Almeda Park_Houston_15800","Tanner Park Ct_10950_Almeda Park_Houston_15800" )</f>
        <v>Tanner Park Ct_10950_Almeda Park_Houston_15800</v>
      </c>
      <c r="L5493" s="104" t="s">
        <v>22253</v>
      </c>
      <c r="M5493" s="103" t="str">
        <f t="shared" si="428"/>
        <v>http://oconnordata.com/mlink/modules/profile/index.cfm?action=profile&amp;prop_id=15800</v>
      </c>
      <c r="N5493" s="1">
        <f t="shared" si="429"/>
        <v>15800</v>
      </c>
    </row>
    <row r="5494" spans="1:14" x14ac:dyDescent="0.3">
      <c r="A5494" s="1">
        <v>15801</v>
      </c>
      <c r="B5494" s="7" t="s">
        <v>4623</v>
      </c>
      <c r="C5494" s="12">
        <v>2901</v>
      </c>
      <c r="D5494" s="7" t="s">
        <v>6240</v>
      </c>
      <c r="E5494" s="13" t="s">
        <v>4563</v>
      </c>
      <c r="F5494" t="str">
        <f t="shared" si="425"/>
        <v>518</v>
      </c>
      <c r="G5494" t="str">
        <f t="shared" si="426"/>
        <v>5182901League City</v>
      </c>
      <c r="H5494" t="s">
        <v>36351</v>
      </c>
      <c r="I5494" t="s">
        <v>27772</v>
      </c>
      <c r="J5494" t="str">
        <f t="shared" si="427"/>
        <v>E:\PropInv\MF</v>
      </c>
      <c r="K5494" s="103" t="str">
        <f>HYPERLINK("E:\PropInv\MF\League City\518 FM E_2901_Coronado_League City_15801","518 FM E_2901_Coronado_League City_15801" )</f>
        <v>518 FM E_2901_Coronado_League City_15801</v>
      </c>
      <c r="L5494" s="104" t="s">
        <v>22253</v>
      </c>
      <c r="M5494" s="103" t="str">
        <f t="shared" si="428"/>
        <v>http://oconnordata.com/mlink/modules/profile/index.cfm?action=profile&amp;prop_id=15801</v>
      </c>
      <c r="N5494" s="1">
        <f t="shared" si="429"/>
        <v>15801</v>
      </c>
    </row>
    <row r="5495" spans="1:14" x14ac:dyDescent="0.3">
      <c r="A5495" s="1">
        <v>15802</v>
      </c>
      <c r="B5495" s="7" t="s">
        <v>8275</v>
      </c>
      <c r="C5495" s="12">
        <v>101</v>
      </c>
      <c r="D5495" s="7" t="s">
        <v>2959</v>
      </c>
      <c r="E5495" s="13" t="s">
        <v>5638</v>
      </c>
      <c r="F5495" t="str">
        <f t="shared" si="425"/>
        <v>Tiffany</v>
      </c>
      <c r="G5495" t="str">
        <f t="shared" si="426"/>
        <v>Tiffany101Terrell</v>
      </c>
      <c r="H5495" t="s">
        <v>36352</v>
      </c>
      <c r="I5495" t="s">
        <v>27773</v>
      </c>
      <c r="J5495" t="str">
        <f t="shared" si="427"/>
        <v>E:\PropInv\MF</v>
      </c>
      <c r="K5495" s="103" t="str">
        <f>HYPERLINK("E:\PropInv\MF\Terrell\Tiffany Cir_101_Tiffany Square_Terrell_15802","Tiffany Cir_101_Tiffany Square_Terrell_15802" )</f>
        <v>Tiffany Cir_101_Tiffany Square_Terrell_15802</v>
      </c>
      <c r="L5495" s="104" t="s">
        <v>22253</v>
      </c>
      <c r="M5495" s="103" t="str">
        <f t="shared" si="428"/>
        <v>http://oconnordata.com/mlink/modules/profile/index.cfm?action=profile&amp;prop_id=15802</v>
      </c>
      <c r="N5495" s="1">
        <f t="shared" si="429"/>
        <v>15802</v>
      </c>
    </row>
    <row r="5496" spans="1:14" x14ac:dyDescent="0.3">
      <c r="A5496" s="1">
        <v>15803</v>
      </c>
      <c r="B5496" s="7" t="s">
        <v>5122</v>
      </c>
      <c r="C5496" s="12">
        <v>5350</v>
      </c>
      <c r="D5496" s="7" t="s">
        <v>8276</v>
      </c>
      <c r="E5496" s="13" t="s">
        <v>4996</v>
      </c>
      <c r="F5496" t="str">
        <f t="shared" si="425"/>
        <v>Amesbury</v>
      </c>
      <c r="G5496" t="str">
        <f t="shared" si="426"/>
        <v>Amesbury5350Dallas</v>
      </c>
      <c r="H5496" t="s">
        <v>36353</v>
      </c>
      <c r="I5496" t="s">
        <v>27774</v>
      </c>
      <c r="J5496" t="str">
        <f t="shared" si="427"/>
        <v>E:\PropInv\MF</v>
      </c>
      <c r="K5496" s="103" t="str">
        <f>HYPERLINK("E:\PropInv\MF\Dallas\Amesbury_5350_The Green in the Village II_Dallas_15803","Amesbury_5350_The Green in the Village II_Dallas_15803" )</f>
        <v>Amesbury_5350_The Green in the Village II_Dallas_15803</v>
      </c>
      <c r="L5496" s="104" t="s">
        <v>22253</v>
      </c>
      <c r="M5496" s="103" t="str">
        <f t="shared" si="428"/>
        <v>http://oconnordata.com/mlink/modules/profile/index.cfm?action=profile&amp;prop_id=15803</v>
      </c>
      <c r="N5496" s="1">
        <f t="shared" si="429"/>
        <v>15803</v>
      </c>
    </row>
    <row r="5497" spans="1:14" x14ac:dyDescent="0.3">
      <c r="A5497" s="1">
        <v>15806</v>
      </c>
      <c r="B5497" s="7" t="s">
        <v>8277</v>
      </c>
      <c r="C5497" s="12">
        <v>16500</v>
      </c>
      <c r="D5497" s="7" t="s">
        <v>8278</v>
      </c>
      <c r="E5497" s="13" t="s">
        <v>4996</v>
      </c>
      <c r="F5497" t="str">
        <f t="shared" si="425"/>
        <v>Lauder</v>
      </c>
      <c r="G5497" t="str">
        <f t="shared" si="426"/>
        <v>Lauder16500Dallas</v>
      </c>
      <c r="H5497" t="s">
        <v>36354</v>
      </c>
      <c r="I5497" t="s">
        <v>27775</v>
      </c>
      <c r="J5497" t="str">
        <f t="shared" si="427"/>
        <v>E:\PropInv\MF</v>
      </c>
      <c r="K5497" s="103" t="str">
        <f>HYPERLINK("E:\PropInv\MF\Dallas\Lauder Ln_16500_Courtyards at Campbell_Dallas_15806","Lauder Ln_16500_Courtyards at Campbell_Dallas_15806" )</f>
        <v>Lauder Ln_16500_Courtyards at Campbell_Dallas_15806</v>
      </c>
      <c r="L5497" s="104" t="s">
        <v>22253</v>
      </c>
      <c r="M5497" s="103" t="str">
        <f t="shared" si="428"/>
        <v>http://oconnordata.com/mlink/modules/profile/index.cfm?action=profile&amp;prop_id=15806</v>
      </c>
      <c r="N5497" s="1">
        <f t="shared" si="429"/>
        <v>15806</v>
      </c>
    </row>
    <row r="5498" spans="1:14" x14ac:dyDescent="0.3">
      <c r="A5498" s="1">
        <v>15807</v>
      </c>
      <c r="B5498" s="7" t="s">
        <v>8279</v>
      </c>
      <c r="C5498" s="12">
        <v>2603</v>
      </c>
      <c r="D5498" s="7" t="s">
        <v>8280</v>
      </c>
      <c r="E5498" s="13" t="s">
        <v>4996</v>
      </c>
      <c r="F5498" t="str">
        <f t="shared" si="425"/>
        <v>Hillburn</v>
      </c>
      <c r="G5498" t="str">
        <f t="shared" si="426"/>
        <v>Hillburn2603Dallas</v>
      </c>
      <c r="H5498" t="s">
        <v>36355</v>
      </c>
      <c r="I5498" t="s">
        <v>27776</v>
      </c>
      <c r="J5498" t="str">
        <f t="shared" si="427"/>
        <v>E:\PropInv\MF</v>
      </c>
      <c r="K5498" s="103" t="str">
        <f>HYPERLINK("E:\PropInv\MF\Dallas\Hillburn_2603_Hillburn Hills_Dallas_15807","Hillburn_2603_Hillburn Hills_Dallas_15807" )</f>
        <v>Hillburn_2603_Hillburn Hills_Dallas_15807</v>
      </c>
      <c r="L5498" s="104" t="s">
        <v>22253</v>
      </c>
      <c r="M5498" s="103" t="str">
        <f t="shared" si="428"/>
        <v>http://oconnordata.com/mlink/modules/profile/index.cfm?action=profile&amp;prop_id=15807</v>
      </c>
      <c r="N5498" s="1">
        <f t="shared" si="429"/>
        <v>15807</v>
      </c>
    </row>
    <row r="5499" spans="1:14" x14ac:dyDescent="0.3">
      <c r="A5499" s="1">
        <v>15808</v>
      </c>
      <c r="B5499" s="7" t="s">
        <v>8281</v>
      </c>
      <c r="C5499" s="12">
        <v>815</v>
      </c>
      <c r="D5499" s="7" t="s">
        <v>8282</v>
      </c>
      <c r="E5499" s="13" t="s">
        <v>6555</v>
      </c>
      <c r="F5499" t="str">
        <f t="shared" si="425"/>
        <v>Senior</v>
      </c>
      <c r="G5499" t="str">
        <f t="shared" si="426"/>
        <v>Senior815Arlington</v>
      </c>
      <c r="H5499" t="s">
        <v>36356</v>
      </c>
      <c r="I5499" t="s">
        <v>27777</v>
      </c>
      <c r="J5499" t="str">
        <f t="shared" si="427"/>
        <v>E:\PropInv\MF</v>
      </c>
      <c r="K5499" s="103" t="str">
        <f>HYPERLINK("E:\PropInv\MF\Arlington\Senior Creek Dr_815_The Primrose at Johnson Creek_Arlington_15808","Senior Creek Dr_815_The Primrose at Johnson Creek_Arlington_15808" )</f>
        <v>Senior Creek Dr_815_The Primrose at Johnson Creek_Arlington_15808</v>
      </c>
      <c r="L5499" s="104" t="s">
        <v>22253</v>
      </c>
      <c r="M5499" s="103" t="str">
        <f t="shared" si="428"/>
        <v>http://oconnordata.com/mlink/modules/profile/index.cfm?action=profile&amp;prop_id=15808</v>
      </c>
      <c r="N5499" s="1">
        <f t="shared" si="429"/>
        <v>15808</v>
      </c>
    </row>
    <row r="5500" spans="1:14" x14ac:dyDescent="0.3">
      <c r="A5500" s="1">
        <v>15810</v>
      </c>
      <c r="B5500" s="7" t="s">
        <v>8283</v>
      </c>
      <c r="C5500" s="12">
        <v>2999</v>
      </c>
      <c r="D5500" s="7" t="s">
        <v>8284</v>
      </c>
      <c r="E5500" s="13" t="s">
        <v>4996</v>
      </c>
      <c r="F5500" t="str">
        <f t="shared" si="425"/>
        <v>Hampton</v>
      </c>
      <c r="G5500" t="str">
        <f t="shared" si="426"/>
        <v>Hampton2999Dallas</v>
      </c>
      <c r="H5500" t="s">
        <v>36357</v>
      </c>
      <c r="I5500" t="s">
        <v>27778</v>
      </c>
      <c r="J5500" t="str">
        <f t="shared" si="427"/>
        <v>E:\PropInv\MF</v>
      </c>
      <c r="K5500" s="103" t="str">
        <f>HYPERLINK("E:\PropInv\MF\Dallas\Hampton Rd S_2999_Primrose Oaks_Dallas_15810","Hampton Rd S_2999_Primrose Oaks_Dallas_15810" )</f>
        <v>Hampton Rd S_2999_Primrose Oaks_Dallas_15810</v>
      </c>
      <c r="L5500" s="104" t="s">
        <v>22253</v>
      </c>
      <c r="M5500" s="103" t="str">
        <f t="shared" si="428"/>
        <v>http://oconnordata.com/mlink/modules/profile/index.cfm?action=profile&amp;prop_id=15810</v>
      </c>
      <c r="N5500" s="1">
        <f t="shared" si="429"/>
        <v>15810</v>
      </c>
    </row>
    <row r="5501" spans="1:14" x14ac:dyDescent="0.3">
      <c r="A5501" s="1">
        <v>15811</v>
      </c>
      <c r="B5501" s="7" t="s">
        <v>8285</v>
      </c>
      <c r="C5501" s="12">
        <v>1716</v>
      </c>
      <c r="D5501" s="7" t="s">
        <v>8286</v>
      </c>
      <c r="E5501" s="13" t="s">
        <v>4996</v>
      </c>
      <c r="F5501" t="str">
        <f t="shared" si="425"/>
        <v>Chattanooga</v>
      </c>
      <c r="G5501" t="str">
        <f t="shared" si="426"/>
        <v>Chattanooga1716Dallas</v>
      </c>
      <c r="H5501" t="s">
        <v>36358</v>
      </c>
      <c r="I5501" t="s">
        <v>27779</v>
      </c>
      <c r="J5501" t="str">
        <f t="shared" si="427"/>
        <v>E:\PropInv\MF</v>
      </c>
      <c r="K5501" s="103" t="str">
        <f>HYPERLINK("E:\PropInv\MF\Dallas\Chattanooga Place_1716_Rosemont at Arlington Park_Dallas_15811","Chattanooga Place_1716_Rosemont at Arlington Park_Dallas_15811" )</f>
        <v>Chattanooga Place_1716_Rosemont at Arlington Park_Dallas_15811</v>
      </c>
      <c r="L5501" s="104" t="s">
        <v>22253</v>
      </c>
      <c r="M5501" s="103" t="str">
        <f t="shared" si="428"/>
        <v>http://oconnordata.com/mlink/modules/profile/index.cfm?action=profile&amp;prop_id=15811</v>
      </c>
      <c r="N5501" s="1">
        <f t="shared" si="429"/>
        <v>15811</v>
      </c>
    </row>
    <row r="5502" spans="1:14" x14ac:dyDescent="0.3">
      <c r="A5502" s="1">
        <v>15812</v>
      </c>
      <c r="B5502" s="7" t="s">
        <v>5434</v>
      </c>
      <c r="C5502" s="12">
        <v>3221</v>
      </c>
      <c r="D5502" s="7" t="s">
        <v>8287</v>
      </c>
      <c r="E5502" s="13" t="s">
        <v>4996</v>
      </c>
      <c r="F5502" t="str">
        <f t="shared" si="425"/>
        <v>Commerce</v>
      </c>
      <c r="G5502" t="str">
        <f t="shared" si="426"/>
        <v>Commerce3221Dallas</v>
      </c>
      <c r="H5502" t="s">
        <v>36359</v>
      </c>
      <c r="I5502" t="s">
        <v>27780</v>
      </c>
      <c r="J5502" t="str">
        <f t="shared" si="427"/>
        <v>E:\PropInv\MF</v>
      </c>
      <c r="K5502" s="103" t="str">
        <f>HYPERLINK("E:\PropInv\MF\Dallas\Commerce_3221_Futura Lofts_Dallas_15812","Commerce_3221_Futura Lofts_Dallas_15812" )</f>
        <v>Commerce_3221_Futura Lofts_Dallas_15812</v>
      </c>
      <c r="L5502" s="104" t="s">
        <v>22253</v>
      </c>
      <c r="M5502" s="103" t="str">
        <f t="shared" si="428"/>
        <v>http://oconnordata.com/mlink/modules/profile/index.cfm?action=profile&amp;prop_id=15812</v>
      </c>
      <c r="N5502" s="1">
        <f t="shared" si="429"/>
        <v>15812</v>
      </c>
    </row>
    <row r="5503" spans="1:14" x14ac:dyDescent="0.3">
      <c r="A5503" s="1">
        <v>15814</v>
      </c>
      <c r="B5503" s="7" t="s">
        <v>5784</v>
      </c>
      <c r="C5503" s="12">
        <v>4605</v>
      </c>
      <c r="D5503" s="7" t="s">
        <v>8288</v>
      </c>
      <c r="E5503" s="13" t="s">
        <v>5019</v>
      </c>
      <c r="F5503" t="str">
        <f t="shared" si="425"/>
        <v>Chaha</v>
      </c>
      <c r="G5503" t="str">
        <f t="shared" si="426"/>
        <v>Chaha4605Garland</v>
      </c>
      <c r="H5503" t="s">
        <v>36360</v>
      </c>
      <c r="I5503" t="s">
        <v>27781</v>
      </c>
      <c r="J5503" t="str">
        <f t="shared" si="427"/>
        <v>E:\PropInv\MF</v>
      </c>
      <c r="K5503" s="103" t="str">
        <f>HYPERLINK("E:\PropInv\MF\Garland\Chaha Rd_4605_Lake Colony Apts_Garland_15814","Chaha Rd_4605_Lake Colony Apts_Garland_15814" )</f>
        <v>Chaha Rd_4605_Lake Colony Apts_Garland_15814</v>
      </c>
      <c r="L5503" s="104" t="s">
        <v>22253</v>
      </c>
      <c r="M5503" s="103" t="str">
        <f t="shared" si="428"/>
        <v>http://oconnordata.com/mlink/modules/profile/index.cfm?action=profile&amp;prop_id=15814</v>
      </c>
      <c r="N5503" s="1">
        <f t="shared" si="429"/>
        <v>15814</v>
      </c>
    </row>
    <row r="5504" spans="1:14" x14ac:dyDescent="0.3">
      <c r="A5504" s="1">
        <v>15815</v>
      </c>
      <c r="B5504" s="7" t="s">
        <v>6752</v>
      </c>
      <c r="C5504" s="12">
        <v>1400</v>
      </c>
      <c r="D5504" s="7" t="s">
        <v>8289</v>
      </c>
      <c r="E5504" s="13" t="s">
        <v>4942</v>
      </c>
      <c r="F5504" t="str">
        <f t="shared" si="425"/>
        <v>Sierra</v>
      </c>
      <c r="G5504" t="str">
        <f t="shared" si="426"/>
        <v>Sierra1400Bedford</v>
      </c>
      <c r="H5504" t="s">
        <v>36361</v>
      </c>
      <c r="I5504" t="s">
        <v>27782</v>
      </c>
      <c r="J5504" t="str">
        <f t="shared" si="427"/>
        <v>E:\PropInv\MF</v>
      </c>
      <c r="K5504" s="103" t="str">
        <f>HYPERLINK("E:\PropInv\MF\Bedford\Sierra Springs Dr_1400_Meadows Of Bedford II_Bedford_15815","Sierra Springs Dr_1400_Meadows Of Bedford II_Bedford_15815" )</f>
        <v>Sierra Springs Dr_1400_Meadows Of Bedford II_Bedford_15815</v>
      </c>
      <c r="L5504" s="104" t="s">
        <v>22253</v>
      </c>
      <c r="M5504" s="103" t="str">
        <f t="shared" si="428"/>
        <v>http://oconnordata.com/mlink/modules/profile/index.cfm?action=profile&amp;prop_id=15815</v>
      </c>
      <c r="N5504" s="1">
        <f t="shared" si="429"/>
        <v>15815</v>
      </c>
    </row>
    <row r="5505" spans="1:14" x14ac:dyDescent="0.3">
      <c r="A5505" s="1">
        <v>15816</v>
      </c>
      <c r="B5505" s="7" t="s">
        <v>8290</v>
      </c>
      <c r="C5505" s="12">
        <v>6600</v>
      </c>
      <c r="D5505" s="7" t="s">
        <v>8291</v>
      </c>
      <c r="E5505" s="13" t="s">
        <v>5014</v>
      </c>
      <c r="F5505" t="str">
        <f t="shared" si="425"/>
        <v>Plaza</v>
      </c>
      <c r="G5505" t="str">
        <f t="shared" si="426"/>
        <v>Plaza6600Fort Worth</v>
      </c>
      <c r="H5505" t="s">
        <v>36362</v>
      </c>
      <c r="I5505" t="s">
        <v>27783</v>
      </c>
      <c r="J5505" t="str">
        <f t="shared" si="427"/>
        <v>E:\PropInv\MF</v>
      </c>
      <c r="K5505" s="103" t="str">
        <f>HYPERLINK("E:\PropInv\MF\Fort Worth\Plaza Pkwy_6600_Ridgmar Crossroads_Fort Worth_15816","Plaza Pkwy_6600_Ridgmar Crossroads_Fort Worth_15816" )</f>
        <v>Plaza Pkwy_6600_Ridgmar Crossroads_Fort Worth_15816</v>
      </c>
      <c r="L5505" s="104" t="s">
        <v>22253</v>
      </c>
      <c r="M5505" s="103" t="str">
        <f t="shared" si="428"/>
        <v>http://oconnordata.com/mlink/modules/profile/index.cfm?action=profile&amp;prop_id=15816</v>
      </c>
      <c r="N5505" s="1">
        <f t="shared" si="429"/>
        <v>15816</v>
      </c>
    </row>
    <row r="5506" spans="1:14" x14ac:dyDescent="0.3">
      <c r="A5506" s="1">
        <v>15817</v>
      </c>
      <c r="B5506" s="7" t="s">
        <v>7452</v>
      </c>
      <c r="C5506" s="12">
        <v>2300</v>
      </c>
      <c r="D5506" s="7" t="s">
        <v>8292</v>
      </c>
      <c r="E5506" s="13" t="s">
        <v>5014</v>
      </c>
      <c r="F5506" t="str">
        <f t="shared" ref="F5506:F5569" si="430">IFERROR(LEFT(B5506,FIND(" ",B5506)-1),B5506)</f>
        <v>Ridgmar</v>
      </c>
      <c r="G5506" t="str">
        <f t="shared" ref="G5506:G5569" si="431">F5506&amp;C5506&amp;E5506</f>
        <v>Ridgmar2300Fort Worth</v>
      </c>
      <c r="H5506" t="s">
        <v>36363</v>
      </c>
      <c r="I5506" t="s">
        <v>27784</v>
      </c>
      <c r="J5506" t="str">
        <f t="shared" ref="J5506:J5569" si="432">IF(L5506="TX",Folder_Path,Folder_Path&amp;"\State_"&amp;L5506)</f>
        <v>E:\PropInv\MF</v>
      </c>
      <c r="K5506" s="103" t="str">
        <f>HYPERLINK("E:\PropInv\MF\Fort Worth\Ridgmar Blvd_2300_Park Villas II_Fort Worth_15817","Ridgmar Blvd_2300_Park Villas II_Fort Worth_15817" )</f>
        <v>Ridgmar Blvd_2300_Park Villas II_Fort Worth_15817</v>
      </c>
      <c r="L5506" s="104" t="s">
        <v>22253</v>
      </c>
      <c r="M5506" s="103" t="str">
        <f t="shared" ref="M5506:M5569" si="433">HYPERLINK("http://oconnordata.com/mlink/modules/profile/index.cfm?action=profile&amp;prop_id="&amp;A5506)</f>
        <v>http://oconnordata.com/mlink/modules/profile/index.cfm?action=profile&amp;prop_id=15817</v>
      </c>
      <c r="N5506" s="1">
        <f t="shared" ref="N5506:N5569" si="434">IF(LEN(A5506)=1,"0000"&amp;A5506,IF(LEN(A5506)=2,"000"&amp;A5506,IF(LEN(A5506)=3,"00"&amp;A5506,IF(LEN(A5506)=4,"0"&amp;A5506,IF(LEN(A5506)=5,IF(LEFT(A5506,1)="3",A5506+30000,A5506))))))</f>
        <v>15817</v>
      </c>
    </row>
    <row r="5507" spans="1:14" x14ac:dyDescent="0.3">
      <c r="A5507" s="1">
        <v>15818</v>
      </c>
      <c r="B5507" s="7" t="s">
        <v>6968</v>
      </c>
      <c r="C5507" s="12">
        <v>731</v>
      </c>
      <c r="D5507" s="7" t="s">
        <v>8293</v>
      </c>
      <c r="E5507" s="13" t="s">
        <v>5046</v>
      </c>
      <c r="F5507" t="str">
        <f t="shared" si="430"/>
        <v>Irving</v>
      </c>
      <c r="G5507" t="str">
        <f t="shared" si="431"/>
        <v>Irving731Irving</v>
      </c>
      <c r="H5507" t="s">
        <v>36364</v>
      </c>
      <c r="I5507" t="s">
        <v>27785</v>
      </c>
      <c r="J5507" t="str">
        <f t="shared" si="432"/>
        <v>E:\PropInv\MF</v>
      </c>
      <c r="K5507" s="103" t="str">
        <f>HYPERLINK("E:\PropInv\MF\Irving\Irving Heights S_731_Oakway Manor_Irving_15818","Irving Heights S_731_Oakway Manor_Irving_15818" )</f>
        <v>Irving Heights S_731_Oakway Manor_Irving_15818</v>
      </c>
      <c r="L5507" s="104" t="s">
        <v>22253</v>
      </c>
      <c r="M5507" s="103" t="str">
        <f t="shared" si="433"/>
        <v>http://oconnordata.com/mlink/modules/profile/index.cfm?action=profile&amp;prop_id=15818</v>
      </c>
      <c r="N5507" s="1">
        <f t="shared" si="434"/>
        <v>15818</v>
      </c>
    </row>
    <row r="5508" spans="1:14" x14ac:dyDescent="0.3">
      <c r="A5508" s="1">
        <v>15819</v>
      </c>
      <c r="B5508" s="7" t="s">
        <v>5562</v>
      </c>
      <c r="C5508" s="12">
        <v>13330</v>
      </c>
      <c r="D5508" s="7" t="s">
        <v>8294</v>
      </c>
      <c r="E5508" s="13" t="s">
        <v>4996</v>
      </c>
      <c r="F5508" t="str">
        <f t="shared" si="430"/>
        <v>Noel</v>
      </c>
      <c r="G5508" t="str">
        <f t="shared" si="431"/>
        <v>Noel13330Dallas</v>
      </c>
      <c r="H5508" t="s">
        <v>36365</v>
      </c>
      <c r="I5508" t="s">
        <v>27786</v>
      </c>
      <c r="J5508" t="str">
        <f t="shared" si="432"/>
        <v>E:\PropInv\MF</v>
      </c>
      <c r="K5508" s="103" t="str">
        <f>HYPERLINK("E:\PropInv\MF\Dallas\Noel Rd_13330_Verona TH_Dallas_15819","Noel Rd_13330_Verona TH_Dallas_15819" )</f>
        <v>Noel Rd_13330_Verona TH_Dallas_15819</v>
      </c>
      <c r="L5508" s="104" t="s">
        <v>22253</v>
      </c>
      <c r="M5508" s="103" t="str">
        <f t="shared" si="433"/>
        <v>http://oconnordata.com/mlink/modules/profile/index.cfm?action=profile&amp;prop_id=15819</v>
      </c>
      <c r="N5508" s="1">
        <f t="shared" si="434"/>
        <v>15819</v>
      </c>
    </row>
    <row r="5509" spans="1:14" x14ac:dyDescent="0.3">
      <c r="A5509" s="1">
        <v>15820</v>
      </c>
      <c r="B5509" s="7" t="s">
        <v>2677</v>
      </c>
      <c r="C5509" s="12">
        <v>15155</v>
      </c>
      <c r="D5509" s="7" t="s">
        <v>8295</v>
      </c>
      <c r="E5509" s="13" t="s">
        <v>1657</v>
      </c>
      <c r="F5509" t="str">
        <f t="shared" si="430"/>
        <v>Richmond</v>
      </c>
      <c r="G5509" t="str">
        <f t="shared" si="431"/>
        <v>Richmond15155Houston</v>
      </c>
      <c r="H5509" t="s">
        <v>36366</v>
      </c>
      <c r="I5509" t="s">
        <v>27787</v>
      </c>
      <c r="J5509" t="str">
        <f t="shared" si="432"/>
        <v>E:\PropInv\MF</v>
      </c>
      <c r="K5509" s="103" t="str">
        <f>HYPERLINK("E:\PropInv\MF\Houston\Richmond Ave_15155_Villas at West Oaks_Houston_15820","Richmond Ave_15155_Villas at West Oaks_Houston_15820" )</f>
        <v>Richmond Ave_15155_Villas at West Oaks_Houston_15820</v>
      </c>
      <c r="L5509" s="104" t="s">
        <v>22253</v>
      </c>
      <c r="M5509" s="103" t="str">
        <f t="shared" si="433"/>
        <v>http://oconnordata.com/mlink/modules/profile/index.cfm?action=profile&amp;prop_id=15820</v>
      </c>
      <c r="N5509" s="1">
        <f t="shared" si="434"/>
        <v>15820</v>
      </c>
    </row>
    <row r="5510" spans="1:14" x14ac:dyDescent="0.3">
      <c r="A5510" s="1">
        <v>15821</v>
      </c>
      <c r="B5510" s="7" t="s">
        <v>8296</v>
      </c>
      <c r="C5510" s="12">
        <v>2912</v>
      </c>
      <c r="D5510" s="7" t="s">
        <v>8297</v>
      </c>
      <c r="E5510" s="13" t="s">
        <v>5097</v>
      </c>
      <c r="F5510" t="str">
        <f t="shared" si="430"/>
        <v>Augusta</v>
      </c>
      <c r="G5510" t="str">
        <f t="shared" si="431"/>
        <v>Augusta2912Denton</v>
      </c>
      <c r="H5510" t="s">
        <v>36367</v>
      </c>
      <c r="I5510" t="s">
        <v>27788</v>
      </c>
      <c r="J5510" t="str">
        <f t="shared" si="432"/>
        <v>E:\PropInv\MF</v>
      </c>
      <c r="K5510" s="103" t="str">
        <f>HYPERLINK("E:\PropInv\MF\Denton\Augusta Dr_2912_Greenway Patio Homes_Denton_15821","Augusta Dr_2912_Greenway Patio Homes_Denton_15821" )</f>
        <v>Augusta Dr_2912_Greenway Patio Homes_Denton_15821</v>
      </c>
      <c r="L5510" s="104" t="s">
        <v>22253</v>
      </c>
      <c r="M5510" s="103" t="str">
        <f t="shared" si="433"/>
        <v>http://oconnordata.com/mlink/modules/profile/index.cfm?action=profile&amp;prop_id=15821</v>
      </c>
      <c r="N5510" s="1">
        <f t="shared" si="434"/>
        <v>15821</v>
      </c>
    </row>
    <row r="5511" spans="1:14" x14ac:dyDescent="0.3">
      <c r="A5511" s="1">
        <v>15823</v>
      </c>
      <c r="B5511" s="7" t="s">
        <v>8298</v>
      </c>
      <c r="C5511" s="12">
        <v>4203</v>
      </c>
      <c r="D5511" s="7" t="s">
        <v>1160</v>
      </c>
      <c r="E5511" s="13" t="s">
        <v>4996</v>
      </c>
      <c r="F5511" t="str">
        <f t="shared" si="430"/>
        <v>Gilbert</v>
      </c>
      <c r="G5511" t="str">
        <f t="shared" si="431"/>
        <v>Gilbert4203Dallas</v>
      </c>
      <c r="H5511" t="s">
        <v>36368</v>
      </c>
      <c r="I5511" t="s">
        <v>27789</v>
      </c>
      <c r="J5511" t="str">
        <f t="shared" si="432"/>
        <v>E:\PropInv\MF</v>
      </c>
      <c r="K5511" s="103" t="str">
        <f>HYPERLINK("E:\PropInv\MF\Dallas\Gilbert Ave_4203_Las Brisas_Dallas_15823","Gilbert Ave_4203_Las Brisas_Dallas_15823" )</f>
        <v>Gilbert Ave_4203_Las Brisas_Dallas_15823</v>
      </c>
      <c r="L5511" s="104" t="s">
        <v>22253</v>
      </c>
      <c r="M5511" s="103" t="str">
        <f t="shared" si="433"/>
        <v>http://oconnordata.com/mlink/modules/profile/index.cfm?action=profile&amp;prop_id=15823</v>
      </c>
      <c r="N5511" s="1">
        <f t="shared" si="434"/>
        <v>15823</v>
      </c>
    </row>
    <row r="5512" spans="1:14" x14ac:dyDescent="0.3">
      <c r="A5512" s="1">
        <v>15825</v>
      </c>
      <c r="B5512" s="7" t="s">
        <v>8298</v>
      </c>
      <c r="C5512" s="12">
        <v>4020</v>
      </c>
      <c r="D5512" s="7" t="s">
        <v>8299</v>
      </c>
      <c r="E5512" s="13" t="s">
        <v>4996</v>
      </c>
      <c r="F5512" t="str">
        <f t="shared" si="430"/>
        <v>Gilbert</v>
      </c>
      <c r="G5512" t="str">
        <f t="shared" si="431"/>
        <v>Gilbert4020Dallas</v>
      </c>
      <c r="H5512" t="s">
        <v>36369</v>
      </c>
      <c r="I5512" t="s">
        <v>27790</v>
      </c>
      <c r="J5512" t="str">
        <f t="shared" si="432"/>
        <v>E:\PropInv\MF</v>
      </c>
      <c r="K5512" s="103" t="str">
        <f>HYPERLINK("E:\PropInv\MF\Dallas\Gilbert Ave_4020_LCA Condominiums_Dallas_15825","Gilbert Ave_4020_LCA Condominiums_Dallas_15825" )</f>
        <v>Gilbert Ave_4020_LCA Condominiums_Dallas_15825</v>
      </c>
      <c r="L5512" s="104" t="s">
        <v>22253</v>
      </c>
      <c r="M5512" s="103" t="str">
        <f t="shared" si="433"/>
        <v>http://oconnordata.com/mlink/modules/profile/index.cfm?action=profile&amp;prop_id=15825</v>
      </c>
      <c r="N5512" s="1">
        <f t="shared" si="434"/>
        <v>15825</v>
      </c>
    </row>
    <row r="5513" spans="1:14" x14ac:dyDescent="0.3">
      <c r="A5513" s="1">
        <v>15826</v>
      </c>
      <c r="B5513" s="7" t="s">
        <v>2677</v>
      </c>
      <c r="C5513" s="12">
        <v>12025</v>
      </c>
      <c r="D5513" s="7" t="s">
        <v>8300</v>
      </c>
      <c r="E5513" s="13" t="s">
        <v>1657</v>
      </c>
      <c r="F5513" t="str">
        <f t="shared" si="430"/>
        <v>Richmond</v>
      </c>
      <c r="G5513" t="str">
        <f t="shared" si="431"/>
        <v>Richmond12025Houston</v>
      </c>
      <c r="H5513" t="s">
        <v>36370</v>
      </c>
      <c r="I5513" t="s">
        <v>27791</v>
      </c>
      <c r="J5513" t="str">
        <f t="shared" si="432"/>
        <v>E:\PropInv\MF</v>
      </c>
      <c r="K5513" s="103" t="str">
        <f>HYPERLINK("E:\PropInv\MF\Houston\Richmond Ave_12025_Camden Oak Crest_Houston_15826","Richmond Ave_12025_Camden Oak Crest_Houston_15826" )</f>
        <v>Richmond Ave_12025_Camden Oak Crest_Houston_15826</v>
      </c>
      <c r="L5513" s="104" t="s">
        <v>22253</v>
      </c>
      <c r="M5513" s="103" t="str">
        <f t="shared" si="433"/>
        <v>http://oconnordata.com/mlink/modules/profile/index.cfm?action=profile&amp;prop_id=15826</v>
      </c>
      <c r="N5513" s="1">
        <f t="shared" si="434"/>
        <v>15826</v>
      </c>
    </row>
    <row r="5514" spans="1:14" x14ac:dyDescent="0.3">
      <c r="A5514" s="1">
        <v>15827</v>
      </c>
      <c r="B5514" s="7" t="s">
        <v>5314</v>
      </c>
      <c r="C5514" s="12">
        <v>18950</v>
      </c>
      <c r="D5514" s="7" t="s">
        <v>8301</v>
      </c>
      <c r="E5514" s="13" t="s">
        <v>4996</v>
      </c>
      <c r="F5514" t="str">
        <f t="shared" si="430"/>
        <v>Lina</v>
      </c>
      <c r="G5514" t="str">
        <f t="shared" si="431"/>
        <v>Lina18950Dallas</v>
      </c>
      <c r="H5514" t="s">
        <v>36371</v>
      </c>
      <c r="I5514" t="s">
        <v>27792</v>
      </c>
      <c r="J5514" t="str">
        <f t="shared" si="432"/>
        <v>E:\PropInv\MF</v>
      </c>
      <c r="K5514" s="103" t="str">
        <f>HYPERLINK("E:\PropInv\MF\Dallas\Lina St_18950_Tivoli_Dallas_15827","Lina St_18950_Tivoli_Dallas_15827" )</f>
        <v>Lina St_18950_Tivoli_Dallas_15827</v>
      </c>
      <c r="L5514" s="104" t="s">
        <v>22253</v>
      </c>
      <c r="M5514" s="103" t="str">
        <f t="shared" si="433"/>
        <v>http://oconnordata.com/mlink/modules/profile/index.cfm?action=profile&amp;prop_id=15827</v>
      </c>
      <c r="N5514" s="1">
        <f t="shared" si="434"/>
        <v>15827</v>
      </c>
    </row>
    <row r="5515" spans="1:14" x14ac:dyDescent="0.3">
      <c r="A5515" s="1">
        <v>15829</v>
      </c>
      <c r="B5515" s="7" t="s">
        <v>8302</v>
      </c>
      <c r="C5515" s="12">
        <v>3000</v>
      </c>
      <c r="D5515" s="7" t="s">
        <v>8303</v>
      </c>
      <c r="E5515" s="13" t="s">
        <v>721</v>
      </c>
      <c r="F5515" t="str">
        <f t="shared" si="430"/>
        <v>Lakeline</v>
      </c>
      <c r="G5515" t="str">
        <f t="shared" si="431"/>
        <v>Lakeline3000Leander</v>
      </c>
      <c r="H5515" t="s">
        <v>36372</v>
      </c>
      <c r="I5515" t="s">
        <v>27793</v>
      </c>
      <c r="J5515" t="str">
        <f t="shared" si="432"/>
        <v>E:\PropInv\MF</v>
      </c>
      <c r="K5515" s="103" t="str">
        <f>HYPERLINK("E:\PropInv\MF\Leander\Lakeline Blvd N_3000_Lakeline_Leander_15829","Lakeline Blvd N_3000_Lakeline_Leander_15829" )</f>
        <v>Lakeline Blvd N_3000_Lakeline_Leander_15829</v>
      </c>
      <c r="L5515" s="104" t="s">
        <v>22253</v>
      </c>
      <c r="M5515" s="103" t="str">
        <f t="shared" si="433"/>
        <v>http://oconnordata.com/mlink/modules/profile/index.cfm?action=profile&amp;prop_id=15829</v>
      </c>
      <c r="N5515" s="1">
        <f t="shared" si="434"/>
        <v>15829</v>
      </c>
    </row>
    <row r="5516" spans="1:14" x14ac:dyDescent="0.3">
      <c r="A5516" s="1">
        <v>15830</v>
      </c>
      <c r="B5516" s="7" t="s">
        <v>805</v>
      </c>
      <c r="C5516" s="12">
        <v>2201</v>
      </c>
      <c r="D5516" s="7" t="s">
        <v>8304</v>
      </c>
      <c r="E5516" s="13" t="s">
        <v>705</v>
      </c>
      <c r="F5516" t="str">
        <f t="shared" si="430"/>
        <v>Lakeline</v>
      </c>
      <c r="G5516" t="str">
        <f t="shared" si="431"/>
        <v>Lakeline2201Cedar Park</v>
      </c>
      <c r="H5516" t="s">
        <v>36373</v>
      </c>
      <c r="I5516" t="s">
        <v>27794</v>
      </c>
      <c r="J5516" t="str">
        <f t="shared" si="432"/>
        <v>E:\PropInv\MF</v>
      </c>
      <c r="K5516" s="103" t="str">
        <f>HYPERLINK("E:\PropInv\MF\Cedar Park\Lakeline Blvd S_2201_Lakeline Villas_Cedar Park_15830","Lakeline Blvd S_2201_Lakeline Villas_Cedar Park_15830" )</f>
        <v>Lakeline Blvd S_2201_Lakeline Villas_Cedar Park_15830</v>
      </c>
      <c r="L5516" s="104" t="s">
        <v>22253</v>
      </c>
      <c r="M5516" s="103" t="str">
        <f t="shared" si="433"/>
        <v>http://oconnordata.com/mlink/modules/profile/index.cfm?action=profile&amp;prop_id=15830</v>
      </c>
      <c r="N5516" s="1">
        <f t="shared" si="434"/>
        <v>15830</v>
      </c>
    </row>
    <row r="5517" spans="1:14" x14ac:dyDescent="0.3">
      <c r="A5517" s="1">
        <v>15831</v>
      </c>
      <c r="B5517" s="7" t="s">
        <v>660</v>
      </c>
      <c r="C5517" s="12">
        <v>8600</v>
      </c>
      <c r="D5517" s="7" t="s">
        <v>7072</v>
      </c>
      <c r="E5517" s="13" t="s">
        <v>7</v>
      </c>
      <c r="F5517" t="str">
        <f t="shared" si="430"/>
        <v>Brodie</v>
      </c>
      <c r="G5517" t="str">
        <f t="shared" si="431"/>
        <v>Brodie8600Austin</v>
      </c>
      <c r="H5517" t="s">
        <v>36374</v>
      </c>
      <c r="I5517" t="s">
        <v>27795</v>
      </c>
      <c r="J5517" t="str">
        <f t="shared" si="432"/>
        <v>E:\PropInv\MF</v>
      </c>
      <c r="K5517" s="103" t="str">
        <f>HYPERLINK("E:\PropInv\MF\Austin\Brodie Ln_8600_Ridgeview_Austin_15831","Brodie Ln_8600_Ridgeview_Austin_15831" )</f>
        <v>Brodie Ln_8600_Ridgeview_Austin_15831</v>
      </c>
      <c r="L5517" s="104" t="s">
        <v>22253</v>
      </c>
      <c r="M5517" s="103" t="str">
        <f t="shared" si="433"/>
        <v>http://oconnordata.com/mlink/modules/profile/index.cfm?action=profile&amp;prop_id=15831</v>
      </c>
      <c r="N5517" s="1">
        <f t="shared" si="434"/>
        <v>15831</v>
      </c>
    </row>
    <row r="5518" spans="1:14" x14ac:dyDescent="0.3">
      <c r="A5518" s="1">
        <v>15833</v>
      </c>
      <c r="B5518" s="7" t="s">
        <v>3361</v>
      </c>
      <c r="C5518" s="12">
        <v>14551</v>
      </c>
      <c r="D5518" s="7" t="s">
        <v>8305</v>
      </c>
      <c r="E5518" s="13" t="s">
        <v>1657</v>
      </c>
      <c r="F5518" t="str">
        <f t="shared" si="430"/>
        <v>Beechnut</v>
      </c>
      <c r="G5518" t="str">
        <f t="shared" si="431"/>
        <v>Beechnut14551Houston</v>
      </c>
      <c r="H5518" t="s">
        <v>36375</v>
      </c>
      <c r="I5518" t="s">
        <v>27796</v>
      </c>
      <c r="J5518" t="str">
        <f t="shared" si="432"/>
        <v>E:\PropInv\MF</v>
      </c>
      <c r="K5518" s="103" t="str">
        <f>HYPERLINK("E:\PropInv\MF\Houston\Beechnut St_14551_Matthew Ridge_Houston_15833","Beechnut St_14551_Matthew Ridge_Houston_15833" )</f>
        <v>Beechnut St_14551_Matthew Ridge_Houston_15833</v>
      </c>
      <c r="L5518" s="104" t="s">
        <v>22253</v>
      </c>
      <c r="M5518" s="103" t="str">
        <f t="shared" si="433"/>
        <v>http://oconnordata.com/mlink/modules/profile/index.cfm?action=profile&amp;prop_id=15833</v>
      </c>
      <c r="N5518" s="1">
        <f t="shared" si="434"/>
        <v>15833</v>
      </c>
    </row>
    <row r="5519" spans="1:14" x14ac:dyDescent="0.3">
      <c r="A5519" s="1">
        <v>15834</v>
      </c>
      <c r="B5519" s="7" t="s">
        <v>8306</v>
      </c>
      <c r="C5519" s="12">
        <v>401</v>
      </c>
      <c r="D5519" s="7" t="s">
        <v>1302</v>
      </c>
      <c r="E5519" s="13" t="s">
        <v>5055</v>
      </c>
      <c r="F5519" t="str">
        <f t="shared" si="430"/>
        <v>Old</v>
      </c>
      <c r="G5519" t="str">
        <f t="shared" si="431"/>
        <v>Old401Lewisville</v>
      </c>
      <c r="H5519" t="s">
        <v>36376</v>
      </c>
      <c r="I5519" t="s">
        <v>27797</v>
      </c>
      <c r="J5519" t="str">
        <f t="shared" si="432"/>
        <v>E:\PropInv\MF</v>
      </c>
      <c r="K5519" s="103" t="str">
        <f>HYPERLINK("E:\PropInv\MF\Lewisville\Old Orchard Ln N_401_The Remington_Lewisville_15834","Old Orchard Ln N_401_The Remington_Lewisville_15834" )</f>
        <v>Old Orchard Ln N_401_The Remington_Lewisville_15834</v>
      </c>
      <c r="L5519" s="104" t="s">
        <v>22253</v>
      </c>
      <c r="M5519" s="103" t="str">
        <f t="shared" si="433"/>
        <v>http://oconnordata.com/mlink/modules/profile/index.cfm?action=profile&amp;prop_id=15834</v>
      </c>
      <c r="N5519" s="1">
        <f t="shared" si="434"/>
        <v>15834</v>
      </c>
    </row>
    <row r="5520" spans="1:14" x14ac:dyDescent="0.3">
      <c r="A5520" s="1">
        <v>15835</v>
      </c>
      <c r="B5520" s="7" t="s">
        <v>75</v>
      </c>
      <c r="C5520" s="12">
        <v>10505</v>
      </c>
      <c r="D5520" s="7" t="s">
        <v>3472</v>
      </c>
      <c r="E5520" s="13" t="s">
        <v>7</v>
      </c>
      <c r="F5520" t="str">
        <f t="shared" si="430"/>
        <v>35</v>
      </c>
      <c r="G5520" t="str">
        <f t="shared" si="431"/>
        <v>3510505Austin</v>
      </c>
      <c r="H5520" t="s">
        <v>36377</v>
      </c>
      <c r="I5520" t="s">
        <v>27798</v>
      </c>
      <c r="J5520" t="str">
        <f t="shared" si="432"/>
        <v>E:\PropInv\MF</v>
      </c>
      <c r="K5520" s="103" t="str">
        <f>HYPERLINK("E:\PropInv\MF\Austin\35 IH S_10505_Stonegate_Austin_15835","35 IH S_10505_Stonegate_Austin_15835" )</f>
        <v>35 IH S_10505_Stonegate_Austin_15835</v>
      </c>
      <c r="L5520" s="104" t="s">
        <v>22253</v>
      </c>
      <c r="M5520" s="103" t="str">
        <f t="shared" si="433"/>
        <v>http://oconnordata.com/mlink/modules/profile/index.cfm?action=profile&amp;prop_id=15835</v>
      </c>
      <c r="N5520" s="1">
        <f t="shared" si="434"/>
        <v>15835</v>
      </c>
    </row>
    <row r="5521" spans="1:14" x14ac:dyDescent="0.3">
      <c r="A5521" s="1">
        <v>15837</v>
      </c>
      <c r="B5521" s="7" t="s">
        <v>8307</v>
      </c>
      <c r="C5521" s="12">
        <v>400</v>
      </c>
      <c r="D5521" s="7" t="s">
        <v>8308</v>
      </c>
      <c r="E5521" s="13" t="s">
        <v>705</v>
      </c>
      <c r="F5521" t="str">
        <f t="shared" si="430"/>
        <v>Cypress</v>
      </c>
      <c r="G5521" t="str">
        <f t="shared" si="431"/>
        <v>Cypress400Cedar Park</v>
      </c>
      <c r="H5521" t="s">
        <v>36378</v>
      </c>
      <c r="I5521" t="s">
        <v>27799</v>
      </c>
      <c r="J5521" t="str">
        <f t="shared" si="432"/>
        <v>E:\PropInv\MF</v>
      </c>
      <c r="K5521" s="103" t="str">
        <f>HYPERLINK("E:\PropInv\MF\Cedar Park\Cypress Creek Rd E_400_Cedar Park TH_Cedar Park_15837","Cypress Creek Rd E_400_Cedar Park TH_Cedar Park_15837" )</f>
        <v>Cypress Creek Rd E_400_Cedar Park TH_Cedar Park_15837</v>
      </c>
      <c r="L5521" s="104" t="s">
        <v>22253</v>
      </c>
      <c r="M5521" s="103" t="str">
        <f t="shared" si="433"/>
        <v>http://oconnordata.com/mlink/modules/profile/index.cfm?action=profile&amp;prop_id=15837</v>
      </c>
      <c r="N5521" s="1">
        <f t="shared" si="434"/>
        <v>15837</v>
      </c>
    </row>
    <row r="5522" spans="1:14" x14ac:dyDescent="0.3">
      <c r="A5522" s="1">
        <v>15838</v>
      </c>
      <c r="B5522" s="7" t="s">
        <v>8309</v>
      </c>
      <c r="C5522" s="12">
        <v>403</v>
      </c>
      <c r="D5522" s="7" t="s">
        <v>8310</v>
      </c>
      <c r="E5522" s="13" t="s">
        <v>705</v>
      </c>
      <c r="F5522" t="str">
        <f t="shared" si="430"/>
        <v>Buttercup</v>
      </c>
      <c r="G5522" t="str">
        <f t="shared" si="431"/>
        <v>Buttercup403Cedar Park</v>
      </c>
      <c r="H5522" t="s">
        <v>36379</v>
      </c>
      <c r="I5522" t="s">
        <v>27800</v>
      </c>
      <c r="J5522" t="str">
        <f t="shared" si="432"/>
        <v>E:\PropInv\MF</v>
      </c>
      <c r="K5522" s="103" t="str">
        <f>HYPERLINK("E:\PropInv\MF\Cedar Park\Buttercup Creek Blvd_403_Buttercup Creek_Cedar Park_15838","Buttercup Creek Blvd_403_Buttercup Creek_Cedar Park_15838" )</f>
        <v>Buttercup Creek Blvd_403_Buttercup Creek_Cedar Park_15838</v>
      </c>
      <c r="L5522" s="104" t="s">
        <v>22253</v>
      </c>
      <c r="M5522" s="103" t="str">
        <f t="shared" si="433"/>
        <v>http://oconnordata.com/mlink/modules/profile/index.cfm?action=profile&amp;prop_id=15838</v>
      </c>
      <c r="N5522" s="1">
        <f t="shared" si="434"/>
        <v>15838</v>
      </c>
    </row>
    <row r="5523" spans="1:14" x14ac:dyDescent="0.3">
      <c r="A5523" s="1">
        <v>15839</v>
      </c>
      <c r="B5523" s="7" t="s">
        <v>8311</v>
      </c>
      <c r="C5523" s="12">
        <v>1401</v>
      </c>
      <c r="D5523" s="7" t="s">
        <v>8312</v>
      </c>
      <c r="E5523" s="13" t="s">
        <v>18</v>
      </c>
      <c r="F5523" t="str">
        <f t="shared" si="430"/>
        <v>AW</v>
      </c>
      <c r="G5523" t="str">
        <f t="shared" si="431"/>
        <v>AW1401Round Rock</v>
      </c>
      <c r="H5523" t="s">
        <v>36380</v>
      </c>
      <c r="I5523" t="s">
        <v>27801</v>
      </c>
      <c r="J5523" t="str">
        <f t="shared" si="432"/>
        <v>E:\PropInv\MF</v>
      </c>
      <c r="K5523" s="103" t="str">
        <f>HYPERLINK("E:\PropInv\MF\Round Rock\AW Grimes Blvd_1401_Red Hills Villas_Round Rock_15839","AW Grimes Blvd_1401_Red Hills Villas_Round Rock_15839" )</f>
        <v>AW Grimes Blvd_1401_Red Hills Villas_Round Rock_15839</v>
      </c>
      <c r="L5523" s="104" t="s">
        <v>22253</v>
      </c>
      <c r="M5523" s="103" t="str">
        <f t="shared" si="433"/>
        <v>http://oconnordata.com/mlink/modules/profile/index.cfm?action=profile&amp;prop_id=15839</v>
      </c>
      <c r="N5523" s="1">
        <f t="shared" si="434"/>
        <v>15839</v>
      </c>
    </row>
    <row r="5524" spans="1:14" x14ac:dyDescent="0.3">
      <c r="A5524" s="1">
        <v>15840</v>
      </c>
      <c r="B5524" s="7" t="s">
        <v>8313</v>
      </c>
      <c r="C5524" s="12" t="s">
        <v>8314</v>
      </c>
      <c r="D5524" s="7" t="s">
        <v>8315</v>
      </c>
      <c r="E5524" s="13" t="s">
        <v>7</v>
      </c>
      <c r="F5524" t="str">
        <f t="shared" si="430"/>
        <v>Argonne</v>
      </c>
      <c r="G5524" t="str">
        <f t="shared" si="431"/>
        <v>Argonne11600-AAustin</v>
      </c>
      <c r="H5524" t="s">
        <v>36381</v>
      </c>
      <c r="I5524" t="s">
        <v>27802</v>
      </c>
      <c r="J5524" t="str">
        <f t="shared" si="432"/>
        <v>E:\PropInv\MF</v>
      </c>
      <c r="K5524" s="103" t="str">
        <f>HYPERLINK("E:\PropInv\MF\Austin\Argonne Forest Trl_11600-A_Ranchstone Garden Homes_Austin_15840","Argonne Forest Trl_11600-A_Ranchstone Garden Homes_Austin_15840" )</f>
        <v>Argonne Forest Trl_11600-A_Ranchstone Garden Homes_Austin_15840</v>
      </c>
      <c r="L5524" s="104" t="s">
        <v>22253</v>
      </c>
      <c r="M5524" s="103" t="str">
        <f t="shared" si="433"/>
        <v>http://oconnordata.com/mlink/modules/profile/index.cfm?action=profile&amp;prop_id=15840</v>
      </c>
      <c r="N5524" s="1">
        <f t="shared" si="434"/>
        <v>15840</v>
      </c>
    </row>
    <row r="5525" spans="1:14" x14ac:dyDescent="0.3">
      <c r="A5525" s="1">
        <v>15841</v>
      </c>
      <c r="B5525" s="7" t="s">
        <v>8316</v>
      </c>
      <c r="C5525" s="12">
        <v>16500</v>
      </c>
      <c r="D5525" s="7" t="s">
        <v>8317</v>
      </c>
      <c r="E5525" s="13" t="s">
        <v>367</v>
      </c>
      <c r="F5525" t="str">
        <f t="shared" si="430"/>
        <v>Yellow</v>
      </c>
      <c r="G5525" t="str">
        <f t="shared" si="431"/>
        <v>Yellow16500Pflugerville</v>
      </c>
      <c r="H5525" t="s">
        <v>36382</v>
      </c>
      <c r="I5525" t="s">
        <v>27803</v>
      </c>
      <c r="J5525" t="str">
        <f t="shared" si="432"/>
        <v>E:\PropInv\MF</v>
      </c>
      <c r="K5525" s="103" t="str">
        <f>HYPERLINK("E:\PropInv\MF\Pflugerville\Yellow Sage_16500_Heatherwilde Park_Pflugerville_15841","Yellow Sage_16500_Heatherwilde Park_Pflugerville_15841" )</f>
        <v>Yellow Sage_16500_Heatherwilde Park_Pflugerville_15841</v>
      </c>
      <c r="L5525" s="104" t="s">
        <v>22253</v>
      </c>
      <c r="M5525" s="103" t="str">
        <f t="shared" si="433"/>
        <v>http://oconnordata.com/mlink/modules/profile/index.cfm?action=profile&amp;prop_id=15841</v>
      </c>
      <c r="N5525" s="1">
        <f t="shared" si="434"/>
        <v>15841</v>
      </c>
    </row>
    <row r="5526" spans="1:14" x14ac:dyDescent="0.3">
      <c r="A5526" s="1">
        <v>15842</v>
      </c>
      <c r="B5526" s="7" t="s">
        <v>8318</v>
      </c>
      <c r="C5526" s="12">
        <v>3300</v>
      </c>
      <c r="D5526" s="7" t="s">
        <v>8319</v>
      </c>
      <c r="E5526" s="13" t="s">
        <v>18</v>
      </c>
      <c r="F5526" t="str">
        <f t="shared" si="430"/>
        <v>Forest</v>
      </c>
      <c r="G5526" t="str">
        <f t="shared" si="431"/>
        <v>Forest3300Round Rock</v>
      </c>
      <c r="H5526" t="s">
        <v>36383</v>
      </c>
      <c r="I5526" t="s">
        <v>27804</v>
      </c>
      <c r="J5526" t="str">
        <f t="shared" si="432"/>
        <v>E:\PropInv\MF</v>
      </c>
      <c r="K5526" s="103" t="str">
        <f>HYPERLINK("E:\PropInv\MF\Round Rock\Forest Creek Dr_3300_Forest Creek TH_Round Rock_15842","Forest Creek Dr_3300_Forest Creek TH_Round Rock_15842" )</f>
        <v>Forest Creek Dr_3300_Forest Creek TH_Round Rock_15842</v>
      </c>
      <c r="L5526" s="104" t="s">
        <v>22253</v>
      </c>
      <c r="M5526" s="103" t="str">
        <f t="shared" si="433"/>
        <v>http://oconnordata.com/mlink/modules/profile/index.cfm?action=profile&amp;prop_id=15842</v>
      </c>
      <c r="N5526" s="1">
        <f t="shared" si="434"/>
        <v>15842</v>
      </c>
    </row>
    <row r="5527" spans="1:14" x14ac:dyDescent="0.3">
      <c r="A5527" s="1">
        <v>15844</v>
      </c>
      <c r="B5527" s="7" t="s">
        <v>8320</v>
      </c>
      <c r="C5527" s="12">
        <v>3443</v>
      </c>
      <c r="D5527" s="7" t="s">
        <v>8321</v>
      </c>
      <c r="E5527" s="13" t="s">
        <v>1657</v>
      </c>
      <c r="F5527" t="str">
        <f t="shared" si="430"/>
        <v>Addicks</v>
      </c>
      <c r="G5527" t="str">
        <f t="shared" si="431"/>
        <v>Addicks3443Houston</v>
      </c>
      <c r="H5527" t="s">
        <v>36384</v>
      </c>
      <c r="I5527" t="s">
        <v>27805</v>
      </c>
      <c r="J5527" t="str">
        <f t="shared" si="432"/>
        <v>E:\PropInv\MF</v>
      </c>
      <c r="K5527" s="103" t="str">
        <f>HYPERLINK("E:\PropInv\MF\Houston\Addicks Clodine_3443_City Parc at West Oaks_Houston_15844","Addicks Clodine_3443_City Parc at West Oaks_Houston_15844" )</f>
        <v>Addicks Clodine_3443_City Parc at West Oaks_Houston_15844</v>
      </c>
      <c r="L5527" s="104" t="s">
        <v>22253</v>
      </c>
      <c r="M5527" s="103" t="str">
        <f t="shared" si="433"/>
        <v>http://oconnordata.com/mlink/modules/profile/index.cfm?action=profile&amp;prop_id=15844</v>
      </c>
      <c r="N5527" s="1">
        <f t="shared" si="434"/>
        <v>15844</v>
      </c>
    </row>
    <row r="5528" spans="1:14" x14ac:dyDescent="0.3">
      <c r="A5528" s="1">
        <v>15845</v>
      </c>
      <c r="B5528" s="7" t="s">
        <v>4921</v>
      </c>
      <c r="C5528" s="12">
        <v>1200</v>
      </c>
      <c r="D5528" s="7" t="s">
        <v>8322</v>
      </c>
      <c r="E5528" s="13" t="s">
        <v>1657</v>
      </c>
      <c r="F5528" t="str">
        <f t="shared" si="430"/>
        <v>Post</v>
      </c>
      <c r="G5528" t="str">
        <f t="shared" si="431"/>
        <v>Post1200Houston</v>
      </c>
      <c r="H5528" t="s">
        <v>36385</v>
      </c>
      <c r="I5528" t="s">
        <v>27806</v>
      </c>
      <c r="J5528" t="str">
        <f t="shared" si="432"/>
        <v>E:\PropInv\MF</v>
      </c>
      <c r="K5528" s="103" t="str">
        <f>HYPERLINK("E:\PropInv\MF\Houston\Post Oak Blvd_1200_1200 Post Oak_Houston_15845","Post Oak Blvd_1200_1200 Post Oak_Houston_15845" )</f>
        <v>Post Oak Blvd_1200_1200 Post Oak_Houston_15845</v>
      </c>
      <c r="L5528" s="104" t="s">
        <v>22253</v>
      </c>
      <c r="M5528" s="103" t="str">
        <f t="shared" si="433"/>
        <v>http://oconnordata.com/mlink/modules/profile/index.cfm?action=profile&amp;prop_id=15845</v>
      </c>
      <c r="N5528" s="1">
        <f t="shared" si="434"/>
        <v>15845</v>
      </c>
    </row>
    <row r="5529" spans="1:14" x14ac:dyDescent="0.3">
      <c r="A5529" s="1">
        <v>15848</v>
      </c>
      <c r="B5529" s="7" t="s">
        <v>2368</v>
      </c>
      <c r="C5529" s="12">
        <v>2303</v>
      </c>
      <c r="D5529" s="7" t="s">
        <v>8323</v>
      </c>
      <c r="E5529" s="13" t="s">
        <v>1657</v>
      </c>
      <c r="F5529" t="str">
        <f t="shared" si="430"/>
        <v>Tidwell</v>
      </c>
      <c r="G5529" t="str">
        <f t="shared" si="431"/>
        <v>Tidwell2303Houston</v>
      </c>
      <c r="H5529" t="s">
        <v>36386</v>
      </c>
      <c r="I5529" t="s">
        <v>27807</v>
      </c>
      <c r="J5529" t="str">
        <f t="shared" si="432"/>
        <v>E:\PropInv\MF</v>
      </c>
      <c r="K5529" s="103" t="str">
        <f>HYPERLINK("E:\PropInv\MF\Houston\Tidwell W_2303_Fountains at Tidwell_Houston_15848","Tidwell W_2303_Fountains at Tidwell_Houston_15848" )</f>
        <v>Tidwell W_2303_Fountains at Tidwell_Houston_15848</v>
      </c>
      <c r="L5529" s="104" t="s">
        <v>22253</v>
      </c>
      <c r="M5529" s="103" t="str">
        <f t="shared" si="433"/>
        <v>http://oconnordata.com/mlink/modules/profile/index.cfm?action=profile&amp;prop_id=15848</v>
      </c>
      <c r="N5529" s="1">
        <f t="shared" si="434"/>
        <v>15848</v>
      </c>
    </row>
    <row r="5530" spans="1:14" x14ac:dyDescent="0.3">
      <c r="A5530" s="1">
        <v>15851</v>
      </c>
      <c r="B5530" s="7" t="s">
        <v>8324</v>
      </c>
      <c r="C5530" s="12">
        <v>19600</v>
      </c>
      <c r="D5530" s="7" t="s">
        <v>8325</v>
      </c>
      <c r="E5530" s="13" t="s">
        <v>367</v>
      </c>
      <c r="F5530" t="str">
        <f t="shared" si="430"/>
        <v>Heatherwilde</v>
      </c>
      <c r="G5530" t="str">
        <f t="shared" si="431"/>
        <v>Heatherwilde19600Pflugerville</v>
      </c>
      <c r="H5530" t="s">
        <v>36387</v>
      </c>
      <c r="I5530" t="s">
        <v>27808</v>
      </c>
      <c r="J5530" t="str">
        <f t="shared" si="432"/>
        <v>E:\PropInv\MF</v>
      </c>
      <c r="K5530" s="103" t="str">
        <f>HYPERLINK("E:\PropInv\MF\Pflugerville\Heatherwilde Blvd_19600_Westchester Woods_Pflugerville_15851","Heatherwilde Blvd_19600_Westchester Woods_Pflugerville_15851" )</f>
        <v>Heatherwilde Blvd_19600_Westchester Woods_Pflugerville_15851</v>
      </c>
      <c r="L5530" s="104" t="s">
        <v>22253</v>
      </c>
      <c r="M5530" s="103" t="str">
        <f t="shared" si="433"/>
        <v>http://oconnordata.com/mlink/modules/profile/index.cfm?action=profile&amp;prop_id=15851</v>
      </c>
      <c r="N5530" s="1">
        <f t="shared" si="434"/>
        <v>15851</v>
      </c>
    </row>
    <row r="5531" spans="1:14" x14ac:dyDescent="0.3">
      <c r="A5531" s="1">
        <v>15853</v>
      </c>
      <c r="B5531" s="7" t="s">
        <v>6918</v>
      </c>
      <c r="C5531" s="12">
        <v>6400</v>
      </c>
      <c r="D5531" s="7" t="s">
        <v>8326</v>
      </c>
      <c r="E5531" s="13" t="s">
        <v>5009</v>
      </c>
      <c r="F5531" t="str">
        <f t="shared" si="430"/>
        <v>Ohio</v>
      </c>
      <c r="G5531" t="str">
        <f t="shared" si="431"/>
        <v>Ohio6400Plano</v>
      </c>
      <c r="H5531" t="s">
        <v>36388</v>
      </c>
      <c r="I5531" t="s">
        <v>27809</v>
      </c>
      <c r="J5531" t="str">
        <f t="shared" si="432"/>
        <v>E:\PropInv\MF</v>
      </c>
      <c r="K5531" s="103" t="str">
        <f>HYPERLINK("E:\PropInv\MF\Plano\Ohio Dr_6400_Camden Legacy Creek_Plano_15853","Ohio Dr_6400_Camden Legacy Creek_Plano_15853" )</f>
        <v>Ohio Dr_6400_Camden Legacy Creek_Plano_15853</v>
      </c>
      <c r="L5531" s="104" t="s">
        <v>22253</v>
      </c>
      <c r="M5531" s="103" t="str">
        <f t="shared" si="433"/>
        <v>http://oconnordata.com/mlink/modules/profile/index.cfm?action=profile&amp;prop_id=15853</v>
      </c>
      <c r="N5531" s="1">
        <f t="shared" si="434"/>
        <v>15853</v>
      </c>
    </row>
    <row r="5532" spans="1:14" x14ac:dyDescent="0.3">
      <c r="A5532" s="1">
        <v>15854</v>
      </c>
      <c r="B5532" s="10" t="s">
        <v>2913</v>
      </c>
      <c r="C5532" s="9">
        <v>1901</v>
      </c>
      <c r="D5532" s="10" t="s">
        <v>8327</v>
      </c>
      <c r="E5532" s="11" t="s">
        <v>1657</v>
      </c>
      <c r="F5532" t="str">
        <f t="shared" si="430"/>
        <v>Augusta</v>
      </c>
      <c r="G5532" t="str">
        <f t="shared" si="431"/>
        <v>Augusta1901Houston</v>
      </c>
      <c r="H5532" t="s">
        <v>36389</v>
      </c>
      <c r="I5532" t="s">
        <v>27810</v>
      </c>
      <c r="J5532" t="str">
        <f t="shared" si="432"/>
        <v>E:\PropInv\MF</v>
      </c>
      <c r="K5532" s="103" t="str">
        <f>HYPERLINK("E:\PropInv\MF\Houston\Augusta_1901_Tuscany Court_Houston_15854","Augusta_1901_Tuscany Court_Houston_15854" )</f>
        <v>Augusta_1901_Tuscany Court_Houston_15854</v>
      </c>
      <c r="L5532" s="104" t="s">
        <v>22253</v>
      </c>
      <c r="M5532" s="103" t="str">
        <f t="shared" si="433"/>
        <v>http://oconnordata.com/mlink/modules/profile/index.cfm?action=profile&amp;prop_id=15854</v>
      </c>
      <c r="N5532" s="1">
        <f t="shared" si="434"/>
        <v>15854</v>
      </c>
    </row>
    <row r="5533" spans="1:14" x14ac:dyDescent="0.3">
      <c r="A5533" s="1">
        <v>15856</v>
      </c>
      <c r="B5533" s="7" t="s">
        <v>8328</v>
      </c>
      <c r="C5533" s="12">
        <v>111</v>
      </c>
      <c r="D5533" s="7" t="s">
        <v>8329</v>
      </c>
      <c r="E5533" s="13" t="s">
        <v>842</v>
      </c>
      <c r="F5533" t="str">
        <f t="shared" si="430"/>
        <v>Travis</v>
      </c>
      <c r="G5533" t="str">
        <f t="shared" si="431"/>
        <v>Travis111San Antonio</v>
      </c>
      <c r="H5533" t="s">
        <v>36390</v>
      </c>
      <c r="I5533" t="s">
        <v>27811</v>
      </c>
      <c r="J5533" t="str">
        <f t="shared" si="432"/>
        <v>E:\PropInv\MF</v>
      </c>
      <c r="K5533" s="103" t="str">
        <f>HYPERLINK("E:\PropInv\MF\San Antonio\Travis W_111_Robert E. Lee_San Antonio_15856","Travis W_111_Robert E. Lee_San Antonio_15856" )</f>
        <v>Travis W_111_Robert E. Lee_San Antonio_15856</v>
      </c>
      <c r="L5533" s="104" t="s">
        <v>22253</v>
      </c>
      <c r="M5533" s="103" t="str">
        <f t="shared" si="433"/>
        <v>http://oconnordata.com/mlink/modules/profile/index.cfm?action=profile&amp;prop_id=15856</v>
      </c>
      <c r="N5533" s="1">
        <f t="shared" si="434"/>
        <v>15856</v>
      </c>
    </row>
    <row r="5534" spans="1:14" x14ac:dyDescent="0.3">
      <c r="A5534" s="1">
        <v>15857</v>
      </c>
      <c r="B5534" s="7" t="s">
        <v>1000</v>
      </c>
      <c r="C5534" s="12">
        <v>3787</v>
      </c>
      <c r="D5534" s="7" t="s">
        <v>6223</v>
      </c>
      <c r="E5534" s="13" t="s">
        <v>842</v>
      </c>
      <c r="F5534" t="str">
        <f t="shared" si="430"/>
        <v>Perrin</v>
      </c>
      <c r="G5534" t="str">
        <f t="shared" si="431"/>
        <v>Perrin3787San Antonio</v>
      </c>
      <c r="H5534" t="s">
        <v>36391</v>
      </c>
      <c r="I5534" t="s">
        <v>27812</v>
      </c>
      <c r="J5534" t="str">
        <f t="shared" si="432"/>
        <v>E:\PropInv\MF</v>
      </c>
      <c r="K5534" s="103" t="str">
        <f>HYPERLINK("E:\PropInv\MF\San Antonio\Perrin Central_3787_San Mateo_San Antonio_15857","Perrin Central_3787_San Mateo_San Antonio_15857" )</f>
        <v>Perrin Central_3787_San Mateo_San Antonio_15857</v>
      </c>
      <c r="L5534" s="104" t="s">
        <v>22253</v>
      </c>
      <c r="M5534" s="103" t="str">
        <f t="shared" si="433"/>
        <v>http://oconnordata.com/mlink/modules/profile/index.cfm?action=profile&amp;prop_id=15857</v>
      </c>
      <c r="N5534" s="1">
        <f t="shared" si="434"/>
        <v>15857</v>
      </c>
    </row>
    <row r="5535" spans="1:14" x14ac:dyDescent="0.3">
      <c r="A5535" s="1">
        <v>15859</v>
      </c>
      <c r="B5535" s="7" t="s">
        <v>8330</v>
      </c>
      <c r="C5535" s="12">
        <v>801</v>
      </c>
      <c r="D5535" s="7" t="s">
        <v>8331</v>
      </c>
      <c r="E5535" s="13" t="s">
        <v>4996</v>
      </c>
      <c r="F5535" t="str">
        <f t="shared" si="430"/>
        <v>Beckleymeade</v>
      </c>
      <c r="G5535" t="str">
        <f t="shared" si="431"/>
        <v>Beckleymeade801Dallas</v>
      </c>
      <c r="H5535" t="s">
        <v>36392</v>
      </c>
      <c r="I5535" t="s">
        <v>27813</v>
      </c>
      <c r="J5535" t="str">
        <f t="shared" si="432"/>
        <v>E:\PropInv\MF</v>
      </c>
      <c r="K5535" s="103" t="str">
        <f>HYPERLINK("E:\PropInv\MF\Dallas\Beckleymeade_801_Rosemont at Timber Creek_Dallas_15859","Beckleymeade_801_Rosemont at Timber Creek_Dallas_15859" )</f>
        <v>Beckleymeade_801_Rosemont at Timber Creek_Dallas_15859</v>
      </c>
      <c r="L5535" s="104" t="s">
        <v>22253</v>
      </c>
      <c r="M5535" s="103" t="str">
        <f t="shared" si="433"/>
        <v>http://oconnordata.com/mlink/modules/profile/index.cfm?action=profile&amp;prop_id=15859</v>
      </c>
      <c r="N5535" s="1">
        <f t="shared" si="434"/>
        <v>15859</v>
      </c>
    </row>
    <row r="5536" spans="1:14" x14ac:dyDescent="0.3">
      <c r="A5536" s="1">
        <v>15860</v>
      </c>
      <c r="B5536" s="7" t="s">
        <v>8332</v>
      </c>
      <c r="C5536" s="12">
        <v>3015</v>
      </c>
      <c r="D5536" s="7" t="s">
        <v>8333</v>
      </c>
      <c r="E5536" s="13" t="s">
        <v>4996</v>
      </c>
      <c r="F5536" t="str">
        <f t="shared" si="430"/>
        <v>Ledbetter</v>
      </c>
      <c r="G5536" t="str">
        <f t="shared" si="431"/>
        <v>Ledbetter3015Dallas</v>
      </c>
      <c r="H5536" t="s">
        <v>36393</v>
      </c>
      <c r="I5536" t="s">
        <v>27814</v>
      </c>
      <c r="J5536" t="str">
        <f t="shared" si="432"/>
        <v>E:\PropInv\MF</v>
      </c>
      <c r="K5536" s="103" t="str">
        <f>HYPERLINK("E:\PropInv\MF\Dallas\Ledbetter E_3015_Rosemont of Oak Hollow_Dallas_15860","Ledbetter E_3015_Rosemont of Oak Hollow_Dallas_15860" )</f>
        <v>Ledbetter E_3015_Rosemont of Oak Hollow_Dallas_15860</v>
      </c>
      <c r="L5536" s="104" t="s">
        <v>22253</v>
      </c>
      <c r="M5536" s="103" t="str">
        <f t="shared" si="433"/>
        <v>http://oconnordata.com/mlink/modules/profile/index.cfm?action=profile&amp;prop_id=15860</v>
      </c>
      <c r="N5536" s="1">
        <f t="shared" si="434"/>
        <v>15860</v>
      </c>
    </row>
    <row r="5537" spans="1:14" x14ac:dyDescent="0.3">
      <c r="A5537" s="1">
        <v>15862</v>
      </c>
      <c r="B5537" s="7" t="s">
        <v>5921</v>
      </c>
      <c r="C5537" s="12">
        <v>2610</v>
      </c>
      <c r="D5537" s="7" t="s">
        <v>8334</v>
      </c>
      <c r="E5537" s="13" t="s">
        <v>4996</v>
      </c>
      <c r="F5537" t="str">
        <f t="shared" si="430"/>
        <v>Allen</v>
      </c>
      <c r="G5537" t="str">
        <f t="shared" si="431"/>
        <v>Allen2610Dallas</v>
      </c>
      <c r="H5537" t="s">
        <v>36394</v>
      </c>
      <c r="I5537" t="s">
        <v>27815</v>
      </c>
      <c r="J5537" t="str">
        <f t="shared" si="432"/>
        <v>E:\PropInv\MF</v>
      </c>
      <c r="K5537" s="103" t="str">
        <f>HYPERLINK("E:\PropInv\MF\Dallas\Allen St_2610_Gables State Thomas Ravello_Dallas_15862","Allen St_2610_Gables State Thomas Ravello_Dallas_15862" )</f>
        <v>Allen St_2610_Gables State Thomas Ravello_Dallas_15862</v>
      </c>
      <c r="L5537" s="104" t="s">
        <v>22253</v>
      </c>
      <c r="M5537" s="103" t="str">
        <f t="shared" si="433"/>
        <v>http://oconnordata.com/mlink/modules/profile/index.cfm?action=profile&amp;prop_id=15862</v>
      </c>
      <c r="N5537" s="1">
        <f t="shared" si="434"/>
        <v>15862</v>
      </c>
    </row>
    <row r="5538" spans="1:14" x14ac:dyDescent="0.3">
      <c r="A5538" s="1">
        <v>15864</v>
      </c>
      <c r="B5538" s="7" t="s">
        <v>8335</v>
      </c>
      <c r="C5538" s="12">
        <v>23405</v>
      </c>
      <c r="D5538" s="7" t="s">
        <v>1791</v>
      </c>
      <c r="E5538" s="13" t="s">
        <v>2198</v>
      </c>
      <c r="F5538" t="str">
        <f t="shared" si="430"/>
        <v>Fernherst</v>
      </c>
      <c r="G5538" t="str">
        <f t="shared" si="431"/>
        <v>Fernherst23405Katy</v>
      </c>
      <c r="H5538" t="s">
        <v>36395</v>
      </c>
      <c r="I5538" t="s">
        <v>27816</v>
      </c>
      <c r="J5538" t="str">
        <f t="shared" si="432"/>
        <v>E:\PropInv\MF</v>
      </c>
      <c r="K5538" s="103" t="str">
        <f>HYPERLINK("E:\PropInv\MF\Katy\Fernherst Rd W_23405_Millstone_Katy_15864","Fernherst Rd W_23405_Millstone_Katy_15864" )</f>
        <v>Fernherst Rd W_23405_Millstone_Katy_15864</v>
      </c>
      <c r="L5538" s="104" t="s">
        <v>22253</v>
      </c>
      <c r="M5538" s="103" t="str">
        <f t="shared" si="433"/>
        <v>http://oconnordata.com/mlink/modules/profile/index.cfm?action=profile&amp;prop_id=15864</v>
      </c>
      <c r="N5538" s="1">
        <f t="shared" si="434"/>
        <v>15864</v>
      </c>
    </row>
    <row r="5539" spans="1:14" x14ac:dyDescent="0.3">
      <c r="A5539" s="1">
        <v>15865</v>
      </c>
      <c r="B5539" s="21" t="s">
        <v>2093</v>
      </c>
      <c r="C5539" s="12">
        <v>11501</v>
      </c>
      <c r="D5539" s="7" t="s">
        <v>6312</v>
      </c>
      <c r="E5539" s="13" t="s">
        <v>1657</v>
      </c>
      <c r="F5539" t="str">
        <f t="shared" si="430"/>
        <v>W</v>
      </c>
      <c r="G5539" t="str">
        <f t="shared" si="431"/>
        <v>W11501Houston</v>
      </c>
      <c r="H5539" t="s">
        <v>36396</v>
      </c>
      <c r="I5539" t="s">
        <v>27817</v>
      </c>
      <c r="J5539" t="str">
        <f t="shared" si="432"/>
        <v>E:\PropInv\MF</v>
      </c>
      <c r="K5539" s="103" t="str">
        <f>HYPERLINK("E:\PropInv\MF\Houston\W Rd_11501_Sugar Creek_Houston_15865","W Rd_11501_Sugar Creek_Houston_15865" )</f>
        <v>W Rd_11501_Sugar Creek_Houston_15865</v>
      </c>
      <c r="L5539" s="104" t="s">
        <v>22253</v>
      </c>
      <c r="M5539" s="103" t="str">
        <f t="shared" si="433"/>
        <v>http://oconnordata.com/mlink/modules/profile/index.cfm?action=profile&amp;prop_id=15865</v>
      </c>
      <c r="N5539" s="1">
        <f t="shared" si="434"/>
        <v>15865</v>
      </c>
    </row>
    <row r="5540" spans="1:14" x14ac:dyDescent="0.3">
      <c r="A5540" s="1">
        <v>15867</v>
      </c>
      <c r="B5540" s="7" t="s">
        <v>1717</v>
      </c>
      <c r="C5540" s="12">
        <v>16101</v>
      </c>
      <c r="D5540" s="7" t="s">
        <v>8336</v>
      </c>
      <c r="E5540" s="13" t="s">
        <v>1657</v>
      </c>
      <c r="F5540" t="str">
        <f t="shared" si="430"/>
        <v>Imperial</v>
      </c>
      <c r="G5540" t="str">
        <f t="shared" si="431"/>
        <v>Imperial16101Houston</v>
      </c>
      <c r="H5540" t="s">
        <v>36397</v>
      </c>
      <c r="I5540" t="s">
        <v>27818</v>
      </c>
      <c r="J5540" t="str">
        <f t="shared" si="432"/>
        <v>E:\PropInv\MF</v>
      </c>
      <c r="K5540" s="103" t="str">
        <f>HYPERLINK("E:\PropInv\MF\Houston\Imperial Valley Dr_16101_Brittmore_Houston_15867","Imperial Valley Dr_16101_Brittmore_Houston_15867" )</f>
        <v>Imperial Valley Dr_16101_Brittmore_Houston_15867</v>
      </c>
      <c r="L5540" s="104" t="s">
        <v>22253</v>
      </c>
      <c r="M5540" s="103" t="str">
        <f t="shared" si="433"/>
        <v>http://oconnordata.com/mlink/modules/profile/index.cfm?action=profile&amp;prop_id=15867</v>
      </c>
      <c r="N5540" s="1">
        <f t="shared" si="434"/>
        <v>15867</v>
      </c>
    </row>
    <row r="5541" spans="1:14" x14ac:dyDescent="0.3">
      <c r="A5541" s="1">
        <v>15868</v>
      </c>
      <c r="B5541" s="7" t="s">
        <v>5564</v>
      </c>
      <c r="C5541" s="12">
        <v>3010</v>
      </c>
      <c r="D5541" s="7" t="s">
        <v>8337</v>
      </c>
      <c r="E5541" s="13" t="s">
        <v>4996</v>
      </c>
      <c r="F5541" t="str">
        <f t="shared" si="430"/>
        <v>State</v>
      </c>
      <c r="G5541" t="str">
        <f t="shared" si="431"/>
        <v>State3010Dallas</v>
      </c>
      <c r="H5541" t="s">
        <v>36398</v>
      </c>
      <c r="I5541" t="s">
        <v>27819</v>
      </c>
      <c r="J5541" t="str">
        <f t="shared" si="432"/>
        <v>E:\PropInv\MF</v>
      </c>
      <c r="K5541" s="103" t="str">
        <f>HYPERLINK("E:\PropInv\MF\Dallas\State St_3010_Manchester State Thomas II Brownstones_Dallas_15868","State St_3010_Manchester State Thomas II Brownstones_Dallas_15868" )</f>
        <v>State St_3010_Manchester State Thomas II Brownstones_Dallas_15868</v>
      </c>
      <c r="L5541" s="104" t="s">
        <v>22253</v>
      </c>
      <c r="M5541" s="103" t="str">
        <f t="shared" si="433"/>
        <v>http://oconnordata.com/mlink/modules/profile/index.cfm?action=profile&amp;prop_id=15868</v>
      </c>
      <c r="N5541" s="1">
        <f t="shared" si="434"/>
        <v>15868</v>
      </c>
    </row>
    <row r="5542" spans="1:14" x14ac:dyDescent="0.3">
      <c r="A5542" s="1">
        <v>15869</v>
      </c>
      <c r="B5542" s="7" t="s">
        <v>5564</v>
      </c>
      <c r="C5542" s="12">
        <v>3010</v>
      </c>
      <c r="D5542" s="7" t="s">
        <v>8338</v>
      </c>
      <c r="E5542" s="13" t="s">
        <v>4996</v>
      </c>
      <c r="F5542" t="str">
        <f t="shared" si="430"/>
        <v>State</v>
      </c>
      <c r="G5542" t="str">
        <f t="shared" si="431"/>
        <v>State3010Dallas</v>
      </c>
      <c r="H5542" t="s">
        <v>36399</v>
      </c>
      <c r="I5542" t="s">
        <v>27820</v>
      </c>
      <c r="J5542" t="str">
        <f t="shared" si="432"/>
        <v>E:\PropInv\MF</v>
      </c>
      <c r="K5542" s="103" t="str">
        <f>HYPERLINK("E:\PropInv\MF\Dallas\State St_3010_Manchester State Thomas III Flats_Dallas_15869","State St_3010_Manchester State Thomas III Flats_Dallas_15869" )</f>
        <v>State St_3010_Manchester State Thomas III Flats_Dallas_15869</v>
      </c>
      <c r="L5542" s="104" t="s">
        <v>22253</v>
      </c>
      <c r="M5542" s="103" t="str">
        <f t="shared" si="433"/>
        <v>http://oconnordata.com/mlink/modules/profile/index.cfm?action=profile&amp;prop_id=15869</v>
      </c>
      <c r="N5542" s="1">
        <f t="shared" si="434"/>
        <v>15869</v>
      </c>
    </row>
    <row r="5543" spans="1:14" x14ac:dyDescent="0.3">
      <c r="A5543" s="1">
        <v>15870</v>
      </c>
      <c r="B5543" s="7" t="s">
        <v>6899</v>
      </c>
      <c r="C5543" s="12">
        <v>425</v>
      </c>
      <c r="D5543" s="7" t="s">
        <v>8339</v>
      </c>
      <c r="E5543" s="13" t="s">
        <v>5097</v>
      </c>
      <c r="F5543" t="str">
        <f t="shared" si="430"/>
        <v>Bernard</v>
      </c>
      <c r="G5543" t="str">
        <f t="shared" si="431"/>
        <v>Bernard425Denton</v>
      </c>
      <c r="H5543" t="s">
        <v>36400</v>
      </c>
      <c r="I5543" t="s">
        <v>27821</v>
      </c>
      <c r="J5543" t="str">
        <f t="shared" si="432"/>
        <v>E:\PropInv\MF</v>
      </c>
      <c r="K5543" s="103" t="str">
        <f>HYPERLINK("E:\PropInv\MF\Denton\Bernard St_425_Oaks Of Denton_Denton_15870","Bernard St_425_Oaks Of Denton_Denton_15870" )</f>
        <v>Bernard St_425_Oaks Of Denton_Denton_15870</v>
      </c>
      <c r="L5543" s="104" t="s">
        <v>22253</v>
      </c>
      <c r="M5543" s="103" t="str">
        <f t="shared" si="433"/>
        <v>http://oconnordata.com/mlink/modules/profile/index.cfm?action=profile&amp;prop_id=15870</v>
      </c>
      <c r="N5543" s="1">
        <f t="shared" si="434"/>
        <v>15870</v>
      </c>
    </row>
    <row r="5544" spans="1:14" x14ac:dyDescent="0.3">
      <c r="A5544" s="1">
        <v>15871</v>
      </c>
      <c r="B5544" s="7" t="s">
        <v>8340</v>
      </c>
      <c r="C5544" s="12">
        <v>13021</v>
      </c>
      <c r="D5544" s="7" t="s">
        <v>8341</v>
      </c>
      <c r="E5544" s="13" t="s">
        <v>7</v>
      </c>
      <c r="F5544" t="str">
        <f t="shared" si="430"/>
        <v>Legendary</v>
      </c>
      <c r="G5544" t="str">
        <f t="shared" si="431"/>
        <v>Legendary13021Austin</v>
      </c>
      <c r="H5544" t="s">
        <v>36401</v>
      </c>
      <c r="I5544" t="s">
        <v>27822</v>
      </c>
      <c r="J5544" t="str">
        <f t="shared" si="432"/>
        <v>E:\PropInv\MF</v>
      </c>
      <c r="K5544" s="103" t="str">
        <f>HYPERLINK("E:\PropInv\MF\Austin\Legendary Dr_13021_Villas at Stone Oak Ranch_Austin_15871","Legendary Dr_13021_Villas at Stone Oak Ranch_Austin_15871" )</f>
        <v>Legendary Dr_13021_Villas at Stone Oak Ranch_Austin_15871</v>
      </c>
      <c r="L5544" s="104" t="s">
        <v>22253</v>
      </c>
      <c r="M5544" s="103" t="str">
        <f t="shared" si="433"/>
        <v>http://oconnordata.com/mlink/modules/profile/index.cfm?action=profile&amp;prop_id=15871</v>
      </c>
      <c r="N5544" s="1">
        <f t="shared" si="434"/>
        <v>15871</v>
      </c>
    </row>
    <row r="5545" spans="1:14" x14ac:dyDescent="0.3">
      <c r="A5545" s="1">
        <v>15874</v>
      </c>
      <c r="B5545" s="7" t="s">
        <v>775</v>
      </c>
      <c r="C5545" s="12">
        <v>1215</v>
      </c>
      <c r="D5545" s="7" t="s">
        <v>8342</v>
      </c>
      <c r="E5545" s="13" t="s">
        <v>7</v>
      </c>
      <c r="F5545" t="str">
        <f t="shared" si="430"/>
        <v>Slaughter</v>
      </c>
      <c r="G5545" t="str">
        <f t="shared" si="431"/>
        <v>Slaughter1215Austin</v>
      </c>
      <c r="H5545" t="s">
        <v>36402</v>
      </c>
      <c r="I5545" t="s">
        <v>27823</v>
      </c>
      <c r="J5545" t="str">
        <f t="shared" si="432"/>
        <v>E:\PropInv\MF</v>
      </c>
      <c r="K5545" s="103" t="str">
        <f>HYPERLINK("E:\PropInv\MF\Austin\Slaughter Ln W_1215_Iron Rock Ranch_Austin_15874","Slaughter Ln W_1215_Iron Rock Ranch_Austin_15874" )</f>
        <v>Slaughter Ln W_1215_Iron Rock Ranch_Austin_15874</v>
      </c>
      <c r="L5545" s="104" t="s">
        <v>22253</v>
      </c>
      <c r="M5545" s="103" t="str">
        <f t="shared" si="433"/>
        <v>http://oconnordata.com/mlink/modules/profile/index.cfm?action=profile&amp;prop_id=15874</v>
      </c>
      <c r="N5545" s="1">
        <f t="shared" si="434"/>
        <v>15874</v>
      </c>
    </row>
    <row r="5546" spans="1:14" x14ac:dyDescent="0.3">
      <c r="A5546" s="1">
        <v>15875</v>
      </c>
      <c r="B5546" s="7" t="s">
        <v>8343</v>
      </c>
      <c r="C5546" s="12">
        <v>2401</v>
      </c>
      <c r="D5546" s="7" t="s">
        <v>8344</v>
      </c>
      <c r="E5546" s="13" t="s">
        <v>5043</v>
      </c>
      <c r="F5546" t="str">
        <f t="shared" si="430"/>
        <v>Country</v>
      </c>
      <c r="G5546" t="str">
        <f t="shared" si="431"/>
        <v>Country2401McKinney</v>
      </c>
      <c r="H5546" t="s">
        <v>36403</v>
      </c>
      <c r="I5546" t="s">
        <v>27824</v>
      </c>
      <c r="J5546" t="str">
        <f t="shared" si="432"/>
        <v>E:\PropInv\MF</v>
      </c>
      <c r="K5546" s="103" t="str">
        <f>HYPERLINK("E:\PropInv\MF\McKinney\Country View Ln_2401_Country Lane Seniors Community_McKinney_15875","Country View Ln_2401_Country Lane Seniors Community_McKinney_15875" )</f>
        <v>Country View Ln_2401_Country Lane Seniors Community_McKinney_15875</v>
      </c>
      <c r="L5546" s="104" t="s">
        <v>22253</v>
      </c>
      <c r="M5546" s="103" t="str">
        <f t="shared" si="433"/>
        <v>http://oconnordata.com/mlink/modules/profile/index.cfm?action=profile&amp;prop_id=15875</v>
      </c>
      <c r="N5546" s="1">
        <f t="shared" si="434"/>
        <v>15875</v>
      </c>
    </row>
    <row r="5547" spans="1:14" x14ac:dyDescent="0.3">
      <c r="A5547" s="1">
        <v>15876</v>
      </c>
      <c r="B5547" s="7" t="s">
        <v>6822</v>
      </c>
      <c r="C5547" s="12">
        <v>3601</v>
      </c>
      <c r="D5547" s="7" t="s">
        <v>8345</v>
      </c>
      <c r="E5547" s="13" t="s">
        <v>6578</v>
      </c>
      <c r="F5547" t="str">
        <f t="shared" si="430"/>
        <v>Grapevine</v>
      </c>
      <c r="G5547" t="str">
        <f t="shared" si="431"/>
        <v>Grapevine3601Grapevine</v>
      </c>
      <c r="H5547" t="s">
        <v>36404</v>
      </c>
      <c r="I5547" t="s">
        <v>27825</v>
      </c>
      <c r="J5547" t="str">
        <f t="shared" si="432"/>
        <v>E:\PropInv\MF</v>
      </c>
      <c r="K5547" s="103" t="str">
        <f>HYPERLINK("E:\PropInv\MF\Grapevine\Grapevine Mills Pkwy_3601_Mustang Ridge at Grapevine Ranch_Grapevine_15876","Grapevine Mills Pkwy_3601_Mustang Ridge at Grapevine Ranch_Grapevine_15876" )</f>
        <v>Grapevine Mills Pkwy_3601_Mustang Ridge at Grapevine Ranch_Grapevine_15876</v>
      </c>
      <c r="L5547" s="104" t="s">
        <v>22253</v>
      </c>
      <c r="M5547" s="103" t="str">
        <f t="shared" si="433"/>
        <v>http://oconnordata.com/mlink/modules/profile/index.cfm?action=profile&amp;prop_id=15876</v>
      </c>
      <c r="N5547" s="1">
        <f t="shared" si="434"/>
        <v>15876</v>
      </c>
    </row>
    <row r="5548" spans="1:14" x14ac:dyDescent="0.3">
      <c r="A5548" s="1">
        <v>15877</v>
      </c>
      <c r="B5548" s="7" t="s">
        <v>2632</v>
      </c>
      <c r="C5548" s="12">
        <v>2801</v>
      </c>
      <c r="D5548" s="7" t="s">
        <v>8346</v>
      </c>
      <c r="E5548" s="13" t="s">
        <v>4996</v>
      </c>
      <c r="F5548" t="str">
        <f t="shared" si="430"/>
        <v>Live</v>
      </c>
      <c r="G5548" t="str">
        <f t="shared" si="431"/>
        <v>Live2801Dallas</v>
      </c>
      <c r="H5548" t="s">
        <v>36405</v>
      </c>
      <c r="I5548" t="s">
        <v>27826</v>
      </c>
      <c r="J5548" t="str">
        <f t="shared" si="432"/>
        <v>E:\PropInv\MF</v>
      </c>
      <c r="K5548" s="103" t="str">
        <f>HYPERLINK("E:\PropInv\MF\Dallas\Live Oak_2801_Marquis at Texas Street_Dallas_15877","Live Oak_2801_Marquis at Texas Street_Dallas_15877" )</f>
        <v>Live Oak_2801_Marquis at Texas Street_Dallas_15877</v>
      </c>
      <c r="L5548" s="104" t="s">
        <v>22253</v>
      </c>
      <c r="M5548" s="103" t="str">
        <f t="shared" si="433"/>
        <v>http://oconnordata.com/mlink/modules/profile/index.cfm?action=profile&amp;prop_id=15877</v>
      </c>
      <c r="N5548" s="1">
        <f t="shared" si="434"/>
        <v>15877</v>
      </c>
    </row>
    <row r="5549" spans="1:14" x14ac:dyDescent="0.3">
      <c r="A5549" s="1">
        <v>15878</v>
      </c>
      <c r="B5549" s="7" t="s">
        <v>6892</v>
      </c>
      <c r="C5549" s="12">
        <v>5005</v>
      </c>
      <c r="D5549" s="7" t="s">
        <v>8347</v>
      </c>
      <c r="E5549" s="13" t="s">
        <v>4996</v>
      </c>
      <c r="F5549" t="str">
        <f t="shared" si="430"/>
        <v>Gaston</v>
      </c>
      <c r="G5549" t="str">
        <f t="shared" si="431"/>
        <v>Gaston5005Dallas</v>
      </c>
      <c r="H5549" t="s">
        <v>36406</v>
      </c>
      <c r="I5549" t="s">
        <v>27827</v>
      </c>
      <c r="J5549" t="str">
        <f t="shared" si="432"/>
        <v>E:\PropInv\MF</v>
      </c>
      <c r="K5549" s="103" t="str">
        <f>HYPERLINK("E:\PropInv\MF\Dallas\Gaston Ave_5005_Upper E-Paree_Dallas_15878","Gaston Ave_5005_Upper E-Paree_Dallas_15878" )</f>
        <v>Gaston Ave_5005_Upper E-Paree_Dallas_15878</v>
      </c>
      <c r="L5549" s="104" t="s">
        <v>22253</v>
      </c>
      <c r="M5549" s="103" t="str">
        <f t="shared" si="433"/>
        <v>http://oconnordata.com/mlink/modules/profile/index.cfm?action=profile&amp;prop_id=15878</v>
      </c>
      <c r="N5549" s="1">
        <f t="shared" si="434"/>
        <v>15878</v>
      </c>
    </row>
    <row r="5550" spans="1:14" x14ac:dyDescent="0.3">
      <c r="A5550" s="1">
        <v>15880</v>
      </c>
      <c r="B5550" s="7" t="s">
        <v>6892</v>
      </c>
      <c r="C5550" s="12">
        <v>5405</v>
      </c>
      <c r="D5550" s="7" t="s">
        <v>8348</v>
      </c>
      <c r="E5550" s="13" t="s">
        <v>4996</v>
      </c>
      <c r="F5550" t="str">
        <f t="shared" si="430"/>
        <v>Gaston</v>
      </c>
      <c r="G5550" t="str">
        <f t="shared" si="431"/>
        <v>Gaston5405Dallas</v>
      </c>
      <c r="H5550" t="s">
        <v>36407</v>
      </c>
      <c r="I5550" t="s">
        <v>27828</v>
      </c>
      <c r="J5550" t="str">
        <f t="shared" si="432"/>
        <v>E:\PropInv\MF</v>
      </c>
      <c r="K5550" s="103" t="str">
        <f>HYPERLINK("E:\PropInv\MF\Dallas\Gaston Ave_5405_Upper E-Silver Sands_Dallas_15880","Gaston Ave_5405_Upper E-Silver Sands_Dallas_15880" )</f>
        <v>Gaston Ave_5405_Upper E-Silver Sands_Dallas_15880</v>
      </c>
      <c r="L5550" s="104" t="s">
        <v>22253</v>
      </c>
      <c r="M5550" s="103" t="str">
        <f t="shared" si="433"/>
        <v>http://oconnordata.com/mlink/modules/profile/index.cfm?action=profile&amp;prop_id=15880</v>
      </c>
      <c r="N5550" s="1">
        <f t="shared" si="434"/>
        <v>15880</v>
      </c>
    </row>
    <row r="5551" spans="1:14" x14ac:dyDescent="0.3">
      <c r="A5551" s="1">
        <v>15881</v>
      </c>
      <c r="B5551" s="7" t="s">
        <v>8349</v>
      </c>
      <c r="C5551" s="12">
        <v>3301</v>
      </c>
      <c r="D5551" s="7" t="s">
        <v>8349</v>
      </c>
      <c r="E5551" s="13" t="s">
        <v>7</v>
      </c>
      <c r="F5551" t="str">
        <f t="shared" si="430"/>
        <v>Red</v>
      </c>
      <c r="G5551" t="str">
        <f t="shared" si="431"/>
        <v>Red3301Austin</v>
      </c>
      <c r="H5551" t="s">
        <v>36408</v>
      </c>
      <c r="I5551" t="s">
        <v>27829</v>
      </c>
      <c r="J5551" t="str">
        <f t="shared" si="432"/>
        <v>E:\PropInv\MF</v>
      </c>
      <c r="K5551" s="103" t="str">
        <f>HYPERLINK("E:\PropInv\MF\Austin\Red River_3301_Red River_Austin_15881","Red River_3301_Red River_Austin_15881" )</f>
        <v>Red River_3301_Red River_Austin_15881</v>
      </c>
      <c r="L5551" s="104" t="s">
        <v>22253</v>
      </c>
      <c r="M5551" s="103" t="str">
        <f t="shared" si="433"/>
        <v>http://oconnordata.com/mlink/modules/profile/index.cfm?action=profile&amp;prop_id=15881</v>
      </c>
      <c r="N5551" s="1">
        <f t="shared" si="434"/>
        <v>15881</v>
      </c>
    </row>
    <row r="5552" spans="1:14" x14ac:dyDescent="0.3">
      <c r="A5552" s="1">
        <v>15882</v>
      </c>
      <c r="B5552" s="7" t="s">
        <v>8350</v>
      </c>
      <c r="C5552" s="12">
        <v>2808</v>
      </c>
      <c r="D5552" s="7" t="s">
        <v>8351</v>
      </c>
      <c r="E5552" s="13" t="s">
        <v>4996</v>
      </c>
      <c r="F5552" t="str">
        <f t="shared" si="430"/>
        <v>Throckmorton</v>
      </c>
      <c r="G5552" t="str">
        <f t="shared" si="431"/>
        <v>Throckmorton2808Dallas</v>
      </c>
      <c r="H5552" t="s">
        <v>36409</v>
      </c>
      <c r="I5552" t="s">
        <v>27830</v>
      </c>
      <c r="J5552" t="str">
        <f t="shared" si="432"/>
        <v>E:\PropInv\MF</v>
      </c>
      <c r="K5552" s="103" t="str">
        <f>HYPERLINK("E:\PropInv\MF\Dallas\Throckmorton St_2808_Gardens Cambridge Apts_Dallas_15882","Throckmorton St_2808_Gardens Cambridge Apts_Dallas_15882" )</f>
        <v>Throckmorton St_2808_Gardens Cambridge Apts_Dallas_15882</v>
      </c>
      <c r="L5552" s="104" t="s">
        <v>22253</v>
      </c>
      <c r="M5552" s="103" t="str">
        <f t="shared" si="433"/>
        <v>http://oconnordata.com/mlink/modules/profile/index.cfm?action=profile&amp;prop_id=15882</v>
      </c>
      <c r="N5552" s="1">
        <f t="shared" si="434"/>
        <v>15882</v>
      </c>
    </row>
    <row r="5553" spans="1:14" x14ac:dyDescent="0.3">
      <c r="A5553" s="1">
        <v>15884</v>
      </c>
      <c r="B5553" s="7" t="s">
        <v>8352</v>
      </c>
      <c r="C5553" s="12">
        <v>711</v>
      </c>
      <c r="D5553" s="7" t="s">
        <v>8353</v>
      </c>
      <c r="E5553" s="13" t="s">
        <v>4996</v>
      </c>
      <c r="F5553" t="str">
        <f t="shared" si="430"/>
        <v>Beacon</v>
      </c>
      <c r="G5553" t="str">
        <f t="shared" si="431"/>
        <v>Beacon711Dallas</v>
      </c>
      <c r="H5553" t="s">
        <v>36410</v>
      </c>
      <c r="I5553" t="s">
        <v>27831</v>
      </c>
      <c r="J5553" t="str">
        <f t="shared" si="432"/>
        <v>E:\PropInv\MF</v>
      </c>
      <c r="K5553" s="103" t="str">
        <f>HYPERLINK("E:\PropInv\MF\Dallas\Beacon N_711_Upper E-Beacon Hill_Dallas_15884","Beacon N_711_Upper E-Beacon Hill_Dallas_15884" )</f>
        <v>Beacon N_711_Upper E-Beacon Hill_Dallas_15884</v>
      </c>
      <c r="L5553" s="104" t="s">
        <v>22253</v>
      </c>
      <c r="M5553" s="103" t="str">
        <f t="shared" si="433"/>
        <v>http://oconnordata.com/mlink/modules/profile/index.cfm?action=profile&amp;prop_id=15884</v>
      </c>
      <c r="N5553" s="1">
        <f t="shared" si="434"/>
        <v>15884</v>
      </c>
    </row>
    <row r="5554" spans="1:14" x14ac:dyDescent="0.3">
      <c r="A5554" s="1">
        <v>15885</v>
      </c>
      <c r="B5554" s="7" t="s">
        <v>6892</v>
      </c>
      <c r="C5554" s="12">
        <v>5435</v>
      </c>
      <c r="D5554" s="7" t="s">
        <v>8354</v>
      </c>
      <c r="E5554" s="13" t="s">
        <v>4996</v>
      </c>
      <c r="F5554" t="str">
        <f t="shared" si="430"/>
        <v>Gaston</v>
      </c>
      <c r="G5554" t="str">
        <f t="shared" si="431"/>
        <v>Gaston5435Dallas</v>
      </c>
      <c r="H5554" t="s">
        <v>36411</v>
      </c>
      <c r="I5554" t="s">
        <v>27832</v>
      </c>
      <c r="J5554" t="str">
        <f t="shared" si="432"/>
        <v>E:\PropInv\MF</v>
      </c>
      <c r="K5554" s="103" t="str">
        <f>HYPERLINK("E:\PropInv\MF\Dallas\Gaston Ave_5435_Upper E-Kaluha_Dallas_15885","Gaston Ave_5435_Upper E-Kaluha_Dallas_15885" )</f>
        <v>Gaston Ave_5435_Upper E-Kaluha_Dallas_15885</v>
      </c>
      <c r="L5554" s="104" t="s">
        <v>22253</v>
      </c>
      <c r="M5554" s="103" t="str">
        <f t="shared" si="433"/>
        <v>http://oconnordata.com/mlink/modules/profile/index.cfm?action=profile&amp;prop_id=15885</v>
      </c>
      <c r="N5554" s="1">
        <f t="shared" si="434"/>
        <v>15885</v>
      </c>
    </row>
    <row r="5555" spans="1:14" x14ac:dyDescent="0.3">
      <c r="A5555" s="1">
        <v>15886</v>
      </c>
      <c r="B5555" s="7" t="s">
        <v>6892</v>
      </c>
      <c r="C5555" s="12">
        <v>5307</v>
      </c>
      <c r="D5555" s="7" t="s">
        <v>8355</v>
      </c>
      <c r="E5555" s="13" t="s">
        <v>4996</v>
      </c>
      <c r="F5555" t="str">
        <f t="shared" si="430"/>
        <v>Gaston</v>
      </c>
      <c r="G5555" t="str">
        <f t="shared" si="431"/>
        <v>Gaston5307Dallas</v>
      </c>
      <c r="H5555" t="s">
        <v>36412</v>
      </c>
      <c r="I5555" t="s">
        <v>27833</v>
      </c>
      <c r="J5555" t="str">
        <f t="shared" si="432"/>
        <v>E:\PropInv\MF</v>
      </c>
      <c r="K5555" s="103" t="str">
        <f>HYPERLINK("E:\PropInv\MF\Dallas\Gaston Ave_5307_Upper E-The Strand_Dallas_15886","Gaston Ave_5307_Upper E-The Strand_Dallas_15886" )</f>
        <v>Gaston Ave_5307_Upper E-The Strand_Dallas_15886</v>
      </c>
      <c r="L5555" s="104" t="s">
        <v>22253</v>
      </c>
      <c r="M5555" s="103" t="str">
        <f t="shared" si="433"/>
        <v>http://oconnordata.com/mlink/modules/profile/index.cfm?action=profile&amp;prop_id=15886</v>
      </c>
      <c r="N5555" s="1">
        <f t="shared" si="434"/>
        <v>15886</v>
      </c>
    </row>
    <row r="5556" spans="1:14" x14ac:dyDescent="0.3">
      <c r="A5556" s="1">
        <v>15887</v>
      </c>
      <c r="B5556" s="7" t="s">
        <v>2632</v>
      </c>
      <c r="C5556" s="12">
        <v>5119</v>
      </c>
      <c r="D5556" s="7" t="s">
        <v>8356</v>
      </c>
      <c r="E5556" s="13" t="s">
        <v>4996</v>
      </c>
      <c r="F5556" t="str">
        <f t="shared" si="430"/>
        <v>Live</v>
      </c>
      <c r="G5556" t="str">
        <f t="shared" si="431"/>
        <v>Live5119Dallas</v>
      </c>
      <c r="H5556" t="s">
        <v>36413</v>
      </c>
      <c r="I5556" t="s">
        <v>27834</v>
      </c>
      <c r="J5556" t="str">
        <f t="shared" si="432"/>
        <v>E:\PropInv\MF</v>
      </c>
      <c r="K5556" s="103" t="str">
        <f>HYPERLINK("E:\PropInv\MF\Dallas\Live Oak_5119_Upper E-Coral Gates_Dallas_15887","Live Oak_5119_Upper E-Coral Gates_Dallas_15887" )</f>
        <v>Live Oak_5119_Upper E-Coral Gates_Dallas_15887</v>
      </c>
      <c r="L5556" s="104" t="s">
        <v>22253</v>
      </c>
      <c r="M5556" s="103" t="str">
        <f t="shared" si="433"/>
        <v>http://oconnordata.com/mlink/modules/profile/index.cfm?action=profile&amp;prop_id=15887</v>
      </c>
      <c r="N5556" s="1">
        <f t="shared" si="434"/>
        <v>15887</v>
      </c>
    </row>
    <row r="5557" spans="1:14" x14ac:dyDescent="0.3">
      <c r="A5557" s="1">
        <v>15892</v>
      </c>
      <c r="B5557" s="7" t="s">
        <v>6892</v>
      </c>
      <c r="C5557" s="12">
        <v>6127</v>
      </c>
      <c r="D5557" s="7" t="s">
        <v>8357</v>
      </c>
      <c r="E5557" s="13" t="s">
        <v>4996</v>
      </c>
      <c r="F5557" t="str">
        <f t="shared" si="430"/>
        <v>Gaston</v>
      </c>
      <c r="G5557" t="str">
        <f t="shared" si="431"/>
        <v>Gaston6127Dallas</v>
      </c>
      <c r="H5557" t="s">
        <v>36414</v>
      </c>
      <c r="I5557" t="s">
        <v>27835</v>
      </c>
      <c r="J5557" t="str">
        <f t="shared" si="432"/>
        <v>E:\PropInv\MF</v>
      </c>
      <c r="K5557" s="103" t="str">
        <f>HYPERLINK("E:\PropInv\MF\Dallas\Gaston Ave_6127_Upper E-Buckingham_Dallas_15892","Gaston Ave_6127_Upper E-Buckingham_Dallas_15892" )</f>
        <v>Gaston Ave_6127_Upper E-Buckingham_Dallas_15892</v>
      </c>
      <c r="L5557" s="104" t="s">
        <v>22253</v>
      </c>
      <c r="M5557" s="103" t="str">
        <f t="shared" si="433"/>
        <v>http://oconnordata.com/mlink/modules/profile/index.cfm?action=profile&amp;prop_id=15892</v>
      </c>
      <c r="N5557" s="1">
        <f t="shared" si="434"/>
        <v>15892</v>
      </c>
    </row>
    <row r="5558" spans="1:14" x14ac:dyDescent="0.3">
      <c r="A5558" s="1">
        <v>15893</v>
      </c>
      <c r="B5558" s="7" t="s">
        <v>6892</v>
      </c>
      <c r="C5558" s="12">
        <v>5619</v>
      </c>
      <c r="D5558" s="7" t="s">
        <v>8358</v>
      </c>
      <c r="E5558" s="13" t="s">
        <v>4996</v>
      </c>
      <c r="F5558" t="str">
        <f t="shared" si="430"/>
        <v>Gaston</v>
      </c>
      <c r="G5558" t="str">
        <f t="shared" si="431"/>
        <v>Gaston5619Dallas</v>
      </c>
      <c r="H5558" t="s">
        <v>36415</v>
      </c>
      <c r="I5558" t="s">
        <v>27836</v>
      </c>
      <c r="J5558" t="str">
        <f t="shared" si="432"/>
        <v>E:\PropInv\MF</v>
      </c>
      <c r="K5558" s="103" t="str">
        <f>HYPERLINK("E:\PropInv\MF\Dallas\Gaston Ave_5619_Upper E-Casa Villa_Dallas_15893","Gaston Ave_5619_Upper E-Casa Villa_Dallas_15893" )</f>
        <v>Gaston Ave_5619_Upper E-Casa Villa_Dallas_15893</v>
      </c>
      <c r="L5558" s="104" t="s">
        <v>22253</v>
      </c>
      <c r="M5558" s="103" t="str">
        <f t="shared" si="433"/>
        <v>http://oconnordata.com/mlink/modules/profile/index.cfm?action=profile&amp;prop_id=15893</v>
      </c>
      <c r="N5558" s="1">
        <f t="shared" si="434"/>
        <v>15893</v>
      </c>
    </row>
    <row r="5559" spans="1:14" x14ac:dyDescent="0.3">
      <c r="A5559" s="1">
        <v>15894</v>
      </c>
      <c r="B5559" s="7" t="s">
        <v>6892</v>
      </c>
      <c r="C5559" s="12">
        <v>5707</v>
      </c>
      <c r="D5559" s="7" t="s">
        <v>8359</v>
      </c>
      <c r="E5559" s="13" t="s">
        <v>4996</v>
      </c>
      <c r="F5559" t="str">
        <f t="shared" si="430"/>
        <v>Gaston</v>
      </c>
      <c r="G5559" t="str">
        <f t="shared" si="431"/>
        <v>Gaston5707Dallas</v>
      </c>
      <c r="H5559" t="s">
        <v>36416</v>
      </c>
      <c r="I5559" t="s">
        <v>27837</v>
      </c>
      <c r="J5559" t="str">
        <f t="shared" si="432"/>
        <v>E:\PropInv\MF</v>
      </c>
      <c r="K5559" s="103" t="str">
        <f>HYPERLINK("E:\PropInv\MF\Dallas\Gaston Ave_5707_Upper E-Driftwood_Dallas_15894","Gaston Ave_5707_Upper E-Driftwood_Dallas_15894" )</f>
        <v>Gaston Ave_5707_Upper E-Driftwood_Dallas_15894</v>
      </c>
      <c r="L5559" s="104" t="s">
        <v>22253</v>
      </c>
      <c r="M5559" s="103" t="str">
        <f t="shared" si="433"/>
        <v>http://oconnordata.com/mlink/modules/profile/index.cfm?action=profile&amp;prop_id=15894</v>
      </c>
      <c r="N5559" s="1">
        <f t="shared" si="434"/>
        <v>15894</v>
      </c>
    </row>
    <row r="5560" spans="1:14" x14ac:dyDescent="0.3">
      <c r="A5560" s="1">
        <v>15895</v>
      </c>
      <c r="B5560" s="7" t="s">
        <v>6892</v>
      </c>
      <c r="C5560" s="12">
        <v>5625</v>
      </c>
      <c r="D5560" s="7" t="s">
        <v>8360</v>
      </c>
      <c r="E5560" s="13" t="s">
        <v>4996</v>
      </c>
      <c r="F5560" t="str">
        <f t="shared" si="430"/>
        <v>Gaston</v>
      </c>
      <c r="G5560" t="str">
        <f t="shared" si="431"/>
        <v>Gaston5625Dallas</v>
      </c>
      <c r="H5560" t="s">
        <v>36417</v>
      </c>
      <c r="I5560" t="s">
        <v>27838</v>
      </c>
      <c r="J5560" t="str">
        <f t="shared" si="432"/>
        <v>E:\PropInv\MF</v>
      </c>
      <c r="K5560" s="103" t="str">
        <f>HYPERLINK("E:\PropInv\MF\Dallas\Gaston Ave_5625_Upper E-Pink Adobe_Dallas_15895","Gaston Ave_5625_Upper E-Pink Adobe_Dallas_15895" )</f>
        <v>Gaston Ave_5625_Upper E-Pink Adobe_Dallas_15895</v>
      </c>
      <c r="L5560" s="104" t="s">
        <v>22253</v>
      </c>
      <c r="M5560" s="103" t="str">
        <f t="shared" si="433"/>
        <v>http://oconnordata.com/mlink/modules/profile/index.cfm?action=profile&amp;prop_id=15895</v>
      </c>
      <c r="N5560" s="1">
        <f t="shared" si="434"/>
        <v>15895</v>
      </c>
    </row>
    <row r="5561" spans="1:14" x14ac:dyDescent="0.3">
      <c r="A5561" s="1">
        <v>15896</v>
      </c>
      <c r="B5561" s="7" t="s">
        <v>2636</v>
      </c>
      <c r="C5561" s="12">
        <v>2250</v>
      </c>
      <c r="D5561" s="7" t="s">
        <v>8361</v>
      </c>
      <c r="E5561" s="13" t="s">
        <v>1657</v>
      </c>
      <c r="F5561" t="str">
        <f t="shared" si="430"/>
        <v>Eldridge</v>
      </c>
      <c r="G5561" t="str">
        <f t="shared" si="431"/>
        <v>Eldridge2250Houston</v>
      </c>
      <c r="H5561" t="s">
        <v>36418</v>
      </c>
      <c r="I5561" t="s">
        <v>27839</v>
      </c>
      <c r="J5561" t="str">
        <f t="shared" si="432"/>
        <v>E:\PropInv\MF</v>
      </c>
      <c r="K5561" s="103" t="str">
        <f>HYPERLINK("E:\PropInv\MF\Houston\Eldridge Pkwy_2250_Marquis on Eldridge Parkway_Houston_15896","Eldridge Pkwy_2250_Marquis on Eldridge Parkway_Houston_15896" )</f>
        <v>Eldridge Pkwy_2250_Marquis on Eldridge Parkway_Houston_15896</v>
      </c>
      <c r="L5561" s="104" t="s">
        <v>22253</v>
      </c>
      <c r="M5561" s="103" t="str">
        <f t="shared" si="433"/>
        <v>http://oconnordata.com/mlink/modules/profile/index.cfm?action=profile&amp;prop_id=15896</v>
      </c>
      <c r="N5561" s="1">
        <f t="shared" si="434"/>
        <v>15896</v>
      </c>
    </row>
    <row r="5562" spans="1:14" x14ac:dyDescent="0.3">
      <c r="A5562" s="1">
        <v>15897</v>
      </c>
      <c r="B5562" s="7" t="s">
        <v>8362</v>
      </c>
      <c r="C5562" s="12">
        <v>2800</v>
      </c>
      <c r="D5562" s="7" t="s">
        <v>8363</v>
      </c>
      <c r="E5562" s="13" t="s">
        <v>5014</v>
      </c>
      <c r="F5562" t="str">
        <f t="shared" si="430"/>
        <v>Briery</v>
      </c>
      <c r="G5562" t="str">
        <f t="shared" si="431"/>
        <v>Briery2800Fort Worth</v>
      </c>
      <c r="H5562" t="s">
        <v>36419</v>
      </c>
      <c r="I5562" t="s">
        <v>27840</v>
      </c>
      <c r="J5562" t="str">
        <f t="shared" si="432"/>
        <v>E:\PropInv\MF</v>
      </c>
      <c r="K5562" s="103" t="str">
        <f>HYPERLINK("E:\PropInv\MF\Fort Worth\Briery Dr_2800_Village Creek TH_Fort Worth_15897","Briery Dr_2800_Village Creek TH_Fort Worth_15897" )</f>
        <v>Briery Dr_2800_Village Creek TH_Fort Worth_15897</v>
      </c>
      <c r="L5562" s="104" t="s">
        <v>22253</v>
      </c>
      <c r="M5562" s="103" t="str">
        <f t="shared" si="433"/>
        <v>http://oconnordata.com/mlink/modules/profile/index.cfm?action=profile&amp;prop_id=15897</v>
      </c>
      <c r="N5562" s="1">
        <f t="shared" si="434"/>
        <v>15897</v>
      </c>
    </row>
    <row r="5563" spans="1:14" x14ac:dyDescent="0.3">
      <c r="A5563" s="1">
        <v>15898</v>
      </c>
      <c r="B5563" s="7" t="s">
        <v>8364</v>
      </c>
      <c r="C5563" s="12">
        <v>645</v>
      </c>
      <c r="D5563" s="7" t="s">
        <v>8365</v>
      </c>
      <c r="E5563" s="13" t="s">
        <v>5088</v>
      </c>
      <c r="F5563" t="str">
        <f t="shared" si="430"/>
        <v>Town</v>
      </c>
      <c r="G5563" t="str">
        <f t="shared" si="431"/>
        <v>Town645Mesquite</v>
      </c>
      <c r="H5563" t="s">
        <v>36420</v>
      </c>
      <c r="I5563" t="s">
        <v>27841</v>
      </c>
      <c r="J5563" t="str">
        <f t="shared" si="432"/>
        <v>E:\PropInv\MF</v>
      </c>
      <c r="K5563" s="103" t="str">
        <f>HYPERLINK("E:\PropInv\MF\Mesquite\Town E Blvd N_645_Alexis Town East_Mesquite_15898","Town E Blvd N_645_Alexis Town East_Mesquite_15898" )</f>
        <v>Town E Blvd N_645_Alexis Town East_Mesquite_15898</v>
      </c>
      <c r="L5563" s="104" t="s">
        <v>22253</v>
      </c>
      <c r="M5563" s="103" t="str">
        <f t="shared" si="433"/>
        <v>http://oconnordata.com/mlink/modules/profile/index.cfm?action=profile&amp;prop_id=15898</v>
      </c>
      <c r="N5563" s="1">
        <f t="shared" si="434"/>
        <v>15898</v>
      </c>
    </row>
    <row r="5564" spans="1:14" x14ac:dyDescent="0.3">
      <c r="A5564" s="1">
        <v>15899</v>
      </c>
      <c r="B5564" s="7" t="s">
        <v>8366</v>
      </c>
      <c r="C5564" s="12">
        <v>2525</v>
      </c>
      <c r="D5564" s="7" t="s">
        <v>8367</v>
      </c>
      <c r="E5564" s="13" t="s">
        <v>5097</v>
      </c>
      <c r="F5564" t="str">
        <f t="shared" si="430"/>
        <v>Lillian</v>
      </c>
      <c r="G5564" t="str">
        <f t="shared" si="431"/>
        <v>Lillian2525Denton</v>
      </c>
      <c r="H5564" t="s">
        <v>36421</v>
      </c>
      <c r="I5564" t="s">
        <v>27842</v>
      </c>
      <c r="J5564" t="str">
        <f t="shared" si="432"/>
        <v>E:\PropInv\MF</v>
      </c>
      <c r="K5564" s="103" t="str">
        <f>HYPERLINK("E:\PropInv\MF\Denton\Lillian Miller Pkwy_2525_Sterling House on the Parkway_Denton_15899","Lillian Miller Pkwy_2525_Sterling House on the Parkway_Denton_15899" )</f>
        <v>Lillian Miller Pkwy_2525_Sterling House on the Parkway_Denton_15899</v>
      </c>
      <c r="L5564" s="104" t="s">
        <v>22253</v>
      </c>
      <c r="M5564" s="103" t="str">
        <f t="shared" si="433"/>
        <v>http://oconnordata.com/mlink/modules/profile/index.cfm?action=profile&amp;prop_id=15899</v>
      </c>
      <c r="N5564" s="1">
        <f t="shared" si="434"/>
        <v>15899</v>
      </c>
    </row>
    <row r="5565" spans="1:14" x14ac:dyDescent="0.3">
      <c r="A5565" s="1">
        <v>15900</v>
      </c>
      <c r="B5565" s="7" t="s">
        <v>7703</v>
      </c>
      <c r="C5565" s="12">
        <v>8500</v>
      </c>
      <c r="D5565" s="7" t="s">
        <v>8368</v>
      </c>
      <c r="E5565" s="13" t="s">
        <v>6541</v>
      </c>
      <c r="F5565" t="str">
        <f t="shared" si="430"/>
        <v>Emerald</v>
      </c>
      <c r="G5565" t="str">
        <f t="shared" si="431"/>
        <v>Emerald8500North Richland Hills</v>
      </c>
      <c r="H5565" t="s">
        <v>36422</v>
      </c>
      <c r="I5565" t="s">
        <v>27843</v>
      </c>
      <c r="J5565" t="str">
        <f t="shared" si="432"/>
        <v>E:\PropInv\MF</v>
      </c>
      <c r="K5565" s="103" t="str">
        <f>HYPERLINK("E:\PropInv\MF\North Richland Hills\Emerald Hills Way_8500_Horizon Bay North Richland Hills_North Richland Hills_15900","Emerald Hills Way_8500_Horizon Bay North Richland Hills_North Richland Hills_15900" )</f>
        <v>Emerald Hills Way_8500_Horizon Bay North Richland Hills_North Richland Hills_15900</v>
      </c>
      <c r="L5565" s="104" t="s">
        <v>22253</v>
      </c>
      <c r="M5565" s="103" t="str">
        <f t="shared" si="433"/>
        <v>http://oconnordata.com/mlink/modules/profile/index.cfm?action=profile&amp;prop_id=15900</v>
      </c>
      <c r="N5565" s="1">
        <f t="shared" si="434"/>
        <v>15900</v>
      </c>
    </row>
    <row r="5566" spans="1:14" x14ac:dyDescent="0.3">
      <c r="A5566" s="1">
        <v>15901</v>
      </c>
      <c r="B5566" s="7" t="s">
        <v>5853</v>
      </c>
      <c r="C5566" s="12">
        <v>503</v>
      </c>
      <c r="D5566" s="7" t="s">
        <v>8369</v>
      </c>
      <c r="E5566" s="13" t="s">
        <v>5046</v>
      </c>
      <c r="F5566" t="str">
        <f t="shared" si="430"/>
        <v>6th</v>
      </c>
      <c r="G5566" t="str">
        <f t="shared" si="431"/>
        <v>6th503Irving</v>
      </c>
      <c r="H5566" t="s">
        <v>36423</v>
      </c>
      <c r="I5566" t="s">
        <v>27844</v>
      </c>
      <c r="J5566" t="str">
        <f t="shared" si="432"/>
        <v>E:\PropInv\MF</v>
      </c>
      <c r="K5566" s="103" t="str">
        <f>HYPERLINK("E:\PropInv\MF\Irving\6th St W_503_Vista Del Lago_Irving_15901","6th St W_503_Vista Del Lago_Irving_15901" )</f>
        <v>6th St W_503_Vista Del Lago_Irving_15901</v>
      </c>
      <c r="L5566" s="104" t="s">
        <v>22253</v>
      </c>
      <c r="M5566" s="103" t="str">
        <f t="shared" si="433"/>
        <v>http://oconnordata.com/mlink/modules/profile/index.cfm?action=profile&amp;prop_id=15901</v>
      </c>
      <c r="N5566" s="1">
        <f t="shared" si="434"/>
        <v>15901</v>
      </c>
    </row>
    <row r="5567" spans="1:14" x14ac:dyDescent="0.3">
      <c r="A5567" s="1">
        <v>15902</v>
      </c>
      <c r="B5567" s="7" t="s">
        <v>7988</v>
      </c>
      <c r="C5567" s="12">
        <v>5350</v>
      </c>
      <c r="D5567" s="7" t="s">
        <v>8370</v>
      </c>
      <c r="E5567" s="13" t="s">
        <v>6581</v>
      </c>
      <c r="F5567" t="str">
        <f t="shared" si="430"/>
        <v>Fossil</v>
      </c>
      <c r="G5567" t="str">
        <f t="shared" si="431"/>
        <v>Fossil5350Haltom City</v>
      </c>
      <c r="H5567" t="s">
        <v>36424</v>
      </c>
      <c r="I5567" t="s">
        <v>27845</v>
      </c>
      <c r="J5567" t="str">
        <f t="shared" si="432"/>
        <v>E:\PropInv\MF</v>
      </c>
      <c r="K5567" s="103" t="str">
        <f>HYPERLINK("E:\PropInv\MF\Haltom City\Fossil Creek Blvd_5350_The Ranch at Fossil Creek_Haltom City_15902","Fossil Creek Blvd_5350_The Ranch at Fossil Creek_Haltom City_15902" )</f>
        <v>Fossil Creek Blvd_5350_The Ranch at Fossil Creek_Haltom City_15902</v>
      </c>
      <c r="L5567" s="104" t="s">
        <v>22253</v>
      </c>
      <c r="M5567" s="103" t="str">
        <f t="shared" si="433"/>
        <v>http://oconnordata.com/mlink/modules/profile/index.cfm?action=profile&amp;prop_id=15902</v>
      </c>
      <c r="N5567" s="1">
        <f t="shared" si="434"/>
        <v>15902</v>
      </c>
    </row>
    <row r="5568" spans="1:14" x14ac:dyDescent="0.3">
      <c r="A5568" s="1">
        <v>15903</v>
      </c>
      <c r="B5568" s="7" t="s">
        <v>5604</v>
      </c>
      <c r="C5568" s="12">
        <v>6445</v>
      </c>
      <c r="D5568" s="7" t="s">
        <v>8371</v>
      </c>
      <c r="E5568" s="13" t="s">
        <v>5046</v>
      </c>
      <c r="F5568" t="str">
        <f t="shared" si="430"/>
        <v>Love</v>
      </c>
      <c r="G5568" t="str">
        <f t="shared" si="431"/>
        <v>Love6445Irving</v>
      </c>
      <c r="H5568" t="s">
        <v>36425</v>
      </c>
      <c r="I5568" t="s">
        <v>27846</v>
      </c>
      <c r="J5568" t="str">
        <f t="shared" si="432"/>
        <v>E:\PropInv\MF</v>
      </c>
      <c r="K5568" s="103" t="str">
        <f>HYPERLINK("E:\PropInv\MF\Irving\Love Dr_6445_Tuscan Villas_Irving_15903","Love Dr_6445_Tuscan Villas_Irving_15903" )</f>
        <v>Love Dr_6445_Tuscan Villas_Irving_15903</v>
      </c>
      <c r="L5568" s="104" t="s">
        <v>22253</v>
      </c>
      <c r="M5568" s="103" t="str">
        <f t="shared" si="433"/>
        <v>http://oconnordata.com/mlink/modules/profile/index.cfm?action=profile&amp;prop_id=15903</v>
      </c>
      <c r="N5568" s="1">
        <f t="shared" si="434"/>
        <v>15903</v>
      </c>
    </row>
    <row r="5569" spans="1:14" x14ac:dyDescent="0.3">
      <c r="A5569" s="1">
        <v>15904</v>
      </c>
      <c r="B5569" s="7" t="s">
        <v>8372</v>
      </c>
      <c r="C5569" s="12">
        <v>150</v>
      </c>
      <c r="D5569" s="7" t="s">
        <v>8373</v>
      </c>
      <c r="E5569" s="13" t="s">
        <v>6617</v>
      </c>
      <c r="F5569" t="str">
        <f t="shared" si="430"/>
        <v>Parish</v>
      </c>
      <c r="G5569" t="str">
        <f t="shared" si="431"/>
        <v>Parish150Roanoke</v>
      </c>
      <c r="H5569" t="s">
        <v>36426</v>
      </c>
      <c r="I5569" t="s">
        <v>27847</v>
      </c>
      <c r="J5569" t="str">
        <f t="shared" si="432"/>
        <v>E:\PropInv\MF</v>
      </c>
      <c r="K5569" s="103" t="str">
        <f>HYPERLINK("E:\PropInv\MF\Roanoke\Parish Ln_150_Watermark_Roanoke_15904","Parish Ln_150_Watermark_Roanoke_15904" )</f>
        <v>Parish Ln_150_Watermark_Roanoke_15904</v>
      </c>
      <c r="L5569" s="104" t="s">
        <v>22253</v>
      </c>
      <c r="M5569" s="103" t="str">
        <f t="shared" si="433"/>
        <v>http://oconnordata.com/mlink/modules/profile/index.cfm?action=profile&amp;prop_id=15904</v>
      </c>
      <c r="N5569" s="1">
        <f t="shared" si="434"/>
        <v>15904</v>
      </c>
    </row>
    <row r="5570" spans="1:14" x14ac:dyDescent="0.3">
      <c r="A5570" s="1">
        <v>15905</v>
      </c>
      <c r="B5570" s="7" t="s">
        <v>8374</v>
      </c>
      <c r="C5570" s="12">
        <v>3250</v>
      </c>
      <c r="D5570" s="7" t="s">
        <v>8375</v>
      </c>
      <c r="E5570" s="13" t="s">
        <v>5043</v>
      </c>
      <c r="F5570" t="str">
        <f t="shared" ref="F5570:F5633" si="435">IFERROR(LEFT(B5570,FIND(" ",B5570)-1),B5570)</f>
        <v>Hudson</v>
      </c>
      <c r="G5570" t="str">
        <f t="shared" ref="G5570:G5633" si="436">F5570&amp;C5570&amp;E5570</f>
        <v>Hudson3250McKinney</v>
      </c>
      <c r="H5570" t="s">
        <v>36427</v>
      </c>
      <c r="I5570" t="s">
        <v>27848</v>
      </c>
      <c r="J5570" t="str">
        <f t="shared" ref="J5570:J5633" si="437">IF(L5570="TX",Folder_Path,Folder_Path&amp;"\State_"&amp;L5570)</f>
        <v>E:\PropInv\MF</v>
      </c>
      <c r="K5570" s="103" t="str">
        <f>HYPERLINK("E:\PropInv\MF\McKinney\Hudson Crossing_3250_The Villas of El Dorado_McKinney_15905","Hudson Crossing_3250_The Villas of El Dorado_McKinney_15905" )</f>
        <v>Hudson Crossing_3250_The Villas of El Dorado_McKinney_15905</v>
      </c>
      <c r="L5570" s="104" t="s">
        <v>22253</v>
      </c>
      <c r="M5570" s="103" t="str">
        <f t="shared" ref="M5570:M5633" si="438">HYPERLINK("http://oconnordata.com/mlink/modules/profile/index.cfm?action=profile&amp;prop_id="&amp;A5570)</f>
        <v>http://oconnordata.com/mlink/modules/profile/index.cfm?action=profile&amp;prop_id=15905</v>
      </c>
      <c r="N5570" s="1">
        <f t="shared" ref="N5570:N5633" si="439">IF(LEN(A5570)=1,"0000"&amp;A5570,IF(LEN(A5570)=2,"000"&amp;A5570,IF(LEN(A5570)=3,"00"&amp;A5570,IF(LEN(A5570)=4,"0"&amp;A5570,IF(LEN(A5570)=5,IF(LEFT(A5570,1)="3",A5570+30000,A5570))))))</f>
        <v>15905</v>
      </c>
    </row>
    <row r="5571" spans="1:14" x14ac:dyDescent="0.3">
      <c r="A5571" s="1">
        <v>15906</v>
      </c>
      <c r="B5571" s="7" t="s">
        <v>7123</v>
      </c>
      <c r="C5571" s="12">
        <v>801</v>
      </c>
      <c r="D5571" s="7" t="s">
        <v>8376</v>
      </c>
      <c r="E5571" s="13" t="s">
        <v>5195</v>
      </c>
      <c r="F5571" t="str">
        <f t="shared" si="435"/>
        <v>Polk</v>
      </c>
      <c r="G5571" t="str">
        <f t="shared" si="436"/>
        <v>Polk801Desoto</v>
      </c>
      <c r="H5571" t="s">
        <v>36428</v>
      </c>
      <c r="I5571" t="s">
        <v>27849</v>
      </c>
      <c r="J5571" t="str">
        <f t="shared" si="437"/>
        <v>E:\PropInv\MF</v>
      </c>
      <c r="K5571" s="103" t="str">
        <f>HYPERLINK("E:\PropInv\MF\Desoto\Polk S_801_DeSoto Ranch_Desoto_15906","Polk S_801_DeSoto Ranch_Desoto_15906" )</f>
        <v>Polk S_801_DeSoto Ranch_Desoto_15906</v>
      </c>
      <c r="L5571" s="104" t="s">
        <v>22253</v>
      </c>
      <c r="M5571" s="103" t="str">
        <f t="shared" si="438"/>
        <v>http://oconnordata.com/mlink/modules/profile/index.cfm?action=profile&amp;prop_id=15906</v>
      </c>
      <c r="N5571" s="1">
        <f t="shared" si="439"/>
        <v>15906</v>
      </c>
    </row>
    <row r="5572" spans="1:14" x14ac:dyDescent="0.3">
      <c r="A5572" s="1">
        <v>15907</v>
      </c>
      <c r="B5572" s="7" t="s">
        <v>37</v>
      </c>
      <c r="C5572" s="12">
        <v>12007</v>
      </c>
      <c r="D5572" s="7" t="s">
        <v>8377</v>
      </c>
      <c r="E5572" s="13" t="s">
        <v>7</v>
      </c>
      <c r="F5572" t="str">
        <f t="shared" si="435"/>
        <v>Lamar</v>
      </c>
      <c r="G5572" t="str">
        <f t="shared" si="436"/>
        <v>Lamar12007Austin</v>
      </c>
      <c r="H5572" t="s">
        <v>36429</v>
      </c>
      <c r="I5572" t="s">
        <v>27850</v>
      </c>
      <c r="J5572" t="str">
        <f t="shared" si="437"/>
        <v>E:\PropInv\MF</v>
      </c>
      <c r="K5572" s="103" t="str">
        <f>HYPERLINK("E:\PropInv\MF\Austin\Lamar Blvd N_12007_On the Green_Austin_15907","Lamar Blvd N_12007_On the Green_Austin_15907" )</f>
        <v>Lamar Blvd N_12007_On the Green_Austin_15907</v>
      </c>
      <c r="L5572" s="104" t="s">
        <v>22253</v>
      </c>
      <c r="M5572" s="103" t="str">
        <f t="shared" si="438"/>
        <v>http://oconnordata.com/mlink/modules/profile/index.cfm?action=profile&amp;prop_id=15907</v>
      </c>
      <c r="N5572" s="1">
        <f t="shared" si="439"/>
        <v>15907</v>
      </c>
    </row>
    <row r="5573" spans="1:14" x14ac:dyDescent="0.3">
      <c r="A5573" s="1">
        <v>15908</v>
      </c>
      <c r="B5573" s="7" t="s">
        <v>5064</v>
      </c>
      <c r="C5573" s="12">
        <v>2305</v>
      </c>
      <c r="D5573" s="7" t="s">
        <v>8378</v>
      </c>
      <c r="E5573" s="13" t="s">
        <v>5043</v>
      </c>
      <c r="F5573" t="str">
        <f t="shared" si="435"/>
        <v>Custer</v>
      </c>
      <c r="G5573" t="str">
        <f t="shared" si="436"/>
        <v>Custer2305McKinney</v>
      </c>
      <c r="H5573" t="s">
        <v>36430</v>
      </c>
      <c r="I5573" t="s">
        <v>27851</v>
      </c>
      <c r="J5573" t="str">
        <f t="shared" si="437"/>
        <v>E:\PropInv\MF</v>
      </c>
      <c r="K5573" s="103" t="str">
        <f>HYPERLINK("E:\PropInv\MF\McKinney\Custer Rd_2305_Regency at Stonebridge Ranch_McKinney_15908","Custer Rd_2305_Regency at Stonebridge Ranch_McKinney_15908" )</f>
        <v>Custer Rd_2305_Regency at Stonebridge Ranch_McKinney_15908</v>
      </c>
      <c r="L5573" s="104" t="s">
        <v>22253</v>
      </c>
      <c r="M5573" s="103" t="str">
        <f t="shared" si="438"/>
        <v>http://oconnordata.com/mlink/modules/profile/index.cfm?action=profile&amp;prop_id=15908</v>
      </c>
      <c r="N5573" s="1">
        <f t="shared" si="439"/>
        <v>15908</v>
      </c>
    </row>
    <row r="5574" spans="1:14" x14ac:dyDescent="0.3">
      <c r="A5574" s="1">
        <v>15909</v>
      </c>
      <c r="B5574" s="7" t="s">
        <v>345</v>
      </c>
      <c r="C5574" s="12">
        <v>2320</v>
      </c>
      <c r="D5574" s="7" t="s">
        <v>8379</v>
      </c>
      <c r="E5574" s="13" t="s">
        <v>7</v>
      </c>
      <c r="F5574" t="str">
        <f t="shared" si="435"/>
        <v>Gracy</v>
      </c>
      <c r="G5574" t="str">
        <f t="shared" si="436"/>
        <v>Gracy2320Austin</v>
      </c>
      <c r="H5574" t="s">
        <v>36431</v>
      </c>
      <c r="I5574" t="s">
        <v>27852</v>
      </c>
      <c r="J5574" t="str">
        <f t="shared" si="437"/>
        <v>E:\PropInv\MF</v>
      </c>
      <c r="K5574" s="103" t="str">
        <f>HYPERLINK("E:\PropInv\MF\Austin\Gracy Farms Ln_2320_Stoneleigh at Gracy Farms_Austin_15909","Gracy Farms Ln_2320_Stoneleigh at Gracy Farms_Austin_15909" )</f>
        <v>Gracy Farms Ln_2320_Stoneleigh at Gracy Farms_Austin_15909</v>
      </c>
      <c r="L5574" s="104" t="s">
        <v>22253</v>
      </c>
      <c r="M5574" s="103" t="str">
        <f t="shared" si="438"/>
        <v>http://oconnordata.com/mlink/modules/profile/index.cfm?action=profile&amp;prop_id=15909</v>
      </c>
      <c r="N5574" s="1">
        <f t="shared" si="439"/>
        <v>15909</v>
      </c>
    </row>
    <row r="5575" spans="1:14" x14ac:dyDescent="0.3">
      <c r="A5575" s="1">
        <v>15910</v>
      </c>
      <c r="B5575" s="7" t="s">
        <v>8380</v>
      </c>
      <c r="C5575" s="12">
        <v>3400</v>
      </c>
      <c r="D5575" s="7" t="s">
        <v>8381</v>
      </c>
      <c r="E5575" s="13" t="s">
        <v>7</v>
      </c>
      <c r="F5575" t="str">
        <f t="shared" si="435"/>
        <v>620</v>
      </c>
      <c r="G5575" t="str">
        <f t="shared" si="436"/>
        <v>6203400Austin</v>
      </c>
      <c r="H5575" t="s">
        <v>36432</v>
      </c>
      <c r="I5575" t="s">
        <v>27853</v>
      </c>
      <c r="J5575" t="str">
        <f t="shared" si="437"/>
        <v>E:\PropInv\MF</v>
      </c>
      <c r="K5575" s="103" t="str">
        <f>HYPERLINK("E:\PropInv\MF\Austin\620 FM S_3400_Falconhead_Austin_15910","620 FM S_3400_Falconhead_Austin_15910" )</f>
        <v>620 FM S_3400_Falconhead_Austin_15910</v>
      </c>
      <c r="L5575" s="104" t="s">
        <v>22253</v>
      </c>
      <c r="M5575" s="103" t="str">
        <f t="shared" si="438"/>
        <v>http://oconnordata.com/mlink/modules/profile/index.cfm?action=profile&amp;prop_id=15910</v>
      </c>
      <c r="N5575" s="1">
        <f t="shared" si="439"/>
        <v>15910</v>
      </c>
    </row>
    <row r="5576" spans="1:14" x14ac:dyDescent="0.3">
      <c r="A5576" s="1">
        <v>15911</v>
      </c>
      <c r="B5576" s="7" t="s">
        <v>8382</v>
      </c>
      <c r="C5576" s="12">
        <v>6968</v>
      </c>
      <c r="D5576" s="7" t="s">
        <v>8383</v>
      </c>
      <c r="E5576" s="13" t="s">
        <v>4996</v>
      </c>
      <c r="F5576" t="str">
        <f t="shared" si="435"/>
        <v>Clarkridge</v>
      </c>
      <c r="G5576" t="str">
        <f t="shared" si="436"/>
        <v>Clarkridge6968Dallas</v>
      </c>
      <c r="H5576" t="s">
        <v>36433</v>
      </c>
      <c r="I5576" t="s">
        <v>27854</v>
      </c>
      <c r="J5576" t="str">
        <f t="shared" si="437"/>
        <v>E:\PropInv\MF</v>
      </c>
      <c r="K5576" s="103" t="str">
        <f>HYPERLINK("E:\PropInv\MF\Dallas\Clarkridge_6968_Ridge Parc I_Dallas_15911","Clarkridge_6968_Ridge Parc I_Dallas_15911" )</f>
        <v>Clarkridge_6968_Ridge Parc I_Dallas_15911</v>
      </c>
      <c r="L5576" s="104" t="s">
        <v>22253</v>
      </c>
      <c r="M5576" s="103" t="str">
        <f t="shared" si="438"/>
        <v>http://oconnordata.com/mlink/modules/profile/index.cfm?action=profile&amp;prop_id=15911</v>
      </c>
      <c r="N5576" s="1">
        <f t="shared" si="439"/>
        <v>15911</v>
      </c>
    </row>
    <row r="5577" spans="1:14" x14ac:dyDescent="0.3">
      <c r="A5577" s="1">
        <v>15912</v>
      </c>
      <c r="B5577" s="7" t="s">
        <v>662</v>
      </c>
      <c r="C5577" s="12">
        <v>11300</v>
      </c>
      <c r="D5577" s="7" t="s">
        <v>8384</v>
      </c>
      <c r="E5577" s="13" t="s">
        <v>705</v>
      </c>
      <c r="F5577" t="str">
        <f t="shared" si="435"/>
        <v>Parmer</v>
      </c>
      <c r="G5577" t="str">
        <f t="shared" si="436"/>
        <v>Parmer11300Cedar Park</v>
      </c>
      <c r="H5577" t="s">
        <v>36434</v>
      </c>
      <c r="I5577" t="s">
        <v>27855</v>
      </c>
      <c r="J5577" t="str">
        <f t="shared" si="437"/>
        <v>E:\PropInv\MF</v>
      </c>
      <c r="K5577" s="103" t="str">
        <f>HYPERLINK("E:\PropInv\MF\Cedar Park\Parmer Ln W_11300_Silverado at Brushy Creek_Cedar Park_15912","Parmer Ln W_11300_Silverado at Brushy Creek_Cedar Park_15912" )</f>
        <v>Parmer Ln W_11300_Silverado at Brushy Creek_Cedar Park_15912</v>
      </c>
      <c r="L5577" s="104" t="s">
        <v>22253</v>
      </c>
      <c r="M5577" s="103" t="str">
        <f t="shared" si="438"/>
        <v>http://oconnordata.com/mlink/modules/profile/index.cfm?action=profile&amp;prop_id=15912</v>
      </c>
      <c r="N5577" s="1">
        <f t="shared" si="439"/>
        <v>15912</v>
      </c>
    </row>
    <row r="5578" spans="1:14" x14ac:dyDescent="0.3">
      <c r="A5578" s="1">
        <v>15913</v>
      </c>
      <c r="B5578" s="7" t="s">
        <v>8385</v>
      </c>
      <c r="C5578" s="12">
        <v>333</v>
      </c>
      <c r="D5578" s="7" t="s">
        <v>8386</v>
      </c>
      <c r="E5578" s="13" t="s">
        <v>7</v>
      </c>
      <c r="F5578" t="str">
        <f t="shared" si="435"/>
        <v>Slaughter</v>
      </c>
      <c r="G5578" t="str">
        <f t="shared" si="436"/>
        <v>Slaughter333Austin</v>
      </c>
      <c r="H5578" t="s">
        <v>36435</v>
      </c>
      <c r="I5578" t="s">
        <v>27856</v>
      </c>
      <c r="J5578" t="str">
        <f t="shared" si="437"/>
        <v>E:\PropInv\MF</v>
      </c>
      <c r="K5578" s="103" t="str">
        <f>HYPERLINK("E:\PropInv\MF\Austin\Slaughter Ln E_333_Stonecreek Ranch_Austin_15913","Slaughter Ln E_333_Stonecreek Ranch_Austin_15913" )</f>
        <v>Slaughter Ln E_333_Stonecreek Ranch_Austin_15913</v>
      </c>
      <c r="L5578" s="104" t="s">
        <v>22253</v>
      </c>
      <c r="M5578" s="103" t="str">
        <f t="shared" si="438"/>
        <v>http://oconnordata.com/mlink/modules/profile/index.cfm?action=profile&amp;prop_id=15913</v>
      </c>
      <c r="N5578" s="1">
        <f t="shared" si="439"/>
        <v>15913</v>
      </c>
    </row>
    <row r="5579" spans="1:14" x14ac:dyDescent="0.3">
      <c r="A5579" s="1">
        <v>15914</v>
      </c>
      <c r="B5579" s="7" t="s">
        <v>249</v>
      </c>
      <c r="C5579" s="12">
        <v>12041</v>
      </c>
      <c r="D5579" s="7" t="s">
        <v>8387</v>
      </c>
      <c r="E5579" s="13" t="s">
        <v>7</v>
      </c>
      <c r="F5579" t="str">
        <f t="shared" si="435"/>
        <v>Dessau</v>
      </c>
      <c r="G5579" t="str">
        <f t="shared" si="436"/>
        <v>Dessau12041Austin</v>
      </c>
      <c r="H5579" t="s">
        <v>36436</v>
      </c>
      <c r="I5579" t="s">
        <v>27857</v>
      </c>
      <c r="J5579" t="str">
        <f t="shared" si="437"/>
        <v>E:\PropInv\MF</v>
      </c>
      <c r="K5579" s="103" t="str">
        <f>HYPERLINK("E:\PropInv\MF\Austin\Dessau Rd_12041_The Villas of Bristol Heights_Austin_15914","Dessau Rd_12041_The Villas of Bristol Heights_Austin_15914" )</f>
        <v>Dessau Rd_12041_The Villas of Bristol Heights_Austin_15914</v>
      </c>
      <c r="L5579" s="104" t="s">
        <v>22253</v>
      </c>
      <c r="M5579" s="103" t="str">
        <f t="shared" si="438"/>
        <v>http://oconnordata.com/mlink/modules/profile/index.cfm?action=profile&amp;prop_id=15914</v>
      </c>
      <c r="N5579" s="1">
        <f t="shared" si="439"/>
        <v>15914</v>
      </c>
    </row>
    <row r="5580" spans="1:14" x14ac:dyDescent="0.3">
      <c r="A5580" s="1">
        <v>15915</v>
      </c>
      <c r="B5580" s="7" t="s">
        <v>347</v>
      </c>
      <c r="C5580" s="12">
        <v>2408</v>
      </c>
      <c r="D5580" s="7" t="s">
        <v>8388</v>
      </c>
      <c r="E5580" s="13" t="s">
        <v>7</v>
      </c>
      <c r="F5580" t="str">
        <f t="shared" si="435"/>
        <v>Manor</v>
      </c>
      <c r="G5580" t="str">
        <f t="shared" si="436"/>
        <v>Manor2408Austin</v>
      </c>
      <c r="H5580" t="s">
        <v>36437</v>
      </c>
      <c r="I5580" t="s">
        <v>27858</v>
      </c>
      <c r="J5580" t="str">
        <f t="shared" si="437"/>
        <v>E:\PropInv\MF</v>
      </c>
      <c r="K5580" s="103" t="str">
        <f>HYPERLINK("E:\PropInv\MF\Austin\Manor Rd_2408_Sandstone I &amp; II_Austin_15915","Manor Rd_2408_Sandstone I &amp; II_Austin_15915" )</f>
        <v>Manor Rd_2408_Sandstone I &amp; II_Austin_15915</v>
      </c>
      <c r="L5580" s="104" t="s">
        <v>22253</v>
      </c>
      <c r="M5580" s="103" t="str">
        <f t="shared" si="438"/>
        <v>http://oconnordata.com/mlink/modules/profile/index.cfm?action=profile&amp;prop_id=15915</v>
      </c>
      <c r="N5580" s="1">
        <f t="shared" si="439"/>
        <v>15915</v>
      </c>
    </row>
    <row r="5581" spans="1:14" x14ac:dyDescent="0.3">
      <c r="A5581" s="1">
        <v>15917</v>
      </c>
      <c r="B5581" s="7" t="s">
        <v>8389</v>
      </c>
      <c r="C5581" s="12">
        <v>8101</v>
      </c>
      <c r="D5581" s="7" t="s">
        <v>8390</v>
      </c>
      <c r="E5581" s="13" t="s">
        <v>1508</v>
      </c>
      <c r="F5581" t="str">
        <f t="shared" si="435"/>
        <v>Research</v>
      </c>
      <c r="G5581" t="str">
        <f t="shared" si="436"/>
        <v>Research8101The Woodlands</v>
      </c>
      <c r="H5581" t="s">
        <v>36438</v>
      </c>
      <c r="I5581" t="s">
        <v>27859</v>
      </c>
      <c r="J5581" t="str">
        <f t="shared" si="437"/>
        <v>E:\PropInv\MF</v>
      </c>
      <c r="K5581" s="103" t="str">
        <f>HYPERLINK("E:\PropInv\MF\The Woodlands\Research Forest Dr_8101_Whispering Pines Ranch_The Woodlands_15917","Research Forest Dr_8101_Whispering Pines Ranch_The Woodlands_15917" )</f>
        <v>Research Forest Dr_8101_Whispering Pines Ranch_The Woodlands_15917</v>
      </c>
      <c r="L5581" s="104" t="s">
        <v>22253</v>
      </c>
      <c r="M5581" s="103" t="str">
        <f t="shared" si="438"/>
        <v>http://oconnordata.com/mlink/modules/profile/index.cfm?action=profile&amp;prop_id=15917</v>
      </c>
      <c r="N5581" s="1">
        <f t="shared" si="439"/>
        <v>15917</v>
      </c>
    </row>
    <row r="5582" spans="1:14" x14ac:dyDescent="0.3">
      <c r="A5582" s="1">
        <v>15918</v>
      </c>
      <c r="B5582" s="7" t="s">
        <v>8391</v>
      </c>
      <c r="C5582" s="12">
        <v>2450</v>
      </c>
      <c r="D5582" s="7" t="s">
        <v>8392</v>
      </c>
      <c r="E5582" s="13" t="s">
        <v>5014</v>
      </c>
      <c r="F5582" t="str">
        <f t="shared" si="435"/>
        <v>Berry</v>
      </c>
      <c r="G5582" t="str">
        <f t="shared" si="436"/>
        <v>Berry2450Fort Worth</v>
      </c>
      <c r="H5582" t="s">
        <v>36439</v>
      </c>
      <c r="I5582" t="s">
        <v>27860</v>
      </c>
      <c r="J5582" t="str">
        <f t="shared" si="437"/>
        <v>E:\PropInv\MF</v>
      </c>
      <c r="K5582" s="103" t="str">
        <f>HYPERLINK("E:\PropInv\MF\Fort Worth\Berry St S E_2450_Cobb Park_Fort Worth_15918","Berry St S E_2450_Cobb Park_Fort Worth_15918" )</f>
        <v>Berry St S E_2450_Cobb Park_Fort Worth_15918</v>
      </c>
      <c r="L5582" s="104" t="s">
        <v>22253</v>
      </c>
      <c r="M5582" s="103" t="str">
        <f t="shared" si="438"/>
        <v>http://oconnordata.com/mlink/modules/profile/index.cfm?action=profile&amp;prop_id=15918</v>
      </c>
      <c r="N5582" s="1">
        <f t="shared" si="439"/>
        <v>15918</v>
      </c>
    </row>
    <row r="5583" spans="1:14" x14ac:dyDescent="0.3">
      <c r="A5583" s="1">
        <v>15919</v>
      </c>
      <c r="B5583" s="7" t="s">
        <v>8393</v>
      </c>
      <c r="C5583" s="12">
        <v>200</v>
      </c>
      <c r="D5583" s="7" t="s">
        <v>8394</v>
      </c>
      <c r="E5583" s="13" t="s">
        <v>8395</v>
      </c>
      <c r="F5583" t="str">
        <f t="shared" si="435"/>
        <v>Bosque</v>
      </c>
      <c r="G5583" t="str">
        <f t="shared" si="436"/>
        <v>Bosque200Stephenville</v>
      </c>
      <c r="H5583" t="s">
        <v>36440</v>
      </c>
      <c r="I5583" t="s">
        <v>27861</v>
      </c>
      <c r="J5583" t="str">
        <f t="shared" si="437"/>
        <v>E:\PropInv\MF</v>
      </c>
      <c r="K5583" s="103" t="str">
        <f>HYPERLINK("E:\PropInv\MF\Stephenville\Bosque Ln_200_Bosque River_Stephenville_15919","Bosque Ln_200_Bosque River_Stephenville_15919" )</f>
        <v>Bosque Ln_200_Bosque River_Stephenville_15919</v>
      </c>
      <c r="L5583" s="104" t="s">
        <v>22253</v>
      </c>
      <c r="M5583" s="103" t="str">
        <f t="shared" si="438"/>
        <v>http://oconnordata.com/mlink/modules/profile/index.cfm?action=profile&amp;prop_id=15919</v>
      </c>
      <c r="N5583" s="1">
        <f t="shared" si="439"/>
        <v>15919</v>
      </c>
    </row>
    <row r="5584" spans="1:14" x14ac:dyDescent="0.3">
      <c r="A5584" s="1">
        <v>15920</v>
      </c>
      <c r="B5584" s="7" t="s">
        <v>8396</v>
      </c>
      <c r="C5584" s="12">
        <v>301</v>
      </c>
      <c r="D5584" s="7" t="s">
        <v>8397</v>
      </c>
      <c r="E5584" s="13" t="s">
        <v>8395</v>
      </c>
      <c r="F5584" t="str">
        <f t="shared" si="435"/>
        <v>Lillian</v>
      </c>
      <c r="G5584" t="str">
        <f t="shared" si="436"/>
        <v>Lillian301Stephenville</v>
      </c>
      <c r="H5584" t="s">
        <v>36441</v>
      </c>
      <c r="I5584" t="s">
        <v>27862</v>
      </c>
      <c r="J5584" t="str">
        <f t="shared" si="437"/>
        <v>E:\PropInv\MF</v>
      </c>
      <c r="K5584" s="103" t="str">
        <f>HYPERLINK("E:\PropInv\MF\Stephenville\Lillian S_301_Lillian II_Stephenville_15920","Lillian S_301_Lillian II_Stephenville_15920" )</f>
        <v>Lillian S_301_Lillian II_Stephenville_15920</v>
      </c>
      <c r="L5584" s="104" t="s">
        <v>22253</v>
      </c>
      <c r="M5584" s="103" t="str">
        <f t="shared" si="438"/>
        <v>http://oconnordata.com/mlink/modules/profile/index.cfm?action=profile&amp;prop_id=15920</v>
      </c>
      <c r="N5584" s="1">
        <f t="shared" si="439"/>
        <v>15920</v>
      </c>
    </row>
    <row r="5585" spans="1:14" x14ac:dyDescent="0.3">
      <c r="A5585" s="1">
        <v>15922</v>
      </c>
      <c r="B5585" s="7" t="s">
        <v>8398</v>
      </c>
      <c r="C5585" s="12">
        <v>1490</v>
      </c>
      <c r="D5585" s="7" t="s">
        <v>8399</v>
      </c>
      <c r="E5585" s="13" t="s">
        <v>8395</v>
      </c>
      <c r="F5585" t="str">
        <f t="shared" si="435"/>
        <v>McNeill</v>
      </c>
      <c r="G5585" t="str">
        <f t="shared" si="436"/>
        <v>McNeill1490Stephenville</v>
      </c>
      <c r="H5585" t="s">
        <v>36442</v>
      </c>
      <c r="I5585" t="s">
        <v>27863</v>
      </c>
      <c r="J5585" t="str">
        <f t="shared" si="437"/>
        <v>E:\PropInv\MF</v>
      </c>
      <c r="K5585" s="103" t="str">
        <f>HYPERLINK("E:\PropInv\MF\Stephenville\McNeill W_1490_Lillian I_Stephenville_15922","McNeill W_1490_Lillian I_Stephenville_15922" )</f>
        <v>McNeill W_1490_Lillian I_Stephenville_15922</v>
      </c>
      <c r="L5585" s="104" t="s">
        <v>22253</v>
      </c>
      <c r="M5585" s="103" t="str">
        <f t="shared" si="438"/>
        <v>http://oconnordata.com/mlink/modules/profile/index.cfm?action=profile&amp;prop_id=15922</v>
      </c>
      <c r="N5585" s="1">
        <f t="shared" si="439"/>
        <v>15922</v>
      </c>
    </row>
    <row r="5586" spans="1:14" x14ac:dyDescent="0.3">
      <c r="A5586" s="1">
        <v>15923</v>
      </c>
      <c r="B5586" s="7" t="s">
        <v>8400</v>
      </c>
      <c r="C5586" s="12">
        <v>1133</v>
      </c>
      <c r="D5586" s="7" t="s">
        <v>4276</v>
      </c>
      <c r="E5586" s="13" t="s">
        <v>8395</v>
      </c>
      <c r="F5586" t="str">
        <f t="shared" si="435"/>
        <v>Washington</v>
      </c>
      <c r="G5586" t="str">
        <f t="shared" si="436"/>
        <v>Washington1133Stephenville</v>
      </c>
      <c r="H5586" t="s">
        <v>36443</v>
      </c>
      <c r="I5586" t="s">
        <v>27864</v>
      </c>
      <c r="J5586" t="str">
        <f t="shared" si="437"/>
        <v>E:\PropInv\MF</v>
      </c>
      <c r="K5586" s="103" t="str">
        <f>HYPERLINK("E:\PropInv\MF\Stephenville\Washington W_1133_College View_Stephenville_15923","Washington W_1133_College View_Stephenville_15923" )</f>
        <v>Washington W_1133_College View_Stephenville_15923</v>
      </c>
      <c r="L5586" s="104" t="s">
        <v>22253</v>
      </c>
      <c r="M5586" s="103" t="str">
        <f t="shared" si="438"/>
        <v>http://oconnordata.com/mlink/modules/profile/index.cfm?action=profile&amp;prop_id=15923</v>
      </c>
      <c r="N5586" s="1">
        <f t="shared" si="439"/>
        <v>15923</v>
      </c>
    </row>
    <row r="5587" spans="1:14" x14ac:dyDescent="0.3">
      <c r="A5587" s="1">
        <v>15924</v>
      </c>
      <c r="B5587" s="7" t="s">
        <v>8401</v>
      </c>
      <c r="C5587" s="12">
        <v>2251</v>
      </c>
      <c r="D5587" s="7" t="s">
        <v>8402</v>
      </c>
      <c r="E5587" s="13" t="s">
        <v>8395</v>
      </c>
      <c r="F5587" t="str">
        <f t="shared" si="435"/>
        <v>Tarleton</v>
      </c>
      <c r="G5587" t="str">
        <f t="shared" si="436"/>
        <v>Tarleton2251Stephenville</v>
      </c>
      <c r="H5587" t="s">
        <v>36444</v>
      </c>
      <c r="I5587" t="s">
        <v>27865</v>
      </c>
      <c r="J5587" t="str">
        <f t="shared" si="437"/>
        <v>E:\PropInv\MF</v>
      </c>
      <c r="K5587" s="103" t="str">
        <f>HYPERLINK("E:\PropInv\MF\Stephenville\Tarleton St W_2251_Stephenville West_Stephenville_15924","Tarleton St W_2251_Stephenville West_Stephenville_15924" )</f>
        <v>Tarleton St W_2251_Stephenville West_Stephenville_15924</v>
      </c>
      <c r="L5587" s="104" t="s">
        <v>22253</v>
      </c>
      <c r="M5587" s="103" t="str">
        <f t="shared" si="438"/>
        <v>http://oconnordata.com/mlink/modules/profile/index.cfm?action=profile&amp;prop_id=15924</v>
      </c>
      <c r="N5587" s="1">
        <f t="shared" si="439"/>
        <v>15924</v>
      </c>
    </row>
    <row r="5588" spans="1:14" x14ac:dyDescent="0.3">
      <c r="A5588" s="1">
        <v>15926</v>
      </c>
      <c r="B5588" s="7" t="s">
        <v>8403</v>
      </c>
      <c r="C5588" s="12">
        <v>949</v>
      </c>
      <c r="D5588" s="7" t="s">
        <v>8404</v>
      </c>
      <c r="E5588" s="13" t="s">
        <v>8395</v>
      </c>
      <c r="F5588" t="str">
        <f t="shared" si="435"/>
        <v>Lillian</v>
      </c>
      <c r="G5588" t="str">
        <f t="shared" si="436"/>
        <v>Lillian949Stephenville</v>
      </c>
      <c r="H5588" t="s">
        <v>36445</v>
      </c>
      <c r="I5588" t="s">
        <v>27866</v>
      </c>
      <c r="J5588" t="str">
        <f t="shared" si="437"/>
        <v>E:\PropInv\MF</v>
      </c>
      <c r="K5588" s="103" t="str">
        <f>HYPERLINK("E:\PropInv\MF\Stephenville\Lillian St S_949_Auburn Place_Stephenville_15926","Lillian St S_949_Auburn Place_Stephenville_15926" )</f>
        <v>Lillian St S_949_Auburn Place_Stephenville_15926</v>
      </c>
      <c r="L5588" s="104" t="s">
        <v>22253</v>
      </c>
      <c r="M5588" s="103" t="str">
        <f t="shared" si="438"/>
        <v>http://oconnordata.com/mlink/modules/profile/index.cfm?action=profile&amp;prop_id=15926</v>
      </c>
      <c r="N5588" s="1">
        <f t="shared" si="439"/>
        <v>15926</v>
      </c>
    </row>
    <row r="5589" spans="1:14" x14ac:dyDescent="0.3">
      <c r="A5589" s="1">
        <v>15927</v>
      </c>
      <c r="B5589" s="7" t="s">
        <v>8405</v>
      </c>
      <c r="C5589" s="12">
        <v>880</v>
      </c>
      <c r="D5589" s="7" t="s">
        <v>8406</v>
      </c>
      <c r="E5589" s="13" t="s">
        <v>8395</v>
      </c>
      <c r="F5589" t="str">
        <f t="shared" si="435"/>
        <v>Lillian</v>
      </c>
      <c r="G5589" t="str">
        <f t="shared" si="436"/>
        <v>Lillian880Stephenville</v>
      </c>
      <c r="H5589" t="s">
        <v>36446</v>
      </c>
      <c r="I5589" t="s">
        <v>27867</v>
      </c>
      <c r="J5589" t="str">
        <f t="shared" si="437"/>
        <v>E:\PropInv\MF</v>
      </c>
      <c r="K5589" s="103" t="str">
        <f>HYPERLINK("E:\PropInv\MF\Stephenville\Lillian St N_880_College Point II_Stephenville_15927","Lillian St N_880_College Point II_Stephenville_15927" )</f>
        <v>Lillian St N_880_College Point II_Stephenville_15927</v>
      </c>
      <c r="L5589" s="104" t="s">
        <v>22253</v>
      </c>
      <c r="M5589" s="103" t="str">
        <f t="shared" si="438"/>
        <v>http://oconnordata.com/mlink/modules/profile/index.cfm?action=profile&amp;prop_id=15927</v>
      </c>
      <c r="N5589" s="1">
        <f t="shared" si="439"/>
        <v>15927</v>
      </c>
    </row>
    <row r="5590" spans="1:14" x14ac:dyDescent="0.3">
      <c r="A5590" s="1">
        <v>15928</v>
      </c>
      <c r="B5590" s="7" t="s">
        <v>8407</v>
      </c>
      <c r="C5590" s="12">
        <v>2251</v>
      </c>
      <c r="D5590" s="7" t="s">
        <v>2459</v>
      </c>
      <c r="E5590" s="13" t="s">
        <v>8395</v>
      </c>
      <c r="F5590" t="str">
        <f t="shared" si="435"/>
        <v>Lingleville</v>
      </c>
      <c r="G5590" t="str">
        <f t="shared" si="436"/>
        <v>Lingleville2251Stephenville</v>
      </c>
      <c r="H5590" t="s">
        <v>36447</v>
      </c>
      <c r="I5590" t="s">
        <v>27868</v>
      </c>
      <c r="J5590" t="str">
        <f t="shared" si="437"/>
        <v>E:\PropInv\MF</v>
      </c>
      <c r="K5590" s="103" t="str">
        <f>HYPERLINK("E:\PropInv\MF\Stephenville\Lingleville W_2251_Oak Tree_Stephenville_15928","Lingleville W_2251_Oak Tree_Stephenville_15928" )</f>
        <v>Lingleville W_2251_Oak Tree_Stephenville_15928</v>
      </c>
      <c r="L5590" s="104" t="s">
        <v>22253</v>
      </c>
      <c r="M5590" s="103" t="str">
        <f t="shared" si="438"/>
        <v>http://oconnordata.com/mlink/modules/profile/index.cfm?action=profile&amp;prop_id=15928</v>
      </c>
      <c r="N5590" s="1">
        <f t="shared" si="439"/>
        <v>15928</v>
      </c>
    </row>
    <row r="5591" spans="1:14" x14ac:dyDescent="0.3">
      <c r="A5591" s="1">
        <v>15929</v>
      </c>
      <c r="B5591" s="7" t="s">
        <v>8407</v>
      </c>
      <c r="C5591" s="12">
        <v>1650</v>
      </c>
      <c r="D5591" s="7" t="s">
        <v>8408</v>
      </c>
      <c r="E5591" s="13" t="s">
        <v>8395</v>
      </c>
      <c r="F5591" t="str">
        <f t="shared" si="435"/>
        <v>Lingleville</v>
      </c>
      <c r="G5591" t="str">
        <f t="shared" si="436"/>
        <v>Lingleville1650Stephenville</v>
      </c>
      <c r="H5591" t="s">
        <v>36448</v>
      </c>
      <c r="I5591" t="s">
        <v>27869</v>
      </c>
      <c r="J5591" t="str">
        <f t="shared" si="437"/>
        <v>E:\PropInv\MF</v>
      </c>
      <c r="K5591" s="103" t="str">
        <f>HYPERLINK("E:\PropInv\MF\Stephenville\Lingleville W_1650_Oak Tree East_Stephenville_15929","Lingleville W_1650_Oak Tree East_Stephenville_15929" )</f>
        <v>Lingleville W_1650_Oak Tree East_Stephenville_15929</v>
      </c>
      <c r="L5591" s="104" t="s">
        <v>22253</v>
      </c>
      <c r="M5591" s="103" t="str">
        <f t="shared" si="438"/>
        <v>http://oconnordata.com/mlink/modules/profile/index.cfm?action=profile&amp;prop_id=15929</v>
      </c>
      <c r="N5591" s="1">
        <f t="shared" si="439"/>
        <v>15929</v>
      </c>
    </row>
    <row r="5592" spans="1:14" x14ac:dyDescent="0.3">
      <c r="A5592" s="110">
        <v>15930</v>
      </c>
      <c r="B5592" s="7" t="s">
        <v>37</v>
      </c>
      <c r="C5592" s="12">
        <v>12820</v>
      </c>
      <c r="D5592" s="7" t="s">
        <v>8409</v>
      </c>
      <c r="E5592" s="109" t="s">
        <v>7</v>
      </c>
      <c r="F5592" t="str">
        <f t="shared" si="435"/>
        <v>Lamar</v>
      </c>
      <c r="G5592" t="str">
        <f t="shared" si="436"/>
        <v>Lamar12820Austin</v>
      </c>
      <c r="H5592" t="s">
        <v>39459</v>
      </c>
      <c r="I5592" t="s">
        <v>39460</v>
      </c>
      <c r="J5592" t="str">
        <f t="shared" si="437"/>
        <v>E:\PropInv\MF</v>
      </c>
      <c r="K5592" s="103" t="str">
        <f>HYPERLINK("E:\PropInv\MF\Austin\Lamar Blvd N_12820_Villages of Sage Creek_Austin_15930","Lamar Blvd N_12820_Villages of Sage Creek_Austin_15930" )</f>
        <v>Lamar Blvd N_12820_Villages of Sage Creek_Austin_15930</v>
      </c>
      <c r="L5592" s="104" t="s">
        <v>22253</v>
      </c>
      <c r="M5592" s="103" t="str">
        <f t="shared" si="438"/>
        <v>http://oconnordata.com/mlink/modules/profile/index.cfm?action=profile&amp;prop_id=15930</v>
      </c>
      <c r="N5592" s="1">
        <f t="shared" si="439"/>
        <v>15930</v>
      </c>
    </row>
    <row r="5593" spans="1:14" x14ac:dyDescent="0.3">
      <c r="A5593" s="1">
        <v>15931</v>
      </c>
      <c r="B5593" s="7" t="s">
        <v>8410</v>
      </c>
      <c r="C5593" s="12">
        <v>2249</v>
      </c>
      <c r="D5593" s="7" t="s">
        <v>8411</v>
      </c>
      <c r="E5593" s="13" t="s">
        <v>8395</v>
      </c>
      <c r="F5593" t="str">
        <f t="shared" si="435"/>
        <v>NW</v>
      </c>
      <c r="G5593" t="str">
        <f t="shared" si="436"/>
        <v>NW2249Stephenville</v>
      </c>
      <c r="H5593" t="s">
        <v>36449</v>
      </c>
      <c r="I5593" t="s">
        <v>27870</v>
      </c>
      <c r="J5593" t="str">
        <f t="shared" si="437"/>
        <v>E:\PropInv\MF</v>
      </c>
      <c r="K5593" s="103" t="str">
        <f>HYPERLINK("E:\PropInv\MF\Stephenville\NW Loop_2249_Tarleton Arms_Stephenville_15931","NW Loop_2249_Tarleton Arms_Stephenville_15931" )</f>
        <v>NW Loop_2249_Tarleton Arms_Stephenville_15931</v>
      </c>
      <c r="L5593" s="104" t="s">
        <v>22253</v>
      </c>
      <c r="M5593" s="103" t="str">
        <f t="shared" si="438"/>
        <v>http://oconnordata.com/mlink/modules/profile/index.cfm?action=profile&amp;prop_id=15931</v>
      </c>
      <c r="N5593" s="1">
        <f t="shared" si="439"/>
        <v>15931</v>
      </c>
    </row>
    <row r="5594" spans="1:14" x14ac:dyDescent="0.3">
      <c r="A5594" s="1">
        <v>15932</v>
      </c>
      <c r="B5594" s="7" t="s">
        <v>8412</v>
      </c>
      <c r="C5594" s="12">
        <v>8850</v>
      </c>
      <c r="D5594" s="7" t="s">
        <v>8413</v>
      </c>
      <c r="E5594" s="13" t="s">
        <v>5488</v>
      </c>
      <c r="F5594" t="str">
        <f t="shared" si="435"/>
        <v>Coleman</v>
      </c>
      <c r="G5594" t="str">
        <f t="shared" si="436"/>
        <v>Coleman8850Frisco</v>
      </c>
      <c r="H5594" t="s">
        <v>36450</v>
      </c>
      <c r="I5594" t="s">
        <v>27871</v>
      </c>
      <c r="J5594" t="str">
        <f t="shared" si="437"/>
        <v>E:\PropInv\MF</v>
      </c>
      <c r="K5594" s="103" t="str">
        <f>HYPERLINK("E:\PropInv\MF\Frisco\Coleman Blvd_8850_The Plaza at Frisco Square I_Frisco_15932","Coleman Blvd_8850_The Plaza at Frisco Square I_Frisco_15932" )</f>
        <v>Coleman Blvd_8850_The Plaza at Frisco Square I_Frisco_15932</v>
      </c>
      <c r="L5594" s="104" t="s">
        <v>22253</v>
      </c>
      <c r="M5594" s="103" t="str">
        <f t="shared" si="438"/>
        <v>http://oconnordata.com/mlink/modules/profile/index.cfm?action=profile&amp;prop_id=15932</v>
      </c>
      <c r="N5594" s="1">
        <f t="shared" si="439"/>
        <v>15932</v>
      </c>
    </row>
    <row r="5595" spans="1:14" x14ac:dyDescent="0.3">
      <c r="A5595" s="1">
        <v>15935</v>
      </c>
      <c r="B5595" s="7" t="s">
        <v>8350</v>
      </c>
      <c r="C5595" s="12">
        <v>333</v>
      </c>
      <c r="D5595" s="7" t="s">
        <v>8414</v>
      </c>
      <c r="E5595" s="13" t="s">
        <v>5014</v>
      </c>
      <c r="F5595" t="str">
        <f t="shared" si="435"/>
        <v>Throckmorton</v>
      </c>
      <c r="G5595" t="str">
        <f t="shared" si="436"/>
        <v>Throckmorton333Fort Worth</v>
      </c>
      <c r="H5595" t="s">
        <v>36451</v>
      </c>
      <c r="I5595" t="s">
        <v>27872</v>
      </c>
      <c r="J5595" t="str">
        <f t="shared" si="437"/>
        <v>E:\PropInv\MF</v>
      </c>
      <c r="K5595" s="103" t="str">
        <f>HYPERLINK("E:\PropInv\MF\Fort Worth\Throckmorton St_333_Sundance West_Fort Worth_15935","Throckmorton St_333_Sundance West_Fort Worth_15935" )</f>
        <v>Throckmorton St_333_Sundance West_Fort Worth_15935</v>
      </c>
      <c r="L5595" s="104" t="s">
        <v>22253</v>
      </c>
      <c r="M5595" s="103" t="str">
        <f t="shared" si="438"/>
        <v>http://oconnordata.com/mlink/modules/profile/index.cfm?action=profile&amp;prop_id=15935</v>
      </c>
      <c r="N5595" s="1">
        <f t="shared" si="439"/>
        <v>15935</v>
      </c>
    </row>
    <row r="5596" spans="1:14" x14ac:dyDescent="0.3">
      <c r="A5596" s="1">
        <v>15936</v>
      </c>
      <c r="B5596" s="7" t="s">
        <v>8415</v>
      </c>
      <c r="C5596" s="12">
        <v>15000</v>
      </c>
      <c r="D5596" s="7" t="s">
        <v>8416</v>
      </c>
      <c r="E5596" s="13" t="s">
        <v>1657</v>
      </c>
      <c r="F5596" t="str">
        <f t="shared" si="435"/>
        <v>Philippine</v>
      </c>
      <c r="G5596" t="str">
        <f t="shared" si="436"/>
        <v>Philippine15000Houston</v>
      </c>
      <c r="H5596" t="s">
        <v>36452</v>
      </c>
      <c r="I5596" t="s">
        <v>27873</v>
      </c>
      <c r="J5596" t="str">
        <f t="shared" si="437"/>
        <v>E:\PropInv\MF</v>
      </c>
      <c r="K5596" s="103" t="str">
        <f>HYPERLINK("E:\PropInv\MF\Houston\Philippine_15000_The Bellagio_Houston_15936","Philippine_15000_The Bellagio_Houston_15936" )</f>
        <v>Philippine_15000_The Bellagio_Houston_15936</v>
      </c>
      <c r="L5596" s="104" t="s">
        <v>22253</v>
      </c>
      <c r="M5596" s="103" t="str">
        <f t="shared" si="438"/>
        <v>http://oconnordata.com/mlink/modules/profile/index.cfm?action=profile&amp;prop_id=15936</v>
      </c>
      <c r="N5596" s="1">
        <f t="shared" si="439"/>
        <v>15936</v>
      </c>
    </row>
    <row r="5597" spans="1:14" x14ac:dyDescent="0.3">
      <c r="A5597" s="97">
        <v>15937</v>
      </c>
      <c r="B5597" s="7" t="s">
        <v>8417</v>
      </c>
      <c r="C5597" s="12">
        <v>2600</v>
      </c>
      <c r="D5597" s="7" t="s">
        <v>8418</v>
      </c>
      <c r="E5597" s="13" t="s">
        <v>1657</v>
      </c>
      <c r="F5597" t="str">
        <f t="shared" si="435"/>
        <v>Westhollow</v>
      </c>
      <c r="G5597" t="str">
        <f t="shared" si="436"/>
        <v>Westhollow2600Houston</v>
      </c>
      <c r="H5597" t="s">
        <v>36453</v>
      </c>
      <c r="I5597" t="s">
        <v>27874</v>
      </c>
      <c r="J5597" t="str">
        <f t="shared" si="437"/>
        <v>E:\PropInv\MF</v>
      </c>
      <c r="K5597" s="103" t="str">
        <f>HYPERLINK("E:\PropInv\MF\Houston\Westhollow Dr_2600_Wynhaven at West Oaks_Houston_15937","Westhollow Dr_2600_Wynhaven at West Oaks_Houston_15937" )</f>
        <v>Westhollow Dr_2600_Wynhaven at West Oaks_Houston_15937</v>
      </c>
      <c r="L5597" s="104" t="s">
        <v>22253</v>
      </c>
      <c r="M5597" s="103" t="str">
        <f t="shared" si="438"/>
        <v>http://oconnordata.com/mlink/modules/profile/index.cfm?action=profile&amp;prop_id=15937</v>
      </c>
      <c r="N5597" s="1">
        <f t="shared" si="439"/>
        <v>15937</v>
      </c>
    </row>
    <row r="5598" spans="1:14" x14ac:dyDescent="0.3">
      <c r="A5598" s="1">
        <v>15939</v>
      </c>
      <c r="B5598" s="7" t="s">
        <v>8419</v>
      </c>
      <c r="C5598" s="12">
        <v>222</v>
      </c>
      <c r="D5598" s="7" t="s">
        <v>8420</v>
      </c>
      <c r="E5598" s="13" t="s">
        <v>5014</v>
      </c>
      <c r="F5598" t="str">
        <f t="shared" si="435"/>
        <v>4th</v>
      </c>
      <c r="G5598" t="str">
        <f t="shared" si="436"/>
        <v>4th222Fort Worth</v>
      </c>
      <c r="H5598" t="s">
        <v>36454</v>
      </c>
      <c r="I5598" t="s">
        <v>27875</v>
      </c>
      <c r="J5598" t="str">
        <f t="shared" si="437"/>
        <v>E:\PropInv\MF</v>
      </c>
      <c r="K5598" s="103" t="str">
        <f>HYPERLINK("E:\PropInv\MF\Fort Worth\4th St W_222_Sanger Lofts_Fort Worth_15939","4th St W_222_Sanger Lofts_Fort Worth_15939" )</f>
        <v>4th St W_222_Sanger Lofts_Fort Worth_15939</v>
      </c>
      <c r="L5598" s="104" t="s">
        <v>22253</v>
      </c>
      <c r="M5598" s="103" t="str">
        <f t="shared" si="438"/>
        <v>http://oconnordata.com/mlink/modules/profile/index.cfm?action=profile&amp;prop_id=15939</v>
      </c>
      <c r="N5598" s="1">
        <f t="shared" si="439"/>
        <v>15939</v>
      </c>
    </row>
    <row r="5599" spans="1:14" x14ac:dyDescent="0.3">
      <c r="A5599" s="1">
        <v>15940</v>
      </c>
      <c r="B5599" s="7" t="s">
        <v>8421</v>
      </c>
      <c r="C5599" s="12">
        <v>700</v>
      </c>
      <c r="D5599" s="7" t="s">
        <v>8422</v>
      </c>
      <c r="E5599" s="13" t="s">
        <v>5088</v>
      </c>
      <c r="F5599" t="str">
        <f t="shared" si="435"/>
        <v>Town</v>
      </c>
      <c r="G5599" t="str">
        <f t="shared" si="436"/>
        <v>Town700Mesquite</v>
      </c>
      <c r="H5599" t="s">
        <v>36455</v>
      </c>
      <c r="I5599" t="s">
        <v>27876</v>
      </c>
      <c r="J5599" t="str">
        <f t="shared" si="437"/>
        <v>E:\PropInv\MF</v>
      </c>
      <c r="K5599" s="103" t="str">
        <f>HYPERLINK("E:\PropInv\MF\Mesquite\Town E N_700_The Waterford at Mesquite_Mesquite_15940","Town E N_700_The Waterford at Mesquite_Mesquite_15940" )</f>
        <v>Town E N_700_The Waterford at Mesquite_Mesquite_15940</v>
      </c>
      <c r="L5599" s="104" t="s">
        <v>22253</v>
      </c>
      <c r="M5599" s="103" t="str">
        <f t="shared" si="438"/>
        <v>http://oconnordata.com/mlink/modules/profile/index.cfm?action=profile&amp;prop_id=15940</v>
      </c>
      <c r="N5599" s="1">
        <f t="shared" si="439"/>
        <v>15940</v>
      </c>
    </row>
    <row r="5600" spans="1:14" x14ac:dyDescent="0.3">
      <c r="A5600" s="1">
        <v>15941</v>
      </c>
      <c r="B5600" s="7" t="s">
        <v>8423</v>
      </c>
      <c r="C5600" s="12">
        <v>1200</v>
      </c>
      <c r="D5600" s="7" t="s">
        <v>8424</v>
      </c>
      <c r="E5600" s="13" t="s">
        <v>7</v>
      </c>
      <c r="F5600" t="str">
        <f t="shared" si="435"/>
        <v>Barton</v>
      </c>
      <c r="G5600" t="str">
        <f t="shared" si="436"/>
        <v>Barton1200Austin</v>
      </c>
      <c r="H5600" t="s">
        <v>36456</v>
      </c>
      <c r="I5600" t="s">
        <v>27877</v>
      </c>
      <c r="J5600" t="str">
        <f t="shared" si="437"/>
        <v>E:\PropInv\MF</v>
      </c>
      <c r="K5600" s="103" t="str">
        <f>HYPERLINK("E:\PropInv\MF\Austin\Barton Hills Dr_1200_Barton Hills-Park Place_Austin_15941","Barton Hills Dr_1200_Barton Hills-Park Place_Austin_15941" )</f>
        <v>Barton Hills Dr_1200_Barton Hills-Park Place_Austin_15941</v>
      </c>
      <c r="L5600" s="104" t="s">
        <v>22253</v>
      </c>
      <c r="M5600" s="103" t="str">
        <f t="shared" si="438"/>
        <v>http://oconnordata.com/mlink/modules/profile/index.cfm?action=profile&amp;prop_id=15941</v>
      </c>
      <c r="N5600" s="1">
        <f t="shared" si="439"/>
        <v>15941</v>
      </c>
    </row>
    <row r="5601" spans="1:14" x14ac:dyDescent="0.3">
      <c r="A5601" s="1">
        <v>15942</v>
      </c>
      <c r="B5601" s="7" t="s">
        <v>8425</v>
      </c>
      <c r="C5601" s="12">
        <v>26325</v>
      </c>
      <c r="D5601" s="7" t="s">
        <v>8426</v>
      </c>
      <c r="E5601" s="13" t="s">
        <v>1671</v>
      </c>
      <c r="F5601" t="str">
        <f t="shared" si="435"/>
        <v>Northgate</v>
      </c>
      <c r="G5601" t="str">
        <f t="shared" si="436"/>
        <v>Northgate26325Spring</v>
      </c>
      <c r="H5601" t="s">
        <v>36457</v>
      </c>
      <c r="I5601" t="s">
        <v>27878</v>
      </c>
      <c r="J5601" t="str">
        <f t="shared" si="437"/>
        <v>E:\PropInv\MF</v>
      </c>
      <c r="K5601" s="103" t="str">
        <f>HYPERLINK("E:\PropInv\MF\Spring\Northgate Crossing Blvd_26325_The Park at Northgate_Spring_15942","Northgate Crossing Blvd_26325_The Park at Northgate_Spring_15942" )</f>
        <v>Northgate Crossing Blvd_26325_The Park at Northgate_Spring_15942</v>
      </c>
      <c r="L5601" s="104" t="s">
        <v>22253</v>
      </c>
      <c r="M5601" s="103" t="str">
        <f t="shared" si="438"/>
        <v>http://oconnordata.com/mlink/modules/profile/index.cfm?action=profile&amp;prop_id=15942</v>
      </c>
      <c r="N5601" s="1">
        <f t="shared" si="439"/>
        <v>15942</v>
      </c>
    </row>
    <row r="5602" spans="1:14" x14ac:dyDescent="0.3">
      <c r="A5602" s="1">
        <v>15945</v>
      </c>
      <c r="B5602" s="7" t="s">
        <v>8427</v>
      </c>
      <c r="C5602" s="12">
        <v>5820</v>
      </c>
      <c r="D5602" s="7" t="s">
        <v>8428</v>
      </c>
      <c r="E5602" s="13" t="s">
        <v>7</v>
      </c>
      <c r="F5602" t="str">
        <f t="shared" si="435"/>
        <v>Berkman</v>
      </c>
      <c r="G5602" t="str">
        <f t="shared" si="436"/>
        <v>Berkman5820Austin</v>
      </c>
      <c r="H5602" t="s">
        <v>36458</v>
      </c>
      <c r="I5602" t="s">
        <v>27879</v>
      </c>
      <c r="J5602" t="str">
        <f t="shared" si="437"/>
        <v>E:\PropInv\MF</v>
      </c>
      <c r="K5602" s="103" t="str">
        <f>HYPERLINK("E:\PropInv\MF\Austin\Berkman Dr_5820_Berkman Court_Austin_15945","Berkman Dr_5820_Berkman Court_Austin_15945" )</f>
        <v>Berkman Dr_5820_Berkman Court_Austin_15945</v>
      </c>
      <c r="L5602" s="104" t="s">
        <v>22253</v>
      </c>
      <c r="M5602" s="103" t="str">
        <f t="shared" si="438"/>
        <v>http://oconnordata.com/mlink/modules/profile/index.cfm?action=profile&amp;prop_id=15945</v>
      </c>
      <c r="N5602" s="1">
        <f t="shared" si="439"/>
        <v>15945</v>
      </c>
    </row>
    <row r="5603" spans="1:14" x14ac:dyDescent="0.3">
      <c r="A5603" s="1">
        <v>15947</v>
      </c>
      <c r="B5603" s="19" t="s">
        <v>82</v>
      </c>
      <c r="C5603" s="18">
        <v>7247</v>
      </c>
      <c r="D5603" s="19" t="s">
        <v>8429</v>
      </c>
      <c r="E5603" s="20" t="s">
        <v>7</v>
      </c>
      <c r="F5603" t="str">
        <f t="shared" si="435"/>
        <v>Cameron</v>
      </c>
      <c r="G5603" t="str">
        <f t="shared" si="436"/>
        <v>Cameron7247Austin</v>
      </c>
      <c r="H5603" t="s">
        <v>36459</v>
      </c>
      <c r="I5603" t="s">
        <v>27880</v>
      </c>
      <c r="J5603" t="str">
        <f t="shared" si="437"/>
        <v>E:\PropInv\MF</v>
      </c>
      <c r="K5603" s="103" t="str">
        <f>HYPERLINK("E:\PropInv\MF\Austin\Cameron Rd_7247_Westheimer Hills_Austin_15947","Cameron Rd_7247_Westheimer Hills_Austin_15947" )</f>
        <v>Cameron Rd_7247_Westheimer Hills_Austin_15947</v>
      </c>
      <c r="L5603" s="104" t="s">
        <v>22253</v>
      </c>
      <c r="M5603" s="103" t="str">
        <f t="shared" si="438"/>
        <v>http://oconnordata.com/mlink/modules/profile/index.cfm?action=profile&amp;prop_id=15947</v>
      </c>
      <c r="N5603" s="1">
        <f t="shared" si="439"/>
        <v>15947</v>
      </c>
    </row>
    <row r="5604" spans="1:14" x14ac:dyDescent="0.3">
      <c r="A5604" s="1">
        <v>15948</v>
      </c>
      <c r="B5604" s="19" t="s">
        <v>8430</v>
      </c>
      <c r="C5604" s="18">
        <v>5800</v>
      </c>
      <c r="D5604" s="19" t="s">
        <v>8431</v>
      </c>
      <c r="E5604" s="20" t="s">
        <v>7</v>
      </c>
      <c r="F5604" t="str">
        <f t="shared" si="435"/>
        <v>Sweeney</v>
      </c>
      <c r="G5604" t="str">
        <f t="shared" si="436"/>
        <v>Sweeney5800Austin</v>
      </c>
      <c r="H5604" t="s">
        <v>36460</v>
      </c>
      <c r="I5604" t="s">
        <v>27881</v>
      </c>
      <c r="J5604" t="str">
        <f t="shared" si="437"/>
        <v>E:\PropInv\MF</v>
      </c>
      <c r="K5604" s="103" t="str">
        <f>HYPERLINK("E:\PropInv\MF\Austin\Sweeney Cir_5800_Westheimer Place_Austin_15948","Sweeney Cir_5800_Westheimer Place_Austin_15948" )</f>
        <v>Sweeney Cir_5800_Westheimer Place_Austin_15948</v>
      </c>
      <c r="L5604" s="104" t="s">
        <v>22253</v>
      </c>
      <c r="M5604" s="103" t="str">
        <f t="shared" si="438"/>
        <v>http://oconnordata.com/mlink/modules/profile/index.cfm?action=profile&amp;prop_id=15948</v>
      </c>
      <c r="N5604" s="1">
        <f t="shared" si="439"/>
        <v>15948</v>
      </c>
    </row>
    <row r="5605" spans="1:14" x14ac:dyDescent="0.3">
      <c r="A5605" s="1">
        <v>15950</v>
      </c>
      <c r="B5605" s="7" t="s">
        <v>8432</v>
      </c>
      <c r="C5605" s="12">
        <v>1200</v>
      </c>
      <c r="D5605" s="7" t="s">
        <v>8433</v>
      </c>
      <c r="E5605" s="13" t="s">
        <v>7</v>
      </c>
      <c r="F5605" t="str">
        <f t="shared" si="435"/>
        <v>52nd</v>
      </c>
      <c r="G5605" t="str">
        <f t="shared" si="436"/>
        <v>52nd1200Austin</v>
      </c>
      <c r="H5605" t="s">
        <v>36461</v>
      </c>
      <c r="I5605" t="s">
        <v>27882</v>
      </c>
      <c r="J5605" t="str">
        <f t="shared" si="437"/>
        <v>E:\PropInv\MF</v>
      </c>
      <c r="K5605" s="103" t="str">
        <f>HYPERLINK("E:\PropInv\MF\Austin\52nd St E_1200_Westheimer Trace_Austin_15950","52nd St E_1200_Westheimer Trace_Austin_15950" )</f>
        <v>52nd St E_1200_Westheimer Trace_Austin_15950</v>
      </c>
      <c r="L5605" s="104" t="s">
        <v>22253</v>
      </c>
      <c r="M5605" s="103" t="str">
        <f t="shared" si="438"/>
        <v>http://oconnordata.com/mlink/modules/profile/index.cfm?action=profile&amp;prop_id=15950</v>
      </c>
      <c r="N5605" s="1">
        <f t="shared" si="439"/>
        <v>15950</v>
      </c>
    </row>
    <row r="5606" spans="1:14" x14ac:dyDescent="0.3">
      <c r="A5606" s="1">
        <v>15951</v>
      </c>
      <c r="B5606" s="7" t="s">
        <v>8434</v>
      </c>
      <c r="C5606" s="12">
        <v>2901</v>
      </c>
      <c r="D5606" s="7" t="s">
        <v>8435</v>
      </c>
      <c r="E5606" s="13" t="s">
        <v>4996</v>
      </c>
      <c r="F5606" t="str">
        <f t="shared" si="435"/>
        <v>City</v>
      </c>
      <c r="G5606" t="str">
        <f t="shared" si="436"/>
        <v>City2901Dallas</v>
      </c>
      <c r="H5606" t="s">
        <v>36462</v>
      </c>
      <c r="I5606" t="s">
        <v>27883</v>
      </c>
      <c r="J5606" t="str">
        <f t="shared" si="437"/>
        <v>E:\PropInv\MF</v>
      </c>
      <c r="K5606" s="103" t="str">
        <f>HYPERLINK("E:\PropInv\MF\Dallas\City Place Blvd W_2901_The Bryson at City Place_Dallas_15951","City Place Blvd W_2901_The Bryson at City Place_Dallas_15951" )</f>
        <v>City Place Blvd W_2901_The Bryson at City Place_Dallas_15951</v>
      </c>
      <c r="L5606" s="104" t="s">
        <v>22253</v>
      </c>
      <c r="M5606" s="103" t="str">
        <f t="shared" si="438"/>
        <v>http://oconnordata.com/mlink/modules/profile/index.cfm?action=profile&amp;prop_id=15951</v>
      </c>
      <c r="N5606" s="1">
        <f t="shared" si="439"/>
        <v>15951</v>
      </c>
    </row>
    <row r="5607" spans="1:14" x14ac:dyDescent="0.3">
      <c r="A5607" s="1">
        <v>15954</v>
      </c>
      <c r="B5607" s="7" t="s">
        <v>8436</v>
      </c>
      <c r="C5607" s="12">
        <v>6009</v>
      </c>
      <c r="D5607" s="7" t="s">
        <v>8437</v>
      </c>
      <c r="E5607" s="13" t="s">
        <v>7</v>
      </c>
      <c r="F5607" t="str">
        <f t="shared" si="435"/>
        <v>Daffodil</v>
      </c>
      <c r="G5607" t="str">
        <f t="shared" si="436"/>
        <v>Daffodil6009Austin</v>
      </c>
      <c r="H5607" t="s">
        <v>36463</v>
      </c>
      <c r="I5607" t="s">
        <v>27884</v>
      </c>
      <c r="J5607" t="str">
        <f t="shared" si="437"/>
        <v>E:\PropInv\MF</v>
      </c>
      <c r="K5607" s="103" t="str">
        <f>HYPERLINK("E:\PropInv\MF\Austin\Daffodil Dr_6009_Daffodil_Austin_15954","Daffodil Dr_6009_Daffodil_Austin_15954" )</f>
        <v>Daffodil Dr_6009_Daffodil_Austin_15954</v>
      </c>
      <c r="L5607" s="104" t="s">
        <v>22253</v>
      </c>
      <c r="M5607" s="103" t="str">
        <f t="shared" si="438"/>
        <v>http://oconnordata.com/mlink/modules/profile/index.cfm?action=profile&amp;prop_id=15954</v>
      </c>
      <c r="N5607" s="1">
        <f t="shared" si="439"/>
        <v>15954</v>
      </c>
    </row>
    <row r="5608" spans="1:14" x14ac:dyDescent="0.3">
      <c r="A5608" s="1">
        <v>15956</v>
      </c>
      <c r="B5608" s="7" t="s">
        <v>6918</v>
      </c>
      <c r="C5608" s="12">
        <v>6100</v>
      </c>
      <c r="D5608" s="7" t="s">
        <v>7622</v>
      </c>
      <c r="E5608" s="13" t="s">
        <v>5009</v>
      </c>
      <c r="F5608" t="str">
        <f t="shared" si="435"/>
        <v>Ohio</v>
      </c>
      <c r="G5608" t="str">
        <f t="shared" si="436"/>
        <v>Ohio6100Plano</v>
      </c>
      <c r="H5608" t="s">
        <v>36464</v>
      </c>
      <c r="I5608" t="s">
        <v>27885</v>
      </c>
      <c r="J5608" t="str">
        <f t="shared" si="437"/>
        <v>E:\PropInv\MF</v>
      </c>
      <c r="K5608" s="103" t="str">
        <f>HYPERLINK("E:\PropInv\MF\Plano\Ohio Dr_6100_La Costa_Plano_15956","Ohio Dr_6100_La Costa_Plano_15956" )</f>
        <v>Ohio Dr_6100_La Costa_Plano_15956</v>
      </c>
      <c r="L5608" s="104" t="s">
        <v>22253</v>
      </c>
      <c r="M5608" s="103" t="str">
        <f t="shared" si="438"/>
        <v>http://oconnordata.com/mlink/modules/profile/index.cfm?action=profile&amp;prop_id=15956</v>
      </c>
      <c r="N5608" s="1">
        <f t="shared" si="439"/>
        <v>15956</v>
      </c>
    </row>
    <row r="5609" spans="1:14" x14ac:dyDescent="0.3">
      <c r="A5609" s="1">
        <v>15957</v>
      </c>
      <c r="B5609" s="7" t="s">
        <v>442</v>
      </c>
      <c r="C5609" s="12">
        <v>2015</v>
      </c>
      <c r="D5609" s="7" t="s">
        <v>836</v>
      </c>
      <c r="E5609" s="13" t="s">
        <v>7</v>
      </c>
      <c r="F5609" t="str">
        <f t="shared" si="435"/>
        <v>Cedar</v>
      </c>
      <c r="G5609" t="str">
        <f t="shared" si="436"/>
        <v>Cedar2015Austin</v>
      </c>
      <c r="H5609" t="s">
        <v>36465</v>
      </c>
      <c r="I5609" t="s">
        <v>27886</v>
      </c>
      <c r="J5609" t="str">
        <f t="shared" si="437"/>
        <v>E:\PropInv\MF</v>
      </c>
      <c r="K5609" s="103" t="str">
        <f>HYPERLINK("E:\PropInv\MF\Austin\Cedar Bend Dr_2015_Champions Crossing_Austin_15957","Cedar Bend Dr_2015_Champions Crossing_Austin_15957" )</f>
        <v>Cedar Bend Dr_2015_Champions Crossing_Austin_15957</v>
      </c>
      <c r="L5609" s="104" t="s">
        <v>22253</v>
      </c>
      <c r="M5609" s="103" t="str">
        <f t="shared" si="438"/>
        <v>http://oconnordata.com/mlink/modules/profile/index.cfm?action=profile&amp;prop_id=15957</v>
      </c>
      <c r="N5609" s="1">
        <f t="shared" si="439"/>
        <v>15957</v>
      </c>
    </row>
    <row r="5610" spans="1:14" x14ac:dyDescent="0.3">
      <c r="A5610" s="1">
        <v>15958</v>
      </c>
      <c r="B5610" s="7" t="s">
        <v>8438</v>
      </c>
      <c r="C5610" s="12">
        <v>9931</v>
      </c>
      <c r="D5610" s="7" t="s">
        <v>8439</v>
      </c>
      <c r="E5610" s="13" t="s">
        <v>842</v>
      </c>
      <c r="F5610" t="str">
        <f t="shared" si="435"/>
        <v>Hyatt</v>
      </c>
      <c r="G5610" t="str">
        <f t="shared" si="436"/>
        <v>Hyatt9931San Antonio</v>
      </c>
      <c r="H5610" t="s">
        <v>36466</v>
      </c>
      <c r="I5610" t="s">
        <v>27887</v>
      </c>
      <c r="J5610" t="str">
        <f t="shared" si="437"/>
        <v>E:\PropInv\MF</v>
      </c>
      <c r="K5610" s="103" t="str">
        <f>HYPERLINK("E:\PropInv\MF\San Antonio\Hyatt Resort Dr_9931_The Lodge at Westover Hills_San Antonio_15958","Hyatt Resort Dr_9931_The Lodge at Westover Hills_San Antonio_15958" )</f>
        <v>Hyatt Resort Dr_9931_The Lodge at Westover Hills_San Antonio_15958</v>
      </c>
      <c r="L5610" s="104" t="s">
        <v>22253</v>
      </c>
      <c r="M5610" s="103" t="str">
        <f t="shared" si="438"/>
        <v>http://oconnordata.com/mlink/modules/profile/index.cfm?action=profile&amp;prop_id=15958</v>
      </c>
      <c r="N5610" s="1">
        <f t="shared" si="439"/>
        <v>15958</v>
      </c>
    </row>
    <row r="5611" spans="1:14" x14ac:dyDescent="0.3">
      <c r="A5611" s="1">
        <v>15959</v>
      </c>
      <c r="B5611" s="7" t="s">
        <v>8440</v>
      </c>
      <c r="C5611" s="12">
        <v>8301</v>
      </c>
      <c r="D5611" s="7" t="s">
        <v>8441</v>
      </c>
      <c r="E5611" s="13" t="s">
        <v>842</v>
      </c>
      <c r="F5611" t="str">
        <f t="shared" si="435"/>
        <v>Lake</v>
      </c>
      <c r="G5611" t="str">
        <f t="shared" si="436"/>
        <v>Lake8301San Antonio</v>
      </c>
      <c r="H5611" t="s">
        <v>36467</v>
      </c>
      <c r="I5611" t="s">
        <v>27888</v>
      </c>
      <c r="J5611" t="str">
        <f t="shared" si="437"/>
        <v>E:\PropInv\MF</v>
      </c>
      <c r="K5611" s="103" t="str">
        <f>HYPERLINK("E:\PropInv\MF\San Antonio\Lake Vista_8301_Stablewood Farms_San Antonio_15959","Lake Vista_8301_Stablewood Farms_San Antonio_15959" )</f>
        <v>Lake Vista_8301_Stablewood Farms_San Antonio_15959</v>
      </c>
      <c r="L5611" s="104" t="s">
        <v>22253</v>
      </c>
      <c r="M5611" s="103" t="str">
        <f t="shared" si="438"/>
        <v>http://oconnordata.com/mlink/modules/profile/index.cfm?action=profile&amp;prop_id=15959</v>
      </c>
      <c r="N5611" s="1">
        <f t="shared" si="439"/>
        <v>15959</v>
      </c>
    </row>
    <row r="5612" spans="1:14" x14ac:dyDescent="0.3">
      <c r="A5612" s="1">
        <v>15960</v>
      </c>
      <c r="B5612" s="7" t="s">
        <v>8442</v>
      </c>
      <c r="C5612" s="12">
        <v>2555</v>
      </c>
      <c r="D5612" s="7" t="s">
        <v>8443</v>
      </c>
      <c r="E5612" s="13" t="s">
        <v>4338</v>
      </c>
      <c r="F5612" t="str">
        <f t="shared" si="435"/>
        <v>Repsdorph</v>
      </c>
      <c r="G5612" t="str">
        <f t="shared" si="436"/>
        <v>Repsdorph2555Seabrook</v>
      </c>
      <c r="H5612" t="s">
        <v>36468</v>
      </c>
      <c r="I5612" t="s">
        <v>27889</v>
      </c>
      <c r="J5612" t="str">
        <f t="shared" si="437"/>
        <v>E:\PropInv\MF</v>
      </c>
      <c r="K5612" s="103" t="str">
        <f>HYPERLINK("E:\PropInv\MF\Seabrook\Repsdorph Rd N_2555_Regatta Bay_Seabrook_15960","Repsdorph Rd N_2555_Regatta Bay_Seabrook_15960" )</f>
        <v>Repsdorph Rd N_2555_Regatta Bay_Seabrook_15960</v>
      </c>
      <c r="L5612" s="104" t="s">
        <v>22253</v>
      </c>
      <c r="M5612" s="103" t="str">
        <f t="shared" si="438"/>
        <v>http://oconnordata.com/mlink/modules/profile/index.cfm?action=profile&amp;prop_id=15960</v>
      </c>
      <c r="N5612" s="1">
        <f t="shared" si="439"/>
        <v>15960</v>
      </c>
    </row>
    <row r="5613" spans="1:14" x14ac:dyDescent="0.3">
      <c r="A5613" s="1">
        <v>15961</v>
      </c>
      <c r="B5613" s="7" t="s">
        <v>4528</v>
      </c>
      <c r="C5613" s="12">
        <v>1025</v>
      </c>
      <c r="D5613" s="7" t="s">
        <v>8444</v>
      </c>
      <c r="E5613" s="13" t="s">
        <v>3428</v>
      </c>
      <c r="F5613" t="str">
        <f t="shared" si="435"/>
        <v>Dulles</v>
      </c>
      <c r="G5613" t="str">
        <f t="shared" si="436"/>
        <v>Dulles1025Stafford</v>
      </c>
      <c r="H5613" t="s">
        <v>36469</v>
      </c>
      <c r="I5613" t="s">
        <v>27890</v>
      </c>
      <c r="J5613" t="str">
        <f t="shared" si="437"/>
        <v>E:\PropInv\MF</v>
      </c>
      <c r="K5613" s="103" t="str">
        <f>HYPERLINK("E:\PropInv\MF\Stafford\Dulles Ave_1025_Shadowbrooke_Stafford_15961","Dulles Ave_1025_Shadowbrooke_Stafford_15961" )</f>
        <v>Dulles Ave_1025_Shadowbrooke_Stafford_15961</v>
      </c>
      <c r="L5613" s="104" t="s">
        <v>22253</v>
      </c>
      <c r="M5613" s="103" t="str">
        <f t="shared" si="438"/>
        <v>http://oconnordata.com/mlink/modules/profile/index.cfm?action=profile&amp;prop_id=15961</v>
      </c>
      <c r="N5613" s="1">
        <f t="shared" si="439"/>
        <v>15961</v>
      </c>
    </row>
    <row r="5614" spans="1:14" x14ac:dyDescent="0.3">
      <c r="A5614" s="1">
        <v>15962</v>
      </c>
      <c r="B5614" s="7" t="s">
        <v>8445</v>
      </c>
      <c r="C5614" s="12">
        <v>10000</v>
      </c>
      <c r="D5614" s="7" t="s">
        <v>8446</v>
      </c>
      <c r="E5614" s="13" t="s">
        <v>1657</v>
      </c>
      <c r="F5614" t="str">
        <f t="shared" si="435"/>
        <v>Eldridge</v>
      </c>
      <c r="G5614" t="str">
        <f t="shared" si="436"/>
        <v>Eldridge10000Houston</v>
      </c>
      <c r="H5614" t="s">
        <v>36470</v>
      </c>
      <c r="I5614" t="s">
        <v>27891</v>
      </c>
      <c r="J5614" t="str">
        <f t="shared" si="437"/>
        <v>E:\PropInv\MF</v>
      </c>
      <c r="K5614" s="103" t="str">
        <f>HYPERLINK("E:\PropInv\MF\Houston\Eldridge Pkwy N_10000_The Trails at Eldridge Parkway_Houston_15962","Eldridge Pkwy N_10000_The Trails at Eldridge Parkway_Houston_15962" )</f>
        <v>Eldridge Pkwy N_10000_The Trails at Eldridge Parkway_Houston_15962</v>
      </c>
      <c r="L5614" s="104" t="s">
        <v>22253</v>
      </c>
      <c r="M5614" s="103" t="str">
        <f t="shared" si="438"/>
        <v>http://oconnordata.com/mlink/modules/profile/index.cfm?action=profile&amp;prop_id=15962</v>
      </c>
      <c r="N5614" s="1">
        <f t="shared" si="439"/>
        <v>15962</v>
      </c>
    </row>
    <row r="5615" spans="1:14" x14ac:dyDescent="0.3">
      <c r="A5615" s="1">
        <v>15963</v>
      </c>
      <c r="B5615" s="7" t="s">
        <v>8447</v>
      </c>
      <c r="C5615" s="12">
        <v>535</v>
      </c>
      <c r="D5615" s="7" t="s">
        <v>8448</v>
      </c>
      <c r="E5615" s="13" t="s">
        <v>3328</v>
      </c>
      <c r="F5615" t="str">
        <f t="shared" si="435"/>
        <v>Buckingham</v>
      </c>
      <c r="G5615" t="str">
        <f t="shared" si="436"/>
        <v>Buckingham535Richardson</v>
      </c>
      <c r="H5615" t="s">
        <v>36471</v>
      </c>
      <c r="I5615" t="s">
        <v>27892</v>
      </c>
      <c r="J5615" t="str">
        <f t="shared" si="437"/>
        <v>E:\PropInv\MF</v>
      </c>
      <c r="K5615" s="103" t="str">
        <f>HYPERLINK("E:\PropInv\MF\Richardson\Buckingham E_535_The Bristol at Buckingham_Richardson_15963","Buckingham E_535_The Bristol at Buckingham_Richardson_15963" )</f>
        <v>Buckingham E_535_The Bristol at Buckingham_Richardson_15963</v>
      </c>
      <c r="L5615" s="104" t="s">
        <v>22253</v>
      </c>
      <c r="M5615" s="103" t="str">
        <f t="shared" si="438"/>
        <v>http://oconnordata.com/mlink/modules/profile/index.cfm?action=profile&amp;prop_id=15963</v>
      </c>
      <c r="N5615" s="1">
        <f t="shared" si="439"/>
        <v>15963</v>
      </c>
    </row>
    <row r="5616" spans="1:14" x14ac:dyDescent="0.3">
      <c r="A5616" s="1">
        <v>15964</v>
      </c>
      <c r="B5616" s="7" t="s">
        <v>93</v>
      </c>
      <c r="C5616" s="12">
        <v>7201</v>
      </c>
      <c r="D5616" s="7" t="s">
        <v>8449</v>
      </c>
      <c r="E5616" s="13" t="s">
        <v>7</v>
      </c>
      <c r="F5616" t="str">
        <f t="shared" si="435"/>
        <v>Congress</v>
      </c>
      <c r="G5616" t="str">
        <f t="shared" si="436"/>
        <v>Congress7201Austin</v>
      </c>
      <c r="H5616" t="s">
        <v>36472</v>
      </c>
      <c r="I5616" t="s">
        <v>27893</v>
      </c>
      <c r="J5616" t="str">
        <f t="shared" si="437"/>
        <v>E:\PropInv\MF</v>
      </c>
      <c r="K5616" s="103" t="str">
        <f>HYPERLINK("E:\PropInv\MF\Austin\Congress Ave S_7201_Circle S AH_Austin_15964","Congress Ave S_7201_Circle S AH_Austin_15964" )</f>
        <v>Congress Ave S_7201_Circle S AH_Austin_15964</v>
      </c>
      <c r="L5616" s="104" t="s">
        <v>22253</v>
      </c>
      <c r="M5616" s="103" t="str">
        <f t="shared" si="438"/>
        <v>http://oconnordata.com/mlink/modules/profile/index.cfm?action=profile&amp;prop_id=15964</v>
      </c>
      <c r="N5616" s="1">
        <f t="shared" si="439"/>
        <v>15964</v>
      </c>
    </row>
    <row r="5617" spans="1:14" x14ac:dyDescent="0.3">
      <c r="A5617" s="1">
        <v>15965</v>
      </c>
      <c r="B5617" s="7" t="s">
        <v>2767</v>
      </c>
      <c r="C5617" s="12">
        <v>11212</v>
      </c>
      <c r="D5617" s="7" t="s">
        <v>8450</v>
      </c>
      <c r="E5617" s="13" t="s">
        <v>1657</v>
      </c>
      <c r="F5617" t="str">
        <f t="shared" si="435"/>
        <v>Westpark</v>
      </c>
      <c r="G5617" t="str">
        <f t="shared" si="436"/>
        <v>Westpark11212Houston</v>
      </c>
      <c r="H5617" t="s">
        <v>36473</v>
      </c>
      <c r="I5617" t="s">
        <v>27894</v>
      </c>
      <c r="J5617" t="str">
        <f t="shared" si="437"/>
        <v>E:\PropInv\MF</v>
      </c>
      <c r="K5617" s="103" t="str">
        <f>HYPERLINK("E:\PropInv\MF\Houston\Westpark Dr_11212_Alta Royal Oaks_Houston_15965","Westpark Dr_11212_Alta Royal Oaks_Houston_15965" )</f>
        <v>Westpark Dr_11212_Alta Royal Oaks_Houston_15965</v>
      </c>
      <c r="L5617" s="104" t="s">
        <v>22253</v>
      </c>
      <c r="M5617" s="103" t="str">
        <f t="shared" si="438"/>
        <v>http://oconnordata.com/mlink/modules/profile/index.cfm?action=profile&amp;prop_id=15965</v>
      </c>
      <c r="N5617" s="1">
        <f t="shared" si="439"/>
        <v>15965</v>
      </c>
    </row>
    <row r="5618" spans="1:14" x14ac:dyDescent="0.3">
      <c r="A5618" s="1">
        <v>15966</v>
      </c>
      <c r="B5618" s="7" t="s">
        <v>8451</v>
      </c>
      <c r="C5618" s="12">
        <v>914</v>
      </c>
      <c r="D5618" s="7" t="s">
        <v>8452</v>
      </c>
      <c r="E5618" s="13" t="s">
        <v>1657</v>
      </c>
      <c r="F5618" t="str">
        <f t="shared" si="435"/>
        <v>Dallas</v>
      </c>
      <c r="G5618" t="str">
        <f t="shared" si="436"/>
        <v>Dallas914Houston</v>
      </c>
      <c r="H5618" t="s">
        <v>36474</v>
      </c>
      <c r="I5618" t="s">
        <v>27895</v>
      </c>
      <c r="J5618" t="str">
        <f t="shared" si="437"/>
        <v>E:\PropInv\MF</v>
      </c>
      <c r="K5618" s="103" t="str">
        <f>HYPERLINK("E:\PropInv\MF\Houston\Dallas St_914_Humble Tower_Houston_15966","Dallas St_914_Humble Tower_Houston_15966" )</f>
        <v>Dallas St_914_Humble Tower_Houston_15966</v>
      </c>
      <c r="L5618" s="104" t="s">
        <v>22253</v>
      </c>
      <c r="M5618" s="103" t="str">
        <f t="shared" si="438"/>
        <v>http://oconnordata.com/mlink/modules/profile/index.cfm?action=profile&amp;prop_id=15966</v>
      </c>
      <c r="N5618" s="1">
        <f t="shared" si="439"/>
        <v>15966</v>
      </c>
    </row>
    <row r="5619" spans="1:14" x14ac:dyDescent="0.3">
      <c r="A5619" s="1">
        <v>15967</v>
      </c>
      <c r="B5619" s="7" t="s">
        <v>8453</v>
      </c>
      <c r="C5619" s="12">
        <v>3135</v>
      </c>
      <c r="D5619" s="7" t="s">
        <v>8454</v>
      </c>
      <c r="E5619" s="13" t="s">
        <v>842</v>
      </c>
      <c r="F5619" t="str">
        <f t="shared" si="435"/>
        <v>Roosevelt</v>
      </c>
      <c r="G5619" t="str">
        <f t="shared" si="436"/>
        <v>Roosevelt3135San Antonio</v>
      </c>
      <c r="H5619" t="s">
        <v>36475</v>
      </c>
      <c r="I5619" t="s">
        <v>27896</v>
      </c>
      <c r="J5619" t="str">
        <f t="shared" si="437"/>
        <v>E:\PropInv\MF</v>
      </c>
      <c r="K5619" s="103" t="str">
        <f>HYPERLINK("E:\PropInv\MF\San Antonio\Roosevelt Ave_3135_La Posada Del Rey_San Antonio_15967","Roosevelt Ave_3135_La Posada Del Rey_San Antonio_15967" )</f>
        <v>Roosevelt Ave_3135_La Posada Del Rey_San Antonio_15967</v>
      </c>
      <c r="L5619" s="104" t="s">
        <v>22253</v>
      </c>
      <c r="M5619" s="103" t="str">
        <f t="shared" si="438"/>
        <v>http://oconnordata.com/mlink/modules/profile/index.cfm?action=profile&amp;prop_id=15967</v>
      </c>
      <c r="N5619" s="1">
        <f t="shared" si="439"/>
        <v>15967</v>
      </c>
    </row>
    <row r="5620" spans="1:14" x14ac:dyDescent="0.3">
      <c r="A5620" s="1">
        <v>15968</v>
      </c>
      <c r="B5620" s="7" t="s">
        <v>1084</v>
      </c>
      <c r="C5620" s="12">
        <v>5803</v>
      </c>
      <c r="D5620" s="7" t="s">
        <v>8455</v>
      </c>
      <c r="E5620" s="13" t="s">
        <v>842</v>
      </c>
      <c r="F5620" t="str">
        <f t="shared" si="435"/>
        <v>Ingram</v>
      </c>
      <c r="G5620" t="str">
        <f t="shared" si="436"/>
        <v>Ingram5803San Antonio</v>
      </c>
      <c r="H5620" t="s">
        <v>36476</v>
      </c>
      <c r="I5620" t="s">
        <v>27897</v>
      </c>
      <c r="J5620" t="str">
        <f t="shared" si="437"/>
        <v>E:\PropInv\MF</v>
      </c>
      <c r="K5620" s="103" t="str">
        <f>HYPERLINK("E:\PropInv\MF\San Antonio\Ingram Rd_5803_Legacy at Science Park_San Antonio_15968","Ingram Rd_5803_Legacy at Science Park_San Antonio_15968" )</f>
        <v>Ingram Rd_5803_Legacy at Science Park_San Antonio_15968</v>
      </c>
      <c r="L5620" s="104" t="s">
        <v>22253</v>
      </c>
      <c r="M5620" s="103" t="str">
        <f t="shared" si="438"/>
        <v>http://oconnordata.com/mlink/modules/profile/index.cfm?action=profile&amp;prop_id=15968</v>
      </c>
      <c r="N5620" s="1">
        <f t="shared" si="439"/>
        <v>15968</v>
      </c>
    </row>
    <row r="5621" spans="1:14" x14ac:dyDescent="0.3">
      <c r="A5621" s="1">
        <v>15969</v>
      </c>
      <c r="B5621" s="7" t="s">
        <v>1484</v>
      </c>
      <c r="C5621" s="12">
        <v>13842</v>
      </c>
      <c r="D5621" s="7" t="s">
        <v>8456</v>
      </c>
      <c r="E5621" s="13" t="s">
        <v>842</v>
      </c>
      <c r="F5621" t="str">
        <f t="shared" si="435"/>
        <v>O'Connor</v>
      </c>
      <c r="G5621" t="str">
        <f t="shared" si="436"/>
        <v>O'Connor13842San Antonio</v>
      </c>
      <c r="H5621" t="s">
        <v>36477</v>
      </c>
      <c r="I5621" t="s">
        <v>27898</v>
      </c>
      <c r="J5621" t="str">
        <f t="shared" si="437"/>
        <v>E:\PropInv\MF</v>
      </c>
      <c r="K5621" s="103" t="str">
        <f>HYPERLINK("E:\PropInv\MF\San Antonio\O'Connor Rd_13842_Legacy on O'Connor Road_San Antonio_15969","O'Connor Rd_13842_Legacy on O'Connor Road_San Antonio_15969" )</f>
        <v>O'Connor Rd_13842_Legacy on O'Connor Road_San Antonio_15969</v>
      </c>
      <c r="L5621" s="104" t="s">
        <v>22253</v>
      </c>
      <c r="M5621" s="103" t="str">
        <f t="shared" si="438"/>
        <v>http://oconnordata.com/mlink/modules/profile/index.cfm?action=profile&amp;prop_id=15969</v>
      </c>
      <c r="N5621" s="1">
        <f t="shared" si="439"/>
        <v>15969</v>
      </c>
    </row>
    <row r="5622" spans="1:14" x14ac:dyDescent="0.3">
      <c r="A5622" s="1">
        <v>15970</v>
      </c>
      <c r="B5622" s="7" t="s">
        <v>5610</v>
      </c>
      <c r="C5622" s="12">
        <v>4230</v>
      </c>
      <c r="D5622" s="7" t="s">
        <v>8457</v>
      </c>
      <c r="E5622" s="13" t="s">
        <v>5060</v>
      </c>
      <c r="F5622" t="str">
        <f t="shared" si="435"/>
        <v>Fairway</v>
      </c>
      <c r="G5622" t="str">
        <f t="shared" si="436"/>
        <v>Fairway4230Carrollton</v>
      </c>
      <c r="H5622" t="s">
        <v>36478</v>
      </c>
      <c r="I5622" t="s">
        <v>27899</v>
      </c>
      <c r="J5622" t="str">
        <f t="shared" si="437"/>
        <v>E:\PropInv\MF</v>
      </c>
      <c r="K5622" s="103" t="str">
        <f>HYPERLINK("E:\PropInv\MF\Carrollton\Fairway Dr_4230_Cambria at Coyote Ridge_Carrollton_15970","Fairway Dr_4230_Cambria at Coyote Ridge_Carrollton_15970" )</f>
        <v>Fairway Dr_4230_Cambria at Coyote Ridge_Carrollton_15970</v>
      </c>
      <c r="L5622" s="104" t="s">
        <v>22253</v>
      </c>
      <c r="M5622" s="103" t="str">
        <f t="shared" si="438"/>
        <v>http://oconnordata.com/mlink/modules/profile/index.cfm?action=profile&amp;prop_id=15970</v>
      </c>
      <c r="N5622" s="1">
        <f t="shared" si="439"/>
        <v>15970</v>
      </c>
    </row>
    <row r="5623" spans="1:14" x14ac:dyDescent="0.3">
      <c r="A5623" s="1">
        <v>15971</v>
      </c>
      <c r="B5623" s="7" t="s">
        <v>5912</v>
      </c>
      <c r="C5623" s="12">
        <v>1531</v>
      </c>
      <c r="D5623" s="7" t="s">
        <v>8458</v>
      </c>
      <c r="E5623" s="13" t="s">
        <v>4996</v>
      </c>
      <c r="F5623" t="str">
        <f t="shared" si="435"/>
        <v>Duncanville</v>
      </c>
      <c r="G5623" t="str">
        <f t="shared" si="436"/>
        <v>Duncanville1531Dallas</v>
      </c>
      <c r="H5623" t="s">
        <v>36479</v>
      </c>
      <c r="I5623" t="s">
        <v>27900</v>
      </c>
      <c r="J5623" t="str">
        <f t="shared" si="437"/>
        <v>E:\PropInv\MF</v>
      </c>
      <c r="K5623" s="103" t="str">
        <f>HYPERLINK("E:\PropInv\MF\Dallas\Duncanville Rd_1531_Mariposa Villas_Dallas_15971","Duncanville Rd_1531_Mariposa Villas_Dallas_15971" )</f>
        <v>Duncanville Rd_1531_Mariposa Villas_Dallas_15971</v>
      </c>
      <c r="L5623" s="104" t="s">
        <v>22253</v>
      </c>
      <c r="M5623" s="103" t="str">
        <f t="shared" si="438"/>
        <v>http://oconnordata.com/mlink/modules/profile/index.cfm?action=profile&amp;prop_id=15971</v>
      </c>
      <c r="N5623" s="1">
        <f t="shared" si="439"/>
        <v>15971</v>
      </c>
    </row>
    <row r="5624" spans="1:14" x14ac:dyDescent="0.3">
      <c r="A5624" s="1">
        <v>15973</v>
      </c>
      <c r="B5624" s="7" t="s">
        <v>8459</v>
      </c>
      <c r="C5624" s="12">
        <v>10221</v>
      </c>
      <c r="D5624" s="7" t="s">
        <v>8460</v>
      </c>
      <c r="E5624" s="13" t="s">
        <v>1657</v>
      </c>
      <c r="F5624" t="str">
        <f t="shared" si="435"/>
        <v>Centrepark</v>
      </c>
      <c r="G5624" t="str">
        <f t="shared" si="436"/>
        <v>Centrepark10221Houston</v>
      </c>
      <c r="H5624" t="s">
        <v>36480</v>
      </c>
      <c r="I5624" t="s">
        <v>27901</v>
      </c>
      <c r="J5624" t="str">
        <f t="shared" si="437"/>
        <v>E:\PropInv\MF</v>
      </c>
      <c r="K5624" s="103" t="str">
        <f>HYPERLINK("E:\PropInv\MF\Houston\Centrepark Dr_10221_The Lodge at Spring Shadows I_Houston_15973","Centrepark Dr_10221_The Lodge at Spring Shadows I_Houston_15973" )</f>
        <v>Centrepark Dr_10221_The Lodge at Spring Shadows I_Houston_15973</v>
      </c>
      <c r="L5624" s="104" t="s">
        <v>22253</v>
      </c>
      <c r="M5624" s="103" t="str">
        <f t="shared" si="438"/>
        <v>http://oconnordata.com/mlink/modules/profile/index.cfm?action=profile&amp;prop_id=15973</v>
      </c>
      <c r="N5624" s="1">
        <f t="shared" si="439"/>
        <v>15973</v>
      </c>
    </row>
    <row r="5625" spans="1:14" x14ac:dyDescent="0.3">
      <c r="A5625" s="1">
        <v>15974</v>
      </c>
      <c r="B5625" s="7" t="s">
        <v>3906</v>
      </c>
      <c r="C5625" s="12">
        <v>4800</v>
      </c>
      <c r="D5625" s="7" t="s">
        <v>8461</v>
      </c>
      <c r="E5625" s="13" t="s">
        <v>1657</v>
      </c>
      <c r="F5625" t="str">
        <f t="shared" si="435"/>
        <v>Allendale</v>
      </c>
      <c r="G5625" t="str">
        <f t="shared" si="436"/>
        <v>Allendale4800Houston</v>
      </c>
      <c r="H5625" t="s">
        <v>36481</v>
      </c>
      <c r="I5625" t="s">
        <v>27902</v>
      </c>
      <c r="J5625" t="str">
        <f t="shared" si="437"/>
        <v>E:\PropInv\MF</v>
      </c>
      <c r="K5625" s="103" t="str">
        <f>HYPERLINK("E:\PropInv\MF\Houston\Allendale_4800_Concord at Allendale_Houston_15974","Allendale_4800_Concord at Allendale_Houston_15974" )</f>
        <v>Allendale_4800_Concord at Allendale_Houston_15974</v>
      </c>
      <c r="L5625" s="104" t="s">
        <v>22253</v>
      </c>
      <c r="M5625" s="103" t="str">
        <f t="shared" si="438"/>
        <v>http://oconnordata.com/mlink/modules/profile/index.cfm?action=profile&amp;prop_id=15974</v>
      </c>
      <c r="N5625" s="1">
        <f t="shared" si="439"/>
        <v>15974</v>
      </c>
    </row>
    <row r="5626" spans="1:14" x14ac:dyDescent="0.3">
      <c r="A5626" s="1">
        <v>15985</v>
      </c>
      <c r="B5626" s="7" t="s">
        <v>283</v>
      </c>
      <c r="C5626" s="12">
        <v>701</v>
      </c>
      <c r="D5626" s="7" t="s">
        <v>8462</v>
      </c>
      <c r="E5626" s="13" t="s">
        <v>7</v>
      </c>
      <c r="F5626" t="str">
        <f t="shared" si="435"/>
        <v>Woodward</v>
      </c>
      <c r="G5626" t="str">
        <f t="shared" si="436"/>
        <v>Woodward701Austin</v>
      </c>
      <c r="H5626" t="s">
        <v>36482</v>
      </c>
      <c r="I5626" t="s">
        <v>27903</v>
      </c>
      <c r="J5626" t="str">
        <f t="shared" si="437"/>
        <v>E:\PropInv\MF</v>
      </c>
      <c r="K5626" s="103" t="str">
        <f>HYPERLINK("E:\PropInv\MF\Austin\Woodward St_701_Blunn Creek_Austin_15985","Woodward St_701_Blunn Creek_Austin_15985" )</f>
        <v>Woodward St_701_Blunn Creek_Austin_15985</v>
      </c>
      <c r="L5626" s="104" t="s">
        <v>22253</v>
      </c>
      <c r="M5626" s="103" t="str">
        <f t="shared" si="438"/>
        <v>http://oconnordata.com/mlink/modules/profile/index.cfm?action=profile&amp;prop_id=15985</v>
      </c>
      <c r="N5626" s="1">
        <f t="shared" si="439"/>
        <v>15985</v>
      </c>
    </row>
    <row r="5627" spans="1:14" x14ac:dyDescent="0.3">
      <c r="A5627" s="1">
        <v>15986</v>
      </c>
      <c r="B5627" s="7" t="s">
        <v>8463</v>
      </c>
      <c r="C5627" s="12">
        <v>1601</v>
      </c>
      <c r="D5627" s="7" t="s">
        <v>8464</v>
      </c>
      <c r="E5627" s="13" t="s">
        <v>7</v>
      </c>
      <c r="F5627" t="str">
        <f t="shared" si="435"/>
        <v>Montopolis</v>
      </c>
      <c r="G5627" t="str">
        <f t="shared" si="436"/>
        <v>Montopolis1601Austin</v>
      </c>
      <c r="H5627" t="s">
        <v>36483</v>
      </c>
      <c r="I5627" t="s">
        <v>27904</v>
      </c>
      <c r="J5627" t="str">
        <f t="shared" si="437"/>
        <v>E:\PropInv\MF</v>
      </c>
      <c r="K5627" s="103" t="str">
        <f>HYPERLINK("E:\PropInv\MF\Austin\Montopolis Dr_1601_Riverside Meadows_Austin_15986","Montopolis Dr_1601_Riverside Meadows_Austin_15986" )</f>
        <v>Montopolis Dr_1601_Riverside Meadows_Austin_15986</v>
      </c>
      <c r="L5627" s="104" t="s">
        <v>22253</v>
      </c>
      <c r="M5627" s="103" t="str">
        <f t="shared" si="438"/>
        <v>http://oconnordata.com/mlink/modules/profile/index.cfm?action=profile&amp;prop_id=15986</v>
      </c>
      <c r="N5627" s="1">
        <f t="shared" si="439"/>
        <v>15986</v>
      </c>
    </row>
    <row r="5628" spans="1:14" x14ac:dyDescent="0.3">
      <c r="A5628" s="1">
        <v>15987</v>
      </c>
      <c r="B5628" s="7" t="s">
        <v>8465</v>
      </c>
      <c r="C5628" s="12">
        <v>2700</v>
      </c>
      <c r="D5628" s="7" t="s">
        <v>8466</v>
      </c>
      <c r="E5628" s="13" t="s">
        <v>18</v>
      </c>
      <c r="F5628" t="str">
        <f t="shared" si="435"/>
        <v>1460</v>
      </c>
      <c r="G5628" t="str">
        <f t="shared" si="436"/>
        <v>14602700Round Rock</v>
      </c>
      <c r="H5628" t="s">
        <v>36484</v>
      </c>
      <c r="I5628" t="s">
        <v>27905</v>
      </c>
      <c r="J5628" t="str">
        <f t="shared" si="437"/>
        <v>E:\PropInv\MF</v>
      </c>
      <c r="K5628" s="103" t="str">
        <f>HYPERLINK("E:\PropInv\MF\Round Rock\1460 FM_2700_Chandler Creek_Round Rock_15987","1460 FM_2700_Chandler Creek_Round Rock_15987" )</f>
        <v>1460 FM_2700_Chandler Creek_Round Rock_15987</v>
      </c>
      <c r="L5628" s="104" t="s">
        <v>22253</v>
      </c>
      <c r="M5628" s="103" t="str">
        <f t="shared" si="438"/>
        <v>http://oconnordata.com/mlink/modules/profile/index.cfm?action=profile&amp;prop_id=15987</v>
      </c>
      <c r="N5628" s="1">
        <f t="shared" si="439"/>
        <v>15987</v>
      </c>
    </row>
    <row r="5629" spans="1:14" x14ac:dyDescent="0.3">
      <c r="A5629" s="1">
        <v>15988</v>
      </c>
      <c r="B5629" s="7" t="s">
        <v>5166</v>
      </c>
      <c r="C5629" s="12">
        <v>404</v>
      </c>
      <c r="D5629" s="7" t="s">
        <v>8467</v>
      </c>
      <c r="E5629" s="13" t="s">
        <v>7</v>
      </c>
      <c r="F5629" t="str">
        <f t="shared" si="435"/>
        <v>Rio</v>
      </c>
      <c r="G5629" t="str">
        <f t="shared" si="436"/>
        <v>Rio404Austin</v>
      </c>
      <c r="H5629" t="s">
        <v>36485</v>
      </c>
      <c r="I5629" t="s">
        <v>27906</v>
      </c>
      <c r="J5629" t="str">
        <f t="shared" si="437"/>
        <v>E:\PropInv\MF</v>
      </c>
      <c r="K5629" s="103" t="str">
        <f>HYPERLINK("E:\PropInv\MF\Austin\Rio Grande_404_404 Rio Grande at West 5th_Austin_15988","Rio Grande_404_404 Rio Grande at West 5th_Austin_15988" )</f>
        <v>Rio Grande_404_404 Rio Grande at West 5th_Austin_15988</v>
      </c>
      <c r="L5629" s="104" t="s">
        <v>22253</v>
      </c>
      <c r="M5629" s="103" t="str">
        <f t="shared" si="438"/>
        <v>http://oconnordata.com/mlink/modules/profile/index.cfm?action=profile&amp;prop_id=15988</v>
      </c>
      <c r="N5629" s="1">
        <f t="shared" si="439"/>
        <v>15988</v>
      </c>
    </row>
    <row r="5630" spans="1:14" x14ac:dyDescent="0.3">
      <c r="A5630" s="1">
        <v>15989</v>
      </c>
      <c r="B5630" s="7" t="s">
        <v>5393</v>
      </c>
      <c r="C5630" s="12">
        <v>3324</v>
      </c>
      <c r="D5630" s="7" t="s">
        <v>8468</v>
      </c>
      <c r="E5630" s="13" t="s">
        <v>4996</v>
      </c>
      <c r="F5630" t="str">
        <f t="shared" si="435"/>
        <v>McKinney</v>
      </c>
      <c r="G5630" t="str">
        <f t="shared" si="436"/>
        <v>McKinney3324Dallas</v>
      </c>
      <c r="H5630" t="s">
        <v>36486</v>
      </c>
      <c r="I5630" t="s">
        <v>27907</v>
      </c>
      <c r="J5630" t="str">
        <f t="shared" si="437"/>
        <v>E:\PropInv\MF</v>
      </c>
      <c r="K5630" s="103" t="str">
        <f>HYPERLINK("E:\PropInv\MF\Dallas\McKinney Ave_3324_The Marquis on McKinney_Dallas_15989","McKinney Ave_3324_The Marquis on McKinney_Dallas_15989" )</f>
        <v>McKinney Ave_3324_The Marquis on McKinney_Dallas_15989</v>
      </c>
      <c r="L5630" s="104" t="s">
        <v>22253</v>
      </c>
      <c r="M5630" s="103" t="str">
        <f t="shared" si="438"/>
        <v>http://oconnordata.com/mlink/modules/profile/index.cfm?action=profile&amp;prop_id=15989</v>
      </c>
      <c r="N5630" s="1">
        <f t="shared" si="439"/>
        <v>15989</v>
      </c>
    </row>
    <row r="5631" spans="1:14" x14ac:dyDescent="0.3">
      <c r="A5631" s="1">
        <v>15990</v>
      </c>
      <c r="B5631" s="7" t="s">
        <v>6484</v>
      </c>
      <c r="C5631" s="12">
        <v>325</v>
      </c>
      <c r="D5631" s="7" t="s">
        <v>8469</v>
      </c>
      <c r="E5631" s="13" t="s">
        <v>5140</v>
      </c>
      <c r="F5631" t="str">
        <f t="shared" si="435"/>
        <v>Jupiter</v>
      </c>
      <c r="G5631" t="str">
        <f t="shared" si="436"/>
        <v>Jupiter325Allen</v>
      </c>
      <c r="H5631" t="s">
        <v>36487</v>
      </c>
      <c r="I5631" t="s">
        <v>27908</v>
      </c>
      <c r="J5631" t="str">
        <f t="shared" si="437"/>
        <v>E:\PropInv\MF</v>
      </c>
      <c r="K5631" s="103" t="str">
        <f>HYPERLINK("E:\PropInv\MF\Allen\Jupiter Rd S_325_Mission Eagle Pointe_Allen_15990","Jupiter Rd S_325_Mission Eagle Pointe_Allen_15990" )</f>
        <v>Jupiter Rd S_325_Mission Eagle Pointe_Allen_15990</v>
      </c>
      <c r="L5631" s="104" t="s">
        <v>22253</v>
      </c>
      <c r="M5631" s="103" t="str">
        <f t="shared" si="438"/>
        <v>http://oconnordata.com/mlink/modules/profile/index.cfm?action=profile&amp;prop_id=15990</v>
      </c>
      <c r="N5631" s="1">
        <f t="shared" si="439"/>
        <v>15990</v>
      </c>
    </row>
    <row r="5632" spans="1:14" x14ac:dyDescent="0.3">
      <c r="A5632" s="1">
        <v>15991</v>
      </c>
      <c r="B5632" s="7" t="s">
        <v>5124</v>
      </c>
      <c r="C5632" s="12">
        <v>1910</v>
      </c>
      <c r="D5632" s="7" t="s">
        <v>8470</v>
      </c>
      <c r="E5632" s="13" t="s">
        <v>4996</v>
      </c>
      <c r="F5632" t="str">
        <f t="shared" si="435"/>
        <v>Bennett</v>
      </c>
      <c r="G5632" t="str">
        <f t="shared" si="436"/>
        <v>Bennett1910Dallas</v>
      </c>
      <c r="H5632" t="s">
        <v>36488</v>
      </c>
      <c r="I5632" t="s">
        <v>27909</v>
      </c>
      <c r="J5632" t="str">
        <f t="shared" si="437"/>
        <v>E:\PropInv\MF</v>
      </c>
      <c r="K5632" s="103" t="str">
        <f>HYPERLINK("E:\PropInv\MF\Dallas\Bennett_1910_Bennett Lofts_Dallas_15991","Bennett_1910_Bennett Lofts_Dallas_15991" )</f>
        <v>Bennett_1910_Bennett Lofts_Dallas_15991</v>
      </c>
      <c r="L5632" s="104" t="s">
        <v>22253</v>
      </c>
      <c r="M5632" s="103" t="str">
        <f t="shared" si="438"/>
        <v>http://oconnordata.com/mlink/modules/profile/index.cfm?action=profile&amp;prop_id=15991</v>
      </c>
      <c r="N5632" s="1">
        <f t="shared" si="439"/>
        <v>15991</v>
      </c>
    </row>
    <row r="5633" spans="1:14" x14ac:dyDescent="0.3">
      <c r="A5633" s="1">
        <v>15992</v>
      </c>
      <c r="B5633" s="7" t="s">
        <v>8471</v>
      </c>
      <c r="C5633" s="12">
        <v>351</v>
      </c>
      <c r="D5633" s="7" t="s">
        <v>8472</v>
      </c>
      <c r="E5633" s="13" t="s">
        <v>5055</v>
      </c>
      <c r="F5633" t="str">
        <f t="shared" si="435"/>
        <v>121</v>
      </c>
      <c r="G5633" t="str">
        <f t="shared" si="436"/>
        <v>121351Lewisville</v>
      </c>
      <c r="H5633" t="s">
        <v>36489</v>
      </c>
      <c r="I5633" t="s">
        <v>27910</v>
      </c>
      <c r="J5633" t="str">
        <f t="shared" si="437"/>
        <v>E:\PropInv\MF</v>
      </c>
      <c r="K5633" s="103" t="str">
        <f>HYPERLINK("E:\PropInv\MF\Lewisville\121 SH Bypass_351_Villas of Vista Ridge_Lewisville_15992","121 SH Bypass_351_Villas of Vista Ridge_Lewisville_15992" )</f>
        <v>121 SH Bypass_351_Villas of Vista Ridge_Lewisville_15992</v>
      </c>
      <c r="L5633" s="104" t="s">
        <v>22253</v>
      </c>
      <c r="M5633" s="103" t="str">
        <f t="shared" si="438"/>
        <v>http://oconnordata.com/mlink/modules/profile/index.cfm?action=profile&amp;prop_id=15992</v>
      </c>
      <c r="N5633" s="1">
        <f t="shared" si="439"/>
        <v>15992</v>
      </c>
    </row>
    <row r="5634" spans="1:14" x14ac:dyDescent="0.3">
      <c r="A5634" s="1">
        <v>15995</v>
      </c>
      <c r="B5634" s="7" t="s">
        <v>6695</v>
      </c>
      <c r="C5634" s="12">
        <v>3500</v>
      </c>
      <c r="D5634" s="7" t="s">
        <v>8473</v>
      </c>
      <c r="E5634" s="13" t="s">
        <v>5097</v>
      </c>
      <c r="F5634" t="str">
        <f t="shared" ref="F5634:F5697" si="440">IFERROR(LEFT(B5634,FIND(" ",B5634)-1),B5634)</f>
        <v>McKinney</v>
      </c>
      <c r="G5634" t="str">
        <f t="shared" ref="G5634:G5697" si="441">F5634&amp;C5634&amp;E5634</f>
        <v>McKinney3500Denton</v>
      </c>
      <c r="H5634" t="s">
        <v>36490</v>
      </c>
      <c r="I5634" t="s">
        <v>27911</v>
      </c>
      <c r="J5634" t="str">
        <f t="shared" ref="J5634:J5697" si="442">IF(L5634="TX",Folder_Path,Folder_Path&amp;"\State_"&amp;L5634)</f>
        <v>E:\PropInv\MF</v>
      </c>
      <c r="K5634" s="103" t="str">
        <f>HYPERLINK("E:\PropInv\MF\Denton\McKinney E_3500_Rosemont at Pecan Creek_Denton_15995","McKinney E_3500_Rosemont at Pecan Creek_Denton_15995" )</f>
        <v>McKinney E_3500_Rosemont at Pecan Creek_Denton_15995</v>
      </c>
      <c r="L5634" s="104" t="s">
        <v>22253</v>
      </c>
      <c r="M5634" s="103" t="str">
        <f t="shared" ref="M5634:M5697" si="443">HYPERLINK("http://oconnordata.com/mlink/modules/profile/index.cfm?action=profile&amp;prop_id="&amp;A5634)</f>
        <v>http://oconnordata.com/mlink/modules/profile/index.cfm?action=profile&amp;prop_id=15995</v>
      </c>
      <c r="N5634" s="1">
        <f t="shared" ref="N5634:N5697" si="444">IF(LEN(A5634)=1,"0000"&amp;A5634,IF(LEN(A5634)=2,"000"&amp;A5634,IF(LEN(A5634)=3,"00"&amp;A5634,IF(LEN(A5634)=4,"0"&amp;A5634,IF(LEN(A5634)=5,IF(LEFT(A5634,1)="3",A5634+30000,A5634))))))</f>
        <v>15995</v>
      </c>
    </row>
    <row r="5635" spans="1:14" x14ac:dyDescent="0.3">
      <c r="A5635" s="1">
        <v>15996</v>
      </c>
      <c r="B5635" s="7" t="s">
        <v>8474</v>
      </c>
      <c r="C5635" s="12">
        <v>10950</v>
      </c>
      <c r="D5635" s="7" t="s">
        <v>8475</v>
      </c>
      <c r="E5635" s="13" t="s">
        <v>842</v>
      </c>
      <c r="F5635" t="str">
        <f t="shared" si="440"/>
        <v>Biering</v>
      </c>
      <c r="G5635" t="str">
        <f t="shared" si="441"/>
        <v>Biering10950San Antonio</v>
      </c>
      <c r="H5635" t="s">
        <v>36491</v>
      </c>
      <c r="I5635" t="s">
        <v>27912</v>
      </c>
      <c r="J5635" t="str">
        <f t="shared" si="442"/>
        <v>E:\PropInv\MF</v>
      </c>
      <c r="K5635" s="103" t="str">
        <f>HYPERLINK("E:\PropInv\MF\San Antonio\Biering Ln_10950_The Ridge at Bandera_San Antonio_15996","Biering Ln_10950_The Ridge at Bandera_San Antonio_15996" )</f>
        <v>Biering Ln_10950_The Ridge at Bandera_San Antonio_15996</v>
      </c>
      <c r="L5635" s="104" t="s">
        <v>22253</v>
      </c>
      <c r="M5635" s="103" t="str">
        <f t="shared" si="443"/>
        <v>http://oconnordata.com/mlink/modules/profile/index.cfm?action=profile&amp;prop_id=15996</v>
      </c>
      <c r="N5635" s="1">
        <f t="shared" si="444"/>
        <v>15996</v>
      </c>
    </row>
    <row r="5636" spans="1:14" x14ac:dyDescent="0.3">
      <c r="A5636" s="1">
        <v>15997</v>
      </c>
      <c r="B5636" s="7" t="s">
        <v>560</v>
      </c>
      <c r="C5636" s="12" t="s">
        <v>8476</v>
      </c>
      <c r="D5636" s="7" t="s">
        <v>8477</v>
      </c>
      <c r="E5636" s="13" t="s">
        <v>498</v>
      </c>
      <c r="F5636" t="str">
        <f t="shared" si="440"/>
        <v>Craddock</v>
      </c>
      <c r="G5636" t="str">
        <f t="shared" si="441"/>
        <v>Craddock101-109San Marcos</v>
      </c>
      <c r="H5636" t="s">
        <v>36492</v>
      </c>
      <c r="I5636" t="s">
        <v>27913</v>
      </c>
      <c r="J5636" t="str">
        <f t="shared" si="442"/>
        <v>E:\PropInv\MF</v>
      </c>
      <c r="K5636" s="103" t="str">
        <f>HYPERLINK("E:\PropInv\MF\San Marcos\Craddock Ave_101-109_Bishop's Square_San Marcos_15997","Craddock Ave_101-109_Bishop's Square_San Marcos_15997" )</f>
        <v>Craddock Ave_101-109_Bishop's Square_San Marcos_15997</v>
      </c>
      <c r="L5636" s="104" t="s">
        <v>22253</v>
      </c>
      <c r="M5636" s="103" t="str">
        <f t="shared" si="443"/>
        <v>http://oconnordata.com/mlink/modules/profile/index.cfm?action=profile&amp;prop_id=15997</v>
      </c>
      <c r="N5636" s="1">
        <f t="shared" si="444"/>
        <v>15997</v>
      </c>
    </row>
    <row r="5637" spans="1:14" x14ac:dyDescent="0.3">
      <c r="A5637" s="1">
        <v>16000</v>
      </c>
      <c r="B5637" s="21" t="s">
        <v>2093</v>
      </c>
      <c r="C5637" s="12">
        <v>13333</v>
      </c>
      <c r="D5637" s="7" t="s">
        <v>8478</v>
      </c>
      <c r="E5637" s="13" t="s">
        <v>1657</v>
      </c>
      <c r="F5637" t="str">
        <f t="shared" si="440"/>
        <v>W</v>
      </c>
      <c r="G5637" t="str">
        <f t="shared" si="441"/>
        <v>W13333Houston</v>
      </c>
      <c r="H5637" t="s">
        <v>36493</v>
      </c>
      <c r="I5637" t="s">
        <v>27914</v>
      </c>
      <c r="J5637" t="str">
        <f t="shared" si="442"/>
        <v>E:\PropInv\MF</v>
      </c>
      <c r="K5637" s="103" t="str">
        <f>HYPERLINK("E:\PropInv\MF\Houston\W Rd_13333_Copper Springs_Houston_16000","W Rd_13333_Copper Springs_Houston_16000" )</f>
        <v>W Rd_13333_Copper Springs_Houston_16000</v>
      </c>
      <c r="L5637" s="104" t="s">
        <v>22253</v>
      </c>
      <c r="M5637" s="103" t="str">
        <f t="shared" si="443"/>
        <v>http://oconnordata.com/mlink/modules/profile/index.cfm?action=profile&amp;prop_id=16000</v>
      </c>
      <c r="N5637" s="1">
        <f t="shared" si="444"/>
        <v>16000</v>
      </c>
    </row>
    <row r="5638" spans="1:14" x14ac:dyDescent="0.3">
      <c r="A5638" s="1">
        <v>16001</v>
      </c>
      <c r="B5638" s="7" t="s">
        <v>8479</v>
      </c>
      <c r="C5638" s="12">
        <v>2727</v>
      </c>
      <c r="D5638" s="7" t="s">
        <v>8480</v>
      </c>
      <c r="E5638" s="13" t="s">
        <v>4996</v>
      </c>
      <c r="F5638" t="str">
        <f t="shared" si="440"/>
        <v>Jefferson</v>
      </c>
      <c r="G5638" t="str">
        <f t="shared" si="441"/>
        <v>Jefferson2727Dallas</v>
      </c>
      <c r="H5638" t="s">
        <v>36494</v>
      </c>
      <c r="I5638" t="s">
        <v>27915</v>
      </c>
      <c r="J5638" t="str">
        <f t="shared" si="442"/>
        <v>E:\PropInv\MF</v>
      </c>
      <c r="K5638" s="103" t="str">
        <f>HYPERLINK("E:\PropInv\MF\Dallas\Jefferson Blvd W_2727_Cantera Crossing_Dallas_16001","Jefferson Blvd W_2727_Cantera Crossing_Dallas_16001" )</f>
        <v>Jefferson Blvd W_2727_Cantera Crossing_Dallas_16001</v>
      </c>
      <c r="L5638" s="104" t="s">
        <v>22253</v>
      </c>
      <c r="M5638" s="103" t="str">
        <f t="shared" si="443"/>
        <v>http://oconnordata.com/mlink/modules/profile/index.cfm?action=profile&amp;prop_id=16001</v>
      </c>
      <c r="N5638" s="1">
        <f t="shared" si="444"/>
        <v>16001</v>
      </c>
    </row>
    <row r="5639" spans="1:14" x14ac:dyDescent="0.3">
      <c r="A5639" s="1">
        <v>16002</v>
      </c>
      <c r="B5639" s="7" t="s">
        <v>4535</v>
      </c>
      <c r="C5639" s="12">
        <v>16900</v>
      </c>
      <c r="D5639" s="7" t="s">
        <v>8481</v>
      </c>
      <c r="E5639" s="13" t="s">
        <v>4484</v>
      </c>
      <c r="F5639" t="str">
        <f t="shared" si="440"/>
        <v>Lexington</v>
      </c>
      <c r="G5639" t="str">
        <f t="shared" si="441"/>
        <v>Lexington16900Sugar Land</v>
      </c>
      <c r="H5639" t="s">
        <v>36495</v>
      </c>
      <c r="I5639" t="s">
        <v>27916</v>
      </c>
      <c r="J5639" t="str">
        <f t="shared" si="442"/>
        <v>E:\PropInv\MF</v>
      </c>
      <c r="K5639" s="103" t="str">
        <f>HYPERLINK("E:\PropInv\MF\Sugar Land\Lexington Blvd_16900_The Terrace at First Colony_Sugar Land_16002","Lexington Blvd_16900_The Terrace at First Colony_Sugar Land_16002" )</f>
        <v>Lexington Blvd_16900_The Terrace at First Colony_Sugar Land_16002</v>
      </c>
      <c r="L5639" s="104" t="s">
        <v>22253</v>
      </c>
      <c r="M5639" s="103" t="str">
        <f t="shared" si="443"/>
        <v>http://oconnordata.com/mlink/modules/profile/index.cfm?action=profile&amp;prop_id=16002</v>
      </c>
      <c r="N5639" s="1">
        <f t="shared" si="444"/>
        <v>16002</v>
      </c>
    </row>
    <row r="5640" spans="1:14" x14ac:dyDescent="0.3">
      <c r="A5640" s="1">
        <v>16003</v>
      </c>
      <c r="B5640" s="7" t="s">
        <v>7489</v>
      </c>
      <c r="C5640" s="12">
        <v>2755</v>
      </c>
      <c r="D5640" s="7" t="s">
        <v>1241</v>
      </c>
      <c r="E5640" s="13" t="s">
        <v>4996</v>
      </c>
      <c r="F5640" t="str">
        <f t="shared" si="440"/>
        <v>Ledbetter</v>
      </c>
      <c r="G5640" t="str">
        <f t="shared" si="441"/>
        <v>Ledbetter2755Dallas</v>
      </c>
      <c r="H5640" t="s">
        <v>36496</v>
      </c>
      <c r="I5640" t="s">
        <v>27917</v>
      </c>
      <c r="J5640" t="str">
        <f t="shared" si="442"/>
        <v>E:\PropInv\MF</v>
      </c>
      <c r="K5640" s="103" t="str">
        <f>HYPERLINK("E:\PropInv\MF\Dallas\Ledbetter Dr E_2755_Oasis_Dallas_16003","Ledbetter Dr E_2755_Oasis_Dallas_16003" )</f>
        <v>Ledbetter Dr E_2755_Oasis_Dallas_16003</v>
      </c>
      <c r="L5640" s="104" t="s">
        <v>22253</v>
      </c>
      <c r="M5640" s="103" t="str">
        <f t="shared" si="443"/>
        <v>http://oconnordata.com/mlink/modules/profile/index.cfm?action=profile&amp;prop_id=16003</v>
      </c>
      <c r="N5640" s="1">
        <f t="shared" si="444"/>
        <v>16003</v>
      </c>
    </row>
    <row r="5641" spans="1:14" x14ac:dyDescent="0.3">
      <c r="A5641" s="1">
        <v>16004</v>
      </c>
      <c r="B5641" s="7" t="s">
        <v>7489</v>
      </c>
      <c r="C5641" s="12">
        <v>2805</v>
      </c>
      <c r="D5641" s="7" t="s">
        <v>8482</v>
      </c>
      <c r="E5641" s="13" t="s">
        <v>4996</v>
      </c>
      <c r="F5641" t="str">
        <f t="shared" si="440"/>
        <v>Ledbetter</v>
      </c>
      <c r="G5641" t="str">
        <f t="shared" si="441"/>
        <v>Ledbetter2805Dallas</v>
      </c>
      <c r="H5641" t="s">
        <v>36497</v>
      </c>
      <c r="I5641" t="s">
        <v>27918</v>
      </c>
      <c r="J5641" t="str">
        <f t="shared" si="442"/>
        <v>E:\PropInv\MF</v>
      </c>
      <c r="K5641" s="103" t="str">
        <f>HYPERLINK("E:\PropInv\MF\Dallas\Ledbetter Dr E_2805_Oasis Gardens_Dallas_16004","Ledbetter Dr E_2805_Oasis Gardens_Dallas_16004" )</f>
        <v>Ledbetter Dr E_2805_Oasis Gardens_Dallas_16004</v>
      </c>
      <c r="L5641" s="104" t="s">
        <v>22253</v>
      </c>
      <c r="M5641" s="103" t="str">
        <f t="shared" si="443"/>
        <v>http://oconnordata.com/mlink/modules/profile/index.cfm?action=profile&amp;prop_id=16004</v>
      </c>
      <c r="N5641" s="1">
        <f t="shared" si="444"/>
        <v>16004</v>
      </c>
    </row>
    <row r="5642" spans="1:14" x14ac:dyDescent="0.3">
      <c r="A5642" s="1">
        <v>16005</v>
      </c>
      <c r="B5642" s="7" t="s">
        <v>6069</v>
      </c>
      <c r="C5642" s="12">
        <v>4804</v>
      </c>
      <c r="D5642" s="7" t="s">
        <v>2876</v>
      </c>
      <c r="E5642" s="13" t="s">
        <v>5088</v>
      </c>
      <c r="F5642" t="str">
        <f t="shared" si="440"/>
        <v>Via</v>
      </c>
      <c r="G5642" t="str">
        <f t="shared" si="441"/>
        <v>Via4804Mesquite</v>
      </c>
      <c r="H5642" t="s">
        <v>36498</v>
      </c>
      <c r="I5642" t="s">
        <v>18078</v>
      </c>
      <c r="J5642" t="str">
        <f t="shared" si="442"/>
        <v>E:\PropInv\MF</v>
      </c>
      <c r="K5642" s="103" t="str">
        <f>HYPERLINK("E:\PropInv\MF\Mesquite\Via Ventura_4804_Central Park_Mesquite_16005","Via Ventura_4804_Central Park_Mesquite_16005" )</f>
        <v>Via Ventura_4804_Central Park_Mesquite_16005</v>
      </c>
      <c r="L5642" s="104" t="s">
        <v>22253</v>
      </c>
      <c r="M5642" s="103" t="str">
        <f t="shared" si="443"/>
        <v>http://oconnordata.com/mlink/modules/profile/index.cfm?action=profile&amp;prop_id=16005</v>
      </c>
      <c r="N5642" s="1">
        <f t="shared" si="444"/>
        <v>16005</v>
      </c>
    </row>
    <row r="5643" spans="1:14" x14ac:dyDescent="0.3">
      <c r="A5643" s="1">
        <v>16006</v>
      </c>
      <c r="B5643" s="7" t="s">
        <v>8483</v>
      </c>
      <c r="C5643" s="12">
        <v>6300</v>
      </c>
      <c r="D5643" s="7" t="s">
        <v>8484</v>
      </c>
      <c r="E5643" s="13" t="s">
        <v>842</v>
      </c>
      <c r="F5643" t="str">
        <f t="shared" si="440"/>
        <v>Rue</v>
      </c>
      <c r="G5643" t="str">
        <f t="shared" si="441"/>
        <v>Rue6300San Antonio</v>
      </c>
      <c r="H5643" t="s">
        <v>36499</v>
      </c>
      <c r="I5643" t="s">
        <v>27919</v>
      </c>
      <c r="J5643" t="str">
        <f t="shared" si="442"/>
        <v>E:\PropInv\MF</v>
      </c>
      <c r="K5643" s="103" t="str">
        <f>HYPERLINK("E:\PropInv\MF\San Antonio\Rue Marielyne St_6300_Sierra Royale_San Antonio_16006","Rue Marielyne St_6300_Sierra Royale_San Antonio_16006" )</f>
        <v>Rue Marielyne St_6300_Sierra Royale_San Antonio_16006</v>
      </c>
      <c r="L5643" s="104" t="s">
        <v>22253</v>
      </c>
      <c r="M5643" s="103" t="str">
        <f t="shared" si="443"/>
        <v>http://oconnordata.com/mlink/modules/profile/index.cfm?action=profile&amp;prop_id=16006</v>
      </c>
      <c r="N5643" s="1">
        <f t="shared" si="444"/>
        <v>16006</v>
      </c>
    </row>
    <row r="5644" spans="1:14" x14ac:dyDescent="0.3">
      <c r="A5644" s="1">
        <v>16007</v>
      </c>
      <c r="B5644" s="7" t="s">
        <v>8485</v>
      </c>
      <c r="C5644" s="12">
        <v>8401</v>
      </c>
      <c r="D5644" s="7" t="s">
        <v>8486</v>
      </c>
      <c r="E5644" s="13" t="s">
        <v>7120</v>
      </c>
      <c r="F5644" t="str">
        <f t="shared" si="440"/>
        <v>Tumbleweed</v>
      </c>
      <c r="G5644" t="str">
        <f t="shared" si="441"/>
        <v>Tumbleweed8401White Settlement</v>
      </c>
      <c r="H5644" t="s">
        <v>36500</v>
      </c>
      <c r="I5644" t="s">
        <v>27920</v>
      </c>
      <c r="J5644" t="str">
        <f t="shared" si="442"/>
        <v>E:\PropInv\MF</v>
      </c>
      <c r="K5644" s="103" t="str">
        <f>HYPERLINK("E:\PropInv\MF\White Settlement\Tumbleweed Trl_8401_Oak Timbers I_White Settlement_16007","Tumbleweed Trl_8401_Oak Timbers I_White Settlement_16007" )</f>
        <v>Tumbleweed Trl_8401_Oak Timbers I_White Settlement_16007</v>
      </c>
      <c r="L5644" s="104" t="s">
        <v>22253</v>
      </c>
      <c r="M5644" s="103" t="str">
        <f t="shared" si="443"/>
        <v>http://oconnordata.com/mlink/modules/profile/index.cfm?action=profile&amp;prop_id=16007</v>
      </c>
      <c r="N5644" s="1">
        <f t="shared" si="444"/>
        <v>16007</v>
      </c>
    </row>
    <row r="5645" spans="1:14" x14ac:dyDescent="0.3">
      <c r="A5645" s="1">
        <v>16008</v>
      </c>
      <c r="B5645" s="7" t="s">
        <v>8487</v>
      </c>
      <c r="C5645" s="12">
        <v>5151</v>
      </c>
      <c r="D5645" s="7" t="s">
        <v>8488</v>
      </c>
      <c r="E5645" s="13" t="s">
        <v>1657</v>
      </c>
      <c r="F5645" t="str">
        <f t="shared" si="440"/>
        <v>Buffalo</v>
      </c>
      <c r="G5645" t="str">
        <f t="shared" si="441"/>
        <v>Buffalo5151Houston</v>
      </c>
      <c r="H5645" t="s">
        <v>36501</v>
      </c>
      <c r="I5645" t="s">
        <v>27921</v>
      </c>
      <c r="J5645" t="str">
        <f t="shared" si="442"/>
        <v>E:\PropInv\MF</v>
      </c>
      <c r="K5645" s="103" t="str">
        <f>HYPERLINK("E:\PropInv\MF\Houston\Buffalo Speedway_5151_The Terrace at West University_Houston_16008","Buffalo Speedway_5151_The Terrace at West University_Houston_16008" )</f>
        <v>Buffalo Speedway_5151_The Terrace at West University_Houston_16008</v>
      </c>
      <c r="L5645" s="104" t="s">
        <v>22253</v>
      </c>
      <c r="M5645" s="103" t="str">
        <f t="shared" si="443"/>
        <v>http://oconnordata.com/mlink/modules/profile/index.cfm?action=profile&amp;prop_id=16008</v>
      </c>
      <c r="N5645" s="1">
        <f t="shared" si="444"/>
        <v>16008</v>
      </c>
    </row>
    <row r="5646" spans="1:14" x14ac:dyDescent="0.3">
      <c r="A5646" s="1">
        <v>16009</v>
      </c>
      <c r="B5646" s="7" t="s">
        <v>2800</v>
      </c>
      <c r="C5646" s="12">
        <v>10965</v>
      </c>
      <c r="D5646" s="7" t="s">
        <v>8489</v>
      </c>
      <c r="E5646" s="13" t="s">
        <v>1657</v>
      </c>
      <c r="F5646" t="str">
        <f t="shared" si="440"/>
        <v>Gessner</v>
      </c>
      <c r="G5646" t="str">
        <f t="shared" si="441"/>
        <v>Gessner10965Houston</v>
      </c>
      <c r="H5646" t="s">
        <v>36502</v>
      </c>
      <c r="I5646" t="s">
        <v>27922</v>
      </c>
      <c r="J5646" t="str">
        <f t="shared" si="442"/>
        <v>E:\PropInv\MF</v>
      </c>
      <c r="K5646" s="103" t="str">
        <f>HYPERLINK("E:\PropInv\MF\Houston\Gessner S_10965_Concord at Williamcrest_Houston_16009","Gessner S_10965_Concord at Williamcrest_Houston_16009" )</f>
        <v>Gessner S_10965_Concord at Williamcrest_Houston_16009</v>
      </c>
      <c r="L5646" s="104" t="s">
        <v>22253</v>
      </c>
      <c r="M5646" s="103" t="str">
        <f t="shared" si="443"/>
        <v>http://oconnordata.com/mlink/modules/profile/index.cfm?action=profile&amp;prop_id=16009</v>
      </c>
      <c r="N5646" s="1">
        <f t="shared" si="444"/>
        <v>16009</v>
      </c>
    </row>
    <row r="5647" spans="1:14" x14ac:dyDescent="0.3">
      <c r="A5647" s="1">
        <v>16010</v>
      </c>
      <c r="B5647" s="7" t="s">
        <v>8490</v>
      </c>
      <c r="C5647" s="12">
        <v>2000</v>
      </c>
      <c r="D5647" s="7" t="s">
        <v>8491</v>
      </c>
      <c r="E5647" s="13" t="s">
        <v>3328</v>
      </c>
      <c r="F5647" t="str">
        <f t="shared" si="440"/>
        <v>Arapaho</v>
      </c>
      <c r="G5647" t="str">
        <f t="shared" si="441"/>
        <v>Arapaho2000Richardson</v>
      </c>
      <c r="H5647" t="s">
        <v>36503</v>
      </c>
      <c r="I5647" t="s">
        <v>27923</v>
      </c>
      <c r="J5647" t="str">
        <f t="shared" si="442"/>
        <v>E:\PropInv\MF</v>
      </c>
      <c r="K5647" s="103" t="str">
        <f>HYPERLINK("E:\PropInv\MF\Richardson\Arapaho E_2000_The Block_Richardson_16010","Arapaho E_2000_The Block_Richardson_16010" )</f>
        <v>Arapaho E_2000_The Block_Richardson_16010</v>
      </c>
      <c r="L5647" s="104" t="s">
        <v>22253</v>
      </c>
      <c r="M5647" s="103" t="str">
        <f t="shared" si="443"/>
        <v>http://oconnordata.com/mlink/modules/profile/index.cfm?action=profile&amp;prop_id=16010</v>
      </c>
      <c r="N5647" s="1">
        <f t="shared" si="444"/>
        <v>16010</v>
      </c>
    </row>
    <row r="5648" spans="1:14" x14ac:dyDescent="0.3">
      <c r="A5648" s="1">
        <v>16011</v>
      </c>
      <c r="B5648" s="7" t="s">
        <v>8492</v>
      </c>
      <c r="C5648" s="12">
        <v>6852</v>
      </c>
      <c r="D5648" s="7" t="s">
        <v>8493</v>
      </c>
      <c r="E5648" s="13" t="s">
        <v>4996</v>
      </c>
      <c r="F5648" t="str">
        <f t="shared" si="440"/>
        <v>Shady</v>
      </c>
      <c r="G5648" t="str">
        <f t="shared" si="441"/>
        <v>Shady6852Dallas</v>
      </c>
      <c r="H5648" t="s">
        <v>36504</v>
      </c>
      <c r="I5648" t="s">
        <v>27924</v>
      </c>
      <c r="J5648" t="str">
        <f t="shared" si="442"/>
        <v>E:\PropInv\MF</v>
      </c>
      <c r="K5648" s="103" t="str">
        <f>HYPERLINK("E:\PropInv\MF\Dallas\Shady Brook Ln_6852_Urbano at Midtown_Dallas_16011","Shady Brook Ln_6852_Urbano at Midtown_Dallas_16011" )</f>
        <v>Shady Brook Ln_6852_Urbano at Midtown_Dallas_16011</v>
      </c>
      <c r="L5648" s="104" t="s">
        <v>22253</v>
      </c>
      <c r="M5648" s="103" t="str">
        <f t="shared" si="443"/>
        <v>http://oconnordata.com/mlink/modules/profile/index.cfm?action=profile&amp;prop_id=16011</v>
      </c>
      <c r="N5648" s="1">
        <f t="shared" si="444"/>
        <v>16011</v>
      </c>
    </row>
    <row r="5649" spans="1:14" x14ac:dyDescent="0.3">
      <c r="A5649" s="1">
        <v>16012</v>
      </c>
      <c r="B5649" s="7" t="s">
        <v>8494</v>
      </c>
      <c r="C5649" s="12" t="s">
        <v>8495</v>
      </c>
      <c r="D5649" s="7" t="s">
        <v>6059</v>
      </c>
      <c r="E5649" s="13" t="s">
        <v>8116</v>
      </c>
      <c r="F5649" t="str">
        <f t="shared" si="440"/>
        <v>Pecan</v>
      </c>
      <c r="G5649" t="str">
        <f t="shared" si="441"/>
        <v>Pecan1301-1364Midlothian</v>
      </c>
      <c r="H5649" t="s">
        <v>36505</v>
      </c>
      <c r="I5649" t="s">
        <v>27925</v>
      </c>
      <c r="J5649" t="str">
        <f t="shared" si="442"/>
        <v>E:\PropInv\MF</v>
      </c>
      <c r="K5649" s="103" t="str">
        <f>HYPERLINK("E:\PropInv\MF\Midlothian\Pecan Ridge Dr_1301-1364_Pecan Ridge_Midlothian_16012","Pecan Ridge Dr_1301-1364_Pecan Ridge_Midlothian_16012" )</f>
        <v>Pecan Ridge Dr_1301-1364_Pecan Ridge_Midlothian_16012</v>
      </c>
      <c r="L5649" s="104" t="s">
        <v>22253</v>
      </c>
      <c r="M5649" s="103" t="str">
        <f t="shared" si="443"/>
        <v>http://oconnordata.com/mlink/modules/profile/index.cfm?action=profile&amp;prop_id=16012</v>
      </c>
      <c r="N5649" s="1">
        <f t="shared" si="444"/>
        <v>16012</v>
      </c>
    </row>
    <row r="5650" spans="1:14" x14ac:dyDescent="0.3">
      <c r="A5650" s="1">
        <v>16014</v>
      </c>
      <c r="B5650" s="7" t="s">
        <v>8496</v>
      </c>
      <c r="C5650" s="12">
        <v>900</v>
      </c>
      <c r="D5650" s="7" t="s">
        <v>8497</v>
      </c>
      <c r="E5650" s="13" t="s">
        <v>8116</v>
      </c>
      <c r="F5650" t="str">
        <f t="shared" si="440"/>
        <v>Walter</v>
      </c>
      <c r="G5650" t="str">
        <f t="shared" si="441"/>
        <v>Walter900Midlothian</v>
      </c>
      <c r="H5650" t="s">
        <v>36506</v>
      </c>
      <c r="I5650" t="s">
        <v>27926</v>
      </c>
      <c r="J5650" t="str">
        <f t="shared" si="442"/>
        <v>E:\PropInv\MF</v>
      </c>
      <c r="K5650" s="103" t="str">
        <f>HYPERLINK("E:\PropInv\MF\Midlothian\Walter Stephenson Rd_900_The Lofts at Pecan Ridge_Midlothian_16014","Walter Stephenson Rd_900_The Lofts at Pecan Ridge_Midlothian_16014" )</f>
        <v>Walter Stephenson Rd_900_The Lofts at Pecan Ridge_Midlothian_16014</v>
      </c>
      <c r="L5650" s="104" t="s">
        <v>22253</v>
      </c>
      <c r="M5650" s="103" t="str">
        <f t="shared" si="443"/>
        <v>http://oconnordata.com/mlink/modules/profile/index.cfm?action=profile&amp;prop_id=16014</v>
      </c>
      <c r="N5650" s="1">
        <f t="shared" si="444"/>
        <v>16014</v>
      </c>
    </row>
    <row r="5651" spans="1:14" x14ac:dyDescent="0.3">
      <c r="A5651" s="1">
        <v>16017</v>
      </c>
      <c r="B5651" s="7" t="s">
        <v>8498</v>
      </c>
      <c r="C5651" s="42" t="s">
        <v>8499</v>
      </c>
      <c r="D5651" s="7" t="s">
        <v>8500</v>
      </c>
      <c r="E5651" s="25" t="s">
        <v>4996</v>
      </c>
      <c r="F5651" t="str">
        <f t="shared" si="440"/>
        <v>Amanda</v>
      </c>
      <c r="G5651" t="str">
        <f t="shared" si="441"/>
        <v>Amanda11333-13200Dallas</v>
      </c>
      <c r="H5651" t="s">
        <v>36507</v>
      </c>
      <c r="I5651" t="s">
        <v>27927</v>
      </c>
      <c r="J5651" t="str">
        <f t="shared" si="442"/>
        <v>E:\PropInv\MF</v>
      </c>
      <c r="K5651" s="103" t="str">
        <f>HYPERLINK("E:\PropInv\MF\Dallas\Amanda Ln-Pandora_11333-13200_Montecito Creek_Dallas_16017","Amanda Ln-Pandora_11333-13200_Montecito Creek_Dallas_16017" )</f>
        <v>Amanda Ln-Pandora_11333-13200_Montecito Creek_Dallas_16017</v>
      </c>
      <c r="L5651" s="104" t="s">
        <v>22253</v>
      </c>
      <c r="M5651" s="103" t="str">
        <f t="shared" si="443"/>
        <v>http://oconnordata.com/mlink/modules/profile/index.cfm?action=profile&amp;prop_id=16017</v>
      </c>
      <c r="N5651" s="1">
        <f t="shared" si="444"/>
        <v>16017</v>
      </c>
    </row>
    <row r="5652" spans="1:14" x14ac:dyDescent="0.3">
      <c r="A5652" s="1">
        <v>16018</v>
      </c>
      <c r="B5652" s="7" t="s">
        <v>8501</v>
      </c>
      <c r="C5652" s="12">
        <v>100</v>
      </c>
      <c r="D5652" s="7" t="s">
        <v>8502</v>
      </c>
      <c r="E5652" s="13" t="s">
        <v>8116</v>
      </c>
      <c r="F5652" t="str">
        <f t="shared" si="440"/>
        <v>Ridgeway</v>
      </c>
      <c r="G5652" t="str">
        <f t="shared" si="441"/>
        <v>Ridgeway100Midlothian</v>
      </c>
      <c r="H5652" t="s">
        <v>36508</v>
      </c>
      <c r="I5652" t="s">
        <v>27928</v>
      </c>
      <c r="J5652" t="str">
        <f t="shared" si="442"/>
        <v>E:\PropInv\MF</v>
      </c>
      <c r="K5652" s="103" t="str">
        <f>HYPERLINK("E:\PropInv\MF\Midlothian\Ridgeway Dr E_100_Ridgeway Village_Midlothian_16018","Ridgeway Dr E_100_Ridgeway Village_Midlothian_16018" )</f>
        <v>Ridgeway Dr E_100_Ridgeway Village_Midlothian_16018</v>
      </c>
      <c r="L5652" s="104" t="s">
        <v>22253</v>
      </c>
      <c r="M5652" s="103" t="str">
        <f t="shared" si="443"/>
        <v>http://oconnordata.com/mlink/modules/profile/index.cfm?action=profile&amp;prop_id=16018</v>
      </c>
      <c r="N5652" s="1">
        <f t="shared" si="444"/>
        <v>16018</v>
      </c>
    </row>
    <row r="5653" spans="1:14" x14ac:dyDescent="0.3">
      <c r="A5653" s="1">
        <v>16019</v>
      </c>
      <c r="B5653" s="7" t="s">
        <v>5893</v>
      </c>
      <c r="C5653" s="12">
        <v>5225</v>
      </c>
      <c r="D5653" s="7" t="s">
        <v>8503</v>
      </c>
      <c r="E5653" s="13" t="s">
        <v>4996</v>
      </c>
      <c r="F5653" t="str">
        <f t="shared" si="440"/>
        <v>Maple</v>
      </c>
      <c r="G5653" t="str">
        <f t="shared" si="441"/>
        <v>Maple5225Dallas</v>
      </c>
      <c r="H5653" t="s">
        <v>36509</v>
      </c>
      <c r="I5653" t="s">
        <v>27929</v>
      </c>
      <c r="J5653" t="str">
        <f t="shared" si="442"/>
        <v>E:\PropInv\MF</v>
      </c>
      <c r="K5653" s="103" t="str">
        <f>HYPERLINK("E:\PropInv\MF\Dallas\Maple Ave_5225_5225 Maple Avenue_Dallas_16019","Maple Ave_5225_5225 Maple Avenue_Dallas_16019" )</f>
        <v>Maple Ave_5225_5225 Maple Avenue_Dallas_16019</v>
      </c>
      <c r="L5653" s="104" t="s">
        <v>22253</v>
      </c>
      <c r="M5653" s="103" t="str">
        <f t="shared" si="443"/>
        <v>http://oconnordata.com/mlink/modules/profile/index.cfm?action=profile&amp;prop_id=16019</v>
      </c>
      <c r="N5653" s="1">
        <f t="shared" si="444"/>
        <v>16019</v>
      </c>
    </row>
    <row r="5654" spans="1:14" x14ac:dyDescent="0.3">
      <c r="A5654" s="1">
        <v>16021</v>
      </c>
      <c r="B5654" s="7" t="s">
        <v>4386</v>
      </c>
      <c r="C5654" s="12">
        <v>155</v>
      </c>
      <c r="D5654" s="7" t="s">
        <v>8504</v>
      </c>
      <c r="E5654" s="13" t="s">
        <v>6559</v>
      </c>
      <c r="F5654" t="str">
        <f t="shared" si="440"/>
        <v>Lakeside</v>
      </c>
      <c r="G5654" t="str">
        <f t="shared" si="441"/>
        <v>Lakeside155Waxahachie</v>
      </c>
      <c r="H5654" t="s">
        <v>36510</v>
      </c>
      <c r="I5654" t="s">
        <v>27930</v>
      </c>
      <c r="J5654" t="str">
        <f t="shared" si="442"/>
        <v>E:\PropInv\MF</v>
      </c>
      <c r="K5654" s="103" t="str">
        <f>HYPERLINK("E:\PropInv\MF\Waxahachie\Lakeside Dr_155_Blue Lake Villas I_Waxahachie_16021","Lakeside Dr_155_Blue Lake Villas I_Waxahachie_16021" )</f>
        <v>Lakeside Dr_155_Blue Lake Villas I_Waxahachie_16021</v>
      </c>
      <c r="L5654" s="104" t="s">
        <v>22253</v>
      </c>
      <c r="M5654" s="103" t="str">
        <f t="shared" si="443"/>
        <v>http://oconnordata.com/mlink/modules/profile/index.cfm?action=profile&amp;prop_id=16021</v>
      </c>
      <c r="N5654" s="1">
        <f t="shared" si="444"/>
        <v>16021</v>
      </c>
    </row>
    <row r="5655" spans="1:14" x14ac:dyDescent="0.3">
      <c r="A5655" s="1">
        <v>16022</v>
      </c>
      <c r="B5655" s="7" t="s">
        <v>8505</v>
      </c>
      <c r="C5655" s="12">
        <v>1400</v>
      </c>
      <c r="D5655" s="7" t="s">
        <v>8506</v>
      </c>
      <c r="E5655" s="13" t="s">
        <v>5055</v>
      </c>
      <c r="F5655" t="str">
        <f t="shared" si="440"/>
        <v>Valley</v>
      </c>
      <c r="G5655" t="str">
        <f t="shared" si="441"/>
        <v>Valley1400Lewisville</v>
      </c>
      <c r="H5655" t="s">
        <v>36511</v>
      </c>
      <c r="I5655" t="s">
        <v>27931</v>
      </c>
      <c r="J5655" t="str">
        <f t="shared" si="442"/>
        <v>E:\PropInv\MF</v>
      </c>
      <c r="K5655" s="103" t="str">
        <f>HYPERLINK("E:\PropInv\MF\Lewisville\Valley Ridge Rd W_1400_Toscana at Valley Ridge_Lewisville_16022","Valley Ridge Rd W_1400_Toscana at Valley Ridge_Lewisville_16022" )</f>
        <v>Valley Ridge Rd W_1400_Toscana at Valley Ridge_Lewisville_16022</v>
      </c>
      <c r="L5655" s="104" t="s">
        <v>22253</v>
      </c>
      <c r="M5655" s="103" t="str">
        <f t="shared" si="443"/>
        <v>http://oconnordata.com/mlink/modules/profile/index.cfm?action=profile&amp;prop_id=16022</v>
      </c>
      <c r="N5655" s="1">
        <f t="shared" si="444"/>
        <v>16022</v>
      </c>
    </row>
    <row r="5656" spans="1:14" x14ac:dyDescent="0.3">
      <c r="A5656" s="1">
        <v>16024</v>
      </c>
      <c r="B5656" s="7" t="s">
        <v>5505</v>
      </c>
      <c r="C5656" s="12">
        <v>12271</v>
      </c>
      <c r="D5656" s="7" t="s">
        <v>8507</v>
      </c>
      <c r="E5656" s="13" t="s">
        <v>4996</v>
      </c>
      <c r="F5656" t="str">
        <f t="shared" si="440"/>
        <v>Coit</v>
      </c>
      <c r="G5656" t="str">
        <f t="shared" si="441"/>
        <v>Coit12271Dallas</v>
      </c>
      <c r="H5656" t="s">
        <v>36512</v>
      </c>
      <c r="I5656" t="s">
        <v>27932</v>
      </c>
      <c r="J5656" t="str">
        <f t="shared" si="442"/>
        <v>E:\PropInv\MF</v>
      </c>
      <c r="K5656" s="103" t="str">
        <f>HYPERLINK("E:\PropInv\MF\Dallas\Coit Rd_12271_Town Village North_Dallas_16024","Coit Rd_12271_Town Village North_Dallas_16024" )</f>
        <v>Coit Rd_12271_Town Village North_Dallas_16024</v>
      </c>
      <c r="L5656" s="104" t="s">
        <v>22253</v>
      </c>
      <c r="M5656" s="103" t="str">
        <f t="shared" si="443"/>
        <v>http://oconnordata.com/mlink/modules/profile/index.cfm?action=profile&amp;prop_id=16024</v>
      </c>
      <c r="N5656" s="1">
        <f t="shared" si="444"/>
        <v>16024</v>
      </c>
    </row>
    <row r="5657" spans="1:14" x14ac:dyDescent="0.3">
      <c r="A5657" s="1">
        <v>16025</v>
      </c>
      <c r="B5657" s="7" t="s">
        <v>8508</v>
      </c>
      <c r="C5657" s="12">
        <v>4714</v>
      </c>
      <c r="D5657" s="7" t="s">
        <v>8509</v>
      </c>
      <c r="E5657" s="25" t="s">
        <v>5014</v>
      </c>
      <c r="F5657" t="str">
        <f t="shared" si="440"/>
        <v>Horne</v>
      </c>
      <c r="G5657" t="str">
        <f t="shared" si="441"/>
        <v>Horne4714Fort Worth</v>
      </c>
      <c r="H5657" t="s">
        <v>36513</v>
      </c>
      <c r="I5657" t="s">
        <v>27933</v>
      </c>
      <c r="J5657" t="str">
        <f t="shared" si="442"/>
        <v>E:\PropInv\MF</v>
      </c>
      <c r="K5657" s="103" t="str">
        <f>HYPERLINK("E:\PropInv\MF\Fort Worth\Horne St_4714_Lincoln Terrace_Fort Worth_16025","Horne St_4714_Lincoln Terrace_Fort Worth_16025" )</f>
        <v>Horne St_4714_Lincoln Terrace_Fort Worth_16025</v>
      </c>
      <c r="L5657" s="104" t="s">
        <v>22253</v>
      </c>
      <c r="M5657" s="103" t="str">
        <f t="shared" si="443"/>
        <v>http://oconnordata.com/mlink/modules/profile/index.cfm?action=profile&amp;prop_id=16025</v>
      </c>
      <c r="N5657" s="1">
        <f t="shared" si="444"/>
        <v>16025</v>
      </c>
    </row>
    <row r="5658" spans="1:14" x14ac:dyDescent="0.3">
      <c r="A5658" s="1">
        <v>16026</v>
      </c>
      <c r="B5658" s="7" t="s">
        <v>8510</v>
      </c>
      <c r="C5658" s="12">
        <v>8734</v>
      </c>
      <c r="D5658" s="7" t="s">
        <v>8510</v>
      </c>
      <c r="E5658" s="13" t="s">
        <v>842</v>
      </c>
      <c r="F5658" t="str">
        <f t="shared" si="440"/>
        <v>Garden</v>
      </c>
      <c r="G5658" t="str">
        <f t="shared" si="441"/>
        <v>Garden8734San Antonio</v>
      </c>
      <c r="H5658" t="s">
        <v>36514</v>
      </c>
      <c r="I5658" t="s">
        <v>27934</v>
      </c>
      <c r="J5658" t="str">
        <f t="shared" si="442"/>
        <v>E:\PropInv\MF</v>
      </c>
      <c r="K5658" s="103" t="str">
        <f>HYPERLINK("E:\PropInv\MF\San Antonio\Garden Brook_8734_Garden Brook_San Antonio_16026","Garden Brook_8734_Garden Brook_San Antonio_16026" )</f>
        <v>Garden Brook_8734_Garden Brook_San Antonio_16026</v>
      </c>
      <c r="L5658" s="104" t="s">
        <v>22253</v>
      </c>
      <c r="M5658" s="103" t="str">
        <f t="shared" si="443"/>
        <v>http://oconnordata.com/mlink/modules/profile/index.cfm?action=profile&amp;prop_id=16026</v>
      </c>
      <c r="N5658" s="1">
        <f t="shared" si="444"/>
        <v>16026</v>
      </c>
    </row>
    <row r="5659" spans="1:14" x14ac:dyDescent="0.3">
      <c r="A5659" s="1">
        <v>16028</v>
      </c>
      <c r="B5659" s="7" t="s">
        <v>879</v>
      </c>
      <c r="C5659" s="12">
        <v>3110</v>
      </c>
      <c r="D5659" s="7" t="s">
        <v>8511</v>
      </c>
      <c r="E5659" s="13" t="s">
        <v>842</v>
      </c>
      <c r="F5659" t="str">
        <f t="shared" si="440"/>
        <v>Thousand</v>
      </c>
      <c r="G5659" t="str">
        <f t="shared" si="441"/>
        <v>Thousand3110San Antonio</v>
      </c>
      <c r="H5659" t="s">
        <v>36515</v>
      </c>
      <c r="I5659" t="s">
        <v>27935</v>
      </c>
      <c r="J5659" t="str">
        <f t="shared" si="442"/>
        <v>E:\PropInv\MF</v>
      </c>
      <c r="K5659" s="103" t="str">
        <f>HYPERLINK("E:\PropInv\MF\San Antonio\Thousand Oaks Dr_3110_White Rock_San Antonio_16028","Thousand Oaks Dr_3110_White Rock_San Antonio_16028" )</f>
        <v>Thousand Oaks Dr_3110_White Rock_San Antonio_16028</v>
      </c>
      <c r="L5659" s="104" t="s">
        <v>22253</v>
      </c>
      <c r="M5659" s="103" t="str">
        <f t="shared" si="443"/>
        <v>http://oconnordata.com/mlink/modules/profile/index.cfm?action=profile&amp;prop_id=16028</v>
      </c>
      <c r="N5659" s="1">
        <f t="shared" si="444"/>
        <v>16028</v>
      </c>
    </row>
    <row r="5660" spans="1:14" x14ac:dyDescent="0.3">
      <c r="A5660" s="1">
        <v>16029</v>
      </c>
      <c r="B5660" s="7" t="s">
        <v>1283</v>
      </c>
      <c r="C5660" s="12">
        <v>814</v>
      </c>
      <c r="D5660" s="7" t="s">
        <v>8512</v>
      </c>
      <c r="E5660" s="13" t="s">
        <v>842</v>
      </c>
      <c r="F5660" t="str">
        <f t="shared" si="440"/>
        <v>Pleasanton</v>
      </c>
      <c r="G5660" t="str">
        <f t="shared" si="441"/>
        <v>Pleasanton814San Antonio</v>
      </c>
      <c r="H5660" t="s">
        <v>36516</v>
      </c>
      <c r="I5660" t="s">
        <v>27936</v>
      </c>
      <c r="J5660" t="str">
        <f t="shared" si="442"/>
        <v>E:\PropInv\MF</v>
      </c>
      <c r="K5660" s="103" t="str">
        <f>HYPERLINK("E:\PropInv\MF\San Antonio\Pleasanton Rd_814_Villa de Amistad_San Antonio_16029","Pleasanton Rd_814_Villa de Amistad_San Antonio_16029" )</f>
        <v>Pleasanton Rd_814_Villa de Amistad_San Antonio_16029</v>
      </c>
      <c r="L5660" s="104" t="s">
        <v>22253</v>
      </c>
      <c r="M5660" s="103" t="str">
        <f t="shared" si="443"/>
        <v>http://oconnordata.com/mlink/modules/profile/index.cfm?action=profile&amp;prop_id=16029</v>
      </c>
      <c r="N5660" s="1">
        <f t="shared" si="444"/>
        <v>16029</v>
      </c>
    </row>
    <row r="5661" spans="1:14" x14ac:dyDescent="0.3">
      <c r="A5661" s="1">
        <v>16031</v>
      </c>
      <c r="B5661" s="7" t="s">
        <v>8513</v>
      </c>
      <c r="C5661" s="12">
        <v>8009</v>
      </c>
      <c r="D5661" s="7" t="s">
        <v>8514</v>
      </c>
      <c r="E5661" s="13" t="s">
        <v>6541</v>
      </c>
      <c r="F5661" t="str">
        <f t="shared" si="440"/>
        <v>Davis</v>
      </c>
      <c r="G5661" t="str">
        <f t="shared" si="441"/>
        <v>Davis8009North Richland Hills</v>
      </c>
      <c r="H5661" t="s">
        <v>36517</v>
      </c>
      <c r="I5661" t="s">
        <v>27937</v>
      </c>
      <c r="J5661" t="str">
        <f t="shared" si="442"/>
        <v>E:\PropInv\MF</v>
      </c>
      <c r="K5661" s="103" t="str">
        <f>HYPERLINK("E:\PropInv\MF\North Richland Hills\Davis Blvd_8009_The Villas On Bear Creek_North Richland Hills_16031","Davis Blvd_8009_The Villas On Bear Creek_North Richland Hills_16031" )</f>
        <v>Davis Blvd_8009_The Villas On Bear Creek_North Richland Hills_16031</v>
      </c>
      <c r="L5661" s="104" t="s">
        <v>22253</v>
      </c>
      <c r="M5661" s="103" t="str">
        <f t="shared" si="443"/>
        <v>http://oconnordata.com/mlink/modules/profile/index.cfm?action=profile&amp;prop_id=16031</v>
      </c>
      <c r="N5661" s="1">
        <f t="shared" si="444"/>
        <v>16031</v>
      </c>
    </row>
    <row r="5662" spans="1:14" x14ac:dyDescent="0.3">
      <c r="A5662" s="1">
        <v>16032</v>
      </c>
      <c r="B5662" s="7" t="s">
        <v>8119</v>
      </c>
      <c r="C5662" s="12">
        <v>971</v>
      </c>
      <c r="D5662" s="7" t="s">
        <v>8515</v>
      </c>
      <c r="E5662" s="13" t="s">
        <v>6555</v>
      </c>
      <c r="F5662" t="str">
        <f t="shared" si="440"/>
        <v>Sanford</v>
      </c>
      <c r="G5662" t="str">
        <f t="shared" si="441"/>
        <v>Sanford971Arlington</v>
      </c>
      <c r="H5662" t="s">
        <v>36518</v>
      </c>
      <c r="I5662" t="s">
        <v>27938</v>
      </c>
      <c r="J5662" t="str">
        <f t="shared" si="442"/>
        <v>E:\PropInv\MF</v>
      </c>
      <c r="K5662" s="103" t="str">
        <f>HYPERLINK("E:\PropInv\MF\Arlington\Sanford St E_971_The Claremont_Arlington_16032","Sanford St E_971_The Claremont_Arlington_16032" )</f>
        <v>Sanford St E_971_The Claremont_Arlington_16032</v>
      </c>
      <c r="L5662" s="104" t="s">
        <v>22253</v>
      </c>
      <c r="M5662" s="103" t="str">
        <f t="shared" si="443"/>
        <v>http://oconnordata.com/mlink/modules/profile/index.cfm?action=profile&amp;prop_id=16032</v>
      </c>
      <c r="N5662" s="1">
        <f t="shared" si="444"/>
        <v>16032</v>
      </c>
    </row>
    <row r="5663" spans="1:14" x14ac:dyDescent="0.3">
      <c r="A5663" s="1">
        <v>16033</v>
      </c>
      <c r="B5663" s="7" t="s">
        <v>8516</v>
      </c>
      <c r="C5663" s="12">
        <v>6300</v>
      </c>
      <c r="D5663" s="7" t="s">
        <v>8517</v>
      </c>
      <c r="E5663" s="13" t="s">
        <v>5014</v>
      </c>
      <c r="F5663" t="str">
        <f t="shared" si="440"/>
        <v>Granbury</v>
      </c>
      <c r="G5663" t="str">
        <f t="shared" si="441"/>
        <v>Granbury6300Fort Worth</v>
      </c>
      <c r="H5663" t="s">
        <v>36519</v>
      </c>
      <c r="I5663" t="s">
        <v>27939</v>
      </c>
      <c r="J5663" t="str">
        <f t="shared" si="442"/>
        <v>E:\PropInv\MF</v>
      </c>
      <c r="K5663" s="103" t="str">
        <f>HYPERLINK("E:\PropInv\MF\Fort Worth\Granbury Cutoff Rd_6300_Evergreen at Hulen Bend_Fort Worth_16033","Granbury Cutoff Rd_6300_Evergreen at Hulen Bend_Fort Worth_16033" )</f>
        <v>Granbury Cutoff Rd_6300_Evergreen at Hulen Bend_Fort Worth_16033</v>
      </c>
      <c r="L5663" s="104" t="s">
        <v>22253</v>
      </c>
      <c r="M5663" s="103" t="str">
        <f t="shared" si="443"/>
        <v>http://oconnordata.com/mlink/modules/profile/index.cfm?action=profile&amp;prop_id=16033</v>
      </c>
      <c r="N5663" s="1">
        <f t="shared" si="444"/>
        <v>16033</v>
      </c>
    </row>
    <row r="5664" spans="1:14" x14ac:dyDescent="0.3">
      <c r="A5664" s="1">
        <v>16034</v>
      </c>
      <c r="B5664" s="7" t="s">
        <v>8518</v>
      </c>
      <c r="C5664" s="12">
        <v>4700</v>
      </c>
      <c r="D5664" s="7" t="s">
        <v>8519</v>
      </c>
      <c r="E5664" s="13" t="s">
        <v>5014</v>
      </c>
      <c r="F5664" t="str">
        <f t="shared" si="440"/>
        <v>Berry</v>
      </c>
      <c r="G5664" t="str">
        <f t="shared" si="441"/>
        <v>Berry4700Fort Worth</v>
      </c>
      <c r="H5664" t="s">
        <v>36520</v>
      </c>
      <c r="I5664" t="s">
        <v>27940</v>
      </c>
      <c r="J5664" t="str">
        <f t="shared" si="442"/>
        <v>E:\PropInv\MF</v>
      </c>
      <c r="K5664" s="103" t="str">
        <f>HYPERLINK("E:\PropInv\MF\Fort Worth\Berry St E_4700_Villas of Eastwood Terrace_Fort Worth_16034","Berry St E_4700_Villas of Eastwood Terrace_Fort Worth_16034" )</f>
        <v>Berry St E_4700_Villas of Eastwood Terrace_Fort Worth_16034</v>
      </c>
      <c r="L5664" s="104" t="s">
        <v>22253</v>
      </c>
      <c r="M5664" s="103" t="str">
        <f t="shared" si="443"/>
        <v>http://oconnordata.com/mlink/modules/profile/index.cfm?action=profile&amp;prop_id=16034</v>
      </c>
      <c r="N5664" s="1">
        <f t="shared" si="444"/>
        <v>16034</v>
      </c>
    </row>
    <row r="5665" spans="1:14" x14ac:dyDescent="0.3">
      <c r="A5665" s="1">
        <v>16036</v>
      </c>
      <c r="B5665" s="7" t="s">
        <v>3969</v>
      </c>
      <c r="C5665" s="12">
        <v>4000</v>
      </c>
      <c r="D5665" s="7" t="s">
        <v>8520</v>
      </c>
      <c r="E5665" s="13" t="s">
        <v>7</v>
      </c>
      <c r="F5665" t="str">
        <f t="shared" si="440"/>
        <v>Ave</v>
      </c>
      <c r="G5665" t="str">
        <f t="shared" si="441"/>
        <v>Ave4000Austin</v>
      </c>
      <c r="H5665" t="s">
        <v>36521</v>
      </c>
      <c r="I5665" t="s">
        <v>27941</v>
      </c>
      <c r="J5665" t="str">
        <f t="shared" si="442"/>
        <v>E:\PropInv\MF</v>
      </c>
      <c r="K5665" s="103" t="str">
        <f>HYPERLINK("E:\PropInv\MF\Austin\Ave A_4000_Villa Del Rey_Austin_16036","Ave A_4000_Villa Del Rey_Austin_16036" )</f>
        <v>Ave A_4000_Villa Del Rey_Austin_16036</v>
      </c>
      <c r="L5665" s="104" t="s">
        <v>22253</v>
      </c>
      <c r="M5665" s="103" t="str">
        <f t="shared" si="443"/>
        <v>http://oconnordata.com/mlink/modules/profile/index.cfm?action=profile&amp;prop_id=16036</v>
      </c>
      <c r="N5665" s="1">
        <f t="shared" si="444"/>
        <v>16036</v>
      </c>
    </row>
    <row r="5666" spans="1:14" x14ac:dyDescent="0.3">
      <c r="A5666" s="1">
        <v>16037</v>
      </c>
      <c r="B5666" s="7" t="s">
        <v>3969</v>
      </c>
      <c r="C5666" s="12">
        <v>4200</v>
      </c>
      <c r="D5666" s="7" t="s">
        <v>8521</v>
      </c>
      <c r="E5666" s="13" t="s">
        <v>7</v>
      </c>
      <c r="F5666" t="str">
        <f t="shared" si="440"/>
        <v>Ave</v>
      </c>
      <c r="G5666" t="str">
        <f t="shared" si="441"/>
        <v>Ave4200Austin</v>
      </c>
      <c r="H5666" t="s">
        <v>36522</v>
      </c>
      <c r="I5666" t="s">
        <v>27942</v>
      </c>
      <c r="J5666" t="str">
        <f t="shared" si="442"/>
        <v>E:\PropInv\MF</v>
      </c>
      <c r="K5666" s="103" t="str">
        <f>HYPERLINK("E:\PropInv\MF\Austin\Ave A_4200_Fiesta Place_Austin_16037","Ave A_4200_Fiesta Place_Austin_16037" )</f>
        <v>Ave A_4200_Fiesta Place_Austin_16037</v>
      </c>
      <c r="L5666" s="104" t="s">
        <v>22253</v>
      </c>
      <c r="M5666" s="103" t="str">
        <f t="shared" si="443"/>
        <v>http://oconnordata.com/mlink/modules/profile/index.cfm?action=profile&amp;prop_id=16037</v>
      </c>
      <c r="N5666" s="1">
        <f t="shared" si="444"/>
        <v>16037</v>
      </c>
    </row>
    <row r="5667" spans="1:14" x14ac:dyDescent="0.3">
      <c r="A5667" s="1">
        <v>16039</v>
      </c>
      <c r="B5667" s="7" t="s">
        <v>8522</v>
      </c>
      <c r="C5667" s="12">
        <v>7301</v>
      </c>
      <c r="D5667" s="7" t="s">
        <v>8523</v>
      </c>
      <c r="E5667" s="13" t="s">
        <v>5014</v>
      </c>
      <c r="F5667" t="str">
        <f t="shared" si="440"/>
        <v>Oakmont</v>
      </c>
      <c r="G5667" t="str">
        <f t="shared" si="441"/>
        <v>Oakmont7301Fort Worth</v>
      </c>
      <c r="H5667" t="s">
        <v>36523</v>
      </c>
      <c r="I5667" t="s">
        <v>27943</v>
      </c>
      <c r="J5667" t="str">
        <f t="shared" si="442"/>
        <v>E:\PropInv\MF</v>
      </c>
      <c r="K5667" s="103" t="str">
        <f>HYPERLINK("E:\PropInv\MF\Fort Worth\Oakmont Blvd_7301_The Verandas at Cityview_Fort Worth_16039","Oakmont Blvd_7301_The Verandas at Cityview_Fort Worth_16039" )</f>
        <v>Oakmont Blvd_7301_The Verandas at Cityview_Fort Worth_16039</v>
      </c>
      <c r="L5667" s="104" t="s">
        <v>22253</v>
      </c>
      <c r="M5667" s="103" t="str">
        <f t="shared" si="443"/>
        <v>http://oconnordata.com/mlink/modules/profile/index.cfm?action=profile&amp;prop_id=16039</v>
      </c>
      <c r="N5667" s="1">
        <f t="shared" si="444"/>
        <v>16039</v>
      </c>
    </row>
    <row r="5668" spans="1:14" x14ac:dyDescent="0.3">
      <c r="A5668" s="1">
        <v>16040</v>
      </c>
      <c r="B5668" s="7" t="s">
        <v>930</v>
      </c>
      <c r="C5668" s="12">
        <v>3703</v>
      </c>
      <c r="D5668" s="7" t="s">
        <v>8524</v>
      </c>
      <c r="E5668" s="13" t="s">
        <v>842</v>
      </c>
      <c r="F5668" t="str">
        <f t="shared" si="440"/>
        <v>Wurzbach</v>
      </c>
      <c r="G5668" t="str">
        <f t="shared" si="441"/>
        <v>Wurzbach3703San Antonio</v>
      </c>
      <c r="H5668" t="s">
        <v>36524</v>
      </c>
      <c r="I5668" t="s">
        <v>27944</v>
      </c>
      <c r="J5668" t="str">
        <f t="shared" si="442"/>
        <v>E:\PropInv\MF</v>
      </c>
      <c r="K5668" s="103" t="str">
        <f>HYPERLINK("E:\PropInv\MF\San Antonio\Wurzbach Rd_3703_Eagle Ridge_San Antonio_16040","Wurzbach Rd_3703_Eagle Ridge_San Antonio_16040" )</f>
        <v>Wurzbach Rd_3703_Eagle Ridge_San Antonio_16040</v>
      </c>
      <c r="L5668" s="104" t="s">
        <v>22253</v>
      </c>
      <c r="M5668" s="103" t="str">
        <f t="shared" si="443"/>
        <v>http://oconnordata.com/mlink/modules/profile/index.cfm?action=profile&amp;prop_id=16040</v>
      </c>
      <c r="N5668" s="1">
        <f t="shared" si="444"/>
        <v>16040</v>
      </c>
    </row>
    <row r="5669" spans="1:14" x14ac:dyDescent="0.3">
      <c r="A5669" s="1">
        <v>16041</v>
      </c>
      <c r="B5669" s="7" t="s">
        <v>1545</v>
      </c>
      <c r="C5669" s="12">
        <v>4611</v>
      </c>
      <c r="D5669" s="7" t="s">
        <v>8525</v>
      </c>
      <c r="E5669" s="13" t="s">
        <v>842</v>
      </c>
      <c r="F5669" t="str">
        <f t="shared" si="440"/>
        <v>Houston</v>
      </c>
      <c r="G5669" t="str">
        <f t="shared" si="441"/>
        <v>Houston4611San Antonio</v>
      </c>
      <c r="H5669" t="s">
        <v>36525</v>
      </c>
      <c r="I5669" t="s">
        <v>27945</v>
      </c>
      <c r="J5669" t="str">
        <f t="shared" si="442"/>
        <v>E:\PropInv\MF</v>
      </c>
      <c r="K5669" s="103" t="str">
        <f>HYPERLINK("E:\PropInv\MF\San Antonio\Houston St E_4611_Outspan TH_San Antonio_16041","Houston St E_4611_Outspan TH_San Antonio_16041" )</f>
        <v>Houston St E_4611_Outspan TH_San Antonio_16041</v>
      </c>
      <c r="L5669" s="104" t="s">
        <v>22253</v>
      </c>
      <c r="M5669" s="103" t="str">
        <f t="shared" si="443"/>
        <v>http://oconnordata.com/mlink/modules/profile/index.cfm?action=profile&amp;prop_id=16041</v>
      </c>
      <c r="N5669" s="1">
        <f t="shared" si="444"/>
        <v>16041</v>
      </c>
    </row>
    <row r="5670" spans="1:14" x14ac:dyDescent="0.3">
      <c r="A5670" s="1">
        <v>16043</v>
      </c>
      <c r="B5670" s="7" t="s">
        <v>8526</v>
      </c>
      <c r="C5670" s="12">
        <v>11710</v>
      </c>
      <c r="D5670" s="7" t="s">
        <v>8527</v>
      </c>
      <c r="E5670" s="13" t="s">
        <v>1657</v>
      </c>
      <c r="F5670" t="str">
        <f t="shared" si="440"/>
        <v>Greenglen</v>
      </c>
      <c r="G5670" t="str">
        <f t="shared" si="441"/>
        <v>Greenglen11710Houston</v>
      </c>
      <c r="H5670" t="s">
        <v>36526</v>
      </c>
      <c r="I5670" t="s">
        <v>27946</v>
      </c>
      <c r="J5670" t="str">
        <f t="shared" si="442"/>
        <v>E:\PropInv\MF</v>
      </c>
      <c r="K5670" s="103" t="str">
        <f>HYPERLINK("E:\PropInv\MF\Houston\Greenglen Dr_11710_Greensbrook Manor_Houston_16043","Greenglen Dr_11710_Greensbrook Manor_Houston_16043" )</f>
        <v>Greenglen Dr_11710_Greensbrook Manor_Houston_16043</v>
      </c>
      <c r="L5670" s="104" t="s">
        <v>22253</v>
      </c>
      <c r="M5670" s="103" t="str">
        <f t="shared" si="443"/>
        <v>http://oconnordata.com/mlink/modules/profile/index.cfm?action=profile&amp;prop_id=16043</v>
      </c>
      <c r="N5670" s="1">
        <f t="shared" si="444"/>
        <v>16043</v>
      </c>
    </row>
    <row r="5671" spans="1:14" x14ac:dyDescent="0.3">
      <c r="A5671" s="1">
        <v>16045</v>
      </c>
      <c r="B5671" s="7" t="s">
        <v>8528</v>
      </c>
      <c r="C5671" s="12">
        <v>16701</v>
      </c>
      <c r="D5671" s="7" t="s">
        <v>8529</v>
      </c>
      <c r="E5671" s="13" t="s">
        <v>367</v>
      </c>
      <c r="F5671" t="str">
        <f t="shared" si="440"/>
        <v>Heatherwilde</v>
      </c>
      <c r="G5671" t="str">
        <f t="shared" si="441"/>
        <v>Heatherwilde16701Pflugerville</v>
      </c>
      <c r="H5671" t="s">
        <v>36527</v>
      </c>
      <c r="I5671" t="s">
        <v>27947</v>
      </c>
      <c r="J5671" t="str">
        <f t="shared" si="442"/>
        <v>E:\PropInv\MF</v>
      </c>
      <c r="K5671" s="103" t="str">
        <f>HYPERLINK("E:\PropInv\MF\Pflugerville\Heatherwilde Blvd N_16701_Rosemont at Heather Bend_Pflugerville_16045","Heatherwilde Blvd N_16701_Rosemont at Heather Bend_Pflugerville_16045" )</f>
        <v>Heatherwilde Blvd N_16701_Rosemont at Heather Bend_Pflugerville_16045</v>
      </c>
      <c r="L5671" s="104" t="s">
        <v>22253</v>
      </c>
      <c r="M5671" s="103" t="str">
        <f t="shared" si="443"/>
        <v>http://oconnordata.com/mlink/modules/profile/index.cfm?action=profile&amp;prop_id=16045</v>
      </c>
      <c r="N5671" s="1">
        <f t="shared" si="444"/>
        <v>16045</v>
      </c>
    </row>
    <row r="5672" spans="1:14" x14ac:dyDescent="0.3">
      <c r="A5672" s="1">
        <v>16046</v>
      </c>
      <c r="B5672" s="7" t="s">
        <v>4684</v>
      </c>
      <c r="C5672" s="12">
        <v>25455</v>
      </c>
      <c r="D5672" s="7" t="s">
        <v>8530</v>
      </c>
      <c r="E5672" s="13" t="s">
        <v>1671</v>
      </c>
      <c r="F5672" t="str">
        <f t="shared" si="440"/>
        <v>Borough</v>
      </c>
      <c r="G5672" t="str">
        <f t="shared" si="441"/>
        <v>Borough25455Spring</v>
      </c>
      <c r="H5672" t="s">
        <v>36528</v>
      </c>
      <c r="I5672" t="s">
        <v>27948</v>
      </c>
      <c r="J5672" t="str">
        <f t="shared" si="442"/>
        <v>E:\PropInv\MF</v>
      </c>
      <c r="K5672" s="103" t="str">
        <f>HYPERLINK("E:\PropInv\MF\Spring\Borough Park Dr_25455_The Falls at Borough Park_Spring_16046","Borough Park Dr_25455_The Falls at Borough Park_Spring_16046" )</f>
        <v>Borough Park Dr_25455_The Falls at Borough Park_Spring_16046</v>
      </c>
      <c r="L5672" s="104" t="s">
        <v>22253</v>
      </c>
      <c r="M5672" s="103" t="str">
        <f t="shared" si="443"/>
        <v>http://oconnordata.com/mlink/modules/profile/index.cfm?action=profile&amp;prop_id=16046</v>
      </c>
      <c r="N5672" s="1">
        <f t="shared" si="444"/>
        <v>16046</v>
      </c>
    </row>
    <row r="5673" spans="1:14" x14ac:dyDescent="0.3">
      <c r="A5673" s="1">
        <v>16047</v>
      </c>
      <c r="B5673" s="7" t="s">
        <v>8531</v>
      </c>
      <c r="C5673" s="12">
        <v>2855</v>
      </c>
      <c r="D5673" s="7" t="s">
        <v>8532</v>
      </c>
      <c r="E5673" s="13" t="s">
        <v>2198</v>
      </c>
      <c r="F5673" t="str">
        <f t="shared" si="440"/>
        <v>Commercial</v>
      </c>
      <c r="G5673" t="str">
        <f t="shared" si="441"/>
        <v>Commercial2855Katy</v>
      </c>
      <c r="H5673" t="s">
        <v>36529</v>
      </c>
      <c r="I5673" t="s">
        <v>27949</v>
      </c>
      <c r="J5673" t="str">
        <f t="shared" si="442"/>
        <v>E:\PropInv\MF</v>
      </c>
      <c r="K5673" s="103" t="str">
        <f>HYPERLINK("E:\PropInv\MF\Katy\Commercial Center Blvd_2855_The Lakes at Cinco Ranch_Katy_16047","Commercial Center Blvd_2855_The Lakes at Cinco Ranch_Katy_16047" )</f>
        <v>Commercial Center Blvd_2855_The Lakes at Cinco Ranch_Katy_16047</v>
      </c>
      <c r="L5673" s="104" t="s">
        <v>22253</v>
      </c>
      <c r="M5673" s="103" t="str">
        <f t="shared" si="443"/>
        <v>http://oconnordata.com/mlink/modules/profile/index.cfm?action=profile&amp;prop_id=16047</v>
      </c>
      <c r="N5673" s="1">
        <f t="shared" si="444"/>
        <v>16047</v>
      </c>
    </row>
    <row r="5674" spans="1:14" x14ac:dyDescent="0.3">
      <c r="A5674" s="1">
        <v>16048</v>
      </c>
      <c r="B5674" s="7" t="s">
        <v>8533</v>
      </c>
      <c r="C5674" s="12">
        <v>300</v>
      </c>
      <c r="D5674" s="7" t="s">
        <v>8534</v>
      </c>
      <c r="E5674" s="13" t="s">
        <v>498</v>
      </c>
      <c r="F5674" t="str">
        <f t="shared" si="440"/>
        <v>Stagecoach</v>
      </c>
      <c r="G5674" t="str">
        <f t="shared" si="441"/>
        <v>Stagecoach300San Marcos</v>
      </c>
      <c r="H5674" t="s">
        <v>36530</v>
      </c>
      <c r="I5674" t="s">
        <v>27950</v>
      </c>
      <c r="J5674" t="str">
        <f t="shared" si="442"/>
        <v>E:\PropInv\MF</v>
      </c>
      <c r="K5674" s="103" t="str">
        <f>HYPERLINK("E:\PropInv\MF\San Marcos\Stagecoach Trl S_300_Stone Brook Senior Community_San Marcos_16048","Stagecoach Trl S_300_Stone Brook Senior Community_San Marcos_16048" )</f>
        <v>Stagecoach Trl S_300_Stone Brook Senior Community_San Marcos_16048</v>
      </c>
      <c r="L5674" s="104" t="s">
        <v>22253</v>
      </c>
      <c r="M5674" s="103" t="str">
        <f t="shared" si="443"/>
        <v>http://oconnordata.com/mlink/modules/profile/index.cfm?action=profile&amp;prop_id=16048</v>
      </c>
      <c r="N5674" s="1">
        <f t="shared" si="444"/>
        <v>16048</v>
      </c>
    </row>
    <row r="5675" spans="1:14" x14ac:dyDescent="0.3">
      <c r="A5675" s="1">
        <v>16049</v>
      </c>
      <c r="B5675" s="7" t="s">
        <v>8535</v>
      </c>
      <c r="C5675" s="12">
        <v>220</v>
      </c>
      <c r="D5675" s="7" t="s">
        <v>8536</v>
      </c>
      <c r="E5675" s="13" t="s">
        <v>4996</v>
      </c>
      <c r="F5675" t="str">
        <f t="shared" si="440"/>
        <v>Stoneport</v>
      </c>
      <c r="G5675" t="str">
        <f t="shared" si="441"/>
        <v>Stoneport220Dallas</v>
      </c>
      <c r="H5675" t="s">
        <v>36531</v>
      </c>
      <c r="I5675" t="s">
        <v>27951</v>
      </c>
      <c r="J5675" t="str">
        <f t="shared" si="442"/>
        <v>E:\PropInv\MF</v>
      </c>
      <c r="K5675" s="103" t="str">
        <f>HYPERLINK("E:\PropInv\MF\Dallas\Stoneport Dr_220_Rosemont at Pemberton Hill_Dallas_16049","Stoneport Dr_220_Rosemont at Pemberton Hill_Dallas_16049" )</f>
        <v>Stoneport Dr_220_Rosemont at Pemberton Hill_Dallas_16049</v>
      </c>
      <c r="L5675" s="104" t="s">
        <v>22253</v>
      </c>
      <c r="M5675" s="103" t="str">
        <f t="shared" si="443"/>
        <v>http://oconnordata.com/mlink/modules/profile/index.cfm?action=profile&amp;prop_id=16049</v>
      </c>
      <c r="N5675" s="1">
        <f t="shared" si="444"/>
        <v>16049</v>
      </c>
    </row>
    <row r="5676" spans="1:14" x14ac:dyDescent="0.3">
      <c r="A5676" s="1">
        <v>16050</v>
      </c>
      <c r="B5676" s="7" t="s">
        <v>249</v>
      </c>
      <c r="C5676" s="12">
        <v>12001</v>
      </c>
      <c r="D5676" s="7" t="s">
        <v>8537</v>
      </c>
      <c r="E5676" s="13" t="s">
        <v>7</v>
      </c>
      <c r="F5676" t="str">
        <f t="shared" si="440"/>
        <v>Dessau</v>
      </c>
      <c r="G5676" t="str">
        <f t="shared" si="441"/>
        <v>Dessau12001Austin</v>
      </c>
      <c r="H5676" t="s">
        <v>36532</v>
      </c>
      <c r="I5676" t="s">
        <v>27952</v>
      </c>
      <c r="J5676" t="str">
        <f t="shared" si="442"/>
        <v>E:\PropInv\MF</v>
      </c>
      <c r="K5676" s="103" t="str">
        <f>HYPERLINK("E:\PropInv\MF\Austin\Dessau Rd_12001_The Park at Walnut Creek_Austin_16050","Dessau Rd_12001_The Park at Walnut Creek_Austin_16050" )</f>
        <v>Dessau Rd_12001_The Park at Walnut Creek_Austin_16050</v>
      </c>
      <c r="L5676" s="104" t="s">
        <v>22253</v>
      </c>
      <c r="M5676" s="103" t="str">
        <f t="shared" si="443"/>
        <v>http://oconnordata.com/mlink/modules/profile/index.cfm?action=profile&amp;prop_id=16050</v>
      </c>
      <c r="N5676" s="1">
        <f t="shared" si="444"/>
        <v>16050</v>
      </c>
    </row>
    <row r="5677" spans="1:14" x14ac:dyDescent="0.3">
      <c r="A5677" s="1">
        <v>16051</v>
      </c>
      <c r="B5677" s="7" t="s">
        <v>6675</v>
      </c>
      <c r="C5677" s="12">
        <v>9001</v>
      </c>
      <c r="D5677" s="7" t="s">
        <v>58</v>
      </c>
      <c r="E5677" s="13" t="s">
        <v>5014</v>
      </c>
      <c r="F5677" t="str">
        <f t="shared" si="440"/>
        <v>Normandale</v>
      </c>
      <c r="G5677" t="str">
        <f t="shared" si="441"/>
        <v>Normandale9001Fort Worth</v>
      </c>
      <c r="H5677" t="s">
        <v>36533</v>
      </c>
      <c r="I5677" t="s">
        <v>27953</v>
      </c>
      <c r="J5677" t="str">
        <f t="shared" si="442"/>
        <v>E:\PropInv\MF</v>
      </c>
      <c r="K5677" s="103" t="str">
        <f>HYPERLINK("E:\PropInv\MF\Fort Worth\Normandale N_9001_Bent Tree_Fort Worth_16051","Normandale N_9001_Bent Tree_Fort Worth_16051" )</f>
        <v>Normandale N_9001_Bent Tree_Fort Worth_16051</v>
      </c>
      <c r="L5677" s="104" t="s">
        <v>22253</v>
      </c>
      <c r="M5677" s="103" t="str">
        <f t="shared" si="443"/>
        <v>http://oconnordata.com/mlink/modules/profile/index.cfm?action=profile&amp;prop_id=16051</v>
      </c>
      <c r="N5677" s="1">
        <f t="shared" si="444"/>
        <v>16051</v>
      </c>
    </row>
    <row r="5678" spans="1:14" x14ac:dyDescent="0.3">
      <c r="A5678" s="1">
        <v>16052</v>
      </c>
      <c r="B5678" s="7" t="s">
        <v>6009</v>
      </c>
      <c r="C5678" s="12">
        <v>7905</v>
      </c>
      <c r="D5678" s="7" t="s">
        <v>3264</v>
      </c>
      <c r="E5678" s="13" t="s">
        <v>4996</v>
      </c>
      <c r="F5678" t="str">
        <f t="shared" si="440"/>
        <v>Marvin</v>
      </c>
      <c r="G5678" t="str">
        <f t="shared" si="441"/>
        <v>Marvin7905Dallas</v>
      </c>
      <c r="H5678" t="s">
        <v>36534</v>
      </c>
      <c r="I5678" t="s">
        <v>27954</v>
      </c>
      <c r="J5678" t="str">
        <f t="shared" si="442"/>
        <v>E:\PropInv\MF</v>
      </c>
      <c r="K5678" s="103" t="str">
        <f>HYPERLINK("E:\PropInv\MF\Dallas\Marvin D. Love Fwy_7905_Cedar Ridge_Dallas_16052","Marvin D. Love Fwy_7905_Cedar Ridge_Dallas_16052" )</f>
        <v>Marvin D. Love Fwy_7905_Cedar Ridge_Dallas_16052</v>
      </c>
      <c r="L5678" s="104" t="s">
        <v>22253</v>
      </c>
      <c r="M5678" s="103" t="str">
        <f t="shared" si="443"/>
        <v>http://oconnordata.com/mlink/modules/profile/index.cfm?action=profile&amp;prop_id=16052</v>
      </c>
      <c r="N5678" s="1">
        <f t="shared" si="444"/>
        <v>16052</v>
      </c>
    </row>
    <row r="5679" spans="1:14" x14ac:dyDescent="0.3">
      <c r="A5679" s="1">
        <v>16053</v>
      </c>
      <c r="B5679" s="7" t="s">
        <v>8538</v>
      </c>
      <c r="C5679" s="12">
        <v>9051</v>
      </c>
      <c r="D5679" s="7" t="s">
        <v>8539</v>
      </c>
      <c r="E5679" s="13" t="s">
        <v>5014</v>
      </c>
      <c r="F5679" t="str">
        <f t="shared" si="440"/>
        <v>Normandale</v>
      </c>
      <c r="G5679" t="str">
        <f t="shared" si="441"/>
        <v>Normandale9051Fort Worth</v>
      </c>
      <c r="H5679" t="s">
        <v>36535</v>
      </c>
      <c r="I5679" t="s">
        <v>27955</v>
      </c>
      <c r="J5679" t="str">
        <f t="shared" si="442"/>
        <v>E:\PropInv\MF</v>
      </c>
      <c r="K5679" s="103" t="str">
        <f>HYPERLINK("E:\PropInv\MF\Fort Worth\Normandale St S_9051_Oak Village_Fort Worth_16053","Normandale St S_9051_Oak Village_Fort Worth_16053" )</f>
        <v>Normandale St S_9051_Oak Village_Fort Worth_16053</v>
      </c>
      <c r="L5679" s="104" t="s">
        <v>22253</v>
      </c>
      <c r="M5679" s="103" t="str">
        <f t="shared" si="443"/>
        <v>http://oconnordata.com/mlink/modules/profile/index.cfm?action=profile&amp;prop_id=16053</v>
      </c>
      <c r="N5679" s="1">
        <f t="shared" si="444"/>
        <v>16053</v>
      </c>
    </row>
    <row r="5680" spans="1:14" x14ac:dyDescent="0.3">
      <c r="A5680" s="1">
        <v>16054</v>
      </c>
      <c r="B5680" s="7" t="s">
        <v>8540</v>
      </c>
      <c r="C5680" s="12">
        <v>300</v>
      </c>
      <c r="D5680" s="7" t="s">
        <v>8541</v>
      </c>
      <c r="E5680" s="13" t="s">
        <v>1657</v>
      </c>
      <c r="F5680" t="str">
        <f t="shared" si="440"/>
        <v>Kirkstall</v>
      </c>
      <c r="G5680" t="str">
        <f t="shared" si="441"/>
        <v>Kirkstall300Houston</v>
      </c>
      <c r="H5680" t="s">
        <v>36536</v>
      </c>
      <c r="I5680" t="s">
        <v>27956</v>
      </c>
      <c r="J5680" t="str">
        <f t="shared" si="442"/>
        <v>E:\PropInv\MF</v>
      </c>
      <c r="K5680" s="103" t="str">
        <f>HYPERLINK("E:\PropInv\MF\Houston\Kirkstall Dr_300_The Park at Kirkstall_Houston_16054","Kirkstall Dr_300_The Park at Kirkstall_Houston_16054" )</f>
        <v>Kirkstall Dr_300_The Park at Kirkstall_Houston_16054</v>
      </c>
      <c r="L5680" s="104" t="s">
        <v>22253</v>
      </c>
      <c r="M5680" s="103" t="str">
        <f t="shared" si="443"/>
        <v>http://oconnordata.com/mlink/modules/profile/index.cfm?action=profile&amp;prop_id=16054</v>
      </c>
      <c r="N5680" s="1">
        <f t="shared" si="444"/>
        <v>16054</v>
      </c>
    </row>
    <row r="5681" spans="1:14" x14ac:dyDescent="0.3">
      <c r="A5681" s="1">
        <v>16055</v>
      </c>
      <c r="B5681" s="7" t="s">
        <v>4696</v>
      </c>
      <c r="C5681" s="12">
        <v>15596</v>
      </c>
      <c r="D5681" s="7" t="s">
        <v>8542</v>
      </c>
      <c r="E5681" s="13" t="s">
        <v>4616</v>
      </c>
      <c r="F5681" t="str">
        <f t="shared" si="440"/>
        <v>45</v>
      </c>
      <c r="G5681" t="str">
        <f t="shared" si="441"/>
        <v>4515596Conroe</v>
      </c>
      <c r="H5681" t="s">
        <v>36537</v>
      </c>
      <c r="I5681" t="s">
        <v>27957</v>
      </c>
      <c r="J5681" t="str">
        <f t="shared" si="442"/>
        <v>E:\PropInv\MF</v>
      </c>
      <c r="K5681" s="103" t="str">
        <f>HYPERLINK("E:\PropInv\MF\Conroe\45 IH N_15596_The Dominion at the Woodlands_Conroe_16055","45 IH N_15596_The Dominion at the Woodlands_Conroe_16055" )</f>
        <v>45 IH N_15596_The Dominion at the Woodlands_Conroe_16055</v>
      </c>
      <c r="L5681" s="104" t="s">
        <v>22253</v>
      </c>
      <c r="M5681" s="103" t="str">
        <f t="shared" si="443"/>
        <v>http://oconnordata.com/mlink/modules/profile/index.cfm?action=profile&amp;prop_id=16055</v>
      </c>
      <c r="N5681" s="1">
        <f t="shared" si="444"/>
        <v>16055</v>
      </c>
    </row>
    <row r="5682" spans="1:14" x14ac:dyDescent="0.3">
      <c r="A5682" s="1">
        <v>16056</v>
      </c>
      <c r="B5682" s="7" t="s">
        <v>8543</v>
      </c>
      <c r="C5682" s="12">
        <v>3500</v>
      </c>
      <c r="D5682" s="7" t="s">
        <v>804</v>
      </c>
      <c r="E5682" s="13" t="s">
        <v>5014</v>
      </c>
      <c r="F5682" t="str">
        <f t="shared" si="440"/>
        <v>Riverside</v>
      </c>
      <c r="G5682" t="str">
        <f t="shared" si="441"/>
        <v>Riverside3500Fort Worth</v>
      </c>
      <c r="H5682" t="s">
        <v>36538</v>
      </c>
      <c r="I5682" t="s">
        <v>27958</v>
      </c>
      <c r="J5682" t="str">
        <f t="shared" si="442"/>
        <v>E:\PropInv\MF</v>
      </c>
      <c r="K5682" s="103" t="str">
        <f>HYPERLINK("E:\PropInv\MF\Fort Worth\Riverside Dr S_3500_Autumn Chase_Fort Worth_16056","Riverside Dr S_3500_Autumn Chase_Fort Worth_16056" )</f>
        <v>Riverside Dr S_3500_Autumn Chase_Fort Worth_16056</v>
      </c>
      <c r="L5682" s="104" t="s">
        <v>22253</v>
      </c>
      <c r="M5682" s="103" t="str">
        <f t="shared" si="443"/>
        <v>http://oconnordata.com/mlink/modules/profile/index.cfm?action=profile&amp;prop_id=16056</v>
      </c>
      <c r="N5682" s="1">
        <f t="shared" si="444"/>
        <v>16056</v>
      </c>
    </row>
    <row r="5683" spans="1:14" x14ac:dyDescent="0.3">
      <c r="A5683" s="97">
        <v>16064</v>
      </c>
      <c r="B5683" s="7" t="s">
        <v>8544</v>
      </c>
      <c r="C5683" s="12">
        <v>4600</v>
      </c>
      <c r="D5683" s="7" t="s">
        <v>8545</v>
      </c>
      <c r="E5683" s="13" t="s">
        <v>7</v>
      </c>
      <c r="F5683" t="str">
        <f t="shared" si="440"/>
        <v>Nuckols</v>
      </c>
      <c r="G5683" t="str">
        <f t="shared" si="441"/>
        <v>Nuckols4600Austin</v>
      </c>
      <c r="H5683" t="s">
        <v>36539</v>
      </c>
      <c r="I5683" t="s">
        <v>27959</v>
      </c>
      <c r="J5683" t="str">
        <f t="shared" si="442"/>
        <v>E:\PropInv\MF</v>
      </c>
      <c r="K5683" s="103" t="str">
        <f>HYPERLINK("E:\PropInv\MF\Austin\Nuckols Crossing Rd_4600_Woodway Village_Austin_16064","Nuckols Crossing Rd_4600_Woodway Village_Austin_16064" )</f>
        <v>Nuckols Crossing Rd_4600_Woodway Village_Austin_16064</v>
      </c>
      <c r="L5683" s="104" t="s">
        <v>22253</v>
      </c>
      <c r="M5683" s="103" t="str">
        <f t="shared" si="443"/>
        <v>http://oconnordata.com/mlink/modules/profile/index.cfm?action=profile&amp;prop_id=16064</v>
      </c>
      <c r="N5683" s="1">
        <f t="shared" si="444"/>
        <v>16064</v>
      </c>
    </row>
    <row r="5684" spans="1:14" x14ac:dyDescent="0.3">
      <c r="A5684" s="1">
        <v>16065</v>
      </c>
      <c r="B5684" s="7" t="s">
        <v>6266</v>
      </c>
      <c r="C5684" s="12">
        <v>3303</v>
      </c>
      <c r="D5684" s="7" t="s">
        <v>8546</v>
      </c>
      <c r="E5684" s="13" t="s">
        <v>4996</v>
      </c>
      <c r="F5684" t="str">
        <f t="shared" si="440"/>
        <v>Southern</v>
      </c>
      <c r="G5684" t="str">
        <f t="shared" si="441"/>
        <v>Southern3303Dallas</v>
      </c>
      <c r="H5684" t="s">
        <v>36540</v>
      </c>
      <c r="I5684" t="s">
        <v>27960</v>
      </c>
      <c r="J5684" t="str">
        <f t="shared" si="442"/>
        <v>E:\PropInv\MF</v>
      </c>
      <c r="K5684" s="103" t="str">
        <f>HYPERLINK("E:\PropInv\MF\Dallas\Southern Oaks_3303_Rosemont at Cedar Crest_Dallas_16065","Southern Oaks_3303_Rosemont at Cedar Crest_Dallas_16065" )</f>
        <v>Southern Oaks_3303_Rosemont at Cedar Crest_Dallas_16065</v>
      </c>
      <c r="L5684" s="104" t="s">
        <v>22253</v>
      </c>
      <c r="M5684" s="103" t="str">
        <f t="shared" si="443"/>
        <v>http://oconnordata.com/mlink/modules/profile/index.cfm?action=profile&amp;prop_id=16065</v>
      </c>
      <c r="N5684" s="1">
        <f t="shared" si="444"/>
        <v>16065</v>
      </c>
    </row>
    <row r="5685" spans="1:14" x14ac:dyDescent="0.3">
      <c r="A5685" s="1">
        <v>16066</v>
      </c>
      <c r="B5685" s="7" t="s">
        <v>8547</v>
      </c>
      <c r="C5685" s="12">
        <v>8125</v>
      </c>
      <c r="D5685" s="7" t="s">
        <v>8548</v>
      </c>
      <c r="E5685" s="13" t="s">
        <v>4996</v>
      </c>
      <c r="F5685" t="str">
        <f t="shared" si="440"/>
        <v>Clark</v>
      </c>
      <c r="G5685" t="str">
        <f t="shared" si="441"/>
        <v>Clark8125Dallas</v>
      </c>
      <c r="H5685" t="s">
        <v>36541</v>
      </c>
      <c r="I5685" t="s">
        <v>27961</v>
      </c>
      <c r="J5685" t="str">
        <f t="shared" si="442"/>
        <v>E:\PropInv\MF</v>
      </c>
      <c r="K5685" s="103" t="str">
        <f>HYPERLINK("E:\PropInv\MF\Dallas\Clark Rd_8125_Rosemont at Bluff Ridge_Dallas_16066","Clark Rd_8125_Rosemont at Bluff Ridge_Dallas_16066" )</f>
        <v>Clark Rd_8125_Rosemont at Bluff Ridge_Dallas_16066</v>
      </c>
      <c r="L5685" s="104" t="s">
        <v>22253</v>
      </c>
      <c r="M5685" s="103" t="str">
        <f t="shared" si="443"/>
        <v>http://oconnordata.com/mlink/modules/profile/index.cfm?action=profile&amp;prop_id=16066</v>
      </c>
      <c r="N5685" s="1">
        <f t="shared" si="444"/>
        <v>16066</v>
      </c>
    </row>
    <row r="5686" spans="1:14" x14ac:dyDescent="0.3">
      <c r="A5686" s="1">
        <v>16068</v>
      </c>
      <c r="B5686" s="7" t="s">
        <v>7723</v>
      </c>
      <c r="C5686" s="12">
        <v>8410</v>
      </c>
      <c r="D5686" s="7" t="s">
        <v>8549</v>
      </c>
      <c r="E5686" s="13" t="s">
        <v>4996</v>
      </c>
      <c r="F5686" t="str">
        <f t="shared" si="440"/>
        <v>Westmoreland</v>
      </c>
      <c r="G5686" t="str">
        <f t="shared" si="441"/>
        <v>Westmoreland8410Dallas</v>
      </c>
      <c r="H5686" t="s">
        <v>36542</v>
      </c>
      <c r="I5686" t="s">
        <v>27962</v>
      </c>
      <c r="J5686" t="str">
        <f t="shared" si="442"/>
        <v>E:\PropInv\MF</v>
      </c>
      <c r="K5686" s="103" t="str">
        <f>HYPERLINK("E:\PropInv\MF\Dallas\Westmoreland Rd S_8410_Rosemont at Hickory Trace_Dallas_16068","Westmoreland Rd S_8410_Rosemont at Hickory Trace_Dallas_16068" )</f>
        <v>Westmoreland Rd S_8410_Rosemont at Hickory Trace_Dallas_16068</v>
      </c>
      <c r="L5686" s="104" t="s">
        <v>22253</v>
      </c>
      <c r="M5686" s="103" t="str">
        <f t="shared" si="443"/>
        <v>http://oconnordata.com/mlink/modules/profile/index.cfm?action=profile&amp;prop_id=16068</v>
      </c>
      <c r="N5686" s="1">
        <f t="shared" si="444"/>
        <v>16068</v>
      </c>
    </row>
    <row r="5687" spans="1:14" x14ac:dyDescent="0.3">
      <c r="A5687" s="1">
        <v>16069</v>
      </c>
      <c r="B5687" s="7" t="s">
        <v>387</v>
      </c>
      <c r="C5687" s="12">
        <v>5901</v>
      </c>
      <c r="D5687" s="7" t="s">
        <v>8550</v>
      </c>
      <c r="E5687" s="13" t="s">
        <v>7</v>
      </c>
      <c r="F5687" t="str">
        <f t="shared" si="440"/>
        <v>Stassney</v>
      </c>
      <c r="G5687" t="str">
        <f t="shared" si="441"/>
        <v>Stassney5901Austin</v>
      </c>
      <c r="H5687" t="s">
        <v>36543</v>
      </c>
      <c r="I5687" t="s">
        <v>27963</v>
      </c>
      <c r="J5687" t="str">
        <f t="shared" si="442"/>
        <v>E:\PropInv\MF</v>
      </c>
      <c r="K5687" s="103" t="str">
        <f>HYPERLINK("E:\PropInv\MF\Austin\Stassney Ln E_5901_Villas of Cordoba_Austin_16069","Stassney Ln E_5901_Villas of Cordoba_Austin_16069" )</f>
        <v>Stassney Ln E_5901_Villas of Cordoba_Austin_16069</v>
      </c>
      <c r="L5687" s="104" t="s">
        <v>22253</v>
      </c>
      <c r="M5687" s="103" t="str">
        <f t="shared" si="443"/>
        <v>http://oconnordata.com/mlink/modules/profile/index.cfm?action=profile&amp;prop_id=16069</v>
      </c>
      <c r="N5687" s="1">
        <f t="shared" si="444"/>
        <v>16069</v>
      </c>
    </row>
    <row r="5688" spans="1:14" x14ac:dyDescent="0.3">
      <c r="A5688" s="1">
        <v>16070</v>
      </c>
      <c r="B5688" s="7" t="s">
        <v>7094</v>
      </c>
      <c r="C5688" s="12">
        <v>6318</v>
      </c>
      <c r="D5688" s="7" t="s">
        <v>8551</v>
      </c>
      <c r="E5688" s="13" t="s">
        <v>4996</v>
      </c>
      <c r="F5688" t="str">
        <f t="shared" si="440"/>
        <v>Ridgecrest</v>
      </c>
      <c r="G5688" t="str">
        <f t="shared" si="441"/>
        <v>Ridgecrest6318Dallas</v>
      </c>
      <c r="H5688" t="s">
        <v>36544</v>
      </c>
      <c r="I5688" t="s">
        <v>27964</v>
      </c>
      <c r="J5688" t="str">
        <f t="shared" si="442"/>
        <v>E:\PropInv\MF</v>
      </c>
      <c r="K5688" s="103" t="str">
        <f>HYPERLINK("E:\PropInv\MF\Dallas\Ridgecrest Rd_6318_Santa Fe Trails_Dallas_16070","Ridgecrest Rd_6318_Santa Fe Trails_Dallas_16070" )</f>
        <v>Ridgecrest Rd_6318_Santa Fe Trails_Dallas_16070</v>
      </c>
      <c r="L5688" s="104" t="s">
        <v>22253</v>
      </c>
      <c r="M5688" s="103" t="str">
        <f t="shared" si="443"/>
        <v>http://oconnordata.com/mlink/modules/profile/index.cfm?action=profile&amp;prop_id=16070</v>
      </c>
      <c r="N5688" s="1">
        <f t="shared" si="444"/>
        <v>16070</v>
      </c>
    </row>
    <row r="5689" spans="1:14" x14ac:dyDescent="0.3">
      <c r="A5689" s="1">
        <v>16071</v>
      </c>
      <c r="B5689" s="7" t="s">
        <v>8552</v>
      </c>
      <c r="C5689" s="12">
        <v>807</v>
      </c>
      <c r="D5689" s="7" t="s">
        <v>8553</v>
      </c>
      <c r="E5689" s="13" t="s">
        <v>7</v>
      </c>
      <c r="F5689" t="str">
        <f t="shared" si="440"/>
        <v>Lynn</v>
      </c>
      <c r="G5689" t="str">
        <f t="shared" si="441"/>
        <v>Lynn807Austin</v>
      </c>
      <c r="H5689" t="s">
        <v>36545</v>
      </c>
      <c r="I5689" t="s">
        <v>27965</v>
      </c>
      <c r="J5689" t="str">
        <f t="shared" si="442"/>
        <v>E:\PropInv\MF</v>
      </c>
      <c r="K5689" s="103" t="str">
        <f>HYPERLINK("E:\PropInv\MF\Austin\Lynn St W_807_The Castile_Austin_16071","Lynn St W_807_The Castile_Austin_16071" )</f>
        <v>Lynn St W_807_The Castile_Austin_16071</v>
      </c>
      <c r="L5689" s="104" t="s">
        <v>22253</v>
      </c>
      <c r="M5689" s="103" t="str">
        <f t="shared" si="443"/>
        <v>http://oconnordata.com/mlink/modules/profile/index.cfm?action=profile&amp;prop_id=16071</v>
      </c>
      <c r="N5689" s="1">
        <f t="shared" si="444"/>
        <v>16071</v>
      </c>
    </row>
    <row r="5690" spans="1:14" x14ac:dyDescent="0.3">
      <c r="A5690" s="1">
        <v>16073</v>
      </c>
      <c r="B5690" s="7" t="s">
        <v>3118</v>
      </c>
      <c r="C5690" s="12">
        <v>1309</v>
      </c>
      <c r="D5690" s="7" t="s">
        <v>8554</v>
      </c>
      <c r="E5690" s="13" t="s">
        <v>4996</v>
      </c>
      <c r="F5690" t="str">
        <f t="shared" si="440"/>
        <v>Main</v>
      </c>
      <c r="G5690" t="str">
        <f t="shared" si="441"/>
        <v>Main1309Dallas</v>
      </c>
      <c r="H5690" t="s">
        <v>36546</v>
      </c>
      <c r="I5690" t="s">
        <v>27966</v>
      </c>
      <c r="J5690" t="str">
        <f t="shared" si="442"/>
        <v>E:\PropInv\MF</v>
      </c>
      <c r="K5690" s="103" t="str">
        <f>HYPERLINK("E:\PropInv\MF\Dallas\Main St_1309_The Davis Building_Dallas_16073","Main St_1309_The Davis Building_Dallas_16073" )</f>
        <v>Main St_1309_The Davis Building_Dallas_16073</v>
      </c>
      <c r="L5690" s="104" t="s">
        <v>22253</v>
      </c>
      <c r="M5690" s="103" t="str">
        <f t="shared" si="443"/>
        <v>http://oconnordata.com/mlink/modules/profile/index.cfm?action=profile&amp;prop_id=16073</v>
      </c>
      <c r="N5690" s="1">
        <f t="shared" si="444"/>
        <v>16073</v>
      </c>
    </row>
    <row r="5691" spans="1:14" x14ac:dyDescent="0.3">
      <c r="A5691" s="1">
        <v>16075</v>
      </c>
      <c r="B5691" s="7" t="s">
        <v>8552</v>
      </c>
      <c r="C5691" s="12">
        <v>1301</v>
      </c>
      <c r="D5691" s="7" t="s">
        <v>8555</v>
      </c>
      <c r="E5691" s="13" t="s">
        <v>7</v>
      </c>
      <c r="F5691" t="str">
        <f t="shared" si="440"/>
        <v>Lynn</v>
      </c>
      <c r="G5691" t="str">
        <f t="shared" si="441"/>
        <v>Lynn1301Austin</v>
      </c>
      <c r="H5691" t="s">
        <v>36547</v>
      </c>
      <c r="I5691" t="s">
        <v>27967</v>
      </c>
      <c r="J5691" t="str">
        <f t="shared" si="442"/>
        <v>E:\PropInv\MF</v>
      </c>
      <c r="K5691" s="103" t="str">
        <f>HYPERLINK("E:\PropInv\MF\Austin\Lynn St W_1301_Austin Tuscany_Austin_16075","Lynn St W_1301_Austin Tuscany_Austin_16075" )</f>
        <v>Lynn St W_1301_Austin Tuscany_Austin_16075</v>
      </c>
      <c r="L5691" s="104" t="s">
        <v>22253</v>
      </c>
      <c r="M5691" s="103" t="str">
        <f t="shared" si="443"/>
        <v>http://oconnordata.com/mlink/modules/profile/index.cfm?action=profile&amp;prop_id=16075</v>
      </c>
      <c r="N5691" s="1">
        <f t="shared" si="444"/>
        <v>16075</v>
      </c>
    </row>
    <row r="5692" spans="1:14" x14ac:dyDescent="0.3">
      <c r="A5692" s="1">
        <v>16076</v>
      </c>
      <c r="B5692" s="7" t="s">
        <v>8556</v>
      </c>
      <c r="C5692" s="12">
        <v>709</v>
      </c>
      <c r="D5692" s="7" t="s">
        <v>8557</v>
      </c>
      <c r="E5692" s="13" t="s">
        <v>7</v>
      </c>
      <c r="F5692" t="str">
        <f t="shared" si="440"/>
        <v>Lamar</v>
      </c>
      <c r="G5692" t="str">
        <f t="shared" si="441"/>
        <v>Lamar709Austin</v>
      </c>
      <c r="H5692" t="s">
        <v>36548</v>
      </c>
      <c r="I5692" t="s">
        <v>27968</v>
      </c>
      <c r="J5692" t="str">
        <f t="shared" si="442"/>
        <v>E:\PropInv\MF</v>
      </c>
      <c r="K5692" s="103" t="str">
        <f>HYPERLINK("E:\PropInv\MF\Austin\Lamar Place_709_Villages at Lamar V_Austin_16076","Lamar Place_709_Villages at Lamar V_Austin_16076" )</f>
        <v>Lamar Place_709_Villages at Lamar V_Austin_16076</v>
      </c>
      <c r="L5692" s="104" t="s">
        <v>22253</v>
      </c>
      <c r="M5692" s="103" t="str">
        <f t="shared" si="443"/>
        <v>http://oconnordata.com/mlink/modules/profile/index.cfm?action=profile&amp;prop_id=16076</v>
      </c>
      <c r="N5692" s="1">
        <f t="shared" si="444"/>
        <v>16076</v>
      </c>
    </row>
    <row r="5693" spans="1:14" x14ac:dyDescent="0.3">
      <c r="A5693" s="1">
        <v>16077</v>
      </c>
      <c r="B5693" s="7" t="s">
        <v>8556</v>
      </c>
      <c r="C5693" s="12">
        <v>702</v>
      </c>
      <c r="D5693" s="7" t="s">
        <v>8558</v>
      </c>
      <c r="E5693" s="13" t="s">
        <v>7</v>
      </c>
      <c r="F5693" t="str">
        <f t="shared" si="440"/>
        <v>Lamar</v>
      </c>
      <c r="G5693" t="str">
        <f t="shared" si="441"/>
        <v>Lamar702Austin</v>
      </c>
      <c r="H5693" t="s">
        <v>36549</v>
      </c>
      <c r="I5693" t="s">
        <v>27969</v>
      </c>
      <c r="J5693" t="str">
        <f t="shared" si="442"/>
        <v>E:\PropInv\MF</v>
      </c>
      <c r="K5693" s="103" t="str">
        <f>HYPERLINK("E:\PropInv\MF\Austin\Lamar Place_702_Villages at Lamar IV_Austin_16077","Lamar Place_702_Villages at Lamar IV_Austin_16077" )</f>
        <v>Lamar Place_702_Villages at Lamar IV_Austin_16077</v>
      </c>
      <c r="L5693" s="104" t="s">
        <v>22253</v>
      </c>
      <c r="M5693" s="103" t="str">
        <f t="shared" si="443"/>
        <v>http://oconnordata.com/mlink/modules/profile/index.cfm?action=profile&amp;prop_id=16077</v>
      </c>
      <c r="N5693" s="1">
        <f t="shared" si="444"/>
        <v>16077</v>
      </c>
    </row>
    <row r="5694" spans="1:14" x14ac:dyDescent="0.3">
      <c r="A5694" s="1">
        <v>16078</v>
      </c>
      <c r="B5694" s="7" t="s">
        <v>8559</v>
      </c>
      <c r="C5694" s="12">
        <v>6309</v>
      </c>
      <c r="D5694" s="7" t="s">
        <v>8560</v>
      </c>
      <c r="E5694" s="13" t="s">
        <v>7</v>
      </c>
      <c r="F5694" t="str">
        <f t="shared" si="440"/>
        <v>Burns</v>
      </c>
      <c r="G5694" t="str">
        <f t="shared" si="441"/>
        <v>Burns6309Austin</v>
      </c>
      <c r="H5694" t="s">
        <v>36550</v>
      </c>
      <c r="I5694" t="s">
        <v>27970</v>
      </c>
      <c r="J5694" t="str">
        <f t="shared" si="442"/>
        <v>E:\PropInv\MF</v>
      </c>
      <c r="K5694" s="103" t="str">
        <f>HYPERLINK("E:\PropInv\MF\Austin\Burns St_6309_Villages at Lamar I_Austin_16078","Burns St_6309_Villages at Lamar I_Austin_16078" )</f>
        <v>Burns St_6309_Villages at Lamar I_Austin_16078</v>
      </c>
      <c r="L5694" s="104" t="s">
        <v>22253</v>
      </c>
      <c r="M5694" s="103" t="str">
        <f t="shared" si="443"/>
        <v>http://oconnordata.com/mlink/modules/profile/index.cfm?action=profile&amp;prop_id=16078</v>
      </c>
      <c r="N5694" s="1">
        <f t="shared" si="444"/>
        <v>16078</v>
      </c>
    </row>
    <row r="5695" spans="1:14" x14ac:dyDescent="0.3">
      <c r="A5695" s="1">
        <v>16079</v>
      </c>
      <c r="B5695" s="7" t="s">
        <v>8559</v>
      </c>
      <c r="C5695" s="12">
        <v>6408</v>
      </c>
      <c r="D5695" s="7" t="s">
        <v>8561</v>
      </c>
      <c r="E5695" s="13" t="s">
        <v>7</v>
      </c>
      <c r="F5695" t="str">
        <f t="shared" si="440"/>
        <v>Burns</v>
      </c>
      <c r="G5695" t="str">
        <f t="shared" si="441"/>
        <v>Burns6408Austin</v>
      </c>
      <c r="H5695" t="s">
        <v>36551</v>
      </c>
      <c r="I5695" t="s">
        <v>27971</v>
      </c>
      <c r="J5695" t="str">
        <f t="shared" si="442"/>
        <v>E:\PropInv\MF</v>
      </c>
      <c r="K5695" s="103" t="str">
        <f>HYPERLINK("E:\PropInv\MF\Austin\Burns St_6408_Villages at Lamar III_Austin_16079","Burns St_6408_Villages at Lamar III_Austin_16079" )</f>
        <v>Burns St_6408_Villages at Lamar III_Austin_16079</v>
      </c>
      <c r="L5695" s="104" t="s">
        <v>22253</v>
      </c>
      <c r="M5695" s="103" t="str">
        <f t="shared" si="443"/>
        <v>http://oconnordata.com/mlink/modules/profile/index.cfm?action=profile&amp;prop_id=16079</v>
      </c>
      <c r="N5695" s="1">
        <f t="shared" si="444"/>
        <v>16079</v>
      </c>
    </row>
    <row r="5696" spans="1:14" x14ac:dyDescent="0.3">
      <c r="A5696" s="1">
        <v>16080</v>
      </c>
      <c r="B5696" s="7" t="s">
        <v>8562</v>
      </c>
      <c r="C5696" s="12">
        <v>902</v>
      </c>
      <c r="D5696" s="7" t="s">
        <v>8563</v>
      </c>
      <c r="E5696" s="13" t="s">
        <v>7</v>
      </c>
      <c r="F5696" t="str">
        <f t="shared" si="440"/>
        <v>Romeria</v>
      </c>
      <c r="G5696" t="str">
        <f t="shared" si="441"/>
        <v>Romeria902Austin</v>
      </c>
      <c r="H5696" t="s">
        <v>36552</v>
      </c>
      <c r="I5696" t="s">
        <v>27972</v>
      </c>
      <c r="J5696" t="str">
        <f t="shared" si="442"/>
        <v>E:\PropInv\MF</v>
      </c>
      <c r="K5696" s="103" t="str">
        <f>HYPERLINK("E:\PropInv\MF\Austin\Romeria_902_Chelsea Palms_Austin_16080","Romeria_902_Chelsea Palms_Austin_16080" )</f>
        <v>Romeria_902_Chelsea Palms_Austin_16080</v>
      </c>
      <c r="L5696" s="104" t="s">
        <v>22253</v>
      </c>
      <c r="M5696" s="103" t="str">
        <f t="shared" si="443"/>
        <v>http://oconnordata.com/mlink/modules/profile/index.cfm?action=profile&amp;prop_id=16080</v>
      </c>
      <c r="N5696" s="1">
        <f t="shared" si="444"/>
        <v>16080</v>
      </c>
    </row>
    <row r="5697" spans="1:14" x14ac:dyDescent="0.3">
      <c r="A5697" s="1">
        <v>16081</v>
      </c>
      <c r="B5697" s="7" t="s">
        <v>8564</v>
      </c>
      <c r="C5697" s="12">
        <v>6505</v>
      </c>
      <c r="D5697" s="7" t="s">
        <v>8565</v>
      </c>
      <c r="E5697" s="13" t="s">
        <v>7</v>
      </c>
      <c r="F5697" t="str">
        <f t="shared" si="440"/>
        <v>Shirley</v>
      </c>
      <c r="G5697" t="str">
        <f t="shared" si="441"/>
        <v>Shirley6505Austin</v>
      </c>
      <c r="H5697" t="s">
        <v>36553</v>
      </c>
      <c r="I5697" t="s">
        <v>27973</v>
      </c>
      <c r="J5697" t="str">
        <f t="shared" si="442"/>
        <v>E:\PropInv\MF</v>
      </c>
      <c r="K5697" s="103" t="str">
        <f>HYPERLINK("E:\PropInv\MF\Austin\Shirley Ave_6505_Villages at Lamar II_Austin_16081","Shirley Ave_6505_Villages at Lamar II_Austin_16081" )</f>
        <v>Shirley Ave_6505_Villages at Lamar II_Austin_16081</v>
      </c>
      <c r="L5697" s="104" t="s">
        <v>22253</v>
      </c>
      <c r="M5697" s="103" t="str">
        <f t="shared" si="443"/>
        <v>http://oconnordata.com/mlink/modules/profile/index.cfm?action=profile&amp;prop_id=16081</v>
      </c>
      <c r="N5697" s="1">
        <f t="shared" si="444"/>
        <v>16081</v>
      </c>
    </row>
    <row r="5698" spans="1:14" x14ac:dyDescent="0.3">
      <c r="A5698" s="1">
        <v>16086</v>
      </c>
      <c r="B5698" s="7" t="s">
        <v>6083</v>
      </c>
      <c r="C5698" s="12">
        <v>2531</v>
      </c>
      <c r="D5698" s="7" t="s">
        <v>8566</v>
      </c>
      <c r="E5698" s="13" t="s">
        <v>5411</v>
      </c>
      <c r="F5698" t="str">
        <f t="shared" ref="F5698:F5761" si="445">IFERROR(LEFT(B5698,FIND(" ",B5698)-1),B5698)</f>
        <v>Pleasant</v>
      </c>
      <c r="G5698" t="str">
        <f t="shared" ref="G5698:G5761" si="446">F5698&amp;C5698&amp;E5698</f>
        <v>Pleasant2531Lancaster</v>
      </c>
      <c r="H5698" t="s">
        <v>36554</v>
      </c>
      <c r="I5698" t="s">
        <v>27974</v>
      </c>
      <c r="J5698" t="str">
        <f t="shared" ref="J5698:J5761" si="447">IF(L5698="TX",Folder_Path,Folder_Path&amp;"\State_"&amp;L5698)</f>
        <v>E:\PropInv\MF</v>
      </c>
      <c r="K5698" s="103" t="str">
        <f>HYPERLINK("E:\PropInv\MF\Lancaster\Pleasant Run Rd W_2531_Villas of Lancaster_Lancaster_16086","Pleasant Run Rd W_2531_Villas of Lancaster_Lancaster_16086" )</f>
        <v>Pleasant Run Rd W_2531_Villas of Lancaster_Lancaster_16086</v>
      </c>
      <c r="L5698" s="104" t="s">
        <v>22253</v>
      </c>
      <c r="M5698" s="103" t="str">
        <f t="shared" ref="M5698:M5761" si="448">HYPERLINK("http://oconnordata.com/mlink/modules/profile/index.cfm?action=profile&amp;prop_id="&amp;A5698)</f>
        <v>http://oconnordata.com/mlink/modules/profile/index.cfm?action=profile&amp;prop_id=16086</v>
      </c>
      <c r="N5698" s="1">
        <f t="shared" ref="N5698:N5761" si="449">IF(LEN(A5698)=1,"0000"&amp;A5698,IF(LEN(A5698)=2,"000"&amp;A5698,IF(LEN(A5698)=3,"00"&amp;A5698,IF(LEN(A5698)=4,"0"&amp;A5698,IF(LEN(A5698)=5,IF(LEFT(A5698,1)="3",A5698+30000,A5698))))))</f>
        <v>16086</v>
      </c>
    </row>
    <row r="5699" spans="1:14" x14ac:dyDescent="0.3">
      <c r="A5699" s="1">
        <v>16087</v>
      </c>
      <c r="B5699" s="7" t="s">
        <v>8567</v>
      </c>
      <c r="C5699" s="12">
        <v>4619</v>
      </c>
      <c r="D5699" s="7" t="s">
        <v>8568</v>
      </c>
      <c r="E5699" s="13" t="s">
        <v>842</v>
      </c>
      <c r="F5699" t="str">
        <f t="shared" si="445"/>
        <v>Dietrich</v>
      </c>
      <c r="G5699" t="str">
        <f t="shared" si="446"/>
        <v>Dietrich4619San Antonio</v>
      </c>
      <c r="H5699" t="s">
        <v>36555</v>
      </c>
      <c r="I5699" t="s">
        <v>27975</v>
      </c>
      <c r="J5699" t="str">
        <f t="shared" si="447"/>
        <v>E:\PropInv\MF</v>
      </c>
      <c r="K5699" s="103" t="str">
        <f>HYPERLINK("E:\PropInv\MF\San Antonio\Dietrich_4619_Madison on Dietrich_San Antonio_16087","Dietrich_4619_Madison on Dietrich_San Antonio_16087" )</f>
        <v>Dietrich_4619_Madison on Dietrich_San Antonio_16087</v>
      </c>
      <c r="L5699" s="104" t="s">
        <v>22253</v>
      </c>
      <c r="M5699" s="103" t="str">
        <f t="shared" si="448"/>
        <v>http://oconnordata.com/mlink/modules/profile/index.cfm?action=profile&amp;prop_id=16087</v>
      </c>
      <c r="N5699" s="1">
        <f t="shared" si="449"/>
        <v>16087</v>
      </c>
    </row>
    <row r="5700" spans="1:14" x14ac:dyDescent="0.3">
      <c r="A5700" s="1">
        <v>16088</v>
      </c>
      <c r="B5700" s="7" t="s">
        <v>8569</v>
      </c>
      <c r="C5700" s="12">
        <v>2345</v>
      </c>
      <c r="D5700" s="7" t="s">
        <v>8570</v>
      </c>
      <c r="E5700" s="13" t="s">
        <v>1657</v>
      </c>
      <c r="F5700" t="str">
        <f t="shared" si="445"/>
        <v>Sage</v>
      </c>
      <c r="G5700" t="str">
        <f t="shared" si="446"/>
        <v>Sage2345Houston</v>
      </c>
      <c r="H5700" t="s">
        <v>36556</v>
      </c>
      <c r="I5700" t="s">
        <v>27976</v>
      </c>
      <c r="J5700" t="str">
        <f t="shared" si="447"/>
        <v>E:\PropInv\MF</v>
      </c>
      <c r="K5700" s="103" t="str">
        <f>HYPERLINK("E:\PropInv\MF\Houston\Sage Rd_2345_Montierra_Houston_16088","Sage Rd_2345_Montierra_Houston_16088" )</f>
        <v>Sage Rd_2345_Montierra_Houston_16088</v>
      </c>
      <c r="L5700" s="104" t="s">
        <v>22253</v>
      </c>
      <c r="M5700" s="103" t="str">
        <f t="shared" si="448"/>
        <v>http://oconnordata.com/mlink/modules/profile/index.cfm?action=profile&amp;prop_id=16088</v>
      </c>
      <c r="N5700" s="1">
        <f t="shared" si="449"/>
        <v>16088</v>
      </c>
    </row>
    <row r="5701" spans="1:14" x14ac:dyDescent="0.3">
      <c r="A5701" s="1">
        <v>16089</v>
      </c>
      <c r="B5701" s="7" t="s">
        <v>2214</v>
      </c>
      <c r="C5701" s="12">
        <v>12500</v>
      </c>
      <c r="D5701" s="7" t="s">
        <v>8571</v>
      </c>
      <c r="E5701" s="13" t="s">
        <v>1818</v>
      </c>
      <c r="F5701" t="str">
        <f t="shared" si="445"/>
        <v>Barker</v>
      </c>
      <c r="G5701" t="str">
        <f t="shared" si="446"/>
        <v>Barker12500Cypress</v>
      </c>
      <c r="H5701" t="s">
        <v>36557</v>
      </c>
      <c r="I5701" t="s">
        <v>27977</v>
      </c>
      <c r="J5701" t="str">
        <f t="shared" si="447"/>
        <v>E:\PropInv\MF</v>
      </c>
      <c r="K5701" s="103" t="str">
        <f>HYPERLINK("E:\PropInv\MF\Cypress\Barker Cypress_12500_Broadstone Coles Crossing_Cypress_16089","Barker Cypress_12500_Broadstone Coles Crossing_Cypress_16089" )</f>
        <v>Barker Cypress_12500_Broadstone Coles Crossing_Cypress_16089</v>
      </c>
      <c r="L5701" s="104" t="s">
        <v>22253</v>
      </c>
      <c r="M5701" s="103" t="str">
        <f t="shared" si="448"/>
        <v>http://oconnordata.com/mlink/modules/profile/index.cfm?action=profile&amp;prop_id=16089</v>
      </c>
      <c r="N5701" s="1">
        <f t="shared" si="449"/>
        <v>16089</v>
      </c>
    </row>
    <row r="5702" spans="1:14" x14ac:dyDescent="0.3">
      <c r="A5702" s="1">
        <v>16090</v>
      </c>
      <c r="B5702" s="7" t="s">
        <v>5813</v>
      </c>
      <c r="C5702" s="12">
        <v>1540</v>
      </c>
      <c r="D5702" s="7" t="s">
        <v>8572</v>
      </c>
      <c r="E5702" s="13" t="s">
        <v>5088</v>
      </c>
      <c r="F5702" t="str">
        <f t="shared" si="445"/>
        <v>Galloway</v>
      </c>
      <c r="G5702" t="str">
        <f t="shared" si="446"/>
        <v>Galloway1540Mesquite</v>
      </c>
      <c r="H5702" t="s">
        <v>36558</v>
      </c>
      <c r="I5702" t="s">
        <v>27978</v>
      </c>
      <c r="J5702" t="str">
        <f t="shared" si="447"/>
        <v>E:\PropInv\MF</v>
      </c>
      <c r="K5702" s="103" t="str">
        <f>HYPERLINK("E:\PropInv\MF\Mesquite\Galloway Ave N_1540_Heather Creek_Mesquite_16090","Galloway Ave N_1540_Heather Creek_Mesquite_16090" )</f>
        <v>Galloway Ave N_1540_Heather Creek_Mesquite_16090</v>
      </c>
      <c r="L5702" s="104" t="s">
        <v>22253</v>
      </c>
      <c r="M5702" s="103" t="str">
        <f t="shared" si="448"/>
        <v>http://oconnordata.com/mlink/modules/profile/index.cfm?action=profile&amp;prop_id=16090</v>
      </c>
      <c r="N5702" s="1">
        <f t="shared" si="449"/>
        <v>16090</v>
      </c>
    </row>
    <row r="5703" spans="1:14" x14ac:dyDescent="0.3">
      <c r="A5703" s="1">
        <v>16091</v>
      </c>
      <c r="B5703" s="7" t="s">
        <v>6748</v>
      </c>
      <c r="C5703" s="12">
        <v>4450</v>
      </c>
      <c r="D5703" s="7" t="s">
        <v>264</v>
      </c>
      <c r="E5703" s="13" t="s">
        <v>5014</v>
      </c>
      <c r="F5703" t="str">
        <f t="shared" si="445"/>
        <v>Marine</v>
      </c>
      <c r="G5703" t="str">
        <f t="shared" si="446"/>
        <v>Marine4450Fort Worth</v>
      </c>
      <c r="H5703" t="s">
        <v>36559</v>
      </c>
      <c r="I5703" t="s">
        <v>27979</v>
      </c>
      <c r="J5703" t="str">
        <f t="shared" si="447"/>
        <v>E:\PropInv\MF</v>
      </c>
      <c r="K5703" s="103" t="str">
        <f>HYPERLINK("E:\PropInv\MF\Fort Worth\Marine Creek Pkwy_4450_Meridian_Fort Worth_16091","Marine Creek Pkwy_4450_Meridian_Fort Worth_16091" )</f>
        <v>Marine Creek Pkwy_4450_Meridian_Fort Worth_16091</v>
      </c>
      <c r="L5703" s="104" t="s">
        <v>22253</v>
      </c>
      <c r="M5703" s="103" t="str">
        <f t="shared" si="448"/>
        <v>http://oconnordata.com/mlink/modules/profile/index.cfm?action=profile&amp;prop_id=16091</v>
      </c>
      <c r="N5703" s="1">
        <f t="shared" si="449"/>
        <v>16091</v>
      </c>
    </row>
    <row r="5704" spans="1:14" x14ac:dyDescent="0.3">
      <c r="A5704" s="1">
        <v>16092</v>
      </c>
      <c r="B5704" s="7" t="s">
        <v>7233</v>
      </c>
      <c r="C5704" s="12">
        <v>8713</v>
      </c>
      <c r="D5704" s="7" t="s">
        <v>8573</v>
      </c>
      <c r="E5704" s="13" t="s">
        <v>5014</v>
      </c>
      <c r="F5704" t="str">
        <f t="shared" si="445"/>
        <v>Normandale</v>
      </c>
      <c r="G5704" t="str">
        <f t="shared" si="446"/>
        <v>Normandale8713Fort Worth</v>
      </c>
      <c r="H5704" t="s">
        <v>36560</v>
      </c>
      <c r="I5704" t="s">
        <v>27980</v>
      </c>
      <c r="J5704" t="str">
        <f t="shared" si="447"/>
        <v>E:\PropInv\MF</v>
      </c>
      <c r="K5704" s="103" t="str">
        <f>HYPERLINK("E:\PropInv\MF\Fort Worth\Normandale S_8713_Normandale Place_Fort Worth_16092","Normandale S_8713_Normandale Place_Fort Worth_16092" )</f>
        <v>Normandale S_8713_Normandale Place_Fort Worth_16092</v>
      </c>
      <c r="L5704" s="104" t="s">
        <v>22253</v>
      </c>
      <c r="M5704" s="103" t="str">
        <f t="shared" si="448"/>
        <v>http://oconnordata.com/mlink/modules/profile/index.cfm?action=profile&amp;prop_id=16092</v>
      </c>
      <c r="N5704" s="1">
        <f t="shared" si="449"/>
        <v>16092</v>
      </c>
    </row>
    <row r="5705" spans="1:14" x14ac:dyDescent="0.3">
      <c r="A5705" s="1">
        <v>16093</v>
      </c>
      <c r="B5705" s="7" t="s">
        <v>3101</v>
      </c>
      <c r="C5705" s="12">
        <v>3210</v>
      </c>
      <c r="D5705" s="7" t="s">
        <v>8574</v>
      </c>
      <c r="E5705" s="13" t="s">
        <v>1657</v>
      </c>
      <c r="F5705" t="str">
        <f t="shared" si="445"/>
        <v>Louisiana</v>
      </c>
      <c r="G5705" t="str">
        <f t="shared" si="446"/>
        <v>Louisiana3210Houston</v>
      </c>
      <c r="H5705" t="s">
        <v>36561</v>
      </c>
      <c r="I5705" t="s">
        <v>27981</v>
      </c>
      <c r="J5705" t="str">
        <f t="shared" si="447"/>
        <v>E:\PropInv\MF</v>
      </c>
      <c r="K5705" s="103" t="str">
        <f>HYPERLINK("E:\PropInv\MF\Houston\Louisiana_3210_Calais at Courtlandt Square_Houston_16093","Louisiana_3210_Calais at Courtlandt Square_Houston_16093" )</f>
        <v>Louisiana_3210_Calais at Courtlandt Square_Houston_16093</v>
      </c>
      <c r="L5705" s="104" t="s">
        <v>22253</v>
      </c>
      <c r="M5705" s="103" t="str">
        <f t="shared" si="448"/>
        <v>http://oconnordata.com/mlink/modules/profile/index.cfm?action=profile&amp;prop_id=16093</v>
      </c>
      <c r="N5705" s="1">
        <f t="shared" si="449"/>
        <v>16093</v>
      </c>
    </row>
    <row r="5706" spans="1:14" x14ac:dyDescent="0.3">
      <c r="A5706" s="97">
        <v>16094</v>
      </c>
      <c r="B5706" s="7" t="s">
        <v>8575</v>
      </c>
      <c r="C5706" s="12">
        <v>600</v>
      </c>
      <c r="D5706" s="7" t="s">
        <v>8576</v>
      </c>
      <c r="E5706" s="13" t="s">
        <v>1657</v>
      </c>
      <c r="F5706" t="str">
        <f t="shared" si="445"/>
        <v>Studemont</v>
      </c>
      <c r="G5706" t="str">
        <f t="shared" si="446"/>
        <v>Studemont600Houston</v>
      </c>
      <c r="H5706" t="s">
        <v>36562</v>
      </c>
      <c r="I5706" t="s">
        <v>27982</v>
      </c>
      <c r="J5706" t="str">
        <f t="shared" si="447"/>
        <v>E:\PropInv\MF</v>
      </c>
      <c r="K5706" s="103" t="str">
        <f>HYPERLINK("E:\PropInv\MF\Houston\Studemont_600_Windsor at Siena_Houston_16094","Studemont_600_Windsor at Siena_Houston_16094" )</f>
        <v>Studemont_600_Windsor at Siena_Houston_16094</v>
      </c>
      <c r="L5706" s="104" t="s">
        <v>22253</v>
      </c>
      <c r="M5706" s="103" t="str">
        <f t="shared" si="448"/>
        <v>http://oconnordata.com/mlink/modules/profile/index.cfm?action=profile&amp;prop_id=16094</v>
      </c>
      <c r="N5706" s="1">
        <f t="shared" si="449"/>
        <v>16094</v>
      </c>
    </row>
    <row r="5707" spans="1:14" x14ac:dyDescent="0.3">
      <c r="A5707" s="1">
        <v>16096</v>
      </c>
      <c r="B5707" s="7" t="s">
        <v>2636</v>
      </c>
      <c r="C5707" s="12">
        <v>2020</v>
      </c>
      <c r="D5707" s="7" t="s">
        <v>8577</v>
      </c>
      <c r="E5707" s="13" t="s">
        <v>1657</v>
      </c>
      <c r="F5707" t="str">
        <f t="shared" si="445"/>
        <v>Eldridge</v>
      </c>
      <c r="G5707" t="str">
        <f t="shared" si="446"/>
        <v>Eldridge2020Houston</v>
      </c>
      <c r="H5707" t="s">
        <v>36563</v>
      </c>
      <c r="I5707" t="s">
        <v>27983</v>
      </c>
      <c r="J5707" t="str">
        <f t="shared" si="447"/>
        <v>E:\PropInv\MF</v>
      </c>
      <c r="K5707" s="103" t="str">
        <f>HYPERLINK("E:\PropInv\MF\Houston\Eldridge Pkwy_2020_San Brisas_Houston_16096","Eldridge Pkwy_2020_San Brisas_Houston_16096" )</f>
        <v>Eldridge Pkwy_2020_San Brisas_Houston_16096</v>
      </c>
      <c r="L5707" s="104" t="s">
        <v>22253</v>
      </c>
      <c r="M5707" s="103" t="str">
        <f t="shared" si="448"/>
        <v>http://oconnordata.com/mlink/modules/profile/index.cfm?action=profile&amp;prop_id=16096</v>
      </c>
      <c r="N5707" s="1">
        <f t="shared" si="449"/>
        <v>16096</v>
      </c>
    </row>
    <row r="5708" spans="1:14" x14ac:dyDescent="0.3">
      <c r="A5708" s="1">
        <v>16097</v>
      </c>
      <c r="B5708" s="7" t="s">
        <v>8578</v>
      </c>
      <c r="C5708" s="12">
        <v>305</v>
      </c>
      <c r="D5708" s="7" t="s">
        <v>8579</v>
      </c>
      <c r="E5708" s="13" t="s">
        <v>6555</v>
      </c>
      <c r="F5708" t="str">
        <f t="shared" si="445"/>
        <v>Ranch</v>
      </c>
      <c r="G5708" t="str">
        <f t="shared" si="446"/>
        <v>Ranch305Arlington</v>
      </c>
      <c r="H5708" t="s">
        <v>36564</v>
      </c>
      <c r="I5708" t="s">
        <v>27984</v>
      </c>
      <c r="J5708" t="str">
        <f t="shared" si="447"/>
        <v>E:\PropInv\MF</v>
      </c>
      <c r="K5708" s="103" t="str">
        <f>HYPERLINK("E:\PropInv\MF\Arlington\Ranch Dr_305_Mission Rock Ridge_Arlington_16097","Ranch Dr_305_Mission Rock Ridge_Arlington_16097" )</f>
        <v>Ranch Dr_305_Mission Rock Ridge_Arlington_16097</v>
      </c>
      <c r="L5708" s="104" t="s">
        <v>22253</v>
      </c>
      <c r="M5708" s="103" t="str">
        <f t="shared" si="448"/>
        <v>http://oconnordata.com/mlink/modules/profile/index.cfm?action=profile&amp;prop_id=16097</v>
      </c>
      <c r="N5708" s="1">
        <f t="shared" si="449"/>
        <v>16097</v>
      </c>
    </row>
    <row r="5709" spans="1:14" x14ac:dyDescent="0.3">
      <c r="A5709" s="1">
        <v>16098</v>
      </c>
      <c r="B5709" s="7" t="s">
        <v>8580</v>
      </c>
      <c r="C5709" s="12">
        <v>2701</v>
      </c>
      <c r="D5709" s="7" t="s">
        <v>8581</v>
      </c>
      <c r="E5709" s="13" t="s">
        <v>5055</v>
      </c>
      <c r="F5709" t="str">
        <f t="shared" si="445"/>
        <v>MacArthur</v>
      </c>
      <c r="G5709" t="str">
        <f t="shared" si="446"/>
        <v>MacArthur2701Lewisville</v>
      </c>
      <c r="H5709" t="s">
        <v>36565</v>
      </c>
      <c r="I5709" t="s">
        <v>27985</v>
      </c>
      <c r="J5709" t="str">
        <f t="shared" si="447"/>
        <v>E:\PropInv\MF</v>
      </c>
      <c r="K5709" s="103" t="str">
        <f>HYPERLINK("E:\PropInv\MF\Lewisville\MacArthur Blvd_2701_Estancia at Vista Ridge_Lewisville_16098","MacArthur Blvd_2701_Estancia at Vista Ridge_Lewisville_16098" )</f>
        <v>MacArthur Blvd_2701_Estancia at Vista Ridge_Lewisville_16098</v>
      </c>
      <c r="L5709" s="104" t="s">
        <v>22253</v>
      </c>
      <c r="M5709" s="103" t="str">
        <f t="shared" si="448"/>
        <v>http://oconnordata.com/mlink/modules/profile/index.cfm?action=profile&amp;prop_id=16098</v>
      </c>
      <c r="N5709" s="1">
        <f t="shared" si="449"/>
        <v>16098</v>
      </c>
    </row>
    <row r="5710" spans="1:14" x14ac:dyDescent="0.3">
      <c r="A5710" s="1">
        <v>16099</v>
      </c>
      <c r="B5710" s="7" t="s">
        <v>8582</v>
      </c>
      <c r="C5710" s="12">
        <v>1152</v>
      </c>
      <c r="D5710" s="7" t="s">
        <v>8583</v>
      </c>
      <c r="E5710" s="13" t="s">
        <v>5060</v>
      </c>
      <c r="F5710" t="str">
        <f t="shared" si="445"/>
        <v>Indian</v>
      </c>
      <c r="G5710" t="str">
        <f t="shared" si="446"/>
        <v>Indian1152Carrollton</v>
      </c>
      <c r="H5710" t="s">
        <v>36566</v>
      </c>
      <c r="I5710" t="s">
        <v>27986</v>
      </c>
      <c r="J5710" t="str">
        <f t="shared" si="447"/>
        <v>E:\PropInv\MF</v>
      </c>
      <c r="K5710" s="103" t="str">
        <f>HYPERLINK("E:\PropInv\MF\Carrollton\Indian Run Dr_1152_Marbella Villas at Indian Creek_Carrollton_16099","Indian Run Dr_1152_Marbella Villas at Indian Creek_Carrollton_16099" )</f>
        <v>Indian Run Dr_1152_Marbella Villas at Indian Creek_Carrollton_16099</v>
      </c>
      <c r="L5710" s="104" t="s">
        <v>22253</v>
      </c>
      <c r="M5710" s="103" t="str">
        <f t="shared" si="448"/>
        <v>http://oconnordata.com/mlink/modules/profile/index.cfm?action=profile&amp;prop_id=16099</v>
      </c>
      <c r="N5710" s="1">
        <f t="shared" si="449"/>
        <v>16099</v>
      </c>
    </row>
    <row r="5711" spans="1:14" x14ac:dyDescent="0.3">
      <c r="A5711" s="1">
        <v>16100</v>
      </c>
      <c r="B5711" s="7" t="s">
        <v>8584</v>
      </c>
      <c r="C5711" s="12">
        <v>21550</v>
      </c>
      <c r="D5711" s="7" t="s">
        <v>8585</v>
      </c>
      <c r="E5711" s="13" t="s">
        <v>2198</v>
      </c>
      <c r="F5711" t="str">
        <f t="shared" si="445"/>
        <v>Provincial</v>
      </c>
      <c r="G5711" t="str">
        <f t="shared" si="446"/>
        <v>Provincial21550Katy</v>
      </c>
      <c r="H5711" t="s">
        <v>36567</v>
      </c>
      <c r="I5711" t="s">
        <v>27987</v>
      </c>
      <c r="J5711" t="str">
        <f t="shared" si="447"/>
        <v>E:\PropInv\MF</v>
      </c>
      <c r="K5711" s="103" t="str">
        <f>HYPERLINK("E:\PropInv\MF\Katy\Provincial_21550_Vineyards_Katy_16100","Provincial_21550_Vineyards_Katy_16100" )</f>
        <v>Provincial_21550_Vineyards_Katy_16100</v>
      </c>
      <c r="L5711" s="104" t="s">
        <v>22253</v>
      </c>
      <c r="M5711" s="103" t="str">
        <f t="shared" si="448"/>
        <v>http://oconnordata.com/mlink/modules/profile/index.cfm?action=profile&amp;prop_id=16100</v>
      </c>
      <c r="N5711" s="1">
        <f t="shared" si="449"/>
        <v>16100</v>
      </c>
    </row>
    <row r="5712" spans="1:14" x14ac:dyDescent="0.3">
      <c r="A5712" s="1">
        <v>16101</v>
      </c>
      <c r="B5712" s="7" t="s">
        <v>2913</v>
      </c>
      <c r="C5712" s="12">
        <v>2660</v>
      </c>
      <c r="D5712" s="7" t="s">
        <v>1942</v>
      </c>
      <c r="E5712" s="13" t="s">
        <v>1657</v>
      </c>
      <c r="F5712" t="str">
        <f t="shared" si="445"/>
        <v>Augusta</v>
      </c>
      <c r="G5712" t="str">
        <f t="shared" si="446"/>
        <v>Augusta2660Houston</v>
      </c>
      <c r="H5712" t="s">
        <v>36568</v>
      </c>
      <c r="I5712" t="s">
        <v>27988</v>
      </c>
      <c r="J5712" t="str">
        <f t="shared" si="447"/>
        <v>E:\PropInv\MF</v>
      </c>
      <c r="K5712" s="103" t="str">
        <f>HYPERLINK("E:\PropInv\MF\Houston\Augusta_2660_The Augusta_Houston_16101","Augusta_2660_The Augusta_Houston_16101" )</f>
        <v>Augusta_2660_The Augusta_Houston_16101</v>
      </c>
      <c r="L5712" s="104" t="s">
        <v>22253</v>
      </c>
      <c r="M5712" s="103" t="str">
        <f t="shared" si="448"/>
        <v>http://oconnordata.com/mlink/modules/profile/index.cfm?action=profile&amp;prop_id=16101</v>
      </c>
      <c r="N5712" s="1">
        <f t="shared" si="449"/>
        <v>16101</v>
      </c>
    </row>
    <row r="5713" spans="1:14" x14ac:dyDescent="0.3">
      <c r="A5713" s="1">
        <v>16102</v>
      </c>
      <c r="B5713" s="7" t="s">
        <v>8586</v>
      </c>
      <c r="C5713" s="9">
        <v>6500</v>
      </c>
      <c r="D5713" s="10" t="s">
        <v>8587</v>
      </c>
      <c r="E5713" s="11" t="s">
        <v>7</v>
      </c>
      <c r="F5713" t="str">
        <f t="shared" si="445"/>
        <v>Champion</v>
      </c>
      <c r="G5713" t="str">
        <f t="shared" si="446"/>
        <v>Champion6500Austin</v>
      </c>
      <c r="H5713" t="s">
        <v>36569</v>
      </c>
      <c r="I5713" t="s">
        <v>27989</v>
      </c>
      <c r="J5713" t="str">
        <f t="shared" si="447"/>
        <v>E:\PropInv\MF</v>
      </c>
      <c r="K5713" s="103" t="str">
        <f>HYPERLINK("E:\PropInv\MF\Austin\Champion Grandview Way_6500_Gables Grandview_Austin_16102","Champion Grandview Way_6500_Gables Grandview_Austin_16102" )</f>
        <v>Champion Grandview Way_6500_Gables Grandview_Austin_16102</v>
      </c>
      <c r="L5713" s="104" t="s">
        <v>22253</v>
      </c>
      <c r="M5713" s="103" t="str">
        <f t="shared" si="448"/>
        <v>http://oconnordata.com/mlink/modules/profile/index.cfm?action=profile&amp;prop_id=16102</v>
      </c>
      <c r="N5713" s="1">
        <f t="shared" si="449"/>
        <v>16102</v>
      </c>
    </row>
    <row r="5714" spans="1:14" x14ac:dyDescent="0.3">
      <c r="A5714" s="1">
        <v>16103</v>
      </c>
      <c r="B5714" s="7" t="s">
        <v>6643</v>
      </c>
      <c r="C5714" s="12">
        <v>1401</v>
      </c>
      <c r="D5714" s="7" t="s">
        <v>8588</v>
      </c>
      <c r="E5714" s="13" t="s">
        <v>5781</v>
      </c>
      <c r="F5714" t="str">
        <f t="shared" si="445"/>
        <v>360</v>
      </c>
      <c r="G5714" t="str">
        <f t="shared" si="446"/>
        <v>3601401Euless</v>
      </c>
      <c r="H5714" t="s">
        <v>36570</v>
      </c>
      <c r="I5714" t="s">
        <v>27990</v>
      </c>
      <c r="J5714" t="str">
        <f t="shared" si="447"/>
        <v>E:\PropInv\MF</v>
      </c>
      <c r="K5714" s="103" t="str">
        <f>HYPERLINK("E:\PropInv\MF\Euless\360 SH_1401_The Stoneleigh at Bear Creek_Euless_16103","360 SH_1401_The Stoneleigh at Bear Creek_Euless_16103" )</f>
        <v>360 SH_1401_The Stoneleigh at Bear Creek_Euless_16103</v>
      </c>
      <c r="L5714" s="104" t="s">
        <v>22253</v>
      </c>
      <c r="M5714" s="103" t="str">
        <f t="shared" si="448"/>
        <v>http://oconnordata.com/mlink/modules/profile/index.cfm?action=profile&amp;prop_id=16103</v>
      </c>
      <c r="N5714" s="1">
        <f t="shared" si="449"/>
        <v>16103</v>
      </c>
    </row>
    <row r="5715" spans="1:14" x14ac:dyDescent="0.3">
      <c r="A5715" s="1">
        <v>16104</v>
      </c>
      <c r="B5715" s="7" t="s">
        <v>8589</v>
      </c>
      <c r="C5715" s="12">
        <v>6250</v>
      </c>
      <c r="D5715" s="7" t="s">
        <v>8590</v>
      </c>
      <c r="E5715" s="13" t="s">
        <v>6541</v>
      </c>
      <c r="F5715" t="str">
        <f t="shared" si="445"/>
        <v>Rosewood</v>
      </c>
      <c r="G5715" t="str">
        <f t="shared" si="446"/>
        <v>Rosewood6250North Richland Hills</v>
      </c>
      <c r="H5715" t="s">
        <v>36571</v>
      </c>
      <c r="I5715" t="s">
        <v>27991</v>
      </c>
      <c r="J5715" t="str">
        <f t="shared" si="447"/>
        <v>E:\PropInv\MF</v>
      </c>
      <c r="K5715" s="103" t="str">
        <f>HYPERLINK("E:\PropInv\MF\North Richland Hills\Rosewood Dr_6250_Regency at North Richland Hills_North Richland Hills_16104","Rosewood Dr_6250_Regency at North Richland Hills_North Richland Hills_16104" )</f>
        <v>Rosewood Dr_6250_Regency at North Richland Hills_North Richland Hills_16104</v>
      </c>
      <c r="L5715" s="104" t="s">
        <v>22253</v>
      </c>
      <c r="M5715" s="103" t="str">
        <f t="shared" si="448"/>
        <v>http://oconnordata.com/mlink/modules/profile/index.cfm?action=profile&amp;prop_id=16104</v>
      </c>
      <c r="N5715" s="1">
        <f t="shared" si="449"/>
        <v>16104</v>
      </c>
    </row>
    <row r="5716" spans="1:14" x14ac:dyDescent="0.3">
      <c r="A5716" s="1">
        <v>16105</v>
      </c>
      <c r="B5716" s="7" t="s">
        <v>8591</v>
      </c>
      <c r="C5716" s="12">
        <v>2850</v>
      </c>
      <c r="D5716" s="7" t="s">
        <v>8592</v>
      </c>
      <c r="E5716" s="13" t="s">
        <v>4369</v>
      </c>
      <c r="F5716" t="str">
        <f t="shared" si="445"/>
        <v>Oak</v>
      </c>
      <c r="G5716" t="str">
        <f t="shared" si="446"/>
        <v>Oak2850Pearland</v>
      </c>
      <c r="H5716" t="s">
        <v>36572</v>
      </c>
      <c r="I5716" t="s">
        <v>27992</v>
      </c>
      <c r="J5716" t="str">
        <f t="shared" si="447"/>
        <v>E:\PropInv\MF</v>
      </c>
      <c r="K5716" s="103" t="str">
        <f>HYPERLINK("E:\PropInv\MF\Pearland\Oak Rd_2850_The Reserve at Tranquility Lake_Pearland_16105","Oak Rd_2850_The Reserve at Tranquility Lake_Pearland_16105" )</f>
        <v>Oak Rd_2850_The Reserve at Tranquility Lake_Pearland_16105</v>
      </c>
      <c r="L5716" s="104" t="s">
        <v>22253</v>
      </c>
      <c r="M5716" s="103" t="str">
        <f t="shared" si="448"/>
        <v>http://oconnordata.com/mlink/modules/profile/index.cfm?action=profile&amp;prop_id=16105</v>
      </c>
      <c r="N5716" s="1">
        <f t="shared" si="449"/>
        <v>16105</v>
      </c>
    </row>
    <row r="5717" spans="1:14" x14ac:dyDescent="0.3">
      <c r="A5717" s="1">
        <v>16106</v>
      </c>
      <c r="B5717" s="7" t="s">
        <v>8593</v>
      </c>
      <c r="C5717" s="12">
        <v>2380</v>
      </c>
      <c r="D5717" s="7" t="s">
        <v>8594</v>
      </c>
      <c r="E5717" s="13" t="s">
        <v>1657</v>
      </c>
      <c r="F5717" t="str">
        <f t="shared" si="445"/>
        <v>MacGregor</v>
      </c>
      <c r="G5717" t="str">
        <f t="shared" si="446"/>
        <v>MacGregor2380Houston</v>
      </c>
      <c r="H5717" t="s">
        <v>36573</v>
      </c>
      <c r="I5717" t="s">
        <v>27993</v>
      </c>
      <c r="J5717" t="str">
        <f t="shared" si="447"/>
        <v>E:\PropInv\MF</v>
      </c>
      <c r="K5717" s="103" t="str">
        <f>HYPERLINK("E:\PropInv\MF\Houston\MacGregor Way_2380_Century Hermann Park_Houston_16106","MacGregor Way_2380_Century Hermann Park_Houston_16106" )</f>
        <v>MacGregor Way_2380_Century Hermann Park_Houston_16106</v>
      </c>
      <c r="L5717" s="104" t="s">
        <v>22253</v>
      </c>
      <c r="M5717" s="103" t="str">
        <f t="shared" si="448"/>
        <v>http://oconnordata.com/mlink/modules/profile/index.cfm?action=profile&amp;prop_id=16106</v>
      </c>
      <c r="N5717" s="1">
        <f t="shared" si="449"/>
        <v>16106</v>
      </c>
    </row>
    <row r="5718" spans="1:14" x14ac:dyDescent="0.3">
      <c r="A5718" s="1">
        <v>16107</v>
      </c>
      <c r="B5718" s="7" t="s">
        <v>286</v>
      </c>
      <c r="C5718" s="12">
        <v>15116</v>
      </c>
      <c r="D5718" s="7" t="s">
        <v>8595</v>
      </c>
      <c r="E5718" s="13" t="s">
        <v>1763</v>
      </c>
      <c r="F5718" t="str">
        <f t="shared" si="445"/>
        <v>Mesa</v>
      </c>
      <c r="G5718" t="str">
        <f t="shared" si="446"/>
        <v>Mesa15116Humble</v>
      </c>
      <c r="H5718" t="s">
        <v>36574</v>
      </c>
      <c r="I5718" t="s">
        <v>27994</v>
      </c>
      <c r="J5718" t="str">
        <f t="shared" si="447"/>
        <v>E:\PropInv\MF</v>
      </c>
      <c r="K5718" s="103" t="str">
        <f>HYPERLINK("E:\PropInv\MF\Humble\Mesa Dr_15116_Park at Stone Creek_Humble_16107","Mesa Dr_15116_Park at Stone Creek_Humble_16107" )</f>
        <v>Mesa Dr_15116_Park at Stone Creek_Humble_16107</v>
      </c>
      <c r="L5718" s="104" t="s">
        <v>22253</v>
      </c>
      <c r="M5718" s="103" t="str">
        <f t="shared" si="448"/>
        <v>http://oconnordata.com/mlink/modules/profile/index.cfm?action=profile&amp;prop_id=16107</v>
      </c>
      <c r="N5718" s="1">
        <f t="shared" si="449"/>
        <v>16107</v>
      </c>
    </row>
    <row r="5719" spans="1:14" x14ac:dyDescent="0.3">
      <c r="A5719" s="1">
        <v>16108</v>
      </c>
      <c r="B5719" s="7" t="s">
        <v>214</v>
      </c>
      <c r="C5719" s="12">
        <v>2302</v>
      </c>
      <c r="D5719" s="7" t="s">
        <v>5015</v>
      </c>
      <c r="E5719" s="13" t="s">
        <v>7</v>
      </c>
      <c r="F5719" t="str">
        <f t="shared" si="445"/>
        <v>William</v>
      </c>
      <c r="G5719" t="str">
        <f t="shared" si="446"/>
        <v>William2302Austin</v>
      </c>
      <c r="H5719" t="s">
        <v>36575</v>
      </c>
      <c r="I5719" t="s">
        <v>27995</v>
      </c>
      <c r="J5719" t="str">
        <f t="shared" si="447"/>
        <v>E:\PropInv\MF</v>
      </c>
      <c r="K5719" s="103" t="str">
        <f>HYPERLINK("E:\PropInv\MF\Austin\William Cannon Dr E_2302_Spring Valley_Austin_16108","William Cannon Dr E_2302_Spring Valley_Austin_16108" )</f>
        <v>William Cannon Dr E_2302_Spring Valley_Austin_16108</v>
      </c>
      <c r="L5719" s="104" t="s">
        <v>22253</v>
      </c>
      <c r="M5719" s="103" t="str">
        <f t="shared" si="448"/>
        <v>http://oconnordata.com/mlink/modules/profile/index.cfm?action=profile&amp;prop_id=16108</v>
      </c>
      <c r="N5719" s="1">
        <f t="shared" si="449"/>
        <v>16108</v>
      </c>
    </row>
    <row r="5720" spans="1:14" x14ac:dyDescent="0.3">
      <c r="A5720" s="1">
        <v>16109</v>
      </c>
      <c r="B5720" s="7" t="s">
        <v>7842</v>
      </c>
      <c r="C5720" s="12">
        <v>602</v>
      </c>
      <c r="D5720" s="7" t="s">
        <v>8596</v>
      </c>
      <c r="E5720" s="13" t="s">
        <v>5076</v>
      </c>
      <c r="F5720" t="str">
        <f t="shared" si="445"/>
        <v>Pioneer</v>
      </c>
      <c r="G5720" t="str">
        <f t="shared" si="446"/>
        <v>Pioneer602Grand Prairie</v>
      </c>
      <c r="H5720" t="s">
        <v>36576</v>
      </c>
      <c r="I5720" t="s">
        <v>27996</v>
      </c>
      <c r="J5720" t="str">
        <f t="shared" si="447"/>
        <v>E:\PropInv\MF</v>
      </c>
      <c r="K5720" s="103" t="str">
        <f>HYPERLINK("E:\PropInv\MF\Grand Prairie\Pioneer Pkwy W_602_Royal Oaks Manor_Grand Prairie_16109","Pioneer Pkwy W_602_Royal Oaks Manor_Grand Prairie_16109" )</f>
        <v>Pioneer Pkwy W_602_Royal Oaks Manor_Grand Prairie_16109</v>
      </c>
      <c r="L5720" s="104" t="s">
        <v>22253</v>
      </c>
      <c r="M5720" s="103" t="str">
        <f t="shared" si="448"/>
        <v>http://oconnordata.com/mlink/modules/profile/index.cfm?action=profile&amp;prop_id=16109</v>
      </c>
      <c r="N5720" s="1">
        <f t="shared" si="449"/>
        <v>16109</v>
      </c>
    </row>
    <row r="5721" spans="1:14" x14ac:dyDescent="0.3">
      <c r="A5721" s="1">
        <v>16110</v>
      </c>
      <c r="B5721" s="7" t="s">
        <v>8597</v>
      </c>
      <c r="C5721" s="12">
        <v>600</v>
      </c>
      <c r="D5721" s="7" t="s">
        <v>8598</v>
      </c>
      <c r="E5721" s="13" t="s">
        <v>2198</v>
      </c>
      <c r="F5721" t="str">
        <f t="shared" si="445"/>
        <v>Park</v>
      </c>
      <c r="G5721" t="str">
        <f t="shared" si="446"/>
        <v>Park600Katy</v>
      </c>
      <c r="H5721" t="s">
        <v>36577</v>
      </c>
      <c r="I5721" t="s">
        <v>27997</v>
      </c>
      <c r="J5721" t="str">
        <f t="shared" si="447"/>
        <v>E:\PropInv\MF</v>
      </c>
      <c r="K5721" s="103" t="str">
        <f>HYPERLINK("E:\PropInv\MF\Katy\Park Grove Dr_600_The Villas of Park Grove_Katy_16110","Park Grove Dr_600_The Villas of Park Grove_Katy_16110" )</f>
        <v>Park Grove Dr_600_The Villas of Park Grove_Katy_16110</v>
      </c>
      <c r="L5721" s="104" t="s">
        <v>22253</v>
      </c>
      <c r="M5721" s="103" t="str">
        <f t="shared" si="448"/>
        <v>http://oconnordata.com/mlink/modules/profile/index.cfm?action=profile&amp;prop_id=16110</v>
      </c>
      <c r="N5721" s="1">
        <f t="shared" si="449"/>
        <v>16110</v>
      </c>
    </row>
    <row r="5722" spans="1:14" x14ac:dyDescent="0.3">
      <c r="A5722" s="97">
        <v>16111</v>
      </c>
      <c r="B5722" s="7" t="s">
        <v>3993</v>
      </c>
      <c r="C5722" s="12">
        <v>1620</v>
      </c>
      <c r="D5722" s="7" t="s">
        <v>8599</v>
      </c>
      <c r="E5722" s="13" t="s">
        <v>3960</v>
      </c>
      <c r="F5722" t="str">
        <f t="shared" si="445"/>
        <v>Spencer</v>
      </c>
      <c r="G5722" t="str">
        <f t="shared" si="446"/>
        <v>Spencer1620South Houston</v>
      </c>
      <c r="H5722" t="s">
        <v>36578</v>
      </c>
      <c r="I5722" t="s">
        <v>27998</v>
      </c>
      <c r="J5722" t="str">
        <f t="shared" si="447"/>
        <v>E:\PropInv\MF</v>
      </c>
      <c r="K5722" s="103" t="str">
        <f>HYPERLINK("E:\PropInv\MF\South Houston\Spencer Hwy_1620_Windsor Gardens_South Houston_16111","Spencer Hwy_1620_Windsor Gardens_South Houston_16111" )</f>
        <v>Spencer Hwy_1620_Windsor Gardens_South Houston_16111</v>
      </c>
      <c r="L5722" s="104" t="s">
        <v>22253</v>
      </c>
      <c r="M5722" s="103" t="str">
        <f t="shared" si="448"/>
        <v>http://oconnordata.com/mlink/modules/profile/index.cfm?action=profile&amp;prop_id=16111</v>
      </c>
      <c r="N5722" s="1">
        <f t="shared" si="449"/>
        <v>16111</v>
      </c>
    </row>
    <row r="5723" spans="1:14" x14ac:dyDescent="0.3">
      <c r="A5723" s="1">
        <v>16112</v>
      </c>
      <c r="B5723" s="7" t="s">
        <v>8600</v>
      </c>
      <c r="C5723" s="12">
        <v>526</v>
      </c>
      <c r="D5723" s="7" t="s">
        <v>8601</v>
      </c>
      <c r="E5723" s="13" t="s">
        <v>4996</v>
      </c>
      <c r="F5723" t="str">
        <f t="shared" si="445"/>
        <v>Walton</v>
      </c>
      <c r="G5723" t="str">
        <f t="shared" si="446"/>
        <v>Walton526Dallas</v>
      </c>
      <c r="H5723" t="s">
        <v>36579</v>
      </c>
      <c r="I5723" t="s">
        <v>27999</v>
      </c>
      <c r="J5723" t="str">
        <f t="shared" si="447"/>
        <v>E:\PropInv\MF</v>
      </c>
      <c r="K5723" s="103" t="str">
        <f>HYPERLINK("E:\PropInv\MF\Dallas\Walton Walker Blvd W_526_Ridgecrest Terrace_Dallas_16112","Walton Walker Blvd W_526_Ridgecrest Terrace_Dallas_16112" )</f>
        <v>Walton Walker Blvd W_526_Ridgecrest Terrace_Dallas_16112</v>
      </c>
      <c r="L5723" s="104" t="s">
        <v>22253</v>
      </c>
      <c r="M5723" s="103" t="str">
        <f t="shared" si="448"/>
        <v>http://oconnordata.com/mlink/modules/profile/index.cfm?action=profile&amp;prop_id=16112</v>
      </c>
      <c r="N5723" s="1">
        <f t="shared" si="449"/>
        <v>16112</v>
      </c>
    </row>
    <row r="5724" spans="1:14" x14ac:dyDescent="0.3">
      <c r="A5724" s="97">
        <v>16113</v>
      </c>
      <c r="B5724" s="7" t="s">
        <v>8602</v>
      </c>
      <c r="C5724" s="12">
        <v>1700</v>
      </c>
      <c r="D5724" s="7" t="s">
        <v>2912</v>
      </c>
      <c r="E5724" s="13" t="s">
        <v>7</v>
      </c>
      <c r="F5724" t="str">
        <f t="shared" si="445"/>
        <v>Teri</v>
      </c>
      <c r="G5724" t="str">
        <f t="shared" si="446"/>
        <v>Teri1700Austin</v>
      </c>
      <c r="H5724" t="s">
        <v>36580</v>
      </c>
      <c r="I5724" t="s">
        <v>28000</v>
      </c>
      <c r="J5724" t="str">
        <f t="shared" si="447"/>
        <v>E:\PropInv\MF</v>
      </c>
      <c r="K5724" s="103" t="str">
        <f>HYPERLINK("E:\PropInv\MF\Austin\Teri Rd_1700_Woodway Square_Austin_16113","Teri Rd_1700_Woodway Square_Austin_16113" )</f>
        <v>Teri Rd_1700_Woodway Square_Austin_16113</v>
      </c>
      <c r="L5724" s="104" t="s">
        <v>22253</v>
      </c>
      <c r="M5724" s="103" t="str">
        <f t="shared" si="448"/>
        <v>http://oconnordata.com/mlink/modules/profile/index.cfm?action=profile&amp;prop_id=16113</v>
      </c>
      <c r="N5724" s="1">
        <f t="shared" si="449"/>
        <v>16113</v>
      </c>
    </row>
    <row r="5725" spans="1:14" x14ac:dyDescent="0.3">
      <c r="A5725" s="1">
        <v>16114</v>
      </c>
      <c r="B5725" s="7" t="s">
        <v>8603</v>
      </c>
      <c r="C5725" s="12">
        <v>1700</v>
      </c>
      <c r="D5725" s="7" t="s">
        <v>8604</v>
      </c>
      <c r="E5725" s="13" t="s">
        <v>842</v>
      </c>
      <c r="F5725" t="str">
        <f t="shared" si="445"/>
        <v>Hamilton</v>
      </c>
      <c r="G5725" t="str">
        <f t="shared" si="446"/>
        <v>Hamilton1700San Antonio</v>
      </c>
      <c r="H5725" t="s">
        <v>36581</v>
      </c>
      <c r="I5725" t="s">
        <v>28001</v>
      </c>
      <c r="J5725" t="str">
        <f t="shared" si="447"/>
        <v>E:\PropInv\MF</v>
      </c>
      <c r="K5725" s="103" t="str">
        <f>HYPERLINK("E:\PropInv\MF\San Antonio\Hamilton S_1700_Las Villas de Merida_San Antonio_16114","Hamilton S_1700_Las Villas de Merida_San Antonio_16114" )</f>
        <v>Hamilton S_1700_Las Villas de Merida_San Antonio_16114</v>
      </c>
      <c r="L5725" s="104" t="s">
        <v>22253</v>
      </c>
      <c r="M5725" s="103" t="str">
        <f t="shared" si="448"/>
        <v>http://oconnordata.com/mlink/modules/profile/index.cfm?action=profile&amp;prop_id=16114</v>
      </c>
      <c r="N5725" s="1">
        <f t="shared" si="449"/>
        <v>16114</v>
      </c>
    </row>
    <row r="5726" spans="1:14" x14ac:dyDescent="0.3">
      <c r="A5726" s="1">
        <v>16115</v>
      </c>
      <c r="B5726" s="7" t="s">
        <v>1875</v>
      </c>
      <c r="C5726" s="12">
        <v>5007</v>
      </c>
      <c r="D5726" s="7" t="s">
        <v>8605</v>
      </c>
      <c r="E5726" s="13" t="s">
        <v>1657</v>
      </c>
      <c r="F5726" t="str">
        <f t="shared" si="445"/>
        <v>1960</v>
      </c>
      <c r="G5726" t="str">
        <f t="shared" si="446"/>
        <v>19605007Houston</v>
      </c>
      <c r="H5726" t="s">
        <v>36582</v>
      </c>
      <c r="I5726" t="s">
        <v>28002</v>
      </c>
      <c r="J5726" t="str">
        <f t="shared" si="447"/>
        <v>E:\PropInv\MF</v>
      </c>
      <c r="K5726" s="103" t="str">
        <f>HYPERLINK("E:\PropInv\MF\Houston\1960 FM W_5007_The Lexington at Champions_Houston_16115","1960 FM W_5007_The Lexington at Champions_Houston_16115" )</f>
        <v>1960 FM W_5007_The Lexington at Champions_Houston_16115</v>
      </c>
      <c r="L5726" s="104" t="s">
        <v>22253</v>
      </c>
      <c r="M5726" s="103" t="str">
        <f t="shared" si="448"/>
        <v>http://oconnordata.com/mlink/modules/profile/index.cfm?action=profile&amp;prop_id=16115</v>
      </c>
      <c r="N5726" s="1">
        <f t="shared" si="449"/>
        <v>16115</v>
      </c>
    </row>
    <row r="5727" spans="1:14" x14ac:dyDescent="0.3">
      <c r="A5727" s="1">
        <v>16116</v>
      </c>
      <c r="B5727" s="7" t="s">
        <v>8606</v>
      </c>
      <c r="C5727" s="12">
        <v>9125</v>
      </c>
      <c r="D5727" s="7" t="s">
        <v>8607</v>
      </c>
      <c r="E5727" s="13" t="s">
        <v>1657</v>
      </c>
      <c r="F5727" t="str">
        <f t="shared" si="445"/>
        <v>6</v>
      </c>
      <c r="G5727" t="str">
        <f t="shared" si="446"/>
        <v>69125Houston</v>
      </c>
      <c r="H5727" t="s">
        <v>36583</v>
      </c>
      <c r="I5727" t="s">
        <v>28003</v>
      </c>
      <c r="J5727" t="str">
        <f t="shared" si="447"/>
        <v>E:\PropInv\MF</v>
      </c>
      <c r="K5727" s="103" t="str">
        <f>HYPERLINK("E:\PropInv\MF\Houston\6 Hwy N_9125_Villa Toscana_Houston_16116","6 Hwy N_9125_Villa Toscana_Houston_16116" )</f>
        <v>6 Hwy N_9125_Villa Toscana_Houston_16116</v>
      </c>
      <c r="L5727" s="104" t="s">
        <v>22253</v>
      </c>
      <c r="M5727" s="103" t="str">
        <f t="shared" si="448"/>
        <v>http://oconnordata.com/mlink/modules/profile/index.cfm?action=profile&amp;prop_id=16116</v>
      </c>
      <c r="N5727" s="1">
        <f t="shared" si="449"/>
        <v>16116</v>
      </c>
    </row>
    <row r="5728" spans="1:14" x14ac:dyDescent="0.3">
      <c r="A5728" s="1">
        <v>16117</v>
      </c>
      <c r="B5728" s="7" t="s">
        <v>2768</v>
      </c>
      <c r="C5728" s="12">
        <v>10575</v>
      </c>
      <c r="D5728" s="7" t="s">
        <v>8608</v>
      </c>
      <c r="E5728" s="13" t="s">
        <v>1657</v>
      </c>
      <c r="F5728" t="str">
        <f t="shared" si="445"/>
        <v>Westpark</v>
      </c>
      <c r="G5728" t="str">
        <f t="shared" si="446"/>
        <v>Westpark10575Houston</v>
      </c>
      <c r="H5728" t="s">
        <v>36584</v>
      </c>
      <c r="I5728" t="s">
        <v>28004</v>
      </c>
      <c r="J5728" t="str">
        <f t="shared" si="447"/>
        <v>E:\PropInv\MF</v>
      </c>
      <c r="K5728" s="103" t="str">
        <f>HYPERLINK("E:\PropInv\MF\Houston\Westpark_10575_The Retreat at Westpark_Houston_16117","Westpark_10575_The Retreat at Westpark_Houston_16117" )</f>
        <v>Westpark_10575_The Retreat at Westpark_Houston_16117</v>
      </c>
      <c r="L5728" s="104" t="s">
        <v>22253</v>
      </c>
      <c r="M5728" s="103" t="str">
        <f t="shared" si="448"/>
        <v>http://oconnordata.com/mlink/modules/profile/index.cfm?action=profile&amp;prop_id=16117</v>
      </c>
      <c r="N5728" s="1">
        <f t="shared" si="449"/>
        <v>16117</v>
      </c>
    </row>
    <row r="5729" spans="1:14" x14ac:dyDescent="0.3">
      <c r="A5729" s="1">
        <v>16118</v>
      </c>
      <c r="B5729" s="7" t="s">
        <v>2939</v>
      </c>
      <c r="C5729" s="12">
        <v>3363</v>
      </c>
      <c r="D5729" s="7" t="s">
        <v>8609</v>
      </c>
      <c r="E5729" s="13" t="s">
        <v>1657</v>
      </c>
      <c r="F5729" t="str">
        <f t="shared" si="445"/>
        <v>McCue</v>
      </c>
      <c r="G5729" t="str">
        <f t="shared" si="446"/>
        <v>McCue3363Houston</v>
      </c>
      <c r="H5729" t="s">
        <v>36585</v>
      </c>
      <c r="I5729" t="s">
        <v>28005</v>
      </c>
      <c r="J5729" t="str">
        <f t="shared" si="447"/>
        <v>E:\PropInv\MF</v>
      </c>
      <c r="K5729" s="103" t="str">
        <f>HYPERLINK("E:\PropInv\MF\Houston\McCue_3363_Broadstone Uptown Lofts_Houston_16118","McCue_3363_Broadstone Uptown Lofts_Houston_16118" )</f>
        <v>McCue_3363_Broadstone Uptown Lofts_Houston_16118</v>
      </c>
      <c r="L5729" s="104" t="s">
        <v>22253</v>
      </c>
      <c r="M5729" s="103" t="str">
        <f t="shared" si="448"/>
        <v>http://oconnordata.com/mlink/modules/profile/index.cfm?action=profile&amp;prop_id=16118</v>
      </c>
      <c r="N5729" s="1">
        <f t="shared" si="449"/>
        <v>16118</v>
      </c>
    </row>
    <row r="5730" spans="1:14" x14ac:dyDescent="0.3">
      <c r="A5730" s="1">
        <v>16119</v>
      </c>
      <c r="B5730" s="7" t="s">
        <v>8610</v>
      </c>
      <c r="C5730" s="12">
        <v>2400</v>
      </c>
      <c r="D5730" s="7" t="s">
        <v>8611</v>
      </c>
      <c r="E5730" s="13" t="s">
        <v>8612</v>
      </c>
      <c r="F5730" t="str">
        <f t="shared" si="445"/>
        <v>Central</v>
      </c>
      <c r="G5730" t="str">
        <f t="shared" si="446"/>
        <v>Central2400College Station</v>
      </c>
      <c r="H5730" t="s">
        <v>36586</v>
      </c>
      <c r="I5730" t="s">
        <v>28006</v>
      </c>
      <c r="J5730" t="str">
        <f t="shared" si="447"/>
        <v>E:\PropInv\MF</v>
      </c>
      <c r="K5730" s="103" t="str">
        <f>HYPERLINK("E:\PropInv\MF\College Station\Central Park Ln_2400_Eastmark at Wolf Pen_College Station_16119","Central Park Ln_2400_Eastmark at Wolf Pen_College Station_16119" )</f>
        <v>Central Park Ln_2400_Eastmark at Wolf Pen_College Station_16119</v>
      </c>
      <c r="L5730" s="104" t="s">
        <v>22253</v>
      </c>
      <c r="M5730" s="103" t="str">
        <f t="shared" si="448"/>
        <v>http://oconnordata.com/mlink/modules/profile/index.cfm?action=profile&amp;prop_id=16119</v>
      </c>
      <c r="N5730" s="1">
        <f t="shared" si="449"/>
        <v>16119</v>
      </c>
    </row>
    <row r="5731" spans="1:14" x14ac:dyDescent="0.3">
      <c r="A5731" s="1">
        <v>16120</v>
      </c>
      <c r="B5731" s="21" t="s">
        <v>686</v>
      </c>
      <c r="C5731" s="12">
        <v>503</v>
      </c>
      <c r="D5731" s="7" t="s">
        <v>8613</v>
      </c>
      <c r="E5731" s="13" t="s">
        <v>8612</v>
      </c>
      <c r="F5731" t="str">
        <f t="shared" si="445"/>
        <v>SW</v>
      </c>
      <c r="G5731" t="str">
        <f t="shared" si="446"/>
        <v>SW503College Station</v>
      </c>
      <c r="H5731" t="s">
        <v>36587</v>
      </c>
      <c r="I5731" t="s">
        <v>28007</v>
      </c>
      <c r="J5731" t="str">
        <f t="shared" si="447"/>
        <v>E:\PropInv\MF</v>
      </c>
      <c r="K5731" s="103" t="str">
        <f>HYPERLINK("E:\PropInv\MF\College Station\SW Pkwy_503_Madison Pointe_College Station_16120","SW Pkwy_503_Madison Pointe_College Station_16120" )</f>
        <v>SW Pkwy_503_Madison Pointe_College Station_16120</v>
      </c>
      <c r="L5731" s="104" t="s">
        <v>22253</v>
      </c>
      <c r="M5731" s="103" t="str">
        <f t="shared" si="448"/>
        <v>http://oconnordata.com/mlink/modules/profile/index.cfm?action=profile&amp;prop_id=16120</v>
      </c>
      <c r="N5731" s="1">
        <f t="shared" si="449"/>
        <v>16120</v>
      </c>
    </row>
    <row r="5732" spans="1:14" x14ac:dyDescent="0.3">
      <c r="A5732" s="1">
        <v>16121</v>
      </c>
      <c r="B5732" s="7" t="s">
        <v>8614</v>
      </c>
      <c r="C5732" s="12">
        <v>1800</v>
      </c>
      <c r="D5732" s="7" t="s">
        <v>1041</v>
      </c>
      <c r="E5732" s="13" t="s">
        <v>8612</v>
      </c>
      <c r="F5732" t="str">
        <f t="shared" si="445"/>
        <v>Holleman</v>
      </c>
      <c r="G5732" t="str">
        <f t="shared" si="446"/>
        <v>Holleman1800College Station</v>
      </c>
      <c r="H5732" t="s">
        <v>36588</v>
      </c>
      <c r="I5732" t="s">
        <v>28008</v>
      </c>
      <c r="J5732" t="str">
        <f t="shared" si="447"/>
        <v>E:\PropInv\MF</v>
      </c>
      <c r="K5732" s="103" t="str">
        <f>HYPERLINK("E:\PropInv\MF\College Station\Holleman Dr_1800_The Enclave_College Station_16121","Holleman Dr_1800_The Enclave_College Station_16121" )</f>
        <v>Holleman Dr_1800_The Enclave_College Station_16121</v>
      </c>
      <c r="L5732" s="104" t="s">
        <v>22253</v>
      </c>
      <c r="M5732" s="103" t="str">
        <f t="shared" si="448"/>
        <v>http://oconnordata.com/mlink/modules/profile/index.cfm?action=profile&amp;prop_id=16121</v>
      </c>
      <c r="N5732" s="1">
        <f t="shared" si="449"/>
        <v>16121</v>
      </c>
    </row>
    <row r="5733" spans="1:14" x14ac:dyDescent="0.3">
      <c r="A5733" s="1">
        <v>16122</v>
      </c>
      <c r="B5733" s="21" t="s">
        <v>686</v>
      </c>
      <c r="C5733" s="12">
        <v>1600</v>
      </c>
      <c r="D5733" s="7" t="s">
        <v>8615</v>
      </c>
      <c r="E5733" s="13" t="s">
        <v>8612</v>
      </c>
      <c r="F5733" t="str">
        <f t="shared" si="445"/>
        <v>SW</v>
      </c>
      <c r="G5733" t="str">
        <f t="shared" si="446"/>
        <v>SW1600College Station</v>
      </c>
      <c r="H5733" t="s">
        <v>36589</v>
      </c>
      <c r="I5733" t="s">
        <v>28009</v>
      </c>
      <c r="J5733" t="str">
        <f t="shared" si="447"/>
        <v>E:\PropInv\MF</v>
      </c>
      <c r="K5733" s="103" t="str">
        <f>HYPERLINK("E:\PropInv\MF\College Station\SW Pkwy_1600_Cedar Ridge at College Station_College Station_16122","SW Pkwy_1600_Cedar Ridge at College Station_College Station_16122" )</f>
        <v>SW Pkwy_1600_Cedar Ridge at College Station_College Station_16122</v>
      </c>
      <c r="L5733" s="104" t="s">
        <v>22253</v>
      </c>
      <c r="M5733" s="103" t="str">
        <f t="shared" si="448"/>
        <v>http://oconnordata.com/mlink/modules/profile/index.cfm?action=profile&amp;prop_id=16122</v>
      </c>
      <c r="N5733" s="1">
        <f t="shared" si="449"/>
        <v>16122</v>
      </c>
    </row>
    <row r="5734" spans="1:14" x14ac:dyDescent="0.3">
      <c r="A5734" s="1">
        <v>16123</v>
      </c>
      <c r="B5734" s="7" t="s">
        <v>8616</v>
      </c>
      <c r="C5734" s="12">
        <v>1907</v>
      </c>
      <c r="D5734" s="7" t="s">
        <v>1115</v>
      </c>
      <c r="E5734" s="13" t="s">
        <v>8612</v>
      </c>
      <c r="F5734" t="str">
        <f t="shared" si="445"/>
        <v>Dartmouth</v>
      </c>
      <c r="G5734" t="str">
        <f t="shared" si="446"/>
        <v>Dartmouth1907College Station</v>
      </c>
      <c r="H5734" t="s">
        <v>36590</v>
      </c>
      <c r="I5734" t="s">
        <v>28010</v>
      </c>
      <c r="J5734" t="str">
        <f t="shared" si="447"/>
        <v>E:\PropInv\MF</v>
      </c>
      <c r="K5734" s="103" t="str">
        <f>HYPERLINK("E:\PropInv\MF\College Station\Dartmouth St_1907_Huntington_College Station_16123","Dartmouth St_1907_Huntington_College Station_16123" )</f>
        <v>Dartmouth St_1907_Huntington_College Station_16123</v>
      </c>
      <c r="L5734" s="104" t="s">
        <v>22253</v>
      </c>
      <c r="M5734" s="103" t="str">
        <f t="shared" si="448"/>
        <v>http://oconnordata.com/mlink/modules/profile/index.cfm?action=profile&amp;prop_id=16123</v>
      </c>
      <c r="N5734" s="1">
        <f t="shared" si="449"/>
        <v>16123</v>
      </c>
    </row>
    <row r="5735" spans="1:14" x14ac:dyDescent="0.3">
      <c r="A5735" s="1">
        <v>16124</v>
      </c>
      <c r="B5735" s="7" t="s">
        <v>8617</v>
      </c>
      <c r="C5735" s="12">
        <v>1501</v>
      </c>
      <c r="D5735" s="7" t="s">
        <v>8025</v>
      </c>
      <c r="E5735" s="13" t="s">
        <v>8612</v>
      </c>
      <c r="F5735" t="str">
        <f t="shared" si="445"/>
        <v>Harvey</v>
      </c>
      <c r="G5735" t="str">
        <f t="shared" si="446"/>
        <v>Harvey1501College Station</v>
      </c>
      <c r="H5735" t="s">
        <v>36591</v>
      </c>
      <c r="I5735" t="s">
        <v>28011</v>
      </c>
      <c r="J5735" t="str">
        <f t="shared" si="447"/>
        <v>E:\PropInv\MF</v>
      </c>
      <c r="K5735" s="103" t="str">
        <f>HYPERLINK("E:\PropInv\MF\College Station\Harvey Rd_1501_Plantation Oaks_College Station_16124","Harvey Rd_1501_Plantation Oaks_College Station_16124" )</f>
        <v>Harvey Rd_1501_Plantation Oaks_College Station_16124</v>
      </c>
      <c r="L5735" s="104" t="s">
        <v>22253</v>
      </c>
      <c r="M5735" s="103" t="str">
        <f t="shared" si="448"/>
        <v>http://oconnordata.com/mlink/modules/profile/index.cfm?action=profile&amp;prop_id=16124</v>
      </c>
      <c r="N5735" s="1">
        <f t="shared" si="449"/>
        <v>16124</v>
      </c>
    </row>
    <row r="5736" spans="1:14" x14ac:dyDescent="0.3">
      <c r="A5736" s="1">
        <v>16125</v>
      </c>
      <c r="B5736" s="7" t="s">
        <v>8618</v>
      </c>
      <c r="C5736" s="12">
        <v>401</v>
      </c>
      <c r="D5736" s="7" t="s">
        <v>1071</v>
      </c>
      <c r="E5736" s="13" t="s">
        <v>8612</v>
      </c>
      <c r="F5736" t="str">
        <f t="shared" si="445"/>
        <v>University</v>
      </c>
      <c r="G5736" t="str">
        <f t="shared" si="446"/>
        <v>University401College Station</v>
      </c>
      <c r="H5736" t="s">
        <v>36592</v>
      </c>
      <c r="I5736" t="s">
        <v>28012</v>
      </c>
      <c r="J5736" t="str">
        <f t="shared" si="447"/>
        <v>E:\PropInv\MF</v>
      </c>
      <c r="K5736" s="103" t="str">
        <f>HYPERLINK("E:\PropInv\MF\College Station\University Oaks Blvd_401_The Gables_College Station_16125","University Oaks Blvd_401_The Gables_College Station_16125" )</f>
        <v>University Oaks Blvd_401_The Gables_College Station_16125</v>
      </c>
      <c r="L5736" s="104" t="s">
        <v>22253</v>
      </c>
      <c r="M5736" s="103" t="str">
        <f t="shared" si="448"/>
        <v>http://oconnordata.com/mlink/modules/profile/index.cfm?action=profile&amp;prop_id=16125</v>
      </c>
      <c r="N5736" s="1">
        <f t="shared" si="449"/>
        <v>16125</v>
      </c>
    </row>
    <row r="5737" spans="1:14" x14ac:dyDescent="0.3">
      <c r="A5737" s="1">
        <v>16126</v>
      </c>
      <c r="B5737" s="7" t="s">
        <v>8619</v>
      </c>
      <c r="C5737" s="12">
        <v>401</v>
      </c>
      <c r="D5737" s="7" t="s">
        <v>8620</v>
      </c>
      <c r="E5737" s="13" t="s">
        <v>8612</v>
      </c>
      <c r="F5737" t="str">
        <f t="shared" si="445"/>
        <v>Anderson</v>
      </c>
      <c r="G5737" t="str">
        <f t="shared" si="446"/>
        <v>Anderson401College Station</v>
      </c>
      <c r="H5737" t="s">
        <v>36593</v>
      </c>
      <c r="I5737" t="s">
        <v>28013</v>
      </c>
      <c r="J5737" t="str">
        <f t="shared" si="447"/>
        <v>E:\PropInv\MF</v>
      </c>
      <c r="K5737" s="103" t="str">
        <f>HYPERLINK("E:\PropInv\MF\College Station\Anderson Dr_401_Scandia Apts_College Station_16126","Anderson Dr_401_Scandia Apts_College Station_16126" )</f>
        <v>Anderson Dr_401_Scandia Apts_College Station_16126</v>
      </c>
      <c r="L5737" s="104" t="s">
        <v>22253</v>
      </c>
      <c r="M5737" s="103" t="str">
        <f t="shared" si="448"/>
        <v>http://oconnordata.com/mlink/modules/profile/index.cfm?action=profile&amp;prop_id=16126</v>
      </c>
      <c r="N5737" s="1">
        <f t="shared" si="449"/>
        <v>16126</v>
      </c>
    </row>
    <row r="5738" spans="1:14" x14ac:dyDescent="0.3">
      <c r="A5738" s="1">
        <v>16128</v>
      </c>
      <c r="B5738" s="7" t="s">
        <v>8614</v>
      </c>
      <c r="C5738" s="12">
        <v>1601</v>
      </c>
      <c r="D5738" s="7" t="s">
        <v>8621</v>
      </c>
      <c r="E5738" s="13" t="s">
        <v>8612</v>
      </c>
      <c r="F5738" t="str">
        <f t="shared" si="445"/>
        <v>Holleman</v>
      </c>
      <c r="G5738" t="str">
        <f t="shared" si="446"/>
        <v>Holleman1601College Station</v>
      </c>
      <c r="H5738" t="s">
        <v>36594</v>
      </c>
      <c r="I5738" t="s">
        <v>28014</v>
      </c>
      <c r="J5738" t="str">
        <f t="shared" si="447"/>
        <v>E:\PropInv\MF</v>
      </c>
      <c r="K5738" s="103" t="str">
        <f>HYPERLINK("E:\PropInv\MF\College Station\Holleman Dr_1601_Tower Park_College Station_16128","Holleman Dr_1601_Tower Park_College Station_16128" )</f>
        <v>Holleman Dr_1601_Tower Park_College Station_16128</v>
      </c>
      <c r="L5738" s="104" t="s">
        <v>22253</v>
      </c>
      <c r="M5738" s="103" t="str">
        <f t="shared" si="448"/>
        <v>http://oconnordata.com/mlink/modules/profile/index.cfm?action=profile&amp;prop_id=16128</v>
      </c>
      <c r="N5738" s="1">
        <f t="shared" si="449"/>
        <v>16128</v>
      </c>
    </row>
    <row r="5739" spans="1:14" x14ac:dyDescent="0.3">
      <c r="A5739" s="1">
        <v>16129</v>
      </c>
      <c r="B5739" s="7" t="s">
        <v>8622</v>
      </c>
      <c r="C5739" s="12">
        <v>2250</v>
      </c>
      <c r="D5739" s="7" t="s">
        <v>327</v>
      </c>
      <c r="E5739" s="13" t="s">
        <v>8612</v>
      </c>
      <c r="F5739" t="str">
        <f t="shared" si="445"/>
        <v>Dartmouth</v>
      </c>
      <c r="G5739" t="str">
        <f t="shared" si="446"/>
        <v>Dartmouth2250College Station</v>
      </c>
      <c r="H5739" t="s">
        <v>36595</v>
      </c>
      <c r="I5739" t="s">
        <v>28015</v>
      </c>
      <c r="J5739" t="str">
        <f t="shared" si="447"/>
        <v>E:\PropInv\MF</v>
      </c>
      <c r="K5739" s="103" t="str">
        <f>HYPERLINK("E:\PropInv\MF\College Station\Dartmouth Dr_2250_The Ridge_College Station_16129","Dartmouth Dr_2250_The Ridge_College Station_16129" )</f>
        <v>Dartmouth Dr_2250_The Ridge_College Station_16129</v>
      </c>
      <c r="L5739" s="104" t="s">
        <v>22253</v>
      </c>
      <c r="M5739" s="103" t="str">
        <f t="shared" si="448"/>
        <v>http://oconnordata.com/mlink/modules/profile/index.cfm?action=profile&amp;prop_id=16129</v>
      </c>
      <c r="N5739" s="1">
        <f t="shared" si="449"/>
        <v>16129</v>
      </c>
    </row>
    <row r="5740" spans="1:14" x14ac:dyDescent="0.3">
      <c r="A5740" s="1">
        <v>16131</v>
      </c>
      <c r="B5740" s="7" t="s">
        <v>8617</v>
      </c>
      <c r="C5740" s="12">
        <v>811</v>
      </c>
      <c r="D5740" s="7" t="s">
        <v>407</v>
      </c>
      <c r="E5740" s="13" t="s">
        <v>8612</v>
      </c>
      <c r="F5740" t="str">
        <f t="shared" si="445"/>
        <v>Harvey</v>
      </c>
      <c r="G5740" t="str">
        <f t="shared" si="446"/>
        <v>Harvey811College Station</v>
      </c>
      <c r="H5740" t="s">
        <v>36596</v>
      </c>
      <c r="I5740" t="s">
        <v>28016</v>
      </c>
      <c r="J5740" t="str">
        <f t="shared" si="447"/>
        <v>E:\PropInv\MF</v>
      </c>
      <c r="K5740" s="103" t="str">
        <f>HYPERLINK("E:\PropInv\MF\College Station\Harvey Rd_811_Sundance_College Station_16131","Harvey Rd_811_Sundance_College Station_16131" )</f>
        <v>Harvey Rd_811_Sundance_College Station_16131</v>
      </c>
      <c r="L5740" s="104" t="s">
        <v>22253</v>
      </c>
      <c r="M5740" s="103" t="str">
        <f t="shared" si="448"/>
        <v>http://oconnordata.com/mlink/modules/profile/index.cfm?action=profile&amp;prop_id=16131</v>
      </c>
      <c r="N5740" s="1">
        <f t="shared" si="449"/>
        <v>16131</v>
      </c>
    </row>
    <row r="5741" spans="1:14" x14ac:dyDescent="0.3">
      <c r="A5741" s="1">
        <v>16132</v>
      </c>
      <c r="B5741" s="7" t="s">
        <v>7202</v>
      </c>
      <c r="C5741" s="12">
        <v>7001</v>
      </c>
      <c r="D5741" s="7" t="s">
        <v>8623</v>
      </c>
      <c r="E5741" s="13" t="s">
        <v>5009</v>
      </c>
      <c r="F5741" t="str">
        <f t="shared" si="445"/>
        <v>Parkwood</v>
      </c>
      <c r="G5741" t="str">
        <f t="shared" si="446"/>
        <v>Parkwood7001Plano</v>
      </c>
      <c r="H5741" t="s">
        <v>36597</v>
      </c>
      <c r="I5741" t="s">
        <v>28017</v>
      </c>
      <c r="J5741" t="str">
        <f t="shared" si="447"/>
        <v>E:\PropInv\MF</v>
      </c>
      <c r="K5741" s="103" t="str">
        <f>HYPERLINK("E:\PropInv\MF\Plano\Parkwood Blvd_7001_Legacy Village I &amp; II_Plano_16132","Parkwood Blvd_7001_Legacy Village I &amp; II_Plano_16132" )</f>
        <v>Parkwood Blvd_7001_Legacy Village I &amp; II_Plano_16132</v>
      </c>
      <c r="L5741" s="104" t="s">
        <v>22253</v>
      </c>
      <c r="M5741" s="103" t="str">
        <f t="shared" si="448"/>
        <v>http://oconnordata.com/mlink/modules/profile/index.cfm?action=profile&amp;prop_id=16132</v>
      </c>
      <c r="N5741" s="1">
        <f t="shared" si="449"/>
        <v>16132</v>
      </c>
    </row>
    <row r="5742" spans="1:14" x14ac:dyDescent="0.3">
      <c r="A5742" s="1">
        <v>16133</v>
      </c>
      <c r="B5742" s="7" t="s">
        <v>8624</v>
      </c>
      <c r="C5742" s="12">
        <v>5700</v>
      </c>
      <c r="D5742" s="7" t="s">
        <v>8625</v>
      </c>
      <c r="E5742" s="13" t="s">
        <v>8626</v>
      </c>
      <c r="F5742" t="str">
        <f t="shared" si="445"/>
        <v>Industrial</v>
      </c>
      <c r="G5742" t="str">
        <f t="shared" si="446"/>
        <v>Industrial5700Greenville</v>
      </c>
      <c r="H5742" t="s">
        <v>36598</v>
      </c>
      <c r="I5742" t="s">
        <v>28018</v>
      </c>
      <c r="J5742" t="str">
        <f t="shared" si="447"/>
        <v>E:\PropInv\MF</v>
      </c>
      <c r="K5742" s="103" t="str">
        <f>HYPERLINK("E:\PropInv\MF\Greenville\Industrial Dr_5700_Ranchview TH_Greenville_16133","Industrial Dr_5700_Ranchview TH_Greenville_16133" )</f>
        <v>Industrial Dr_5700_Ranchview TH_Greenville_16133</v>
      </c>
      <c r="L5742" s="104" t="s">
        <v>22253</v>
      </c>
      <c r="M5742" s="103" t="str">
        <f t="shared" si="448"/>
        <v>http://oconnordata.com/mlink/modules/profile/index.cfm?action=profile&amp;prop_id=16133</v>
      </c>
      <c r="N5742" s="1">
        <f t="shared" si="449"/>
        <v>16133</v>
      </c>
    </row>
    <row r="5743" spans="1:14" x14ac:dyDescent="0.3">
      <c r="A5743" s="97">
        <v>16134</v>
      </c>
      <c r="B5743" s="7" t="s">
        <v>8627</v>
      </c>
      <c r="C5743" s="12">
        <v>1600</v>
      </c>
      <c r="D5743" s="7" t="s">
        <v>8628</v>
      </c>
      <c r="E5743" s="13" t="s">
        <v>5014</v>
      </c>
      <c r="F5743" t="str">
        <f t="shared" si="445"/>
        <v>Cooks</v>
      </c>
      <c r="G5743" t="str">
        <f t="shared" si="446"/>
        <v>Cooks1600Fort Worth</v>
      </c>
      <c r="H5743" t="s">
        <v>36599</v>
      </c>
      <c r="I5743" t="s">
        <v>28019</v>
      </c>
      <c r="J5743" t="str">
        <f t="shared" si="447"/>
        <v>E:\PropInv\MF</v>
      </c>
      <c r="K5743" s="103" t="str">
        <f>HYPERLINK("E:\PropInv\MF\Fort Worth\Cooks Ln_1600_Windsong Apts_Fort Worth_16134","Cooks Ln_1600_Windsong Apts_Fort Worth_16134" )</f>
        <v>Cooks Ln_1600_Windsong Apts_Fort Worth_16134</v>
      </c>
      <c r="L5743" s="104" t="s">
        <v>22253</v>
      </c>
      <c r="M5743" s="103" t="str">
        <f t="shared" si="448"/>
        <v>http://oconnordata.com/mlink/modules/profile/index.cfm?action=profile&amp;prop_id=16134</v>
      </c>
      <c r="N5743" s="1">
        <f t="shared" si="449"/>
        <v>16134</v>
      </c>
    </row>
    <row r="5744" spans="1:14" x14ac:dyDescent="0.3">
      <c r="A5744" s="1">
        <v>16135</v>
      </c>
      <c r="B5744" s="7" t="s">
        <v>8629</v>
      </c>
      <c r="C5744" s="12">
        <v>600</v>
      </c>
      <c r="D5744" s="7" t="s">
        <v>8630</v>
      </c>
      <c r="E5744" s="13" t="s">
        <v>5097</v>
      </c>
      <c r="F5744" t="str">
        <f t="shared" si="445"/>
        <v>Texas</v>
      </c>
      <c r="G5744" t="str">
        <f t="shared" si="446"/>
        <v>Texas600Denton</v>
      </c>
      <c r="H5744" t="s">
        <v>36600</v>
      </c>
      <c r="I5744" t="s">
        <v>28020</v>
      </c>
      <c r="J5744" t="str">
        <f t="shared" si="447"/>
        <v>E:\PropInv\MF</v>
      </c>
      <c r="K5744" s="103" t="str">
        <f>HYPERLINK("E:\PropInv\MF\Denton\Texas St_600_Lone Star_Denton_16135","Texas St_600_Lone Star_Denton_16135" )</f>
        <v>Texas St_600_Lone Star_Denton_16135</v>
      </c>
      <c r="L5744" s="104" t="s">
        <v>22253</v>
      </c>
      <c r="M5744" s="103" t="str">
        <f t="shared" si="448"/>
        <v>http://oconnordata.com/mlink/modules/profile/index.cfm?action=profile&amp;prop_id=16135</v>
      </c>
      <c r="N5744" s="1">
        <f t="shared" si="449"/>
        <v>16135</v>
      </c>
    </row>
    <row r="5745" spans="1:14" x14ac:dyDescent="0.3">
      <c r="A5745" s="1">
        <v>16136</v>
      </c>
      <c r="B5745" s="7" t="s">
        <v>8343</v>
      </c>
      <c r="C5745" s="12">
        <v>2491</v>
      </c>
      <c r="D5745" s="7" t="s">
        <v>8631</v>
      </c>
      <c r="E5745" s="13" t="s">
        <v>5043</v>
      </c>
      <c r="F5745" t="str">
        <f t="shared" si="445"/>
        <v>Country</v>
      </c>
      <c r="G5745" t="str">
        <f t="shared" si="446"/>
        <v>Country2491McKinney</v>
      </c>
      <c r="H5745" t="s">
        <v>36601</v>
      </c>
      <c r="I5745" t="s">
        <v>28021</v>
      </c>
      <c r="J5745" t="str">
        <f t="shared" si="447"/>
        <v>E:\PropInv\MF</v>
      </c>
      <c r="K5745" s="103" t="str">
        <f>HYPERLINK("E:\PropInv\MF\McKinney\Country View Ln_2491_Grand Texan_McKinney_16136","Country View Ln_2491_Grand Texan_McKinney_16136" )</f>
        <v>Country View Ln_2491_Grand Texan_McKinney_16136</v>
      </c>
      <c r="L5745" s="104" t="s">
        <v>22253</v>
      </c>
      <c r="M5745" s="103" t="str">
        <f t="shared" si="448"/>
        <v>http://oconnordata.com/mlink/modules/profile/index.cfm?action=profile&amp;prop_id=16136</v>
      </c>
      <c r="N5745" s="1">
        <f t="shared" si="449"/>
        <v>16136</v>
      </c>
    </row>
    <row r="5746" spans="1:14" x14ac:dyDescent="0.3">
      <c r="A5746" s="1">
        <v>16137</v>
      </c>
      <c r="B5746" s="7" t="s">
        <v>8632</v>
      </c>
      <c r="C5746" s="12">
        <v>1409</v>
      </c>
      <c r="D5746" s="7" t="s">
        <v>8633</v>
      </c>
      <c r="E5746" s="13" t="s">
        <v>4996</v>
      </c>
      <c r="F5746" t="str">
        <f t="shared" si="445"/>
        <v>Zang</v>
      </c>
      <c r="G5746" t="str">
        <f t="shared" si="446"/>
        <v>Zang1409Dallas</v>
      </c>
      <c r="H5746" t="s">
        <v>36602</v>
      </c>
      <c r="I5746" t="s">
        <v>28022</v>
      </c>
      <c r="J5746" t="str">
        <f t="shared" si="447"/>
        <v>E:\PropInv\MF</v>
      </c>
      <c r="K5746" s="103" t="str">
        <f>HYPERLINK("E:\PropInv\MF\Dallas\Zang Blvd N_1409_Grand Estates at Founders Park_Dallas_16137","Zang Blvd N_1409_Grand Estates at Founders Park_Dallas_16137" )</f>
        <v>Zang Blvd N_1409_Grand Estates at Founders Park_Dallas_16137</v>
      </c>
      <c r="L5746" s="104" t="s">
        <v>22253</v>
      </c>
      <c r="M5746" s="103" t="str">
        <f t="shared" si="448"/>
        <v>http://oconnordata.com/mlink/modules/profile/index.cfm?action=profile&amp;prop_id=16137</v>
      </c>
      <c r="N5746" s="1">
        <f t="shared" si="449"/>
        <v>16137</v>
      </c>
    </row>
    <row r="5747" spans="1:14" x14ac:dyDescent="0.3">
      <c r="A5747" s="1">
        <v>16138</v>
      </c>
      <c r="B5747" s="7" t="s">
        <v>2768</v>
      </c>
      <c r="C5747" s="12">
        <v>9510</v>
      </c>
      <c r="D5747" s="7" t="s">
        <v>8634</v>
      </c>
      <c r="E5747" s="13" t="s">
        <v>6909</v>
      </c>
      <c r="F5747" t="str">
        <f t="shared" si="445"/>
        <v>Westpark</v>
      </c>
      <c r="G5747" t="str">
        <f t="shared" si="446"/>
        <v>Westpark9510Benbrook</v>
      </c>
      <c r="H5747" t="s">
        <v>36603</v>
      </c>
      <c r="I5747" t="s">
        <v>28023</v>
      </c>
      <c r="J5747" t="str">
        <f t="shared" si="447"/>
        <v>E:\PropInv\MF</v>
      </c>
      <c r="K5747" s="103" t="str">
        <f>HYPERLINK("E:\PropInv\MF\Benbrook\Westpark_9510_Clover on the Ridge_Benbrook_16138","Westpark_9510_Clover on the Ridge_Benbrook_16138" )</f>
        <v>Westpark_9510_Clover on the Ridge_Benbrook_16138</v>
      </c>
      <c r="L5747" s="104" t="s">
        <v>22253</v>
      </c>
      <c r="M5747" s="103" t="str">
        <f t="shared" si="448"/>
        <v>http://oconnordata.com/mlink/modules/profile/index.cfm?action=profile&amp;prop_id=16138</v>
      </c>
      <c r="N5747" s="1">
        <f t="shared" si="449"/>
        <v>16138</v>
      </c>
    </row>
    <row r="5748" spans="1:14" x14ac:dyDescent="0.3">
      <c r="A5748" s="1">
        <v>16139</v>
      </c>
      <c r="B5748" s="7" t="s">
        <v>8635</v>
      </c>
      <c r="C5748" s="12">
        <v>3601</v>
      </c>
      <c r="D5748" s="7" t="s">
        <v>8636</v>
      </c>
      <c r="E5748" s="13" t="s">
        <v>5014</v>
      </c>
      <c r="F5748" t="str">
        <f t="shared" si="445"/>
        <v>Westridge</v>
      </c>
      <c r="G5748" t="str">
        <f t="shared" si="446"/>
        <v>Westridge3601Fort Worth</v>
      </c>
      <c r="H5748" t="s">
        <v>36604</v>
      </c>
      <c r="I5748" t="s">
        <v>28024</v>
      </c>
      <c r="J5748" t="str">
        <f t="shared" si="447"/>
        <v>E:\PropInv\MF</v>
      </c>
      <c r="K5748" s="103" t="str">
        <f>HYPERLINK("E:\PropInv\MF\Fort Worth\Westridge Ave_3601_Ridglea Village_Fort Worth_16139","Westridge Ave_3601_Ridglea Village_Fort Worth_16139" )</f>
        <v>Westridge Ave_3601_Ridglea Village_Fort Worth_16139</v>
      </c>
      <c r="L5748" s="104" t="s">
        <v>22253</v>
      </c>
      <c r="M5748" s="103" t="str">
        <f t="shared" si="448"/>
        <v>http://oconnordata.com/mlink/modules/profile/index.cfm?action=profile&amp;prop_id=16139</v>
      </c>
      <c r="N5748" s="1">
        <f t="shared" si="449"/>
        <v>16139</v>
      </c>
    </row>
    <row r="5749" spans="1:14" x14ac:dyDescent="0.3">
      <c r="A5749" s="1">
        <v>16140</v>
      </c>
      <c r="B5749" s="7" t="s">
        <v>8637</v>
      </c>
      <c r="C5749" s="12">
        <v>3601</v>
      </c>
      <c r="D5749" s="7" t="s">
        <v>8638</v>
      </c>
      <c r="E5749" s="13" t="s">
        <v>5014</v>
      </c>
      <c r="F5749" t="str">
        <f t="shared" si="445"/>
        <v>Deen</v>
      </c>
      <c r="G5749" t="str">
        <f t="shared" si="446"/>
        <v>Deen3601Fort Worth</v>
      </c>
      <c r="H5749" t="s">
        <v>36605</v>
      </c>
      <c r="I5749" t="s">
        <v>28025</v>
      </c>
      <c r="J5749" t="str">
        <f t="shared" si="447"/>
        <v>E:\PropInv\MF</v>
      </c>
      <c r="K5749" s="103" t="str">
        <f>HYPERLINK("E:\PropInv\MF\Fort Worth\Deen Rd_3601_Residences of Diamond Hill_Fort Worth_16140","Deen Rd_3601_Residences of Diamond Hill_Fort Worth_16140" )</f>
        <v>Deen Rd_3601_Residences of Diamond Hill_Fort Worth_16140</v>
      </c>
      <c r="L5749" s="104" t="s">
        <v>22253</v>
      </c>
      <c r="M5749" s="103" t="str">
        <f t="shared" si="448"/>
        <v>http://oconnordata.com/mlink/modules/profile/index.cfm?action=profile&amp;prop_id=16140</v>
      </c>
      <c r="N5749" s="1">
        <f t="shared" si="449"/>
        <v>16140</v>
      </c>
    </row>
    <row r="5750" spans="1:14" x14ac:dyDescent="0.3">
      <c r="A5750" s="97">
        <v>16141</v>
      </c>
      <c r="B5750" s="7" t="s">
        <v>8639</v>
      </c>
      <c r="C5750" s="12">
        <v>6010</v>
      </c>
      <c r="D5750" s="7" t="s">
        <v>8640</v>
      </c>
      <c r="E5750" s="13" t="s">
        <v>4996</v>
      </c>
      <c r="F5750" t="str">
        <f t="shared" si="445"/>
        <v>Westmoreland</v>
      </c>
      <c r="G5750" t="str">
        <f t="shared" si="446"/>
        <v>Westmoreland6010Dallas</v>
      </c>
      <c r="H5750" t="s">
        <v>36606</v>
      </c>
      <c r="I5750" t="s">
        <v>28026</v>
      </c>
      <c r="J5750" t="str">
        <f t="shared" si="447"/>
        <v>E:\PropInv\MF</v>
      </c>
      <c r="K5750" s="103" t="str">
        <f>HYPERLINK("E:\PropInv\MF\Dallas\Westmoreland Dr S_6010_Woods of Five Mile Creek_Dallas_16141","Westmoreland Dr S_6010_Woods of Five Mile Creek_Dallas_16141" )</f>
        <v>Westmoreland Dr S_6010_Woods of Five Mile Creek_Dallas_16141</v>
      </c>
      <c r="L5750" s="104" t="s">
        <v>22253</v>
      </c>
      <c r="M5750" s="103" t="str">
        <f t="shared" si="448"/>
        <v>http://oconnordata.com/mlink/modules/profile/index.cfm?action=profile&amp;prop_id=16141</v>
      </c>
      <c r="N5750" s="1">
        <f t="shared" si="449"/>
        <v>16141</v>
      </c>
    </row>
    <row r="5751" spans="1:14" x14ac:dyDescent="0.3">
      <c r="A5751" s="1">
        <v>16142</v>
      </c>
      <c r="B5751" s="7" t="s">
        <v>2768</v>
      </c>
      <c r="C5751" s="12">
        <v>16170</v>
      </c>
      <c r="D5751" s="7" t="s">
        <v>8641</v>
      </c>
      <c r="E5751" s="13" t="s">
        <v>1657</v>
      </c>
      <c r="F5751" t="str">
        <f t="shared" si="445"/>
        <v>Westpark</v>
      </c>
      <c r="G5751" t="str">
        <f t="shared" si="446"/>
        <v>Westpark16170Houston</v>
      </c>
      <c r="H5751" t="s">
        <v>36607</v>
      </c>
      <c r="I5751" t="s">
        <v>28027</v>
      </c>
      <c r="J5751" t="str">
        <f t="shared" si="447"/>
        <v>E:\PropInv\MF</v>
      </c>
      <c r="K5751" s="103" t="str">
        <f>HYPERLINK("E:\PropInv\MF\Houston\Westpark_16170_Laurel Point Apts_Houston_16142","Westpark_16170_Laurel Point Apts_Houston_16142" )</f>
        <v>Westpark_16170_Laurel Point Apts_Houston_16142</v>
      </c>
      <c r="L5751" s="104" t="s">
        <v>22253</v>
      </c>
      <c r="M5751" s="103" t="str">
        <f t="shared" si="448"/>
        <v>http://oconnordata.com/mlink/modules/profile/index.cfm?action=profile&amp;prop_id=16142</v>
      </c>
      <c r="N5751" s="1">
        <f t="shared" si="449"/>
        <v>16142</v>
      </c>
    </row>
    <row r="5752" spans="1:14" x14ac:dyDescent="0.3">
      <c r="A5752" s="1">
        <v>16143</v>
      </c>
      <c r="B5752" s="7" t="s">
        <v>3916</v>
      </c>
      <c r="C5752" s="12">
        <v>9720</v>
      </c>
      <c r="D5752" s="7" t="s">
        <v>8642</v>
      </c>
      <c r="E5752" s="13" t="s">
        <v>4369</v>
      </c>
      <c r="F5752" t="str">
        <f t="shared" si="445"/>
        <v>Broadway</v>
      </c>
      <c r="G5752" t="str">
        <f t="shared" si="446"/>
        <v>Broadway9720Pearland</v>
      </c>
      <c r="H5752" t="s">
        <v>36608</v>
      </c>
      <c r="I5752" t="s">
        <v>28028</v>
      </c>
      <c r="J5752" t="str">
        <f t="shared" si="447"/>
        <v>E:\PropInv\MF</v>
      </c>
      <c r="K5752" s="103" t="str">
        <f>HYPERLINK("E:\PropInv\MF\Pearland\Broadway St_9720_Southwind_Pearland_16143","Broadway St_9720_Southwind_Pearland_16143" )</f>
        <v>Broadway St_9720_Southwind_Pearland_16143</v>
      </c>
      <c r="L5752" s="104" t="s">
        <v>22253</v>
      </c>
      <c r="M5752" s="103" t="str">
        <f t="shared" si="448"/>
        <v>http://oconnordata.com/mlink/modules/profile/index.cfm?action=profile&amp;prop_id=16143</v>
      </c>
      <c r="N5752" s="1">
        <f t="shared" si="449"/>
        <v>16143</v>
      </c>
    </row>
    <row r="5753" spans="1:14" x14ac:dyDescent="0.3">
      <c r="A5753" s="1">
        <v>16144</v>
      </c>
      <c r="B5753" s="7" t="s">
        <v>8643</v>
      </c>
      <c r="C5753" s="12">
        <v>6833</v>
      </c>
      <c r="D5753" s="7" t="s">
        <v>8644</v>
      </c>
      <c r="E5753" s="13" t="s">
        <v>1657</v>
      </c>
      <c r="F5753" t="str">
        <f t="shared" si="445"/>
        <v>Lakeview</v>
      </c>
      <c r="G5753" t="str">
        <f t="shared" si="446"/>
        <v>Lakeview6833Houston</v>
      </c>
      <c r="H5753" t="s">
        <v>36609</v>
      </c>
      <c r="I5753" t="s">
        <v>28029</v>
      </c>
      <c r="J5753" t="str">
        <f t="shared" si="447"/>
        <v>E:\PropInv\MF</v>
      </c>
      <c r="K5753" s="103" t="str">
        <f>HYPERLINK("E:\PropInv\MF\Houston\Lakeview Haven_6833_Copperwood Ranch_Houston_16144","Lakeview Haven_6833_Copperwood Ranch_Houston_16144" )</f>
        <v>Lakeview Haven_6833_Copperwood Ranch_Houston_16144</v>
      </c>
      <c r="L5753" s="104" t="s">
        <v>22253</v>
      </c>
      <c r="M5753" s="103" t="str">
        <f t="shared" si="448"/>
        <v>http://oconnordata.com/mlink/modules/profile/index.cfm?action=profile&amp;prop_id=16144</v>
      </c>
      <c r="N5753" s="1">
        <f t="shared" si="449"/>
        <v>16144</v>
      </c>
    </row>
    <row r="5754" spans="1:14" x14ac:dyDescent="0.3">
      <c r="A5754" s="1">
        <v>16145</v>
      </c>
      <c r="B5754" s="7" t="s">
        <v>8645</v>
      </c>
      <c r="C5754" s="12">
        <v>2495</v>
      </c>
      <c r="D5754" s="7" t="s">
        <v>8646</v>
      </c>
      <c r="E5754" s="13" t="s">
        <v>2198</v>
      </c>
      <c r="F5754" t="str">
        <f t="shared" si="445"/>
        <v>Mason</v>
      </c>
      <c r="G5754" t="str">
        <f t="shared" si="446"/>
        <v>Mason2495Katy</v>
      </c>
      <c r="H5754" t="s">
        <v>36610</v>
      </c>
      <c r="I5754" t="s">
        <v>28030</v>
      </c>
      <c r="J5754" t="str">
        <f t="shared" si="447"/>
        <v>E:\PropInv\MF</v>
      </c>
      <c r="K5754" s="103" t="str">
        <f>HYPERLINK("E:\PropInv\MF\Katy\Mason Rd_2495_Camden Downs at Cinco Ranch_Katy_16145","Mason Rd_2495_Camden Downs at Cinco Ranch_Katy_16145" )</f>
        <v>Mason Rd_2495_Camden Downs at Cinco Ranch_Katy_16145</v>
      </c>
      <c r="L5754" s="104" t="s">
        <v>22253</v>
      </c>
      <c r="M5754" s="103" t="str">
        <f t="shared" si="448"/>
        <v>http://oconnordata.com/mlink/modules/profile/index.cfm?action=profile&amp;prop_id=16145</v>
      </c>
      <c r="N5754" s="1">
        <f t="shared" si="449"/>
        <v>16145</v>
      </c>
    </row>
    <row r="5755" spans="1:14" x14ac:dyDescent="0.3">
      <c r="A5755" s="1">
        <v>16146</v>
      </c>
      <c r="B5755" s="7" t="s">
        <v>4205</v>
      </c>
      <c r="C5755" s="12">
        <v>11144</v>
      </c>
      <c r="D5755" s="7" t="s">
        <v>8647</v>
      </c>
      <c r="E5755" s="13" t="s">
        <v>1657</v>
      </c>
      <c r="F5755" t="str">
        <f t="shared" si="445"/>
        <v>Fuqua</v>
      </c>
      <c r="G5755" t="str">
        <f t="shared" si="446"/>
        <v>Fuqua11144Houston</v>
      </c>
      <c r="H5755" t="s">
        <v>36611</v>
      </c>
      <c r="I5755" t="s">
        <v>28031</v>
      </c>
      <c r="J5755" t="str">
        <f t="shared" si="447"/>
        <v>E:\PropInv\MF</v>
      </c>
      <c r="K5755" s="103" t="str">
        <f>HYPERLINK("E:\PropInv\MF\Houston\Fuqua_11144_Settlers Ranch_Houston_16146","Fuqua_11144_Settlers Ranch_Houston_16146" )</f>
        <v>Fuqua_11144_Settlers Ranch_Houston_16146</v>
      </c>
      <c r="L5755" s="104" t="s">
        <v>22253</v>
      </c>
      <c r="M5755" s="103" t="str">
        <f t="shared" si="448"/>
        <v>http://oconnordata.com/mlink/modules/profile/index.cfm?action=profile&amp;prop_id=16146</v>
      </c>
      <c r="N5755" s="1">
        <f t="shared" si="449"/>
        <v>16146</v>
      </c>
    </row>
    <row r="5756" spans="1:14" x14ac:dyDescent="0.3">
      <c r="A5756" s="1">
        <v>16147</v>
      </c>
      <c r="B5756" s="7" t="s">
        <v>5</v>
      </c>
      <c r="C5756" s="12">
        <v>9100</v>
      </c>
      <c r="D5756" s="7" t="s">
        <v>8648</v>
      </c>
      <c r="E5756" s="13" t="s">
        <v>1657</v>
      </c>
      <c r="F5756" t="str">
        <f t="shared" si="445"/>
        <v>Westheimer</v>
      </c>
      <c r="G5756" t="str">
        <f t="shared" si="446"/>
        <v>Westheimer9100Houston</v>
      </c>
      <c r="H5756" t="s">
        <v>36612</v>
      </c>
      <c r="I5756" t="s">
        <v>28032</v>
      </c>
      <c r="J5756" t="str">
        <f t="shared" si="447"/>
        <v>E:\PropInv\MF</v>
      </c>
      <c r="K5756" s="103" t="str">
        <f>HYPERLINK("E:\PropInv\MF\Houston\Westheimer_9100_Camden Piney Point_Houston_16147","Westheimer_9100_Camden Piney Point_Houston_16147" )</f>
        <v>Westheimer_9100_Camden Piney Point_Houston_16147</v>
      </c>
      <c r="L5756" s="104" t="s">
        <v>22253</v>
      </c>
      <c r="M5756" s="103" t="str">
        <f t="shared" si="448"/>
        <v>http://oconnordata.com/mlink/modules/profile/index.cfm?action=profile&amp;prop_id=16147</v>
      </c>
      <c r="N5756" s="1">
        <f t="shared" si="449"/>
        <v>16147</v>
      </c>
    </row>
    <row r="5757" spans="1:14" x14ac:dyDescent="0.3">
      <c r="A5757" s="1">
        <v>16148</v>
      </c>
      <c r="B5757" s="7" t="s">
        <v>4230</v>
      </c>
      <c r="C5757" s="12">
        <v>3663</v>
      </c>
      <c r="D5757" s="7" t="s">
        <v>8649</v>
      </c>
      <c r="E5757" s="13" t="s">
        <v>3924</v>
      </c>
      <c r="F5757" t="str">
        <f t="shared" si="445"/>
        <v>Fairmont</v>
      </c>
      <c r="G5757" t="str">
        <f t="shared" si="446"/>
        <v>Fairmont3663Pasadena</v>
      </c>
      <c r="H5757" t="s">
        <v>36613</v>
      </c>
      <c r="I5757" t="s">
        <v>28033</v>
      </c>
      <c r="J5757" t="str">
        <f t="shared" si="447"/>
        <v>E:\PropInv\MF</v>
      </c>
      <c r="K5757" s="103" t="str">
        <f>HYPERLINK("E:\PropInv\MF\Pasadena\Fairmont Pkwy_3663_Parkway Seniors_Pasadena_16148","Fairmont Pkwy_3663_Parkway Seniors_Pasadena_16148" )</f>
        <v>Fairmont Pkwy_3663_Parkway Seniors_Pasadena_16148</v>
      </c>
      <c r="L5757" s="104" t="s">
        <v>22253</v>
      </c>
      <c r="M5757" s="103" t="str">
        <f t="shared" si="448"/>
        <v>http://oconnordata.com/mlink/modules/profile/index.cfm?action=profile&amp;prop_id=16148</v>
      </c>
      <c r="N5757" s="1">
        <f t="shared" si="449"/>
        <v>16148</v>
      </c>
    </row>
    <row r="5758" spans="1:14" x14ac:dyDescent="0.3">
      <c r="A5758" s="97">
        <v>16149</v>
      </c>
      <c r="B5758" s="7" t="s">
        <v>8650</v>
      </c>
      <c r="C5758" s="12">
        <v>12035</v>
      </c>
      <c r="D5758" s="7" t="s">
        <v>8651</v>
      </c>
      <c r="E5758" s="13" t="s">
        <v>1818</v>
      </c>
      <c r="F5758" t="str">
        <f t="shared" si="445"/>
        <v>Huffmeister</v>
      </c>
      <c r="G5758" t="str">
        <f t="shared" si="446"/>
        <v>Huffmeister12035Cypress</v>
      </c>
      <c r="H5758" t="s">
        <v>36614</v>
      </c>
      <c r="I5758" t="s">
        <v>28034</v>
      </c>
      <c r="J5758" t="str">
        <f t="shared" si="447"/>
        <v>E:\PropInv\MF</v>
      </c>
      <c r="K5758" s="103" t="str">
        <f>HYPERLINK("E:\PropInv\MF\Cypress\Huffmeister Rd_12035_Windsor Cypress Apts_Cypress_16149","Huffmeister Rd_12035_Windsor Cypress Apts_Cypress_16149" )</f>
        <v>Huffmeister Rd_12035_Windsor Cypress Apts_Cypress_16149</v>
      </c>
      <c r="L5758" s="104" t="s">
        <v>22253</v>
      </c>
      <c r="M5758" s="103" t="str">
        <f t="shared" si="448"/>
        <v>http://oconnordata.com/mlink/modules/profile/index.cfm?action=profile&amp;prop_id=16149</v>
      </c>
      <c r="N5758" s="1">
        <f t="shared" si="449"/>
        <v>16149</v>
      </c>
    </row>
    <row r="5759" spans="1:14" x14ac:dyDescent="0.3">
      <c r="A5759" s="1">
        <v>16150</v>
      </c>
      <c r="B5759" s="7" t="s">
        <v>8652</v>
      </c>
      <c r="C5759" s="12">
        <v>2222</v>
      </c>
      <c r="D5759" s="7" t="s">
        <v>8653</v>
      </c>
      <c r="E5759" s="13" t="s">
        <v>1657</v>
      </c>
      <c r="F5759" t="str">
        <f t="shared" si="445"/>
        <v>Smith</v>
      </c>
      <c r="G5759" t="str">
        <f t="shared" si="446"/>
        <v>Smith2222Houston</v>
      </c>
      <c r="H5759" t="s">
        <v>36615</v>
      </c>
      <c r="I5759" t="s">
        <v>28035</v>
      </c>
      <c r="J5759" t="str">
        <f t="shared" si="447"/>
        <v>E:\PropInv\MF</v>
      </c>
      <c r="K5759" s="103" t="str">
        <f>HYPERLINK("E:\PropInv\MF\Houston\Smith St_2222_2222 Smith Street_Houston_16150","Smith St_2222_2222 Smith Street_Houston_16150" )</f>
        <v>Smith St_2222_2222 Smith Street_Houston_16150</v>
      </c>
      <c r="L5759" s="104" t="s">
        <v>22253</v>
      </c>
      <c r="M5759" s="103" t="str">
        <f t="shared" si="448"/>
        <v>http://oconnordata.com/mlink/modules/profile/index.cfm?action=profile&amp;prop_id=16150</v>
      </c>
      <c r="N5759" s="1">
        <f t="shared" si="449"/>
        <v>16150</v>
      </c>
    </row>
    <row r="5760" spans="1:14" x14ac:dyDescent="0.3">
      <c r="A5760" s="1">
        <v>16151</v>
      </c>
      <c r="B5760" s="7" t="s">
        <v>8654</v>
      </c>
      <c r="C5760" s="12">
        <v>2810</v>
      </c>
      <c r="D5760" s="7" t="s">
        <v>8655</v>
      </c>
      <c r="E5760" s="13" t="s">
        <v>7</v>
      </c>
      <c r="F5760" t="str">
        <f t="shared" si="445"/>
        <v>Hemphill</v>
      </c>
      <c r="G5760" t="str">
        <f t="shared" si="446"/>
        <v>Hemphill2810Austin</v>
      </c>
      <c r="H5760" t="s">
        <v>36616</v>
      </c>
      <c r="I5760" t="s">
        <v>28036</v>
      </c>
      <c r="J5760" t="str">
        <f t="shared" si="447"/>
        <v>E:\PropInv\MF</v>
      </c>
      <c r="K5760" s="103" t="str">
        <f>HYPERLINK("E:\PropInv\MF\Austin\Hemphill Park_2810_Villas on Guadalupe_Austin_16151","Hemphill Park_2810_Villas on Guadalupe_Austin_16151" )</f>
        <v>Hemphill Park_2810_Villas on Guadalupe_Austin_16151</v>
      </c>
      <c r="L5760" s="104" t="s">
        <v>22253</v>
      </c>
      <c r="M5760" s="103" t="str">
        <f t="shared" si="448"/>
        <v>http://oconnordata.com/mlink/modules/profile/index.cfm?action=profile&amp;prop_id=16151</v>
      </c>
      <c r="N5760" s="1">
        <f t="shared" si="449"/>
        <v>16151</v>
      </c>
    </row>
    <row r="5761" spans="1:14" x14ac:dyDescent="0.3">
      <c r="A5761" s="1">
        <v>16152</v>
      </c>
      <c r="B5761" s="7" t="s">
        <v>278</v>
      </c>
      <c r="C5761" s="12">
        <v>1109</v>
      </c>
      <c r="D5761" s="7" t="s">
        <v>8656</v>
      </c>
      <c r="E5761" s="13" t="s">
        <v>7</v>
      </c>
      <c r="F5761" t="str">
        <f t="shared" si="445"/>
        <v>Pleasant</v>
      </c>
      <c r="G5761" t="str">
        <f t="shared" si="446"/>
        <v>Pleasant1109Austin</v>
      </c>
      <c r="H5761" t="s">
        <v>36617</v>
      </c>
      <c r="I5761" t="s">
        <v>28037</v>
      </c>
      <c r="J5761" t="str">
        <f t="shared" si="447"/>
        <v>E:\PropInv\MF</v>
      </c>
      <c r="K5761" s="103" t="str">
        <f>HYPERLINK("E:\PropInv\MF\Austin\Pleasant Valley Rd S_1109_Town Lake at Austin_Austin_16152","Pleasant Valley Rd S_1109_Town Lake at Austin_Austin_16152" )</f>
        <v>Pleasant Valley Rd S_1109_Town Lake at Austin_Austin_16152</v>
      </c>
      <c r="L5761" s="104" t="s">
        <v>22253</v>
      </c>
      <c r="M5761" s="103" t="str">
        <f t="shared" si="448"/>
        <v>http://oconnordata.com/mlink/modules/profile/index.cfm?action=profile&amp;prop_id=16152</v>
      </c>
      <c r="N5761" s="1">
        <f t="shared" si="449"/>
        <v>16152</v>
      </c>
    </row>
    <row r="5762" spans="1:14" x14ac:dyDescent="0.3">
      <c r="A5762" s="1">
        <v>16154</v>
      </c>
      <c r="B5762" s="7" t="s">
        <v>8463</v>
      </c>
      <c r="C5762" s="12">
        <v>2201</v>
      </c>
      <c r="D5762" s="7" t="s">
        <v>8657</v>
      </c>
      <c r="E5762" s="13" t="s">
        <v>7</v>
      </c>
      <c r="F5762" t="str">
        <f t="shared" ref="F5762:F5825" si="450">IFERROR(LEFT(B5762,FIND(" ",B5762)-1),B5762)</f>
        <v>Montopolis</v>
      </c>
      <c r="G5762" t="str">
        <f t="shared" ref="G5762:G5825" si="451">F5762&amp;C5762&amp;E5762</f>
        <v>Montopolis2201Austin</v>
      </c>
      <c r="H5762" t="s">
        <v>36618</v>
      </c>
      <c r="I5762" t="s">
        <v>28038</v>
      </c>
      <c r="J5762" t="str">
        <f t="shared" ref="J5762:J5825" si="452">IF(L5762="TX",Folder_Path,Folder_Path&amp;"\State_"&amp;L5762)</f>
        <v>E:\PropInv\MF</v>
      </c>
      <c r="K5762" s="103" t="str">
        <f>HYPERLINK("E:\PropInv\MF\Austin\Montopolis Dr_2201_Towne Vista_Austin_16154","Montopolis Dr_2201_Towne Vista_Austin_16154" )</f>
        <v>Montopolis Dr_2201_Towne Vista_Austin_16154</v>
      </c>
      <c r="L5762" s="104" t="s">
        <v>22253</v>
      </c>
      <c r="M5762" s="103" t="str">
        <f t="shared" ref="M5762:M5825" si="453">HYPERLINK("http://oconnordata.com/mlink/modules/profile/index.cfm?action=profile&amp;prop_id="&amp;A5762)</f>
        <v>http://oconnordata.com/mlink/modules/profile/index.cfm?action=profile&amp;prop_id=16154</v>
      </c>
      <c r="N5762" s="1">
        <f t="shared" ref="N5762:N5825" si="454">IF(LEN(A5762)=1,"0000"&amp;A5762,IF(LEN(A5762)=2,"000"&amp;A5762,IF(LEN(A5762)=3,"00"&amp;A5762,IF(LEN(A5762)=4,"0"&amp;A5762,IF(LEN(A5762)=5,IF(LEFT(A5762,1)="3",A5762+30000,A5762))))))</f>
        <v>16154</v>
      </c>
    </row>
    <row r="5763" spans="1:14" x14ac:dyDescent="0.3">
      <c r="A5763" s="1">
        <v>16155</v>
      </c>
      <c r="B5763" s="7" t="s">
        <v>8658</v>
      </c>
      <c r="C5763" s="12">
        <v>2800</v>
      </c>
      <c r="D5763" s="7" t="s">
        <v>8659</v>
      </c>
      <c r="E5763" s="13" t="s">
        <v>7</v>
      </c>
      <c r="F5763" t="str">
        <f t="shared" si="450"/>
        <v>Collins</v>
      </c>
      <c r="G5763" t="str">
        <f t="shared" si="451"/>
        <v>Collins2800Austin</v>
      </c>
      <c r="H5763" t="s">
        <v>36619</v>
      </c>
      <c r="I5763" t="s">
        <v>28039</v>
      </c>
      <c r="J5763" t="str">
        <f t="shared" si="452"/>
        <v>E:\PropInv\MF</v>
      </c>
      <c r="K5763" s="103" t="str">
        <f>HYPERLINK("E:\PropInv\MF\Austin\Collins Creek Dr_2800_Rosemont at Oak Valley_Austin_16155","Collins Creek Dr_2800_Rosemont at Oak Valley_Austin_16155" )</f>
        <v>Collins Creek Dr_2800_Rosemont at Oak Valley_Austin_16155</v>
      </c>
      <c r="L5763" s="104" t="s">
        <v>22253</v>
      </c>
      <c r="M5763" s="103" t="str">
        <f t="shared" si="453"/>
        <v>http://oconnordata.com/mlink/modules/profile/index.cfm?action=profile&amp;prop_id=16155</v>
      </c>
      <c r="N5763" s="1">
        <f t="shared" si="454"/>
        <v>16155</v>
      </c>
    </row>
    <row r="5764" spans="1:14" x14ac:dyDescent="0.3">
      <c r="A5764" s="1">
        <v>16156</v>
      </c>
      <c r="B5764" s="7" t="s">
        <v>8660</v>
      </c>
      <c r="C5764" s="12">
        <v>8611</v>
      </c>
      <c r="D5764" s="7" t="s">
        <v>8661</v>
      </c>
      <c r="E5764" s="13" t="s">
        <v>842</v>
      </c>
      <c r="F5764" t="str">
        <f t="shared" si="450"/>
        <v>Waters</v>
      </c>
      <c r="G5764" t="str">
        <f t="shared" si="451"/>
        <v>Waters8611San Antonio</v>
      </c>
      <c r="H5764" t="s">
        <v>36620</v>
      </c>
      <c r="I5764" t="s">
        <v>28040</v>
      </c>
      <c r="J5764" t="str">
        <f t="shared" si="452"/>
        <v>E:\PropInv\MF</v>
      </c>
      <c r="K5764" s="103" t="str">
        <f>HYPERLINK("E:\PropInv\MF\San Antonio\Waters Edge Dr_8611_Gates of Capernum_San Antonio_16156","Waters Edge Dr_8611_Gates of Capernum_San Antonio_16156" )</f>
        <v>Waters Edge Dr_8611_Gates of Capernum_San Antonio_16156</v>
      </c>
      <c r="L5764" s="104" t="s">
        <v>22253</v>
      </c>
      <c r="M5764" s="103" t="str">
        <f t="shared" si="453"/>
        <v>http://oconnordata.com/mlink/modules/profile/index.cfm?action=profile&amp;prop_id=16156</v>
      </c>
      <c r="N5764" s="1">
        <f t="shared" si="454"/>
        <v>16156</v>
      </c>
    </row>
    <row r="5765" spans="1:14" x14ac:dyDescent="0.3">
      <c r="A5765" s="1">
        <v>16157</v>
      </c>
      <c r="B5765" s="7" t="s">
        <v>8662</v>
      </c>
      <c r="C5765" s="12">
        <v>900</v>
      </c>
      <c r="D5765" s="7" t="s">
        <v>2497</v>
      </c>
      <c r="E5765" s="13" t="s">
        <v>7</v>
      </c>
      <c r="F5765" t="str">
        <f t="shared" si="450"/>
        <v>23rd</v>
      </c>
      <c r="G5765" t="str">
        <f t="shared" si="451"/>
        <v>23rd900Austin</v>
      </c>
      <c r="H5765" t="s">
        <v>36621</v>
      </c>
      <c r="I5765" t="s">
        <v>28041</v>
      </c>
      <c r="J5765" t="str">
        <f t="shared" si="452"/>
        <v>E:\PropInv\MF</v>
      </c>
      <c r="K5765" s="103" t="str">
        <f>HYPERLINK("E:\PropInv\MF\Austin\23rd St W_900_NF_Austin_16157","23rd St W_900_NF_Austin_16157" )</f>
        <v>23rd St W_900_NF_Austin_16157</v>
      </c>
      <c r="L5765" s="104" t="s">
        <v>22253</v>
      </c>
      <c r="M5765" s="103" t="str">
        <f t="shared" si="453"/>
        <v>http://oconnordata.com/mlink/modules/profile/index.cfm?action=profile&amp;prop_id=16157</v>
      </c>
      <c r="N5765" s="1">
        <f t="shared" si="454"/>
        <v>16157</v>
      </c>
    </row>
    <row r="5766" spans="1:14" x14ac:dyDescent="0.3">
      <c r="A5766" s="1">
        <v>16158</v>
      </c>
      <c r="B5766" s="7" t="s">
        <v>144</v>
      </c>
      <c r="C5766" s="12">
        <v>1610</v>
      </c>
      <c r="D5766" s="7" t="s">
        <v>8663</v>
      </c>
      <c r="E5766" s="13" t="s">
        <v>498</v>
      </c>
      <c r="F5766" t="str">
        <f t="shared" si="450"/>
        <v>35</v>
      </c>
      <c r="G5766" t="str">
        <f t="shared" si="451"/>
        <v>351610San Marcos</v>
      </c>
      <c r="H5766" t="s">
        <v>36622</v>
      </c>
      <c r="I5766" t="s">
        <v>28042</v>
      </c>
      <c r="J5766" t="str">
        <f t="shared" si="452"/>
        <v>E:\PropInv\MF</v>
      </c>
      <c r="K5766" s="103" t="str">
        <f>HYPERLINK("E:\PropInv\MF\San Marcos\35 IH N_1610_University Heights San Marcos_San Marcos_16158","35 IH N_1610_University Heights San Marcos_San Marcos_16158" )</f>
        <v>35 IH N_1610_University Heights San Marcos_San Marcos_16158</v>
      </c>
      <c r="L5766" s="104" t="s">
        <v>22253</v>
      </c>
      <c r="M5766" s="103" t="str">
        <f t="shared" si="453"/>
        <v>http://oconnordata.com/mlink/modules/profile/index.cfm?action=profile&amp;prop_id=16158</v>
      </c>
      <c r="N5766" s="1">
        <f t="shared" si="454"/>
        <v>16158</v>
      </c>
    </row>
    <row r="5767" spans="1:14" x14ac:dyDescent="0.3">
      <c r="A5767" s="1">
        <v>16159</v>
      </c>
      <c r="B5767" s="7" t="s">
        <v>8332</v>
      </c>
      <c r="C5767" s="12">
        <v>423</v>
      </c>
      <c r="D5767" s="7" t="s">
        <v>8664</v>
      </c>
      <c r="E5767" s="13" t="s">
        <v>4996</v>
      </c>
      <c r="F5767" t="str">
        <f t="shared" si="450"/>
        <v>Ledbetter</v>
      </c>
      <c r="G5767" t="str">
        <f t="shared" si="451"/>
        <v>Ledbetter423Dallas</v>
      </c>
      <c r="H5767" t="s">
        <v>36623</v>
      </c>
      <c r="I5767" t="s">
        <v>28043</v>
      </c>
      <c r="J5767" t="str">
        <f t="shared" si="452"/>
        <v>E:\PropInv\MF</v>
      </c>
      <c r="K5767" s="103" t="str">
        <f>HYPERLINK("E:\PropInv\MF\Dallas\Ledbetter E_423_Flats of Five Mile Creek_Dallas_16159","Ledbetter E_423_Flats of Five Mile Creek_Dallas_16159" )</f>
        <v>Ledbetter E_423_Flats of Five Mile Creek_Dallas_16159</v>
      </c>
      <c r="L5767" s="104" t="s">
        <v>22253</v>
      </c>
      <c r="M5767" s="103" t="str">
        <f t="shared" si="453"/>
        <v>http://oconnordata.com/mlink/modules/profile/index.cfm?action=profile&amp;prop_id=16159</v>
      </c>
      <c r="N5767" s="1">
        <f t="shared" si="454"/>
        <v>16159</v>
      </c>
    </row>
    <row r="5768" spans="1:14" x14ac:dyDescent="0.3">
      <c r="A5768" s="1">
        <v>16160</v>
      </c>
      <c r="B5768" s="7" t="s">
        <v>8665</v>
      </c>
      <c r="C5768" s="12">
        <v>5501</v>
      </c>
      <c r="D5768" s="7" t="s">
        <v>8666</v>
      </c>
      <c r="E5768" s="13" t="s">
        <v>5014</v>
      </c>
      <c r="F5768" t="str">
        <f t="shared" si="450"/>
        <v>Overton</v>
      </c>
      <c r="G5768" t="str">
        <f t="shared" si="451"/>
        <v>Overton5501Fort Worth</v>
      </c>
      <c r="H5768" t="s">
        <v>36624</v>
      </c>
      <c r="I5768" t="s">
        <v>28044</v>
      </c>
      <c r="J5768" t="str">
        <f t="shared" si="452"/>
        <v>E:\PropInv\MF</v>
      </c>
      <c r="K5768" s="103" t="str">
        <f>HYPERLINK("E:\PropInv\MF\Fort Worth\Overton Ridge Rd_5501_Overton Park TH_Fort Worth_16160","Overton Ridge Rd_5501_Overton Park TH_Fort Worth_16160" )</f>
        <v>Overton Ridge Rd_5501_Overton Park TH_Fort Worth_16160</v>
      </c>
      <c r="L5768" s="104" t="s">
        <v>22253</v>
      </c>
      <c r="M5768" s="103" t="str">
        <f t="shared" si="453"/>
        <v>http://oconnordata.com/mlink/modules/profile/index.cfm?action=profile&amp;prop_id=16160</v>
      </c>
      <c r="N5768" s="1">
        <f t="shared" si="454"/>
        <v>16160</v>
      </c>
    </row>
    <row r="5769" spans="1:14" x14ac:dyDescent="0.3">
      <c r="A5769" s="1">
        <v>16161</v>
      </c>
      <c r="B5769" s="7" t="s">
        <v>8667</v>
      </c>
      <c r="C5769" s="12">
        <v>10127</v>
      </c>
      <c r="D5769" s="7" t="s">
        <v>8668</v>
      </c>
      <c r="E5769" s="13" t="s">
        <v>842</v>
      </c>
      <c r="F5769" t="str">
        <f t="shared" si="450"/>
        <v>16</v>
      </c>
      <c r="G5769" t="str">
        <f t="shared" si="451"/>
        <v>1610127San Antonio</v>
      </c>
      <c r="H5769" t="s">
        <v>36625</v>
      </c>
      <c r="I5769" t="s">
        <v>28045</v>
      </c>
      <c r="J5769" t="str">
        <f t="shared" si="452"/>
        <v>E:\PropInv\MF</v>
      </c>
      <c r="K5769" s="103" t="str">
        <f>HYPERLINK("E:\PropInv\MF\San Antonio\16 Hwy S_10127_Rosemont at Palo Alto_San Antonio_16161","16 Hwy S_10127_Rosemont at Palo Alto_San Antonio_16161" )</f>
        <v>16 Hwy S_10127_Rosemont at Palo Alto_San Antonio_16161</v>
      </c>
      <c r="L5769" s="104" t="s">
        <v>22253</v>
      </c>
      <c r="M5769" s="103" t="str">
        <f t="shared" si="453"/>
        <v>http://oconnordata.com/mlink/modules/profile/index.cfm?action=profile&amp;prop_id=16161</v>
      </c>
      <c r="N5769" s="1">
        <f t="shared" si="454"/>
        <v>16161</v>
      </c>
    </row>
    <row r="5770" spans="1:14" x14ac:dyDescent="0.3">
      <c r="A5770" s="97">
        <v>16162</v>
      </c>
      <c r="B5770" s="7" t="s">
        <v>984</v>
      </c>
      <c r="C5770" s="12">
        <v>7920</v>
      </c>
      <c r="D5770" s="7" t="s">
        <v>8669</v>
      </c>
      <c r="E5770" s="13" t="s">
        <v>8670</v>
      </c>
      <c r="F5770" t="str">
        <f t="shared" si="450"/>
        <v>Country</v>
      </c>
      <c r="G5770" t="str">
        <f t="shared" si="451"/>
        <v>Country7920Sachse</v>
      </c>
      <c r="H5770" t="s">
        <v>36626</v>
      </c>
      <c r="I5770" t="s">
        <v>28046</v>
      </c>
      <c r="J5770" t="str">
        <f t="shared" si="452"/>
        <v>E:\PropInv\MF</v>
      </c>
      <c r="K5770" s="103" t="str">
        <f>HYPERLINK("E:\PropInv\MF\Sachse\Country Club Dr_7920_Woodbridge Villas_Sachse_16162","Country Club Dr_7920_Woodbridge Villas_Sachse_16162" )</f>
        <v>Country Club Dr_7920_Woodbridge Villas_Sachse_16162</v>
      </c>
      <c r="L5770" s="104" t="s">
        <v>22253</v>
      </c>
      <c r="M5770" s="103" t="str">
        <f t="shared" si="453"/>
        <v>http://oconnordata.com/mlink/modules/profile/index.cfm?action=profile&amp;prop_id=16162</v>
      </c>
      <c r="N5770" s="1">
        <f t="shared" si="454"/>
        <v>16162</v>
      </c>
    </row>
    <row r="5771" spans="1:14" x14ac:dyDescent="0.3">
      <c r="A5771" s="1">
        <v>16163</v>
      </c>
      <c r="B5771" s="7" t="s">
        <v>8671</v>
      </c>
      <c r="C5771" s="12">
        <v>1</v>
      </c>
      <c r="D5771" s="7" t="s">
        <v>8672</v>
      </c>
      <c r="E5771" s="13" t="s">
        <v>1657</v>
      </c>
      <c r="F5771" t="str">
        <f t="shared" si="450"/>
        <v>Hermann</v>
      </c>
      <c r="G5771" t="str">
        <f t="shared" si="451"/>
        <v>Hermann1Houston</v>
      </c>
      <c r="H5771" t="s">
        <v>36627</v>
      </c>
      <c r="I5771" t="s">
        <v>28047</v>
      </c>
      <c r="J5771" t="str">
        <f t="shared" si="452"/>
        <v>E:\PropInv\MF</v>
      </c>
      <c r="K5771" s="103" t="str">
        <f>HYPERLINK("E:\PropInv\MF\Houston\Hermann Museum Cir_1_The Esplanade at Hermann Museum Circle_Houston_16163","Hermann Museum Cir_1_The Esplanade at Hermann Museum Circle_Houston_16163" )</f>
        <v>Hermann Museum Cir_1_The Esplanade at Hermann Museum Circle_Houston_16163</v>
      </c>
      <c r="L5771" s="104" t="s">
        <v>22253</v>
      </c>
      <c r="M5771" s="103" t="str">
        <f t="shared" si="453"/>
        <v>http://oconnordata.com/mlink/modules/profile/index.cfm?action=profile&amp;prop_id=16163</v>
      </c>
      <c r="N5771" s="1">
        <f t="shared" si="454"/>
        <v>16163</v>
      </c>
    </row>
    <row r="5772" spans="1:14" x14ac:dyDescent="0.3">
      <c r="A5772" s="1">
        <v>16165</v>
      </c>
      <c r="B5772" s="21" t="s">
        <v>2093</v>
      </c>
      <c r="C5772" s="12">
        <v>14811</v>
      </c>
      <c r="D5772" s="7" t="s">
        <v>8673</v>
      </c>
      <c r="E5772" s="13" t="s">
        <v>1657</v>
      </c>
      <c r="F5772" t="str">
        <f t="shared" si="450"/>
        <v>W</v>
      </c>
      <c r="G5772" t="str">
        <f t="shared" si="451"/>
        <v>W14811Houston</v>
      </c>
      <c r="H5772" t="s">
        <v>36628</v>
      </c>
      <c r="I5772" t="s">
        <v>28048</v>
      </c>
      <c r="J5772" t="str">
        <f t="shared" si="452"/>
        <v>E:\PropInv\MF</v>
      </c>
      <c r="K5772" s="103" t="str">
        <f>HYPERLINK("E:\PropInv\MF\Houston\W Rd_14811_Club at Copperleaf_Houston_16165","W Rd_14811_Club at Copperleaf_Houston_16165" )</f>
        <v>W Rd_14811_Club at Copperleaf_Houston_16165</v>
      </c>
      <c r="L5772" s="104" t="s">
        <v>22253</v>
      </c>
      <c r="M5772" s="103" t="str">
        <f t="shared" si="453"/>
        <v>http://oconnordata.com/mlink/modules/profile/index.cfm?action=profile&amp;prop_id=16165</v>
      </c>
      <c r="N5772" s="1">
        <f t="shared" si="454"/>
        <v>16165</v>
      </c>
    </row>
    <row r="5773" spans="1:14" x14ac:dyDescent="0.3">
      <c r="A5773" s="1">
        <v>16167</v>
      </c>
      <c r="B5773" s="7" t="s">
        <v>8674</v>
      </c>
      <c r="C5773" s="12">
        <v>5515</v>
      </c>
      <c r="D5773" s="7" t="s">
        <v>8675</v>
      </c>
      <c r="E5773" s="13" t="s">
        <v>4996</v>
      </c>
      <c r="F5773" t="str">
        <f t="shared" si="450"/>
        <v>Estancia</v>
      </c>
      <c r="G5773" t="str">
        <f t="shared" si="451"/>
        <v>Estancia5515Dallas</v>
      </c>
      <c r="H5773" t="s">
        <v>36629</v>
      </c>
      <c r="I5773" t="s">
        <v>28049</v>
      </c>
      <c r="J5773" t="str">
        <f t="shared" si="452"/>
        <v>E:\PropInv\MF</v>
      </c>
      <c r="K5773" s="103" t="str">
        <f>HYPERLINK("E:\PropInv\MF\Dallas\Estancia Cir_5515_Estancia TH_Dallas_16167","Estancia Cir_5515_Estancia TH_Dallas_16167" )</f>
        <v>Estancia Cir_5515_Estancia TH_Dallas_16167</v>
      </c>
      <c r="L5773" s="104" t="s">
        <v>22253</v>
      </c>
      <c r="M5773" s="103" t="str">
        <f t="shared" si="453"/>
        <v>http://oconnordata.com/mlink/modules/profile/index.cfm?action=profile&amp;prop_id=16167</v>
      </c>
      <c r="N5773" s="1">
        <f t="shared" si="454"/>
        <v>16167</v>
      </c>
    </row>
    <row r="5774" spans="1:14" x14ac:dyDescent="0.3">
      <c r="A5774" s="1">
        <v>16168</v>
      </c>
      <c r="B5774" s="7" t="s">
        <v>2956</v>
      </c>
      <c r="C5774" s="12">
        <v>6030</v>
      </c>
      <c r="D5774" s="7" t="s">
        <v>8676</v>
      </c>
      <c r="E5774" s="13" t="s">
        <v>1657</v>
      </c>
      <c r="F5774" t="str">
        <f t="shared" si="450"/>
        <v>Winsome</v>
      </c>
      <c r="G5774" t="str">
        <f t="shared" si="451"/>
        <v>Winsome6030Houston</v>
      </c>
      <c r="H5774" t="s">
        <v>36630</v>
      </c>
      <c r="I5774" t="s">
        <v>28050</v>
      </c>
      <c r="J5774" t="str">
        <f t="shared" si="452"/>
        <v>E:\PropInv\MF</v>
      </c>
      <c r="K5774" s="103" t="str">
        <f>HYPERLINK("E:\PropInv\MF\Houston\Winsome Ln_6030_Bella Capri_Houston_16168","Winsome Ln_6030_Bella Capri_Houston_16168" )</f>
        <v>Winsome Ln_6030_Bella Capri_Houston_16168</v>
      </c>
      <c r="L5774" s="104" t="s">
        <v>22253</v>
      </c>
      <c r="M5774" s="103" t="str">
        <f t="shared" si="453"/>
        <v>http://oconnordata.com/mlink/modules/profile/index.cfm?action=profile&amp;prop_id=16168</v>
      </c>
      <c r="N5774" s="1">
        <f t="shared" si="454"/>
        <v>16168</v>
      </c>
    </row>
    <row r="5775" spans="1:14" x14ac:dyDescent="0.3">
      <c r="A5775" s="1">
        <v>16169</v>
      </c>
      <c r="B5775" s="7" t="s">
        <v>8677</v>
      </c>
      <c r="C5775" s="12">
        <v>1003</v>
      </c>
      <c r="D5775" s="7" t="s">
        <v>8678</v>
      </c>
      <c r="E5775" s="13" t="s">
        <v>842</v>
      </c>
      <c r="F5775" t="str">
        <f t="shared" si="450"/>
        <v>Vera</v>
      </c>
      <c r="G5775" t="str">
        <f t="shared" si="451"/>
        <v>Vera1003San Antonio</v>
      </c>
      <c r="H5775" t="s">
        <v>36631</v>
      </c>
      <c r="I5775" t="s">
        <v>28051</v>
      </c>
      <c r="J5775" t="str">
        <f t="shared" si="452"/>
        <v>E:\PropInv\MF</v>
      </c>
      <c r="K5775" s="103" t="str">
        <f>HYPERLINK("E:\PropInv\MF\San Antonio\Vera Cruz_1003_Olivares Senior Community_San Antonio_16169","Vera Cruz_1003_Olivares Senior Community_San Antonio_16169" )</f>
        <v>Vera Cruz_1003_Olivares Senior Community_San Antonio_16169</v>
      </c>
      <c r="L5775" s="104" t="s">
        <v>22253</v>
      </c>
      <c r="M5775" s="103" t="str">
        <f t="shared" si="453"/>
        <v>http://oconnordata.com/mlink/modules/profile/index.cfm?action=profile&amp;prop_id=16169</v>
      </c>
      <c r="N5775" s="1">
        <f t="shared" si="454"/>
        <v>16169</v>
      </c>
    </row>
    <row r="5776" spans="1:14" x14ac:dyDescent="0.3">
      <c r="A5776" s="1">
        <v>16171</v>
      </c>
      <c r="B5776" s="7" t="s">
        <v>8679</v>
      </c>
      <c r="C5776" s="12">
        <v>7050</v>
      </c>
      <c r="D5776" s="7" t="s">
        <v>8680</v>
      </c>
      <c r="E5776" s="13" t="s">
        <v>1657</v>
      </c>
      <c r="F5776" t="str">
        <f t="shared" si="450"/>
        <v>Inwood</v>
      </c>
      <c r="G5776" t="str">
        <f t="shared" si="451"/>
        <v>Inwood7050Houston</v>
      </c>
      <c r="H5776" t="s">
        <v>36632</v>
      </c>
      <c r="I5776" t="s">
        <v>28052</v>
      </c>
      <c r="J5776" t="str">
        <f t="shared" si="452"/>
        <v>E:\PropInv\MF</v>
      </c>
      <c r="K5776" s="103" t="str">
        <f>HYPERLINK("E:\PropInv\MF\Houston\Inwood Park Dr_7050_Inwood Terrace_Houston_16171","Inwood Park Dr_7050_Inwood Terrace_Houston_16171" )</f>
        <v>Inwood Park Dr_7050_Inwood Terrace_Houston_16171</v>
      </c>
      <c r="L5776" s="104" t="s">
        <v>22253</v>
      </c>
      <c r="M5776" s="103" t="str">
        <f t="shared" si="453"/>
        <v>http://oconnordata.com/mlink/modules/profile/index.cfm?action=profile&amp;prop_id=16171</v>
      </c>
      <c r="N5776" s="1">
        <f t="shared" si="454"/>
        <v>16171</v>
      </c>
    </row>
    <row r="5777" spans="1:14" x14ac:dyDescent="0.3">
      <c r="A5777" s="1">
        <v>16172</v>
      </c>
      <c r="B5777" s="7" t="s">
        <v>8681</v>
      </c>
      <c r="C5777" s="12">
        <v>1001</v>
      </c>
      <c r="D5777" s="7" t="s">
        <v>8682</v>
      </c>
      <c r="E5777" s="13" t="s">
        <v>8395</v>
      </c>
      <c r="F5777" t="str">
        <f t="shared" si="450"/>
        <v>Washington</v>
      </c>
      <c r="G5777" t="str">
        <f t="shared" si="451"/>
        <v>Washington1001Stephenville</v>
      </c>
      <c r="H5777" t="s">
        <v>36633</v>
      </c>
      <c r="I5777" t="s">
        <v>28053</v>
      </c>
      <c r="J5777" t="str">
        <f t="shared" si="452"/>
        <v>E:\PropInv\MF</v>
      </c>
      <c r="K5777" s="103" t="str">
        <f>HYPERLINK("E:\PropInv\MF\Stephenville\Washington St E_1001_Riverwalk TH_Stephenville_16172","Washington St E_1001_Riverwalk TH_Stephenville_16172" )</f>
        <v>Washington St E_1001_Riverwalk TH_Stephenville_16172</v>
      </c>
      <c r="L5777" s="104" t="s">
        <v>22253</v>
      </c>
      <c r="M5777" s="103" t="str">
        <f t="shared" si="453"/>
        <v>http://oconnordata.com/mlink/modules/profile/index.cfm?action=profile&amp;prop_id=16172</v>
      </c>
      <c r="N5777" s="1">
        <f t="shared" si="454"/>
        <v>16172</v>
      </c>
    </row>
    <row r="5778" spans="1:14" x14ac:dyDescent="0.3">
      <c r="A5778" s="1">
        <v>16175</v>
      </c>
      <c r="B5778" s="7" t="s">
        <v>6959</v>
      </c>
      <c r="C5778" s="12">
        <v>1204</v>
      </c>
      <c r="D5778" s="7" t="s">
        <v>8683</v>
      </c>
      <c r="E5778" s="13" t="s">
        <v>5407</v>
      </c>
      <c r="F5778" t="str">
        <f t="shared" si="450"/>
        <v>Belt</v>
      </c>
      <c r="G5778" t="str">
        <f t="shared" si="451"/>
        <v>Belt1204Cedar Hill</v>
      </c>
      <c r="H5778" t="s">
        <v>36634</v>
      </c>
      <c r="I5778" t="s">
        <v>28054</v>
      </c>
      <c r="J5778" t="str">
        <f t="shared" si="452"/>
        <v>E:\PropInv\MF</v>
      </c>
      <c r="K5778" s="103" t="str">
        <f>HYPERLINK("E:\PropInv\MF\Cedar Hill\Belt Line Rd E_1204_Primrose at Cedar Hill_Cedar Hill_16175","Belt Line Rd E_1204_Primrose at Cedar Hill_Cedar Hill_16175" )</f>
        <v>Belt Line Rd E_1204_Primrose at Cedar Hill_Cedar Hill_16175</v>
      </c>
      <c r="L5778" s="104" t="s">
        <v>22253</v>
      </c>
      <c r="M5778" s="103" t="str">
        <f t="shared" si="453"/>
        <v>http://oconnordata.com/mlink/modules/profile/index.cfm?action=profile&amp;prop_id=16175</v>
      </c>
      <c r="N5778" s="1">
        <f t="shared" si="454"/>
        <v>16175</v>
      </c>
    </row>
    <row r="5779" spans="1:14" x14ac:dyDescent="0.3">
      <c r="A5779" s="97">
        <v>16176</v>
      </c>
      <c r="B5779" s="7" t="s">
        <v>2457</v>
      </c>
      <c r="C5779" s="12">
        <v>5673</v>
      </c>
      <c r="D5779" s="7" t="s">
        <v>8684</v>
      </c>
      <c r="E5779" s="13" t="s">
        <v>1657</v>
      </c>
      <c r="F5779" t="str">
        <f t="shared" si="450"/>
        <v>Yale</v>
      </c>
      <c r="G5779" t="str">
        <f t="shared" si="451"/>
        <v>Yale5673Houston</v>
      </c>
      <c r="H5779" t="s">
        <v>36635</v>
      </c>
      <c r="I5779" t="s">
        <v>28055</v>
      </c>
      <c r="J5779" t="str">
        <f t="shared" si="452"/>
        <v>E:\PropInv\MF</v>
      </c>
      <c r="K5779" s="103" t="str">
        <f>HYPERLINK("E:\PropInv\MF\Houston\Yale St_5673_Yale Village_Houston_16176","Yale St_5673_Yale Village_Houston_16176" )</f>
        <v>Yale St_5673_Yale Village_Houston_16176</v>
      </c>
      <c r="L5779" s="104" t="s">
        <v>22253</v>
      </c>
      <c r="M5779" s="103" t="str">
        <f t="shared" si="453"/>
        <v>http://oconnordata.com/mlink/modules/profile/index.cfm?action=profile&amp;prop_id=16176</v>
      </c>
      <c r="N5779" s="1">
        <f t="shared" si="454"/>
        <v>16176</v>
      </c>
    </row>
    <row r="5780" spans="1:14" x14ac:dyDescent="0.3">
      <c r="A5780" s="1">
        <v>16177</v>
      </c>
      <c r="B5780" s="7" t="s">
        <v>8685</v>
      </c>
      <c r="C5780" s="12">
        <v>4141</v>
      </c>
      <c r="D5780" s="7" t="s">
        <v>8686</v>
      </c>
      <c r="E5780" s="13" t="s">
        <v>1657</v>
      </c>
      <c r="F5780" t="str">
        <f t="shared" si="450"/>
        <v>Barberry</v>
      </c>
      <c r="G5780" t="str">
        <f t="shared" si="451"/>
        <v>Barberry4141Houston</v>
      </c>
      <c r="H5780" t="s">
        <v>36636</v>
      </c>
      <c r="I5780" t="s">
        <v>28056</v>
      </c>
      <c r="J5780" t="str">
        <f t="shared" si="452"/>
        <v>E:\PropInv\MF</v>
      </c>
      <c r="K5780" s="103" t="str">
        <f>HYPERLINK("E:\PropInv\MF\Houston\Barberry Dr_4141_King's Row_Houston_16177","Barberry Dr_4141_King's Row_Houston_16177" )</f>
        <v>Barberry Dr_4141_King's Row_Houston_16177</v>
      </c>
      <c r="L5780" s="104" t="s">
        <v>22253</v>
      </c>
      <c r="M5780" s="103" t="str">
        <f t="shared" si="453"/>
        <v>http://oconnordata.com/mlink/modules/profile/index.cfm?action=profile&amp;prop_id=16177</v>
      </c>
      <c r="N5780" s="1">
        <f t="shared" si="454"/>
        <v>16177</v>
      </c>
    </row>
    <row r="5781" spans="1:14" x14ac:dyDescent="0.3">
      <c r="A5781" s="1">
        <v>16178</v>
      </c>
      <c r="B5781" s="7" t="s">
        <v>8268</v>
      </c>
      <c r="C5781" s="12">
        <v>9955</v>
      </c>
      <c r="D5781" s="7" t="s">
        <v>1388</v>
      </c>
      <c r="E5781" s="13" t="s">
        <v>1657</v>
      </c>
      <c r="F5781" t="str">
        <f t="shared" si="450"/>
        <v>Bammel</v>
      </c>
      <c r="G5781" t="str">
        <f t="shared" si="451"/>
        <v>Bammel9955Houston</v>
      </c>
      <c r="H5781" t="s">
        <v>36637</v>
      </c>
      <c r="I5781" t="s">
        <v>28057</v>
      </c>
      <c r="J5781" t="str">
        <f t="shared" si="452"/>
        <v>E:\PropInv\MF</v>
      </c>
      <c r="K5781" s="103" t="str">
        <f>HYPERLINK("E:\PropInv\MF\Houston\Bammel Houston Rd N_9955_Saddlewood_Houston_16178","Bammel Houston Rd N_9955_Saddlewood_Houston_16178" )</f>
        <v>Bammel Houston Rd N_9955_Saddlewood_Houston_16178</v>
      </c>
      <c r="L5781" s="104" t="s">
        <v>22253</v>
      </c>
      <c r="M5781" s="103" t="str">
        <f t="shared" si="453"/>
        <v>http://oconnordata.com/mlink/modules/profile/index.cfm?action=profile&amp;prop_id=16178</v>
      </c>
      <c r="N5781" s="1">
        <f t="shared" si="454"/>
        <v>16178</v>
      </c>
    </row>
    <row r="5782" spans="1:14" x14ac:dyDescent="0.3">
      <c r="A5782" s="1">
        <v>16180</v>
      </c>
      <c r="B5782" s="7" t="s">
        <v>8687</v>
      </c>
      <c r="C5782" s="12">
        <v>1400</v>
      </c>
      <c r="D5782" s="7" t="s">
        <v>8688</v>
      </c>
      <c r="E5782" s="13" t="s">
        <v>5781</v>
      </c>
      <c r="F5782" t="str">
        <f t="shared" si="450"/>
        <v>Sagebrush</v>
      </c>
      <c r="G5782" t="str">
        <f t="shared" si="451"/>
        <v>Sagebrush1400Euless</v>
      </c>
      <c r="H5782" t="s">
        <v>36638</v>
      </c>
      <c r="I5782" t="s">
        <v>28058</v>
      </c>
      <c r="J5782" t="str">
        <f t="shared" si="452"/>
        <v>E:\PropInv\MF</v>
      </c>
      <c r="K5782" s="103" t="str">
        <f>HYPERLINK("E:\PropInv\MF\Euless\Sagebrush Trl_1400_Wilshire Manor_Euless_16180","Sagebrush Trl_1400_Wilshire Manor_Euless_16180" )</f>
        <v>Sagebrush Trl_1400_Wilshire Manor_Euless_16180</v>
      </c>
      <c r="L5782" s="104" t="s">
        <v>22253</v>
      </c>
      <c r="M5782" s="103" t="str">
        <f t="shared" si="453"/>
        <v>http://oconnordata.com/mlink/modules/profile/index.cfm?action=profile&amp;prop_id=16180</v>
      </c>
      <c r="N5782" s="1">
        <f t="shared" si="454"/>
        <v>16180</v>
      </c>
    </row>
    <row r="5783" spans="1:14" x14ac:dyDescent="0.3">
      <c r="A5783" s="1">
        <v>16181</v>
      </c>
      <c r="B5783" s="7" t="s">
        <v>8689</v>
      </c>
      <c r="C5783" s="12">
        <v>400</v>
      </c>
      <c r="D5783" s="7" t="s">
        <v>8690</v>
      </c>
      <c r="E5783" s="13" t="s">
        <v>8612</v>
      </c>
      <c r="F5783" t="str">
        <f t="shared" si="450"/>
        <v>Marion</v>
      </c>
      <c r="G5783" t="str">
        <f t="shared" si="451"/>
        <v>Marion400College Station</v>
      </c>
      <c r="H5783" t="s">
        <v>36639</v>
      </c>
      <c r="I5783" t="s">
        <v>28059</v>
      </c>
      <c r="J5783" t="str">
        <f t="shared" si="452"/>
        <v>E:\PropInv\MF</v>
      </c>
      <c r="K5783" s="103" t="str">
        <f>HYPERLINK("E:\PropInv\MF\College Station\Marion Pugh_400_Stadium View_College Station_16181","Marion Pugh_400_Stadium View_College Station_16181" )</f>
        <v>Marion Pugh_400_Stadium View_College Station_16181</v>
      </c>
      <c r="L5783" s="104" t="s">
        <v>22253</v>
      </c>
      <c r="M5783" s="103" t="str">
        <f t="shared" si="453"/>
        <v>http://oconnordata.com/mlink/modules/profile/index.cfm?action=profile&amp;prop_id=16181</v>
      </c>
      <c r="N5783" s="1">
        <f t="shared" si="454"/>
        <v>16181</v>
      </c>
    </row>
    <row r="5784" spans="1:14" x14ac:dyDescent="0.3">
      <c r="A5784" s="1">
        <v>16182</v>
      </c>
      <c r="B5784" s="7" t="s">
        <v>8691</v>
      </c>
      <c r="C5784" s="12">
        <v>1400</v>
      </c>
      <c r="D5784" s="7" t="s">
        <v>8692</v>
      </c>
      <c r="E5784" s="13" t="s">
        <v>5097</v>
      </c>
      <c r="F5784" t="str">
        <f t="shared" si="450"/>
        <v>University</v>
      </c>
      <c r="G5784" t="str">
        <f t="shared" si="451"/>
        <v>University1400Denton</v>
      </c>
      <c r="H5784" t="s">
        <v>36640</v>
      </c>
      <c r="I5784" t="s">
        <v>28060</v>
      </c>
      <c r="J5784" t="str">
        <f t="shared" si="452"/>
        <v>E:\PropInv\MF</v>
      </c>
      <c r="K5784" s="103" t="str">
        <f>HYPERLINK("E:\PropInv\MF\Denton\University Dr E_1400_Primrose at Sequoia Park_Denton_16182","University Dr E_1400_Primrose at Sequoia Park_Denton_16182" )</f>
        <v>University Dr E_1400_Primrose at Sequoia Park_Denton_16182</v>
      </c>
      <c r="L5784" s="104" t="s">
        <v>22253</v>
      </c>
      <c r="M5784" s="103" t="str">
        <f t="shared" si="453"/>
        <v>http://oconnordata.com/mlink/modules/profile/index.cfm?action=profile&amp;prop_id=16182</v>
      </c>
      <c r="N5784" s="1">
        <f t="shared" si="454"/>
        <v>16182</v>
      </c>
    </row>
    <row r="5785" spans="1:14" x14ac:dyDescent="0.3">
      <c r="A5785" s="1">
        <v>16183</v>
      </c>
      <c r="B5785" s="7" t="s">
        <v>8693</v>
      </c>
      <c r="C5785" s="12">
        <v>3030</v>
      </c>
      <c r="D5785" s="7" t="s">
        <v>8694</v>
      </c>
      <c r="E5785" s="13" t="s">
        <v>1657</v>
      </c>
      <c r="F5785" t="str">
        <f t="shared" si="450"/>
        <v>Dunvale</v>
      </c>
      <c r="G5785" t="str">
        <f t="shared" si="451"/>
        <v>Dunvale3030Houston</v>
      </c>
      <c r="H5785" t="s">
        <v>36641</v>
      </c>
      <c r="I5785" t="s">
        <v>28061</v>
      </c>
      <c r="J5785" t="str">
        <f t="shared" si="452"/>
        <v>E:\PropInv\MF</v>
      </c>
      <c r="K5785" s="103" t="str">
        <f>HYPERLINK("E:\PropInv\MF\Houston\Dunvale Rd_3030_Alanza Brook_Houston_16183","Dunvale Rd_3030_Alanza Brook_Houston_16183" )</f>
        <v>Dunvale Rd_3030_Alanza Brook_Houston_16183</v>
      </c>
      <c r="L5785" s="104" t="s">
        <v>22253</v>
      </c>
      <c r="M5785" s="103" t="str">
        <f t="shared" si="453"/>
        <v>http://oconnordata.com/mlink/modules/profile/index.cfm?action=profile&amp;prop_id=16183</v>
      </c>
      <c r="N5785" s="1">
        <f t="shared" si="454"/>
        <v>16183</v>
      </c>
    </row>
    <row r="5786" spans="1:14" x14ac:dyDescent="0.3">
      <c r="A5786" s="1">
        <v>16184</v>
      </c>
      <c r="B5786" s="7" t="s">
        <v>8533</v>
      </c>
      <c r="C5786" s="12">
        <v>250</v>
      </c>
      <c r="D5786" s="7" t="s">
        <v>7923</v>
      </c>
      <c r="E5786" s="13" t="s">
        <v>498</v>
      </c>
      <c r="F5786" t="str">
        <f t="shared" si="450"/>
        <v>Stagecoach</v>
      </c>
      <c r="G5786" t="str">
        <f t="shared" si="451"/>
        <v>Stagecoach250San Marcos</v>
      </c>
      <c r="H5786" t="s">
        <v>36642</v>
      </c>
      <c r="I5786" t="s">
        <v>28062</v>
      </c>
      <c r="J5786" t="str">
        <f t="shared" si="452"/>
        <v>E:\PropInv\MF</v>
      </c>
      <c r="K5786" s="103" t="str">
        <f>HYPERLINK("E:\PropInv\MF\San Marcos\Stagecoach Trl S_250_Savannah Club_San Marcos_16184","Stagecoach Trl S_250_Savannah Club_San Marcos_16184" )</f>
        <v>Stagecoach Trl S_250_Savannah Club_San Marcos_16184</v>
      </c>
      <c r="L5786" s="104" t="s">
        <v>22253</v>
      </c>
      <c r="M5786" s="103" t="str">
        <f t="shared" si="453"/>
        <v>http://oconnordata.com/mlink/modules/profile/index.cfm?action=profile&amp;prop_id=16184</v>
      </c>
      <c r="N5786" s="1">
        <f t="shared" si="454"/>
        <v>16184</v>
      </c>
    </row>
    <row r="5787" spans="1:14" x14ac:dyDescent="0.3">
      <c r="A5787" s="1">
        <v>16185</v>
      </c>
      <c r="B5787" s="7" t="s">
        <v>8695</v>
      </c>
      <c r="C5787" s="12">
        <v>2500</v>
      </c>
      <c r="D5787" s="7" t="s">
        <v>8696</v>
      </c>
      <c r="E5787" s="13" t="s">
        <v>6555</v>
      </c>
      <c r="F5787" t="str">
        <f t="shared" si="450"/>
        <v>Watson</v>
      </c>
      <c r="G5787" t="str">
        <f t="shared" si="451"/>
        <v>Watson2500Arlington</v>
      </c>
      <c r="H5787" t="s">
        <v>36643</v>
      </c>
      <c r="I5787" t="s">
        <v>28063</v>
      </c>
      <c r="J5787" t="str">
        <f t="shared" si="452"/>
        <v>E:\PropInv\MF</v>
      </c>
      <c r="K5787" s="103" t="str">
        <f>HYPERLINK("E:\PropInv\MF\Arlington\Watson Rd S_2500_Gateway Park_Arlington_16185","Watson Rd S_2500_Gateway Park_Arlington_16185" )</f>
        <v>Watson Rd S_2500_Gateway Park_Arlington_16185</v>
      </c>
      <c r="L5787" s="104" t="s">
        <v>22253</v>
      </c>
      <c r="M5787" s="103" t="str">
        <f t="shared" si="453"/>
        <v>http://oconnordata.com/mlink/modules/profile/index.cfm?action=profile&amp;prop_id=16185</v>
      </c>
      <c r="N5787" s="1">
        <f t="shared" si="454"/>
        <v>16185</v>
      </c>
    </row>
    <row r="5788" spans="1:14" x14ac:dyDescent="0.3">
      <c r="A5788" s="1">
        <v>16186</v>
      </c>
      <c r="B5788" s="7" t="s">
        <v>7328</v>
      </c>
      <c r="C5788" s="12">
        <v>8000</v>
      </c>
      <c r="D5788" s="7" t="s">
        <v>8697</v>
      </c>
      <c r="E5788" s="13" t="s">
        <v>5014</v>
      </c>
      <c r="F5788" t="str">
        <f t="shared" si="450"/>
        <v>Calmont</v>
      </c>
      <c r="G5788" t="str">
        <f t="shared" si="451"/>
        <v>Calmont8000Fort Worth</v>
      </c>
      <c r="H5788" t="s">
        <v>36644</v>
      </c>
      <c r="I5788" t="s">
        <v>28064</v>
      </c>
      <c r="J5788" t="str">
        <f t="shared" si="452"/>
        <v>E:\PropInv\MF</v>
      </c>
      <c r="K5788" s="103" t="str">
        <f>HYPERLINK("E:\PropInv\MF\Fort Worth\Calmont Ave_8000_Hill Villa Retirement Community_Fort Worth_16186","Calmont Ave_8000_Hill Villa Retirement Community_Fort Worth_16186" )</f>
        <v>Calmont Ave_8000_Hill Villa Retirement Community_Fort Worth_16186</v>
      </c>
      <c r="L5788" s="104" t="s">
        <v>22253</v>
      </c>
      <c r="M5788" s="103" t="str">
        <f t="shared" si="453"/>
        <v>http://oconnordata.com/mlink/modules/profile/index.cfm?action=profile&amp;prop_id=16186</v>
      </c>
      <c r="N5788" s="1">
        <f t="shared" si="454"/>
        <v>16186</v>
      </c>
    </row>
    <row r="5789" spans="1:14" x14ac:dyDescent="0.3">
      <c r="A5789" s="1">
        <v>16192</v>
      </c>
      <c r="B5789" s="7" t="s">
        <v>1937</v>
      </c>
      <c r="C5789" s="12">
        <v>838</v>
      </c>
      <c r="D5789" s="7" t="s">
        <v>8698</v>
      </c>
      <c r="E5789" s="13" t="s">
        <v>1657</v>
      </c>
      <c r="F5789" t="str">
        <f t="shared" si="450"/>
        <v>Greens</v>
      </c>
      <c r="G5789" t="str">
        <f t="shared" si="451"/>
        <v>Greens838Houston</v>
      </c>
      <c r="H5789" t="s">
        <v>36645</v>
      </c>
      <c r="I5789" t="s">
        <v>28065</v>
      </c>
      <c r="J5789" t="str">
        <f t="shared" si="452"/>
        <v>E:\PropInv\MF</v>
      </c>
      <c r="K5789" s="103" t="str">
        <f>HYPERLINK("E:\PropInv\MF\Houston\Greens Rd_838_Collingwood Gardens_Houston_16192","Greens Rd_838_Collingwood Gardens_Houston_16192" )</f>
        <v>Greens Rd_838_Collingwood Gardens_Houston_16192</v>
      </c>
      <c r="L5789" s="104" t="s">
        <v>22253</v>
      </c>
      <c r="M5789" s="103" t="str">
        <f t="shared" si="453"/>
        <v>http://oconnordata.com/mlink/modules/profile/index.cfm?action=profile&amp;prop_id=16192</v>
      </c>
      <c r="N5789" s="1">
        <f t="shared" si="454"/>
        <v>16192</v>
      </c>
    </row>
    <row r="5790" spans="1:14" x14ac:dyDescent="0.3">
      <c r="A5790" s="1">
        <v>16193</v>
      </c>
      <c r="B5790" s="7" t="s">
        <v>6932</v>
      </c>
      <c r="C5790" s="12">
        <v>9850</v>
      </c>
      <c r="D5790" s="7" t="s">
        <v>8699</v>
      </c>
      <c r="E5790" s="13" t="s">
        <v>4996</v>
      </c>
      <c r="F5790" t="str">
        <f t="shared" si="450"/>
        <v>Military</v>
      </c>
      <c r="G5790" t="str">
        <f t="shared" si="451"/>
        <v>Military9850Dallas</v>
      </c>
      <c r="H5790" t="s">
        <v>36646</v>
      </c>
      <c r="I5790" t="s">
        <v>28066</v>
      </c>
      <c r="J5790" t="str">
        <f t="shared" si="452"/>
        <v>E:\PropInv\MF</v>
      </c>
      <c r="K5790" s="103" t="str">
        <f>HYPERLINK("E:\PropInv\MF\Dallas\Military Pkwy_9850_Prairie Commons_Dallas_16193","Military Pkwy_9850_Prairie Commons_Dallas_16193" )</f>
        <v>Military Pkwy_9850_Prairie Commons_Dallas_16193</v>
      </c>
      <c r="L5790" s="104" t="s">
        <v>22253</v>
      </c>
      <c r="M5790" s="103" t="str">
        <f t="shared" si="453"/>
        <v>http://oconnordata.com/mlink/modules/profile/index.cfm?action=profile&amp;prop_id=16193</v>
      </c>
      <c r="N5790" s="1">
        <f t="shared" si="454"/>
        <v>16193</v>
      </c>
    </row>
    <row r="5791" spans="1:14" x14ac:dyDescent="0.3">
      <c r="A5791" s="1">
        <v>16196</v>
      </c>
      <c r="B5791" s="7" t="s">
        <v>8700</v>
      </c>
      <c r="C5791" s="12">
        <v>1070</v>
      </c>
      <c r="D5791" s="7" t="s">
        <v>8701</v>
      </c>
      <c r="E5791" s="13" t="s">
        <v>5055</v>
      </c>
      <c r="F5791" t="str">
        <f t="shared" si="450"/>
        <v>Grandys</v>
      </c>
      <c r="G5791" t="str">
        <f t="shared" si="451"/>
        <v>Grandys1070Lewisville</v>
      </c>
      <c r="H5791" t="s">
        <v>36647</v>
      </c>
      <c r="I5791" t="s">
        <v>28067</v>
      </c>
      <c r="J5791" t="str">
        <f t="shared" si="452"/>
        <v>E:\PropInv\MF</v>
      </c>
      <c r="K5791" s="103" t="str">
        <f>HYPERLINK("E:\PropInv\MF\Lewisville\Grandys Ln_1070_Summit Ridge Apts_Lewisville_16196","Grandys Ln_1070_Summit Ridge Apts_Lewisville_16196" )</f>
        <v>Grandys Ln_1070_Summit Ridge Apts_Lewisville_16196</v>
      </c>
      <c r="L5791" s="104" t="s">
        <v>22253</v>
      </c>
      <c r="M5791" s="103" t="str">
        <f t="shared" si="453"/>
        <v>http://oconnordata.com/mlink/modules/profile/index.cfm?action=profile&amp;prop_id=16196</v>
      </c>
      <c r="N5791" s="1">
        <f t="shared" si="454"/>
        <v>16196</v>
      </c>
    </row>
    <row r="5792" spans="1:14" x14ac:dyDescent="0.3">
      <c r="A5792" s="1">
        <v>16197</v>
      </c>
      <c r="B5792" s="7" t="s">
        <v>8702</v>
      </c>
      <c r="C5792" s="12">
        <v>2525</v>
      </c>
      <c r="D5792" s="7" t="s">
        <v>3892</v>
      </c>
      <c r="E5792" s="13" t="s">
        <v>4996</v>
      </c>
      <c r="F5792" t="str">
        <f t="shared" si="450"/>
        <v>Henderson</v>
      </c>
      <c r="G5792" t="str">
        <f t="shared" si="451"/>
        <v>Henderson2525Dallas</v>
      </c>
      <c r="H5792" t="s">
        <v>36648</v>
      </c>
      <c r="I5792" t="s">
        <v>28068</v>
      </c>
      <c r="J5792" t="str">
        <f t="shared" si="452"/>
        <v>E:\PropInv\MF</v>
      </c>
      <c r="K5792" s="103" t="str">
        <f>HYPERLINK("E:\PropInv\MF\Dallas\Henderson Ave_2525_Easton_Dallas_16197","Henderson Ave_2525_Easton_Dallas_16197" )</f>
        <v>Henderson Ave_2525_Easton_Dallas_16197</v>
      </c>
      <c r="L5792" s="104" t="s">
        <v>22253</v>
      </c>
      <c r="M5792" s="103" t="str">
        <f t="shared" si="453"/>
        <v>http://oconnordata.com/mlink/modules/profile/index.cfm?action=profile&amp;prop_id=16197</v>
      </c>
      <c r="N5792" s="1">
        <f t="shared" si="454"/>
        <v>16197</v>
      </c>
    </row>
    <row r="5793" spans="1:14" x14ac:dyDescent="0.3">
      <c r="A5793" s="1">
        <v>16198</v>
      </c>
      <c r="B5793" s="7" t="s">
        <v>8703</v>
      </c>
      <c r="C5793" s="12">
        <v>404</v>
      </c>
      <c r="D5793" s="7" t="s">
        <v>8704</v>
      </c>
      <c r="E5793" s="13" t="s">
        <v>1657</v>
      </c>
      <c r="F5793" t="str">
        <f t="shared" si="450"/>
        <v>Oxford</v>
      </c>
      <c r="G5793" t="str">
        <f t="shared" si="451"/>
        <v>Oxford404Houston</v>
      </c>
      <c r="H5793" t="s">
        <v>36649</v>
      </c>
      <c r="I5793" t="s">
        <v>28069</v>
      </c>
      <c r="J5793" t="str">
        <f t="shared" si="452"/>
        <v>E:\PropInv\MF</v>
      </c>
      <c r="K5793" s="103" t="str">
        <f>HYPERLINK("E:\PropInv\MF\Houston\Oxford St_404_Camden Heights_Houston_16198","Oxford St_404_Camden Heights_Houston_16198" )</f>
        <v>Oxford St_404_Camden Heights_Houston_16198</v>
      </c>
      <c r="L5793" s="104" t="s">
        <v>22253</v>
      </c>
      <c r="M5793" s="103" t="str">
        <f t="shared" si="453"/>
        <v>http://oconnordata.com/mlink/modules/profile/index.cfm?action=profile&amp;prop_id=16198</v>
      </c>
      <c r="N5793" s="1">
        <f t="shared" si="454"/>
        <v>16198</v>
      </c>
    </row>
    <row r="5794" spans="1:14" x14ac:dyDescent="0.3">
      <c r="A5794" s="1">
        <v>16200</v>
      </c>
      <c r="B5794" s="7" t="s">
        <v>8705</v>
      </c>
      <c r="C5794" s="12">
        <v>301</v>
      </c>
      <c r="D5794" s="7" t="s">
        <v>8706</v>
      </c>
      <c r="E5794" s="13" t="s">
        <v>1671</v>
      </c>
      <c r="F5794" t="str">
        <f t="shared" si="450"/>
        <v>Pruitt</v>
      </c>
      <c r="G5794" t="str">
        <f t="shared" si="451"/>
        <v>Pruitt301Spring</v>
      </c>
      <c r="H5794" t="s">
        <v>36650</v>
      </c>
      <c r="I5794" t="s">
        <v>28070</v>
      </c>
      <c r="J5794" t="str">
        <f t="shared" si="452"/>
        <v>E:\PropInv\MF</v>
      </c>
      <c r="K5794" s="103" t="str">
        <f>HYPERLINK("E:\PropInv\MF\Spring\Pruitt Rd_301_Camden Spring Creek_Spring_16200","Pruitt Rd_301_Camden Spring Creek_Spring_16200" )</f>
        <v>Pruitt Rd_301_Camden Spring Creek_Spring_16200</v>
      </c>
      <c r="L5794" s="104" t="s">
        <v>22253</v>
      </c>
      <c r="M5794" s="103" t="str">
        <f t="shared" si="453"/>
        <v>http://oconnordata.com/mlink/modules/profile/index.cfm?action=profile&amp;prop_id=16200</v>
      </c>
      <c r="N5794" s="1">
        <f t="shared" si="454"/>
        <v>16200</v>
      </c>
    </row>
    <row r="5795" spans="1:14" x14ac:dyDescent="0.3">
      <c r="A5795" s="1">
        <v>16201</v>
      </c>
      <c r="B5795" s="7" t="s">
        <v>8707</v>
      </c>
      <c r="C5795" s="12">
        <v>9111</v>
      </c>
      <c r="D5795" s="7" t="s">
        <v>8708</v>
      </c>
      <c r="E5795" s="13" t="s">
        <v>1657</v>
      </c>
      <c r="F5795" t="str">
        <f t="shared" si="450"/>
        <v>Lakes</v>
      </c>
      <c r="G5795" t="str">
        <f t="shared" si="451"/>
        <v>Lakes9111Houston</v>
      </c>
      <c r="H5795" t="s">
        <v>36651</v>
      </c>
      <c r="I5795" t="s">
        <v>28071</v>
      </c>
      <c r="J5795" t="str">
        <f t="shared" si="452"/>
        <v>E:\PropInv\MF</v>
      </c>
      <c r="K5795" s="103" t="str">
        <f>HYPERLINK("E:\PropInv\MF\Houston\Lakes at 610 Dr_9111_Villas at Coronado_Houston_16201","Lakes at 610 Dr_9111_Villas at Coronado_Houston_16201" )</f>
        <v>Lakes at 610 Dr_9111_Villas at Coronado_Houston_16201</v>
      </c>
      <c r="L5795" s="104" t="s">
        <v>22253</v>
      </c>
      <c r="M5795" s="103" t="str">
        <f t="shared" si="453"/>
        <v>http://oconnordata.com/mlink/modules/profile/index.cfm?action=profile&amp;prop_id=16201</v>
      </c>
      <c r="N5795" s="1">
        <f t="shared" si="454"/>
        <v>16201</v>
      </c>
    </row>
    <row r="5796" spans="1:14" x14ac:dyDescent="0.3">
      <c r="A5796" s="1">
        <v>16204</v>
      </c>
      <c r="B5796" s="7" t="s">
        <v>8709</v>
      </c>
      <c r="C5796" s="12">
        <v>330</v>
      </c>
      <c r="D5796" s="7" t="s">
        <v>8710</v>
      </c>
      <c r="E5796" s="13" t="s">
        <v>842</v>
      </c>
      <c r="F5796" t="str">
        <f t="shared" si="450"/>
        <v>Cheryl</v>
      </c>
      <c r="G5796" t="str">
        <f t="shared" si="451"/>
        <v>Cheryl330San Antonio</v>
      </c>
      <c r="H5796" t="s">
        <v>36652</v>
      </c>
      <c r="I5796" t="s">
        <v>28072</v>
      </c>
      <c r="J5796" t="str">
        <f t="shared" si="452"/>
        <v>E:\PropInv\MF</v>
      </c>
      <c r="K5796" s="103" t="str">
        <f>HYPERLINK("E:\PropInv\MF\San Antonio\Cheryl Dr W_330_Chaminade (TBD)_San Antonio_16204","Cheryl Dr W_330_Chaminade (TBD)_San Antonio_16204" )</f>
        <v>Cheryl Dr W_330_Chaminade (TBD)_San Antonio_16204</v>
      </c>
      <c r="L5796" s="104" t="s">
        <v>22253</v>
      </c>
      <c r="M5796" s="103" t="str">
        <f t="shared" si="453"/>
        <v>http://oconnordata.com/mlink/modules/profile/index.cfm?action=profile&amp;prop_id=16204</v>
      </c>
      <c r="N5796" s="1">
        <f t="shared" si="454"/>
        <v>16204</v>
      </c>
    </row>
    <row r="5797" spans="1:14" x14ac:dyDescent="0.3">
      <c r="A5797" s="1">
        <v>16205</v>
      </c>
      <c r="B5797" s="7" t="s">
        <v>8711</v>
      </c>
      <c r="C5797" s="12">
        <v>3144</v>
      </c>
      <c r="D5797" s="7" t="s">
        <v>8712</v>
      </c>
      <c r="E5797" s="13" t="s">
        <v>842</v>
      </c>
      <c r="F5797" t="str">
        <f t="shared" si="450"/>
        <v>Commerce</v>
      </c>
      <c r="G5797" t="str">
        <f t="shared" si="451"/>
        <v>Commerce3144San Antonio</v>
      </c>
      <c r="H5797" t="s">
        <v>36653</v>
      </c>
      <c r="I5797" t="s">
        <v>28073</v>
      </c>
      <c r="J5797" t="str">
        <f t="shared" si="452"/>
        <v>E:\PropInv\MF</v>
      </c>
      <c r="K5797" s="103" t="str">
        <f>HYPERLINK("E:\PropInv\MF\San Antonio\Commerce E_3144_Center Park_San Antonio_16205","Commerce E_3144_Center Park_San Antonio_16205" )</f>
        <v>Commerce E_3144_Center Park_San Antonio_16205</v>
      </c>
      <c r="L5797" s="104" t="s">
        <v>22253</v>
      </c>
      <c r="M5797" s="103" t="str">
        <f t="shared" si="453"/>
        <v>http://oconnordata.com/mlink/modules/profile/index.cfm?action=profile&amp;prop_id=16205</v>
      </c>
      <c r="N5797" s="1">
        <f t="shared" si="454"/>
        <v>16205</v>
      </c>
    </row>
    <row r="5798" spans="1:14" x14ac:dyDescent="0.3">
      <c r="A5798" s="1">
        <v>16206</v>
      </c>
      <c r="B5798" s="7" t="s">
        <v>8713</v>
      </c>
      <c r="C5798" s="12">
        <v>342</v>
      </c>
      <c r="D5798" s="7" t="s">
        <v>8714</v>
      </c>
      <c r="E5798" s="13" t="s">
        <v>842</v>
      </c>
      <c r="F5798" t="str">
        <f t="shared" si="450"/>
        <v>Sunshine</v>
      </c>
      <c r="G5798" t="str">
        <f t="shared" si="451"/>
        <v>Sunshine342San Antonio</v>
      </c>
      <c r="H5798" t="s">
        <v>36654</v>
      </c>
      <c r="I5798" t="s">
        <v>28074</v>
      </c>
      <c r="J5798" t="str">
        <f t="shared" si="452"/>
        <v>E:\PropInv\MF</v>
      </c>
      <c r="K5798" s="103" t="str">
        <f>HYPERLINK("E:\PropInv\MF\San Antonio\Sunshine E_342_Cabana_San Antonio_16206","Sunshine E_342_Cabana_San Antonio_16206" )</f>
        <v>Sunshine E_342_Cabana_San Antonio_16206</v>
      </c>
      <c r="L5798" s="104" t="s">
        <v>22253</v>
      </c>
      <c r="M5798" s="103" t="str">
        <f t="shared" si="453"/>
        <v>http://oconnordata.com/mlink/modules/profile/index.cfm?action=profile&amp;prop_id=16206</v>
      </c>
      <c r="N5798" s="1">
        <f t="shared" si="454"/>
        <v>16206</v>
      </c>
    </row>
    <row r="5799" spans="1:14" x14ac:dyDescent="0.3">
      <c r="A5799" s="1">
        <v>16207</v>
      </c>
      <c r="B5799" s="7" t="s">
        <v>855</v>
      </c>
      <c r="C5799" s="12">
        <v>2909</v>
      </c>
      <c r="D5799" s="7" t="s">
        <v>8715</v>
      </c>
      <c r="E5799" s="13" t="s">
        <v>842</v>
      </c>
      <c r="F5799" t="str">
        <f t="shared" si="450"/>
        <v>Fredericksburg</v>
      </c>
      <c r="G5799" t="str">
        <f t="shared" si="451"/>
        <v>Fredericksburg2909San Antonio</v>
      </c>
      <c r="H5799" t="s">
        <v>36655</v>
      </c>
      <c r="I5799" t="s">
        <v>28075</v>
      </c>
      <c r="J5799" t="str">
        <f t="shared" si="452"/>
        <v>E:\PropInv\MF</v>
      </c>
      <c r="K5799" s="103" t="str">
        <f>HYPERLINK("E:\PropInv\MF\San Antonio\Fredericksburg Rd_2909_Apts Northwest_San Antonio_16207","Fredericksburg Rd_2909_Apts Northwest_San Antonio_16207" )</f>
        <v>Fredericksburg Rd_2909_Apts Northwest_San Antonio_16207</v>
      </c>
      <c r="L5799" s="104" t="s">
        <v>22253</v>
      </c>
      <c r="M5799" s="103" t="str">
        <f t="shared" si="453"/>
        <v>http://oconnordata.com/mlink/modules/profile/index.cfm?action=profile&amp;prop_id=16207</v>
      </c>
      <c r="N5799" s="1">
        <f t="shared" si="454"/>
        <v>16207</v>
      </c>
    </row>
    <row r="5800" spans="1:14" x14ac:dyDescent="0.3">
      <c r="A5800" s="1">
        <v>16208</v>
      </c>
      <c r="B5800" s="7" t="s">
        <v>910</v>
      </c>
      <c r="C5800" s="12">
        <v>509</v>
      </c>
      <c r="D5800" s="7" t="s">
        <v>8716</v>
      </c>
      <c r="E5800" s="13" t="s">
        <v>842</v>
      </c>
      <c r="F5800" t="str">
        <f t="shared" si="450"/>
        <v>Howard</v>
      </c>
      <c r="G5800" t="str">
        <f t="shared" si="451"/>
        <v>Howard509San Antonio</v>
      </c>
      <c r="H5800" t="s">
        <v>36656</v>
      </c>
      <c r="I5800" t="s">
        <v>28076</v>
      </c>
      <c r="J5800" t="str">
        <f t="shared" si="452"/>
        <v>E:\PropInv\MF</v>
      </c>
      <c r="K5800" s="103" t="str">
        <f>HYPERLINK("E:\PropInv\MF\San Antonio\Howard St_509_Aurora_San Antonio_16208","Howard St_509_Aurora_San Antonio_16208" )</f>
        <v>Howard St_509_Aurora_San Antonio_16208</v>
      </c>
      <c r="L5800" s="104" t="s">
        <v>22253</v>
      </c>
      <c r="M5800" s="103" t="str">
        <f t="shared" si="453"/>
        <v>http://oconnordata.com/mlink/modules/profile/index.cfm?action=profile&amp;prop_id=16208</v>
      </c>
      <c r="N5800" s="1">
        <f t="shared" si="454"/>
        <v>16208</v>
      </c>
    </row>
    <row r="5801" spans="1:14" x14ac:dyDescent="0.3">
      <c r="A5801" s="1">
        <v>16209</v>
      </c>
      <c r="B5801" s="7" t="s">
        <v>8717</v>
      </c>
      <c r="C5801" s="12">
        <v>6542</v>
      </c>
      <c r="D5801" s="7" t="s">
        <v>8718</v>
      </c>
      <c r="E5801" s="13" t="s">
        <v>842</v>
      </c>
      <c r="F5801" t="str">
        <f t="shared" si="450"/>
        <v>Spring</v>
      </c>
      <c r="G5801" t="str">
        <f t="shared" si="451"/>
        <v>Spring6542San Antonio</v>
      </c>
      <c r="H5801" t="s">
        <v>36657</v>
      </c>
      <c r="I5801" t="s">
        <v>28077</v>
      </c>
      <c r="J5801" t="str">
        <f t="shared" si="452"/>
        <v>E:\PropInv\MF</v>
      </c>
      <c r="K5801" s="103" t="str">
        <f>HYPERLINK("E:\PropInv\MF\San Antonio\Spring Branch_6542_Babcock North Fourplex Homes_San Antonio_16209","Spring Branch_6542_Babcock North Fourplex Homes_San Antonio_16209" )</f>
        <v>Spring Branch_6542_Babcock North Fourplex Homes_San Antonio_16209</v>
      </c>
      <c r="L5801" s="104" t="s">
        <v>22253</v>
      </c>
      <c r="M5801" s="103" t="str">
        <f t="shared" si="453"/>
        <v>http://oconnordata.com/mlink/modules/profile/index.cfm?action=profile&amp;prop_id=16209</v>
      </c>
      <c r="N5801" s="1">
        <f t="shared" si="454"/>
        <v>16209</v>
      </c>
    </row>
    <row r="5802" spans="1:14" x14ac:dyDescent="0.3">
      <c r="A5802" s="1">
        <v>16210</v>
      </c>
      <c r="B5802" s="7" t="s">
        <v>1361</v>
      </c>
      <c r="C5802" s="12">
        <v>1318</v>
      </c>
      <c r="D5802" s="7" t="s">
        <v>8719</v>
      </c>
      <c r="E5802" s="13" t="s">
        <v>842</v>
      </c>
      <c r="F5802" t="str">
        <f t="shared" si="450"/>
        <v>Gardina</v>
      </c>
      <c r="G5802" t="str">
        <f t="shared" si="451"/>
        <v>Gardina1318San Antonio</v>
      </c>
      <c r="H5802" t="s">
        <v>36658</v>
      </c>
      <c r="I5802" t="s">
        <v>28078</v>
      </c>
      <c r="J5802" t="str">
        <f t="shared" si="452"/>
        <v>E:\PropInv\MF</v>
      </c>
      <c r="K5802" s="103" t="str">
        <f>HYPERLINK("E:\PropInv\MF\San Antonio\Gardina St_1318_Gardina Court_San Antonio_16210","Gardina St_1318_Gardina Court_San Antonio_16210" )</f>
        <v>Gardina St_1318_Gardina Court_San Antonio_16210</v>
      </c>
      <c r="L5802" s="104" t="s">
        <v>22253</v>
      </c>
      <c r="M5802" s="103" t="str">
        <f t="shared" si="453"/>
        <v>http://oconnordata.com/mlink/modules/profile/index.cfm?action=profile&amp;prop_id=16210</v>
      </c>
      <c r="N5802" s="1">
        <f t="shared" si="454"/>
        <v>16210</v>
      </c>
    </row>
    <row r="5803" spans="1:14" x14ac:dyDescent="0.3">
      <c r="A5803" s="1">
        <v>16211</v>
      </c>
      <c r="B5803" s="7" t="s">
        <v>8720</v>
      </c>
      <c r="C5803" s="12">
        <v>4438</v>
      </c>
      <c r="D5803" s="7" t="s">
        <v>8721</v>
      </c>
      <c r="E5803" s="13" t="s">
        <v>842</v>
      </c>
      <c r="F5803" t="str">
        <f t="shared" si="450"/>
        <v>Hein</v>
      </c>
      <c r="G5803" t="str">
        <f t="shared" si="451"/>
        <v>Hein4438San Antonio</v>
      </c>
      <c r="H5803" t="s">
        <v>36659</v>
      </c>
      <c r="I5803" t="s">
        <v>28079</v>
      </c>
      <c r="J5803" t="str">
        <f t="shared" si="452"/>
        <v>E:\PropInv\MF</v>
      </c>
      <c r="K5803" s="103" t="str">
        <f>HYPERLINK("E:\PropInv\MF\San Antonio\Hein Rd N_4438_Brighton Terrace_San Antonio_16211","Hein Rd N_4438_Brighton Terrace_San Antonio_16211" )</f>
        <v>Hein Rd N_4438_Brighton Terrace_San Antonio_16211</v>
      </c>
      <c r="L5803" s="104" t="s">
        <v>22253</v>
      </c>
      <c r="M5803" s="103" t="str">
        <f t="shared" si="453"/>
        <v>http://oconnordata.com/mlink/modules/profile/index.cfm?action=profile&amp;prop_id=16211</v>
      </c>
      <c r="N5803" s="1">
        <f t="shared" si="454"/>
        <v>16211</v>
      </c>
    </row>
    <row r="5804" spans="1:14" x14ac:dyDescent="0.3">
      <c r="A5804" s="1">
        <v>16213</v>
      </c>
      <c r="B5804" s="7" t="s">
        <v>1502</v>
      </c>
      <c r="C5804" s="12">
        <v>2803</v>
      </c>
      <c r="D5804" s="7" t="s">
        <v>8722</v>
      </c>
      <c r="E5804" s="13" t="s">
        <v>842</v>
      </c>
      <c r="F5804" t="str">
        <f t="shared" si="450"/>
        <v>Woodbury</v>
      </c>
      <c r="G5804" t="str">
        <f t="shared" si="451"/>
        <v>Woodbury2803San Antonio</v>
      </c>
      <c r="H5804" t="s">
        <v>36660</v>
      </c>
      <c r="I5804" t="s">
        <v>28080</v>
      </c>
      <c r="J5804" t="str">
        <f t="shared" si="452"/>
        <v>E:\PropInv\MF</v>
      </c>
      <c r="K5804" s="103" t="str">
        <f>HYPERLINK("E:\PropInv\MF\San Antonio\Woodbury Dr_2803_Amber Square_San Antonio_16213","Woodbury Dr_2803_Amber Square_San Antonio_16213" )</f>
        <v>Woodbury Dr_2803_Amber Square_San Antonio_16213</v>
      </c>
      <c r="L5804" s="104" t="s">
        <v>22253</v>
      </c>
      <c r="M5804" s="103" t="str">
        <f t="shared" si="453"/>
        <v>http://oconnordata.com/mlink/modules/profile/index.cfm?action=profile&amp;prop_id=16213</v>
      </c>
      <c r="N5804" s="1">
        <f t="shared" si="454"/>
        <v>16213</v>
      </c>
    </row>
    <row r="5805" spans="1:14" x14ac:dyDescent="0.3">
      <c r="A5805" s="1">
        <v>16214</v>
      </c>
      <c r="B5805" s="7" t="s">
        <v>8723</v>
      </c>
      <c r="C5805" s="12">
        <v>1514</v>
      </c>
      <c r="D5805" s="7" t="s">
        <v>8724</v>
      </c>
      <c r="E5805" s="13" t="s">
        <v>842</v>
      </c>
      <c r="F5805" t="str">
        <f t="shared" si="450"/>
        <v>Upland</v>
      </c>
      <c r="G5805" t="str">
        <f t="shared" si="451"/>
        <v>Upland1514San Antonio</v>
      </c>
      <c r="H5805" t="s">
        <v>36661</v>
      </c>
      <c r="I5805" t="s">
        <v>28081</v>
      </c>
      <c r="J5805" t="str">
        <f t="shared" si="452"/>
        <v>E:\PropInv\MF</v>
      </c>
      <c r="K5805" s="103" t="str">
        <f>HYPERLINK("E:\PropInv\MF\San Antonio\Upland_1514_Antioch Village_San Antonio_16214","Upland_1514_Antioch Village_San Antonio_16214" )</f>
        <v>Upland_1514_Antioch Village_San Antonio_16214</v>
      </c>
      <c r="L5805" s="104" t="s">
        <v>22253</v>
      </c>
      <c r="M5805" s="103" t="str">
        <f t="shared" si="453"/>
        <v>http://oconnordata.com/mlink/modules/profile/index.cfm?action=profile&amp;prop_id=16214</v>
      </c>
      <c r="N5805" s="1">
        <f t="shared" si="454"/>
        <v>16214</v>
      </c>
    </row>
    <row r="5806" spans="1:14" x14ac:dyDescent="0.3">
      <c r="A5806" s="1">
        <v>16215</v>
      </c>
      <c r="B5806" s="7" t="s">
        <v>847</v>
      </c>
      <c r="C5806" s="12">
        <v>555</v>
      </c>
      <c r="D5806" s="7" t="s">
        <v>8725</v>
      </c>
      <c r="E5806" s="13" t="s">
        <v>842</v>
      </c>
      <c r="F5806" t="str">
        <f t="shared" si="450"/>
        <v>Hutchins</v>
      </c>
      <c r="G5806" t="str">
        <f t="shared" si="451"/>
        <v>Hutchins555San Antonio</v>
      </c>
      <c r="H5806" t="s">
        <v>36662</v>
      </c>
      <c r="I5806" t="s">
        <v>28082</v>
      </c>
      <c r="J5806" t="str">
        <f t="shared" si="452"/>
        <v>E:\PropInv\MF</v>
      </c>
      <c r="K5806" s="103" t="str">
        <f>HYPERLINK("E:\PropInv\MF\San Antonio\Hutchins Place W_555_Aristocrat_San Antonio_16215","Hutchins Place W_555_Aristocrat_San Antonio_16215" )</f>
        <v>Hutchins Place W_555_Aristocrat_San Antonio_16215</v>
      </c>
      <c r="L5806" s="104" t="s">
        <v>22253</v>
      </c>
      <c r="M5806" s="103" t="str">
        <f t="shared" si="453"/>
        <v>http://oconnordata.com/mlink/modules/profile/index.cfm?action=profile&amp;prop_id=16215</v>
      </c>
      <c r="N5806" s="1">
        <f t="shared" si="454"/>
        <v>16215</v>
      </c>
    </row>
    <row r="5807" spans="1:14" x14ac:dyDescent="0.3">
      <c r="A5807" s="1">
        <v>16216</v>
      </c>
      <c r="B5807" s="7" t="s">
        <v>1019</v>
      </c>
      <c r="C5807" s="12">
        <v>207</v>
      </c>
      <c r="D5807" s="7" t="s">
        <v>8726</v>
      </c>
      <c r="E5807" s="13" t="s">
        <v>842</v>
      </c>
      <c r="F5807" t="str">
        <f t="shared" si="450"/>
        <v>Deerwood</v>
      </c>
      <c r="G5807" t="str">
        <f t="shared" si="451"/>
        <v>Deerwood207San Antonio</v>
      </c>
      <c r="H5807" t="s">
        <v>36663</v>
      </c>
      <c r="I5807" t="s">
        <v>28083</v>
      </c>
      <c r="J5807" t="str">
        <f t="shared" si="452"/>
        <v>E:\PropInv\MF</v>
      </c>
      <c r="K5807" s="103" t="str">
        <f>HYPERLINK("E:\PropInv\MF\San Antonio\Deerwood_207_Austin Woods_San Antonio_16216","Deerwood_207_Austin Woods_San Antonio_16216" )</f>
        <v>Deerwood_207_Austin Woods_San Antonio_16216</v>
      </c>
      <c r="L5807" s="104" t="s">
        <v>22253</v>
      </c>
      <c r="M5807" s="103" t="str">
        <f t="shared" si="453"/>
        <v>http://oconnordata.com/mlink/modules/profile/index.cfm?action=profile&amp;prop_id=16216</v>
      </c>
      <c r="N5807" s="1">
        <f t="shared" si="454"/>
        <v>16216</v>
      </c>
    </row>
    <row r="5808" spans="1:14" x14ac:dyDescent="0.3">
      <c r="A5808" s="1">
        <v>16217</v>
      </c>
      <c r="B5808" s="7" t="s">
        <v>1527</v>
      </c>
      <c r="C5808" s="12">
        <v>2618</v>
      </c>
      <c r="D5808" s="7" t="s">
        <v>8727</v>
      </c>
      <c r="E5808" s="13" t="s">
        <v>842</v>
      </c>
      <c r="F5808" t="str">
        <f t="shared" si="450"/>
        <v>Nacogdoches</v>
      </c>
      <c r="G5808" t="str">
        <f t="shared" si="451"/>
        <v>Nacogdoches2618San Antonio</v>
      </c>
      <c r="H5808" t="s">
        <v>36664</v>
      </c>
      <c r="I5808" t="s">
        <v>28084</v>
      </c>
      <c r="J5808" t="str">
        <f t="shared" si="452"/>
        <v>E:\PropInv\MF</v>
      </c>
      <c r="K5808" s="103" t="str">
        <f>HYPERLINK("E:\PropInv\MF\San Antonio\Nacogdoches Rd_2618_Bella Claire_San Antonio_16217","Nacogdoches Rd_2618_Bella Claire_San Antonio_16217" )</f>
        <v>Nacogdoches Rd_2618_Bella Claire_San Antonio_16217</v>
      </c>
      <c r="L5808" s="104" t="s">
        <v>22253</v>
      </c>
      <c r="M5808" s="103" t="str">
        <f t="shared" si="453"/>
        <v>http://oconnordata.com/mlink/modules/profile/index.cfm?action=profile&amp;prop_id=16217</v>
      </c>
      <c r="N5808" s="1">
        <f t="shared" si="454"/>
        <v>16217</v>
      </c>
    </row>
    <row r="5809" spans="1:14" x14ac:dyDescent="0.3">
      <c r="A5809" s="1">
        <v>16218</v>
      </c>
      <c r="B5809" s="7" t="s">
        <v>8728</v>
      </c>
      <c r="C5809" s="12">
        <v>116</v>
      </c>
      <c r="D5809" s="7" t="s">
        <v>8729</v>
      </c>
      <c r="E5809" s="13" t="s">
        <v>990</v>
      </c>
      <c r="F5809" t="str">
        <f t="shared" si="450"/>
        <v>Bentwood</v>
      </c>
      <c r="G5809" t="str">
        <f t="shared" si="451"/>
        <v>Bentwood116Boerne</v>
      </c>
      <c r="H5809" t="s">
        <v>36665</v>
      </c>
      <c r="I5809" t="s">
        <v>28085</v>
      </c>
      <c r="J5809" t="str">
        <f t="shared" si="452"/>
        <v>E:\PropInv\MF</v>
      </c>
      <c r="K5809" s="103" t="str">
        <f>HYPERLINK("E:\PropInv\MF\Boerne\Bentwood Dr_116_Boerne TH_Boerne_16218","Bentwood Dr_116_Boerne TH_Boerne_16218" )</f>
        <v>Bentwood Dr_116_Boerne TH_Boerne_16218</v>
      </c>
      <c r="L5809" s="104" t="s">
        <v>22253</v>
      </c>
      <c r="M5809" s="103" t="str">
        <f t="shared" si="453"/>
        <v>http://oconnordata.com/mlink/modules/profile/index.cfm?action=profile&amp;prop_id=16218</v>
      </c>
      <c r="N5809" s="1">
        <f t="shared" si="454"/>
        <v>16218</v>
      </c>
    </row>
    <row r="5810" spans="1:14" x14ac:dyDescent="0.3">
      <c r="A5810" s="1">
        <v>16219</v>
      </c>
      <c r="B5810" s="7" t="s">
        <v>8730</v>
      </c>
      <c r="C5810" s="12">
        <v>515</v>
      </c>
      <c r="D5810" s="7" t="s">
        <v>8731</v>
      </c>
      <c r="E5810" s="13" t="s">
        <v>842</v>
      </c>
      <c r="F5810" t="str">
        <f t="shared" si="450"/>
        <v>Exeter</v>
      </c>
      <c r="G5810" t="str">
        <f t="shared" si="451"/>
        <v>Exeter515San Antonio</v>
      </c>
      <c r="H5810" t="s">
        <v>36666</v>
      </c>
      <c r="I5810" t="s">
        <v>28086</v>
      </c>
      <c r="J5810" t="str">
        <f t="shared" si="452"/>
        <v>E:\PropInv\MF</v>
      </c>
      <c r="K5810" s="103" t="str">
        <f>HYPERLINK("E:\PropInv\MF\San Antonio\Exeter Rd_515_Berrendo Square_San Antonio_16219","Exeter Rd_515_Berrendo Square_San Antonio_16219" )</f>
        <v>Exeter Rd_515_Berrendo Square_San Antonio_16219</v>
      </c>
      <c r="L5810" s="104" t="s">
        <v>22253</v>
      </c>
      <c r="M5810" s="103" t="str">
        <f t="shared" si="453"/>
        <v>http://oconnordata.com/mlink/modules/profile/index.cfm?action=profile&amp;prop_id=16219</v>
      </c>
      <c r="N5810" s="1">
        <f t="shared" si="454"/>
        <v>16219</v>
      </c>
    </row>
    <row r="5811" spans="1:14" x14ac:dyDescent="0.3">
      <c r="A5811" s="1">
        <v>16220</v>
      </c>
      <c r="B5811" s="7" t="s">
        <v>8732</v>
      </c>
      <c r="C5811" s="12">
        <v>349</v>
      </c>
      <c r="D5811" s="7" t="s">
        <v>8733</v>
      </c>
      <c r="E5811" s="13" t="s">
        <v>912</v>
      </c>
      <c r="F5811" t="str">
        <f t="shared" si="450"/>
        <v>Briarbend</v>
      </c>
      <c r="G5811" t="str">
        <f t="shared" si="451"/>
        <v>Briarbend349New Braunfels</v>
      </c>
      <c r="H5811" t="s">
        <v>36667</v>
      </c>
      <c r="I5811" t="s">
        <v>28087</v>
      </c>
      <c r="J5811" t="str">
        <f t="shared" si="452"/>
        <v>E:\PropInv\MF</v>
      </c>
      <c r="K5811" s="103" t="str">
        <f>HYPERLINK("E:\PropInv\MF\New Braunfels\Briarbend Dr_349_Briarbend_New Braunfels_16220","Briarbend Dr_349_Briarbend_New Braunfels_16220" )</f>
        <v>Briarbend Dr_349_Briarbend_New Braunfels_16220</v>
      </c>
      <c r="L5811" s="104" t="s">
        <v>22253</v>
      </c>
      <c r="M5811" s="103" t="str">
        <f t="shared" si="453"/>
        <v>http://oconnordata.com/mlink/modules/profile/index.cfm?action=profile&amp;prop_id=16220</v>
      </c>
      <c r="N5811" s="1">
        <f t="shared" si="454"/>
        <v>16220</v>
      </c>
    </row>
    <row r="5812" spans="1:14" x14ac:dyDescent="0.3">
      <c r="A5812" s="1">
        <v>16223</v>
      </c>
      <c r="B5812" s="7" t="s">
        <v>8734</v>
      </c>
      <c r="C5812" s="12">
        <v>14121</v>
      </c>
      <c r="D5812" s="7" t="s">
        <v>8734</v>
      </c>
      <c r="E5812" s="13" t="s">
        <v>842</v>
      </c>
      <c r="F5812" t="str">
        <f t="shared" si="450"/>
        <v>Churchill</v>
      </c>
      <c r="G5812" t="str">
        <f t="shared" si="451"/>
        <v>Churchill14121San Antonio</v>
      </c>
      <c r="H5812" t="s">
        <v>36668</v>
      </c>
      <c r="I5812" t="s">
        <v>28088</v>
      </c>
      <c r="J5812" t="str">
        <f t="shared" si="452"/>
        <v>E:\PropInv\MF</v>
      </c>
      <c r="K5812" s="103" t="str">
        <f>HYPERLINK("E:\PropInv\MF\San Antonio\Churchill Estates_14121_Churchill Estates_San Antonio_16223","Churchill Estates_14121_Churchill Estates_San Antonio_16223" )</f>
        <v>Churchill Estates_14121_Churchill Estates_San Antonio_16223</v>
      </c>
      <c r="L5812" s="104" t="s">
        <v>22253</v>
      </c>
      <c r="M5812" s="103" t="str">
        <f t="shared" si="453"/>
        <v>http://oconnordata.com/mlink/modules/profile/index.cfm?action=profile&amp;prop_id=16223</v>
      </c>
      <c r="N5812" s="1">
        <f t="shared" si="454"/>
        <v>16223</v>
      </c>
    </row>
    <row r="5813" spans="1:14" x14ac:dyDescent="0.3">
      <c r="A5813" s="1">
        <v>16224</v>
      </c>
      <c r="B5813" s="7" t="s">
        <v>8156</v>
      </c>
      <c r="C5813" s="12">
        <v>1050</v>
      </c>
      <c r="D5813" s="7" t="s">
        <v>8735</v>
      </c>
      <c r="E5813" s="13" t="s">
        <v>7</v>
      </c>
      <c r="F5813" t="str">
        <f t="shared" si="450"/>
        <v>Springdale</v>
      </c>
      <c r="G5813" t="str">
        <f t="shared" si="451"/>
        <v>Springdale1050Austin</v>
      </c>
      <c r="H5813" t="s">
        <v>36669</v>
      </c>
      <c r="I5813" t="s">
        <v>28089</v>
      </c>
      <c r="J5813" t="str">
        <f t="shared" si="452"/>
        <v>E:\PropInv\MF</v>
      </c>
      <c r="K5813" s="103" t="str">
        <f>HYPERLINK("E:\PropInv\MF\Austin\Springdale_1050_Springdale Estates_Austin_16224","Springdale_1050_Springdale Estates_Austin_16224" )</f>
        <v>Springdale_1050_Springdale Estates_Austin_16224</v>
      </c>
      <c r="L5813" s="104" t="s">
        <v>22253</v>
      </c>
      <c r="M5813" s="103" t="str">
        <f t="shared" si="453"/>
        <v>http://oconnordata.com/mlink/modules/profile/index.cfm?action=profile&amp;prop_id=16224</v>
      </c>
      <c r="N5813" s="1">
        <f t="shared" si="454"/>
        <v>16224</v>
      </c>
    </row>
    <row r="5814" spans="1:14" x14ac:dyDescent="0.3">
      <c r="A5814" s="1">
        <v>16225</v>
      </c>
      <c r="B5814" s="7" t="s">
        <v>8736</v>
      </c>
      <c r="C5814" s="12">
        <v>3260</v>
      </c>
      <c r="D5814" s="7" t="s">
        <v>8737</v>
      </c>
      <c r="E5814" s="13" t="s">
        <v>4996</v>
      </c>
      <c r="F5814" t="str">
        <f t="shared" si="450"/>
        <v>Bickers</v>
      </c>
      <c r="G5814" t="str">
        <f t="shared" si="451"/>
        <v>Bickers3260Dallas</v>
      </c>
      <c r="H5814" t="s">
        <v>36670</v>
      </c>
      <c r="I5814" t="s">
        <v>28090</v>
      </c>
      <c r="J5814" t="str">
        <f t="shared" si="452"/>
        <v>E:\PropInv\MF</v>
      </c>
      <c r="K5814" s="103" t="str">
        <f>HYPERLINK("E:\PropInv\MF\Dallas\Bickers St_3260_Mabel Meshack White Manor_Dallas_16225","Bickers St_3260_Mabel Meshack White Manor_Dallas_16225" )</f>
        <v>Bickers St_3260_Mabel Meshack White Manor_Dallas_16225</v>
      </c>
      <c r="L5814" s="104" t="s">
        <v>22253</v>
      </c>
      <c r="M5814" s="103" t="str">
        <f t="shared" si="453"/>
        <v>http://oconnordata.com/mlink/modules/profile/index.cfm?action=profile&amp;prop_id=16225</v>
      </c>
      <c r="N5814" s="1">
        <f t="shared" si="454"/>
        <v>16225</v>
      </c>
    </row>
    <row r="5815" spans="1:14" x14ac:dyDescent="0.3">
      <c r="A5815" s="1">
        <v>16226</v>
      </c>
      <c r="B5815" s="7" t="s">
        <v>8738</v>
      </c>
      <c r="C5815" s="12">
        <v>10809</v>
      </c>
      <c r="D5815" s="7" t="s">
        <v>8739</v>
      </c>
      <c r="E5815" s="13" t="s">
        <v>842</v>
      </c>
      <c r="F5815" t="str">
        <f t="shared" si="450"/>
        <v>Westwood</v>
      </c>
      <c r="G5815" t="str">
        <f t="shared" si="451"/>
        <v>Westwood10809San Antonio</v>
      </c>
      <c r="H5815" t="s">
        <v>36671</v>
      </c>
      <c r="I5815" t="s">
        <v>28091</v>
      </c>
      <c r="J5815" t="str">
        <f t="shared" si="452"/>
        <v>E:\PropInv\MF</v>
      </c>
      <c r="K5815" s="103" t="str">
        <f>HYPERLINK("E:\PropInv\MF\San Antonio\Westwood Loop_10809_Laurel Canyon I_San Antonio_16226","Westwood Loop_10809_Laurel Canyon I_San Antonio_16226" )</f>
        <v>Westwood Loop_10809_Laurel Canyon I_San Antonio_16226</v>
      </c>
      <c r="L5815" s="104" t="s">
        <v>22253</v>
      </c>
      <c r="M5815" s="103" t="str">
        <f t="shared" si="453"/>
        <v>http://oconnordata.com/mlink/modules/profile/index.cfm?action=profile&amp;prop_id=16226</v>
      </c>
      <c r="N5815" s="1">
        <f t="shared" si="454"/>
        <v>16226</v>
      </c>
    </row>
    <row r="5816" spans="1:14" x14ac:dyDescent="0.3">
      <c r="A5816" s="1">
        <v>16227</v>
      </c>
      <c r="B5816" s="7" t="s">
        <v>8740</v>
      </c>
      <c r="C5816" s="12">
        <v>6399</v>
      </c>
      <c r="D5816" s="7" t="s">
        <v>8741</v>
      </c>
      <c r="E5816" s="13" t="s">
        <v>5180</v>
      </c>
      <c r="F5816" t="str">
        <f t="shared" si="450"/>
        <v>Morning</v>
      </c>
      <c r="G5816" t="str">
        <f t="shared" si="451"/>
        <v>Morning6399The Colony</v>
      </c>
      <c r="H5816" t="s">
        <v>36672</v>
      </c>
      <c r="I5816" t="s">
        <v>28092</v>
      </c>
      <c r="J5816" t="str">
        <f t="shared" si="452"/>
        <v>E:\PropInv\MF</v>
      </c>
      <c r="K5816" s="103" t="str">
        <f>HYPERLINK("E:\PropInv\MF\The Colony\Morning Star Blvd_6399_Estancia at Morning Star_The Colony_16227","Morning Star Blvd_6399_Estancia at Morning Star_The Colony_16227" )</f>
        <v>Morning Star Blvd_6399_Estancia at Morning Star_The Colony_16227</v>
      </c>
      <c r="L5816" s="104" t="s">
        <v>22253</v>
      </c>
      <c r="M5816" s="103" t="str">
        <f t="shared" si="453"/>
        <v>http://oconnordata.com/mlink/modules/profile/index.cfm?action=profile&amp;prop_id=16227</v>
      </c>
      <c r="N5816" s="1">
        <f t="shared" si="454"/>
        <v>16227</v>
      </c>
    </row>
    <row r="5817" spans="1:14" x14ac:dyDescent="0.3">
      <c r="A5817" s="1">
        <v>16228</v>
      </c>
      <c r="B5817" s="29" t="s">
        <v>8742</v>
      </c>
      <c r="C5817" s="12">
        <v>4599</v>
      </c>
      <c r="D5817" s="7" t="s">
        <v>8743</v>
      </c>
      <c r="E5817" s="13" t="s">
        <v>4996</v>
      </c>
      <c r="F5817" t="str">
        <f t="shared" si="450"/>
        <v>Davis</v>
      </c>
      <c r="G5817" t="str">
        <f t="shared" si="451"/>
        <v>Davis4599Dallas</v>
      </c>
      <c r="H5817" t="s">
        <v>36673</v>
      </c>
      <c r="I5817" t="s">
        <v>28093</v>
      </c>
      <c r="J5817" t="str">
        <f t="shared" si="452"/>
        <v>E:\PropInv\MF</v>
      </c>
      <c r="K5817" s="103" t="str">
        <f>HYPERLINK("E:\PropInv\MF\Dallas\Davis St W_4599_Vistas at Pinnacle Park_Dallas_16228","Davis St W_4599_Vistas at Pinnacle Park_Dallas_16228" )</f>
        <v>Davis St W_4599_Vistas at Pinnacle Park_Dallas_16228</v>
      </c>
      <c r="L5817" s="104" t="s">
        <v>22253</v>
      </c>
      <c r="M5817" s="103" t="str">
        <f t="shared" si="453"/>
        <v>http://oconnordata.com/mlink/modules/profile/index.cfm?action=profile&amp;prop_id=16228</v>
      </c>
      <c r="N5817" s="1">
        <f t="shared" si="454"/>
        <v>16228</v>
      </c>
    </row>
    <row r="5818" spans="1:14" x14ac:dyDescent="0.3">
      <c r="A5818" s="1">
        <v>16229</v>
      </c>
      <c r="B5818" s="7" t="s">
        <v>1794</v>
      </c>
      <c r="C5818" s="12">
        <v>311</v>
      </c>
      <c r="D5818" s="7" t="s">
        <v>8744</v>
      </c>
      <c r="E5818" s="13" t="s">
        <v>1657</v>
      </c>
      <c r="F5818" t="str">
        <f t="shared" si="450"/>
        <v>Vista</v>
      </c>
      <c r="G5818" t="str">
        <f t="shared" si="451"/>
        <v>Vista311Houston</v>
      </c>
      <c r="H5818" t="s">
        <v>36674</v>
      </c>
      <c r="I5818" t="s">
        <v>28094</v>
      </c>
      <c r="J5818" t="str">
        <f t="shared" si="452"/>
        <v>E:\PropInv\MF</v>
      </c>
      <c r="K5818" s="103" t="str">
        <f>HYPERLINK("E:\PropInv\MF\Houston\Vista Dr N_311_Park at North Vista_Houston_16229","Vista Dr N_311_Park at North Vista_Houston_16229" )</f>
        <v>Vista Dr N_311_Park at North Vista_Houston_16229</v>
      </c>
      <c r="L5818" s="104" t="s">
        <v>22253</v>
      </c>
      <c r="M5818" s="103" t="str">
        <f t="shared" si="453"/>
        <v>http://oconnordata.com/mlink/modules/profile/index.cfm?action=profile&amp;prop_id=16229</v>
      </c>
      <c r="N5818" s="1">
        <f t="shared" si="454"/>
        <v>16229</v>
      </c>
    </row>
    <row r="5819" spans="1:14" x14ac:dyDescent="0.3">
      <c r="A5819" s="1">
        <v>16230</v>
      </c>
      <c r="B5819" s="7" t="s">
        <v>8745</v>
      </c>
      <c r="C5819" s="12">
        <v>333</v>
      </c>
      <c r="D5819" s="7" t="s">
        <v>8746</v>
      </c>
      <c r="E5819" s="13" t="s">
        <v>1657</v>
      </c>
      <c r="F5819" t="str">
        <f t="shared" si="450"/>
        <v>Airtex</v>
      </c>
      <c r="G5819" t="str">
        <f t="shared" si="451"/>
        <v>Airtex333Houston</v>
      </c>
      <c r="H5819" t="s">
        <v>36675</v>
      </c>
      <c r="I5819" t="s">
        <v>28095</v>
      </c>
      <c r="J5819" t="str">
        <f t="shared" si="452"/>
        <v>E:\PropInv\MF</v>
      </c>
      <c r="K5819" s="103" t="str">
        <f>HYPERLINK("E:\PropInv\MF\Houston\Airtex Blvd_333_Kimberly Pointe_Houston_16230","Airtex Blvd_333_Kimberly Pointe_Houston_16230" )</f>
        <v>Airtex Blvd_333_Kimberly Pointe_Houston_16230</v>
      </c>
      <c r="L5819" s="104" t="s">
        <v>22253</v>
      </c>
      <c r="M5819" s="103" t="str">
        <f t="shared" si="453"/>
        <v>http://oconnordata.com/mlink/modules/profile/index.cfm?action=profile&amp;prop_id=16230</v>
      </c>
      <c r="N5819" s="1">
        <f t="shared" si="454"/>
        <v>16230</v>
      </c>
    </row>
    <row r="5820" spans="1:14" x14ac:dyDescent="0.3">
      <c r="A5820" s="1">
        <v>16231</v>
      </c>
      <c r="B5820" s="7" t="s">
        <v>8747</v>
      </c>
      <c r="C5820" s="12">
        <v>5419</v>
      </c>
      <c r="D5820" s="7" t="s">
        <v>8748</v>
      </c>
      <c r="E5820" s="13" t="s">
        <v>4996</v>
      </c>
      <c r="F5820" t="str">
        <f t="shared" si="450"/>
        <v>Amherst</v>
      </c>
      <c r="G5820" t="str">
        <f t="shared" si="451"/>
        <v>Amherst5419Dallas</v>
      </c>
      <c r="H5820" t="s">
        <v>36676</v>
      </c>
      <c r="I5820" t="s">
        <v>28096</v>
      </c>
      <c r="J5820" t="str">
        <f t="shared" si="452"/>
        <v>E:\PropInv\MF</v>
      </c>
      <c r="K5820" s="103" t="str">
        <f>HYPERLINK("E:\PropInv\MF\Dallas\Amherst Cir W_5419_West Amherst Apts_Dallas_16231","Amherst Cir W_5419_West Amherst Apts_Dallas_16231" )</f>
        <v>Amherst Cir W_5419_West Amherst Apts_Dallas_16231</v>
      </c>
      <c r="L5820" s="104" t="s">
        <v>22253</v>
      </c>
      <c r="M5820" s="103" t="str">
        <f t="shared" si="453"/>
        <v>http://oconnordata.com/mlink/modules/profile/index.cfm?action=profile&amp;prop_id=16231</v>
      </c>
      <c r="N5820" s="1">
        <f t="shared" si="454"/>
        <v>16231</v>
      </c>
    </row>
    <row r="5821" spans="1:14" x14ac:dyDescent="0.3">
      <c r="A5821" s="1">
        <v>16232</v>
      </c>
      <c r="B5821" s="7" t="s">
        <v>2247</v>
      </c>
      <c r="C5821" s="12">
        <v>3500</v>
      </c>
      <c r="D5821" s="7" t="s">
        <v>8749</v>
      </c>
      <c r="E5821" s="13" t="s">
        <v>5097</v>
      </c>
      <c r="F5821" t="str">
        <f t="shared" si="450"/>
        <v>Quail</v>
      </c>
      <c r="G5821" t="str">
        <f t="shared" si="451"/>
        <v>Quail3500Denton</v>
      </c>
      <c r="H5821" t="s">
        <v>36677</v>
      </c>
      <c r="I5821" t="s">
        <v>28097</v>
      </c>
      <c r="J5821" t="str">
        <f t="shared" si="452"/>
        <v>E:\PropInv\MF</v>
      </c>
      <c r="K5821" s="103" t="str">
        <f>HYPERLINK("E:\PropInv\MF\Denton\Quail Creek_3500_Providence Place I_Denton_16232","Quail Creek_3500_Providence Place I_Denton_16232" )</f>
        <v>Quail Creek_3500_Providence Place I_Denton_16232</v>
      </c>
      <c r="L5821" s="104" t="s">
        <v>22253</v>
      </c>
      <c r="M5821" s="103" t="str">
        <f t="shared" si="453"/>
        <v>http://oconnordata.com/mlink/modules/profile/index.cfm?action=profile&amp;prop_id=16232</v>
      </c>
      <c r="N5821" s="1">
        <f t="shared" si="454"/>
        <v>16232</v>
      </c>
    </row>
    <row r="5822" spans="1:14" x14ac:dyDescent="0.3">
      <c r="A5822" s="1">
        <v>16233</v>
      </c>
      <c r="B5822" s="7" t="s">
        <v>8750</v>
      </c>
      <c r="C5822" s="12">
        <v>201</v>
      </c>
      <c r="D5822" s="7" t="s">
        <v>8751</v>
      </c>
      <c r="E5822" s="13" t="s">
        <v>7</v>
      </c>
      <c r="F5822" t="str">
        <f t="shared" si="450"/>
        <v>Lavaca</v>
      </c>
      <c r="G5822" t="str">
        <f t="shared" si="451"/>
        <v>Lavaca201Austin</v>
      </c>
      <c r="H5822" t="s">
        <v>36678</v>
      </c>
      <c r="I5822" t="s">
        <v>28098</v>
      </c>
      <c r="J5822" t="str">
        <f t="shared" si="452"/>
        <v>E:\PropInv\MF</v>
      </c>
      <c r="K5822" s="103" t="str">
        <f>HYPERLINK("E:\PropInv\MF\Austin\Lavaca St_201_AMLI Downtown_Austin_16233","Lavaca St_201_AMLI Downtown_Austin_16233" )</f>
        <v>Lavaca St_201_AMLI Downtown_Austin_16233</v>
      </c>
      <c r="L5822" s="104" t="s">
        <v>22253</v>
      </c>
      <c r="M5822" s="103" t="str">
        <f t="shared" si="453"/>
        <v>http://oconnordata.com/mlink/modules/profile/index.cfm?action=profile&amp;prop_id=16233</v>
      </c>
      <c r="N5822" s="1">
        <f t="shared" si="454"/>
        <v>16233</v>
      </c>
    </row>
    <row r="5823" spans="1:14" x14ac:dyDescent="0.3">
      <c r="A5823" s="1">
        <v>16234</v>
      </c>
      <c r="B5823" s="7" t="s">
        <v>1185</v>
      </c>
      <c r="C5823" s="12">
        <v>1980</v>
      </c>
      <c r="D5823" s="7" t="s">
        <v>8752</v>
      </c>
      <c r="E5823" s="13" t="s">
        <v>842</v>
      </c>
      <c r="F5823" t="str">
        <f t="shared" si="450"/>
        <v>Horal</v>
      </c>
      <c r="G5823" t="str">
        <f t="shared" si="451"/>
        <v>Horal1980San Antonio</v>
      </c>
      <c r="H5823" t="s">
        <v>36679</v>
      </c>
      <c r="I5823" t="s">
        <v>28099</v>
      </c>
      <c r="J5823" t="str">
        <f t="shared" si="452"/>
        <v>E:\PropInv\MF</v>
      </c>
      <c r="K5823" s="103" t="str">
        <f>HYPERLINK("E:\PropInv\MF\San Antonio\Horal Dr_1980_Westpond_San Antonio_16234","Horal Dr_1980_Westpond_San Antonio_16234" )</f>
        <v>Horal Dr_1980_Westpond_San Antonio_16234</v>
      </c>
      <c r="L5823" s="104" t="s">
        <v>22253</v>
      </c>
      <c r="M5823" s="103" t="str">
        <f t="shared" si="453"/>
        <v>http://oconnordata.com/mlink/modules/profile/index.cfm?action=profile&amp;prop_id=16234</v>
      </c>
      <c r="N5823" s="1">
        <f t="shared" si="454"/>
        <v>16234</v>
      </c>
    </row>
    <row r="5824" spans="1:14" x14ac:dyDescent="0.3">
      <c r="A5824" s="1">
        <v>16235</v>
      </c>
      <c r="B5824" s="7" t="s">
        <v>8753</v>
      </c>
      <c r="C5824" s="12">
        <v>311</v>
      </c>
      <c r="D5824" s="7" t="s">
        <v>8754</v>
      </c>
      <c r="E5824" s="13" t="s">
        <v>7</v>
      </c>
      <c r="F5824" t="str">
        <f t="shared" si="450"/>
        <v>31st</v>
      </c>
      <c r="G5824" t="str">
        <f t="shared" si="451"/>
        <v>31st311Austin</v>
      </c>
      <c r="H5824" t="s">
        <v>36680</v>
      </c>
      <c r="I5824" t="s">
        <v>28100</v>
      </c>
      <c r="J5824" t="str">
        <f t="shared" si="452"/>
        <v>E:\PropInv\MF</v>
      </c>
      <c r="K5824" s="103" t="str">
        <f>HYPERLINK("E:\PropInv\MF\Austin\31st E_311_Voyageurs_Austin_16235","31st E_311_Voyageurs_Austin_16235" )</f>
        <v>31st E_311_Voyageurs_Austin_16235</v>
      </c>
      <c r="L5824" s="104" t="s">
        <v>22253</v>
      </c>
      <c r="M5824" s="103" t="str">
        <f t="shared" si="453"/>
        <v>http://oconnordata.com/mlink/modules/profile/index.cfm?action=profile&amp;prop_id=16235</v>
      </c>
      <c r="N5824" s="1">
        <f t="shared" si="454"/>
        <v>16235</v>
      </c>
    </row>
    <row r="5825" spans="1:14" x14ac:dyDescent="0.3">
      <c r="A5825" s="1">
        <v>16236</v>
      </c>
      <c r="B5825" s="7" t="s">
        <v>8755</v>
      </c>
      <c r="C5825" s="12">
        <v>1000</v>
      </c>
      <c r="D5825" s="7" t="s">
        <v>8756</v>
      </c>
      <c r="E5825" s="13" t="s">
        <v>3428</v>
      </c>
      <c r="F5825" t="str">
        <f t="shared" si="450"/>
        <v>Farrah</v>
      </c>
      <c r="G5825" t="str">
        <f t="shared" si="451"/>
        <v>Farrah1000Stafford</v>
      </c>
      <c r="H5825" t="s">
        <v>36681</v>
      </c>
      <c r="I5825" t="s">
        <v>28101</v>
      </c>
      <c r="J5825" t="str">
        <f t="shared" si="452"/>
        <v>E:\PropInv\MF</v>
      </c>
      <c r="K5825" s="103" t="str">
        <f>HYPERLINK("E:\PropInv\MF\Stafford\Farrah Ln_1000_The Preserve at Colony Lakes_Stafford_16236","Farrah Ln_1000_The Preserve at Colony Lakes_Stafford_16236" )</f>
        <v>Farrah Ln_1000_The Preserve at Colony Lakes_Stafford_16236</v>
      </c>
      <c r="L5825" s="104" t="s">
        <v>22253</v>
      </c>
      <c r="M5825" s="103" t="str">
        <f t="shared" si="453"/>
        <v>http://oconnordata.com/mlink/modules/profile/index.cfm?action=profile&amp;prop_id=16236</v>
      </c>
      <c r="N5825" s="1">
        <f t="shared" si="454"/>
        <v>16236</v>
      </c>
    </row>
    <row r="5826" spans="1:14" x14ac:dyDescent="0.3">
      <c r="A5826" s="1">
        <v>16237</v>
      </c>
      <c r="B5826" s="7" t="s">
        <v>1902</v>
      </c>
      <c r="C5826" s="12">
        <v>10802</v>
      </c>
      <c r="D5826" s="7" t="s">
        <v>8757</v>
      </c>
      <c r="E5826" s="13" t="s">
        <v>1657</v>
      </c>
      <c r="F5826" t="str">
        <f t="shared" ref="F5826:F5889" si="455">IFERROR(LEFT(B5826,FIND(" ",B5826)-1),B5826)</f>
        <v>Legacy</v>
      </c>
      <c r="G5826" t="str">
        <f t="shared" ref="G5826:G5889" si="456">F5826&amp;C5826&amp;E5826</f>
        <v>Legacy10802Houston</v>
      </c>
      <c r="H5826" t="s">
        <v>36682</v>
      </c>
      <c r="I5826" t="s">
        <v>28102</v>
      </c>
      <c r="J5826" t="str">
        <f t="shared" ref="J5826:J5889" si="457">IF(L5826="TX",Folder_Path,Folder_Path&amp;"\State_"&amp;L5826)</f>
        <v>E:\PropInv\MF</v>
      </c>
      <c r="K5826" s="103" t="str">
        <f>HYPERLINK("E:\PropInv\MF\Houston\Legacy Park Dr_10802_The Bellmeade_Houston_16237","Legacy Park Dr_10802_The Bellmeade_Houston_16237" )</f>
        <v>Legacy Park Dr_10802_The Bellmeade_Houston_16237</v>
      </c>
      <c r="L5826" s="104" t="s">
        <v>22253</v>
      </c>
      <c r="M5826" s="103" t="str">
        <f t="shared" ref="M5826:M5889" si="458">HYPERLINK("http://oconnordata.com/mlink/modules/profile/index.cfm?action=profile&amp;prop_id="&amp;A5826)</f>
        <v>http://oconnordata.com/mlink/modules/profile/index.cfm?action=profile&amp;prop_id=16237</v>
      </c>
      <c r="N5826" s="1">
        <f t="shared" ref="N5826:N5889" si="459">IF(LEN(A5826)=1,"0000"&amp;A5826,IF(LEN(A5826)=2,"000"&amp;A5826,IF(LEN(A5826)=3,"00"&amp;A5826,IF(LEN(A5826)=4,"0"&amp;A5826,IF(LEN(A5826)=5,IF(LEFT(A5826,1)="3",A5826+30000,A5826))))))</f>
        <v>16237</v>
      </c>
    </row>
    <row r="5827" spans="1:14" x14ac:dyDescent="0.3">
      <c r="A5827" s="1">
        <v>16238</v>
      </c>
      <c r="B5827" s="7" t="s">
        <v>8758</v>
      </c>
      <c r="C5827" s="12">
        <v>11881</v>
      </c>
      <c r="D5827" s="7" t="s">
        <v>8759</v>
      </c>
      <c r="E5827" s="13" t="s">
        <v>1657</v>
      </c>
      <c r="F5827" t="str">
        <f t="shared" si="455"/>
        <v>Gulf</v>
      </c>
      <c r="G5827" t="str">
        <f t="shared" si="456"/>
        <v>Gulf11881Houston</v>
      </c>
      <c r="H5827" t="s">
        <v>36683</v>
      </c>
      <c r="I5827" t="s">
        <v>28103</v>
      </c>
      <c r="J5827" t="str">
        <f t="shared" si="457"/>
        <v>E:\PropInv\MF</v>
      </c>
      <c r="K5827" s="103" t="str">
        <f>HYPERLINK("E:\PropInv\MF\Houston\Gulf Pointe Dr_11881_Montelago_Houston_16238","Gulf Pointe Dr_11881_Montelago_Houston_16238" )</f>
        <v>Gulf Pointe Dr_11881_Montelago_Houston_16238</v>
      </c>
      <c r="L5827" s="104" t="s">
        <v>22253</v>
      </c>
      <c r="M5827" s="103" t="str">
        <f t="shared" si="458"/>
        <v>http://oconnordata.com/mlink/modules/profile/index.cfm?action=profile&amp;prop_id=16238</v>
      </c>
      <c r="N5827" s="1">
        <f t="shared" si="459"/>
        <v>16238</v>
      </c>
    </row>
    <row r="5828" spans="1:14" x14ac:dyDescent="0.3">
      <c r="A5828" s="1">
        <v>16239</v>
      </c>
      <c r="B5828" s="7" t="s">
        <v>8760</v>
      </c>
      <c r="C5828" s="12">
        <v>150</v>
      </c>
      <c r="D5828" s="7" t="s">
        <v>8761</v>
      </c>
      <c r="E5828" s="13" t="s">
        <v>5043</v>
      </c>
      <c r="F5828" t="str">
        <f t="shared" si="455"/>
        <v>Enterprise</v>
      </c>
      <c r="G5828" t="str">
        <f t="shared" si="456"/>
        <v>Enterprise150McKinney</v>
      </c>
      <c r="H5828" t="s">
        <v>36684</v>
      </c>
      <c r="I5828" t="s">
        <v>28104</v>
      </c>
      <c r="J5828" t="str">
        <f t="shared" si="457"/>
        <v>E:\PropInv\MF</v>
      </c>
      <c r="K5828" s="103" t="str">
        <f>HYPERLINK("E:\PropInv\MF\McKinney\Enterprise Dr_150_The Grand Reserve_McKinney_16239","Enterprise Dr_150_The Grand Reserve_McKinney_16239" )</f>
        <v>Enterprise Dr_150_The Grand Reserve_McKinney_16239</v>
      </c>
      <c r="L5828" s="104" t="s">
        <v>22253</v>
      </c>
      <c r="M5828" s="103" t="str">
        <f t="shared" si="458"/>
        <v>http://oconnordata.com/mlink/modules/profile/index.cfm?action=profile&amp;prop_id=16239</v>
      </c>
      <c r="N5828" s="1">
        <f t="shared" si="459"/>
        <v>16239</v>
      </c>
    </row>
    <row r="5829" spans="1:14" x14ac:dyDescent="0.3">
      <c r="A5829" s="1">
        <v>16240</v>
      </c>
      <c r="B5829" s="7" t="s">
        <v>8762</v>
      </c>
      <c r="C5829" s="12">
        <v>6504</v>
      </c>
      <c r="D5829" s="7" t="s">
        <v>8763</v>
      </c>
      <c r="E5829" s="13" t="s">
        <v>6555</v>
      </c>
      <c r="F5829" t="str">
        <f t="shared" si="455"/>
        <v>Falcon</v>
      </c>
      <c r="G5829" t="str">
        <f t="shared" si="456"/>
        <v>Falcon6504Arlington</v>
      </c>
      <c r="H5829" t="s">
        <v>36685</v>
      </c>
      <c r="I5829" t="s">
        <v>13240</v>
      </c>
      <c r="J5829" t="str">
        <f t="shared" si="457"/>
        <v>E:\PropInv\MF</v>
      </c>
      <c r="K5829" s="103" t="str">
        <f>HYPERLINK("E:\PropInv\MF\Arlington\Falcon River Way_6504_Falcon Lakes_Arlington_16240","Falcon River Way_6504_Falcon Lakes_Arlington_16240" )</f>
        <v>Falcon River Way_6504_Falcon Lakes_Arlington_16240</v>
      </c>
      <c r="L5829" s="104" t="s">
        <v>22253</v>
      </c>
      <c r="M5829" s="103" t="str">
        <f t="shared" si="458"/>
        <v>http://oconnordata.com/mlink/modules/profile/index.cfm?action=profile&amp;prop_id=16240</v>
      </c>
      <c r="N5829" s="1">
        <f t="shared" si="459"/>
        <v>16240</v>
      </c>
    </row>
    <row r="5830" spans="1:14" x14ac:dyDescent="0.3">
      <c r="A5830" s="1">
        <v>16241</v>
      </c>
      <c r="B5830" s="7" t="s">
        <v>6763</v>
      </c>
      <c r="C5830" s="12">
        <v>3251</v>
      </c>
      <c r="D5830" s="7" t="s">
        <v>8764</v>
      </c>
      <c r="E5830" s="13" t="s">
        <v>8765</v>
      </c>
      <c r="F5830" t="str">
        <f t="shared" si="455"/>
        <v>Matlock</v>
      </c>
      <c r="G5830" t="str">
        <f t="shared" si="456"/>
        <v>Matlock3251Mansfield</v>
      </c>
      <c r="H5830" t="s">
        <v>36686</v>
      </c>
      <c r="I5830" t="s">
        <v>28105</v>
      </c>
      <c r="J5830" t="str">
        <f t="shared" si="457"/>
        <v>E:\PropInv\MF</v>
      </c>
      <c r="K5830" s="103" t="str">
        <f>HYPERLINK("E:\PropInv\MF\Mansfield\Matlock Rd_3251_Spyglass_Mansfield_16241","Matlock Rd_3251_Spyglass_Mansfield_16241" )</f>
        <v>Matlock Rd_3251_Spyglass_Mansfield_16241</v>
      </c>
      <c r="L5830" s="104" t="s">
        <v>22253</v>
      </c>
      <c r="M5830" s="103" t="str">
        <f t="shared" si="458"/>
        <v>http://oconnordata.com/mlink/modules/profile/index.cfm?action=profile&amp;prop_id=16241</v>
      </c>
      <c r="N5830" s="1">
        <f t="shared" si="459"/>
        <v>16241</v>
      </c>
    </row>
    <row r="5831" spans="1:14" x14ac:dyDescent="0.3">
      <c r="A5831" s="1">
        <v>16243</v>
      </c>
      <c r="B5831" s="7" t="s">
        <v>8766</v>
      </c>
      <c r="C5831" s="12">
        <v>1121</v>
      </c>
      <c r="D5831" s="7" t="s">
        <v>8767</v>
      </c>
      <c r="E5831" s="13" t="s">
        <v>4996</v>
      </c>
      <c r="F5831" t="str">
        <f t="shared" si="455"/>
        <v>Beachview</v>
      </c>
      <c r="G5831" t="str">
        <f t="shared" si="456"/>
        <v>Beachview1121Dallas</v>
      </c>
      <c r="H5831" t="s">
        <v>36687</v>
      </c>
      <c r="I5831" t="s">
        <v>28106</v>
      </c>
      <c r="J5831" t="str">
        <f t="shared" si="457"/>
        <v>E:\PropInv\MF</v>
      </c>
      <c r="K5831" s="103" t="str">
        <f>HYPERLINK("E:\PropInv\MF\Dallas\Beachview_1121_The Trails at White Rock_Dallas_16243","Beachview_1121_The Trails at White Rock_Dallas_16243" )</f>
        <v>Beachview_1121_The Trails at White Rock_Dallas_16243</v>
      </c>
      <c r="L5831" s="104" t="s">
        <v>22253</v>
      </c>
      <c r="M5831" s="103" t="str">
        <f t="shared" si="458"/>
        <v>http://oconnordata.com/mlink/modules/profile/index.cfm?action=profile&amp;prop_id=16243</v>
      </c>
      <c r="N5831" s="1">
        <f t="shared" si="459"/>
        <v>16243</v>
      </c>
    </row>
    <row r="5832" spans="1:14" x14ac:dyDescent="0.3">
      <c r="A5832" s="1">
        <v>16244</v>
      </c>
      <c r="B5832" s="7" t="s">
        <v>4510</v>
      </c>
      <c r="C5832" s="12">
        <v>5525</v>
      </c>
      <c r="D5832" s="7" t="s">
        <v>8768</v>
      </c>
      <c r="E5832" s="13" t="s">
        <v>4428</v>
      </c>
      <c r="F5832" t="str">
        <f t="shared" si="455"/>
        <v>Reading</v>
      </c>
      <c r="G5832" t="str">
        <f t="shared" si="456"/>
        <v>Reading5525Rosenberg</v>
      </c>
      <c r="H5832" t="s">
        <v>36688</v>
      </c>
      <c r="I5832" t="s">
        <v>28107</v>
      </c>
      <c r="J5832" t="str">
        <f t="shared" si="457"/>
        <v>E:\PropInv\MF</v>
      </c>
      <c r="K5832" s="103" t="str">
        <f>HYPERLINK("E:\PropInv\MF\Rosenberg\Reading Rd_5525_Reading Park Apts_Rosenberg_16244","Reading Rd_5525_Reading Park Apts_Rosenberg_16244" )</f>
        <v>Reading Rd_5525_Reading Park Apts_Rosenberg_16244</v>
      </c>
      <c r="L5832" s="104" t="s">
        <v>22253</v>
      </c>
      <c r="M5832" s="103" t="str">
        <f t="shared" si="458"/>
        <v>http://oconnordata.com/mlink/modules/profile/index.cfm?action=profile&amp;prop_id=16244</v>
      </c>
      <c r="N5832" s="1">
        <f t="shared" si="459"/>
        <v>16244</v>
      </c>
    </row>
    <row r="5833" spans="1:14" x14ac:dyDescent="0.3">
      <c r="A5833" s="1">
        <v>16245</v>
      </c>
      <c r="B5833" s="7" t="s">
        <v>8769</v>
      </c>
      <c r="C5833" s="12">
        <v>15335</v>
      </c>
      <c r="D5833" s="7" t="s">
        <v>5246</v>
      </c>
      <c r="E5833" s="13" t="s">
        <v>1657</v>
      </c>
      <c r="F5833" t="str">
        <f t="shared" si="455"/>
        <v>Park</v>
      </c>
      <c r="G5833" t="str">
        <f t="shared" si="456"/>
        <v>Park15335Houston</v>
      </c>
      <c r="H5833" t="s">
        <v>36689</v>
      </c>
      <c r="I5833" t="s">
        <v>28108</v>
      </c>
      <c r="J5833" t="str">
        <f t="shared" si="457"/>
        <v>E:\PropInv\MF</v>
      </c>
      <c r="K5833" s="103" t="str">
        <f>HYPERLINK("E:\PropInv\MF\Houston\Park Row Dr_15335_Carrington Park_Houston_16245","Park Row Dr_15335_Carrington Park_Houston_16245" )</f>
        <v>Park Row Dr_15335_Carrington Park_Houston_16245</v>
      </c>
      <c r="L5833" s="104" t="s">
        <v>22253</v>
      </c>
      <c r="M5833" s="103" t="str">
        <f t="shared" si="458"/>
        <v>http://oconnordata.com/mlink/modules/profile/index.cfm?action=profile&amp;prop_id=16245</v>
      </c>
      <c r="N5833" s="1">
        <f t="shared" si="459"/>
        <v>16245</v>
      </c>
    </row>
    <row r="5834" spans="1:14" x14ac:dyDescent="0.3">
      <c r="A5834" s="1">
        <v>16246</v>
      </c>
      <c r="B5834" s="7" t="s">
        <v>8770</v>
      </c>
      <c r="C5834" s="12">
        <v>12203</v>
      </c>
      <c r="D5834" s="7" t="s">
        <v>3452</v>
      </c>
      <c r="E5834" s="13" t="s">
        <v>1657</v>
      </c>
      <c r="F5834" t="str">
        <f t="shared" si="455"/>
        <v>Old</v>
      </c>
      <c r="G5834" t="str">
        <f t="shared" si="456"/>
        <v>Old12203Houston</v>
      </c>
      <c r="H5834" t="s">
        <v>36690</v>
      </c>
      <c r="I5834" t="s">
        <v>28109</v>
      </c>
      <c r="J5834" t="str">
        <f t="shared" si="457"/>
        <v>E:\PropInv\MF</v>
      </c>
      <c r="K5834" s="103" t="str">
        <f>HYPERLINK("E:\PropInv\MF\Houston\Old Walters Rd_12203_Shadow Ridge_Houston_16246","Old Walters Rd_12203_Shadow Ridge_Houston_16246" )</f>
        <v>Old Walters Rd_12203_Shadow Ridge_Houston_16246</v>
      </c>
      <c r="L5834" s="104" t="s">
        <v>22253</v>
      </c>
      <c r="M5834" s="103" t="str">
        <f t="shared" si="458"/>
        <v>http://oconnordata.com/mlink/modules/profile/index.cfm?action=profile&amp;prop_id=16246</v>
      </c>
      <c r="N5834" s="1">
        <f t="shared" si="459"/>
        <v>16246</v>
      </c>
    </row>
    <row r="5835" spans="1:14" x14ac:dyDescent="0.3">
      <c r="A5835" s="1">
        <v>16247</v>
      </c>
      <c r="B5835" s="7" t="s">
        <v>8771</v>
      </c>
      <c r="C5835" s="12">
        <v>313</v>
      </c>
      <c r="D5835" s="7" t="s">
        <v>8772</v>
      </c>
      <c r="E5835" s="13" t="s">
        <v>8612</v>
      </c>
      <c r="F5835" t="str">
        <f t="shared" si="455"/>
        <v>Lincoln</v>
      </c>
      <c r="G5835" t="str">
        <f t="shared" si="456"/>
        <v>Lincoln313College Station</v>
      </c>
      <c r="H5835" t="s">
        <v>36691</v>
      </c>
      <c r="I5835" t="s">
        <v>28110</v>
      </c>
      <c r="J5835" t="str">
        <f t="shared" si="457"/>
        <v>E:\PropInv\MF</v>
      </c>
      <c r="K5835" s="103" t="str">
        <f>HYPERLINK("E:\PropInv\MF\College Station\Lincoln St_313_University Square_College Station_16247","Lincoln St_313_University Square_College Station_16247" )</f>
        <v>Lincoln St_313_University Square_College Station_16247</v>
      </c>
      <c r="L5835" s="104" t="s">
        <v>22253</v>
      </c>
      <c r="M5835" s="103" t="str">
        <f t="shared" si="458"/>
        <v>http://oconnordata.com/mlink/modules/profile/index.cfm?action=profile&amp;prop_id=16247</v>
      </c>
      <c r="N5835" s="1">
        <f t="shared" si="459"/>
        <v>16247</v>
      </c>
    </row>
    <row r="5836" spans="1:14" x14ac:dyDescent="0.3">
      <c r="A5836" s="1">
        <v>16250</v>
      </c>
      <c r="B5836" s="7" t="s">
        <v>8773</v>
      </c>
      <c r="C5836" s="12">
        <v>3535</v>
      </c>
      <c r="D5836" s="7" t="s">
        <v>6125</v>
      </c>
      <c r="E5836" s="13" t="s">
        <v>8774</v>
      </c>
      <c r="F5836" t="str">
        <f t="shared" si="455"/>
        <v>Plainsman</v>
      </c>
      <c r="G5836" t="str">
        <f t="shared" si="456"/>
        <v>Plainsman3535Bryan</v>
      </c>
      <c r="H5836" t="s">
        <v>36692</v>
      </c>
      <c r="I5836" t="s">
        <v>28111</v>
      </c>
      <c r="J5836" t="str">
        <f t="shared" si="457"/>
        <v>E:\PropInv\MF</v>
      </c>
      <c r="K5836" s="103" t="str">
        <f>HYPERLINK("E:\PropInv\MF\Bryan\Plainsman Ln_3535_Quail Hollow_Bryan_16250","Plainsman Ln_3535_Quail Hollow_Bryan_16250" )</f>
        <v>Plainsman Ln_3535_Quail Hollow_Bryan_16250</v>
      </c>
      <c r="L5836" s="104" t="s">
        <v>22253</v>
      </c>
      <c r="M5836" s="103" t="str">
        <f t="shared" si="458"/>
        <v>http://oconnordata.com/mlink/modules/profile/index.cfm?action=profile&amp;prop_id=16250</v>
      </c>
      <c r="N5836" s="1">
        <f t="shared" si="459"/>
        <v>16250</v>
      </c>
    </row>
    <row r="5837" spans="1:14" x14ac:dyDescent="0.3">
      <c r="A5837" s="1">
        <v>16251</v>
      </c>
      <c r="B5837" s="7" t="s">
        <v>8569</v>
      </c>
      <c r="C5837" s="12">
        <v>3000</v>
      </c>
      <c r="D5837" s="7" t="s">
        <v>8775</v>
      </c>
      <c r="E5837" s="13" t="s">
        <v>1657</v>
      </c>
      <c r="F5837" t="str">
        <f t="shared" si="455"/>
        <v>Sage</v>
      </c>
      <c r="G5837" t="str">
        <f t="shared" si="456"/>
        <v>Sage3000Houston</v>
      </c>
      <c r="H5837" t="s">
        <v>36693</v>
      </c>
      <c r="I5837" t="s">
        <v>28112</v>
      </c>
      <c r="J5837" t="str">
        <f t="shared" si="457"/>
        <v>E:\PropInv\MF</v>
      </c>
      <c r="K5837" s="103" t="str">
        <f>HYPERLINK("E:\PropInv\MF\Houston\Sage Rd_3000_3000 Sage_Houston_16251","Sage Rd_3000_3000 Sage_Houston_16251" )</f>
        <v>Sage Rd_3000_3000 Sage_Houston_16251</v>
      </c>
      <c r="L5837" s="104" t="s">
        <v>22253</v>
      </c>
      <c r="M5837" s="103" t="str">
        <f t="shared" si="458"/>
        <v>http://oconnordata.com/mlink/modules/profile/index.cfm?action=profile&amp;prop_id=16251</v>
      </c>
      <c r="N5837" s="1">
        <f t="shared" si="459"/>
        <v>16251</v>
      </c>
    </row>
    <row r="5838" spans="1:14" x14ac:dyDescent="0.3">
      <c r="A5838" s="1">
        <v>16252</v>
      </c>
      <c r="B5838" s="7" t="s">
        <v>6118</v>
      </c>
      <c r="C5838" s="12">
        <v>3301</v>
      </c>
      <c r="D5838" s="7" t="s">
        <v>541</v>
      </c>
      <c r="E5838" s="13" t="s">
        <v>8774</v>
      </c>
      <c r="F5838" t="str">
        <f t="shared" si="455"/>
        <v>Providence</v>
      </c>
      <c r="G5838" t="str">
        <f t="shared" si="456"/>
        <v>Providence3301Bryan</v>
      </c>
      <c r="H5838" t="s">
        <v>36694</v>
      </c>
      <c r="I5838" t="s">
        <v>28113</v>
      </c>
      <c r="J5838" t="str">
        <f t="shared" si="457"/>
        <v>E:\PropInv\MF</v>
      </c>
      <c r="K5838" s="103" t="str">
        <f>HYPERLINK("E:\PropInv\MF\Bryan\Providence_3301_The Oaks_Bryan_16252","Providence_3301_The Oaks_Bryan_16252" )</f>
        <v>Providence_3301_The Oaks_Bryan_16252</v>
      </c>
      <c r="L5838" s="104" t="s">
        <v>22253</v>
      </c>
      <c r="M5838" s="103" t="str">
        <f t="shared" si="458"/>
        <v>http://oconnordata.com/mlink/modules/profile/index.cfm?action=profile&amp;prop_id=16252</v>
      </c>
      <c r="N5838" s="1">
        <f t="shared" si="459"/>
        <v>16252</v>
      </c>
    </row>
    <row r="5839" spans="1:14" x14ac:dyDescent="0.3">
      <c r="A5839" s="1">
        <v>16253</v>
      </c>
      <c r="B5839" s="7" t="s">
        <v>8776</v>
      </c>
      <c r="C5839" s="12">
        <v>2701</v>
      </c>
      <c r="D5839" s="7" t="s">
        <v>8777</v>
      </c>
      <c r="E5839" s="13" t="s">
        <v>8612</v>
      </c>
      <c r="F5839" t="str">
        <f t="shared" si="455"/>
        <v>Longmire</v>
      </c>
      <c r="G5839" t="str">
        <f t="shared" si="456"/>
        <v>Longmire2701College Station</v>
      </c>
      <c r="H5839" t="s">
        <v>36695</v>
      </c>
      <c r="I5839" t="s">
        <v>28114</v>
      </c>
      <c r="J5839" t="str">
        <f t="shared" si="457"/>
        <v>E:\PropInv\MF</v>
      </c>
      <c r="K5839" s="103" t="str">
        <f>HYPERLINK("E:\PropInv\MF\College Station\Longmire Dr_2701_Pepper Tree_College Station_16253","Longmire Dr_2701_Pepper Tree_College Station_16253" )</f>
        <v>Longmire Dr_2701_Pepper Tree_College Station_16253</v>
      </c>
      <c r="L5839" s="104" t="s">
        <v>22253</v>
      </c>
      <c r="M5839" s="103" t="str">
        <f t="shared" si="458"/>
        <v>http://oconnordata.com/mlink/modules/profile/index.cfm?action=profile&amp;prop_id=16253</v>
      </c>
      <c r="N5839" s="1">
        <f t="shared" si="459"/>
        <v>16253</v>
      </c>
    </row>
    <row r="5840" spans="1:14" x14ac:dyDescent="0.3">
      <c r="A5840" s="1">
        <v>16254</v>
      </c>
      <c r="B5840" s="10" t="s">
        <v>8778</v>
      </c>
      <c r="C5840" s="9">
        <v>2101</v>
      </c>
      <c r="D5840" s="10" t="s">
        <v>8779</v>
      </c>
      <c r="E5840" s="11" t="s">
        <v>8612</v>
      </c>
      <c r="F5840" t="str">
        <f t="shared" si="455"/>
        <v>Harvey</v>
      </c>
      <c r="G5840" t="str">
        <f t="shared" si="456"/>
        <v>Harvey2101College Station</v>
      </c>
      <c r="H5840" t="s">
        <v>36696</v>
      </c>
      <c r="I5840" t="s">
        <v>28115</v>
      </c>
      <c r="J5840" t="str">
        <f t="shared" si="457"/>
        <v>E:\PropInv\MF</v>
      </c>
      <c r="K5840" s="103" t="str">
        <f>HYPERLINK("E:\PropInv\MF\College Station\Harvey Mitchell Pkwy S_2101_Doux Chene_College Station_16254","Harvey Mitchell Pkwy S_2101_Doux Chene_College Station_16254" )</f>
        <v>Harvey Mitchell Pkwy S_2101_Doux Chene_College Station_16254</v>
      </c>
      <c r="L5840" s="104" t="s">
        <v>22253</v>
      </c>
      <c r="M5840" s="103" t="str">
        <f t="shared" si="458"/>
        <v>http://oconnordata.com/mlink/modules/profile/index.cfm?action=profile&amp;prop_id=16254</v>
      </c>
      <c r="N5840" s="1">
        <f t="shared" si="459"/>
        <v>16254</v>
      </c>
    </row>
    <row r="5841" spans="1:14" x14ac:dyDescent="0.3">
      <c r="A5841" s="1">
        <v>16255</v>
      </c>
      <c r="B5841" s="7" t="s">
        <v>8780</v>
      </c>
      <c r="C5841" s="12">
        <v>301</v>
      </c>
      <c r="D5841" s="7" t="s">
        <v>8781</v>
      </c>
      <c r="E5841" s="13" t="s">
        <v>8612</v>
      </c>
      <c r="F5841" t="str">
        <f t="shared" si="455"/>
        <v>Holleman</v>
      </c>
      <c r="G5841" t="str">
        <f t="shared" si="456"/>
        <v>Holleman301College Station</v>
      </c>
      <c r="H5841" t="s">
        <v>36697</v>
      </c>
      <c r="I5841" t="s">
        <v>28116</v>
      </c>
      <c r="J5841" t="str">
        <f t="shared" si="457"/>
        <v>E:\PropInv\MF</v>
      </c>
      <c r="K5841" s="103" t="str">
        <f>HYPERLINK("E:\PropInv\MF\College Station\Holleman Dr E_301_Arbors at Wolf Pen Creek_College Station_16255","Holleman Dr E_301_Arbors at Wolf Pen Creek_College Station_16255" )</f>
        <v>Holleman Dr E_301_Arbors at Wolf Pen Creek_College Station_16255</v>
      </c>
      <c r="L5841" s="104" t="s">
        <v>22253</v>
      </c>
      <c r="M5841" s="103" t="str">
        <f t="shared" si="458"/>
        <v>http://oconnordata.com/mlink/modules/profile/index.cfm?action=profile&amp;prop_id=16255</v>
      </c>
      <c r="N5841" s="1">
        <f t="shared" si="459"/>
        <v>16255</v>
      </c>
    </row>
    <row r="5842" spans="1:14" x14ac:dyDescent="0.3">
      <c r="A5842" s="1">
        <v>16259</v>
      </c>
      <c r="B5842" s="10" t="s">
        <v>8782</v>
      </c>
      <c r="C5842" s="9">
        <v>1333</v>
      </c>
      <c r="D5842" s="10" t="s">
        <v>8783</v>
      </c>
      <c r="E5842" s="11" t="s">
        <v>4996</v>
      </c>
      <c r="F5842" t="str">
        <f t="shared" si="455"/>
        <v>Peak</v>
      </c>
      <c r="G5842" t="str">
        <f t="shared" si="456"/>
        <v>Peak1333Dallas</v>
      </c>
      <c r="H5842" t="s">
        <v>36698</v>
      </c>
      <c r="I5842" t="s">
        <v>28117</v>
      </c>
      <c r="J5842" t="str">
        <f t="shared" si="457"/>
        <v>E:\PropInv\MF</v>
      </c>
      <c r="K5842" s="103" t="str">
        <f>HYPERLINK("E:\PropInv\MF\Dallas\Peak St N_1333_Vue Live Oak_Dallas_16259","Peak St N_1333_Vue Live Oak_Dallas_16259" )</f>
        <v>Peak St N_1333_Vue Live Oak_Dallas_16259</v>
      </c>
      <c r="L5842" s="104" t="s">
        <v>22253</v>
      </c>
      <c r="M5842" s="103" t="str">
        <f t="shared" si="458"/>
        <v>http://oconnordata.com/mlink/modules/profile/index.cfm?action=profile&amp;prop_id=16259</v>
      </c>
      <c r="N5842" s="1">
        <f t="shared" si="459"/>
        <v>16259</v>
      </c>
    </row>
    <row r="5843" spans="1:14" x14ac:dyDescent="0.3">
      <c r="A5843" s="1">
        <v>16260</v>
      </c>
      <c r="B5843" s="21" t="s">
        <v>686</v>
      </c>
      <c r="C5843" s="12">
        <v>1700</v>
      </c>
      <c r="D5843" s="7" t="s">
        <v>3578</v>
      </c>
      <c r="E5843" s="13" t="s">
        <v>8612</v>
      </c>
      <c r="F5843" t="str">
        <f t="shared" si="455"/>
        <v>SW</v>
      </c>
      <c r="G5843" t="str">
        <f t="shared" si="456"/>
        <v>SW1700College Station</v>
      </c>
      <c r="H5843" t="s">
        <v>36699</v>
      </c>
      <c r="I5843" t="s">
        <v>28118</v>
      </c>
      <c r="J5843" t="str">
        <f t="shared" si="457"/>
        <v>E:\PropInv\MF</v>
      </c>
      <c r="K5843" s="103" t="str">
        <f>HYPERLINK("E:\PropInv\MF\College Station\SW Pkwy_1700_Arbor Square_College Station_16260","SW Pkwy_1700_Arbor Square_College Station_16260" )</f>
        <v>SW Pkwy_1700_Arbor Square_College Station_16260</v>
      </c>
      <c r="L5843" s="104" t="s">
        <v>22253</v>
      </c>
      <c r="M5843" s="103" t="str">
        <f t="shared" si="458"/>
        <v>http://oconnordata.com/mlink/modules/profile/index.cfm?action=profile&amp;prop_id=16260</v>
      </c>
      <c r="N5843" s="1">
        <f t="shared" si="459"/>
        <v>16260</v>
      </c>
    </row>
    <row r="5844" spans="1:14" x14ac:dyDescent="0.3">
      <c r="A5844" s="1">
        <v>16262</v>
      </c>
      <c r="B5844" s="21" t="s">
        <v>686</v>
      </c>
      <c r="C5844" s="12">
        <v>401</v>
      </c>
      <c r="D5844" s="7" t="s">
        <v>8784</v>
      </c>
      <c r="E5844" s="13" t="s">
        <v>8612</v>
      </c>
      <c r="F5844" t="str">
        <f t="shared" si="455"/>
        <v>SW</v>
      </c>
      <c r="G5844" t="str">
        <f t="shared" si="456"/>
        <v>SW401College Station</v>
      </c>
      <c r="H5844" t="s">
        <v>36700</v>
      </c>
      <c r="I5844" t="s">
        <v>28119</v>
      </c>
      <c r="J5844" t="str">
        <f t="shared" si="457"/>
        <v>E:\PropInv\MF</v>
      </c>
      <c r="K5844" s="103" t="str">
        <f>HYPERLINK("E:\PropInv\MF\College Station\SW Pkwy_401_Parkway Circle_College Station_16262","SW Pkwy_401_Parkway Circle_College Station_16262" )</f>
        <v>SW Pkwy_401_Parkway Circle_College Station_16262</v>
      </c>
      <c r="L5844" s="104" t="s">
        <v>22253</v>
      </c>
      <c r="M5844" s="103" t="str">
        <f t="shared" si="458"/>
        <v>http://oconnordata.com/mlink/modules/profile/index.cfm?action=profile&amp;prop_id=16262</v>
      </c>
      <c r="N5844" s="1">
        <f t="shared" si="459"/>
        <v>16262</v>
      </c>
    </row>
    <row r="5845" spans="1:14" x14ac:dyDescent="0.3">
      <c r="A5845" s="1">
        <v>16263</v>
      </c>
      <c r="B5845" s="7" t="s">
        <v>8785</v>
      </c>
      <c r="C5845" s="12">
        <v>1301</v>
      </c>
      <c r="D5845" s="7" t="s">
        <v>8786</v>
      </c>
      <c r="E5845" s="13" t="s">
        <v>8612</v>
      </c>
      <c r="F5845" t="str">
        <f t="shared" si="455"/>
        <v>Barthelow</v>
      </c>
      <c r="G5845" t="str">
        <f t="shared" si="456"/>
        <v>Barthelow1301College Station</v>
      </c>
      <c r="H5845" t="s">
        <v>36701</v>
      </c>
      <c r="I5845" t="s">
        <v>28120</v>
      </c>
      <c r="J5845" t="str">
        <f t="shared" si="457"/>
        <v>E:\PropInv\MF</v>
      </c>
      <c r="K5845" s="103" t="str">
        <f>HYPERLINK("E:\PropInv\MF\College Station\Barthelow Dr_1301_Redstone_College Station_16263","Barthelow Dr_1301_Redstone_College Station_16263" )</f>
        <v>Barthelow Dr_1301_Redstone_College Station_16263</v>
      </c>
      <c r="L5845" s="104" t="s">
        <v>22253</v>
      </c>
      <c r="M5845" s="103" t="str">
        <f t="shared" si="458"/>
        <v>http://oconnordata.com/mlink/modules/profile/index.cfm?action=profile&amp;prop_id=16263</v>
      </c>
      <c r="N5845" s="1">
        <f t="shared" si="459"/>
        <v>16263</v>
      </c>
    </row>
    <row r="5846" spans="1:14" x14ac:dyDescent="0.3">
      <c r="A5846" s="1">
        <v>16266</v>
      </c>
      <c r="B5846" s="16" t="s">
        <v>8787</v>
      </c>
      <c r="C5846" s="15">
        <v>2401</v>
      </c>
      <c r="D5846" s="16" t="s">
        <v>8788</v>
      </c>
      <c r="E5846" s="17" t="s">
        <v>8612</v>
      </c>
      <c r="F5846" t="str">
        <f t="shared" si="455"/>
        <v>Welsh</v>
      </c>
      <c r="G5846" t="str">
        <f t="shared" si="456"/>
        <v>Welsh2401College Station</v>
      </c>
      <c r="H5846" t="s">
        <v>36702</v>
      </c>
      <c r="I5846" t="s">
        <v>28121</v>
      </c>
      <c r="J5846" t="str">
        <f t="shared" si="457"/>
        <v>E:\PropInv\MF</v>
      </c>
      <c r="K5846" s="103" t="str">
        <f>HYPERLINK("E:\PropInv\MF\College Station\Welsh St_2401_Brazos Point_College Station_16266","Welsh St_2401_Brazos Point_College Station_16266" )</f>
        <v>Welsh St_2401_Brazos Point_College Station_16266</v>
      </c>
      <c r="L5846" s="104" t="s">
        <v>22253</v>
      </c>
      <c r="M5846" s="103" t="str">
        <f t="shared" si="458"/>
        <v>http://oconnordata.com/mlink/modules/profile/index.cfm?action=profile&amp;prop_id=16266</v>
      </c>
      <c r="N5846" s="1">
        <f t="shared" si="459"/>
        <v>16266</v>
      </c>
    </row>
    <row r="5847" spans="1:14" x14ac:dyDescent="0.3">
      <c r="A5847" s="1">
        <v>16267</v>
      </c>
      <c r="B5847" s="7" t="s">
        <v>8789</v>
      </c>
      <c r="C5847" s="12">
        <v>1601</v>
      </c>
      <c r="D5847" s="7" t="s">
        <v>8790</v>
      </c>
      <c r="E5847" s="13" t="s">
        <v>8612</v>
      </c>
      <c r="F5847" t="str">
        <f t="shared" si="455"/>
        <v>Anderson</v>
      </c>
      <c r="G5847" t="str">
        <f t="shared" si="456"/>
        <v>Anderson1601College Station</v>
      </c>
      <c r="H5847" t="s">
        <v>36703</v>
      </c>
      <c r="I5847" t="s">
        <v>28122</v>
      </c>
      <c r="J5847" t="str">
        <f t="shared" si="457"/>
        <v>E:\PropInv\MF</v>
      </c>
      <c r="K5847" s="103" t="str">
        <f>HYPERLINK("E:\PropInv\MF\College Station\Anderson St_1601_Anderson Place_College Station_16267","Anderson St_1601_Anderson Place_College Station_16267" )</f>
        <v>Anderson St_1601_Anderson Place_College Station_16267</v>
      </c>
      <c r="L5847" s="104" t="s">
        <v>22253</v>
      </c>
      <c r="M5847" s="103" t="str">
        <f t="shared" si="458"/>
        <v>http://oconnordata.com/mlink/modules/profile/index.cfm?action=profile&amp;prop_id=16267</v>
      </c>
      <c r="N5847" s="1">
        <f t="shared" si="459"/>
        <v>16267</v>
      </c>
    </row>
    <row r="5848" spans="1:14" x14ac:dyDescent="0.3">
      <c r="A5848" s="1">
        <v>16268</v>
      </c>
      <c r="B5848" s="7" t="s">
        <v>8192</v>
      </c>
      <c r="C5848" s="12">
        <v>401</v>
      </c>
      <c r="D5848" s="7" t="s">
        <v>8791</v>
      </c>
      <c r="E5848" s="13" t="s">
        <v>8612</v>
      </c>
      <c r="F5848" t="str">
        <f t="shared" si="455"/>
        <v>Lincoln</v>
      </c>
      <c r="G5848" t="str">
        <f t="shared" si="456"/>
        <v>Lincoln401College Station</v>
      </c>
      <c r="H5848" t="s">
        <v>36704</v>
      </c>
      <c r="I5848" t="s">
        <v>28123</v>
      </c>
      <c r="J5848" t="str">
        <f t="shared" si="457"/>
        <v>E:\PropInv\MF</v>
      </c>
      <c r="K5848" s="103" t="str">
        <f>HYPERLINK("E:\PropInv\MF\College Station\Lincoln Dr_401_East Gate_College Station_16268","Lincoln Dr_401_East Gate_College Station_16268" )</f>
        <v>Lincoln Dr_401_East Gate_College Station_16268</v>
      </c>
      <c r="L5848" s="104" t="s">
        <v>22253</v>
      </c>
      <c r="M5848" s="103" t="str">
        <f t="shared" si="458"/>
        <v>http://oconnordata.com/mlink/modules/profile/index.cfm?action=profile&amp;prop_id=16268</v>
      </c>
      <c r="N5848" s="1">
        <f t="shared" si="459"/>
        <v>16268</v>
      </c>
    </row>
    <row r="5849" spans="1:14" x14ac:dyDescent="0.3">
      <c r="A5849" s="1">
        <v>16270</v>
      </c>
      <c r="B5849" s="7" t="s">
        <v>8689</v>
      </c>
      <c r="C5849" s="12">
        <v>800</v>
      </c>
      <c r="D5849" s="7" t="s">
        <v>8792</v>
      </c>
      <c r="E5849" s="13" t="s">
        <v>8612</v>
      </c>
      <c r="F5849" t="str">
        <f t="shared" si="455"/>
        <v>Marion</v>
      </c>
      <c r="G5849" t="str">
        <f t="shared" si="456"/>
        <v>Marion800College Station</v>
      </c>
      <c r="H5849" t="s">
        <v>36705</v>
      </c>
      <c r="I5849" t="s">
        <v>28124</v>
      </c>
      <c r="J5849" t="str">
        <f t="shared" si="457"/>
        <v>E:\PropInv\MF</v>
      </c>
      <c r="K5849" s="103" t="str">
        <f>HYPERLINK("E:\PropInv\MF\College Station\Marion Pugh_800_Meadows Point_College Station_16270","Marion Pugh_800_Meadows Point_College Station_16270" )</f>
        <v>Marion Pugh_800_Meadows Point_College Station_16270</v>
      </c>
      <c r="L5849" s="104" t="s">
        <v>22253</v>
      </c>
      <c r="M5849" s="103" t="str">
        <f t="shared" si="458"/>
        <v>http://oconnordata.com/mlink/modules/profile/index.cfm?action=profile&amp;prop_id=16270</v>
      </c>
      <c r="N5849" s="1">
        <f t="shared" si="459"/>
        <v>16270</v>
      </c>
    </row>
    <row r="5850" spans="1:14" x14ac:dyDescent="0.3">
      <c r="A5850" s="1">
        <v>16271</v>
      </c>
      <c r="B5850" s="19" t="s">
        <v>3103</v>
      </c>
      <c r="C5850" s="18">
        <v>3002</v>
      </c>
      <c r="D5850" s="19" t="s">
        <v>8793</v>
      </c>
      <c r="E5850" s="20" t="s">
        <v>8612</v>
      </c>
      <c r="F5850" t="str">
        <f t="shared" si="455"/>
        <v>Texas</v>
      </c>
      <c r="G5850" t="str">
        <f t="shared" si="456"/>
        <v>Texas3002College Station</v>
      </c>
      <c r="H5850" t="s">
        <v>36706</v>
      </c>
      <c r="I5850" t="s">
        <v>28125</v>
      </c>
      <c r="J5850" t="str">
        <f t="shared" si="457"/>
        <v>E:\PropInv\MF</v>
      </c>
      <c r="K5850" s="103" t="str">
        <f>HYPERLINK("E:\PropInv\MF\College Station\Texas Ave_3002_Navarro_College Station_16271","Texas Ave_3002_Navarro_College Station_16271" )</f>
        <v>Texas Ave_3002_Navarro_College Station_16271</v>
      </c>
      <c r="L5850" s="104" t="s">
        <v>22253</v>
      </c>
      <c r="M5850" s="103" t="str">
        <f t="shared" si="458"/>
        <v>http://oconnordata.com/mlink/modules/profile/index.cfm?action=profile&amp;prop_id=16271</v>
      </c>
      <c r="N5850" s="1">
        <f t="shared" si="459"/>
        <v>16271</v>
      </c>
    </row>
    <row r="5851" spans="1:14" x14ac:dyDescent="0.3">
      <c r="A5851" s="1">
        <v>16272</v>
      </c>
      <c r="B5851" s="7" t="s">
        <v>8617</v>
      </c>
      <c r="C5851" s="12">
        <v>1001</v>
      </c>
      <c r="D5851" s="7" t="s">
        <v>2031</v>
      </c>
      <c r="E5851" s="13" t="s">
        <v>8612</v>
      </c>
      <c r="F5851" t="str">
        <f t="shared" si="455"/>
        <v>Harvey</v>
      </c>
      <c r="G5851" t="str">
        <f t="shared" si="456"/>
        <v>Harvey1001College Station</v>
      </c>
      <c r="H5851" t="s">
        <v>36707</v>
      </c>
      <c r="I5851" t="s">
        <v>28126</v>
      </c>
      <c r="J5851" t="str">
        <f t="shared" si="457"/>
        <v>E:\PropInv\MF</v>
      </c>
      <c r="K5851" s="103" t="str">
        <f>HYPERLINK("E:\PropInv\MF\College Station\Harvey Rd_1001_Sausalito_College Station_16272","Harvey Rd_1001_Sausalito_College Station_16272" )</f>
        <v>Harvey Rd_1001_Sausalito_College Station_16272</v>
      </c>
      <c r="L5851" s="104" t="s">
        <v>22253</v>
      </c>
      <c r="M5851" s="103" t="str">
        <f t="shared" si="458"/>
        <v>http://oconnordata.com/mlink/modules/profile/index.cfm?action=profile&amp;prop_id=16272</v>
      </c>
      <c r="N5851" s="1">
        <f t="shared" si="459"/>
        <v>16272</v>
      </c>
    </row>
    <row r="5852" spans="1:14" x14ac:dyDescent="0.3">
      <c r="A5852" s="1">
        <v>16273</v>
      </c>
      <c r="B5852" s="10" t="s">
        <v>8794</v>
      </c>
      <c r="C5852" s="9">
        <v>1806</v>
      </c>
      <c r="D5852" s="10" t="s">
        <v>2709</v>
      </c>
      <c r="E5852" s="11" t="s">
        <v>8612</v>
      </c>
      <c r="F5852" t="str">
        <f t="shared" si="455"/>
        <v>Yellowhouse</v>
      </c>
      <c r="G5852" t="str">
        <f t="shared" si="456"/>
        <v>Yellowhouse1806College Station</v>
      </c>
      <c r="H5852" t="s">
        <v>36708</v>
      </c>
      <c r="I5852" t="s">
        <v>28127</v>
      </c>
      <c r="J5852" t="str">
        <f t="shared" si="457"/>
        <v>E:\PropInv\MF</v>
      </c>
      <c r="K5852" s="103" t="str">
        <f>HYPERLINK("E:\PropInv\MF\College Station\Yellowhouse Cir # B_1806_Hunters Point_College Station_16273","Yellowhouse Cir # B_1806_Hunters Point_College Station_16273" )</f>
        <v>Yellowhouse Cir # B_1806_Hunters Point_College Station_16273</v>
      </c>
      <c r="L5852" s="104" t="s">
        <v>22253</v>
      </c>
      <c r="M5852" s="103" t="str">
        <f t="shared" si="458"/>
        <v>http://oconnordata.com/mlink/modules/profile/index.cfm?action=profile&amp;prop_id=16273</v>
      </c>
      <c r="N5852" s="1">
        <f t="shared" si="459"/>
        <v>16273</v>
      </c>
    </row>
    <row r="5853" spans="1:14" x14ac:dyDescent="0.3">
      <c r="A5853" s="1">
        <v>16274</v>
      </c>
      <c r="B5853" s="7" t="s">
        <v>8795</v>
      </c>
      <c r="C5853" s="12">
        <v>3530</v>
      </c>
      <c r="D5853" s="7" t="s">
        <v>8796</v>
      </c>
      <c r="E5853" s="13" t="s">
        <v>1657</v>
      </c>
      <c r="F5853" t="str">
        <f t="shared" si="455"/>
        <v>Green</v>
      </c>
      <c r="G5853" t="str">
        <f t="shared" si="456"/>
        <v>Green3530Houston</v>
      </c>
      <c r="H5853" t="s">
        <v>36709</v>
      </c>
      <c r="I5853" t="s">
        <v>28128</v>
      </c>
      <c r="J5853" t="str">
        <f t="shared" si="457"/>
        <v>E:\PropInv\MF</v>
      </c>
      <c r="K5853" s="103" t="str">
        <f>HYPERLINK("E:\PropInv\MF\Houston\Green Crest Dr_3530_City Parc II at West Oaks_Houston_16274","Green Crest Dr_3530_City Parc II at West Oaks_Houston_16274" )</f>
        <v>Green Crest Dr_3530_City Parc II at West Oaks_Houston_16274</v>
      </c>
      <c r="L5853" s="104" t="s">
        <v>22253</v>
      </c>
      <c r="M5853" s="103" t="str">
        <f t="shared" si="458"/>
        <v>http://oconnordata.com/mlink/modules/profile/index.cfm?action=profile&amp;prop_id=16274</v>
      </c>
      <c r="N5853" s="1">
        <f t="shared" si="459"/>
        <v>16274</v>
      </c>
    </row>
    <row r="5854" spans="1:14" x14ac:dyDescent="0.3">
      <c r="A5854" s="1">
        <v>16275</v>
      </c>
      <c r="B5854" s="7" t="s">
        <v>8797</v>
      </c>
      <c r="C5854" s="12">
        <v>4700</v>
      </c>
      <c r="D5854" s="7" t="s">
        <v>8798</v>
      </c>
      <c r="E5854" s="13" t="s">
        <v>1657</v>
      </c>
      <c r="F5854" t="str">
        <f t="shared" si="455"/>
        <v>Wenda</v>
      </c>
      <c r="G5854" t="str">
        <f t="shared" si="456"/>
        <v>Wenda4700Houston</v>
      </c>
      <c r="H5854" t="s">
        <v>36710</v>
      </c>
      <c r="I5854" t="s">
        <v>28129</v>
      </c>
      <c r="J5854" t="str">
        <f t="shared" si="457"/>
        <v>E:\PropInv\MF</v>
      </c>
      <c r="K5854" s="103" t="str">
        <f>HYPERLINK("E:\PropInv\MF\Houston\Wenda_4700_Cullen Park_Houston_16275","Wenda_4700_Cullen Park_Houston_16275" )</f>
        <v>Wenda_4700_Cullen Park_Houston_16275</v>
      </c>
      <c r="L5854" s="104" t="s">
        <v>22253</v>
      </c>
      <c r="M5854" s="103" t="str">
        <f t="shared" si="458"/>
        <v>http://oconnordata.com/mlink/modules/profile/index.cfm?action=profile&amp;prop_id=16275</v>
      </c>
      <c r="N5854" s="1">
        <f t="shared" si="459"/>
        <v>16275</v>
      </c>
    </row>
    <row r="5855" spans="1:14" x14ac:dyDescent="0.3">
      <c r="A5855" s="1">
        <v>16276</v>
      </c>
      <c r="B5855" s="21" t="s">
        <v>686</v>
      </c>
      <c r="C5855" s="12">
        <v>1101</v>
      </c>
      <c r="D5855" s="19" t="s">
        <v>5180</v>
      </c>
      <c r="E5855" s="13" t="s">
        <v>8612</v>
      </c>
      <c r="F5855" t="str">
        <f t="shared" si="455"/>
        <v>SW</v>
      </c>
      <c r="G5855" t="str">
        <f t="shared" si="456"/>
        <v>SW1101College Station</v>
      </c>
      <c r="H5855" t="s">
        <v>36711</v>
      </c>
      <c r="I5855" t="s">
        <v>28130</v>
      </c>
      <c r="J5855" t="str">
        <f t="shared" si="457"/>
        <v>E:\PropInv\MF</v>
      </c>
      <c r="K5855" s="103" t="str">
        <f>HYPERLINK("E:\PropInv\MF\College Station\SW Pkwy_1101_The Colony_College Station_16276","SW Pkwy_1101_The Colony_College Station_16276" )</f>
        <v>SW Pkwy_1101_The Colony_College Station_16276</v>
      </c>
      <c r="L5855" s="104" t="s">
        <v>22253</v>
      </c>
      <c r="M5855" s="103" t="str">
        <f t="shared" si="458"/>
        <v>http://oconnordata.com/mlink/modules/profile/index.cfm?action=profile&amp;prop_id=16276</v>
      </c>
      <c r="N5855" s="1">
        <f t="shared" si="459"/>
        <v>16276</v>
      </c>
    </row>
    <row r="5856" spans="1:14" x14ac:dyDescent="0.3">
      <c r="A5856" s="1">
        <v>16277</v>
      </c>
      <c r="B5856" s="7" t="s">
        <v>8799</v>
      </c>
      <c r="C5856" s="12">
        <v>1101</v>
      </c>
      <c r="D5856" s="7" t="s">
        <v>8800</v>
      </c>
      <c r="E5856" s="13" t="s">
        <v>8612</v>
      </c>
      <c r="F5856" t="str">
        <f t="shared" si="455"/>
        <v>Luther</v>
      </c>
      <c r="G5856" t="str">
        <f t="shared" si="456"/>
        <v>Luther1101College Station</v>
      </c>
      <c r="H5856" t="s">
        <v>36712</v>
      </c>
      <c r="I5856" t="s">
        <v>28131</v>
      </c>
      <c r="J5856" t="str">
        <f t="shared" si="457"/>
        <v>E:\PropInv\MF</v>
      </c>
      <c r="K5856" s="103" t="str">
        <f>HYPERLINK("E:\PropInv\MF\College Station\Luther St W_1101_The Heights at Luther Street_College Station_16277","Luther St W_1101_The Heights at Luther Street_College Station_16277" )</f>
        <v>Luther St W_1101_The Heights at Luther Street_College Station_16277</v>
      </c>
      <c r="L5856" s="104" t="s">
        <v>22253</v>
      </c>
      <c r="M5856" s="103" t="str">
        <f t="shared" si="458"/>
        <v>http://oconnordata.com/mlink/modules/profile/index.cfm?action=profile&amp;prop_id=16277</v>
      </c>
      <c r="N5856" s="1">
        <f t="shared" si="459"/>
        <v>16277</v>
      </c>
    </row>
    <row r="5857" spans="1:14" x14ac:dyDescent="0.3">
      <c r="A5857" s="1">
        <v>16279</v>
      </c>
      <c r="B5857" s="19" t="s">
        <v>8801</v>
      </c>
      <c r="C5857" s="18">
        <v>1700</v>
      </c>
      <c r="D5857" s="19" t="s">
        <v>8802</v>
      </c>
      <c r="E5857" s="20" t="s">
        <v>8612</v>
      </c>
      <c r="F5857" t="str">
        <f t="shared" si="455"/>
        <v>George</v>
      </c>
      <c r="G5857" t="str">
        <f t="shared" si="456"/>
        <v>George1700College Station</v>
      </c>
      <c r="H5857" t="s">
        <v>36713</v>
      </c>
      <c r="I5857" t="s">
        <v>28132</v>
      </c>
      <c r="J5857" t="str">
        <f t="shared" si="457"/>
        <v>E:\PropInv\MF</v>
      </c>
      <c r="K5857" s="103" t="str">
        <f>HYPERLINK("E:\PropInv\MF\College Station\George Bush Dr_1700_University Terrace_College Station_16279","George Bush Dr_1700_University Terrace_College Station_16279" )</f>
        <v>George Bush Dr_1700_University Terrace_College Station_16279</v>
      </c>
      <c r="L5857" s="104" t="s">
        <v>22253</v>
      </c>
      <c r="M5857" s="103" t="str">
        <f t="shared" si="458"/>
        <v>http://oconnordata.com/mlink/modules/profile/index.cfm?action=profile&amp;prop_id=16279</v>
      </c>
      <c r="N5857" s="1">
        <f t="shared" si="459"/>
        <v>16279</v>
      </c>
    </row>
    <row r="5858" spans="1:14" x14ac:dyDescent="0.3">
      <c r="A5858" s="1">
        <v>16280</v>
      </c>
      <c r="B5858" s="7" t="s">
        <v>22294</v>
      </c>
      <c r="C5858" s="12">
        <v>2301</v>
      </c>
      <c r="D5858" s="7" t="s">
        <v>1313</v>
      </c>
      <c r="E5858" s="13" t="s">
        <v>8774</v>
      </c>
      <c r="F5858" t="str">
        <f t="shared" si="455"/>
        <v>Broadmoor</v>
      </c>
      <c r="G5858" t="str">
        <f t="shared" si="456"/>
        <v>Broadmoor2301Bryan</v>
      </c>
      <c r="H5858" t="s">
        <v>36714</v>
      </c>
      <c r="I5858" t="s">
        <v>28133</v>
      </c>
      <c r="J5858" t="str">
        <f t="shared" si="457"/>
        <v>E:\PropInv\MF</v>
      </c>
      <c r="K5858" s="103" t="str">
        <f>HYPERLINK("E:\PropInv\MF\Bryan\Broadmoor Dr_2301_Riverstone_Bryan_16280","Broadmoor Dr_2301_Riverstone_Bryan_16280" )</f>
        <v>Broadmoor Dr_2301_Riverstone_Bryan_16280</v>
      </c>
      <c r="L5858" s="104" t="s">
        <v>22253</v>
      </c>
      <c r="M5858" s="103" t="str">
        <f t="shared" si="458"/>
        <v>http://oconnordata.com/mlink/modules/profile/index.cfm?action=profile&amp;prop_id=16280</v>
      </c>
      <c r="N5858" s="1">
        <f t="shared" si="459"/>
        <v>16280</v>
      </c>
    </row>
    <row r="5859" spans="1:14" x14ac:dyDescent="0.3">
      <c r="A5859" s="1">
        <v>16281</v>
      </c>
      <c r="B5859" s="7" t="s">
        <v>8803</v>
      </c>
      <c r="C5859" s="12">
        <v>3902</v>
      </c>
      <c r="D5859" s="7" t="s">
        <v>8804</v>
      </c>
      <c r="E5859" s="13" t="s">
        <v>8774</v>
      </c>
      <c r="F5859" t="str">
        <f t="shared" si="455"/>
        <v>29th</v>
      </c>
      <c r="G5859" t="str">
        <f t="shared" si="456"/>
        <v>29th3902Bryan</v>
      </c>
      <c r="H5859" t="s">
        <v>36715</v>
      </c>
      <c r="I5859" t="s">
        <v>28134</v>
      </c>
      <c r="J5859" t="str">
        <f t="shared" si="457"/>
        <v>E:\PropInv\MF</v>
      </c>
      <c r="K5859" s="103" t="str">
        <f>HYPERLINK("E:\PropInv\MF\Bryan\29th St E_3902_Willow Oaks_Bryan_16281","29th St E_3902_Willow Oaks_Bryan_16281" )</f>
        <v>29th St E_3902_Willow Oaks_Bryan_16281</v>
      </c>
      <c r="L5859" s="104" t="s">
        <v>22253</v>
      </c>
      <c r="M5859" s="103" t="str">
        <f t="shared" si="458"/>
        <v>http://oconnordata.com/mlink/modules/profile/index.cfm?action=profile&amp;prop_id=16281</v>
      </c>
      <c r="N5859" s="1">
        <f t="shared" si="459"/>
        <v>16281</v>
      </c>
    </row>
    <row r="5860" spans="1:14" x14ac:dyDescent="0.3">
      <c r="A5860" s="1">
        <v>16285</v>
      </c>
      <c r="B5860" s="7" t="s">
        <v>8799</v>
      </c>
      <c r="C5860" s="12">
        <v>601</v>
      </c>
      <c r="D5860" s="7" t="s">
        <v>8805</v>
      </c>
      <c r="E5860" s="13" t="s">
        <v>8612</v>
      </c>
      <c r="F5860" t="str">
        <f t="shared" si="455"/>
        <v>Luther</v>
      </c>
      <c r="G5860" t="str">
        <f t="shared" si="456"/>
        <v>Luther601College Station</v>
      </c>
      <c r="H5860" t="s">
        <v>36716</v>
      </c>
      <c r="I5860" t="s">
        <v>28135</v>
      </c>
      <c r="J5860" t="str">
        <f t="shared" si="457"/>
        <v>E:\PropInv\MF</v>
      </c>
      <c r="K5860" s="103" t="str">
        <f>HYPERLINK("E:\PropInv\MF\College Station\Luther St W_601_The District on Luther_College Station_16285","Luther St W_601_The District on Luther_College Station_16285" )</f>
        <v>Luther St W_601_The District on Luther_College Station_16285</v>
      </c>
      <c r="L5860" s="104" t="s">
        <v>22253</v>
      </c>
      <c r="M5860" s="103" t="str">
        <f t="shared" si="458"/>
        <v>http://oconnordata.com/mlink/modules/profile/index.cfm?action=profile&amp;prop_id=16285</v>
      </c>
      <c r="N5860" s="1">
        <f t="shared" si="459"/>
        <v>16285</v>
      </c>
    </row>
    <row r="5861" spans="1:14" x14ac:dyDescent="0.3">
      <c r="A5861" s="1">
        <v>16287</v>
      </c>
      <c r="B5861" s="7" t="s">
        <v>8806</v>
      </c>
      <c r="C5861" s="12">
        <v>503</v>
      </c>
      <c r="D5861" s="7" t="s">
        <v>8807</v>
      </c>
      <c r="E5861" s="13" t="s">
        <v>8612</v>
      </c>
      <c r="F5861" t="str">
        <f t="shared" si="455"/>
        <v>Cherry</v>
      </c>
      <c r="G5861" t="str">
        <f t="shared" si="456"/>
        <v>Cherry503College Station</v>
      </c>
      <c r="H5861" t="s">
        <v>36717</v>
      </c>
      <c r="I5861" t="s">
        <v>28136</v>
      </c>
      <c r="J5861" t="str">
        <f t="shared" si="457"/>
        <v>E:\PropInv\MF</v>
      </c>
      <c r="K5861" s="103" t="str">
        <f>HYPERLINK("E:\PropInv\MF\College Station\Cherry St_503_The Villas of Cherry Hollow_College Station_16287","Cherry St_503_The Villas of Cherry Hollow_College Station_16287" )</f>
        <v>Cherry St_503_The Villas of Cherry Hollow_College Station_16287</v>
      </c>
      <c r="L5861" s="104" t="s">
        <v>22253</v>
      </c>
      <c r="M5861" s="103" t="str">
        <f t="shared" si="458"/>
        <v>http://oconnordata.com/mlink/modules/profile/index.cfm?action=profile&amp;prop_id=16287</v>
      </c>
      <c r="N5861" s="1">
        <f t="shared" si="459"/>
        <v>16287</v>
      </c>
    </row>
    <row r="5862" spans="1:14" x14ac:dyDescent="0.3">
      <c r="A5862" s="1">
        <v>16288</v>
      </c>
      <c r="B5862" s="7" t="s">
        <v>8808</v>
      </c>
      <c r="C5862" s="12">
        <v>4475</v>
      </c>
      <c r="D5862" s="7" t="s">
        <v>8809</v>
      </c>
      <c r="E5862" s="13" t="s">
        <v>8774</v>
      </c>
      <c r="F5862" t="str">
        <f t="shared" si="455"/>
        <v>Carter</v>
      </c>
      <c r="G5862" t="str">
        <f t="shared" si="456"/>
        <v>Carter4475Bryan</v>
      </c>
      <c r="H5862" t="s">
        <v>36718</v>
      </c>
      <c r="I5862" t="s">
        <v>28137</v>
      </c>
      <c r="J5862" t="str">
        <f t="shared" si="457"/>
        <v>E:\PropInv\MF</v>
      </c>
      <c r="K5862" s="103" t="str">
        <f>HYPERLINK("E:\PropInv\MF\Bryan\Carter Creek Pkwy_4475_Royal Oaks Gardens_Bryan_16288","Carter Creek Pkwy_4475_Royal Oaks Gardens_Bryan_16288" )</f>
        <v>Carter Creek Pkwy_4475_Royal Oaks Gardens_Bryan_16288</v>
      </c>
      <c r="L5862" s="104" t="s">
        <v>22253</v>
      </c>
      <c r="M5862" s="103" t="str">
        <f t="shared" si="458"/>
        <v>http://oconnordata.com/mlink/modules/profile/index.cfm?action=profile&amp;prop_id=16288</v>
      </c>
      <c r="N5862" s="1">
        <f t="shared" si="459"/>
        <v>16288</v>
      </c>
    </row>
    <row r="5863" spans="1:14" x14ac:dyDescent="0.3">
      <c r="A5863" s="1">
        <v>16289</v>
      </c>
      <c r="B5863" s="7" t="s">
        <v>8810</v>
      </c>
      <c r="C5863" s="12">
        <v>4302</v>
      </c>
      <c r="D5863" s="7" t="s">
        <v>8811</v>
      </c>
      <c r="E5863" s="13" t="s">
        <v>8774</v>
      </c>
      <c r="F5863" t="str">
        <f t="shared" si="455"/>
        <v>College</v>
      </c>
      <c r="G5863" t="str">
        <f t="shared" si="456"/>
        <v>College4302Bryan</v>
      </c>
      <c r="H5863" t="s">
        <v>36719</v>
      </c>
      <c r="I5863" t="s">
        <v>28138</v>
      </c>
      <c r="J5863" t="str">
        <f t="shared" si="457"/>
        <v>E:\PropInv\MF</v>
      </c>
      <c r="K5863" s="103" t="str">
        <f>HYPERLINK("E:\PropInv\MF\Bryan\College Main St_4302_College Main_Bryan_16289","College Main St_4302_College Main_Bryan_16289" )</f>
        <v>College Main St_4302_College Main_Bryan_16289</v>
      </c>
      <c r="L5863" s="104" t="s">
        <v>22253</v>
      </c>
      <c r="M5863" s="103" t="str">
        <f t="shared" si="458"/>
        <v>http://oconnordata.com/mlink/modules/profile/index.cfm?action=profile&amp;prop_id=16289</v>
      </c>
      <c r="N5863" s="1">
        <f t="shared" si="459"/>
        <v>16289</v>
      </c>
    </row>
    <row r="5864" spans="1:14" x14ac:dyDescent="0.3">
      <c r="A5864" s="1">
        <v>16290</v>
      </c>
      <c r="B5864" s="7" t="s">
        <v>8803</v>
      </c>
      <c r="C5864" s="12">
        <v>3130</v>
      </c>
      <c r="D5864" s="7" t="s">
        <v>164</v>
      </c>
      <c r="E5864" s="13" t="s">
        <v>8774</v>
      </c>
      <c r="F5864" t="str">
        <f t="shared" si="455"/>
        <v>29th</v>
      </c>
      <c r="G5864" t="str">
        <f t="shared" si="456"/>
        <v>29th3130Bryan</v>
      </c>
      <c r="H5864" t="s">
        <v>36720</v>
      </c>
      <c r="I5864" t="s">
        <v>28139</v>
      </c>
      <c r="J5864" t="str">
        <f t="shared" si="457"/>
        <v>E:\PropInv\MF</v>
      </c>
      <c r="K5864" s="103" t="str">
        <f>HYPERLINK("E:\PropInv\MF\Bryan\29th St E_3130_The Grove_Bryan_16290","29th St E_3130_The Grove_Bryan_16290" )</f>
        <v>29th St E_3130_The Grove_Bryan_16290</v>
      </c>
      <c r="L5864" s="104" t="s">
        <v>22253</v>
      </c>
      <c r="M5864" s="103" t="str">
        <f t="shared" si="458"/>
        <v>http://oconnordata.com/mlink/modules/profile/index.cfm?action=profile&amp;prop_id=16290</v>
      </c>
      <c r="N5864" s="1">
        <f t="shared" si="459"/>
        <v>16290</v>
      </c>
    </row>
    <row r="5865" spans="1:14" x14ac:dyDescent="0.3">
      <c r="A5865" s="1">
        <v>16292</v>
      </c>
      <c r="B5865" s="7" t="s">
        <v>8812</v>
      </c>
      <c r="C5865" s="12">
        <v>21101</v>
      </c>
      <c r="D5865" s="7" t="s">
        <v>8813</v>
      </c>
      <c r="E5865" s="13" t="s">
        <v>2198</v>
      </c>
      <c r="F5865" t="str">
        <f t="shared" si="455"/>
        <v>Kingsland</v>
      </c>
      <c r="G5865" t="str">
        <f t="shared" si="456"/>
        <v>Kingsland21101Katy</v>
      </c>
      <c r="H5865" t="s">
        <v>36721</v>
      </c>
      <c r="I5865" t="s">
        <v>28140</v>
      </c>
      <c r="J5865" t="str">
        <f t="shared" si="457"/>
        <v>E:\PropInv\MF</v>
      </c>
      <c r="K5865" s="103" t="str">
        <f>HYPERLINK("E:\PropInv\MF\Katy\Kingsland Blvd_21101_Kingsland Ranch_Katy_16292","Kingsland Blvd_21101_Kingsland Ranch_Katy_16292" )</f>
        <v>Kingsland Blvd_21101_Kingsland Ranch_Katy_16292</v>
      </c>
      <c r="L5865" s="104" t="s">
        <v>22253</v>
      </c>
      <c r="M5865" s="103" t="str">
        <f t="shared" si="458"/>
        <v>http://oconnordata.com/mlink/modules/profile/index.cfm?action=profile&amp;prop_id=16292</v>
      </c>
      <c r="N5865" s="1">
        <f t="shared" si="459"/>
        <v>16292</v>
      </c>
    </row>
    <row r="5866" spans="1:14" x14ac:dyDescent="0.3">
      <c r="A5866" s="1">
        <v>16293</v>
      </c>
      <c r="B5866" s="7" t="s">
        <v>8814</v>
      </c>
      <c r="C5866" s="12">
        <v>3645</v>
      </c>
      <c r="D5866" s="7" t="s">
        <v>8815</v>
      </c>
      <c r="E5866" s="13" t="s">
        <v>8774</v>
      </c>
      <c r="F5866" t="str">
        <f t="shared" si="455"/>
        <v>Wellborn</v>
      </c>
      <c r="G5866" t="str">
        <f t="shared" si="456"/>
        <v>Wellborn3645Bryan</v>
      </c>
      <c r="H5866" t="s">
        <v>36722</v>
      </c>
      <c r="I5866" t="s">
        <v>28141</v>
      </c>
      <c r="J5866" t="str">
        <f t="shared" si="457"/>
        <v>E:\PropInv\MF</v>
      </c>
      <c r="K5866" s="103" t="str">
        <f>HYPERLINK("E:\PropInv\MF\Bryan\Wellborn Rd_3645_Reveille Ranch_Bryan_16293","Wellborn Rd_3645_Reveille Ranch_Bryan_16293" )</f>
        <v>Wellborn Rd_3645_Reveille Ranch_Bryan_16293</v>
      </c>
      <c r="L5866" s="104" t="s">
        <v>22253</v>
      </c>
      <c r="M5866" s="103" t="str">
        <f t="shared" si="458"/>
        <v>http://oconnordata.com/mlink/modules/profile/index.cfm?action=profile&amp;prop_id=16293</v>
      </c>
      <c r="N5866" s="1">
        <f t="shared" si="459"/>
        <v>16293</v>
      </c>
    </row>
    <row r="5867" spans="1:14" x14ac:dyDescent="0.3">
      <c r="A5867" s="1">
        <v>16294</v>
      </c>
      <c r="B5867" s="7" t="s">
        <v>793</v>
      </c>
      <c r="C5867" s="12">
        <v>9807</v>
      </c>
      <c r="D5867" s="7" t="s">
        <v>8816</v>
      </c>
      <c r="E5867" s="13" t="s">
        <v>7</v>
      </c>
      <c r="F5867" t="str">
        <f t="shared" si="455"/>
        <v>620</v>
      </c>
      <c r="G5867" t="str">
        <f t="shared" si="456"/>
        <v>6209807Austin</v>
      </c>
      <c r="H5867" t="s">
        <v>36723</v>
      </c>
      <c r="I5867" t="s">
        <v>28142</v>
      </c>
      <c r="J5867" t="str">
        <f t="shared" si="457"/>
        <v>E:\PropInv\MF</v>
      </c>
      <c r="K5867" s="103" t="str">
        <f>HYPERLINK("E:\PropInv\MF\Austin\620 FM N_9807_Avendaro at Canyon Creek_Austin_16294","620 FM N_9807_Avendaro at Canyon Creek_Austin_16294" )</f>
        <v>620 FM N_9807_Avendaro at Canyon Creek_Austin_16294</v>
      </c>
      <c r="L5867" s="104" t="s">
        <v>22253</v>
      </c>
      <c r="M5867" s="103" t="str">
        <f t="shared" si="458"/>
        <v>http://oconnordata.com/mlink/modules/profile/index.cfm?action=profile&amp;prop_id=16294</v>
      </c>
      <c r="N5867" s="1">
        <f t="shared" si="459"/>
        <v>16294</v>
      </c>
    </row>
    <row r="5868" spans="1:14" x14ac:dyDescent="0.3">
      <c r="A5868" s="1">
        <v>16295</v>
      </c>
      <c r="B5868" s="7" t="s">
        <v>805</v>
      </c>
      <c r="C5868" s="12">
        <v>2101</v>
      </c>
      <c r="D5868" s="7" t="s">
        <v>8817</v>
      </c>
      <c r="E5868" s="13" t="s">
        <v>705</v>
      </c>
      <c r="F5868" t="str">
        <f t="shared" si="455"/>
        <v>Lakeline</v>
      </c>
      <c r="G5868" t="str">
        <f t="shared" si="456"/>
        <v>Lakeline2101Cedar Park</v>
      </c>
      <c r="H5868" t="s">
        <v>36724</v>
      </c>
      <c r="I5868" t="s">
        <v>28143</v>
      </c>
      <c r="J5868" t="str">
        <f t="shared" si="457"/>
        <v>E:\PropInv\MF</v>
      </c>
      <c r="K5868" s="103" t="str">
        <f>HYPERLINK("E:\PropInv\MF\Cedar Park\Lakeline Blvd S_2101_Cypress Creek at Lakeline_Cedar Park_16295","Lakeline Blvd S_2101_Cypress Creek at Lakeline_Cedar Park_16295" )</f>
        <v>Lakeline Blvd S_2101_Cypress Creek at Lakeline_Cedar Park_16295</v>
      </c>
      <c r="L5868" s="104" t="s">
        <v>22253</v>
      </c>
      <c r="M5868" s="103" t="str">
        <f t="shared" si="458"/>
        <v>http://oconnordata.com/mlink/modules/profile/index.cfm?action=profile&amp;prop_id=16295</v>
      </c>
      <c r="N5868" s="1">
        <f t="shared" si="459"/>
        <v>16295</v>
      </c>
    </row>
    <row r="5869" spans="1:14" x14ac:dyDescent="0.3">
      <c r="A5869" s="97">
        <v>16296</v>
      </c>
      <c r="B5869" s="7" t="s">
        <v>8818</v>
      </c>
      <c r="C5869" s="12">
        <v>3130</v>
      </c>
      <c r="D5869" s="7" t="s">
        <v>8819</v>
      </c>
      <c r="E5869" s="13" t="s">
        <v>8774</v>
      </c>
      <c r="F5869" t="str">
        <f t="shared" si="455"/>
        <v>Villa</v>
      </c>
      <c r="G5869" t="str">
        <f t="shared" si="456"/>
        <v>Villa3130Bryan</v>
      </c>
      <c r="H5869" t="s">
        <v>36725</v>
      </c>
      <c r="I5869" t="s">
        <v>28144</v>
      </c>
      <c r="J5869" t="str">
        <f t="shared" si="457"/>
        <v>E:\PropInv\MF</v>
      </c>
      <c r="K5869" s="103" t="str">
        <f>HYPERLINK("E:\PropInv\MF\Bryan\Villa Maria Rd E_3130_Wood Trail_Bryan_16296","Villa Maria Rd E_3130_Wood Trail_Bryan_16296" )</f>
        <v>Villa Maria Rd E_3130_Wood Trail_Bryan_16296</v>
      </c>
      <c r="L5869" s="104" t="s">
        <v>22253</v>
      </c>
      <c r="M5869" s="103" t="str">
        <f t="shared" si="458"/>
        <v>http://oconnordata.com/mlink/modules/profile/index.cfm?action=profile&amp;prop_id=16296</v>
      </c>
      <c r="N5869" s="1">
        <f t="shared" si="459"/>
        <v>16296</v>
      </c>
    </row>
    <row r="5870" spans="1:14" x14ac:dyDescent="0.3">
      <c r="A5870" s="1">
        <v>16297</v>
      </c>
      <c r="B5870" s="7" t="s">
        <v>8814</v>
      </c>
      <c r="C5870" s="12">
        <v>3625</v>
      </c>
      <c r="D5870" s="7" t="s">
        <v>8820</v>
      </c>
      <c r="E5870" s="13" t="s">
        <v>8774</v>
      </c>
      <c r="F5870" t="str">
        <f t="shared" si="455"/>
        <v>Wellborn</v>
      </c>
      <c r="G5870" t="str">
        <f t="shared" si="456"/>
        <v>Wellborn3625Bryan</v>
      </c>
      <c r="H5870" t="s">
        <v>36726</v>
      </c>
      <c r="I5870" t="s">
        <v>28145</v>
      </c>
      <c r="J5870" t="str">
        <f t="shared" si="457"/>
        <v>E:\PropInv\MF</v>
      </c>
      <c r="K5870" s="103" t="str">
        <f>HYPERLINK("E:\PropInv\MF\Bryan\Wellborn Rd_3625_Saddlewood Club_Bryan_16297","Wellborn Rd_3625_Saddlewood Club_Bryan_16297" )</f>
        <v>Wellborn Rd_3625_Saddlewood Club_Bryan_16297</v>
      </c>
      <c r="L5870" s="104" t="s">
        <v>22253</v>
      </c>
      <c r="M5870" s="103" t="str">
        <f t="shared" si="458"/>
        <v>http://oconnordata.com/mlink/modules/profile/index.cfm?action=profile&amp;prop_id=16297</v>
      </c>
      <c r="N5870" s="1">
        <f t="shared" si="459"/>
        <v>16297</v>
      </c>
    </row>
    <row r="5871" spans="1:14" x14ac:dyDescent="0.3">
      <c r="A5871" s="1">
        <v>16298</v>
      </c>
      <c r="B5871" s="7" t="s">
        <v>8617</v>
      </c>
      <c r="C5871" s="12">
        <v>1201</v>
      </c>
      <c r="D5871" s="7" t="s">
        <v>2928</v>
      </c>
      <c r="E5871" s="13" t="s">
        <v>8612</v>
      </c>
      <c r="F5871" t="str">
        <f t="shared" si="455"/>
        <v>Harvey</v>
      </c>
      <c r="G5871" t="str">
        <f t="shared" si="456"/>
        <v>Harvey1201College Station</v>
      </c>
      <c r="H5871" t="s">
        <v>36727</v>
      </c>
      <c r="I5871" t="s">
        <v>28146</v>
      </c>
      <c r="J5871" t="str">
        <f t="shared" si="457"/>
        <v>E:\PropInv\MF</v>
      </c>
      <c r="K5871" s="103" t="str">
        <f>HYPERLINK("E:\PropInv\MF\College Station\Harvey Rd_1201_Briarwood_College Station_16298","Harvey Rd_1201_Briarwood_College Station_16298" )</f>
        <v>Harvey Rd_1201_Briarwood_College Station_16298</v>
      </c>
      <c r="L5871" s="104" t="s">
        <v>22253</v>
      </c>
      <c r="M5871" s="103" t="str">
        <f t="shared" si="458"/>
        <v>http://oconnordata.com/mlink/modules/profile/index.cfm?action=profile&amp;prop_id=16298</v>
      </c>
      <c r="N5871" s="1">
        <f t="shared" si="459"/>
        <v>16298</v>
      </c>
    </row>
    <row r="5872" spans="1:14" x14ac:dyDescent="0.3">
      <c r="A5872" s="1">
        <v>16300</v>
      </c>
      <c r="B5872" s="21" t="s">
        <v>8821</v>
      </c>
      <c r="C5872" s="12">
        <v>400</v>
      </c>
      <c r="D5872" s="7" t="s">
        <v>693</v>
      </c>
      <c r="E5872" s="13" t="s">
        <v>8612</v>
      </c>
      <c r="F5872" t="str">
        <f t="shared" si="455"/>
        <v>S</v>
      </c>
      <c r="G5872" t="str">
        <f t="shared" si="456"/>
        <v>S400College Station</v>
      </c>
      <c r="H5872" t="s">
        <v>36728</v>
      </c>
      <c r="I5872" t="s">
        <v>28147</v>
      </c>
      <c r="J5872" t="str">
        <f t="shared" si="457"/>
        <v>E:\PropInv\MF</v>
      </c>
      <c r="K5872" s="103" t="str">
        <f>HYPERLINK("E:\PropInv\MF\College Station\S Pkwy_400_Crossing Place_College Station_16300","S Pkwy_400_Crossing Place_College Station_16300" )</f>
        <v>S Pkwy_400_Crossing Place_College Station_16300</v>
      </c>
      <c r="L5872" s="104" t="s">
        <v>22253</v>
      </c>
      <c r="M5872" s="103" t="str">
        <f t="shared" si="458"/>
        <v>http://oconnordata.com/mlink/modules/profile/index.cfm?action=profile&amp;prop_id=16300</v>
      </c>
      <c r="N5872" s="1">
        <f t="shared" si="459"/>
        <v>16300</v>
      </c>
    </row>
    <row r="5873" spans="1:14" x14ac:dyDescent="0.3">
      <c r="A5873" s="97">
        <v>16301</v>
      </c>
      <c r="B5873" s="7" t="s">
        <v>8610</v>
      </c>
      <c r="C5873" s="12">
        <v>2500</v>
      </c>
      <c r="D5873" s="7" t="s">
        <v>8822</v>
      </c>
      <c r="E5873" s="13" t="s">
        <v>8612</v>
      </c>
      <c r="F5873" t="str">
        <f t="shared" si="455"/>
        <v>Central</v>
      </c>
      <c r="G5873" t="str">
        <f t="shared" si="456"/>
        <v>Central2500College Station</v>
      </c>
      <c r="H5873" t="s">
        <v>36729</v>
      </c>
      <c r="I5873" t="s">
        <v>28148</v>
      </c>
      <c r="J5873" t="str">
        <f t="shared" si="457"/>
        <v>E:\PropInv\MF</v>
      </c>
      <c r="K5873" s="103" t="str">
        <f>HYPERLINK("E:\PropInv\MF\College Station\Central Park Ln_2500_Windsor Pointe_College Station_16301","Central Park Ln_2500_Windsor Pointe_College Station_16301" )</f>
        <v>Central Park Ln_2500_Windsor Pointe_College Station_16301</v>
      </c>
      <c r="L5873" s="104" t="s">
        <v>22253</v>
      </c>
      <c r="M5873" s="103" t="str">
        <f t="shared" si="458"/>
        <v>http://oconnordata.com/mlink/modules/profile/index.cfm?action=profile&amp;prop_id=16301</v>
      </c>
      <c r="N5873" s="1">
        <f t="shared" si="459"/>
        <v>16301</v>
      </c>
    </row>
    <row r="5874" spans="1:14" x14ac:dyDescent="0.3">
      <c r="A5874" s="1">
        <v>16302</v>
      </c>
      <c r="B5874" s="10" t="s">
        <v>8823</v>
      </c>
      <c r="C5874" s="9">
        <v>401</v>
      </c>
      <c r="D5874" s="10" t="s">
        <v>8824</v>
      </c>
      <c r="E5874" s="11" t="s">
        <v>8612</v>
      </c>
      <c r="F5874" t="str">
        <f t="shared" si="455"/>
        <v>Stasney</v>
      </c>
      <c r="G5874" t="str">
        <f t="shared" si="456"/>
        <v>Stasney401College Station</v>
      </c>
      <c r="H5874" t="s">
        <v>36730</v>
      </c>
      <c r="I5874" t="s">
        <v>28149</v>
      </c>
      <c r="J5874" t="str">
        <f t="shared" si="457"/>
        <v>E:\PropInv\MF</v>
      </c>
      <c r="K5874" s="103" t="str">
        <f>HYPERLINK("E:\PropInv\MF\College Station\Stasney_401_Casa Del Sol_College Station_16302","Stasney_401_Casa Del Sol_College Station_16302" )</f>
        <v>Stasney_401_Casa Del Sol_College Station_16302</v>
      </c>
      <c r="L5874" s="104" t="s">
        <v>22253</v>
      </c>
      <c r="M5874" s="103" t="str">
        <f t="shared" si="458"/>
        <v>http://oconnordata.com/mlink/modules/profile/index.cfm?action=profile&amp;prop_id=16302</v>
      </c>
      <c r="N5874" s="1">
        <f t="shared" si="459"/>
        <v>16302</v>
      </c>
    </row>
    <row r="5875" spans="1:14" x14ac:dyDescent="0.3">
      <c r="A5875" s="1">
        <v>16304</v>
      </c>
      <c r="B5875" s="7" t="s">
        <v>8825</v>
      </c>
      <c r="C5875" s="12">
        <v>904</v>
      </c>
      <c r="D5875" s="7" t="s">
        <v>8826</v>
      </c>
      <c r="E5875" s="13" t="s">
        <v>8612</v>
      </c>
      <c r="F5875" t="str">
        <f t="shared" si="455"/>
        <v>University</v>
      </c>
      <c r="G5875" t="str">
        <f t="shared" si="456"/>
        <v>University904College Station</v>
      </c>
      <c r="H5875" t="s">
        <v>36731</v>
      </c>
      <c r="I5875" t="s">
        <v>28150</v>
      </c>
      <c r="J5875" t="str">
        <f t="shared" si="457"/>
        <v>E:\PropInv\MF</v>
      </c>
      <c r="K5875" s="103" t="str">
        <f>HYPERLINK("E:\PropInv\MF\College Station\University Oaks #23_904_Cripple Creek Condos_College Station_16304","University Oaks #23_904_Cripple Creek Condos_College Station_16304" )</f>
        <v>University Oaks #23_904_Cripple Creek Condos_College Station_16304</v>
      </c>
      <c r="L5875" s="104" t="s">
        <v>22253</v>
      </c>
      <c r="M5875" s="103" t="str">
        <f t="shared" si="458"/>
        <v>http://oconnordata.com/mlink/modules/profile/index.cfm?action=profile&amp;prop_id=16304</v>
      </c>
      <c r="N5875" s="1">
        <f t="shared" si="459"/>
        <v>16304</v>
      </c>
    </row>
    <row r="5876" spans="1:14" x14ac:dyDescent="0.3">
      <c r="A5876" s="1">
        <v>16305</v>
      </c>
      <c r="B5876" s="7" t="s">
        <v>8827</v>
      </c>
      <c r="C5876" s="12">
        <v>1501</v>
      </c>
      <c r="D5876" s="7" t="s">
        <v>1175</v>
      </c>
      <c r="E5876" s="13" t="s">
        <v>8612</v>
      </c>
      <c r="F5876" t="str">
        <f t="shared" si="455"/>
        <v>Holleman</v>
      </c>
      <c r="G5876" t="str">
        <f t="shared" si="456"/>
        <v>Holleman1501College Station</v>
      </c>
      <c r="H5876" t="s">
        <v>36732</v>
      </c>
      <c r="I5876" t="s">
        <v>28151</v>
      </c>
      <c r="J5876" t="str">
        <f t="shared" si="457"/>
        <v>E:\PropInv\MF</v>
      </c>
      <c r="K5876" s="103" t="str">
        <f>HYPERLINK("E:\PropInv\MF\College Station\Holleman #33_1501_The Lexington_College Station_16305","Holleman #33_1501_The Lexington_College Station_16305" )</f>
        <v>Holleman #33_1501_The Lexington_College Station_16305</v>
      </c>
      <c r="L5876" s="104" t="s">
        <v>22253</v>
      </c>
      <c r="M5876" s="103" t="str">
        <f t="shared" si="458"/>
        <v>http://oconnordata.com/mlink/modules/profile/index.cfm?action=profile&amp;prop_id=16305</v>
      </c>
      <c r="N5876" s="1">
        <f t="shared" si="459"/>
        <v>16305</v>
      </c>
    </row>
    <row r="5877" spans="1:14" x14ac:dyDescent="0.3">
      <c r="A5877" s="1">
        <v>16306</v>
      </c>
      <c r="B5877" s="7" t="s">
        <v>8828</v>
      </c>
      <c r="C5877" s="12">
        <v>500</v>
      </c>
      <c r="D5877" s="7" t="s">
        <v>8829</v>
      </c>
      <c r="E5877" s="13" t="s">
        <v>5012</v>
      </c>
      <c r="F5877" t="str">
        <f t="shared" si="455"/>
        <v>Cartwright</v>
      </c>
      <c r="G5877" t="str">
        <f t="shared" si="456"/>
        <v>Cartwright500Balch Springs</v>
      </c>
      <c r="H5877" t="s">
        <v>36733</v>
      </c>
      <c r="I5877" t="s">
        <v>28152</v>
      </c>
      <c r="J5877" t="str">
        <f t="shared" si="457"/>
        <v>E:\PropInv\MF</v>
      </c>
      <c r="K5877" s="103" t="str">
        <f>HYPERLINK("E:\PropInv\MF\Balch Springs\Cartwright Rd W_500_Stoneleigh on Cartwright_Balch Springs_16306","Cartwright Rd W_500_Stoneleigh on Cartwright_Balch Springs_16306" )</f>
        <v>Cartwright Rd W_500_Stoneleigh on Cartwright_Balch Springs_16306</v>
      </c>
      <c r="L5877" s="104" t="s">
        <v>22253</v>
      </c>
      <c r="M5877" s="103" t="str">
        <f t="shared" si="458"/>
        <v>http://oconnordata.com/mlink/modules/profile/index.cfm?action=profile&amp;prop_id=16306</v>
      </c>
      <c r="N5877" s="1">
        <f t="shared" si="459"/>
        <v>16306</v>
      </c>
    </row>
    <row r="5878" spans="1:14" x14ac:dyDescent="0.3">
      <c r="A5878" s="1">
        <v>16307</v>
      </c>
      <c r="B5878" s="7" t="s">
        <v>8830</v>
      </c>
      <c r="C5878" s="12">
        <v>1005</v>
      </c>
      <c r="D5878" s="7" t="s">
        <v>2603</v>
      </c>
      <c r="E5878" s="13" t="s">
        <v>8774</v>
      </c>
      <c r="F5878" t="str">
        <f t="shared" si="455"/>
        <v>Verde</v>
      </c>
      <c r="G5878" t="str">
        <f t="shared" si="456"/>
        <v>Verde1005Bryan</v>
      </c>
      <c r="H5878" t="s">
        <v>36734</v>
      </c>
      <c r="I5878" t="s">
        <v>28153</v>
      </c>
      <c r="J5878" t="str">
        <f t="shared" si="457"/>
        <v>E:\PropInv\MF</v>
      </c>
      <c r="K5878" s="103" t="str">
        <f>HYPERLINK("E:\PropInv\MF\Bryan\Verde Dr #A_1005_Forest Creek_Bryan_16307","Verde Dr #A_1005_Forest Creek_Bryan_16307" )</f>
        <v>Verde Dr #A_1005_Forest Creek_Bryan_16307</v>
      </c>
      <c r="L5878" s="104" t="s">
        <v>22253</v>
      </c>
      <c r="M5878" s="103" t="str">
        <f t="shared" si="458"/>
        <v>http://oconnordata.com/mlink/modules/profile/index.cfm?action=profile&amp;prop_id=16307</v>
      </c>
      <c r="N5878" s="1">
        <f t="shared" si="459"/>
        <v>16307</v>
      </c>
    </row>
    <row r="5879" spans="1:14" x14ac:dyDescent="0.3">
      <c r="A5879" s="1">
        <v>16308</v>
      </c>
      <c r="B5879" s="7" t="s">
        <v>8811</v>
      </c>
      <c r="C5879" s="12">
        <v>3902</v>
      </c>
      <c r="D5879" s="7" t="s">
        <v>2687</v>
      </c>
      <c r="E5879" s="13" t="s">
        <v>8774</v>
      </c>
      <c r="F5879" t="str">
        <f t="shared" si="455"/>
        <v>College</v>
      </c>
      <c r="G5879" t="str">
        <f t="shared" si="456"/>
        <v>College3902Bryan</v>
      </c>
      <c r="H5879" t="s">
        <v>36735</v>
      </c>
      <c r="I5879" t="s">
        <v>28154</v>
      </c>
      <c r="J5879" t="str">
        <f t="shared" si="457"/>
        <v>E:\PropInv\MF</v>
      </c>
      <c r="K5879" s="103" t="str">
        <f>HYPERLINK("E:\PropInv\MF\Bryan\College Main_3902_Country Place_Bryan_16308","College Main_3902_Country Place_Bryan_16308" )</f>
        <v>College Main_3902_Country Place_Bryan_16308</v>
      </c>
      <c r="L5879" s="104" t="s">
        <v>22253</v>
      </c>
      <c r="M5879" s="103" t="str">
        <f t="shared" si="458"/>
        <v>http://oconnordata.com/mlink/modules/profile/index.cfm?action=profile&amp;prop_id=16308</v>
      </c>
      <c r="N5879" s="1">
        <f t="shared" si="459"/>
        <v>16308</v>
      </c>
    </row>
    <row r="5880" spans="1:14" x14ac:dyDescent="0.3">
      <c r="A5880" s="1">
        <v>16309</v>
      </c>
      <c r="B5880" s="7" t="s">
        <v>8831</v>
      </c>
      <c r="C5880" s="12">
        <v>1512</v>
      </c>
      <c r="D5880" s="7" t="s">
        <v>8832</v>
      </c>
      <c r="E5880" s="13" t="s">
        <v>8774</v>
      </c>
      <c r="F5880" t="str">
        <f t="shared" si="455"/>
        <v>Hollowhill</v>
      </c>
      <c r="G5880" t="str">
        <f t="shared" si="456"/>
        <v>Hollowhill1512Bryan</v>
      </c>
      <c r="H5880" t="s">
        <v>36736</v>
      </c>
      <c r="I5880" t="s">
        <v>28155</v>
      </c>
      <c r="J5880" t="str">
        <f t="shared" si="457"/>
        <v>E:\PropInv\MF</v>
      </c>
      <c r="K5880" s="103" t="str">
        <f>HYPERLINK("E:\PropInv\MF\Bryan\Hollowhill Dr_1512_College Edge_Bryan_16309","Hollowhill Dr_1512_College Edge_Bryan_16309" )</f>
        <v>Hollowhill Dr_1512_College Edge_Bryan_16309</v>
      </c>
      <c r="L5880" s="104" t="s">
        <v>22253</v>
      </c>
      <c r="M5880" s="103" t="str">
        <f t="shared" si="458"/>
        <v>http://oconnordata.com/mlink/modules/profile/index.cfm?action=profile&amp;prop_id=16309</v>
      </c>
      <c r="N5880" s="1">
        <f t="shared" si="459"/>
        <v>16309</v>
      </c>
    </row>
    <row r="5881" spans="1:14" x14ac:dyDescent="0.3">
      <c r="A5881" s="1">
        <v>16310</v>
      </c>
      <c r="B5881" s="21" t="s">
        <v>686</v>
      </c>
      <c r="C5881" s="12">
        <v>603</v>
      </c>
      <c r="D5881" s="7" t="s">
        <v>504</v>
      </c>
      <c r="E5881" s="13" t="s">
        <v>8612</v>
      </c>
      <c r="F5881" t="str">
        <f t="shared" si="455"/>
        <v>SW</v>
      </c>
      <c r="G5881" t="str">
        <f t="shared" si="456"/>
        <v>SW603College Station</v>
      </c>
      <c r="H5881" t="s">
        <v>36737</v>
      </c>
      <c r="I5881" t="s">
        <v>28156</v>
      </c>
      <c r="J5881" t="str">
        <f t="shared" si="457"/>
        <v>E:\PropInv\MF</v>
      </c>
      <c r="K5881" s="103" t="str">
        <f>HYPERLINK("E:\PropInv\MF\College Station\SW Pkwy_603_Renaissance Park_College Station_16310","SW Pkwy_603_Renaissance Park_College Station_16310" )</f>
        <v>SW Pkwy_603_Renaissance Park_College Station_16310</v>
      </c>
      <c r="L5881" s="104" t="s">
        <v>22253</v>
      </c>
      <c r="M5881" s="103" t="str">
        <f t="shared" si="458"/>
        <v>http://oconnordata.com/mlink/modules/profile/index.cfm?action=profile&amp;prop_id=16310</v>
      </c>
      <c r="N5881" s="1">
        <f t="shared" si="459"/>
        <v>16310</v>
      </c>
    </row>
    <row r="5882" spans="1:14" x14ac:dyDescent="0.3">
      <c r="A5882" s="1">
        <v>16311</v>
      </c>
      <c r="B5882" s="7" t="s">
        <v>8833</v>
      </c>
      <c r="C5882" s="12">
        <v>3700</v>
      </c>
      <c r="D5882" s="7" t="s">
        <v>8834</v>
      </c>
      <c r="E5882" s="13" t="s">
        <v>4569</v>
      </c>
      <c r="F5882" t="str">
        <f t="shared" si="455"/>
        <v>9th</v>
      </c>
      <c r="G5882" t="str">
        <f t="shared" si="456"/>
        <v>9th3700Texas City</v>
      </c>
      <c r="H5882" t="s">
        <v>36738</v>
      </c>
      <c r="I5882" t="s">
        <v>28157</v>
      </c>
      <c r="J5882" t="str">
        <f t="shared" si="457"/>
        <v>E:\PropInv\MF</v>
      </c>
      <c r="K5882" s="103" t="str">
        <f>HYPERLINK("E:\PropInv\MF\Texas City\9th Ave N_3700_The Veranda_Texas City_16311","9th Ave N_3700_The Veranda_Texas City_16311" )</f>
        <v>9th Ave N_3700_The Veranda_Texas City_16311</v>
      </c>
      <c r="L5882" s="104" t="s">
        <v>22253</v>
      </c>
      <c r="M5882" s="103" t="str">
        <f t="shared" si="458"/>
        <v>http://oconnordata.com/mlink/modules/profile/index.cfm?action=profile&amp;prop_id=16311</v>
      </c>
      <c r="N5882" s="1">
        <f t="shared" si="459"/>
        <v>16311</v>
      </c>
    </row>
    <row r="5883" spans="1:14" x14ac:dyDescent="0.3">
      <c r="A5883" s="1">
        <v>16312</v>
      </c>
      <c r="B5883" s="7" t="s">
        <v>8835</v>
      </c>
      <c r="C5883" s="12">
        <v>309</v>
      </c>
      <c r="D5883" s="7" t="s">
        <v>264</v>
      </c>
      <c r="E5883" s="13" t="s">
        <v>8612</v>
      </c>
      <c r="F5883" t="str">
        <f t="shared" si="455"/>
        <v>Redmond</v>
      </c>
      <c r="G5883" t="str">
        <f t="shared" si="456"/>
        <v>Redmond309College Station</v>
      </c>
      <c r="H5883" t="s">
        <v>36739</v>
      </c>
      <c r="I5883" t="s">
        <v>28158</v>
      </c>
      <c r="J5883" t="str">
        <f t="shared" si="457"/>
        <v>E:\PropInv\MF</v>
      </c>
      <c r="K5883" s="103" t="str">
        <f>HYPERLINK("E:\PropInv\MF\College Station\Redmond Dr_309_Meridian_College Station_16312","Redmond Dr_309_Meridian_College Station_16312" )</f>
        <v>Redmond Dr_309_Meridian_College Station_16312</v>
      </c>
      <c r="L5883" s="104" t="s">
        <v>22253</v>
      </c>
      <c r="M5883" s="103" t="str">
        <f t="shared" si="458"/>
        <v>http://oconnordata.com/mlink/modules/profile/index.cfm?action=profile&amp;prop_id=16312</v>
      </c>
      <c r="N5883" s="1">
        <f t="shared" si="459"/>
        <v>16312</v>
      </c>
    </row>
    <row r="5884" spans="1:14" x14ac:dyDescent="0.3">
      <c r="A5884" s="1">
        <v>16313</v>
      </c>
      <c r="B5884" s="7" t="s">
        <v>8836</v>
      </c>
      <c r="C5884" s="12">
        <v>1210</v>
      </c>
      <c r="D5884" s="7" t="s">
        <v>2460</v>
      </c>
      <c r="E5884" s="13" t="s">
        <v>8774</v>
      </c>
      <c r="F5884" t="str">
        <f t="shared" si="455"/>
        <v>Westridge</v>
      </c>
      <c r="G5884" t="str">
        <f t="shared" si="456"/>
        <v>Westridge1210Bryan</v>
      </c>
      <c r="H5884" t="s">
        <v>36740</v>
      </c>
      <c r="I5884" t="s">
        <v>28159</v>
      </c>
      <c r="J5884" t="str">
        <f t="shared" si="457"/>
        <v>E:\PropInv\MF</v>
      </c>
      <c r="K5884" s="103" t="str">
        <f>HYPERLINK("E:\PropInv\MF\Bryan\Westridge Ct_1210_Oak Forest_Bryan_16313","Westridge Ct_1210_Oak Forest_Bryan_16313" )</f>
        <v>Westridge Ct_1210_Oak Forest_Bryan_16313</v>
      </c>
      <c r="L5884" s="104" t="s">
        <v>22253</v>
      </c>
      <c r="M5884" s="103" t="str">
        <f t="shared" si="458"/>
        <v>http://oconnordata.com/mlink/modules/profile/index.cfm?action=profile&amp;prop_id=16313</v>
      </c>
      <c r="N5884" s="1">
        <f t="shared" si="459"/>
        <v>16313</v>
      </c>
    </row>
    <row r="5885" spans="1:14" x14ac:dyDescent="0.3">
      <c r="A5885" s="1">
        <v>16314</v>
      </c>
      <c r="B5885" s="21" t="s">
        <v>686</v>
      </c>
      <c r="C5885" s="12">
        <v>502</v>
      </c>
      <c r="D5885" s="7" t="s">
        <v>3037</v>
      </c>
      <c r="E5885" s="13" t="s">
        <v>8612</v>
      </c>
      <c r="F5885" t="str">
        <f t="shared" si="455"/>
        <v>SW</v>
      </c>
      <c r="G5885" t="str">
        <f t="shared" si="456"/>
        <v>SW502College Station</v>
      </c>
      <c r="H5885" t="s">
        <v>36741</v>
      </c>
      <c r="I5885" t="s">
        <v>28160</v>
      </c>
      <c r="J5885" t="str">
        <f t="shared" si="457"/>
        <v>E:\PropInv\MF</v>
      </c>
      <c r="K5885" s="103" t="str">
        <f>HYPERLINK("E:\PropInv\MF\College Station\SW Pkwy_502_Willowick_College Station_16314","SW Pkwy_502_Willowick_College Station_16314" )</f>
        <v>SW Pkwy_502_Willowick_College Station_16314</v>
      </c>
      <c r="L5885" s="104" t="s">
        <v>22253</v>
      </c>
      <c r="M5885" s="103" t="str">
        <f t="shared" si="458"/>
        <v>http://oconnordata.com/mlink/modules/profile/index.cfm?action=profile&amp;prop_id=16314</v>
      </c>
      <c r="N5885" s="1">
        <f t="shared" si="459"/>
        <v>16314</v>
      </c>
    </row>
    <row r="5886" spans="1:14" x14ac:dyDescent="0.3">
      <c r="A5886" s="1">
        <v>16315</v>
      </c>
      <c r="B5886" s="7" t="s">
        <v>8837</v>
      </c>
      <c r="C5886" s="12">
        <v>4601</v>
      </c>
      <c r="D5886" s="7" t="s">
        <v>8838</v>
      </c>
      <c r="E5886" s="13" t="s">
        <v>7</v>
      </c>
      <c r="F5886" t="str">
        <f t="shared" si="455"/>
        <v>Saint</v>
      </c>
      <c r="G5886" t="str">
        <f t="shared" si="456"/>
        <v>Saint4601Austin</v>
      </c>
      <c r="H5886" t="s">
        <v>36742</v>
      </c>
      <c r="I5886" t="s">
        <v>28161</v>
      </c>
      <c r="J5886" t="str">
        <f t="shared" si="457"/>
        <v>E:\PropInv\MF</v>
      </c>
      <c r="K5886" s="103" t="str">
        <f>HYPERLINK("E:\PropInv\MF\Austin\Saint Elmo E_4601_King Fisher Creek_Austin_16315","Saint Elmo E_4601_King Fisher Creek_Austin_16315" )</f>
        <v>Saint Elmo E_4601_King Fisher Creek_Austin_16315</v>
      </c>
      <c r="L5886" s="104" t="s">
        <v>22253</v>
      </c>
      <c r="M5886" s="103" t="str">
        <f t="shared" si="458"/>
        <v>http://oconnordata.com/mlink/modules/profile/index.cfm?action=profile&amp;prop_id=16315</v>
      </c>
      <c r="N5886" s="1">
        <f t="shared" si="459"/>
        <v>16315</v>
      </c>
    </row>
    <row r="5887" spans="1:14" x14ac:dyDescent="0.3">
      <c r="A5887" s="1">
        <v>16316</v>
      </c>
      <c r="B5887" s="7" t="s">
        <v>8839</v>
      </c>
      <c r="C5887" s="12">
        <v>801</v>
      </c>
      <c r="D5887" s="7" t="s">
        <v>81</v>
      </c>
      <c r="E5887" s="13" t="s">
        <v>8612</v>
      </c>
      <c r="F5887" t="str">
        <f t="shared" si="455"/>
        <v>Spring</v>
      </c>
      <c r="G5887" t="str">
        <f t="shared" si="456"/>
        <v>Spring801College Station</v>
      </c>
      <c r="H5887" t="s">
        <v>36743</v>
      </c>
      <c r="I5887" t="s">
        <v>28162</v>
      </c>
      <c r="J5887" t="str">
        <f t="shared" si="457"/>
        <v>E:\PropInv\MF</v>
      </c>
      <c r="K5887" s="103" t="str">
        <f>HYPERLINK("E:\PropInv\MF\College Station\Spring Loop_801_Laurel Ridge_College Station_16316","Spring Loop_801_Laurel Ridge_College Station_16316" )</f>
        <v>Spring Loop_801_Laurel Ridge_College Station_16316</v>
      </c>
      <c r="L5887" s="104" t="s">
        <v>22253</v>
      </c>
      <c r="M5887" s="103" t="str">
        <f t="shared" si="458"/>
        <v>http://oconnordata.com/mlink/modules/profile/index.cfm?action=profile&amp;prop_id=16316</v>
      </c>
      <c r="N5887" s="1">
        <f t="shared" si="459"/>
        <v>16316</v>
      </c>
    </row>
    <row r="5888" spans="1:14" x14ac:dyDescent="0.3">
      <c r="A5888" s="1">
        <v>16317</v>
      </c>
      <c r="B5888" s="7" t="s">
        <v>8614</v>
      </c>
      <c r="C5888" s="12">
        <v>117</v>
      </c>
      <c r="D5888" s="7" t="s">
        <v>8840</v>
      </c>
      <c r="E5888" s="13" t="s">
        <v>8612</v>
      </c>
      <c r="F5888" t="str">
        <f t="shared" si="455"/>
        <v>Holleman</v>
      </c>
      <c r="G5888" t="str">
        <f t="shared" si="456"/>
        <v>Holleman117College Station</v>
      </c>
      <c r="H5888" t="s">
        <v>36744</v>
      </c>
      <c r="I5888" t="s">
        <v>28163</v>
      </c>
      <c r="J5888" t="str">
        <f t="shared" si="457"/>
        <v>E:\PropInv\MF</v>
      </c>
      <c r="K5888" s="103" t="str">
        <f>HYPERLINK("E:\PropInv\MF\College Station\Holleman Dr_117_The Gateway at College Station_College Station_16317","Holleman Dr_117_The Gateway at College Station_College Station_16317" )</f>
        <v>Holleman Dr_117_The Gateway at College Station_College Station_16317</v>
      </c>
      <c r="L5888" s="104" t="s">
        <v>22253</v>
      </c>
      <c r="M5888" s="103" t="str">
        <f t="shared" si="458"/>
        <v>http://oconnordata.com/mlink/modules/profile/index.cfm?action=profile&amp;prop_id=16317</v>
      </c>
      <c r="N5888" s="1">
        <f t="shared" si="459"/>
        <v>16317</v>
      </c>
    </row>
    <row r="5889" spans="1:14" x14ac:dyDescent="0.3">
      <c r="A5889" s="1">
        <v>16321</v>
      </c>
      <c r="B5889" s="7" t="s">
        <v>8841</v>
      </c>
      <c r="C5889" s="12">
        <v>999</v>
      </c>
      <c r="D5889" s="7" t="s">
        <v>8842</v>
      </c>
      <c r="E5889" s="13" t="s">
        <v>8774</v>
      </c>
      <c r="F5889" t="str">
        <f t="shared" si="455"/>
        <v>Villa</v>
      </c>
      <c r="G5889" t="str">
        <f t="shared" si="456"/>
        <v>Villa999Bryan</v>
      </c>
      <c r="H5889" t="s">
        <v>36745</v>
      </c>
      <c r="I5889" t="s">
        <v>28164</v>
      </c>
      <c r="J5889" t="str">
        <f t="shared" si="457"/>
        <v>E:\PropInv\MF</v>
      </c>
      <c r="K5889" s="103" t="str">
        <f>HYPERLINK("E:\PropInv\MF\Bryan\Villa Maria Rd W_999_West University Gardens_Bryan_16321","Villa Maria Rd W_999_West University Gardens_Bryan_16321" )</f>
        <v>Villa Maria Rd W_999_West University Gardens_Bryan_16321</v>
      </c>
      <c r="L5889" s="104" t="s">
        <v>22253</v>
      </c>
      <c r="M5889" s="103" t="str">
        <f t="shared" si="458"/>
        <v>http://oconnordata.com/mlink/modules/profile/index.cfm?action=profile&amp;prop_id=16321</v>
      </c>
      <c r="N5889" s="1">
        <f t="shared" si="459"/>
        <v>16321</v>
      </c>
    </row>
    <row r="5890" spans="1:14" x14ac:dyDescent="0.3">
      <c r="A5890" s="1">
        <v>16322</v>
      </c>
      <c r="B5890" s="7" t="s">
        <v>8843</v>
      </c>
      <c r="C5890" s="12">
        <v>2001</v>
      </c>
      <c r="D5890" s="7" t="s">
        <v>8844</v>
      </c>
      <c r="E5890" s="13" t="s">
        <v>8612</v>
      </c>
      <c r="F5890" t="str">
        <f t="shared" ref="F5890:F5953" si="460">IFERROR(LEFT(B5890,FIND(" ",B5890)-1),B5890)</f>
        <v>Holleman</v>
      </c>
      <c r="G5890" t="str">
        <f t="shared" ref="G5890:G5953" si="461">F5890&amp;C5890&amp;E5890</f>
        <v>Holleman2001College Station</v>
      </c>
      <c r="H5890" t="s">
        <v>36746</v>
      </c>
      <c r="I5890" t="s">
        <v>28165</v>
      </c>
      <c r="J5890" t="str">
        <f t="shared" ref="J5890:J5953" si="462">IF(L5890="TX",Folder_Path,Folder_Path&amp;"\State_"&amp;L5890)</f>
        <v>E:\PropInv\MF</v>
      </c>
      <c r="K5890" s="103" t="str">
        <f>HYPERLINK("E:\PropInv\MF\College Station\Holleman Dr W_2001_TheZone at College Station_College Station_16322","Holleman Dr W_2001_TheZone at College Station_College Station_16322" )</f>
        <v>Holleman Dr W_2001_TheZone at College Station_College Station_16322</v>
      </c>
      <c r="L5890" s="104" t="s">
        <v>22253</v>
      </c>
      <c r="M5890" s="103" t="str">
        <f t="shared" ref="M5890:M5953" si="463">HYPERLINK("http://oconnordata.com/mlink/modules/profile/index.cfm?action=profile&amp;prop_id="&amp;A5890)</f>
        <v>http://oconnordata.com/mlink/modules/profile/index.cfm?action=profile&amp;prop_id=16322</v>
      </c>
      <c r="N5890" s="1">
        <f t="shared" ref="N5890:N5953" si="464">IF(LEN(A5890)=1,"0000"&amp;A5890,IF(LEN(A5890)=2,"000"&amp;A5890,IF(LEN(A5890)=3,"00"&amp;A5890,IF(LEN(A5890)=4,"0"&amp;A5890,IF(LEN(A5890)=5,IF(LEFT(A5890,1)="3",A5890+30000,A5890))))))</f>
        <v>16322</v>
      </c>
    </row>
    <row r="5891" spans="1:14" x14ac:dyDescent="0.3">
      <c r="A5891" s="1">
        <v>16323</v>
      </c>
      <c r="B5891" s="7" t="s">
        <v>8845</v>
      </c>
      <c r="C5891" s="12">
        <v>500</v>
      </c>
      <c r="D5891" s="7" t="s">
        <v>8846</v>
      </c>
      <c r="E5891" s="13" t="s">
        <v>8774</v>
      </c>
      <c r="F5891" t="str">
        <f t="shared" si="460"/>
        <v>31st</v>
      </c>
      <c r="G5891" t="str">
        <f t="shared" si="461"/>
        <v>31st500Bryan</v>
      </c>
      <c r="H5891" t="s">
        <v>36747</v>
      </c>
      <c r="I5891" t="s">
        <v>28166</v>
      </c>
      <c r="J5891" t="str">
        <f t="shared" si="462"/>
        <v>E:\PropInv\MF</v>
      </c>
      <c r="K5891" s="103" t="str">
        <f>HYPERLINK("E:\PropInv\MF\Bryan\31st St #110 E_500_Bryan Manor_Bryan_16323","31st St #110 E_500_Bryan Manor_Bryan_16323" )</f>
        <v>31st St #110 E_500_Bryan Manor_Bryan_16323</v>
      </c>
      <c r="L5891" s="104" t="s">
        <v>22253</v>
      </c>
      <c r="M5891" s="103" t="str">
        <f t="shared" si="463"/>
        <v>http://oconnordata.com/mlink/modules/profile/index.cfm?action=profile&amp;prop_id=16323</v>
      </c>
      <c r="N5891" s="1">
        <f t="shared" si="464"/>
        <v>16323</v>
      </c>
    </row>
    <row r="5892" spans="1:14" x14ac:dyDescent="0.3">
      <c r="A5892" s="1">
        <v>16324</v>
      </c>
      <c r="B5892" s="7" t="s">
        <v>8814</v>
      </c>
      <c r="C5892" s="12">
        <v>4151</v>
      </c>
      <c r="D5892" s="7" t="s">
        <v>8847</v>
      </c>
      <c r="E5892" s="13" t="s">
        <v>8774</v>
      </c>
      <c r="F5892" t="str">
        <f t="shared" si="460"/>
        <v>Wellborn</v>
      </c>
      <c r="G5892" t="str">
        <f t="shared" si="461"/>
        <v>Wellborn4151Bryan</v>
      </c>
      <c r="H5892" t="s">
        <v>36748</v>
      </c>
      <c r="I5892" t="s">
        <v>28167</v>
      </c>
      <c r="J5892" t="str">
        <f t="shared" si="462"/>
        <v>E:\PropInv\MF</v>
      </c>
      <c r="K5892" s="103" t="str">
        <f>HYPERLINK("E:\PropInv\MF\Bryan\Wellborn Rd_4151_Aggie Station_Bryan_16324","Wellborn Rd_4151_Aggie Station_Bryan_16324" )</f>
        <v>Wellborn Rd_4151_Aggie Station_Bryan_16324</v>
      </c>
      <c r="L5892" s="104" t="s">
        <v>22253</v>
      </c>
      <c r="M5892" s="103" t="str">
        <f t="shared" si="463"/>
        <v>http://oconnordata.com/mlink/modules/profile/index.cfm?action=profile&amp;prop_id=16324</v>
      </c>
      <c r="N5892" s="1">
        <f t="shared" si="464"/>
        <v>16324</v>
      </c>
    </row>
    <row r="5893" spans="1:14" x14ac:dyDescent="0.3">
      <c r="A5893" s="1">
        <v>16326</v>
      </c>
      <c r="B5893" s="21" t="s">
        <v>2093</v>
      </c>
      <c r="C5893" s="12">
        <v>411</v>
      </c>
      <c r="D5893" s="7" t="s">
        <v>8848</v>
      </c>
      <c r="E5893" s="13" t="s">
        <v>1657</v>
      </c>
      <c r="F5893" t="str">
        <f t="shared" si="460"/>
        <v>W</v>
      </c>
      <c r="G5893" t="str">
        <f t="shared" si="461"/>
        <v>W411Houston</v>
      </c>
      <c r="H5893" t="s">
        <v>36749</v>
      </c>
      <c r="I5893" t="s">
        <v>28168</v>
      </c>
      <c r="J5893" t="str">
        <f t="shared" si="462"/>
        <v>E:\PropInv\MF</v>
      </c>
      <c r="K5893" s="103" t="str">
        <f>HYPERLINK("E:\PropInv\MF\Houston\W Rd_411_Fallbrook Ranch_Houston_16326","W Rd_411_Fallbrook Ranch_Houston_16326" )</f>
        <v>W Rd_411_Fallbrook Ranch_Houston_16326</v>
      </c>
      <c r="L5893" s="104" t="s">
        <v>22253</v>
      </c>
      <c r="M5893" s="103" t="str">
        <f t="shared" si="463"/>
        <v>http://oconnordata.com/mlink/modules/profile/index.cfm?action=profile&amp;prop_id=16326</v>
      </c>
      <c r="N5893" s="1">
        <f t="shared" si="464"/>
        <v>16326</v>
      </c>
    </row>
    <row r="5894" spans="1:14" x14ac:dyDescent="0.3">
      <c r="A5894" s="1">
        <v>16327</v>
      </c>
      <c r="B5894" s="7" t="s">
        <v>8849</v>
      </c>
      <c r="C5894" s="12">
        <v>1605</v>
      </c>
      <c r="D5894" s="7" t="s">
        <v>8850</v>
      </c>
      <c r="E5894" s="13" t="s">
        <v>5411</v>
      </c>
      <c r="F5894" t="str">
        <f t="shared" si="460"/>
        <v>Houston</v>
      </c>
      <c r="G5894" t="str">
        <f t="shared" si="461"/>
        <v>Houston1605Lancaster</v>
      </c>
      <c r="H5894" t="s">
        <v>36750</v>
      </c>
      <c r="I5894" t="s">
        <v>28169</v>
      </c>
      <c r="J5894" t="str">
        <f t="shared" si="462"/>
        <v>E:\PropInv\MF</v>
      </c>
      <c r="K5894" s="103" t="str">
        <f>HYPERLINK("E:\PropInv\MF\Lancaster\Houston School Rd N_1605_Rosemont of Lancaster_Lancaster_16327","Houston School Rd N_1605_Rosemont of Lancaster_Lancaster_16327" )</f>
        <v>Houston School Rd N_1605_Rosemont of Lancaster_Lancaster_16327</v>
      </c>
      <c r="L5894" s="104" t="s">
        <v>22253</v>
      </c>
      <c r="M5894" s="103" t="str">
        <f t="shared" si="463"/>
        <v>http://oconnordata.com/mlink/modules/profile/index.cfm?action=profile&amp;prop_id=16327</v>
      </c>
      <c r="N5894" s="1">
        <f t="shared" si="464"/>
        <v>16327</v>
      </c>
    </row>
    <row r="5895" spans="1:14" x14ac:dyDescent="0.3">
      <c r="A5895" s="1">
        <v>16329</v>
      </c>
      <c r="B5895" s="7" t="s">
        <v>8851</v>
      </c>
      <c r="C5895" s="12">
        <v>1101</v>
      </c>
      <c r="D5895" s="7" t="s">
        <v>8852</v>
      </c>
      <c r="E5895" s="13" t="s">
        <v>5046</v>
      </c>
      <c r="F5895" t="str">
        <f t="shared" si="460"/>
        <v>Oxbow</v>
      </c>
      <c r="G5895" t="str">
        <f t="shared" si="461"/>
        <v>Oxbow1101Irving</v>
      </c>
      <c r="H5895" t="s">
        <v>36751</v>
      </c>
      <c r="I5895" t="s">
        <v>28170</v>
      </c>
      <c r="J5895" t="str">
        <f t="shared" si="462"/>
        <v>E:\PropInv\MF</v>
      </c>
      <c r="K5895" s="103" t="str">
        <f>HYPERLINK("E:\PropInv\MF\Irving\Oxbow_1101_Cooper's Crossing_Irving_16329","Oxbow_1101_Cooper's Crossing_Irving_16329" )</f>
        <v>Oxbow_1101_Cooper's Crossing_Irving_16329</v>
      </c>
      <c r="L5895" s="104" t="s">
        <v>22253</v>
      </c>
      <c r="M5895" s="103" t="str">
        <f t="shared" si="463"/>
        <v>http://oconnordata.com/mlink/modules/profile/index.cfm?action=profile&amp;prop_id=16329</v>
      </c>
      <c r="N5895" s="1">
        <f t="shared" si="464"/>
        <v>16329</v>
      </c>
    </row>
    <row r="5896" spans="1:14" x14ac:dyDescent="0.3">
      <c r="A5896" s="1">
        <v>16330</v>
      </c>
      <c r="B5896" s="7" t="s">
        <v>8853</v>
      </c>
      <c r="C5896" s="12">
        <v>1301</v>
      </c>
      <c r="D5896" s="7" t="s">
        <v>8854</v>
      </c>
      <c r="E5896" s="13" t="s">
        <v>705</v>
      </c>
      <c r="F5896" t="str">
        <f t="shared" si="460"/>
        <v>Whitestone</v>
      </c>
      <c r="G5896" t="str">
        <f t="shared" si="461"/>
        <v>Whitestone1301Cedar Park</v>
      </c>
      <c r="H5896" t="s">
        <v>36752</v>
      </c>
      <c r="I5896" t="s">
        <v>28171</v>
      </c>
      <c r="J5896" t="str">
        <f t="shared" si="462"/>
        <v>E:\PropInv\MF</v>
      </c>
      <c r="K5896" s="103" t="str">
        <f>HYPERLINK("E:\PropInv\MF\Cedar Park\Whitestone W (1431 FM)_1301_Ranch at Cedar Park_Cedar Park_16330","Whitestone W (1431 FM)_1301_Ranch at Cedar Park_Cedar Park_16330" )</f>
        <v>Whitestone W (1431 FM)_1301_Ranch at Cedar Park_Cedar Park_16330</v>
      </c>
      <c r="L5896" s="104" t="s">
        <v>22253</v>
      </c>
      <c r="M5896" s="103" t="str">
        <f t="shared" si="463"/>
        <v>http://oconnordata.com/mlink/modules/profile/index.cfm?action=profile&amp;prop_id=16330</v>
      </c>
      <c r="N5896" s="1">
        <f t="shared" si="464"/>
        <v>16330</v>
      </c>
    </row>
    <row r="5897" spans="1:14" x14ac:dyDescent="0.3">
      <c r="A5897" s="1">
        <v>16331</v>
      </c>
      <c r="B5897" s="7" t="s">
        <v>8855</v>
      </c>
      <c r="C5897" s="12">
        <v>1650</v>
      </c>
      <c r="D5897" s="7" t="s">
        <v>8856</v>
      </c>
      <c r="E5897" s="13" t="s">
        <v>7522</v>
      </c>
      <c r="F5897" t="str">
        <f t="shared" si="460"/>
        <v>Holland</v>
      </c>
      <c r="G5897" t="str">
        <f t="shared" si="461"/>
        <v>Holland1650Weatherford</v>
      </c>
      <c r="H5897" t="s">
        <v>36753</v>
      </c>
      <c r="I5897" t="s">
        <v>28172</v>
      </c>
      <c r="J5897" t="str">
        <f t="shared" si="462"/>
        <v>E:\PropInv\MF</v>
      </c>
      <c r="K5897" s="103" t="str">
        <f>HYPERLINK("E:\PropInv\MF\Weatherford\Holland Lake Dr_1650_Residences at Holland Lake_Weatherford_16331","Holland Lake Dr_1650_Residences at Holland Lake_Weatherford_16331" )</f>
        <v>Holland Lake Dr_1650_Residences at Holland Lake_Weatherford_16331</v>
      </c>
      <c r="L5897" s="104" t="s">
        <v>22253</v>
      </c>
      <c r="M5897" s="103" t="str">
        <f t="shared" si="463"/>
        <v>http://oconnordata.com/mlink/modules/profile/index.cfm?action=profile&amp;prop_id=16331</v>
      </c>
      <c r="N5897" s="1">
        <f t="shared" si="464"/>
        <v>16331</v>
      </c>
    </row>
    <row r="5898" spans="1:14" x14ac:dyDescent="0.3">
      <c r="A5898" s="1">
        <v>16332</v>
      </c>
      <c r="B5898" s="7" t="s">
        <v>8857</v>
      </c>
      <c r="C5898" s="12">
        <v>2129</v>
      </c>
      <c r="D5898" s="7" t="s">
        <v>8858</v>
      </c>
      <c r="E5898" s="13" t="s">
        <v>7522</v>
      </c>
      <c r="F5898" t="str">
        <f t="shared" si="460"/>
        <v>Holly</v>
      </c>
      <c r="G5898" t="str">
        <f t="shared" si="461"/>
        <v>Holly2129Weatherford</v>
      </c>
      <c r="H5898" t="s">
        <v>36754</v>
      </c>
      <c r="I5898" t="s">
        <v>28173</v>
      </c>
      <c r="J5898" t="str">
        <f t="shared" si="462"/>
        <v>E:\PropInv\MF</v>
      </c>
      <c r="K5898" s="103" t="str">
        <f>HYPERLINK("E:\PropInv\MF\Weatherford\Holly Oaks Ln_2129_Residences at Holly Oaks I_Weatherford_16332","Holly Oaks Ln_2129_Residences at Holly Oaks I_Weatherford_16332" )</f>
        <v>Holly Oaks Ln_2129_Residences at Holly Oaks I_Weatherford_16332</v>
      </c>
      <c r="L5898" s="104" t="s">
        <v>22253</v>
      </c>
      <c r="M5898" s="103" t="str">
        <f t="shared" si="463"/>
        <v>http://oconnordata.com/mlink/modules/profile/index.cfm?action=profile&amp;prop_id=16332</v>
      </c>
      <c r="N5898" s="1">
        <f t="shared" si="464"/>
        <v>16332</v>
      </c>
    </row>
    <row r="5899" spans="1:14" x14ac:dyDescent="0.3">
      <c r="A5899" s="1">
        <v>16342</v>
      </c>
      <c r="B5899" s="7" t="s">
        <v>8859</v>
      </c>
      <c r="C5899" s="12">
        <v>350</v>
      </c>
      <c r="D5899" s="7" t="s">
        <v>8860</v>
      </c>
      <c r="E5899" s="13" t="s">
        <v>5055</v>
      </c>
      <c r="F5899" t="str">
        <f t="shared" si="460"/>
        <v>Continental</v>
      </c>
      <c r="G5899" t="str">
        <f t="shared" si="461"/>
        <v>Continental350Lewisville</v>
      </c>
      <c r="H5899" t="s">
        <v>36755</v>
      </c>
      <c r="I5899" t="s">
        <v>28174</v>
      </c>
      <c r="J5899" t="str">
        <f t="shared" si="462"/>
        <v>E:\PropInv\MF</v>
      </c>
      <c r="K5899" s="103" t="str">
        <f>HYPERLINK("E:\PropInv\MF\Lewisville\Continental Dr_350_Mira Vista Ranch_Lewisville_16342","Continental Dr_350_Mira Vista Ranch_Lewisville_16342" )</f>
        <v>Continental Dr_350_Mira Vista Ranch_Lewisville_16342</v>
      </c>
      <c r="L5899" s="104" t="s">
        <v>22253</v>
      </c>
      <c r="M5899" s="103" t="str">
        <f t="shared" si="463"/>
        <v>http://oconnordata.com/mlink/modules/profile/index.cfm?action=profile&amp;prop_id=16342</v>
      </c>
      <c r="N5899" s="1">
        <f t="shared" si="464"/>
        <v>16342</v>
      </c>
    </row>
    <row r="5900" spans="1:14" x14ac:dyDescent="0.3">
      <c r="A5900" s="1">
        <v>16343</v>
      </c>
      <c r="B5900" s="7" t="s">
        <v>8861</v>
      </c>
      <c r="C5900" s="12">
        <v>8328</v>
      </c>
      <c r="D5900" s="7" t="s">
        <v>8862</v>
      </c>
      <c r="E5900" s="13" t="s">
        <v>4996</v>
      </c>
      <c r="F5900" t="str">
        <f t="shared" si="460"/>
        <v>Willoughby</v>
      </c>
      <c r="G5900" t="str">
        <f t="shared" si="461"/>
        <v>Willoughby8328Dallas</v>
      </c>
      <c r="H5900" t="s">
        <v>36756</v>
      </c>
      <c r="I5900" t="s">
        <v>28175</v>
      </c>
      <c r="J5900" t="str">
        <f t="shared" si="462"/>
        <v>E:\PropInv\MF</v>
      </c>
      <c r="K5900" s="103" t="str">
        <f>HYPERLINK("E:\PropInv\MF\Dallas\Willoughby Blvd_8328_Willoughby Park_Dallas_16343","Willoughby Blvd_8328_Willoughby Park_Dallas_16343" )</f>
        <v>Willoughby Blvd_8328_Willoughby Park_Dallas_16343</v>
      </c>
      <c r="L5900" s="104" t="s">
        <v>22253</v>
      </c>
      <c r="M5900" s="103" t="str">
        <f t="shared" si="463"/>
        <v>http://oconnordata.com/mlink/modules/profile/index.cfm?action=profile&amp;prop_id=16343</v>
      </c>
      <c r="N5900" s="1">
        <f t="shared" si="464"/>
        <v>16343</v>
      </c>
    </row>
    <row r="5901" spans="1:14" x14ac:dyDescent="0.3">
      <c r="A5901" s="1">
        <v>16344</v>
      </c>
      <c r="B5901" s="7" t="s">
        <v>974</v>
      </c>
      <c r="C5901" s="12">
        <v>4235</v>
      </c>
      <c r="D5901" s="7" t="s">
        <v>8863</v>
      </c>
      <c r="E5901" s="13" t="s">
        <v>842</v>
      </c>
      <c r="F5901" t="str">
        <f t="shared" si="460"/>
        <v>410</v>
      </c>
      <c r="G5901" t="str">
        <f t="shared" si="461"/>
        <v>4104235San Antonio</v>
      </c>
      <c r="H5901" t="s">
        <v>36757</v>
      </c>
      <c r="I5901" t="s">
        <v>28176</v>
      </c>
      <c r="J5901" t="str">
        <f t="shared" si="462"/>
        <v>E:\PropInv\MF</v>
      </c>
      <c r="K5901" s="103" t="str">
        <f>HYPERLINK("E:\PropInv\MF\San Antonio\410 Loop NW_4235_South Point Oaks_San Antonio_16344","410 Loop NW_4235_South Point Oaks_San Antonio_16344" )</f>
        <v>410 Loop NW_4235_South Point Oaks_San Antonio_16344</v>
      </c>
      <c r="L5901" s="104" t="s">
        <v>22253</v>
      </c>
      <c r="M5901" s="103" t="str">
        <f t="shared" si="463"/>
        <v>http://oconnordata.com/mlink/modules/profile/index.cfm?action=profile&amp;prop_id=16344</v>
      </c>
      <c r="N5901" s="1">
        <f t="shared" si="464"/>
        <v>16344</v>
      </c>
    </row>
    <row r="5902" spans="1:14" x14ac:dyDescent="0.3">
      <c r="A5902" s="1">
        <v>16347</v>
      </c>
      <c r="B5902" s="7" t="s">
        <v>8864</v>
      </c>
      <c r="C5902" s="12">
        <v>10800</v>
      </c>
      <c r="D5902" s="7" t="s">
        <v>8865</v>
      </c>
      <c r="E5902" s="13" t="s">
        <v>1657</v>
      </c>
      <c r="F5902" t="str">
        <f t="shared" si="460"/>
        <v>Clay</v>
      </c>
      <c r="G5902" t="str">
        <f t="shared" si="461"/>
        <v>Clay10800Houston</v>
      </c>
      <c r="H5902" t="s">
        <v>36758</v>
      </c>
      <c r="I5902" t="s">
        <v>28177</v>
      </c>
      <c r="J5902" t="str">
        <f t="shared" si="462"/>
        <v>E:\PropInv\MF</v>
      </c>
      <c r="K5902" s="103" t="str">
        <f>HYPERLINK("E:\PropInv\MF\Houston\Clay Rd_10800_Broadstone Westway Park_Houston_16347","Clay Rd_10800_Broadstone Westway Park_Houston_16347" )</f>
        <v>Clay Rd_10800_Broadstone Westway Park_Houston_16347</v>
      </c>
      <c r="L5902" s="104" t="s">
        <v>22253</v>
      </c>
      <c r="M5902" s="103" t="str">
        <f t="shared" si="463"/>
        <v>http://oconnordata.com/mlink/modules/profile/index.cfm?action=profile&amp;prop_id=16347</v>
      </c>
      <c r="N5902" s="1">
        <f t="shared" si="464"/>
        <v>16347</v>
      </c>
    </row>
    <row r="5903" spans="1:14" x14ac:dyDescent="0.3">
      <c r="A5903" s="1">
        <v>16349</v>
      </c>
      <c r="B5903" s="7" t="s">
        <v>8866</v>
      </c>
      <c r="C5903" s="12">
        <v>10770</v>
      </c>
      <c r="D5903" s="7" t="s">
        <v>276</v>
      </c>
      <c r="E5903" s="13" t="s">
        <v>1657</v>
      </c>
      <c r="F5903" t="str">
        <f t="shared" si="460"/>
        <v>Bareley</v>
      </c>
      <c r="G5903" t="str">
        <f t="shared" si="461"/>
        <v>Bareley10770Houston</v>
      </c>
      <c r="H5903" t="s">
        <v>36759</v>
      </c>
      <c r="I5903" t="s">
        <v>28178</v>
      </c>
      <c r="J5903" t="str">
        <f t="shared" si="462"/>
        <v>E:\PropInv\MF</v>
      </c>
      <c r="K5903" s="103" t="str">
        <f>HYPERLINK("E:\PropInv\MF\Houston\Bareley Ln_10770_Oak Grove_Houston_16349","Bareley Ln_10770_Oak Grove_Houston_16349" )</f>
        <v>Bareley Ln_10770_Oak Grove_Houston_16349</v>
      </c>
      <c r="L5903" s="104" t="s">
        <v>22253</v>
      </c>
      <c r="M5903" s="103" t="str">
        <f t="shared" si="463"/>
        <v>http://oconnordata.com/mlink/modules/profile/index.cfm?action=profile&amp;prop_id=16349</v>
      </c>
      <c r="N5903" s="1">
        <f t="shared" si="464"/>
        <v>16349</v>
      </c>
    </row>
    <row r="5904" spans="1:14" x14ac:dyDescent="0.3">
      <c r="A5904" s="1">
        <v>16350</v>
      </c>
      <c r="B5904" s="7" t="s">
        <v>8867</v>
      </c>
      <c r="C5904" s="12">
        <v>18600</v>
      </c>
      <c r="D5904" s="7" t="s">
        <v>8868</v>
      </c>
      <c r="E5904" s="13" t="s">
        <v>1657</v>
      </c>
      <c r="F5904" t="str">
        <f t="shared" si="460"/>
        <v>Park</v>
      </c>
      <c r="G5904" t="str">
        <f t="shared" si="461"/>
        <v>Park18600Houston</v>
      </c>
      <c r="H5904" t="s">
        <v>36760</v>
      </c>
      <c r="I5904" t="s">
        <v>28179</v>
      </c>
      <c r="J5904" t="str">
        <f t="shared" si="462"/>
        <v>E:\PropInv\MF</v>
      </c>
      <c r="K5904" s="103" t="str">
        <f>HYPERLINK("E:\PropInv\MF\Houston\Park View Dr S_18600_Reserve by the Lake_Houston_16350","Park View Dr S_18600_Reserve by the Lake_Houston_16350" )</f>
        <v>Park View Dr S_18600_Reserve by the Lake_Houston_16350</v>
      </c>
      <c r="L5904" s="104" t="s">
        <v>22253</v>
      </c>
      <c r="M5904" s="103" t="str">
        <f t="shared" si="463"/>
        <v>http://oconnordata.com/mlink/modules/profile/index.cfm?action=profile&amp;prop_id=16350</v>
      </c>
      <c r="N5904" s="1">
        <f t="shared" si="464"/>
        <v>16350</v>
      </c>
    </row>
    <row r="5905" spans="1:14" x14ac:dyDescent="0.3">
      <c r="A5905" s="1">
        <v>16351</v>
      </c>
      <c r="B5905" s="7" t="s">
        <v>2568</v>
      </c>
      <c r="C5905" s="12">
        <v>15200</v>
      </c>
      <c r="D5905" s="7" t="s">
        <v>8869</v>
      </c>
      <c r="E5905" s="13" t="s">
        <v>1657</v>
      </c>
      <c r="F5905" t="str">
        <f t="shared" si="460"/>
        <v>Memorial</v>
      </c>
      <c r="G5905" t="str">
        <f t="shared" si="461"/>
        <v>Memorial15200Houston</v>
      </c>
      <c r="H5905" t="s">
        <v>36761</v>
      </c>
      <c r="I5905" t="s">
        <v>28180</v>
      </c>
      <c r="J5905" t="str">
        <f t="shared" si="462"/>
        <v>E:\PropInv\MF</v>
      </c>
      <c r="K5905" s="103" t="str">
        <f>HYPERLINK("E:\PropInv\MF\Houston\Memorial Dr_15200_The Village on Memorial_Houston_16351","Memorial Dr_15200_The Village on Memorial_Houston_16351" )</f>
        <v>Memorial Dr_15200_The Village on Memorial_Houston_16351</v>
      </c>
      <c r="L5905" s="104" t="s">
        <v>22253</v>
      </c>
      <c r="M5905" s="103" t="str">
        <f t="shared" si="463"/>
        <v>http://oconnordata.com/mlink/modules/profile/index.cfm?action=profile&amp;prop_id=16351</v>
      </c>
      <c r="N5905" s="1">
        <f t="shared" si="464"/>
        <v>16351</v>
      </c>
    </row>
    <row r="5906" spans="1:14" x14ac:dyDescent="0.3">
      <c r="A5906" s="1">
        <v>16352</v>
      </c>
      <c r="B5906" s="7" t="s">
        <v>8870</v>
      </c>
      <c r="C5906" s="12">
        <v>2002</v>
      </c>
      <c r="D5906" s="7" t="s">
        <v>8871</v>
      </c>
      <c r="E5906" s="13" t="s">
        <v>6555</v>
      </c>
      <c r="F5906" t="str">
        <f t="shared" si="460"/>
        <v>Mayfield</v>
      </c>
      <c r="G5906" t="str">
        <f t="shared" si="461"/>
        <v>Mayfield2002Arlington</v>
      </c>
      <c r="H5906" t="s">
        <v>36762</v>
      </c>
      <c r="I5906" t="s">
        <v>28181</v>
      </c>
      <c r="J5906" t="str">
        <f t="shared" si="462"/>
        <v>E:\PropInv\MF</v>
      </c>
      <c r="K5906" s="103" t="str">
        <f>HYPERLINK("E:\PropInv\MF\Arlington\Mayfield Rd E_2002_Rosemont at Mayfield Villas_Arlington_16352","Mayfield Rd E_2002_Rosemont at Mayfield Villas_Arlington_16352" )</f>
        <v>Mayfield Rd E_2002_Rosemont at Mayfield Villas_Arlington_16352</v>
      </c>
      <c r="L5906" s="104" t="s">
        <v>22253</v>
      </c>
      <c r="M5906" s="103" t="str">
        <f t="shared" si="463"/>
        <v>http://oconnordata.com/mlink/modules/profile/index.cfm?action=profile&amp;prop_id=16352</v>
      </c>
      <c r="N5906" s="1">
        <f t="shared" si="464"/>
        <v>16352</v>
      </c>
    </row>
    <row r="5907" spans="1:14" x14ac:dyDescent="0.3">
      <c r="A5907" s="1">
        <v>16353</v>
      </c>
      <c r="B5907" s="7" t="s">
        <v>8872</v>
      </c>
      <c r="C5907" s="12">
        <v>1991</v>
      </c>
      <c r="D5907" s="7" t="s">
        <v>8873</v>
      </c>
      <c r="E5907" s="13" t="s">
        <v>5076</v>
      </c>
      <c r="F5907" t="str">
        <f t="shared" si="460"/>
        <v>360</v>
      </c>
      <c r="G5907" t="str">
        <f t="shared" si="461"/>
        <v>3601991Grand Prairie</v>
      </c>
      <c r="H5907" t="s">
        <v>36763</v>
      </c>
      <c r="I5907" t="s">
        <v>28182</v>
      </c>
      <c r="J5907" t="str">
        <f t="shared" si="462"/>
        <v>E:\PropInv\MF</v>
      </c>
      <c r="K5907" s="103" t="str">
        <f>HYPERLINK("E:\PropInv\MF\Grand Prairie\360 Hwy W N_1991_Lost Creek_Grand Prairie_16353","360 Hwy W N_1991_Lost Creek_Grand Prairie_16353" )</f>
        <v>360 Hwy W N_1991_Lost Creek_Grand Prairie_16353</v>
      </c>
      <c r="L5907" s="104" t="s">
        <v>22253</v>
      </c>
      <c r="M5907" s="103" t="str">
        <f t="shared" si="463"/>
        <v>http://oconnordata.com/mlink/modules/profile/index.cfm?action=profile&amp;prop_id=16353</v>
      </c>
      <c r="N5907" s="1">
        <f t="shared" si="464"/>
        <v>16353</v>
      </c>
    </row>
    <row r="5908" spans="1:14" x14ac:dyDescent="0.3">
      <c r="A5908" s="1">
        <v>16354</v>
      </c>
      <c r="B5908" s="7" t="s">
        <v>8874</v>
      </c>
      <c r="C5908" s="12">
        <v>100</v>
      </c>
      <c r="D5908" s="7" t="s">
        <v>8875</v>
      </c>
      <c r="E5908" s="13" t="s">
        <v>8612</v>
      </c>
      <c r="F5908" t="str">
        <f t="shared" si="460"/>
        <v>Mortier</v>
      </c>
      <c r="G5908" t="str">
        <f t="shared" si="461"/>
        <v>Mortier100College Station</v>
      </c>
      <c r="H5908" t="s">
        <v>36764</v>
      </c>
      <c r="I5908" t="s">
        <v>28183</v>
      </c>
      <c r="J5908" t="str">
        <f t="shared" si="462"/>
        <v>E:\PropInv\MF</v>
      </c>
      <c r="K5908" s="103" t="str">
        <f>HYPERLINK("E:\PropInv\MF\College Station\Mortier Dr_100_Villas of Rock Prairie_College Station_16354","Mortier Dr_100_Villas of Rock Prairie_College Station_16354" )</f>
        <v>Mortier Dr_100_Villas of Rock Prairie_College Station_16354</v>
      </c>
      <c r="L5908" s="104" t="s">
        <v>22253</v>
      </c>
      <c r="M5908" s="103" t="str">
        <f t="shared" si="463"/>
        <v>http://oconnordata.com/mlink/modules/profile/index.cfm?action=profile&amp;prop_id=16354</v>
      </c>
      <c r="N5908" s="1">
        <f t="shared" si="464"/>
        <v>16354</v>
      </c>
    </row>
    <row r="5909" spans="1:14" x14ac:dyDescent="0.3">
      <c r="A5909" s="1">
        <v>16356</v>
      </c>
      <c r="B5909" s="7" t="s">
        <v>8876</v>
      </c>
      <c r="C5909" s="12" t="s">
        <v>8877</v>
      </c>
      <c r="D5909" s="7" t="s">
        <v>8878</v>
      </c>
      <c r="E5909" s="13" t="s">
        <v>8612</v>
      </c>
      <c r="F5909" t="str">
        <f t="shared" si="460"/>
        <v>Airline</v>
      </c>
      <c r="G5909" t="str">
        <f t="shared" si="461"/>
        <v>Airline1410BCollege Station</v>
      </c>
      <c r="H5909" t="s">
        <v>36765</v>
      </c>
      <c r="I5909" t="s">
        <v>28184</v>
      </c>
      <c r="J5909" t="str">
        <f t="shared" si="462"/>
        <v>E:\PropInv\MF</v>
      </c>
      <c r="K5909" s="103" t="str">
        <f>HYPERLINK("E:\PropInv\MF\College Station\Airline Dr_1410B_Airline Apts_College Station_16356","Airline Dr_1410B_Airline Apts_College Station_16356" )</f>
        <v>Airline Dr_1410B_Airline Apts_College Station_16356</v>
      </c>
      <c r="L5909" s="104" t="s">
        <v>22253</v>
      </c>
      <c r="M5909" s="103" t="str">
        <f t="shared" si="463"/>
        <v>http://oconnordata.com/mlink/modules/profile/index.cfm?action=profile&amp;prop_id=16356</v>
      </c>
      <c r="N5909" s="1">
        <f t="shared" si="464"/>
        <v>16356</v>
      </c>
    </row>
    <row r="5910" spans="1:14" x14ac:dyDescent="0.3">
      <c r="A5910" s="1">
        <v>16382</v>
      </c>
      <c r="B5910" s="7" t="s">
        <v>8778</v>
      </c>
      <c r="C5910" s="12">
        <v>1331</v>
      </c>
      <c r="D5910" s="7" t="s">
        <v>8879</v>
      </c>
      <c r="E5910" s="13" t="s">
        <v>8774</v>
      </c>
      <c r="F5910" t="str">
        <f t="shared" si="460"/>
        <v>Harvey</v>
      </c>
      <c r="G5910" t="str">
        <f t="shared" si="461"/>
        <v>Harvey1331Bryan</v>
      </c>
      <c r="H5910" t="s">
        <v>36766</v>
      </c>
      <c r="I5910" t="s">
        <v>28185</v>
      </c>
      <c r="J5910" t="str">
        <f t="shared" si="462"/>
        <v>E:\PropInv\MF</v>
      </c>
      <c r="K5910" s="103" t="str">
        <f>HYPERLINK("E:\PropInv\MF\Bryan\Harvey Mitchell Pkwy S_1331_Walden Pond Apts_Bryan_16382","Harvey Mitchell Pkwy S_1331_Walden Pond Apts_Bryan_16382" )</f>
        <v>Harvey Mitchell Pkwy S_1331_Walden Pond Apts_Bryan_16382</v>
      </c>
      <c r="L5910" s="104" t="s">
        <v>22253</v>
      </c>
      <c r="M5910" s="103" t="str">
        <f t="shared" si="463"/>
        <v>http://oconnordata.com/mlink/modules/profile/index.cfm?action=profile&amp;prop_id=16382</v>
      </c>
      <c r="N5910" s="1">
        <f t="shared" si="464"/>
        <v>16382</v>
      </c>
    </row>
    <row r="5911" spans="1:14" x14ac:dyDescent="0.3">
      <c r="A5911" s="1">
        <v>16386</v>
      </c>
      <c r="B5911" s="7" t="s">
        <v>8880</v>
      </c>
      <c r="C5911" s="12">
        <v>950</v>
      </c>
      <c r="D5911" s="7" t="s">
        <v>8881</v>
      </c>
      <c r="E5911" s="13" t="s">
        <v>8612</v>
      </c>
      <c r="F5911" t="str">
        <f t="shared" si="460"/>
        <v>Colgate</v>
      </c>
      <c r="G5911" t="str">
        <f t="shared" si="461"/>
        <v>Colgate950College Station</v>
      </c>
      <c r="H5911" t="s">
        <v>36767</v>
      </c>
      <c r="I5911" t="s">
        <v>28186</v>
      </c>
      <c r="J5911" t="str">
        <f t="shared" si="462"/>
        <v>E:\PropInv\MF</v>
      </c>
      <c r="K5911" s="103" t="str">
        <f>HYPERLINK("E:\PropInv\MF\College Station\Colgate Dr_950_University Commons I &amp; II_College Station_16386","Colgate Dr_950_University Commons I &amp; II_College Station_16386" )</f>
        <v>Colgate Dr_950_University Commons I &amp; II_College Station_16386</v>
      </c>
      <c r="L5911" s="104" t="s">
        <v>22253</v>
      </c>
      <c r="M5911" s="103" t="str">
        <f t="shared" si="463"/>
        <v>http://oconnordata.com/mlink/modules/profile/index.cfm?action=profile&amp;prop_id=16386</v>
      </c>
      <c r="N5911" s="1">
        <f t="shared" si="464"/>
        <v>16386</v>
      </c>
    </row>
    <row r="5912" spans="1:14" x14ac:dyDescent="0.3">
      <c r="A5912" s="1">
        <v>16388</v>
      </c>
      <c r="B5912" s="7" t="s">
        <v>8882</v>
      </c>
      <c r="C5912" s="12">
        <v>125</v>
      </c>
      <c r="D5912" s="7" t="s">
        <v>8883</v>
      </c>
      <c r="E5912" s="13" t="s">
        <v>4996</v>
      </c>
      <c r="F5912" t="str">
        <f t="shared" si="460"/>
        <v>Murdeaux</v>
      </c>
      <c r="G5912" t="str">
        <f t="shared" si="461"/>
        <v>Murdeaux125Dallas</v>
      </c>
      <c r="H5912" t="s">
        <v>36768</v>
      </c>
      <c r="I5912" t="s">
        <v>28187</v>
      </c>
      <c r="J5912" t="str">
        <f t="shared" si="462"/>
        <v>E:\PropInv\MF</v>
      </c>
      <c r="K5912" s="103" t="str">
        <f>HYPERLINK("E:\PropInv\MF\Dallas\Murdeaux Ln S_125_Sphinx at Murdeaux Villas_Dallas_16388","Murdeaux Ln S_125_Sphinx at Murdeaux Villas_Dallas_16388" )</f>
        <v>Murdeaux Ln S_125_Sphinx at Murdeaux Villas_Dallas_16388</v>
      </c>
      <c r="L5912" s="104" t="s">
        <v>22253</v>
      </c>
      <c r="M5912" s="103" t="str">
        <f t="shared" si="463"/>
        <v>http://oconnordata.com/mlink/modules/profile/index.cfm?action=profile&amp;prop_id=16388</v>
      </c>
      <c r="N5912" s="1">
        <f t="shared" si="464"/>
        <v>16388</v>
      </c>
    </row>
    <row r="5913" spans="1:14" x14ac:dyDescent="0.3">
      <c r="A5913" s="1">
        <v>16390</v>
      </c>
      <c r="B5913" s="7" t="s">
        <v>2668</v>
      </c>
      <c r="C5913" s="12">
        <v>14515</v>
      </c>
      <c r="D5913" s="7" t="s">
        <v>8884</v>
      </c>
      <c r="E5913" s="13" t="s">
        <v>1657</v>
      </c>
      <c r="F5913" t="str">
        <f t="shared" si="460"/>
        <v>Briar</v>
      </c>
      <c r="G5913" t="str">
        <f t="shared" si="461"/>
        <v>Briar14515Houston</v>
      </c>
      <c r="H5913" t="s">
        <v>36769</v>
      </c>
      <c r="I5913" t="s">
        <v>28188</v>
      </c>
      <c r="J5913" t="str">
        <f t="shared" si="462"/>
        <v>E:\PropInv\MF</v>
      </c>
      <c r="K5913" s="103" t="str">
        <f>HYPERLINK("E:\PropInv\MF\Houston\Briar Forest_14515_Marquis on Briarforest_Houston_16390","Briar Forest_14515_Marquis on Briarforest_Houston_16390" )</f>
        <v>Briar Forest_14515_Marquis on Briarforest_Houston_16390</v>
      </c>
      <c r="L5913" s="104" t="s">
        <v>22253</v>
      </c>
      <c r="M5913" s="103" t="str">
        <f t="shared" si="463"/>
        <v>http://oconnordata.com/mlink/modules/profile/index.cfm?action=profile&amp;prop_id=16390</v>
      </c>
      <c r="N5913" s="1">
        <f t="shared" si="464"/>
        <v>16390</v>
      </c>
    </row>
    <row r="5914" spans="1:14" x14ac:dyDescent="0.3">
      <c r="A5914" s="1">
        <v>16392</v>
      </c>
      <c r="B5914" s="7" t="s">
        <v>8617</v>
      </c>
      <c r="C5914" s="12">
        <v>401</v>
      </c>
      <c r="D5914" s="7" t="s">
        <v>8885</v>
      </c>
      <c r="E5914" s="13" t="s">
        <v>8612</v>
      </c>
      <c r="F5914" t="str">
        <f t="shared" si="460"/>
        <v>Harvey</v>
      </c>
      <c r="G5914" t="str">
        <f t="shared" si="461"/>
        <v>Harvey401College Station</v>
      </c>
      <c r="H5914" t="s">
        <v>36770</v>
      </c>
      <c r="I5914" t="s">
        <v>28189</v>
      </c>
      <c r="J5914" t="str">
        <f t="shared" si="462"/>
        <v>E:\PropInv\MF</v>
      </c>
      <c r="K5914" s="103" t="str">
        <f>HYPERLINK("E:\PropInv\MF\College Station\Harvey Rd_401_Campus View I_College Station_16392","Harvey Rd_401_Campus View I_College Station_16392" )</f>
        <v>Harvey Rd_401_Campus View I_College Station_16392</v>
      </c>
      <c r="L5914" s="104" t="s">
        <v>22253</v>
      </c>
      <c r="M5914" s="103" t="str">
        <f t="shared" si="463"/>
        <v>http://oconnordata.com/mlink/modules/profile/index.cfm?action=profile&amp;prop_id=16392</v>
      </c>
      <c r="N5914" s="1">
        <f t="shared" si="464"/>
        <v>16392</v>
      </c>
    </row>
    <row r="5915" spans="1:14" x14ac:dyDescent="0.3">
      <c r="A5915" s="1">
        <v>16396</v>
      </c>
      <c r="B5915" s="7" t="s">
        <v>8617</v>
      </c>
      <c r="C5915" s="12">
        <v>401</v>
      </c>
      <c r="D5915" s="7" t="s">
        <v>8886</v>
      </c>
      <c r="E5915" s="13" t="s">
        <v>8612</v>
      </c>
      <c r="F5915" t="str">
        <f t="shared" si="460"/>
        <v>Harvey</v>
      </c>
      <c r="G5915" t="str">
        <f t="shared" si="461"/>
        <v>Harvey401College Station</v>
      </c>
      <c r="H5915" t="s">
        <v>36771</v>
      </c>
      <c r="I5915" t="s">
        <v>28190</v>
      </c>
      <c r="J5915" t="str">
        <f t="shared" si="462"/>
        <v>E:\PropInv\MF</v>
      </c>
      <c r="K5915" s="103" t="str">
        <f>HYPERLINK("E:\PropInv\MF\College Station\Harvey Rd_401_Campus View II_College Station_16396","Harvey Rd_401_Campus View II_College Station_16396" )</f>
        <v>Harvey Rd_401_Campus View II_College Station_16396</v>
      </c>
      <c r="L5915" s="104" t="s">
        <v>22253</v>
      </c>
      <c r="M5915" s="103" t="str">
        <f t="shared" si="463"/>
        <v>http://oconnordata.com/mlink/modules/profile/index.cfm?action=profile&amp;prop_id=16396</v>
      </c>
      <c r="N5915" s="1">
        <f t="shared" si="464"/>
        <v>16396</v>
      </c>
    </row>
    <row r="5916" spans="1:14" x14ac:dyDescent="0.3">
      <c r="A5916" s="1">
        <v>16399</v>
      </c>
      <c r="B5916" s="7" t="s">
        <v>8887</v>
      </c>
      <c r="C5916" s="12">
        <v>6300</v>
      </c>
      <c r="D5916" s="7" t="s">
        <v>8888</v>
      </c>
      <c r="E5916" s="13" t="s">
        <v>7</v>
      </c>
      <c r="F5916" t="str">
        <f t="shared" si="460"/>
        <v>Congress</v>
      </c>
      <c r="G5916" t="str">
        <f t="shared" si="461"/>
        <v>Congress6300Austin</v>
      </c>
      <c r="H5916" t="s">
        <v>36772</v>
      </c>
      <c r="I5916" t="s">
        <v>28191</v>
      </c>
      <c r="J5916" t="str">
        <f t="shared" si="462"/>
        <v>E:\PropInv\MF</v>
      </c>
      <c r="K5916" s="103" t="str">
        <f>HYPERLINK("E:\PropInv\MF\Austin\Congress S_6300_SoCo Apts_Austin_16399","Congress S_6300_SoCo Apts_Austin_16399" )</f>
        <v>Congress S_6300_SoCo Apts_Austin_16399</v>
      </c>
      <c r="L5916" s="104" t="s">
        <v>22253</v>
      </c>
      <c r="M5916" s="103" t="str">
        <f t="shared" si="463"/>
        <v>http://oconnordata.com/mlink/modules/profile/index.cfm?action=profile&amp;prop_id=16399</v>
      </c>
      <c r="N5916" s="1">
        <f t="shared" si="464"/>
        <v>16399</v>
      </c>
    </row>
    <row r="5917" spans="1:14" x14ac:dyDescent="0.3">
      <c r="A5917" s="1">
        <v>16400</v>
      </c>
      <c r="B5917" s="7" t="s">
        <v>6704</v>
      </c>
      <c r="C5917" s="12">
        <v>575</v>
      </c>
      <c r="D5917" s="7" t="s">
        <v>5154</v>
      </c>
      <c r="E5917" s="13" t="s">
        <v>6612</v>
      </c>
      <c r="F5917" t="str">
        <f t="shared" si="460"/>
        <v>820</v>
      </c>
      <c r="G5917" t="str">
        <f t="shared" si="461"/>
        <v>820575Hurst</v>
      </c>
      <c r="H5917" t="s">
        <v>36773</v>
      </c>
      <c r="I5917" t="s">
        <v>28192</v>
      </c>
      <c r="J5917" t="str">
        <f t="shared" si="462"/>
        <v>E:\PropInv\MF</v>
      </c>
      <c r="K5917" s="103" t="str">
        <f>HYPERLINK("E:\PropInv\MF\Hurst\820 Loop NE_575_The Boulders_Hurst_16400","820 Loop NE_575_The Boulders_Hurst_16400" )</f>
        <v>820 Loop NE_575_The Boulders_Hurst_16400</v>
      </c>
      <c r="L5917" s="104" t="s">
        <v>22253</v>
      </c>
      <c r="M5917" s="103" t="str">
        <f t="shared" si="463"/>
        <v>http://oconnordata.com/mlink/modules/profile/index.cfm?action=profile&amp;prop_id=16400</v>
      </c>
      <c r="N5917" s="1">
        <f t="shared" si="464"/>
        <v>16400</v>
      </c>
    </row>
    <row r="5918" spans="1:14" x14ac:dyDescent="0.3">
      <c r="A5918" s="1">
        <v>16401</v>
      </c>
      <c r="B5918" s="7" t="s">
        <v>8889</v>
      </c>
      <c r="C5918" s="12">
        <v>18108</v>
      </c>
      <c r="D5918" s="7" t="s">
        <v>8890</v>
      </c>
      <c r="E5918" s="13" t="s">
        <v>1657</v>
      </c>
      <c r="F5918" t="str">
        <f t="shared" si="460"/>
        <v>Parkview</v>
      </c>
      <c r="G5918" t="str">
        <f t="shared" si="461"/>
        <v>Parkview18108Houston</v>
      </c>
      <c r="H5918" t="s">
        <v>36774</v>
      </c>
      <c r="I5918" t="s">
        <v>28193</v>
      </c>
      <c r="J5918" t="str">
        <f t="shared" si="462"/>
        <v>E:\PropInv\MF</v>
      </c>
      <c r="K5918" s="103" t="str">
        <f>HYPERLINK("E:\PropInv\MF\Houston\Parkview Dr S_18108_Vizcaya at Park Harbor_Houston_16401","Parkview Dr S_18108_Vizcaya at Park Harbor_Houston_16401" )</f>
        <v>Parkview Dr S_18108_Vizcaya at Park Harbor_Houston_16401</v>
      </c>
      <c r="L5918" s="104" t="s">
        <v>22253</v>
      </c>
      <c r="M5918" s="103" t="str">
        <f t="shared" si="463"/>
        <v>http://oconnordata.com/mlink/modules/profile/index.cfm?action=profile&amp;prop_id=16401</v>
      </c>
      <c r="N5918" s="1">
        <f t="shared" si="464"/>
        <v>16401</v>
      </c>
    </row>
    <row r="5919" spans="1:14" x14ac:dyDescent="0.3">
      <c r="A5919" s="1">
        <v>16403</v>
      </c>
      <c r="B5919" s="7" t="s">
        <v>8891</v>
      </c>
      <c r="C5919" s="12">
        <v>5202</v>
      </c>
      <c r="D5919" s="7" t="s">
        <v>8892</v>
      </c>
      <c r="E5919" s="13" t="s">
        <v>842</v>
      </c>
      <c r="F5919" t="str">
        <f t="shared" si="460"/>
        <v>Texana</v>
      </c>
      <c r="G5919" t="str">
        <f t="shared" si="461"/>
        <v>Texana5202San Antonio</v>
      </c>
      <c r="H5919" t="s">
        <v>36775</v>
      </c>
      <c r="I5919" t="s">
        <v>28194</v>
      </c>
      <c r="J5919" t="str">
        <f t="shared" si="462"/>
        <v>E:\PropInv\MF</v>
      </c>
      <c r="K5919" s="103" t="str">
        <f>HYPERLINK("E:\PropInv\MF\San Antonio\Texana Dr_5202_The San Miguel_San Antonio_16403","Texana Dr_5202_The San Miguel_San Antonio_16403" )</f>
        <v>Texana Dr_5202_The San Miguel_San Antonio_16403</v>
      </c>
      <c r="L5919" s="104" t="s">
        <v>22253</v>
      </c>
      <c r="M5919" s="103" t="str">
        <f t="shared" si="463"/>
        <v>http://oconnordata.com/mlink/modules/profile/index.cfm?action=profile&amp;prop_id=16403</v>
      </c>
      <c r="N5919" s="1">
        <f t="shared" si="464"/>
        <v>16403</v>
      </c>
    </row>
    <row r="5920" spans="1:14" x14ac:dyDescent="0.3">
      <c r="A5920" s="1">
        <v>16405</v>
      </c>
      <c r="B5920" s="7" t="s">
        <v>1084</v>
      </c>
      <c r="C5920" s="12">
        <v>7700</v>
      </c>
      <c r="D5920" s="7" t="s">
        <v>8893</v>
      </c>
      <c r="E5920" s="13" t="s">
        <v>842</v>
      </c>
      <c r="F5920" t="str">
        <f t="shared" si="460"/>
        <v>Ingram</v>
      </c>
      <c r="G5920" t="str">
        <f t="shared" si="461"/>
        <v>Ingram7700San Antonio</v>
      </c>
      <c r="H5920" t="s">
        <v>36776</v>
      </c>
      <c r="I5920" t="s">
        <v>28195</v>
      </c>
      <c r="J5920" t="str">
        <f t="shared" si="462"/>
        <v>E:\PropInv\MF</v>
      </c>
      <c r="K5920" s="103" t="str">
        <f>HYPERLINK("E:\PropInv\MF\San Antonio\Ingram Rd_7700_Legacy at Crown Meadows_San Antonio_16405","Ingram Rd_7700_Legacy at Crown Meadows_San Antonio_16405" )</f>
        <v>Ingram Rd_7700_Legacy at Crown Meadows_San Antonio_16405</v>
      </c>
      <c r="L5920" s="104" t="s">
        <v>22253</v>
      </c>
      <c r="M5920" s="103" t="str">
        <f t="shared" si="463"/>
        <v>http://oconnordata.com/mlink/modules/profile/index.cfm?action=profile&amp;prop_id=16405</v>
      </c>
      <c r="N5920" s="1">
        <f t="shared" si="464"/>
        <v>16405</v>
      </c>
    </row>
    <row r="5921" spans="1:14" x14ac:dyDescent="0.3">
      <c r="A5921" s="1">
        <v>16408</v>
      </c>
      <c r="B5921" s="7" t="s">
        <v>8894</v>
      </c>
      <c r="C5921" s="12">
        <v>220</v>
      </c>
      <c r="D5921" s="7" t="s">
        <v>8895</v>
      </c>
      <c r="E5921" s="13" t="s">
        <v>4996</v>
      </c>
      <c r="F5921" t="str">
        <f t="shared" si="460"/>
        <v>Overton</v>
      </c>
      <c r="G5921" t="str">
        <f t="shared" si="461"/>
        <v>Overton220Dallas</v>
      </c>
      <c r="H5921" t="s">
        <v>36777</v>
      </c>
      <c r="I5921" t="s">
        <v>28196</v>
      </c>
      <c r="J5921" t="str">
        <f t="shared" si="462"/>
        <v>E:\PropInv\MF</v>
      </c>
      <c r="K5921" s="103" t="str">
        <f>HYPERLINK("E:\PropInv\MF\Dallas\Overton Rd W_220_Madison Point_Dallas_16408","Overton Rd W_220_Madison Point_Dallas_16408" )</f>
        <v>Overton Rd W_220_Madison Point_Dallas_16408</v>
      </c>
      <c r="L5921" s="104" t="s">
        <v>22253</v>
      </c>
      <c r="M5921" s="103" t="str">
        <f t="shared" si="463"/>
        <v>http://oconnordata.com/mlink/modules/profile/index.cfm?action=profile&amp;prop_id=16408</v>
      </c>
      <c r="N5921" s="1">
        <f t="shared" si="464"/>
        <v>16408</v>
      </c>
    </row>
    <row r="5922" spans="1:14" x14ac:dyDescent="0.3">
      <c r="A5922" s="1">
        <v>16411</v>
      </c>
      <c r="B5922" s="7" t="s">
        <v>8896</v>
      </c>
      <c r="C5922" s="12">
        <v>200</v>
      </c>
      <c r="D5922" s="7" t="s">
        <v>8897</v>
      </c>
      <c r="E5922" s="13" t="s">
        <v>7522</v>
      </c>
      <c r="F5922" t="str">
        <f t="shared" si="460"/>
        <v>Atwood</v>
      </c>
      <c r="G5922" t="str">
        <f t="shared" si="461"/>
        <v>Atwood200Weatherford</v>
      </c>
      <c r="H5922" t="s">
        <v>36778</v>
      </c>
      <c r="I5922" t="s">
        <v>28197</v>
      </c>
      <c r="J5922" t="str">
        <f t="shared" si="462"/>
        <v>E:\PropInv\MF</v>
      </c>
      <c r="K5922" s="103" t="str">
        <f>HYPERLINK("E:\PropInv\MF\Weatherford\Atwood Ct_200_Cypress View Villas_Weatherford_16411","Atwood Ct_200_Cypress View Villas_Weatherford_16411" )</f>
        <v>Atwood Ct_200_Cypress View Villas_Weatherford_16411</v>
      </c>
      <c r="L5922" s="104" t="s">
        <v>22253</v>
      </c>
      <c r="M5922" s="103" t="str">
        <f t="shared" si="463"/>
        <v>http://oconnordata.com/mlink/modules/profile/index.cfm?action=profile&amp;prop_id=16411</v>
      </c>
      <c r="N5922" s="1">
        <f t="shared" si="464"/>
        <v>16411</v>
      </c>
    </row>
    <row r="5923" spans="1:14" x14ac:dyDescent="0.3">
      <c r="A5923" s="1">
        <v>16412</v>
      </c>
      <c r="B5923" s="7" t="s">
        <v>3478</v>
      </c>
      <c r="C5923" s="12">
        <v>6620</v>
      </c>
      <c r="D5923" s="7" t="s">
        <v>8898</v>
      </c>
      <c r="E5923" s="13" t="s">
        <v>1657</v>
      </c>
      <c r="F5923" t="str">
        <f t="shared" si="460"/>
        <v>Gessner</v>
      </c>
      <c r="G5923" t="str">
        <f t="shared" si="461"/>
        <v>Gessner6620Houston</v>
      </c>
      <c r="H5923" t="s">
        <v>36779</v>
      </c>
      <c r="I5923" t="s">
        <v>28198</v>
      </c>
      <c r="J5923" t="str">
        <f t="shared" si="462"/>
        <v>E:\PropInv\MF</v>
      </c>
      <c r="K5923" s="103" t="str">
        <f>HYPERLINK("E:\PropInv\MF\Houston\Gessner_6620_The Franklin_Houston_16412","Gessner_6620_The Franklin_Houston_16412" )</f>
        <v>Gessner_6620_The Franklin_Houston_16412</v>
      </c>
      <c r="L5923" s="104" t="s">
        <v>22253</v>
      </c>
      <c r="M5923" s="103" t="str">
        <f t="shared" si="463"/>
        <v>http://oconnordata.com/mlink/modules/profile/index.cfm?action=profile&amp;prop_id=16412</v>
      </c>
      <c r="N5923" s="1">
        <f t="shared" si="464"/>
        <v>16412</v>
      </c>
    </row>
    <row r="5924" spans="1:14" x14ac:dyDescent="0.3">
      <c r="A5924" s="1">
        <v>16413</v>
      </c>
      <c r="B5924" s="7" t="s">
        <v>2258</v>
      </c>
      <c r="C5924" s="12">
        <v>2000</v>
      </c>
      <c r="D5924" s="7" t="s">
        <v>8899</v>
      </c>
      <c r="E5924" s="13" t="s">
        <v>1657</v>
      </c>
      <c r="F5924" t="str">
        <f t="shared" si="460"/>
        <v>Tidwell</v>
      </c>
      <c r="G5924" t="str">
        <f t="shared" si="461"/>
        <v>Tidwell2000Houston</v>
      </c>
      <c r="H5924" t="s">
        <v>36780</v>
      </c>
      <c r="I5924" t="s">
        <v>28199</v>
      </c>
      <c r="J5924" t="str">
        <f t="shared" si="462"/>
        <v>E:\PropInv\MF</v>
      </c>
      <c r="K5924" s="103" t="str">
        <f>HYPERLINK("E:\PropInv\MF\Houston\Tidwell_2000_Heatherbrook_Houston_16413","Tidwell_2000_Heatherbrook_Houston_16413" )</f>
        <v>Tidwell_2000_Heatherbrook_Houston_16413</v>
      </c>
      <c r="L5924" s="104" t="s">
        <v>22253</v>
      </c>
      <c r="M5924" s="103" t="str">
        <f t="shared" si="463"/>
        <v>http://oconnordata.com/mlink/modules/profile/index.cfm?action=profile&amp;prop_id=16413</v>
      </c>
      <c r="N5924" s="1">
        <f t="shared" si="464"/>
        <v>16413</v>
      </c>
    </row>
    <row r="5925" spans="1:14" x14ac:dyDescent="0.3">
      <c r="A5925" s="1">
        <v>16414</v>
      </c>
      <c r="B5925" s="7" t="s">
        <v>2167</v>
      </c>
      <c r="C5925" s="12">
        <v>2056</v>
      </c>
      <c r="D5925" s="7" t="s">
        <v>8900</v>
      </c>
      <c r="E5925" s="13" t="s">
        <v>1657</v>
      </c>
      <c r="F5925" t="str">
        <f t="shared" si="460"/>
        <v>Antoine</v>
      </c>
      <c r="G5925" t="str">
        <f t="shared" si="461"/>
        <v>Antoine2056Houston</v>
      </c>
      <c r="H5925" t="s">
        <v>36781</v>
      </c>
      <c r="I5925" t="s">
        <v>28200</v>
      </c>
      <c r="J5925" t="str">
        <f t="shared" si="462"/>
        <v>E:\PropInv\MF</v>
      </c>
      <c r="K5925" s="103" t="str">
        <f>HYPERLINK("E:\PropInv\MF\Houston\Antoine Dr_2056_Lovett Manor_Houston_16414","Antoine Dr_2056_Lovett Manor_Houston_16414" )</f>
        <v>Antoine Dr_2056_Lovett Manor_Houston_16414</v>
      </c>
      <c r="L5925" s="104" t="s">
        <v>22253</v>
      </c>
      <c r="M5925" s="103" t="str">
        <f t="shared" si="463"/>
        <v>http://oconnordata.com/mlink/modules/profile/index.cfm?action=profile&amp;prop_id=16414</v>
      </c>
      <c r="N5925" s="1">
        <f t="shared" si="464"/>
        <v>16414</v>
      </c>
    </row>
    <row r="5926" spans="1:14" x14ac:dyDescent="0.3">
      <c r="A5926" s="1">
        <v>16418</v>
      </c>
      <c r="B5926" s="7" t="s">
        <v>8901</v>
      </c>
      <c r="C5926" s="12">
        <v>2601</v>
      </c>
      <c r="D5926" s="7" t="s">
        <v>8902</v>
      </c>
      <c r="E5926" s="13" t="s">
        <v>5097</v>
      </c>
      <c r="F5926" t="str">
        <f t="shared" si="460"/>
        <v>Oak</v>
      </c>
      <c r="G5926" t="str">
        <f t="shared" si="461"/>
        <v>Oak2601Denton</v>
      </c>
      <c r="H5926" t="s">
        <v>36782</v>
      </c>
      <c r="I5926" t="s">
        <v>28201</v>
      </c>
      <c r="J5926" t="str">
        <f t="shared" si="462"/>
        <v>E:\PropInv\MF</v>
      </c>
      <c r="K5926" s="103" t="str">
        <f>HYPERLINK("E:\PropInv\MF\Denton\Oak W_2601_Uptown Apts_Denton_16418","Oak W_2601_Uptown Apts_Denton_16418" )</f>
        <v>Oak W_2601_Uptown Apts_Denton_16418</v>
      </c>
      <c r="L5926" s="104" t="s">
        <v>22253</v>
      </c>
      <c r="M5926" s="103" t="str">
        <f t="shared" si="463"/>
        <v>http://oconnordata.com/mlink/modules/profile/index.cfm?action=profile&amp;prop_id=16418</v>
      </c>
      <c r="N5926" s="1">
        <f t="shared" si="464"/>
        <v>16418</v>
      </c>
    </row>
    <row r="5927" spans="1:14" x14ac:dyDescent="0.3">
      <c r="A5927" s="1">
        <v>16421</v>
      </c>
      <c r="B5927" s="7" t="s">
        <v>8903</v>
      </c>
      <c r="C5927" s="12">
        <v>7901</v>
      </c>
      <c r="D5927" s="7" t="s">
        <v>8904</v>
      </c>
      <c r="E5927" s="13" t="s">
        <v>5014</v>
      </c>
      <c r="F5927" t="str">
        <f t="shared" si="460"/>
        <v>Chandra</v>
      </c>
      <c r="G5927" t="str">
        <f t="shared" si="461"/>
        <v>Chandra7901Fort Worth</v>
      </c>
      <c r="H5927" t="s">
        <v>36783</v>
      </c>
      <c r="I5927" t="s">
        <v>28202</v>
      </c>
      <c r="J5927" t="str">
        <f t="shared" si="462"/>
        <v>E:\PropInv\MF</v>
      </c>
      <c r="K5927" s="103" t="str">
        <f>HYPERLINK("E:\PropInv\MF\Fort Worth\Chandra Ln_7901_Sycamore Center Villas_Fort Worth_16421","Chandra Ln_7901_Sycamore Center Villas_Fort Worth_16421" )</f>
        <v>Chandra Ln_7901_Sycamore Center Villas_Fort Worth_16421</v>
      </c>
      <c r="L5927" s="104" t="s">
        <v>22253</v>
      </c>
      <c r="M5927" s="103" t="str">
        <f t="shared" si="463"/>
        <v>http://oconnordata.com/mlink/modules/profile/index.cfm?action=profile&amp;prop_id=16421</v>
      </c>
      <c r="N5927" s="1">
        <f t="shared" si="464"/>
        <v>16421</v>
      </c>
    </row>
    <row r="5928" spans="1:14" x14ac:dyDescent="0.3">
      <c r="A5928" s="1">
        <v>16422</v>
      </c>
      <c r="B5928" s="7" t="s">
        <v>8905</v>
      </c>
      <c r="C5928" s="12">
        <v>9465</v>
      </c>
      <c r="D5928" s="7" t="s">
        <v>8906</v>
      </c>
      <c r="E5928" s="13" t="s">
        <v>1657</v>
      </c>
      <c r="F5928" t="str">
        <f t="shared" si="460"/>
        <v>Clearwood</v>
      </c>
      <c r="G5928" t="str">
        <f t="shared" si="461"/>
        <v>Clearwood9465Houston</v>
      </c>
      <c r="H5928" t="s">
        <v>36784</v>
      </c>
      <c r="I5928" t="s">
        <v>28203</v>
      </c>
      <c r="J5928" t="str">
        <f t="shared" si="462"/>
        <v>E:\PropInv\MF</v>
      </c>
      <c r="K5928" s="103" t="str">
        <f>HYPERLINK("E:\PropInv\MF\Houston\Clearwood Dr_9465_Clearwood Villas_Houston_16422","Clearwood Dr_9465_Clearwood Villas_Houston_16422" )</f>
        <v>Clearwood Dr_9465_Clearwood Villas_Houston_16422</v>
      </c>
      <c r="L5928" s="104" t="s">
        <v>22253</v>
      </c>
      <c r="M5928" s="103" t="str">
        <f t="shared" si="463"/>
        <v>http://oconnordata.com/mlink/modules/profile/index.cfm?action=profile&amp;prop_id=16422</v>
      </c>
      <c r="N5928" s="1">
        <f t="shared" si="464"/>
        <v>16422</v>
      </c>
    </row>
    <row r="5929" spans="1:14" x14ac:dyDescent="0.3">
      <c r="A5929" s="1">
        <v>16423</v>
      </c>
      <c r="B5929" s="7" t="s">
        <v>3688</v>
      </c>
      <c r="C5929" s="12">
        <v>4620</v>
      </c>
      <c r="D5929" s="7" t="s">
        <v>8907</v>
      </c>
      <c r="E5929" s="13" t="s">
        <v>1657</v>
      </c>
      <c r="F5929" t="str">
        <f t="shared" si="460"/>
        <v>Braeswood</v>
      </c>
      <c r="G5929" t="str">
        <f t="shared" si="461"/>
        <v>Braeswood4620Houston</v>
      </c>
      <c r="H5929" t="s">
        <v>36785</v>
      </c>
      <c r="I5929" t="s">
        <v>28204</v>
      </c>
      <c r="J5929" t="str">
        <f t="shared" si="462"/>
        <v>E:\PropInv\MF</v>
      </c>
      <c r="K5929" s="103" t="str">
        <f>HYPERLINK("E:\PropInv\MF\Houston\Braeswood N_4620_The Halstead Midrise_Houston_16423","Braeswood N_4620_The Halstead Midrise_Houston_16423" )</f>
        <v>Braeswood N_4620_The Halstead Midrise_Houston_16423</v>
      </c>
      <c r="L5929" s="104" t="s">
        <v>22253</v>
      </c>
      <c r="M5929" s="103" t="str">
        <f t="shared" si="463"/>
        <v>http://oconnordata.com/mlink/modules/profile/index.cfm?action=profile&amp;prop_id=16423</v>
      </c>
      <c r="N5929" s="1">
        <f t="shared" si="464"/>
        <v>16423</v>
      </c>
    </row>
    <row r="5930" spans="1:14" x14ac:dyDescent="0.3">
      <c r="A5930" s="1">
        <v>16424</v>
      </c>
      <c r="B5930" s="7" t="s">
        <v>8908</v>
      </c>
      <c r="C5930" s="12">
        <v>11505</v>
      </c>
      <c r="D5930" s="7" t="s">
        <v>8909</v>
      </c>
      <c r="E5930" s="13" t="s">
        <v>8910</v>
      </c>
      <c r="F5930" t="str">
        <f t="shared" si="460"/>
        <v>Marion</v>
      </c>
      <c r="G5930" t="str">
        <f t="shared" si="461"/>
        <v>Marion11505Sanger</v>
      </c>
      <c r="H5930" t="s">
        <v>36786</v>
      </c>
      <c r="I5930" t="s">
        <v>28205</v>
      </c>
      <c r="J5930" t="str">
        <f t="shared" si="462"/>
        <v>E:\PropInv\MF</v>
      </c>
      <c r="K5930" s="103" t="str">
        <f>HYPERLINK("E:\PropInv\MF\Sanger\Marion Rd_11505_The Trails of Sanger_Sanger_16424","Marion Rd_11505_The Trails of Sanger_Sanger_16424" )</f>
        <v>Marion Rd_11505_The Trails of Sanger_Sanger_16424</v>
      </c>
      <c r="L5930" s="104" t="s">
        <v>22253</v>
      </c>
      <c r="M5930" s="103" t="str">
        <f t="shared" si="463"/>
        <v>http://oconnordata.com/mlink/modules/profile/index.cfm?action=profile&amp;prop_id=16424</v>
      </c>
      <c r="N5930" s="1">
        <f t="shared" si="464"/>
        <v>16424</v>
      </c>
    </row>
    <row r="5931" spans="1:14" x14ac:dyDescent="0.3">
      <c r="A5931" s="1">
        <v>16429</v>
      </c>
      <c r="B5931" s="7" t="s">
        <v>8911</v>
      </c>
      <c r="C5931" s="12">
        <v>1002</v>
      </c>
      <c r="D5931" s="7" t="s">
        <v>8912</v>
      </c>
      <c r="E5931" s="13" t="s">
        <v>4996</v>
      </c>
      <c r="F5931" t="str">
        <f t="shared" si="460"/>
        <v>Annex</v>
      </c>
      <c r="G5931" t="str">
        <f t="shared" si="461"/>
        <v>Annex1002Dallas</v>
      </c>
      <c r="H5931" t="s">
        <v>36787</v>
      </c>
      <c r="I5931" t="s">
        <v>28206</v>
      </c>
      <c r="J5931" t="str">
        <f t="shared" si="462"/>
        <v>E:\PropInv\MF</v>
      </c>
      <c r="K5931" s="103" t="str">
        <f>HYPERLINK("E:\PropInv\MF\Dallas\Annex Ave_1002_1002 Annex_Dallas_16429","Annex Ave_1002_1002 Annex_Dallas_16429" )</f>
        <v>Annex Ave_1002_1002 Annex_Dallas_16429</v>
      </c>
      <c r="L5931" s="104" t="s">
        <v>22253</v>
      </c>
      <c r="M5931" s="103" t="str">
        <f t="shared" si="463"/>
        <v>http://oconnordata.com/mlink/modules/profile/index.cfm?action=profile&amp;prop_id=16429</v>
      </c>
      <c r="N5931" s="1">
        <f t="shared" si="464"/>
        <v>16429</v>
      </c>
    </row>
    <row r="5932" spans="1:14" x14ac:dyDescent="0.3">
      <c r="A5932" s="1">
        <v>16430</v>
      </c>
      <c r="B5932" s="7" t="s">
        <v>8913</v>
      </c>
      <c r="C5932" s="12">
        <v>1760</v>
      </c>
      <c r="D5932" s="7" t="s">
        <v>8914</v>
      </c>
      <c r="E5932" s="13" t="s">
        <v>1657</v>
      </c>
      <c r="F5932" t="str">
        <f t="shared" si="460"/>
        <v>Barker</v>
      </c>
      <c r="G5932" t="str">
        <f t="shared" si="461"/>
        <v>Barker1760Houston</v>
      </c>
      <c r="H5932" t="s">
        <v>36788</v>
      </c>
      <c r="I5932" t="s">
        <v>28207</v>
      </c>
      <c r="J5932" t="str">
        <f t="shared" si="462"/>
        <v>E:\PropInv\MF</v>
      </c>
      <c r="K5932" s="103" t="str">
        <f>HYPERLINK("E:\PropInv\MF\Houston\Barker Cypress Rd_1760_Abbey at Barker Cypress_Houston_16430","Barker Cypress Rd_1760_Abbey at Barker Cypress_Houston_16430" )</f>
        <v>Barker Cypress Rd_1760_Abbey at Barker Cypress_Houston_16430</v>
      </c>
      <c r="L5932" s="104" t="s">
        <v>22253</v>
      </c>
      <c r="M5932" s="103" t="str">
        <f t="shared" si="463"/>
        <v>http://oconnordata.com/mlink/modules/profile/index.cfm?action=profile&amp;prop_id=16430</v>
      </c>
      <c r="N5932" s="1">
        <f t="shared" si="464"/>
        <v>16430</v>
      </c>
    </row>
    <row r="5933" spans="1:14" x14ac:dyDescent="0.3">
      <c r="A5933" s="1">
        <v>16437</v>
      </c>
      <c r="B5933" s="7" t="s">
        <v>5181</v>
      </c>
      <c r="C5933" s="12">
        <v>2605</v>
      </c>
      <c r="D5933" s="7" t="s">
        <v>8915</v>
      </c>
      <c r="E5933" s="13" t="s">
        <v>4996</v>
      </c>
      <c r="F5933" t="str">
        <f t="shared" si="460"/>
        <v>John</v>
      </c>
      <c r="G5933" t="str">
        <f t="shared" si="461"/>
        <v>John2605Dallas</v>
      </c>
      <c r="H5933" t="s">
        <v>36789</v>
      </c>
      <c r="I5933" t="s">
        <v>28208</v>
      </c>
      <c r="J5933" t="str">
        <f t="shared" si="462"/>
        <v>E:\PropInv\MF</v>
      </c>
      <c r="K5933" s="103" t="str">
        <f>HYPERLINK("E:\PropInv\MF\Dallas\John Rd W_2605_Rosemont at Ash Creek_Dallas_16437","John Rd W_2605_Rosemont at Ash Creek_Dallas_16437" )</f>
        <v>John Rd W_2605_Rosemont at Ash Creek_Dallas_16437</v>
      </c>
      <c r="L5933" s="104" t="s">
        <v>22253</v>
      </c>
      <c r="M5933" s="103" t="str">
        <f t="shared" si="463"/>
        <v>http://oconnordata.com/mlink/modules/profile/index.cfm?action=profile&amp;prop_id=16437</v>
      </c>
      <c r="N5933" s="1">
        <f t="shared" si="464"/>
        <v>16437</v>
      </c>
    </row>
    <row r="5934" spans="1:14" x14ac:dyDescent="0.3">
      <c r="A5934" s="1">
        <v>16441</v>
      </c>
      <c r="B5934" s="7" t="s">
        <v>5616</v>
      </c>
      <c r="C5934" s="12">
        <v>8501</v>
      </c>
      <c r="D5934" s="7" t="s">
        <v>8916</v>
      </c>
      <c r="E5934" s="13" t="s">
        <v>4996</v>
      </c>
      <c r="F5934" t="str">
        <f t="shared" si="460"/>
        <v>Old</v>
      </c>
      <c r="G5934" t="str">
        <f t="shared" si="461"/>
        <v>Old8501Dallas</v>
      </c>
      <c r="H5934" t="s">
        <v>36790</v>
      </c>
      <c r="I5934" t="s">
        <v>28209</v>
      </c>
      <c r="J5934" t="str">
        <f t="shared" si="462"/>
        <v>E:\PropInv\MF</v>
      </c>
      <c r="K5934" s="103" t="str">
        <f>HYPERLINK("E:\PropInv\MF\Dallas\Old Hickory Trl_8501_Providence on the Park_Dallas_16441","Old Hickory Trl_8501_Providence on the Park_Dallas_16441" )</f>
        <v>Old Hickory Trl_8501_Providence on the Park_Dallas_16441</v>
      </c>
      <c r="L5934" s="104" t="s">
        <v>22253</v>
      </c>
      <c r="M5934" s="103" t="str">
        <f t="shared" si="463"/>
        <v>http://oconnordata.com/mlink/modules/profile/index.cfm?action=profile&amp;prop_id=16441</v>
      </c>
      <c r="N5934" s="1">
        <f t="shared" si="464"/>
        <v>16441</v>
      </c>
    </row>
    <row r="5935" spans="1:14" x14ac:dyDescent="0.3">
      <c r="A5935" s="1">
        <v>16455</v>
      </c>
      <c r="B5935" s="7" t="s">
        <v>4482</v>
      </c>
      <c r="C5935" s="12">
        <v>5555</v>
      </c>
      <c r="D5935" s="7" t="s">
        <v>8917</v>
      </c>
      <c r="E5935" s="13" t="s">
        <v>4484</v>
      </c>
      <c r="F5935" t="str">
        <f t="shared" si="460"/>
        <v>New</v>
      </c>
      <c r="G5935" t="str">
        <f t="shared" si="461"/>
        <v>New5555Sugar Land</v>
      </c>
      <c r="H5935" t="s">
        <v>36791</v>
      </c>
      <c r="I5935" t="s">
        <v>28210</v>
      </c>
      <c r="J5935" t="str">
        <f t="shared" si="462"/>
        <v>E:\PropInv\MF</v>
      </c>
      <c r="K5935" s="103" t="str">
        <f>HYPERLINK("E:\PropInv\MF\Sugar Land\New Territory Blvd_5555_Broadstone New Territory II_Sugar Land_16455","New Territory Blvd_5555_Broadstone New Territory II_Sugar Land_16455" )</f>
        <v>New Territory Blvd_5555_Broadstone New Territory II_Sugar Land_16455</v>
      </c>
      <c r="L5935" s="104" t="s">
        <v>22253</v>
      </c>
      <c r="M5935" s="103" t="str">
        <f t="shared" si="463"/>
        <v>http://oconnordata.com/mlink/modules/profile/index.cfm?action=profile&amp;prop_id=16455</v>
      </c>
      <c r="N5935" s="1">
        <f t="shared" si="464"/>
        <v>16455</v>
      </c>
    </row>
    <row r="5936" spans="1:14" x14ac:dyDescent="0.3">
      <c r="A5936" s="1">
        <v>16456</v>
      </c>
      <c r="B5936" s="19" t="s">
        <v>8918</v>
      </c>
      <c r="C5936" s="18">
        <v>6601</v>
      </c>
      <c r="D5936" s="19" t="s">
        <v>3598</v>
      </c>
      <c r="E5936" s="20" t="s">
        <v>1657</v>
      </c>
      <c r="F5936" t="str">
        <f t="shared" si="460"/>
        <v>Dunlap</v>
      </c>
      <c r="G5936" t="str">
        <f t="shared" si="461"/>
        <v>Dunlap6601Houston</v>
      </c>
      <c r="H5936" t="s">
        <v>36792</v>
      </c>
      <c r="I5936" t="s">
        <v>28211</v>
      </c>
      <c r="J5936" t="str">
        <f t="shared" si="462"/>
        <v>E:\PropInv\MF</v>
      </c>
      <c r="K5936" s="103" t="str">
        <f>HYPERLINK("E:\PropInv\MF\Houston\Dunlap_6601_Sterling Point_Houston_16456","Dunlap_6601_Sterling Point_Houston_16456" )</f>
        <v>Dunlap_6601_Sterling Point_Houston_16456</v>
      </c>
      <c r="L5936" s="104" t="s">
        <v>22253</v>
      </c>
      <c r="M5936" s="103" t="str">
        <f t="shared" si="463"/>
        <v>http://oconnordata.com/mlink/modules/profile/index.cfm?action=profile&amp;prop_id=16456</v>
      </c>
      <c r="N5936" s="1">
        <f t="shared" si="464"/>
        <v>16456</v>
      </c>
    </row>
    <row r="5937" spans="1:14" x14ac:dyDescent="0.3">
      <c r="A5937" s="1">
        <v>16457</v>
      </c>
      <c r="B5937" s="7" t="s">
        <v>8919</v>
      </c>
      <c r="C5937" s="12">
        <v>4900</v>
      </c>
      <c r="D5937" s="7" t="s">
        <v>8920</v>
      </c>
      <c r="E5937" s="13" t="s">
        <v>5014</v>
      </c>
      <c r="F5937" t="str">
        <f t="shared" si="460"/>
        <v>Bryant</v>
      </c>
      <c r="G5937" t="str">
        <f t="shared" si="461"/>
        <v>Bryant4900Fort Worth</v>
      </c>
      <c r="H5937" t="s">
        <v>36793</v>
      </c>
      <c r="I5937" t="s">
        <v>28212</v>
      </c>
      <c r="J5937" t="str">
        <f t="shared" si="462"/>
        <v>E:\PropInv\MF</v>
      </c>
      <c r="K5937" s="103" t="str">
        <f>HYPERLINK("E:\PropInv\MF\Fort Worth\Bryant Irvin Rd N_4900_Summit View-Valley View_Fort Worth_16457","Bryant Irvin Rd N_4900_Summit View-Valley View_Fort Worth_16457" )</f>
        <v>Bryant Irvin Rd N_4900_Summit View-Valley View_Fort Worth_16457</v>
      </c>
      <c r="L5937" s="104" t="s">
        <v>22253</v>
      </c>
      <c r="M5937" s="103" t="str">
        <f t="shared" si="463"/>
        <v>http://oconnordata.com/mlink/modules/profile/index.cfm?action=profile&amp;prop_id=16457</v>
      </c>
      <c r="N5937" s="1">
        <f t="shared" si="464"/>
        <v>16457</v>
      </c>
    </row>
    <row r="5938" spans="1:14" x14ac:dyDescent="0.3">
      <c r="A5938" s="1">
        <v>16458</v>
      </c>
      <c r="B5938" s="7" t="s">
        <v>847</v>
      </c>
      <c r="C5938" s="12">
        <v>535</v>
      </c>
      <c r="D5938" s="7" t="s">
        <v>8921</v>
      </c>
      <c r="E5938" s="13" t="s">
        <v>842</v>
      </c>
      <c r="F5938" t="str">
        <f t="shared" si="460"/>
        <v>Hutchins</v>
      </c>
      <c r="G5938" t="str">
        <f t="shared" si="461"/>
        <v>Hutchins535San Antonio</v>
      </c>
      <c r="H5938" t="s">
        <v>36794</v>
      </c>
      <c r="I5938" t="s">
        <v>28213</v>
      </c>
      <c r="J5938" t="str">
        <f t="shared" si="462"/>
        <v>E:\PropInv\MF</v>
      </c>
      <c r="K5938" s="103" t="str">
        <f>HYPERLINK("E:\PropInv\MF\San Antonio\Hutchins Place W_535_Hutchins Palms_San Antonio_16458","Hutchins Place W_535_Hutchins Palms_San Antonio_16458" )</f>
        <v>Hutchins Place W_535_Hutchins Palms_San Antonio_16458</v>
      </c>
      <c r="L5938" s="104" t="s">
        <v>22253</v>
      </c>
      <c r="M5938" s="103" t="str">
        <f t="shared" si="463"/>
        <v>http://oconnordata.com/mlink/modules/profile/index.cfm?action=profile&amp;prop_id=16458</v>
      </c>
      <c r="N5938" s="1">
        <f t="shared" si="464"/>
        <v>16458</v>
      </c>
    </row>
    <row r="5939" spans="1:14" x14ac:dyDescent="0.3">
      <c r="A5939" s="1">
        <v>16459</v>
      </c>
      <c r="B5939" s="7" t="s">
        <v>8922</v>
      </c>
      <c r="C5939" s="12">
        <v>14951</v>
      </c>
      <c r="D5939" s="7" t="s">
        <v>8923</v>
      </c>
      <c r="E5939" s="13" t="s">
        <v>1763</v>
      </c>
      <c r="F5939" t="str">
        <f t="shared" si="460"/>
        <v>Bellows</v>
      </c>
      <c r="G5939" t="str">
        <f t="shared" si="461"/>
        <v>Bellows14951Humble</v>
      </c>
      <c r="H5939" t="s">
        <v>36795</v>
      </c>
      <c r="I5939" t="s">
        <v>28214</v>
      </c>
      <c r="J5939" t="str">
        <f t="shared" si="462"/>
        <v>E:\PropInv\MF</v>
      </c>
      <c r="K5939" s="103" t="str">
        <f>HYPERLINK("E:\PropInv\MF\Humble\Bellows Falls Ln_14951_Sierra at Fall Creek_Humble_16459","Bellows Falls Ln_14951_Sierra at Fall Creek_Humble_16459" )</f>
        <v>Bellows Falls Ln_14951_Sierra at Fall Creek_Humble_16459</v>
      </c>
      <c r="L5939" s="104" t="s">
        <v>22253</v>
      </c>
      <c r="M5939" s="103" t="str">
        <f t="shared" si="463"/>
        <v>http://oconnordata.com/mlink/modules/profile/index.cfm?action=profile&amp;prop_id=16459</v>
      </c>
      <c r="N5939" s="1">
        <f t="shared" si="464"/>
        <v>16459</v>
      </c>
    </row>
    <row r="5940" spans="1:14" x14ac:dyDescent="0.3">
      <c r="A5940" s="1">
        <v>16460</v>
      </c>
      <c r="B5940" s="7" t="s">
        <v>8924</v>
      </c>
      <c r="C5940" s="12">
        <v>7526</v>
      </c>
      <c r="D5940" s="7" t="s">
        <v>8925</v>
      </c>
      <c r="E5940" s="13" t="s">
        <v>1657</v>
      </c>
      <c r="F5940" t="str">
        <f t="shared" si="460"/>
        <v>Martin</v>
      </c>
      <c r="G5940" t="str">
        <f t="shared" si="461"/>
        <v>Martin7526Houston</v>
      </c>
      <c r="H5940" t="s">
        <v>36796</v>
      </c>
      <c r="I5940" t="s">
        <v>28215</v>
      </c>
      <c r="J5940" t="str">
        <f t="shared" si="462"/>
        <v>E:\PropInv\MF</v>
      </c>
      <c r="K5940" s="103" t="str">
        <f>HYPERLINK("E:\PropInv\MF\Houston\Martin Luther King Jr Blvd_7526_Normas Plaza_Houston_16460","Martin Luther King Jr Blvd_7526_Normas Plaza_Houston_16460" )</f>
        <v>Martin Luther King Jr Blvd_7526_Normas Plaza_Houston_16460</v>
      </c>
      <c r="L5940" s="104" t="s">
        <v>22253</v>
      </c>
      <c r="M5940" s="103" t="str">
        <f t="shared" si="463"/>
        <v>http://oconnordata.com/mlink/modules/profile/index.cfm?action=profile&amp;prop_id=16460</v>
      </c>
      <c r="N5940" s="1">
        <f t="shared" si="464"/>
        <v>16460</v>
      </c>
    </row>
    <row r="5941" spans="1:14" x14ac:dyDescent="0.3">
      <c r="A5941" s="1">
        <v>16461</v>
      </c>
      <c r="B5941" s="7" t="s">
        <v>4143</v>
      </c>
      <c r="C5941" s="12">
        <v>4855</v>
      </c>
      <c r="D5941" s="7" t="s">
        <v>8926</v>
      </c>
      <c r="E5941" s="13" t="s">
        <v>1657</v>
      </c>
      <c r="F5941" t="str">
        <f t="shared" si="460"/>
        <v>Fuqua</v>
      </c>
      <c r="G5941" t="str">
        <f t="shared" si="461"/>
        <v>Fuqua4855Houston</v>
      </c>
      <c r="H5941" t="s">
        <v>36797</v>
      </c>
      <c r="I5941" t="s">
        <v>28216</v>
      </c>
      <c r="J5941" t="str">
        <f t="shared" si="462"/>
        <v>E:\PropInv\MF</v>
      </c>
      <c r="K5941" s="103" t="str">
        <f>HYPERLINK("E:\PropInv\MF\Houston\Fuqua St W_4855_Peninsula Park_Houston_16461","Fuqua St W_4855_Peninsula Park_Houston_16461" )</f>
        <v>Fuqua St W_4855_Peninsula Park_Houston_16461</v>
      </c>
      <c r="L5941" s="104" t="s">
        <v>22253</v>
      </c>
      <c r="M5941" s="103" t="str">
        <f t="shared" si="463"/>
        <v>http://oconnordata.com/mlink/modules/profile/index.cfm?action=profile&amp;prop_id=16461</v>
      </c>
      <c r="N5941" s="1">
        <f t="shared" si="464"/>
        <v>16461</v>
      </c>
    </row>
    <row r="5942" spans="1:14" x14ac:dyDescent="0.3">
      <c r="A5942" s="1">
        <v>16462</v>
      </c>
      <c r="B5942" s="7" t="s">
        <v>8927</v>
      </c>
      <c r="C5942" s="12" t="s">
        <v>8928</v>
      </c>
      <c r="D5942" s="7" t="s">
        <v>8929</v>
      </c>
      <c r="E5942" s="13" t="s">
        <v>8116</v>
      </c>
      <c r="F5942" t="str">
        <f t="shared" si="460"/>
        <v>Melanie</v>
      </c>
      <c r="G5942" t="str">
        <f t="shared" si="461"/>
        <v>Melanie1302-1406Midlothian</v>
      </c>
      <c r="H5942" t="s">
        <v>36798</v>
      </c>
      <c r="I5942" t="s">
        <v>28217</v>
      </c>
      <c r="J5942" t="str">
        <f t="shared" si="462"/>
        <v>E:\PropInv\MF</v>
      </c>
      <c r="K5942" s="103" t="str">
        <f>HYPERLINK("E:\PropInv\MF\Midlothian\Melanie Trl_1302-1406_Sierra Breeze_Midlothian_16462","Melanie Trl_1302-1406_Sierra Breeze_Midlothian_16462" )</f>
        <v>Melanie Trl_1302-1406_Sierra Breeze_Midlothian_16462</v>
      </c>
      <c r="L5942" s="104" t="s">
        <v>22253</v>
      </c>
      <c r="M5942" s="103" t="str">
        <f t="shared" si="463"/>
        <v>http://oconnordata.com/mlink/modules/profile/index.cfm?action=profile&amp;prop_id=16462</v>
      </c>
      <c r="N5942" s="1">
        <f t="shared" si="464"/>
        <v>16462</v>
      </c>
    </row>
    <row r="5943" spans="1:14" x14ac:dyDescent="0.3">
      <c r="A5943" s="1">
        <v>16470</v>
      </c>
      <c r="B5943" s="7" t="s">
        <v>534</v>
      </c>
      <c r="C5943" s="12">
        <v>9971</v>
      </c>
      <c r="D5943" s="7" t="s">
        <v>22254</v>
      </c>
      <c r="E5943" s="13" t="s">
        <v>7</v>
      </c>
      <c r="F5943" t="str">
        <f t="shared" si="460"/>
        <v>Quail</v>
      </c>
      <c r="G5943" t="str">
        <f t="shared" si="461"/>
        <v>Quail9971Austin</v>
      </c>
      <c r="H5943" t="s">
        <v>36799</v>
      </c>
      <c r="I5943" t="s">
        <v>28218</v>
      </c>
      <c r="J5943" t="str">
        <f t="shared" si="462"/>
        <v>E:\PropInv\MF</v>
      </c>
      <c r="K5943" s="103" t="str">
        <f>HYPERLINK("E:\PropInv\MF\Austin\Quail Blvd_9971_A Country Place_Austin_16470","Quail Blvd_9971_A Country Place_Austin_16470" )</f>
        <v>Quail Blvd_9971_A Country Place_Austin_16470</v>
      </c>
      <c r="L5943" s="104" t="s">
        <v>22253</v>
      </c>
      <c r="M5943" s="103" t="str">
        <f t="shared" si="463"/>
        <v>http://oconnordata.com/mlink/modules/profile/index.cfm?action=profile&amp;prop_id=16470</v>
      </c>
      <c r="N5943" s="1">
        <f t="shared" si="464"/>
        <v>16470</v>
      </c>
    </row>
    <row r="5944" spans="1:14" x14ac:dyDescent="0.3">
      <c r="A5944" s="1">
        <v>16474</v>
      </c>
      <c r="B5944" s="7" t="s">
        <v>8930</v>
      </c>
      <c r="C5944" s="12">
        <v>1231</v>
      </c>
      <c r="D5944" s="7" t="s">
        <v>8931</v>
      </c>
      <c r="E5944" s="13" t="s">
        <v>912</v>
      </c>
      <c r="F5944" t="str">
        <f t="shared" si="460"/>
        <v>Huisache</v>
      </c>
      <c r="G5944" t="str">
        <f t="shared" si="461"/>
        <v>Huisache1231New Braunfels</v>
      </c>
      <c r="H5944" t="s">
        <v>36800</v>
      </c>
      <c r="I5944" t="s">
        <v>18184</v>
      </c>
      <c r="J5944" t="str">
        <f t="shared" si="462"/>
        <v>E:\PropInv\MF</v>
      </c>
      <c r="K5944" s="103" t="str">
        <f>HYPERLINK("E:\PropInv\MF\New Braunfels\Huisache Ave_1231_Braunfels Place_New Braunfels_16474","Huisache Ave_1231_Braunfels Place_New Braunfels_16474" )</f>
        <v>Huisache Ave_1231_Braunfels Place_New Braunfels_16474</v>
      </c>
      <c r="L5944" s="104" t="s">
        <v>22253</v>
      </c>
      <c r="M5944" s="103" t="str">
        <f t="shared" si="463"/>
        <v>http://oconnordata.com/mlink/modules/profile/index.cfm?action=profile&amp;prop_id=16474</v>
      </c>
      <c r="N5944" s="1">
        <f t="shared" si="464"/>
        <v>16474</v>
      </c>
    </row>
    <row r="5945" spans="1:14" x14ac:dyDescent="0.3">
      <c r="A5945" s="1">
        <v>16475</v>
      </c>
      <c r="B5945" s="7" t="s">
        <v>8932</v>
      </c>
      <c r="C5945" s="12">
        <v>1327</v>
      </c>
      <c r="D5945" s="7" t="s">
        <v>8933</v>
      </c>
      <c r="E5945" s="13" t="s">
        <v>842</v>
      </c>
      <c r="F5945" t="str">
        <f t="shared" si="460"/>
        <v>Mission</v>
      </c>
      <c r="G5945" t="str">
        <f t="shared" si="461"/>
        <v>Mission1327San Antonio</v>
      </c>
      <c r="H5945" t="s">
        <v>36801</v>
      </c>
      <c r="I5945" t="s">
        <v>28219</v>
      </c>
      <c r="J5945" t="str">
        <f t="shared" si="462"/>
        <v>E:\PropInv\MF</v>
      </c>
      <c r="K5945" s="103" t="str">
        <f>HYPERLINK("E:\PropInv\MF\San Antonio\Mission Grande_1327_Rancho Sierra_San Antonio_16475","Mission Grande_1327_Rancho Sierra_San Antonio_16475" )</f>
        <v>Mission Grande_1327_Rancho Sierra_San Antonio_16475</v>
      </c>
      <c r="L5945" s="104" t="s">
        <v>22253</v>
      </c>
      <c r="M5945" s="103" t="str">
        <f t="shared" si="463"/>
        <v>http://oconnordata.com/mlink/modules/profile/index.cfm?action=profile&amp;prop_id=16475</v>
      </c>
      <c r="N5945" s="1">
        <f t="shared" si="464"/>
        <v>16475</v>
      </c>
    </row>
    <row r="5946" spans="1:14" x14ac:dyDescent="0.3">
      <c r="A5946" s="1">
        <v>16477</v>
      </c>
      <c r="B5946" s="7" t="s">
        <v>3180</v>
      </c>
      <c r="C5946" s="12">
        <v>9550</v>
      </c>
      <c r="D5946" s="7" t="s">
        <v>8934</v>
      </c>
      <c r="E5946" s="13" t="s">
        <v>1657</v>
      </c>
      <c r="F5946" t="str">
        <f t="shared" si="460"/>
        <v>Wayside</v>
      </c>
      <c r="G5946" t="str">
        <f t="shared" si="461"/>
        <v>Wayside9550Houston</v>
      </c>
      <c r="H5946" t="s">
        <v>36802</v>
      </c>
      <c r="I5946" t="s">
        <v>28220</v>
      </c>
      <c r="J5946" t="str">
        <f t="shared" si="462"/>
        <v>E:\PropInv\MF</v>
      </c>
      <c r="K5946" s="103" t="str">
        <f>HYPERLINK("E:\PropInv\MF\Houston\Wayside Dr N_9550_North Forest Trails_Houston_16477","Wayside Dr N_9550_North Forest Trails_Houston_16477" )</f>
        <v>Wayside Dr N_9550_North Forest Trails_Houston_16477</v>
      </c>
      <c r="L5946" s="104" t="s">
        <v>22253</v>
      </c>
      <c r="M5946" s="103" t="str">
        <f t="shared" si="463"/>
        <v>http://oconnordata.com/mlink/modules/profile/index.cfm?action=profile&amp;prop_id=16477</v>
      </c>
      <c r="N5946" s="1">
        <f t="shared" si="464"/>
        <v>16477</v>
      </c>
    </row>
    <row r="5947" spans="1:14" x14ac:dyDescent="0.3">
      <c r="A5947" s="1">
        <v>16479</v>
      </c>
      <c r="B5947" s="7" t="s">
        <v>8935</v>
      </c>
      <c r="C5947" s="12">
        <v>6300</v>
      </c>
      <c r="D5947" s="7" t="s">
        <v>8936</v>
      </c>
      <c r="E5947" s="13" t="s">
        <v>842</v>
      </c>
      <c r="F5947" t="str">
        <f t="shared" si="460"/>
        <v>Old</v>
      </c>
      <c r="G5947" t="str">
        <f t="shared" si="461"/>
        <v>Old6300San Antonio</v>
      </c>
      <c r="H5947" t="s">
        <v>36803</v>
      </c>
      <c r="I5947" t="s">
        <v>28221</v>
      </c>
      <c r="J5947" t="str">
        <f t="shared" si="462"/>
        <v>E:\PropInv\MF</v>
      </c>
      <c r="K5947" s="103" t="str">
        <f>HYPERLINK("E:\PropInv\MF\San Antonio\Old Pearsall Rd_6300_Rosemont at Millers Pond_San Antonio_16479","Old Pearsall Rd_6300_Rosemont at Millers Pond_San Antonio_16479" )</f>
        <v>Old Pearsall Rd_6300_Rosemont at Millers Pond_San Antonio_16479</v>
      </c>
      <c r="L5947" s="104" t="s">
        <v>22253</v>
      </c>
      <c r="M5947" s="103" t="str">
        <f t="shared" si="463"/>
        <v>http://oconnordata.com/mlink/modules/profile/index.cfm?action=profile&amp;prop_id=16479</v>
      </c>
      <c r="N5947" s="1">
        <f t="shared" si="464"/>
        <v>16479</v>
      </c>
    </row>
    <row r="5948" spans="1:14" x14ac:dyDescent="0.3">
      <c r="A5948" s="1">
        <v>16486</v>
      </c>
      <c r="B5948" s="7" t="s">
        <v>4032</v>
      </c>
      <c r="C5948" s="12">
        <v>15000</v>
      </c>
      <c r="D5948" s="7" t="s">
        <v>8937</v>
      </c>
      <c r="E5948" s="13" t="s">
        <v>1657</v>
      </c>
      <c r="F5948" t="str">
        <f t="shared" si="460"/>
        <v>Airport</v>
      </c>
      <c r="G5948" t="str">
        <f t="shared" si="461"/>
        <v>Airport15000Houston</v>
      </c>
      <c r="H5948" t="s">
        <v>36804</v>
      </c>
      <c r="I5948" t="s">
        <v>28222</v>
      </c>
      <c r="J5948" t="str">
        <f t="shared" si="462"/>
        <v>E:\PropInv\MF</v>
      </c>
      <c r="K5948" s="103" t="str">
        <f>HYPERLINK("E:\PropInv\MF\Houston\Airport Blvd W_15000_Reserve At Woodbridge_Houston_16486","Airport Blvd W_15000_Reserve At Woodbridge_Houston_16486" )</f>
        <v>Airport Blvd W_15000_Reserve At Woodbridge_Houston_16486</v>
      </c>
      <c r="L5948" s="104" t="s">
        <v>22253</v>
      </c>
      <c r="M5948" s="103" t="str">
        <f t="shared" si="463"/>
        <v>http://oconnordata.com/mlink/modules/profile/index.cfm?action=profile&amp;prop_id=16486</v>
      </c>
      <c r="N5948" s="1">
        <f t="shared" si="464"/>
        <v>16486</v>
      </c>
    </row>
    <row r="5949" spans="1:14" x14ac:dyDescent="0.3">
      <c r="A5949" s="1">
        <v>16487</v>
      </c>
      <c r="B5949" s="7" t="s">
        <v>8938</v>
      </c>
      <c r="C5949" s="12">
        <v>15270</v>
      </c>
      <c r="D5949" s="7" t="s">
        <v>8939</v>
      </c>
      <c r="E5949" s="13" t="s">
        <v>4484</v>
      </c>
      <c r="F5949" t="str">
        <f t="shared" si="460"/>
        <v>Voss</v>
      </c>
      <c r="G5949" t="str">
        <f t="shared" si="461"/>
        <v>Voss15270Sugar Land</v>
      </c>
      <c r="H5949" t="s">
        <v>36805</v>
      </c>
      <c r="I5949" t="s">
        <v>28223</v>
      </c>
      <c r="J5949" t="str">
        <f t="shared" si="462"/>
        <v>E:\PropInv\MF</v>
      </c>
      <c r="K5949" s="103" t="str">
        <f>HYPERLINK("E:\PropInv\MF\Sugar Land\Voss Rd_15270_Pebble Creek Ranch_Sugar Land_16487","Voss Rd_15270_Pebble Creek Ranch_Sugar Land_16487" )</f>
        <v>Voss Rd_15270_Pebble Creek Ranch_Sugar Land_16487</v>
      </c>
      <c r="L5949" s="104" t="s">
        <v>22253</v>
      </c>
      <c r="M5949" s="103" t="str">
        <f t="shared" si="463"/>
        <v>http://oconnordata.com/mlink/modules/profile/index.cfm?action=profile&amp;prop_id=16487</v>
      </c>
      <c r="N5949" s="1">
        <f t="shared" si="464"/>
        <v>16487</v>
      </c>
    </row>
    <row r="5950" spans="1:14" x14ac:dyDescent="0.3">
      <c r="A5950" s="1">
        <v>16490</v>
      </c>
      <c r="B5950" s="7" t="s">
        <v>8940</v>
      </c>
      <c r="C5950" s="12">
        <v>2819</v>
      </c>
      <c r="D5950" s="7" t="s">
        <v>8941</v>
      </c>
      <c r="E5950" s="13" t="s">
        <v>4996</v>
      </c>
      <c r="F5950" t="str">
        <f t="shared" si="460"/>
        <v>Fitzhugh</v>
      </c>
      <c r="G5950" t="str">
        <f t="shared" si="461"/>
        <v>Fitzhugh2819Dallas</v>
      </c>
      <c r="H5950" t="s">
        <v>36806</v>
      </c>
      <c r="I5950" t="s">
        <v>28224</v>
      </c>
      <c r="J5950" t="str">
        <f t="shared" si="462"/>
        <v>E:\PropInv\MF</v>
      </c>
      <c r="K5950" s="103" t="str">
        <f>HYPERLINK("E:\PropInv\MF\Dallas\Fitzhugh Ave N_2819_Vue Fitzhugh_Dallas_16490","Fitzhugh Ave N_2819_Vue Fitzhugh_Dallas_16490" )</f>
        <v>Fitzhugh Ave N_2819_Vue Fitzhugh_Dallas_16490</v>
      </c>
      <c r="L5950" s="104" t="s">
        <v>22253</v>
      </c>
      <c r="M5950" s="103" t="str">
        <f t="shared" si="463"/>
        <v>http://oconnordata.com/mlink/modules/profile/index.cfm?action=profile&amp;prop_id=16490</v>
      </c>
      <c r="N5950" s="1">
        <f t="shared" si="464"/>
        <v>16490</v>
      </c>
    </row>
    <row r="5951" spans="1:14" x14ac:dyDescent="0.3">
      <c r="A5951" s="1">
        <v>16491</v>
      </c>
      <c r="B5951" s="10" t="s">
        <v>6586</v>
      </c>
      <c r="C5951" s="9">
        <v>2600</v>
      </c>
      <c r="D5951" s="10" t="s">
        <v>8942</v>
      </c>
      <c r="E5951" s="11" t="s">
        <v>5014</v>
      </c>
      <c r="F5951" t="str">
        <f t="shared" si="460"/>
        <v>Western</v>
      </c>
      <c r="G5951" t="str">
        <f t="shared" si="461"/>
        <v>Western2600Fort Worth</v>
      </c>
      <c r="H5951" t="s">
        <v>36807</v>
      </c>
      <c r="I5951" t="s">
        <v>28225</v>
      </c>
      <c r="J5951" t="str">
        <f t="shared" si="462"/>
        <v>E:\PropInv\MF</v>
      </c>
      <c r="K5951" s="103" t="str">
        <f>HYPERLINK("E:\PropInv\MF\Fort Worth\Western Center Blvd_2600_Ironwood Crossing_Fort Worth_16491","Western Center Blvd_2600_Ironwood Crossing_Fort Worth_16491" )</f>
        <v>Western Center Blvd_2600_Ironwood Crossing_Fort Worth_16491</v>
      </c>
      <c r="L5951" s="104" t="s">
        <v>22253</v>
      </c>
      <c r="M5951" s="103" t="str">
        <f t="shared" si="463"/>
        <v>http://oconnordata.com/mlink/modules/profile/index.cfm?action=profile&amp;prop_id=16491</v>
      </c>
      <c r="N5951" s="1">
        <f t="shared" si="464"/>
        <v>16491</v>
      </c>
    </row>
    <row r="5952" spans="1:14" x14ac:dyDescent="0.3">
      <c r="A5952" s="1">
        <v>16494</v>
      </c>
      <c r="B5952" s="7" t="s">
        <v>5880</v>
      </c>
      <c r="C5952" s="12">
        <v>2215</v>
      </c>
      <c r="D5952" s="7" t="s">
        <v>8943</v>
      </c>
      <c r="E5952" s="13" t="s">
        <v>4996</v>
      </c>
      <c r="F5952" t="str">
        <f t="shared" si="460"/>
        <v>Cedar</v>
      </c>
      <c r="G5952" t="str">
        <f t="shared" si="461"/>
        <v>Cedar2215Dallas</v>
      </c>
      <c r="H5952" t="s">
        <v>36808</v>
      </c>
      <c r="I5952" t="s">
        <v>28226</v>
      </c>
      <c r="J5952" t="str">
        <f t="shared" si="462"/>
        <v>E:\PropInv\MF</v>
      </c>
      <c r="K5952" s="103" t="str">
        <f>HYPERLINK("E:\PropInv\MF\Dallas\Cedar Springs Rd_2215_The Ashton_Dallas_16494","Cedar Springs Rd_2215_The Ashton_Dallas_16494" )</f>
        <v>Cedar Springs Rd_2215_The Ashton_Dallas_16494</v>
      </c>
      <c r="L5952" s="104" t="s">
        <v>22253</v>
      </c>
      <c r="M5952" s="103" t="str">
        <f t="shared" si="463"/>
        <v>http://oconnordata.com/mlink/modules/profile/index.cfm?action=profile&amp;prop_id=16494</v>
      </c>
      <c r="N5952" s="1">
        <f t="shared" si="464"/>
        <v>16494</v>
      </c>
    </row>
    <row r="5953" spans="1:14" x14ac:dyDescent="0.3">
      <c r="A5953" s="1">
        <v>16509</v>
      </c>
      <c r="B5953" s="7" t="s">
        <v>8944</v>
      </c>
      <c r="C5953" s="12">
        <v>121</v>
      </c>
      <c r="D5953" s="7" t="s">
        <v>8945</v>
      </c>
      <c r="E5953" s="13" t="s">
        <v>16</v>
      </c>
      <c r="F5953" t="str">
        <f t="shared" si="460"/>
        <v>River</v>
      </c>
      <c r="G5953" t="str">
        <f t="shared" si="461"/>
        <v>River121Georgetown</v>
      </c>
      <c r="H5953" t="s">
        <v>36809</v>
      </c>
      <c r="I5953" t="s">
        <v>28227</v>
      </c>
      <c r="J5953" t="str">
        <f t="shared" si="462"/>
        <v>E:\PropInv\MF</v>
      </c>
      <c r="K5953" s="103" t="str">
        <f>HYPERLINK("E:\PropInv\MF\Georgetown\River Bend Dr_121_Mariposa at River Bend Apts_Georgetown_16509","River Bend Dr_121_Mariposa at River Bend Apts_Georgetown_16509" )</f>
        <v>River Bend Dr_121_Mariposa at River Bend Apts_Georgetown_16509</v>
      </c>
      <c r="L5953" s="104" t="s">
        <v>22253</v>
      </c>
      <c r="M5953" s="103" t="str">
        <f t="shared" si="463"/>
        <v>http://oconnordata.com/mlink/modules/profile/index.cfm?action=profile&amp;prop_id=16509</v>
      </c>
      <c r="N5953" s="1">
        <f t="shared" si="464"/>
        <v>16509</v>
      </c>
    </row>
    <row r="5954" spans="1:14" x14ac:dyDescent="0.3">
      <c r="A5954" s="1">
        <v>16510</v>
      </c>
      <c r="B5954" s="7" t="s">
        <v>1489</v>
      </c>
      <c r="C5954" s="12">
        <v>5414</v>
      </c>
      <c r="D5954" s="7" t="s">
        <v>8946</v>
      </c>
      <c r="E5954" s="13" t="s">
        <v>842</v>
      </c>
      <c r="F5954" t="str">
        <f t="shared" ref="F5954:F6017" si="465">IFERROR(LEFT(B5954,FIND(" ",B5954)-1),B5954)</f>
        <v>Midcrown</v>
      </c>
      <c r="G5954" t="str">
        <f t="shared" ref="G5954:G6017" si="466">F5954&amp;C5954&amp;E5954</f>
        <v>Midcrown5414San Antonio</v>
      </c>
      <c r="H5954" t="s">
        <v>36810</v>
      </c>
      <c r="I5954" t="s">
        <v>28228</v>
      </c>
      <c r="J5954" t="str">
        <f t="shared" ref="J5954:J6017" si="467">IF(L5954="TX",Folder_Path,Folder_Path&amp;"\State_"&amp;L5954)</f>
        <v>E:\PropInv\MF</v>
      </c>
      <c r="K5954" s="103" t="str">
        <f>HYPERLINK("E:\PropInv\MF\San Antonio\Midcrown Dr_5414_Midcrown Senior Pavilion_San Antonio_16510","Midcrown Dr_5414_Midcrown Senior Pavilion_San Antonio_16510" )</f>
        <v>Midcrown Dr_5414_Midcrown Senior Pavilion_San Antonio_16510</v>
      </c>
      <c r="L5954" s="104" t="s">
        <v>22253</v>
      </c>
      <c r="M5954" s="103" t="str">
        <f t="shared" ref="M5954:M6017" si="468">HYPERLINK("http://oconnordata.com/mlink/modules/profile/index.cfm?action=profile&amp;prop_id="&amp;A5954)</f>
        <v>http://oconnordata.com/mlink/modules/profile/index.cfm?action=profile&amp;prop_id=16510</v>
      </c>
      <c r="N5954" s="1">
        <f t="shared" ref="N5954:N6017" si="469">IF(LEN(A5954)=1,"0000"&amp;A5954,IF(LEN(A5954)=2,"000"&amp;A5954,IF(LEN(A5954)=3,"00"&amp;A5954,IF(LEN(A5954)=4,"0"&amp;A5954,IF(LEN(A5954)=5,IF(LEFT(A5954,1)="3",A5954+30000,A5954))))))</f>
        <v>16510</v>
      </c>
    </row>
    <row r="5955" spans="1:14" x14ac:dyDescent="0.3">
      <c r="A5955" s="1">
        <v>16511</v>
      </c>
      <c r="B5955" s="7" t="s">
        <v>2247</v>
      </c>
      <c r="C5955" s="12">
        <v>3700</v>
      </c>
      <c r="D5955" s="7" t="s">
        <v>8947</v>
      </c>
      <c r="E5955" s="13" t="s">
        <v>5097</v>
      </c>
      <c r="F5955" t="str">
        <f t="shared" si="465"/>
        <v>Quail</v>
      </c>
      <c r="G5955" t="str">
        <f t="shared" si="466"/>
        <v>Quail3700Denton</v>
      </c>
      <c r="H5955" t="s">
        <v>36811</v>
      </c>
      <c r="I5955" t="s">
        <v>28229</v>
      </c>
      <c r="J5955" t="str">
        <f t="shared" si="467"/>
        <v>E:\PropInv\MF</v>
      </c>
      <c r="K5955" s="103" t="str">
        <f>HYPERLINK("E:\PropInv\MF\Denton\Quail Creek_3700_Providence Place II_Denton_16511","Quail Creek_3700_Providence Place II_Denton_16511" )</f>
        <v>Quail Creek_3700_Providence Place II_Denton_16511</v>
      </c>
      <c r="L5955" s="104" t="s">
        <v>22253</v>
      </c>
      <c r="M5955" s="103" t="str">
        <f t="shared" si="468"/>
        <v>http://oconnordata.com/mlink/modules/profile/index.cfm?action=profile&amp;prop_id=16511</v>
      </c>
      <c r="N5955" s="1">
        <f t="shared" si="469"/>
        <v>16511</v>
      </c>
    </row>
    <row r="5956" spans="1:14" x14ac:dyDescent="0.3">
      <c r="A5956" s="1">
        <v>16512</v>
      </c>
      <c r="B5956" s="7" t="s">
        <v>8948</v>
      </c>
      <c r="C5956" s="12">
        <v>4307</v>
      </c>
      <c r="D5956" s="7" t="s">
        <v>8949</v>
      </c>
      <c r="E5956" s="13" t="s">
        <v>5014</v>
      </c>
      <c r="F5956" t="str">
        <f t="shared" si="465"/>
        <v>Old</v>
      </c>
      <c r="G5956" t="str">
        <f t="shared" si="466"/>
        <v>Old4307Fort Worth</v>
      </c>
      <c r="H5956" t="s">
        <v>36812</v>
      </c>
      <c r="I5956" t="s">
        <v>28230</v>
      </c>
      <c r="J5956" t="str">
        <f t="shared" si="467"/>
        <v>E:\PropInv\MF</v>
      </c>
      <c r="K5956" s="103" t="str">
        <f>HYPERLINK("E:\PropInv\MF\Fort Worth\Old Decatur Rd_4307_Providence Village at Marine Creek_Fort Worth_16512","Old Decatur Rd_4307_Providence Village at Marine Creek_Fort Worth_16512" )</f>
        <v>Old Decatur Rd_4307_Providence Village at Marine Creek_Fort Worth_16512</v>
      </c>
      <c r="L5956" s="104" t="s">
        <v>22253</v>
      </c>
      <c r="M5956" s="103" t="str">
        <f t="shared" si="468"/>
        <v>http://oconnordata.com/mlink/modules/profile/index.cfm?action=profile&amp;prop_id=16512</v>
      </c>
      <c r="N5956" s="1">
        <f t="shared" si="469"/>
        <v>16512</v>
      </c>
    </row>
    <row r="5957" spans="1:14" x14ac:dyDescent="0.3">
      <c r="A5957" s="1">
        <v>16513</v>
      </c>
      <c r="B5957" s="7" t="s">
        <v>8950</v>
      </c>
      <c r="C5957" s="12">
        <v>2803</v>
      </c>
      <c r="D5957" s="7" t="s">
        <v>8951</v>
      </c>
      <c r="E5957" s="13" t="s">
        <v>842</v>
      </c>
      <c r="F5957" t="str">
        <f t="shared" si="465"/>
        <v>Fredericksberg</v>
      </c>
      <c r="G5957" t="str">
        <f t="shared" si="466"/>
        <v>Fredericksberg2803San Antonio</v>
      </c>
      <c r="H5957" t="s">
        <v>36813</v>
      </c>
      <c r="I5957" t="s">
        <v>28231</v>
      </c>
      <c r="J5957" t="str">
        <f t="shared" si="467"/>
        <v>E:\PropInv\MF</v>
      </c>
      <c r="K5957" s="103" t="str">
        <f>HYPERLINK("E:\PropInv\MF\San Antonio\Fredericksberg Rd_2803_Primrose at Monticello Park_San Antonio_16513","Fredericksberg Rd_2803_Primrose at Monticello Park_San Antonio_16513" )</f>
        <v>Fredericksberg Rd_2803_Primrose at Monticello Park_San Antonio_16513</v>
      </c>
      <c r="L5957" s="104" t="s">
        <v>22253</v>
      </c>
      <c r="M5957" s="103" t="str">
        <f t="shared" si="468"/>
        <v>http://oconnordata.com/mlink/modules/profile/index.cfm?action=profile&amp;prop_id=16513</v>
      </c>
      <c r="N5957" s="1">
        <f t="shared" si="469"/>
        <v>16513</v>
      </c>
    </row>
    <row r="5958" spans="1:14" x14ac:dyDescent="0.3">
      <c r="A5958" s="1">
        <v>16514</v>
      </c>
      <c r="B5958" s="7" t="s">
        <v>1051</v>
      </c>
      <c r="C5958" s="12">
        <v>12436</v>
      </c>
      <c r="D5958" s="7" t="s">
        <v>8952</v>
      </c>
      <c r="E5958" s="13" t="s">
        <v>842</v>
      </c>
      <c r="F5958" t="str">
        <f t="shared" si="465"/>
        <v>Vance</v>
      </c>
      <c r="G5958" t="str">
        <f t="shared" si="466"/>
        <v>Vance12436San Antonio</v>
      </c>
      <c r="H5958" t="s">
        <v>36814</v>
      </c>
      <c r="I5958" t="s">
        <v>28232</v>
      </c>
      <c r="J5958" t="str">
        <f t="shared" si="467"/>
        <v>E:\PropInv\MF</v>
      </c>
      <c r="K5958" s="103" t="str">
        <f>HYPERLINK("E:\PropInv\MF\San Antonio\Vance Jackson Rd_12436_Vistas of Vance Jackson_San Antonio_16514","Vance Jackson Rd_12436_Vistas of Vance Jackson_San Antonio_16514" )</f>
        <v>Vance Jackson Rd_12436_Vistas of Vance Jackson_San Antonio_16514</v>
      </c>
      <c r="L5958" s="104" t="s">
        <v>22253</v>
      </c>
      <c r="M5958" s="103" t="str">
        <f t="shared" si="468"/>
        <v>http://oconnordata.com/mlink/modules/profile/index.cfm?action=profile&amp;prop_id=16514</v>
      </c>
      <c r="N5958" s="1">
        <f t="shared" si="469"/>
        <v>16514</v>
      </c>
    </row>
    <row r="5959" spans="1:14" x14ac:dyDescent="0.3">
      <c r="A5959" s="1">
        <v>16515</v>
      </c>
      <c r="B5959" s="7" t="s">
        <v>965</v>
      </c>
      <c r="C5959" s="12">
        <v>400</v>
      </c>
      <c r="D5959" s="7" t="s">
        <v>8953</v>
      </c>
      <c r="E5959" s="13" t="s">
        <v>842</v>
      </c>
      <c r="F5959" t="str">
        <f t="shared" si="465"/>
        <v>Frio</v>
      </c>
      <c r="G5959" t="str">
        <f t="shared" si="466"/>
        <v>Frio400San Antonio</v>
      </c>
      <c r="H5959" t="s">
        <v>36815</v>
      </c>
      <c r="I5959" t="s">
        <v>28233</v>
      </c>
      <c r="J5959" t="str">
        <f t="shared" si="467"/>
        <v>E:\PropInv\MF</v>
      </c>
      <c r="K5959" s="103" t="str">
        <f>HYPERLINK("E:\PropInv\MF\San Antonio\Frio St N_400_Palacio del Sol I &amp; II_San Antonio_16515","Frio St N_400_Palacio del Sol I &amp; II_San Antonio_16515" )</f>
        <v>Frio St N_400_Palacio del Sol I &amp; II_San Antonio_16515</v>
      </c>
      <c r="L5959" s="104" t="s">
        <v>22253</v>
      </c>
      <c r="M5959" s="103" t="str">
        <f t="shared" si="468"/>
        <v>http://oconnordata.com/mlink/modules/profile/index.cfm?action=profile&amp;prop_id=16515</v>
      </c>
      <c r="N5959" s="1">
        <f t="shared" si="469"/>
        <v>16515</v>
      </c>
    </row>
    <row r="5960" spans="1:14" x14ac:dyDescent="0.3">
      <c r="A5960" s="1">
        <v>16517</v>
      </c>
      <c r="B5960" s="7" t="s">
        <v>8954</v>
      </c>
      <c r="C5960" s="12">
        <v>8603</v>
      </c>
      <c r="D5960" s="7" t="s">
        <v>8955</v>
      </c>
      <c r="E5960" s="13" t="s">
        <v>842</v>
      </c>
      <c r="F5960" t="str">
        <f t="shared" si="465"/>
        <v>1604</v>
      </c>
      <c r="G5960" t="str">
        <f t="shared" si="466"/>
        <v>16048603San Antonio</v>
      </c>
      <c r="H5960" t="s">
        <v>36816</v>
      </c>
      <c r="I5960" t="s">
        <v>28234</v>
      </c>
      <c r="J5960" t="str">
        <f t="shared" si="467"/>
        <v>E:\PropInv\MF</v>
      </c>
      <c r="K5960" s="103" t="str">
        <f>HYPERLINK("E:\PropInv\MF\San Antonio\1604 Loop W N_8603_Springs at Bandera_San Antonio_16517","1604 Loop W N_8603_Springs at Bandera_San Antonio_16517" )</f>
        <v>1604 Loop W N_8603_Springs at Bandera_San Antonio_16517</v>
      </c>
      <c r="L5960" s="104" t="s">
        <v>22253</v>
      </c>
      <c r="M5960" s="103" t="str">
        <f t="shared" si="468"/>
        <v>http://oconnordata.com/mlink/modules/profile/index.cfm?action=profile&amp;prop_id=16517</v>
      </c>
      <c r="N5960" s="1">
        <f t="shared" si="469"/>
        <v>16517</v>
      </c>
    </row>
    <row r="5961" spans="1:14" x14ac:dyDescent="0.3">
      <c r="A5961" s="1">
        <v>16518</v>
      </c>
      <c r="B5961" s="7" t="s">
        <v>8956</v>
      </c>
      <c r="C5961" s="12">
        <v>176</v>
      </c>
      <c r="D5961" s="7" t="s">
        <v>8957</v>
      </c>
      <c r="E5961" s="13" t="s">
        <v>912</v>
      </c>
      <c r="F5961" t="str">
        <f t="shared" si="465"/>
        <v>Landa</v>
      </c>
      <c r="G5961" t="str">
        <f t="shared" si="466"/>
        <v>Landa176New Braunfels</v>
      </c>
      <c r="H5961" t="s">
        <v>36817</v>
      </c>
      <c r="I5961" t="s">
        <v>28235</v>
      </c>
      <c r="J5961" t="str">
        <f t="shared" si="467"/>
        <v>E:\PropInv\MF</v>
      </c>
      <c r="K5961" s="103" t="str">
        <f>HYPERLINK("E:\PropInv\MF\New Braunfels\Landa St_176_Landmark Gardens_New Braunfels_16518","Landa St_176_Landmark Gardens_New Braunfels_16518" )</f>
        <v>Landa St_176_Landmark Gardens_New Braunfels_16518</v>
      </c>
      <c r="L5961" s="104" t="s">
        <v>22253</v>
      </c>
      <c r="M5961" s="103" t="str">
        <f t="shared" si="468"/>
        <v>http://oconnordata.com/mlink/modules/profile/index.cfm?action=profile&amp;prop_id=16518</v>
      </c>
      <c r="N5961" s="1">
        <f t="shared" si="469"/>
        <v>16518</v>
      </c>
    </row>
    <row r="5962" spans="1:14" x14ac:dyDescent="0.3">
      <c r="A5962" s="1">
        <v>16519</v>
      </c>
      <c r="B5962" s="7" t="s">
        <v>8958</v>
      </c>
      <c r="C5962" s="12">
        <v>8103</v>
      </c>
      <c r="D5962" s="7" t="s">
        <v>8959</v>
      </c>
      <c r="E5962" s="13" t="s">
        <v>842</v>
      </c>
      <c r="F5962" t="str">
        <f t="shared" si="465"/>
        <v>Hollow</v>
      </c>
      <c r="G5962" t="str">
        <f t="shared" si="466"/>
        <v>Hollow8103San Antonio</v>
      </c>
      <c r="H5962" t="s">
        <v>36818</v>
      </c>
      <c r="I5962" t="s">
        <v>28236</v>
      </c>
      <c r="J5962" t="str">
        <f t="shared" si="467"/>
        <v>E:\PropInv\MF</v>
      </c>
      <c r="K5962" s="103" t="str">
        <f>HYPERLINK("E:\PropInv\MF\San Antonio\Hollow Dr N_8103_Villa de San Antonio_San Antonio_16519","Hollow Dr N_8103_Villa de San Antonio_San Antonio_16519" )</f>
        <v>Hollow Dr N_8103_Villa de San Antonio_San Antonio_16519</v>
      </c>
      <c r="L5962" s="104" t="s">
        <v>22253</v>
      </c>
      <c r="M5962" s="103" t="str">
        <f t="shared" si="468"/>
        <v>http://oconnordata.com/mlink/modules/profile/index.cfm?action=profile&amp;prop_id=16519</v>
      </c>
      <c r="N5962" s="1">
        <f t="shared" si="469"/>
        <v>16519</v>
      </c>
    </row>
    <row r="5963" spans="1:14" x14ac:dyDescent="0.3">
      <c r="A5963" s="1">
        <v>16520</v>
      </c>
      <c r="B5963" s="7" t="s">
        <v>8960</v>
      </c>
      <c r="C5963" s="12">
        <v>15302</v>
      </c>
      <c r="D5963" s="7" t="s">
        <v>8961</v>
      </c>
      <c r="E5963" s="13" t="s">
        <v>842</v>
      </c>
      <c r="F5963" t="str">
        <f t="shared" si="465"/>
        <v>Judson</v>
      </c>
      <c r="G5963" t="str">
        <f t="shared" si="466"/>
        <v>Judson15302San Antonio</v>
      </c>
      <c r="H5963" t="s">
        <v>36819</v>
      </c>
      <c r="I5963" t="s">
        <v>28237</v>
      </c>
      <c r="J5963" t="str">
        <f t="shared" si="467"/>
        <v>E:\PropInv\MF</v>
      </c>
      <c r="K5963" s="103" t="str">
        <f>HYPERLINK("E:\PropInv\MF\San Antonio\Judson Rd_15302_The Villages at Lost Creek_San Antonio_16520","Judson Rd_15302_The Villages at Lost Creek_San Antonio_16520" )</f>
        <v>Judson Rd_15302_The Villages at Lost Creek_San Antonio_16520</v>
      </c>
      <c r="L5963" s="104" t="s">
        <v>22253</v>
      </c>
      <c r="M5963" s="103" t="str">
        <f t="shared" si="468"/>
        <v>http://oconnordata.com/mlink/modules/profile/index.cfm?action=profile&amp;prop_id=16520</v>
      </c>
      <c r="N5963" s="1">
        <f t="shared" si="469"/>
        <v>16520</v>
      </c>
    </row>
    <row r="5964" spans="1:14" x14ac:dyDescent="0.3">
      <c r="A5964" s="1">
        <v>16521</v>
      </c>
      <c r="B5964" s="7" t="s">
        <v>8962</v>
      </c>
      <c r="C5964" s="12">
        <v>8200</v>
      </c>
      <c r="D5964" s="7" t="s">
        <v>8963</v>
      </c>
      <c r="E5964" s="13" t="s">
        <v>842</v>
      </c>
      <c r="F5964" t="str">
        <f t="shared" si="465"/>
        <v>Micron</v>
      </c>
      <c r="G5964" t="str">
        <f t="shared" si="466"/>
        <v>Micron8200San Antonio</v>
      </c>
      <c r="H5964" t="s">
        <v>36820</v>
      </c>
      <c r="I5964" t="s">
        <v>28238</v>
      </c>
      <c r="J5964" t="str">
        <f t="shared" si="467"/>
        <v>E:\PropInv\MF</v>
      </c>
      <c r="K5964" s="103" t="str">
        <f>HYPERLINK("E:\PropInv\MF\San Antonio\Micron Dr_8200_Meadowood Apts_San Antonio_16521","Micron Dr_8200_Meadowood Apts_San Antonio_16521" )</f>
        <v>Micron Dr_8200_Meadowood Apts_San Antonio_16521</v>
      </c>
      <c r="L5964" s="104" t="s">
        <v>22253</v>
      </c>
      <c r="M5964" s="103" t="str">
        <f t="shared" si="468"/>
        <v>http://oconnordata.com/mlink/modules/profile/index.cfm?action=profile&amp;prop_id=16521</v>
      </c>
      <c r="N5964" s="1">
        <f t="shared" si="469"/>
        <v>16521</v>
      </c>
    </row>
    <row r="5965" spans="1:14" x14ac:dyDescent="0.3">
      <c r="A5965" s="1">
        <v>16522</v>
      </c>
      <c r="B5965" s="7" t="s">
        <v>8964</v>
      </c>
      <c r="C5965" s="12">
        <v>300</v>
      </c>
      <c r="D5965" s="7" t="s">
        <v>8965</v>
      </c>
      <c r="E5965" s="13" t="s">
        <v>842</v>
      </c>
      <c r="F5965" t="str">
        <f t="shared" si="465"/>
        <v>Labor</v>
      </c>
      <c r="G5965" t="str">
        <f t="shared" si="466"/>
        <v>Labor300San Antonio</v>
      </c>
      <c r="H5965" t="s">
        <v>36821</v>
      </c>
      <c r="I5965" t="s">
        <v>28239</v>
      </c>
      <c r="J5965" t="str">
        <f t="shared" si="467"/>
        <v>E:\PropInv\MF</v>
      </c>
      <c r="K5965" s="103" t="str">
        <f>HYPERLINK("E:\PropInv\MF\San Antonio\Labor St_300_Refugio Place_San Antonio_16522","Labor St_300_Refugio Place_San Antonio_16522" )</f>
        <v>Labor St_300_Refugio Place_San Antonio_16522</v>
      </c>
      <c r="L5965" s="104" t="s">
        <v>22253</v>
      </c>
      <c r="M5965" s="103" t="str">
        <f t="shared" si="468"/>
        <v>http://oconnordata.com/mlink/modules/profile/index.cfm?action=profile&amp;prop_id=16522</v>
      </c>
      <c r="N5965" s="1">
        <f t="shared" si="469"/>
        <v>16522</v>
      </c>
    </row>
    <row r="5966" spans="1:14" x14ac:dyDescent="0.3">
      <c r="A5966" s="1">
        <v>16524</v>
      </c>
      <c r="B5966" s="7" t="s">
        <v>7023</v>
      </c>
      <c r="C5966" s="12">
        <v>5301</v>
      </c>
      <c r="D5966" s="7" t="s">
        <v>8966</v>
      </c>
      <c r="E5966" s="13" t="s">
        <v>4996</v>
      </c>
      <c r="F5966" t="str">
        <f t="shared" si="465"/>
        <v>Alpha</v>
      </c>
      <c r="G5966" t="str">
        <f t="shared" si="466"/>
        <v>Alpha5301Dallas</v>
      </c>
      <c r="H5966" t="s">
        <v>36822</v>
      </c>
      <c r="I5966" t="s">
        <v>28240</v>
      </c>
      <c r="J5966" t="str">
        <f t="shared" si="467"/>
        <v>E:\PropInv\MF</v>
      </c>
      <c r="K5966" s="103" t="str">
        <f>HYPERLINK("E:\PropInv\MF\Dallas\Alpha Rd_5301_Village on the Green_Dallas_16524","Alpha Rd_5301_Village on the Green_Dallas_16524" )</f>
        <v>Alpha Rd_5301_Village on the Green_Dallas_16524</v>
      </c>
      <c r="L5966" s="104" t="s">
        <v>22253</v>
      </c>
      <c r="M5966" s="103" t="str">
        <f t="shared" si="468"/>
        <v>http://oconnordata.com/mlink/modules/profile/index.cfm?action=profile&amp;prop_id=16524</v>
      </c>
      <c r="N5966" s="1">
        <f t="shared" si="469"/>
        <v>16524</v>
      </c>
    </row>
    <row r="5967" spans="1:14" x14ac:dyDescent="0.3">
      <c r="A5967" s="1">
        <v>16525</v>
      </c>
      <c r="B5967" s="7" t="s">
        <v>8967</v>
      </c>
      <c r="C5967" s="12">
        <v>4330</v>
      </c>
      <c r="D5967" s="7" t="s">
        <v>8968</v>
      </c>
      <c r="E5967" s="13" t="s">
        <v>842</v>
      </c>
      <c r="F5967" t="str">
        <f t="shared" si="465"/>
        <v>Spectrum</v>
      </c>
      <c r="G5967" t="str">
        <f t="shared" si="466"/>
        <v>Spectrum4330San Antonio</v>
      </c>
      <c r="H5967" t="s">
        <v>36823</v>
      </c>
      <c r="I5967" t="s">
        <v>28241</v>
      </c>
      <c r="J5967" t="str">
        <f t="shared" si="467"/>
        <v>E:\PropInv\MF</v>
      </c>
      <c r="K5967" s="103" t="str">
        <f>HYPERLINK("E:\PropInv\MF\San Antonio\Spectrum One_4330_Broadstone Colonnade_San Antonio_16525","Spectrum One_4330_Broadstone Colonnade_San Antonio_16525" )</f>
        <v>Spectrum One_4330_Broadstone Colonnade_San Antonio_16525</v>
      </c>
      <c r="L5967" s="104" t="s">
        <v>22253</v>
      </c>
      <c r="M5967" s="103" t="str">
        <f t="shared" si="468"/>
        <v>http://oconnordata.com/mlink/modules/profile/index.cfm?action=profile&amp;prop_id=16525</v>
      </c>
      <c r="N5967" s="1">
        <f t="shared" si="469"/>
        <v>16525</v>
      </c>
    </row>
    <row r="5968" spans="1:14" x14ac:dyDescent="0.3">
      <c r="A5968" s="1">
        <v>16526</v>
      </c>
      <c r="B5968" s="7" t="s">
        <v>8969</v>
      </c>
      <c r="C5968" s="12">
        <v>215</v>
      </c>
      <c r="D5968" s="7" t="s">
        <v>8970</v>
      </c>
      <c r="E5968" s="13" t="s">
        <v>842</v>
      </c>
      <c r="F5968" t="str">
        <f t="shared" si="465"/>
        <v>1604</v>
      </c>
      <c r="G5968" t="str">
        <f t="shared" si="466"/>
        <v>1604215San Antonio</v>
      </c>
      <c r="H5968" t="s">
        <v>36824</v>
      </c>
      <c r="I5968" t="s">
        <v>28242</v>
      </c>
      <c r="J5968" t="str">
        <f t="shared" si="467"/>
        <v>E:\PropInv\MF</v>
      </c>
      <c r="K5968" s="103" t="str">
        <f>HYPERLINK("E:\PropInv\MF\San Antonio\1604 Loop E N_215_The Montecristo_San Antonio_16526","1604 Loop E N_215_The Montecristo_San Antonio_16526" )</f>
        <v>1604 Loop E N_215_The Montecristo_San Antonio_16526</v>
      </c>
      <c r="L5968" s="104" t="s">
        <v>22253</v>
      </c>
      <c r="M5968" s="103" t="str">
        <f t="shared" si="468"/>
        <v>http://oconnordata.com/mlink/modules/profile/index.cfm?action=profile&amp;prop_id=16526</v>
      </c>
      <c r="N5968" s="1">
        <f t="shared" si="469"/>
        <v>16526</v>
      </c>
    </row>
    <row r="5969" spans="1:14" x14ac:dyDescent="0.3">
      <c r="A5969" s="1">
        <v>16528</v>
      </c>
      <c r="B5969" s="7" t="s">
        <v>8971</v>
      </c>
      <c r="C5969" s="12">
        <v>21302</v>
      </c>
      <c r="D5969" s="7" t="s">
        <v>8972</v>
      </c>
      <c r="E5969" s="13" t="s">
        <v>842</v>
      </c>
      <c r="F5969" t="str">
        <f t="shared" si="465"/>
        <v>Encino</v>
      </c>
      <c r="G5969" t="str">
        <f t="shared" si="466"/>
        <v>Encino21302San Antonio</v>
      </c>
      <c r="H5969" t="s">
        <v>36825</v>
      </c>
      <c r="I5969" t="s">
        <v>28243</v>
      </c>
      <c r="J5969" t="str">
        <f t="shared" si="467"/>
        <v>E:\PropInv\MF</v>
      </c>
      <c r="K5969" s="103" t="str">
        <f>HYPERLINK("E:\PropInv\MF\San Antonio\Encino Commons Blvd_21302_Encino Canyon_San Antonio_16528","Encino Commons Blvd_21302_Encino Canyon_San Antonio_16528" )</f>
        <v>Encino Commons Blvd_21302_Encino Canyon_San Antonio_16528</v>
      </c>
      <c r="L5969" s="104" t="s">
        <v>22253</v>
      </c>
      <c r="M5969" s="103" t="str">
        <f t="shared" si="468"/>
        <v>http://oconnordata.com/mlink/modules/profile/index.cfm?action=profile&amp;prop_id=16528</v>
      </c>
      <c r="N5969" s="1">
        <f t="shared" si="469"/>
        <v>16528</v>
      </c>
    </row>
    <row r="5970" spans="1:14" x14ac:dyDescent="0.3">
      <c r="A5970" s="1">
        <v>16529</v>
      </c>
      <c r="B5970" s="19" t="s">
        <v>6882</v>
      </c>
      <c r="C5970" s="18">
        <v>1525</v>
      </c>
      <c r="D5970" s="19" t="s">
        <v>8973</v>
      </c>
      <c r="E5970" s="20" t="s">
        <v>367</v>
      </c>
      <c r="F5970" t="str">
        <f t="shared" si="465"/>
        <v>Grand</v>
      </c>
      <c r="G5970" t="str">
        <f t="shared" si="466"/>
        <v>Grand1525Pflugerville</v>
      </c>
      <c r="H5970" t="s">
        <v>36826</v>
      </c>
      <c r="I5970" t="s">
        <v>28244</v>
      </c>
      <c r="J5970" t="str">
        <f t="shared" si="467"/>
        <v>E:\PropInv\MF</v>
      </c>
      <c r="K5970" s="103" t="str">
        <f>HYPERLINK("E:\PropInv\MF\Pflugerville\Grand Ave Pkwy_1525_Riverhorse Ranch II_Pflugerville_16529","Grand Ave Pkwy_1525_Riverhorse Ranch II_Pflugerville_16529" )</f>
        <v>Grand Ave Pkwy_1525_Riverhorse Ranch II_Pflugerville_16529</v>
      </c>
      <c r="L5970" s="104" t="s">
        <v>22253</v>
      </c>
      <c r="M5970" s="103" t="str">
        <f t="shared" si="468"/>
        <v>http://oconnordata.com/mlink/modules/profile/index.cfm?action=profile&amp;prop_id=16529</v>
      </c>
      <c r="N5970" s="1">
        <f t="shared" si="469"/>
        <v>16529</v>
      </c>
    </row>
    <row r="5971" spans="1:14" x14ac:dyDescent="0.3">
      <c r="A5971" s="1">
        <v>16530</v>
      </c>
      <c r="B5971" s="7" t="s">
        <v>8974</v>
      </c>
      <c r="C5971" s="12">
        <v>4600</v>
      </c>
      <c r="D5971" s="7" t="s">
        <v>8975</v>
      </c>
      <c r="E5971" s="13" t="s">
        <v>7</v>
      </c>
      <c r="F5971" t="str">
        <f t="shared" si="465"/>
        <v>Guadalupe</v>
      </c>
      <c r="G5971" t="str">
        <f t="shared" si="466"/>
        <v>Guadalupe4600Austin</v>
      </c>
      <c r="H5971" t="s">
        <v>36827</v>
      </c>
      <c r="I5971" t="s">
        <v>28245</v>
      </c>
      <c r="J5971" t="str">
        <f t="shared" si="467"/>
        <v>E:\PropInv\MF</v>
      </c>
      <c r="K5971" s="103" t="str">
        <f>HYPERLINK("E:\PropInv\MF\Austin\Guadalupe St W_4600_Triangle I-Residences_Austin_16530","Guadalupe St W_4600_Triangle I-Residences_Austin_16530" )</f>
        <v>Guadalupe St W_4600_Triangle I-Residences_Austin_16530</v>
      </c>
      <c r="L5971" s="104" t="s">
        <v>22253</v>
      </c>
      <c r="M5971" s="103" t="str">
        <f t="shared" si="468"/>
        <v>http://oconnordata.com/mlink/modules/profile/index.cfm?action=profile&amp;prop_id=16530</v>
      </c>
      <c r="N5971" s="1">
        <f t="shared" si="469"/>
        <v>16530</v>
      </c>
    </row>
    <row r="5972" spans="1:14" x14ac:dyDescent="0.3">
      <c r="A5972" s="1">
        <v>16531</v>
      </c>
      <c r="B5972" s="7" t="s">
        <v>8976</v>
      </c>
      <c r="C5972" s="12">
        <v>8818</v>
      </c>
      <c r="D5972" s="7" t="s">
        <v>8977</v>
      </c>
      <c r="E5972" s="13" t="s">
        <v>7</v>
      </c>
      <c r="F5972" t="str">
        <f t="shared" si="465"/>
        <v>Travis</v>
      </c>
      <c r="G5972" t="str">
        <f t="shared" si="466"/>
        <v>Travis8818Austin</v>
      </c>
      <c r="H5972" t="s">
        <v>36828</v>
      </c>
      <c r="I5972" t="s">
        <v>28246</v>
      </c>
      <c r="J5972" t="str">
        <f t="shared" si="467"/>
        <v>E:\PropInv\MF</v>
      </c>
      <c r="K5972" s="103" t="str">
        <f>HYPERLINK("E:\PropInv\MF\Austin\Travis Hills Dr_8818_Hudson Miramont_Austin_16531","Travis Hills Dr_8818_Hudson Miramont_Austin_16531" )</f>
        <v>Travis Hills Dr_8818_Hudson Miramont_Austin_16531</v>
      </c>
      <c r="L5972" s="104" t="s">
        <v>22253</v>
      </c>
      <c r="M5972" s="103" t="str">
        <f t="shared" si="468"/>
        <v>http://oconnordata.com/mlink/modules/profile/index.cfm?action=profile&amp;prop_id=16531</v>
      </c>
      <c r="N5972" s="1">
        <f t="shared" si="469"/>
        <v>16531</v>
      </c>
    </row>
    <row r="5973" spans="1:14" x14ac:dyDescent="0.3">
      <c r="A5973" s="1">
        <v>16532</v>
      </c>
      <c r="B5973" s="7" t="s">
        <v>731</v>
      </c>
      <c r="C5973" s="12">
        <v>2500</v>
      </c>
      <c r="D5973" s="7" t="s">
        <v>8978</v>
      </c>
      <c r="E5973" s="13" t="s">
        <v>7</v>
      </c>
      <c r="F5973" t="str">
        <f t="shared" si="465"/>
        <v>Barton</v>
      </c>
      <c r="G5973" t="str">
        <f t="shared" si="466"/>
        <v>Barton2500Austin</v>
      </c>
      <c r="H5973" t="s">
        <v>36829</v>
      </c>
      <c r="I5973" t="s">
        <v>28247</v>
      </c>
      <c r="J5973" t="str">
        <f t="shared" si="467"/>
        <v>E:\PropInv\MF</v>
      </c>
      <c r="K5973" s="103" t="str">
        <f>HYPERLINK("E:\PropInv\MF\Austin\Barton Creek Blvd_2500_Querencia Barton Creek_Austin_16532","Barton Creek Blvd_2500_Querencia Barton Creek_Austin_16532" )</f>
        <v>Barton Creek Blvd_2500_Querencia Barton Creek_Austin_16532</v>
      </c>
      <c r="L5973" s="104" t="s">
        <v>22253</v>
      </c>
      <c r="M5973" s="103" t="str">
        <f t="shared" si="468"/>
        <v>http://oconnordata.com/mlink/modules/profile/index.cfm?action=profile&amp;prop_id=16532</v>
      </c>
      <c r="N5973" s="1">
        <f t="shared" si="469"/>
        <v>16532</v>
      </c>
    </row>
    <row r="5974" spans="1:14" x14ac:dyDescent="0.3">
      <c r="A5974" s="1">
        <v>16534</v>
      </c>
      <c r="B5974" s="7" t="s">
        <v>130</v>
      </c>
      <c r="C5974" s="12">
        <v>1881</v>
      </c>
      <c r="D5974" s="7" t="s">
        <v>8979</v>
      </c>
      <c r="E5974" s="13" t="s">
        <v>7</v>
      </c>
      <c r="F5974" t="str">
        <f t="shared" si="465"/>
        <v>Grove</v>
      </c>
      <c r="G5974" t="str">
        <f t="shared" si="466"/>
        <v>Grove1881Austin</v>
      </c>
      <c r="H5974" t="s">
        <v>36830</v>
      </c>
      <c r="I5974" t="s">
        <v>28248</v>
      </c>
      <c r="J5974" t="str">
        <f t="shared" si="467"/>
        <v>E:\PropInv\MF</v>
      </c>
      <c r="K5974" s="103" t="str">
        <f>HYPERLINK("E:\PropInv\MF\Austin\Grove Blvd_1881_Grove Place_Austin_16534","Grove Blvd_1881_Grove Place_Austin_16534" )</f>
        <v>Grove Blvd_1881_Grove Place_Austin_16534</v>
      </c>
      <c r="L5974" s="104" t="s">
        <v>22253</v>
      </c>
      <c r="M5974" s="103" t="str">
        <f t="shared" si="468"/>
        <v>http://oconnordata.com/mlink/modules/profile/index.cfm?action=profile&amp;prop_id=16534</v>
      </c>
      <c r="N5974" s="1">
        <f t="shared" si="469"/>
        <v>16534</v>
      </c>
    </row>
    <row r="5975" spans="1:14" x14ac:dyDescent="0.3">
      <c r="A5975" s="1">
        <v>16536</v>
      </c>
      <c r="B5975" s="7" t="s">
        <v>8980</v>
      </c>
      <c r="C5975" s="12">
        <v>3001</v>
      </c>
      <c r="D5975" s="7" t="s">
        <v>8981</v>
      </c>
      <c r="E5975" s="13" t="s">
        <v>7</v>
      </c>
      <c r="F5975" t="str">
        <f t="shared" si="465"/>
        <v>Oak</v>
      </c>
      <c r="G5975" t="str">
        <f t="shared" si="466"/>
        <v>Oak3001Austin</v>
      </c>
      <c r="H5975" t="s">
        <v>36831</v>
      </c>
      <c r="I5975" t="s">
        <v>28249</v>
      </c>
      <c r="J5975" t="str">
        <f t="shared" si="467"/>
        <v>E:\PropInv\MF</v>
      </c>
      <c r="K5975" s="103" t="str">
        <f>HYPERLINK("E:\PropInv\MF\Austin\Oak Springs Dr_3001_Oak Spring Villas Elderly Apts_Austin_16536","Oak Springs Dr_3001_Oak Spring Villas Elderly Apts_Austin_16536" )</f>
        <v>Oak Springs Dr_3001_Oak Spring Villas Elderly Apts_Austin_16536</v>
      </c>
      <c r="L5975" s="104" t="s">
        <v>22253</v>
      </c>
      <c r="M5975" s="103" t="str">
        <f t="shared" si="468"/>
        <v>http://oconnordata.com/mlink/modules/profile/index.cfm?action=profile&amp;prop_id=16536</v>
      </c>
      <c r="N5975" s="1">
        <f t="shared" si="469"/>
        <v>16536</v>
      </c>
    </row>
    <row r="5976" spans="1:14" x14ac:dyDescent="0.3">
      <c r="A5976" s="1">
        <v>16537</v>
      </c>
      <c r="B5976" s="7" t="s">
        <v>1299</v>
      </c>
      <c r="C5976" s="12">
        <v>7828</v>
      </c>
      <c r="D5976" s="7" t="s">
        <v>7813</v>
      </c>
      <c r="E5976" s="13" t="s">
        <v>842</v>
      </c>
      <c r="F5976" t="str">
        <f t="shared" si="465"/>
        <v>Pat</v>
      </c>
      <c r="G5976" t="str">
        <f t="shared" si="466"/>
        <v>Pat7828San Antonio</v>
      </c>
      <c r="H5976" t="s">
        <v>36832</v>
      </c>
      <c r="I5976" t="s">
        <v>28250</v>
      </c>
      <c r="J5976" t="str">
        <f t="shared" si="467"/>
        <v>E:\PropInv\MF</v>
      </c>
      <c r="K5976" s="103" t="str">
        <f>HYPERLINK("E:\PropInv\MF\San Antonio\Pat Booker Rd_7828_The Heritage Apts_San Antonio_16537","Pat Booker Rd_7828_The Heritage Apts_San Antonio_16537" )</f>
        <v>Pat Booker Rd_7828_The Heritage Apts_San Antonio_16537</v>
      </c>
      <c r="L5976" s="104" t="s">
        <v>22253</v>
      </c>
      <c r="M5976" s="103" t="str">
        <f t="shared" si="468"/>
        <v>http://oconnordata.com/mlink/modules/profile/index.cfm?action=profile&amp;prop_id=16537</v>
      </c>
      <c r="N5976" s="1">
        <f t="shared" si="469"/>
        <v>16537</v>
      </c>
    </row>
    <row r="5977" spans="1:14" x14ac:dyDescent="0.3">
      <c r="A5977" s="1">
        <v>16538</v>
      </c>
      <c r="B5977" s="7" t="s">
        <v>719</v>
      </c>
      <c r="C5977" s="12">
        <v>2702</v>
      </c>
      <c r="D5977" s="7" t="s">
        <v>8982</v>
      </c>
      <c r="E5977" s="13" t="s">
        <v>721</v>
      </c>
      <c r="F5977" t="str">
        <f t="shared" si="465"/>
        <v>Bagdad</v>
      </c>
      <c r="G5977" t="str">
        <f t="shared" si="466"/>
        <v>Bagdad2702Leander</v>
      </c>
      <c r="H5977" t="s">
        <v>36833</v>
      </c>
      <c r="I5977" t="s">
        <v>28251</v>
      </c>
      <c r="J5977" t="str">
        <f t="shared" si="467"/>
        <v>E:\PropInv\MF</v>
      </c>
      <c r="K5977" s="103" t="str">
        <f>HYPERLINK("E:\PropInv\MF\Leander\Bagdad Rd S_2702_Cedar Ridge II_Leander_16538","Bagdad Rd S_2702_Cedar Ridge II_Leander_16538" )</f>
        <v>Bagdad Rd S_2702_Cedar Ridge II_Leander_16538</v>
      </c>
      <c r="L5977" s="104" t="s">
        <v>22253</v>
      </c>
      <c r="M5977" s="103" t="str">
        <f t="shared" si="468"/>
        <v>http://oconnordata.com/mlink/modules/profile/index.cfm?action=profile&amp;prop_id=16538</v>
      </c>
      <c r="N5977" s="1">
        <f t="shared" si="469"/>
        <v>16538</v>
      </c>
    </row>
    <row r="5978" spans="1:14" x14ac:dyDescent="0.3">
      <c r="A5978" s="1">
        <v>16540</v>
      </c>
      <c r="B5978" s="7" t="s">
        <v>706</v>
      </c>
      <c r="C5978" s="12">
        <v>1647</v>
      </c>
      <c r="D5978" s="7" t="s">
        <v>8983</v>
      </c>
      <c r="E5978" s="13" t="s">
        <v>498</v>
      </c>
      <c r="F5978" t="str">
        <f t="shared" si="465"/>
        <v>Post</v>
      </c>
      <c r="G5978" t="str">
        <f t="shared" si="466"/>
        <v>Post1647San Marcos</v>
      </c>
      <c r="H5978" t="s">
        <v>36834</v>
      </c>
      <c r="I5978" t="s">
        <v>28252</v>
      </c>
      <c r="J5978" t="str">
        <f t="shared" si="467"/>
        <v>E:\PropInv\MF</v>
      </c>
      <c r="K5978" s="103" t="str">
        <f>HYPERLINK("E:\PropInv\MF\San Marcos\Post Rd_1647_The Outpost San Marcos_San Marcos_16540","Post Rd_1647_The Outpost San Marcos_San Marcos_16540" )</f>
        <v>Post Rd_1647_The Outpost San Marcos_San Marcos_16540</v>
      </c>
      <c r="L5978" s="104" t="s">
        <v>22253</v>
      </c>
      <c r="M5978" s="103" t="str">
        <f t="shared" si="468"/>
        <v>http://oconnordata.com/mlink/modules/profile/index.cfm?action=profile&amp;prop_id=16540</v>
      </c>
      <c r="N5978" s="1">
        <f t="shared" si="469"/>
        <v>16540</v>
      </c>
    </row>
    <row r="5979" spans="1:14" x14ac:dyDescent="0.3">
      <c r="A5979" s="1">
        <v>16541</v>
      </c>
      <c r="B5979" s="7" t="s">
        <v>33</v>
      </c>
      <c r="C5979" s="12">
        <v>4700</v>
      </c>
      <c r="D5979" s="7" t="s">
        <v>8984</v>
      </c>
      <c r="E5979" s="13" t="s">
        <v>7</v>
      </c>
      <c r="F5979" t="str">
        <f t="shared" si="465"/>
        <v>Capital</v>
      </c>
      <c r="G5979" t="str">
        <f t="shared" si="466"/>
        <v>Capital4700Austin</v>
      </c>
      <c r="H5979" t="s">
        <v>36835</v>
      </c>
      <c r="I5979" t="s">
        <v>28253</v>
      </c>
      <c r="J5979" t="str">
        <f t="shared" si="467"/>
        <v>E:\PropInv\MF</v>
      </c>
      <c r="K5979" s="103" t="str">
        <f>HYPERLINK("E:\PropInv\MF\Austin\Capital of Texas Hwy N_4700_Nalle Woods_Austin_16541","Capital of Texas Hwy N_4700_Nalle Woods_Austin_16541" )</f>
        <v>Capital of Texas Hwy N_4700_Nalle Woods_Austin_16541</v>
      </c>
      <c r="L5979" s="104" t="s">
        <v>22253</v>
      </c>
      <c r="M5979" s="103" t="str">
        <f t="shared" si="468"/>
        <v>http://oconnordata.com/mlink/modules/profile/index.cfm?action=profile&amp;prop_id=16541</v>
      </c>
      <c r="N5979" s="1">
        <f t="shared" si="469"/>
        <v>16541</v>
      </c>
    </row>
    <row r="5980" spans="1:14" x14ac:dyDescent="0.3">
      <c r="A5980" s="1">
        <v>16542</v>
      </c>
      <c r="B5980" s="7" t="s">
        <v>8985</v>
      </c>
      <c r="C5980" s="12" t="s">
        <v>8986</v>
      </c>
      <c r="D5980" s="7" t="s">
        <v>8987</v>
      </c>
      <c r="E5980" s="13" t="s">
        <v>7</v>
      </c>
      <c r="F5980" t="str">
        <f t="shared" si="465"/>
        <v>Saint</v>
      </c>
      <c r="G5980" t="str">
        <f t="shared" si="466"/>
        <v>Saint4503-4509Austin</v>
      </c>
      <c r="H5980" t="s">
        <v>36836</v>
      </c>
      <c r="I5980" t="s">
        <v>28254</v>
      </c>
      <c r="J5980" t="str">
        <f t="shared" si="467"/>
        <v>E:\PropInv\MF</v>
      </c>
      <c r="K5980" s="103" t="str">
        <f>HYPERLINK("E:\PropInv\MF\Austin\Saint Elmo Rd E_4503-4509_Rosemont at Williamson Creek_Austin_16542","Saint Elmo Rd E_4503-4509_Rosemont at Williamson Creek_Austin_16542" )</f>
        <v>Saint Elmo Rd E_4503-4509_Rosemont at Williamson Creek_Austin_16542</v>
      </c>
      <c r="L5980" s="104" t="s">
        <v>22253</v>
      </c>
      <c r="M5980" s="103" t="str">
        <f t="shared" si="468"/>
        <v>http://oconnordata.com/mlink/modules/profile/index.cfm?action=profile&amp;prop_id=16542</v>
      </c>
      <c r="N5980" s="1">
        <f t="shared" si="469"/>
        <v>16542</v>
      </c>
    </row>
    <row r="5981" spans="1:14" x14ac:dyDescent="0.3">
      <c r="A5981" s="1">
        <v>16543</v>
      </c>
      <c r="B5981" s="7" t="s">
        <v>646</v>
      </c>
      <c r="C5981" s="12">
        <v>2900</v>
      </c>
      <c r="D5981" s="7" t="s">
        <v>8988</v>
      </c>
      <c r="E5981" s="13" t="s">
        <v>7</v>
      </c>
      <c r="F5981" t="str">
        <f t="shared" si="465"/>
        <v>Century</v>
      </c>
      <c r="G5981" t="str">
        <f t="shared" si="466"/>
        <v>Century2900Austin</v>
      </c>
      <c r="H5981" t="s">
        <v>36837</v>
      </c>
      <c r="I5981" t="s">
        <v>28255</v>
      </c>
      <c r="J5981" t="str">
        <f t="shared" si="467"/>
        <v>E:\PropInv\MF</v>
      </c>
      <c r="K5981" s="103" t="str">
        <f>HYPERLINK("E:\PropInv\MF\Austin\Century Park Blvd_2900_The Park at Summers Grove_Austin_16543","Century Park Blvd_2900_The Park at Summers Grove_Austin_16543" )</f>
        <v>Century Park Blvd_2900_The Park at Summers Grove_Austin_16543</v>
      </c>
      <c r="L5981" s="104" t="s">
        <v>22253</v>
      </c>
      <c r="M5981" s="103" t="str">
        <f t="shared" si="468"/>
        <v>http://oconnordata.com/mlink/modules/profile/index.cfm?action=profile&amp;prop_id=16543</v>
      </c>
      <c r="N5981" s="1">
        <f t="shared" si="469"/>
        <v>16543</v>
      </c>
    </row>
    <row r="5982" spans="1:14" x14ac:dyDescent="0.3">
      <c r="A5982" s="1">
        <v>16544</v>
      </c>
      <c r="B5982" s="7" t="s">
        <v>660</v>
      </c>
      <c r="C5982" s="12">
        <v>8515</v>
      </c>
      <c r="D5982" s="7" t="s">
        <v>8989</v>
      </c>
      <c r="E5982" s="13" t="s">
        <v>7</v>
      </c>
      <c r="F5982" t="str">
        <f t="shared" si="465"/>
        <v>Brodie</v>
      </c>
      <c r="G5982" t="str">
        <f t="shared" si="466"/>
        <v>Brodie8515Austin</v>
      </c>
      <c r="H5982" t="s">
        <v>36838</v>
      </c>
      <c r="I5982" t="s">
        <v>28256</v>
      </c>
      <c r="J5982" t="str">
        <f t="shared" si="467"/>
        <v>E:\PropInv\MF</v>
      </c>
      <c r="K5982" s="103" t="str">
        <f>HYPERLINK("E:\PropInv\MF\Austin\Brodie Ln_8515_The Villages of Bella Vista_Austin_16544","Brodie Ln_8515_The Villages of Bella Vista_Austin_16544" )</f>
        <v>Brodie Ln_8515_The Villages of Bella Vista_Austin_16544</v>
      </c>
      <c r="L5982" s="104" t="s">
        <v>22253</v>
      </c>
      <c r="M5982" s="103" t="str">
        <f t="shared" si="468"/>
        <v>http://oconnordata.com/mlink/modules/profile/index.cfm?action=profile&amp;prop_id=16544</v>
      </c>
      <c r="N5982" s="1">
        <f t="shared" si="469"/>
        <v>16544</v>
      </c>
    </row>
    <row r="5983" spans="1:14" x14ac:dyDescent="0.3">
      <c r="A5983" s="1">
        <v>16545</v>
      </c>
      <c r="B5983" s="7" t="s">
        <v>8990</v>
      </c>
      <c r="C5983" s="12">
        <v>705</v>
      </c>
      <c r="D5983" s="7" t="s">
        <v>8991</v>
      </c>
      <c r="E5983" s="13" t="s">
        <v>5140</v>
      </c>
      <c r="F5983" t="str">
        <f t="shared" si="465"/>
        <v>Bray</v>
      </c>
      <c r="G5983" t="str">
        <f t="shared" si="466"/>
        <v>Bray705Allen</v>
      </c>
      <c r="H5983" t="s">
        <v>36839</v>
      </c>
      <c r="I5983" t="s">
        <v>28257</v>
      </c>
      <c r="J5983" t="str">
        <f t="shared" si="467"/>
        <v>E:\PropInv\MF</v>
      </c>
      <c r="K5983" s="103" t="str">
        <f>HYPERLINK("E:\PropInv\MF\Allen\Bray Central Dr_705_Auberry at Twin Creeks_Allen_16545","Bray Central Dr_705_Auberry at Twin Creeks_Allen_16545" )</f>
        <v>Bray Central Dr_705_Auberry at Twin Creeks_Allen_16545</v>
      </c>
      <c r="L5983" s="104" t="s">
        <v>22253</v>
      </c>
      <c r="M5983" s="103" t="str">
        <f t="shared" si="468"/>
        <v>http://oconnordata.com/mlink/modules/profile/index.cfm?action=profile&amp;prop_id=16545</v>
      </c>
      <c r="N5983" s="1">
        <f t="shared" si="469"/>
        <v>16545</v>
      </c>
    </row>
    <row r="5984" spans="1:14" x14ac:dyDescent="0.3">
      <c r="A5984" s="1">
        <v>16546</v>
      </c>
      <c r="B5984" s="7" t="s">
        <v>5629</v>
      </c>
      <c r="C5984" s="12">
        <v>600</v>
      </c>
      <c r="D5984" s="7" t="s">
        <v>8992</v>
      </c>
      <c r="E5984" s="13" t="s">
        <v>5009</v>
      </c>
      <c r="F5984" t="str">
        <f t="shared" si="465"/>
        <v>Independence</v>
      </c>
      <c r="G5984" t="str">
        <f t="shared" si="466"/>
        <v>Independence600Plano</v>
      </c>
      <c r="H5984" t="s">
        <v>36840</v>
      </c>
      <c r="I5984" t="s">
        <v>28258</v>
      </c>
      <c r="J5984" t="str">
        <f t="shared" si="467"/>
        <v>E:\PropInv\MF</v>
      </c>
      <c r="K5984" s="103" t="str">
        <f>HYPERLINK("E:\PropInv\MF\Plano\Independence Pkwy_600_Evergreen at Plano_Plano_16546","Independence Pkwy_600_Evergreen at Plano_Plano_16546" )</f>
        <v>Independence Pkwy_600_Evergreen at Plano_Plano_16546</v>
      </c>
      <c r="L5984" s="104" t="s">
        <v>22253</v>
      </c>
      <c r="M5984" s="103" t="str">
        <f t="shared" si="468"/>
        <v>http://oconnordata.com/mlink/modules/profile/index.cfm?action=profile&amp;prop_id=16546</v>
      </c>
      <c r="N5984" s="1">
        <f t="shared" si="469"/>
        <v>16546</v>
      </c>
    </row>
    <row r="5985" spans="1:14" x14ac:dyDescent="0.3">
      <c r="A5985" s="1">
        <v>16547</v>
      </c>
      <c r="B5985" s="7" t="s">
        <v>8993</v>
      </c>
      <c r="C5985" s="12">
        <v>1001</v>
      </c>
      <c r="D5985" s="7" t="s">
        <v>8994</v>
      </c>
      <c r="E5985" s="13" t="s">
        <v>4996</v>
      </c>
      <c r="F5985" t="str">
        <f t="shared" si="465"/>
        <v>Ross</v>
      </c>
      <c r="G5985" t="str">
        <f t="shared" si="466"/>
        <v>Ross1001Dallas</v>
      </c>
      <c r="H5985" t="s">
        <v>36841</v>
      </c>
      <c r="I5985" t="s">
        <v>28259</v>
      </c>
      <c r="J5985" t="str">
        <f t="shared" si="467"/>
        <v>E:\PropInv\MF</v>
      </c>
      <c r="K5985" s="103" t="str">
        <f>HYPERLINK("E:\PropInv\MF\Dallas\Ross Ave_1001_Jefferson At 1001 Ross_Dallas_16547","Ross Ave_1001_Jefferson At 1001 Ross_Dallas_16547" )</f>
        <v>Ross Ave_1001_Jefferson At 1001 Ross_Dallas_16547</v>
      </c>
      <c r="L5985" s="104" t="s">
        <v>22253</v>
      </c>
      <c r="M5985" s="103" t="str">
        <f t="shared" si="468"/>
        <v>http://oconnordata.com/mlink/modules/profile/index.cfm?action=profile&amp;prop_id=16547</v>
      </c>
      <c r="N5985" s="1">
        <f t="shared" si="469"/>
        <v>16547</v>
      </c>
    </row>
    <row r="5986" spans="1:14" x14ac:dyDescent="0.3">
      <c r="A5986" s="1">
        <v>16548</v>
      </c>
      <c r="B5986" s="7" t="s">
        <v>6556</v>
      </c>
      <c r="C5986" s="12">
        <v>625</v>
      </c>
      <c r="D5986" s="7" t="s">
        <v>8995</v>
      </c>
      <c r="E5986" s="13" t="s">
        <v>5055</v>
      </c>
      <c r="F5986" t="str">
        <f t="shared" si="465"/>
        <v>Vista</v>
      </c>
      <c r="G5986" t="str">
        <f t="shared" si="466"/>
        <v>Vista625Lewisville</v>
      </c>
      <c r="H5986" t="s">
        <v>36842</v>
      </c>
      <c r="I5986" t="s">
        <v>28260</v>
      </c>
      <c r="J5986" t="str">
        <f t="shared" si="467"/>
        <v>E:\PropInv\MF</v>
      </c>
      <c r="K5986" s="103" t="str">
        <f>HYPERLINK("E:\PropInv\MF\Lewisville\Vista Ridge Mall Dr E_625_Sequoia Bluffs at Vista Ridge_Lewisville_16548","Vista Ridge Mall Dr E_625_Sequoia Bluffs at Vista Ridge_Lewisville_16548" )</f>
        <v>Vista Ridge Mall Dr E_625_Sequoia Bluffs at Vista Ridge_Lewisville_16548</v>
      </c>
      <c r="L5986" s="104" t="s">
        <v>22253</v>
      </c>
      <c r="M5986" s="103" t="str">
        <f t="shared" si="468"/>
        <v>http://oconnordata.com/mlink/modules/profile/index.cfm?action=profile&amp;prop_id=16548</v>
      </c>
      <c r="N5986" s="1">
        <f t="shared" si="469"/>
        <v>16548</v>
      </c>
    </row>
    <row r="5987" spans="1:14" x14ac:dyDescent="0.3">
      <c r="A5987" s="1">
        <v>16549</v>
      </c>
      <c r="B5987" s="7" t="s">
        <v>5086</v>
      </c>
      <c r="C5987" s="12">
        <v>5651</v>
      </c>
      <c r="D5987" s="7" t="s">
        <v>8996</v>
      </c>
      <c r="E5987" s="13" t="s">
        <v>5088</v>
      </c>
      <c r="F5987" t="str">
        <f t="shared" si="465"/>
        <v>NW</v>
      </c>
      <c r="G5987" t="str">
        <f t="shared" si="466"/>
        <v>NW5651Mesquite</v>
      </c>
      <c r="H5987" t="s">
        <v>36843</v>
      </c>
      <c r="I5987" t="s">
        <v>28261</v>
      </c>
      <c r="J5987" t="str">
        <f t="shared" si="467"/>
        <v>E:\PropInv\MF</v>
      </c>
      <c r="K5987" s="103" t="str">
        <f>HYPERLINK("E:\PropInv\MF\Mesquite\NW Dr_5651_Evergreen at Mesquite_Mesquite_16549","NW Dr_5651_Evergreen at Mesquite_Mesquite_16549" )</f>
        <v>NW Dr_5651_Evergreen at Mesquite_Mesquite_16549</v>
      </c>
      <c r="L5987" s="104" t="s">
        <v>22253</v>
      </c>
      <c r="M5987" s="103" t="str">
        <f t="shared" si="468"/>
        <v>http://oconnordata.com/mlink/modules/profile/index.cfm?action=profile&amp;prop_id=16549</v>
      </c>
      <c r="N5987" s="1">
        <f t="shared" si="469"/>
        <v>16549</v>
      </c>
    </row>
    <row r="5988" spans="1:14" x14ac:dyDescent="0.3">
      <c r="A5988" s="1">
        <v>16550</v>
      </c>
      <c r="B5988" s="7" t="s">
        <v>8997</v>
      </c>
      <c r="C5988" s="12">
        <v>1389</v>
      </c>
      <c r="D5988" s="7" t="s">
        <v>8998</v>
      </c>
      <c r="E5988" s="13" t="s">
        <v>5236</v>
      </c>
      <c r="F5988" t="str">
        <f t="shared" si="465"/>
        <v>Ridge</v>
      </c>
      <c r="G5988" t="str">
        <f t="shared" si="466"/>
        <v>Ridge1389Rockwall</v>
      </c>
      <c r="H5988" t="s">
        <v>36844</v>
      </c>
      <c r="I5988" t="s">
        <v>28262</v>
      </c>
      <c r="J5988" t="str">
        <f t="shared" si="467"/>
        <v>E:\PropInv\MF</v>
      </c>
      <c r="K5988" s="103" t="str">
        <f>HYPERLINK("E:\PropInv\MF\Rockwall\Ridge Rd_1389_Rockwall Commons_Rockwall_16550","Ridge Rd_1389_Rockwall Commons_Rockwall_16550" )</f>
        <v>Ridge Rd_1389_Rockwall Commons_Rockwall_16550</v>
      </c>
      <c r="L5988" s="104" t="s">
        <v>22253</v>
      </c>
      <c r="M5988" s="103" t="str">
        <f t="shared" si="468"/>
        <v>http://oconnordata.com/mlink/modules/profile/index.cfm?action=profile&amp;prop_id=16550</v>
      </c>
      <c r="N5988" s="1">
        <f t="shared" si="469"/>
        <v>16550</v>
      </c>
    </row>
    <row r="5989" spans="1:14" x14ac:dyDescent="0.3">
      <c r="A5989" s="1">
        <v>16551</v>
      </c>
      <c r="B5989" s="7" t="s">
        <v>8999</v>
      </c>
      <c r="C5989" s="12">
        <v>6000</v>
      </c>
      <c r="D5989" s="7" t="s">
        <v>9000</v>
      </c>
      <c r="E5989" s="13" t="s">
        <v>6555</v>
      </c>
      <c r="F5989" t="str">
        <f t="shared" si="465"/>
        <v>Bacara</v>
      </c>
      <c r="G5989" t="str">
        <f t="shared" si="466"/>
        <v>Bacara6000Arlington</v>
      </c>
      <c r="H5989" t="s">
        <v>36845</v>
      </c>
      <c r="I5989" t="s">
        <v>28263</v>
      </c>
      <c r="J5989" t="str">
        <f t="shared" si="467"/>
        <v>E:\PropInv\MF</v>
      </c>
      <c r="K5989" s="103" t="str">
        <f>HYPERLINK("E:\PropInv\MF\Arlington\Bacara Ln_6000_Artisan at Rush Creek_Arlington_16551","Bacara Ln_6000_Artisan at Rush Creek_Arlington_16551" )</f>
        <v>Bacara Ln_6000_Artisan at Rush Creek_Arlington_16551</v>
      </c>
      <c r="L5989" s="104" t="s">
        <v>22253</v>
      </c>
      <c r="M5989" s="103" t="str">
        <f t="shared" si="468"/>
        <v>http://oconnordata.com/mlink/modules/profile/index.cfm?action=profile&amp;prop_id=16551</v>
      </c>
      <c r="N5989" s="1">
        <f t="shared" si="469"/>
        <v>16551</v>
      </c>
    </row>
    <row r="5990" spans="1:14" x14ac:dyDescent="0.3">
      <c r="A5990" s="1">
        <v>16552</v>
      </c>
      <c r="B5990" s="7" t="s">
        <v>7667</v>
      </c>
      <c r="C5990" s="12">
        <v>5480</v>
      </c>
      <c r="D5990" s="7" t="s">
        <v>9001</v>
      </c>
      <c r="E5990" s="13" t="s">
        <v>4996</v>
      </c>
      <c r="F5990" t="str">
        <f t="shared" si="465"/>
        <v>Preakness</v>
      </c>
      <c r="G5990" t="str">
        <f t="shared" si="466"/>
        <v>Preakness5480Dallas</v>
      </c>
      <c r="H5990" t="s">
        <v>36846</v>
      </c>
      <c r="I5990" t="s">
        <v>28264</v>
      </c>
      <c r="J5990" t="str">
        <f t="shared" si="467"/>
        <v>E:\PropInv\MF</v>
      </c>
      <c r="K5990" s="103" t="str">
        <f>HYPERLINK("E:\PropInv\MF\Dallas\Preakness Ln_5480_Artisan Ridge_Dallas_16552","Preakness Ln_5480_Artisan Ridge_Dallas_16552" )</f>
        <v>Preakness Ln_5480_Artisan Ridge_Dallas_16552</v>
      </c>
      <c r="L5990" s="104" t="s">
        <v>22253</v>
      </c>
      <c r="M5990" s="103" t="str">
        <f t="shared" si="468"/>
        <v>http://oconnordata.com/mlink/modules/profile/index.cfm?action=profile&amp;prop_id=16552</v>
      </c>
      <c r="N5990" s="1">
        <f t="shared" si="469"/>
        <v>16552</v>
      </c>
    </row>
    <row r="5991" spans="1:14" x14ac:dyDescent="0.3">
      <c r="A5991" s="1">
        <v>16554</v>
      </c>
      <c r="B5991" s="7" t="s">
        <v>9002</v>
      </c>
      <c r="C5991" s="12">
        <v>1180</v>
      </c>
      <c r="D5991" s="7" t="s">
        <v>9003</v>
      </c>
      <c r="E5991" s="13" t="s">
        <v>4996</v>
      </c>
      <c r="F5991" t="str">
        <f t="shared" si="465"/>
        <v>Masters</v>
      </c>
      <c r="G5991" t="str">
        <f t="shared" si="466"/>
        <v>Masters1180Dallas</v>
      </c>
      <c r="H5991" t="s">
        <v>36847</v>
      </c>
      <c r="I5991" t="s">
        <v>28265</v>
      </c>
      <c r="J5991" t="str">
        <f t="shared" si="467"/>
        <v>E:\PropInv\MF</v>
      </c>
      <c r="K5991" s="103" t="str">
        <f>HYPERLINK("E:\PropInv\MF\Dallas\Masters Dr N_1180_The Masters Apts_Dallas_16554","Masters Dr N_1180_The Masters Apts_Dallas_16554" )</f>
        <v>Masters Dr N_1180_The Masters Apts_Dallas_16554</v>
      </c>
      <c r="L5991" s="104" t="s">
        <v>22253</v>
      </c>
      <c r="M5991" s="103" t="str">
        <f t="shared" si="468"/>
        <v>http://oconnordata.com/mlink/modules/profile/index.cfm?action=profile&amp;prop_id=16554</v>
      </c>
      <c r="N5991" s="1">
        <f t="shared" si="469"/>
        <v>16554</v>
      </c>
    </row>
    <row r="5992" spans="1:14" x14ac:dyDescent="0.3">
      <c r="A5992" s="1">
        <v>16555</v>
      </c>
      <c r="B5992" s="7" t="s">
        <v>9004</v>
      </c>
      <c r="C5992" s="12">
        <v>4722</v>
      </c>
      <c r="D5992" s="7" t="s">
        <v>9005</v>
      </c>
      <c r="E5992" s="13" t="s">
        <v>4996</v>
      </c>
      <c r="F5992" t="str">
        <f t="shared" si="465"/>
        <v>Meadow</v>
      </c>
      <c r="G5992" t="str">
        <f t="shared" si="466"/>
        <v>Meadow4722Dallas</v>
      </c>
      <c r="H5992" t="s">
        <v>36848</v>
      </c>
      <c r="I5992" t="s">
        <v>28266</v>
      </c>
      <c r="J5992" t="str">
        <f t="shared" si="467"/>
        <v>E:\PropInv\MF</v>
      </c>
      <c r="K5992" s="103" t="str">
        <f>HYPERLINK("E:\PropInv\MF\Dallas\Meadow St_4722_Rosemont at Meadow Lane_Dallas_16555","Meadow St_4722_Rosemont at Meadow Lane_Dallas_16555" )</f>
        <v>Meadow St_4722_Rosemont at Meadow Lane_Dallas_16555</v>
      </c>
      <c r="L5992" s="104" t="s">
        <v>22253</v>
      </c>
      <c r="M5992" s="103" t="str">
        <f t="shared" si="468"/>
        <v>http://oconnordata.com/mlink/modules/profile/index.cfm?action=profile&amp;prop_id=16555</v>
      </c>
      <c r="N5992" s="1">
        <f t="shared" si="469"/>
        <v>16555</v>
      </c>
    </row>
    <row r="5993" spans="1:14" x14ac:dyDescent="0.3">
      <c r="A5993" s="1">
        <v>16556</v>
      </c>
      <c r="B5993" s="7" t="s">
        <v>9006</v>
      </c>
      <c r="C5993" s="12">
        <v>4101</v>
      </c>
      <c r="D5993" s="7" t="s">
        <v>9007</v>
      </c>
      <c r="E5993" s="13" t="s">
        <v>4996</v>
      </c>
      <c r="F5993" t="str">
        <f t="shared" si="465"/>
        <v>Delafield</v>
      </c>
      <c r="G5993" t="str">
        <f t="shared" si="466"/>
        <v>Delafield4101Dallas</v>
      </c>
      <c r="H5993" t="s">
        <v>36849</v>
      </c>
      <c r="I5993" t="s">
        <v>28267</v>
      </c>
      <c r="J5993" t="str">
        <f t="shared" si="467"/>
        <v>E:\PropInv\MF</v>
      </c>
      <c r="K5993" s="103" t="str">
        <f>HYPERLINK("E:\PropInv\MF\Dallas\Delafield Ln_4101_Sphinx at Delafield Villas_Dallas_16556","Delafield Ln_4101_Sphinx at Delafield Villas_Dallas_16556" )</f>
        <v>Delafield Ln_4101_Sphinx at Delafield Villas_Dallas_16556</v>
      </c>
      <c r="L5993" s="104" t="s">
        <v>22253</v>
      </c>
      <c r="M5993" s="103" t="str">
        <f t="shared" si="468"/>
        <v>http://oconnordata.com/mlink/modules/profile/index.cfm?action=profile&amp;prop_id=16556</v>
      </c>
      <c r="N5993" s="1">
        <f t="shared" si="469"/>
        <v>16556</v>
      </c>
    </row>
    <row r="5994" spans="1:14" x14ac:dyDescent="0.3">
      <c r="A5994" s="1">
        <v>16557</v>
      </c>
      <c r="B5994" s="7" t="s">
        <v>9008</v>
      </c>
      <c r="C5994" s="12">
        <v>7200</v>
      </c>
      <c r="D5994" s="7" t="s">
        <v>9009</v>
      </c>
      <c r="E5994" s="13" t="s">
        <v>4996</v>
      </c>
      <c r="F5994" t="str">
        <f t="shared" si="465"/>
        <v>Stemmons</v>
      </c>
      <c r="G5994" t="str">
        <f t="shared" si="466"/>
        <v>Stemmons7200Dallas</v>
      </c>
      <c r="H5994" t="s">
        <v>36850</v>
      </c>
      <c r="I5994" t="s">
        <v>28268</v>
      </c>
      <c r="J5994" t="str">
        <f t="shared" si="467"/>
        <v>E:\PropInv\MF</v>
      </c>
      <c r="K5994" s="103" t="str">
        <f>HYPERLINK("E:\PropInv\MF\Dallas\Stemmons Fwy N_7200_Pegasus Villas_Dallas_16557","Stemmons Fwy N_7200_Pegasus Villas_Dallas_16557" )</f>
        <v>Stemmons Fwy N_7200_Pegasus Villas_Dallas_16557</v>
      </c>
      <c r="L5994" s="104" t="s">
        <v>22253</v>
      </c>
      <c r="M5994" s="103" t="str">
        <f t="shared" si="468"/>
        <v>http://oconnordata.com/mlink/modules/profile/index.cfm?action=profile&amp;prop_id=16557</v>
      </c>
      <c r="N5994" s="1">
        <f t="shared" si="469"/>
        <v>16557</v>
      </c>
    </row>
    <row r="5995" spans="1:14" x14ac:dyDescent="0.3">
      <c r="A5995" s="1">
        <v>16558</v>
      </c>
      <c r="B5995" s="7" t="s">
        <v>9010</v>
      </c>
      <c r="C5995" s="12">
        <v>4411</v>
      </c>
      <c r="D5995" s="7" t="s">
        <v>9011</v>
      </c>
      <c r="E5995" s="13" t="s">
        <v>9012</v>
      </c>
      <c r="F5995" t="str">
        <f t="shared" si="465"/>
        <v>Kinsey</v>
      </c>
      <c r="G5995" t="str">
        <f t="shared" si="466"/>
        <v>Kinsey4411Tyler</v>
      </c>
      <c r="H5995" t="s">
        <v>36851</v>
      </c>
      <c r="I5995" t="s">
        <v>28269</v>
      </c>
      <c r="J5995" t="str">
        <f t="shared" si="467"/>
        <v>E:\PropInv\MF</v>
      </c>
      <c r="K5995" s="103" t="str">
        <f>HYPERLINK("E:\PropInv\MF\Tyler\Kinsey Dr_4411_Bridges on Kinsey_Tyler_16558","Kinsey Dr_4411_Bridges on Kinsey_Tyler_16558" )</f>
        <v>Kinsey Dr_4411_Bridges on Kinsey_Tyler_16558</v>
      </c>
      <c r="L5995" s="104" t="s">
        <v>22253</v>
      </c>
      <c r="M5995" s="103" t="str">
        <f t="shared" si="468"/>
        <v>http://oconnordata.com/mlink/modules/profile/index.cfm?action=profile&amp;prop_id=16558</v>
      </c>
      <c r="N5995" s="1">
        <f t="shared" si="469"/>
        <v>16558</v>
      </c>
    </row>
    <row r="5996" spans="1:14" x14ac:dyDescent="0.3">
      <c r="A5996" s="1">
        <v>16559</v>
      </c>
      <c r="B5996" s="7" t="s">
        <v>9013</v>
      </c>
      <c r="C5996" s="12">
        <v>3220</v>
      </c>
      <c r="D5996" s="7" t="s">
        <v>9014</v>
      </c>
      <c r="E5996" s="13" t="s">
        <v>9012</v>
      </c>
      <c r="F5996" t="str">
        <f t="shared" si="465"/>
        <v>Walton</v>
      </c>
      <c r="G5996" t="str">
        <f t="shared" si="466"/>
        <v>Walton3220Tyler</v>
      </c>
      <c r="H5996" t="s">
        <v>36852</v>
      </c>
      <c r="I5996" t="s">
        <v>28270</v>
      </c>
      <c r="J5996" t="str">
        <f t="shared" si="467"/>
        <v>E:\PropInv\MF</v>
      </c>
      <c r="K5996" s="103" t="str">
        <f>HYPERLINK("E:\PropInv\MF\Tyler\Walton Rd_3220_Southwest Pines_Tyler_16559","Walton Rd_3220_Southwest Pines_Tyler_16559" )</f>
        <v>Walton Rd_3220_Southwest Pines_Tyler_16559</v>
      </c>
      <c r="L5996" s="104" t="s">
        <v>22253</v>
      </c>
      <c r="M5996" s="103" t="str">
        <f t="shared" si="468"/>
        <v>http://oconnordata.com/mlink/modules/profile/index.cfm?action=profile&amp;prop_id=16559</v>
      </c>
      <c r="N5996" s="1">
        <f t="shared" si="469"/>
        <v>16559</v>
      </c>
    </row>
    <row r="5997" spans="1:14" x14ac:dyDescent="0.3">
      <c r="A5997" s="1">
        <v>16560</v>
      </c>
      <c r="B5997" s="7" t="s">
        <v>6011</v>
      </c>
      <c r="C5997" s="12">
        <v>3003</v>
      </c>
      <c r="D5997" s="7" t="s">
        <v>9015</v>
      </c>
      <c r="E5997" s="13" t="s">
        <v>4996</v>
      </c>
      <c r="F5997" t="str">
        <f t="shared" si="465"/>
        <v>Blackburn</v>
      </c>
      <c r="G5997" t="str">
        <f t="shared" si="466"/>
        <v>Blackburn3003Dallas</v>
      </c>
      <c r="H5997" t="s">
        <v>36853</v>
      </c>
      <c r="I5997" t="s">
        <v>28271</v>
      </c>
      <c r="J5997" t="str">
        <f t="shared" si="467"/>
        <v>E:\PropInv\MF</v>
      </c>
      <c r="K5997" s="103" t="str">
        <f>HYPERLINK("E:\PropInv\MF\Dallas\Blackburn St_3003_The Mondrian City Place_Dallas_16560","Blackburn St_3003_The Mondrian City Place_Dallas_16560" )</f>
        <v>Blackburn St_3003_The Mondrian City Place_Dallas_16560</v>
      </c>
      <c r="L5997" s="104" t="s">
        <v>22253</v>
      </c>
      <c r="M5997" s="103" t="str">
        <f t="shared" si="468"/>
        <v>http://oconnordata.com/mlink/modules/profile/index.cfm?action=profile&amp;prop_id=16560</v>
      </c>
      <c r="N5997" s="1">
        <f t="shared" si="469"/>
        <v>16560</v>
      </c>
    </row>
    <row r="5998" spans="1:14" x14ac:dyDescent="0.3">
      <c r="A5998" s="1">
        <v>16561</v>
      </c>
      <c r="B5998" s="7" t="s">
        <v>9016</v>
      </c>
      <c r="C5998" s="12">
        <v>2820</v>
      </c>
      <c r="D5998" s="7" t="s">
        <v>9017</v>
      </c>
      <c r="E5998" s="13" t="s">
        <v>4996</v>
      </c>
      <c r="F5998" t="str">
        <f t="shared" si="465"/>
        <v>McKinnon</v>
      </c>
      <c r="G5998" t="str">
        <f t="shared" si="466"/>
        <v>McKinnon2820Dallas</v>
      </c>
      <c r="H5998" t="s">
        <v>36854</v>
      </c>
      <c r="I5998" t="s">
        <v>28272</v>
      </c>
      <c r="J5998" t="str">
        <f t="shared" si="467"/>
        <v>E:\PropInv\MF</v>
      </c>
      <c r="K5998" s="103" t="str">
        <f>HYPERLINK("E:\PropInv\MF\Dallas\McKinnon St_2820_Trianon by Windsor_Dallas_16561","McKinnon St_2820_Trianon by Windsor_Dallas_16561" )</f>
        <v>McKinnon St_2820_Trianon by Windsor_Dallas_16561</v>
      </c>
      <c r="L5998" s="104" t="s">
        <v>22253</v>
      </c>
      <c r="M5998" s="103" t="str">
        <f t="shared" si="468"/>
        <v>http://oconnordata.com/mlink/modules/profile/index.cfm?action=profile&amp;prop_id=16561</v>
      </c>
      <c r="N5998" s="1">
        <f t="shared" si="469"/>
        <v>16561</v>
      </c>
    </row>
    <row r="5999" spans="1:14" x14ac:dyDescent="0.3">
      <c r="A5999" s="1">
        <v>16563</v>
      </c>
      <c r="B5999" s="7" t="s">
        <v>4386</v>
      </c>
      <c r="C5999" s="12">
        <v>155</v>
      </c>
      <c r="D5999" s="7" t="s">
        <v>9018</v>
      </c>
      <c r="E5999" s="13" t="s">
        <v>6559</v>
      </c>
      <c r="F5999" t="str">
        <f t="shared" si="465"/>
        <v>Lakeside</v>
      </c>
      <c r="G5999" t="str">
        <f t="shared" si="466"/>
        <v>Lakeside155Waxahachie</v>
      </c>
      <c r="H5999" t="s">
        <v>36855</v>
      </c>
      <c r="I5999" t="s">
        <v>28273</v>
      </c>
      <c r="J5999" t="str">
        <f t="shared" si="467"/>
        <v>E:\PropInv\MF</v>
      </c>
      <c r="K5999" s="103" t="str">
        <f>HYPERLINK("E:\PropInv\MF\Waxahachie\Lakeside Dr_155_Blue Lake Villas II_Waxahachie_16563","Lakeside Dr_155_Blue Lake Villas II_Waxahachie_16563" )</f>
        <v>Lakeside Dr_155_Blue Lake Villas II_Waxahachie_16563</v>
      </c>
      <c r="L5999" s="104" t="s">
        <v>22253</v>
      </c>
      <c r="M5999" s="103" t="str">
        <f t="shared" si="468"/>
        <v>http://oconnordata.com/mlink/modules/profile/index.cfm?action=profile&amp;prop_id=16563</v>
      </c>
      <c r="N5999" s="1">
        <f t="shared" si="469"/>
        <v>16563</v>
      </c>
    </row>
    <row r="6000" spans="1:14" x14ac:dyDescent="0.3">
      <c r="A6000" s="1">
        <v>16565</v>
      </c>
      <c r="B6000" s="7" t="s">
        <v>9019</v>
      </c>
      <c r="C6000" s="12">
        <v>2320</v>
      </c>
      <c r="D6000" s="7" t="s">
        <v>9020</v>
      </c>
      <c r="E6000" s="13" t="s">
        <v>4996</v>
      </c>
      <c r="F6000" t="str">
        <f t="shared" si="465"/>
        <v>Canton</v>
      </c>
      <c r="G6000" t="str">
        <f t="shared" si="466"/>
        <v>Canton2320Dallas</v>
      </c>
      <c r="H6000" t="s">
        <v>36856</v>
      </c>
      <c r="I6000" t="s">
        <v>28274</v>
      </c>
      <c r="J6000" t="str">
        <f t="shared" si="467"/>
        <v>E:\PropInv\MF</v>
      </c>
      <c r="K6000" s="103" t="str">
        <f>HYPERLINK("E:\PropInv\MF\Dallas\Canton St_2320_Camden Farmers Market II_Dallas_16565","Canton St_2320_Camden Farmers Market II_Dallas_16565" )</f>
        <v>Canton St_2320_Camden Farmers Market II_Dallas_16565</v>
      </c>
      <c r="L6000" s="104" t="s">
        <v>22253</v>
      </c>
      <c r="M6000" s="103" t="str">
        <f t="shared" si="468"/>
        <v>http://oconnordata.com/mlink/modules/profile/index.cfm?action=profile&amp;prop_id=16565</v>
      </c>
      <c r="N6000" s="1">
        <f t="shared" si="469"/>
        <v>16565</v>
      </c>
    </row>
    <row r="6001" spans="1:14" x14ac:dyDescent="0.3">
      <c r="A6001" s="1">
        <v>16566</v>
      </c>
      <c r="B6001" s="7" t="s">
        <v>9021</v>
      </c>
      <c r="C6001" s="12">
        <v>3033</v>
      </c>
      <c r="D6001" s="7" t="s">
        <v>9022</v>
      </c>
      <c r="E6001" s="13" t="s">
        <v>5076</v>
      </c>
      <c r="F6001" t="str">
        <f t="shared" si="465"/>
        <v>Bardin</v>
      </c>
      <c r="G6001" t="str">
        <f t="shared" si="466"/>
        <v>Bardin3033Grand Prairie</v>
      </c>
      <c r="H6001" t="s">
        <v>36857</v>
      </c>
      <c r="I6001" t="s">
        <v>28275</v>
      </c>
      <c r="J6001" t="str">
        <f t="shared" si="467"/>
        <v>E:\PropInv\MF</v>
      </c>
      <c r="K6001" s="103" t="str">
        <f>HYPERLINK("E:\PropInv\MF\Grand Prairie\Bardin Rd W_3033_Indigo Pointe_Grand Prairie_16566","Bardin Rd W_3033_Indigo Pointe_Grand Prairie_16566" )</f>
        <v>Bardin Rd W_3033_Indigo Pointe_Grand Prairie_16566</v>
      </c>
      <c r="L6001" s="104" t="s">
        <v>22253</v>
      </c>
      <c r="M6001" s="103" t="str">
        <f t="shared" si="468"/>
        <v>http://oconnordata.com/mlink/modules/profile/index.cfm?action=profile&amp;prop_id=16566</v>
      </c>
      <c r="N6001" s="1">
        <f t="shared" si="469"/>
        <v>16566</v>
      </c>
    </row>
    <row r="6002" spans="1:14" x14ac:dyDescent="0.3">
      <c r="A6002" s="1">
        <v>16567</v>
      </c>
      <c r="B6002" s="7" t="s">
        <v>5923</v>
      </c>
      <c r="C6002" s="12">
        <v>4700</v>
      </c>
      <c r="D6002" s="7" t="s">
        <v>9023</v>
      </c>
      <c r="E6002" s="13" t="s">
        <v>5014</v>
      </c>
      <c r="F6002" t="str">
        <f t="shared" si="465"/>
        <v>Huffines</v>
      </c>
      <c r="G6002" t="str">
        <f t="shared" si="466"/>
        <v>Huffines4700Fort Worth</v>
      </c>
      <c r="H6002" t="s">
        <v>36858</v>
      </c>
      <c r="I6002" t="s">
        <v>28276</v>
      </c>
      <c r="J6002" t="str">
        <f t="shared" si="467"/>
        <v>E:\PropInv\MF</v>
      </c>
      <c r="K6002" s="103" t="str">
        <f>HYPERLINK("E:\PropInv\MF\Fort Worth\Huffines Blvd_4700_Terraces of Marine Creek_Fort Worth_16567","Huffines Blvd_4700_Terraces of Marine Creek_Fort Worth_16567" )</f>
        <v>Huffines Blvd_4700_Terraces of Marine Creek_Fort Worth_16567</v>
      </c>
      <c r="L6002" s="104" t="s">
        <v>22253</v>
      </c>
      <c r="M6002" s="103" t="str">
        <f t="shared" si="468"/>
        <v>http://oconnordata.com/mlink/modules/profile/index.cfm?action=profile&amp;prop_id=16567</v>
      </c>
      <c r="N6002" s="1">
        <f t="shared" si="469"/>
        <v>16567</v>
      </c>
    </row>
    <row r="6003" spans="1:14" x14ac:dyDescent="0.3">
      <c r="A6003" s="1">
        <v>16568</v>
      </c>
      <c r="B6003" s="7" t="s">
        <v>9024</v>
      </c>
      <c r="C6003" s="12">
        <v>2305</v>
      </c>
      <c r="D6003" s="7" t="s">
        <v>9025</v>
      </c>
      <c r="E6003" s="13" t="s">
        <v>5076</v>
      </c>
      <c r="F6003" t="str">
        <f t="shared" si="465"/>
        <v>Corn</v>
      </c>
      <c r="G6003" t="str">
        <f t="shared" si="466"/>
        <v>Corn2305Grand Prairie</v>
      </c>
      <c r="H6003" t="s">
        <v>36859</v>
      </c>
      <c r="I6003" t="s">
        <v>28277</v>
      </c>
      <c r="J6003" t="str">
        <f t="shared" si="467"/>
        <v>E:\PropInv\MF</v>
      </c>
      <c r="K6003" s="103" t="str">
        <f>HYPERLINK("E:\PropInv\MF\Grand Prairie\Corn Valley Rd_2305_Mountain Creek Retirement Living_Grand Prairie_16568","Corn Valley Rd_2305_Mountain Creek Retirement Living_Grand Prairie_16568" )</f>
        <v>Corn Valley Rd_2305_Mountain Creek Retirement Living_Grand Prairie_16568</v>
      </c>
      <c r="L6003" s="104" t="s">
        <v>22253</v>
      </c>
      <c r="M6003" s="103" t="str">
        <f t="shared" si="468"/>
        <v>http://oconnordata.com/mlink/modules/profile/index.cfm?action=profile&amp;prop_id=16568</v>
      </c>
      <c r="N6003" s="1">
        <f t="shared" si="469"/>
        <v>16568</v>
      </c>
    </row>
    <row r="6004" spans="1:14" x14ac:dyDescent="0.3">
      <c r="A6004" s="1">
        <v>16569</v>
      </c>
      <c r="B6004" s="7" t="s">
        <v>9026</v>
      </c>
      <c r="C6004" s="12">
        <v>1920</v>
      </c>
      <c r="D6004" s="7" t="s">
        <v>9027</v>
      </c>
      <c r="E6004" s="13" t="s">
        <v>5076</v>
      </c>
      <c r="F6004" t="str">
        <f t="shared" si="465"/>
        <v>Robinson</v>
      </c>
      <c r="G6004" t="str">
        <f t="shared" si="466"/>
        <v>Robinson1920Grand Prairie</v>
      </c>
      <c r="H6004" t="s">
        <v>36860</v>
      </c>
      <c r="I6004" t="s">
        <v>28278</v>
      </c>
      <c r="J6004" t="str">
        <f t="shared" si="467"/>
        <v>E:\PropInv\MF</v>
      </c>
      <c r="K6004" s="103" t="str">
        <f>HYPERLINK("E:\PropInv\MF\Grand Prairie\Robinson Rd_1920_Oak Timbers Grand Prairie_Grand Prairie_16569","Robinson Rd_1920_Oak Timbers Grand Prairie_Grand Prairie_16569" )</f>
        <v>Robinson Rd_1920_Oak Timbers Grand Prairie_Grand Prairie_16569</v>
      </c>
      <c r="L6004" s="104" t="s">
        <v>22253</v>
      </c>
      <c r="M6004" s="103" t="str">
        <f t="shared" si="468"/>
        <v>http://oconnordata.com/mlink/modules/profile/index.cfm?action=profile&amp;prop_id=16569</v>
      </c>
      <c r="N6004" s="1">
        <f t="shared" si="469"/>
        <v>16569</v>
      </c>
    </row>
    <row r="6005" spans="1:14" x14ac:dyDescent="0.3">
      <c r="A6005" s="97">
        <v>16570</v>
      </c>
      <c r="B6005" s="7" t="s">
        <v>8163</v>
      </c>
      <c r="C6005" s="12">
        <v>1104</v>
      </c>
      <c r="D6005" s="7" t="s">
        <v>9028</v>
      </c>
      <c r="E6005" s="13" t="s">
        <v>5076</v>
      </c>
      <c r="F6005" t="str">
        <f t="shared" si="465"/>
        <v>Carrier</v>
      </c>
      <c r="G6005" t="str">
        <f t="shared" si="466"/>
        <v>Carrier1104Grand Prairie</v>
      </c>
      <c r="H6005" t="s">
        <v>36861</v>
      </c>
      <c r="I6005" t="s">
        <v>28279</v>
      </c>
      <c r="J6005" t="str">
        <f t="shared" si="467"/>
        <v>E:\PropInv\MF</v>
      </c>
      <c r="K6005" s="103" t="str">
        <f>HYPERLINK("E:\PropInv\MF\Grand Prairie\Carrier Pkwy S_1104_Wright Senior Apts_Grand Prairie_16570","Carrier Pkwy S_1104_Wright Senior Apts_Grand Prairie_16570" )</f>
        <v>Carrier Pkwy S_1104_Wright Senior Apts_Grand Prairie_16570</v>
      </c>
      <c r="L6005" s="104" t="s">
        <v>22253</v>
      </c>
      <c r="M6005" s="103" t="str">
        <f t="shared" si="468"/>
        <v>http://oconnordata.com/mlink/modules/profile/index.cfm?action=profile&amp;prop_id=16570</v>
      </c>
      <c r="N6005" s="1">
        <f t="shared" si="469"/>
        <v>16570</v>
      </c>
    </row>
    <row r="6006" spans="1:14" x14ac:dyDescent="0.3">
      <c r="A6006" s="1">
        <v>16571</v>
      </c>
      <c r="B6006" s="7" t="s">
        <v>9029</v>
      </c>
      <c r="C6006" s="12">
        <v>635</v>
      </c>
      <c r="D6006" s="7" t="s">
        <v>9030</v>
      </c>
      <c r="E6006" s="13" t="s">
        <v>5046</v>
      </c>
      <c r="F6006" t="str">
        <f t="shared" si="465"/>
        <v>Royal</v>
      </c>
      <c r="G6006" t="str">
        <f t="shared" si="466"/>
        <v>Royal635Irving</v>
      </c>
      <c r="H6006" t="s">
        <v>36862</v>
      </c>
      <c r="I6006" t="s">
        <v>28280</v>
      </c>
      <c r="J6006" t="str">
        <f t="shared" si="467"/>
        <v>E:\PropInv\MF</v>
      </c>
      <c r="K6006" s="103" t="str">
        <f>HYPERLINK("E:\PropInv\MF\Irving\Royal Ln E_635_Mission at La Villita_Irving_16571","Royal Ln E_635_Mission at La Villita_Irving_16571" )</f>
        <v>Royal Ln E_635_Mission at La Villita_Irving_16571</v>
      </c>
      <c r="L6006" s="104" t="s">
        <v>22253</v>
      </c>
      <c r="M6006" s="103" t="str">
        <f t="shared" si="468"/>
        <v>http://oconnordata.com/mlink/modules/profile/index.cfm?action=profile&amp;prop_id=16571</v>
      </c>
      <c r="N6006" s="1">
        <f t="shared" si="469"/>
        <v>16571</v>
      </c>
    </row>
    <row r="6007" spans="1:14" x14ac:dyDescent="0.3">
      <c r="A6007" s="1">
        <v>16572</v>
      </c>
      <c r="B6007" s="7" t="s">
        <v>9031</v>
      </c>
      <c r="C6007" s="12">
        <v>6604</v>
      </c>
      <c r="D6007" s="7" t="s">
        <v>9032</v>
      </c>
      <c r="E6007" s="13" t="s">
        <v>5046</v>
      </c>
      <c r="F6007" t="str">
        <f t="shared" si="465"/>
        <v>Deseo</v>
      </c>
      <c r="G6007" t="str">
        <f t="shared" si="466"/>
        <v>Deseo6604Irving</v>
      </c>
      <c r="H6007" t="s">
        <v>36863</v>
      </c>
      <c r="I6007" t="s">
        <v>28281</v>
      </c>
      <c r="J6007" t="str">
        <f t="shared" si="467"/>
        <v>E:\PropInv\MF</v>
      </c>
      <c r="K6007" s="103" t="str">
        <f>HYPERLINK("E:\PropInv\MF\Irving\Deseo_6604_Landings at La Villita_Irving_16572","Deseo_6604_Landings at La Villita_Irving_16572" )</f>
        <v>Deseo_6604_Landings at La Villita_Irving_16572</v>
      </c>
      <c r="L6007" s="104" t="s">
        <v>22253</v>
      </c>
      <c r="M6007" s="103" t="str">
        <f t="shared" si="468"/>
        <v>http://oconnordata.com/mlink/modules/profile/index.cfm?action=profile&amp;prop_id=16572</v>
      </c>
      <c r="N6007" s="1">
        <f t="shared" si="469"/>
        <v>16572</v>
      </c>
    </row>
    <row r="6008" spans="1:14" x14ac:dyDescent="0.3">
      <c r="A6008" s="1">
        <v>16576</v>
      </c>
      <c r="B6008" s="7" t="s">
        <v>8412</v>
      </c>
      <c r="C6008" s="12">
        <v>8843</v>
      </c>
      <c r="D6008" s="7" t="s">
        <v>9033</v>
      </c>
      <c r="E6008" s="25" t="s">
        <v>5488</v>
      </c>
      <c r="F6008" t="str">
        <f t="shared" si="465"/>
        <v>Coleman</v>
      </c>
      <c r="G6008" t="str">
        <f t="shared" si="466"/>
        <v>Coleman8843Frisco</v>
      </c>
      <c r="H6008" t="s">
        <v>36864</v>
      </c>
      <c r="I6008" t="s">
        <v>28282</v>
      </c>
      <c r="J6008" t="str">
        <f t="shared" si="467"/>
        <v>E:\PropInv\MF</v>
      </c>
      <c r="K6008" s="103" t="str">
        <f>HYPERLINK("E:\PropInv\MF\Frisco\Coleman Blvd_8843_The Plaza at Frisco Square II_Frisco_16576","Coleman Blvd_8843_The Plaza at Frisco Square II_Frisco_16576" )</f>
        <v>Coleman Blvd_8843_The Plaza at Frisco Square II_Frisco_16576</v>
      </c>
      <c r="L6008" s="104" t="s">
        <v>22253</v>
      </c>
      <c r="M6008" s="103" t="str">
        <f t="shared" si="468"/>
        <v>http://oconnordata.com/mlink/modules/profile/index.cfm?action=profile&amp;prop_id=16576</v>
      </c>
      <c r="N6008" s="1">
        <f t="shared" si="469"/>
        <v>16576</v>
      </c>
    </row>
    <row r="6009" spans="1:14" x14ac:dyDescent="0.3">
      <c r="A6009" s="1">
        <v>16577</v>
      </c>
      <c r="B6009" s="7" t="s">
        <v>9034</v>
      </c>
      <c r="C6009" s="12">
        <v>1411</v>
      </c>
      <c r="D6009" s="7" t="s">
        <v>9035</v>
      </c>
      <c r="E6009" s="13" t="s">
        <v>4996</v>
      </c>
      <c r="F6009" t="str">
        <f t="shared" si="465"/>
        <v>Cockrell</v>
      </c>
      <c r="G6009" t="str">
        <f t="shared" si="466"/>
        <v>Cockrell1411Dallas</v>
      </c>
      <c r="H6009" t="s">
        <v>36865</v>
      </c>
      <c r="I6009" t="s">
        <v>28283</v>
      </c>
      <c r="J6009" t="str">
        <f t="shared" si="467"/>
        <v>E:\PropInv\MF</v>
      </c>
      <c r="K6009" s="103" t="str">
        <f>HYPERLINK("E:\PropInv\MF\Dallas\Cockrell Hill N_1411_Churchill at Pinnacle Park_Dallas_16577","Cockrell Hill N_1411_Churchill at Pinnacle Park_Dallas_16577" )</f>
        <v>Cockrell Hill N_1411_Churchill at Pinnacle Park_Dallas_16577</v>
      </c>
      <c r="L6009" s="104" t="s">
        <v>22253</v>
      </c>
      <c r="M6009" s="103" t="str">
        <f t="shared" si="468"/>
        <v>http://oconnordata.com/mlink/modules/profile/index.cfm?action=profile&amp;prop_id=16577</v>
      </c>
      <c r="N6009" s="1">
        <f t="shared" si="469"/>
        <v>16577</v>
      </c>
    </row>
    <row r="6010" spans="1:14" x14ac:dyDescent="0.3">
      <c r="A6010" s="1">
        <v>16583</v>
      </c>
      <c r="B6010" s="7" t="s">
        <v>9036</v>
      </c>
      <c r="C6010" s="12">
        <v>6350</v>
      </c>
      <c r="D6010" s="7" t="s">
        <v>9037</v>
      </c>
      <c r="E6010" s="13" t="s">
        <v>6541</v>
      </c>
      <c r="F6010" t="str">
        <f t="shared" si="465"/>
        <v>Winter</v>
      </c>
      <c r="G6010" t="str">
        <f t="shared" si="466"/>
        <v>Winter6350North Richland Hills</v>
      </c>
      <c r="H6010" t="s">
        <v>36866</v>
      </c>
      <c r="I6010" t="s">
        <v>28284</v>
      </c>
      <c r="J6010" t="str">
        <f t="shared" si="467"/>
        <v>E:\PropInv\MF</v>
      </c>
      <c r="K6010" s="103" t="str">
        <f>HYPERLINK("E:\PropInv\MF\North Richland Hills\Winter Park Dr_6350_Franklin Park at Hometown_North Richland Hills_16583","Winter Park Dr_6350_Franklin Park at Hometown_North Richland Hills_16583" )</f>
        <v>Winter Park Dr_6350_Franklin Park at Hometown_North Richland Hills_16583</v>
      </c>
      <c r="L6010" s="104" t="s">
        <v>22253</v>
      </c>
      <c r="M6010" s="103" t="str">
        <f t="shared" si="468"/>
        <v>http://oconnordata.com/mlink/modules/profile/index.cfm?action=profile&amp;prop_id=16583</v>
      </c>
      <c r="N6010" s="1">
        <f t="shared" si="469"/>
        <v>16583</v>
      </c>
    </row>
    <row r="6011" spans="1:14" x14ac:dyDescent="0.3">
      <c r="A6011" s="1">
        <v>16587</v>
      </c>
      <c r="B6011" s="7" t="s">
        <v>8993</v>
      </c>
      <c r="C6011" s="12">
        <v>800</v>
      </c>
      <c r="D6011" s="7" t="s">
        <v>9038</v>
      </c>
      <c r="E6011" s="13" t="s">
        <v>4996</v>
      </c>
      <c r="F6011" t="str">
        <f t="shared" si="465"/>
        <v>Ross</v>
      </c>
      <c r="G6011" t="str">
        <f t="shared" si="466"/>
        <v>Ross800Dallas</v>
      </c>
      <c r="H6011" t="s">
        <v>36867</v>
      </c>
      <c r="I6011" t="s">
        <v>28285</v>
      </c>
      <c r="J6011" t="str">
        <f t="shared" si="467"/>
        <v>E:\PropInv\MF</v>
      </c>
      <c r="K6011" s="103" t="str">
        <f>HYPERLINK("E:\PropInv\MF\Dallas\Ross Ave_800_Jefferson at West End Station_Dallas_16587","Ross Ave_800_Jefferson at West End Station_Dallas_16587" )</f>
        <v>Ross Ave_800_Jefferson at West End Station_Dallas_16587</v>
      </c>
      <c r="L6011" s="104" t="s">
        <v>22253</v>
      </c>
      <c r="M6011" s="103" t="str">
        <f t="shared" si="468"/>
        <v>http://oconnordata.com/mlink/modules/profile/index.cfm?action=profile&amp;prop_id=16587</v>
      </c>
      <c r="N6011" s="1">
        <f t="shared" si="469"/>
        <v>16587</v>
      </c>
    </row>
    <row r="6012" spans="1:14" x14ac:dyDescent="0.3">
      <c r="A6012" s="1">
        <v>16588</v>
      </c>
      <c r="B6012" s="7" t="s">
        <v>3118</v>
      </c>
      <c r="C6012" s="12">
        <v>1415</v>
      </c>
      <c r="D6012" s="7" t="s">
        <v>9039</v>
      </c>
      <c r="E6012" s="13" t="s">
        <v>4996</v>
      </c>
      <c r="F6012" t="str">
        <f t="shared" si="465"/>
        <v>Main</v>
      </c>
      <c r="G6012" t="str">
        <f t="shared" si="466"/>
        <v>Main1415Dallas</v>
      </c>
      <c r="H6012" t="s">
        <v>36868</v>
      </c>
      <c r="I6012" t="s">
        <v>28286</v>
      </c>
      <c r="J6012" t="str">
        <f t="shared" si="467"/>
        <v>E:\PropInv\MF</v>
      </c>
      <c r="K6012" s="103" t="str">
        <f>HYPERLINK("E:\PropInv\MF\Dallas\Main St_1415_Third Rail Lofts-Gulf States Bldg_Dallas_16588","Main St_1415_Third Rail Lofts-Gulf States Bldg_Dallas_16588" )</f>
        <v>Main St_1415_Third Rail Lofts-Gulf States Bldg_Dallas_16588</v>
      </c>
      <c r="L6012" s="104" t="s">
        <v>22253</v>
      </c>
      <c r="M6012" s="103" t="str">
        <f t="shared" si="468"/>
        <v>http://oconnordata.com/mlink/modules/profile/index.cfm?action=profile&amp;prop_id=16588</v>
      </c>
      <c r="N6012" s="1">
        <f t="shared" si="469"/>
        <v>16588</v>
      </c>
    </row>
    <row r="6013" spans="1:14" x14ac:dyDescent="0.3">
      <c r="A6013" s="1">
        <v>16589</v>
      </c>
      <c r="B6013" s="7" t="s">
        <v>5393</v>
      </c>
      <c r="C6013" s="12">
        <v>3839</v>
      </c>
      <c r="D6013" s="7" t="s">
        <v>9040</v>
      </c>
      <c r="E6013" s="13" t="s">
        <v>4996</v>
      </c>
      <c r="F6013" t="str">
        <f t="shared" si="465"/>
        <v>McKinney</v>
      </c>
      <c r="G6013" t="str">
        <f t="shared" si="466"/>
        <v>McKinney3839Dallas</v>
      </c>
      <c r="H6013" t="s">
        <v>36869</v>
      </c>
      <c r="I6013" t="s">
        <v>28287</v>
      </c>
      <c r="J6013" t="str">
        <f t="shared" si="467"/>
        <v>E:\PropInv\MF</v>
      </c>
      <c r="K6013" s="103" t="str">
        <f>HYPERLINK("E:\PropInv\MF\Dallas\McKinney Ave_3839_Gables West Village_Dallas_16589","McKinney Ave_3839_Gables West Village_Dallas_16589" )</f>
        <v>McKinney Ave_3839_Gables West Village_Dallas_16589</v>
      </c>
      <c r="L6013" s="104" t="s">
        <v>22253</v>
      </c>
      <c r="M6013" s="103" t="str">
        <f t="shared" si="468"/>
        <v>http://oconnordata.com/mlink/modules/profile/index.cfm?action=profile&amp;prop_id=16589</v>
      </c>
      <c r="N6013" s="1">
        <f t="shared" si="469"/>
        <v>16589</v>
      </c>
    </row>
    <row r="6014" spans="1:14" x14ac:dyDescent="0.3">
      <c r="A6014" s="1">
        <v>16590</v>
      </c>
      <c r="B6014" s="7" t="s">
        <v>9041</v>
      </c>
      <c r="C6014" s="12">
        <v>21739</v>
      </c>
      <c r="D6014" s="7" t="s">
        <v>9042</v>
      </c>
      <c r="E6014" s="13" t="s">
        <v>842</v>
      </c>
      <c r="F6014" t="str">
        <f t="shared" si="465"/>
        <v>Hardy</v>
      </c>
      <c r="G6014" t="str">
        <f t="shared" si="466"/>
        <v>Hardy21739San Antonio</v>
      </c>
      <c r="H6014" t="s">
        <v>36870</v>
      </c>
      <c r="I6014" t="s">
        <v>28288</v>
      </c>
      <c r="J6014" t="str">
        <f t="shared" si="467"/>
        <v>E:\PropInv\MF</v>
      </c>
      <c r="K6014" s="103" t="str">
        <f>HYPERLINK("E:\PropInv\MF\San Antonio\Hardy Oak Blvd_21739_Club at Stone Oak_San Antonio_16590","Hardy Oak Blvd_21739_Club at Stone Oak_San Antonio_16590" )</f>
        <v>Hardy Oak Blvd_21739_Club at Stone Oak_San Antonio_16590</v>
      </c>
      <c r="L6014" s="104" t="s">
        <v>22253</v>
      </c>
      <c r="M6014" s="103" t="str">
        <f t="shared" si="468"/>
        <v>http://oconnordata.com/mlink/modules/profile/index.cfm?action=profile&amp;prop_id=16590</v>
      </c>
      <c r="N6014" s="1">
        <f t="shared" si="469"/>
        <v>16590</v>
      </c>
    </row>
    <row r="6015" spans="1:14" x14ac:dyDescent="0.3">
      <c r="A6015" s="1">
        <v>16591</v>
      </c>
      <c r="B6015" s="7" t="s">
        <v>9043</v>
      </c>
      <c r="C6015" s="12">
        <v>300</v>
      </c>
      <c r="D6015" s="7" t="s">
        <v>9044</v>
      </c>
      <c r="E6015" s="13" t="s">
        <v>4996</v>
      </c>
      <c r="F6015" t="str">
        <f t="shared" si="465"/>
        <v>Akard</v>
      </c>
      <c r="G6015" t="str">
        <f t="shared" si="466"/>
        <v>Akard300Dallas</v>
      </c>
      <c r="H6015" t="s">
        <v>36871</v>
      </c>
      <c r="I6015" t="s">
        <v>28289</v>
      </c>
      <c r="J6015" t="str">
        <f t="shared" si="467"/>
        <v>E:\PropInv\MF</v>
      </c>
      <c r="K6015" s="103" t="str">
        <f>HYPERLINK("E:\PropInv\MF\Dallas\Akard St N_300_Mosaic_Dallas_16591","Akard St N_300_Mosaic_Dallas_16591" )</f>
        <v>Akard St N_300_Mosaic_Dallas_16591</v>
      </c>
      <c r="L6015" s="104" t="s">
        <v>22253</v>
      </c>
      <c r="M6015" s="103" t="str">
        <f t="shared" si="468"/>
        <v>http://oconnordata.com/mlink/modules/profile/index.cfm?action=profile&amp;prop_id=16591</v>
      </c>
      <c r="N6015" s="1">
        <f t="shared" si="469"/>
        <v>16591</v>
      </c>
    </row>
    <row r="6016" spans="1:14" x14ac:dyDescent="0.3">
      <c r="A6016" s="1">
        <v>16594</v>
      </c>
      <c r="B6016" s="7" t="s">
        <v>9045</v>
      </c>
      <c r="C6016" s="12">
        <v>2820</v>
      </c>
      <c r="D6016" s="7" t="s">
        <v>9046</v>
      </c>
      <c r="E6016" s="13" t="s">
        <v>5097</v>
      </c>
      <c r="F6016" t="str">
        <f t="shared" si="465"/>
        <v>Wind</v>
      </c>
      <c r="G6016" t="str">
        <f t="shared" si="466"/>
        <v>Wind2820Denton</v>
      </c>
      <c r="H6016" t="s">
        <v>36872</v>
      </c>
      <c r="I6016" t="s">
        <v>28290</v>
      </c>
      <c r="J6016" t="str">
        <f t="shared" si="467"/>
        <v>E:\PropInv\MF</v>
      </c>
      <c r="K6016" s="103" t="str">
        <f>HYPERLINK("E:\PropInv\MF\Denton\Wind River Ln_2820_Dogwood Estates_Denton_16594","Wind River Ln_2820_Dogwood Estates_Denton_16594" )</f>
        <v>Wind River Ln_2820_Dogwood Estates_Denton_16594</v>
      </c>
      <c r="L6016" s="104" t="s">
        <v>22253</v>
      </c>
      <c r="M6016" s="103" t="str">
        <f t="shared" si="468"/>
        <v>http://oconnordata.com/mlink/modules/profile/index.cfm?action=profile&amp;prop_id=16594</v>
      </c>
      <c r="N6016" s="1">
        <f t="shared" si="469"/>
        <v>16594</v>
      </c>
    </row>
    <row r="6017" spans="1:14" x14ac:dyDescent="0.3">
      <c r="A6017" s="1">
        <v>16596</v>
      </c>
      <c r="B6017" s="7" t="s">
        <v>475</v>
      </c>
      <c r="C6017" s="12">
        <v>4950</v>
      </c>
      <c r="D6017" s="7" t="s">
        <v>9047</v>
      </c>
      <c r="E6017" s="13" t="s">
        <v>842</v>
      </c>
      <c r="F6017" t="str">
        <f t="shared" si="465"/>
        <v>Woodstone</v>
      </c>
      <c r="G6017" t="str">
        <f t="shared" si="466"/>
        <v>Woodstone4950San Antonio</v>
      </c>
      <c r="H6017" t="s">
        <v>36873</v>
      </c>
      <c r="I6017" t="s">
        <v>28291</v>
      </c>
      <c r="J6017" t="str">
        <f t="shared" si="467"/>
        <v>E:\PropInv\MF</v>
      </c>
      <c r="K6017" s="103" t="str">
        <f>HYPERLINK("E:\PropInv\MF\San Antonio\Woodstone_4950_Stonehouse Valley Apts_San Antonio_16596","Woodstone_4950_Stonehouse Valley Apts_San Antonio_16596" )</f>
        <v>Woodstone_4950_Stonehouse Valley Apts_San Antonio_16596</v>
      </c>
      <c r="L6017" s="104" t="s">
        <v>22253</v>
      </c>
      <c r="M6017" s="103" t="str">
        <f t="shared" si="468"/>
        <v>http://oconnordata.com/mlink/modules/profile/index.cfm?action=profile&amp;prop_id=16596</v>
      </c>
      <c r="N6017" s="1">
        <f t="shared" si="469"/>
        <v>16596</v>
      </c>
    </row>
    <row r="6018" spans="1:14" x14ac:dyDescent="0.3">
      <c r="A6018" s="1">
        <v>16598</v>
      </c>
      <c r="B6018" s="7" t="s">
        <v>9048</v>
      </c>
      <c r="C6018" s="12">
        <v>8355</v>
      </c>
      <c r="D6018" s="7" t="s">
        <v>9049</v>
      </c>
      <c r="E6018" s="13" t="s">
        <v>842</v>
      </c>
      <c r="F6018" t="str">
        <f t="shared" ref="F6018:F6081" si="470">IFERROR(LEFT(B6018,FIND(" ",B6018)-1),B6018)</f>
        <v>Crestway</v>
      </c>
      <c r="G6018" t="str">
        <f t="shared" ref="G6018:G6081" si="471">F6018&amp;C6018&amp;E6018</f>
        <v>Crestway8355San Antonio</v>
      </c>
      <c r="H6018" t="s">
        <v>36874</v>
      </c>
      <c r="I6018" t="s">
        <v>28292</v>
      </c>
      <c r="J6018" t="str">
        <f t="shared" ref="J6018:J6081" si="472">IF(L6018="TX",Folder_Path,Folder_Path&amp;"\State_"&amp;L6018)</f>
        <v>E:\PropInv\MF</v>
      </c>
      <c r="K6018" s="103" t="str">
        <f>HYPERLINK("E:\PropInv\MF\San Antonio\Crestway St_8355_Converse Ranch_San Antonio_16598","Crestway St_8355_Converse Ranch_San Antonio_16598" )</f>
        <v>Crestway St_8355_Converse Ranch_San Antonio_16598</v>
      </c>
      <c r="L6018" s="104" t="s">
        <v>22253</v>
      </c>
      <c r="M6018" s="103" t="str">
        <f t="shared" ref="M6018:M6081" si="473">HYPERLINK("http://oconnordata.com/mlink/modules/profile/index.cfm?action=profile&amp;prop_id="&amp;A6018)</f>
        <v>http://oconnordata.com/mlink/modules/profile/index.cfm?action=profile&amp;prop_id=16598</v>
      </c>
      <c r="N6018" s="1">
        <f t="shared" ref="N6018:N6081" si="474">IF(LEN(A6018)=1,"0000"&amp;A6018,IF(LEN(A6018)=2,"000"&amp;A6018,IF(LEN(A6018)=3,"00"&amp;A6018,IF(LEN(A6018)=4,"0"&amp;A6018,IF(LEN(A6018)=5,IF(LEFT(A6018,1)="3",A6018+30000,A6018))))))</f>
        <v>16598</v>
      </c>
    </row>
    <row r="6019" spans="1:14" x14ac:dyDescent="0.3">
      <c r="A6019" s="1">
        <v>16599</v>
      </c>
      <c r="B6019" s="7" t="s">
        <v>9050</v>
      </c>
      <c r="C6019" s="12">
        <v>5350</v>
      </c>
      <c r="D6019" s="7" t="s">
        <v>9051</v>
      </c>
      <c r="E6019" s="13" t="s">
        <v>842</v>
      </c>
      <c r="F6019" t="str">
        <f t="shared" si="470"/>
        <v>Military</v>
      </c>
      <c r="G6019" t="str">
        <f t="shared" si="471"/>
        <v>Military5350San Antonio</v>
      </c>
      <c r="H6019" t="s">
        <v>36875</v>
      </c>
      <c r="I6019" t="s">
        <v>28293</v>
      </c>
      <c r="J6019" t="str">
        <f t="shared" si="472"/>
        <v>E:\PropInv\MF</v>
      </c>
      <c r="K6019" s="103" t="str">
        <f>HYPERLINK("E:\PropInv\MF\San Antonio\Military Dr SW_5350_Champion Homes at Port Royal_San Antonio_16599","Military Dr SW_5350_Champion Homes at Port Royal_San Antonio_16599" )</f>
        <v>Military Dr SW_5350_Champion Homes at Port Royal_San Antonio_16599</v>
      </c>
      <c r="L6019" s="104" t="s">
        <v>22253</v>
      </c>
      <c r="M6019" s="103" t="str">
        <f t="shared" si="473"/>
        <v>http://oconnordata.com/mlink/modules/profile/index.cfm?action=profile&amp;prop_id=16599</v>
      </c>
      <c r="N6019" s="1">
        <f t="shared" si="474"/>
        <v>16599</v>
      </c>
    </row>
    <row r="6020" spans="1:14" x14ac:dyDescent="0.3">
      <c r="A6020" s="1">
        <v>16600</v>
      </c>
      <c r="B6020" s="7" t="s">
        <v>9052</v>
      </c>
      <c r="C6020" s="12">
        <v>2022</v>
      </c>
      <c r="D6020" s="7" t="s">
        <v>9053</v>
      </c>
      <c r="E6020" s="13" t="s">
        <v>842</v>
      </c>
      <c r="F6020" t="str">
        <f t="shared" si="470"/>
        <v>Zarzamora</v>
      </c>
      <c r="G6020" t="str">
        <f t="shared" si="471"/>
        <v>Zarzamora2022San Antonio</v>
      </c>
      <c r="H6020" t="s">
        <v>36876</v>
      </c>
      <c r="I6020" t="s">
        <v>28294</v>
      </c>
      <c r="J6020" t="str">
        <f t="shared" si="472"/>
        <v>E:\PropInv\MF</v>
      </c>
      <c r="K6020" s="103" t="str">
        <f>HYPERLINK("E:\PropInv\MF\San Antonio\Zarzamora_2022_Charles A. Gonzales Senior Community_San Antonio_16600","Zarzamora_2022_Charles A. Gonzales Senior Community_San Antonio_16600" )</f>
        <v>Zarzamora_2022_Charles A. Gonzales Senior Community_San Antonio_16600</v>
      </c>
      <c r="L6020" s="104" t="s">
        <v>22253</v>
      </c>
      <c r="M6020" s="103" t="str">
        <f t="shared" si="473"/>
        <v>http://oconnordata.com/mlink/modules/profile/index.cfm?action=profile&amp;prop_id=16600</v>
      </c>
      <c r="N6020" s="1">
        <f t="shared" si="474"/>
        <v>16600</v>
      </c>
    </row>
    <row r="6021" spans="1:14" x14ac:dyDescent="0.3">
      <c r="A6021" s="1">
        <v>16601</v>
      </c>
      <c r="B6021" s="7" t="s">
        <v>9054</v>
      </c>
      <c r="C6021" s="12">
        <v>2819</v>
      </c>
      <c r="D6021" s="7" t="s">
        <v>9055</v>
      </c>
      <c r="E6021" s="13" t="s">
        <v>842</v>
      </c>
      <c r="F6021" t="str">
        <f t="shared" si="470"/>
        <v>W.W.</v>
      </c>
      <c r="G6021" t="str">
        <f t="shared" si="471"/>
        <v>W.W.2819San Antonio</v>
      </c>
      <c r="H6021" t="s">
        <v>36877</v>
      </c>
      <c r="I6021" t="s">
        <v>28295</v>
      </c>
      <c r="J6021" t="str">
        <f t="shared" si="472"/>
        <v>E:\PropInv\MF</v>
      </c>
      <c r="K6021" s="103" t="str">
        <f>HYPERLINK("E:\PropInv\MF\San Antonio\W.W. White Rd S_2819_Costa Cadiz_San Antonio_16601","W.W. White Rd S_2819_Costa Cadiz_San Antonio_16601" )</f>
        <v>W.W. White Rd S_2819_Costa Cadiz_San Antonio_16601</v>
      </c>
      <c r="L6021" s="104" t="s">
        <v>22253</v>
      </c>
      <c r="M6021" s="103" t="str">
        <f t="shared" si="473"/>
        <v>http://oconnordata.com/mlink/modules/profile/index.cfm?action=profile&amp;prop_id=16601</v>
      </c>
      <c r="N6021" s="1">
        <f t="shared" si="474"/>
        <v>16601</v>
      </c>
    </row>
    <row r="6022" spans="1:14" x14ac:dyDescent="0.3">
      <c r="A6022" s="1">
        <v>16603</v>
      </c>
      <c r="B6022" s="7" t="s">
        <v>8956</v>
      </c>
      <c r="C6022" s="12">
        <v>144</v>
      </c>
      <c r="D6022" s="7" t="s">
        <v>9056</v>
      </c>
      <c r="E6022" s="13" t="s">
        <v>912</v>
      </c>
      <c r="F6022" t="str">
        <f t="shared" si="470"/>
        <v>Landa</v>
      </c>
      <c r="G6022" t="str">
        <f t="shared" si="471"/>
        <v>Landa144New Braunfels</v>
      </c>
      <c r="H6022" t="s">
        <v>36878</v>
      </c>
      <c r="I6022" t="s">
        <v>28296</v>
      </c>
      <c r="J6022" t="str">
        <f t="shared" si="472"/>
        <v>E:\PropInv\MF</v>
      </c>
      <c r="K6022" s="103" t="str">
        <f>HYPERLINK("E:\PropInv\MF\New Braunfels\Landa St_144_The Landmark Lofts_New Braunfels_16603","Landa St_144_The Landmark Lofts_New Braunfels_16603" )</f>
        <v>Landa St_144_The Landmark Lofts_New Braunfels_16603</v>
      </c>
      <c r="L6022" s="104" t="s">
        <v>22253</v>
      </c>
      <c r="M6022" s="103" t="str">
        <f t="shared" si="473"/>
        <v>http://oconnordata.com/mlink/modules/profile/index.cfm?action=profile&amp;prop_id=16603</v>
      </c>
      <c r="N6022" s="1">
        <f t="shared" si="474"/>
        <v>16603</v>
      </c>
    </row>
    <row r="6023" spans="1:14" x14ac:dyDescent="0.3">
      <c r="A6023" s="1">
        <v>16604</v>
      </c>
      <c r="B6023" s="7" t="s">
        <v>9057</v>
      </c>
      <c r="C6023" s="12">
        <v>1000</v>
      </c>
      <c r="D6023" s="7" t="s">
        <v>9058</v>
      </c>
      <c r="E6023" s="13" t="s">
        <v>5407</v>
      </c>
      <c r="F6023" t="str">
        <f t="shared" si="470"/>
        <v>Pleasant</v>
      </c>
      <c r="G6023" t="str">
        <f t="shared" si="471"/>
        <v>Pleasant1000Cedar Hill</v>
      </c>
      <c r="H6023" t="s">
        <v>36879</v>
      </c>
      <c r="I6023" t="s">
        <v>28297</v>
      </c>
      <c r="J6023" t="str">
        <f t="shared" si="472"/>
        <v>E:\PropInv\MF</v>
      </c>
      <c r="K6023" s="103" t="str">
        <f>HYPERLINK("E:\PropInv\MF\Cedar Hill\Pleasant Run Rd E_1000_Legacy of Cedar Hill II_Cedar Hill_16604","Pleasant Run Rd E_1000_Legacy of Cedar Hill II_Cedar Hill_16604" )</f>
        <v>Pleasant Run Rd E_1000_Legacy of Cedar Hill II_Cedar Hill_16604</v>
      </c>
      <c r="L6023" s="104" t="s">
        <v>22253</v>
      </c>
      <c r="M6023" s="103" t="str">
        <f t="shared" si="473"/>
        <v>http://oconnordata.com/mlink/modules/profile/index.cfm?action=profile&amp;prop_id=16604</v>
      </c>
      <c r="N6023" s="1">
        <f t="shared" si="474"/>
        <v>16604</v>
      </c>
    </row>
    <row r="6024" spans="1:14" x14ac:dyDescent="0.3">
      <c r="A6024" s="1">
        <v>16605</v>
      </c>
      <c r="B6024" s="7" t="s">
        <v>6833</v>
      </c>
      <c r="C6024" s="12">
        <v>3801</v>
      </c>
      <c r="D6024" s="7" t="s">
        <v>9059</v>
      </c>
      <c r="E6024" s="13" t="s">
        <v>5014</v>
      </c>
      <c r="F6024" t="str">
        <f t="shared" si="470"/>
        <v>Sycamore</v>
      </c>
      <c r="G6024" t="str">
        <f t="shared" si="471"/>
        <v>Sycamore3801Fort Worth</v>
      </c>
      <c r="H6024" t="s">
        <v>36880</v>
      </c>
      <c r="I6024" t="s">
        <v>28298</v>
      </c>
      <c r="J6024" t="str">
        <f t="shared" si="472"/>
        <v>E:\PropInv\MF</v>
      </c>
      <c r="K6024" s="103" t="str">
        <f>HYPERLINK("E:\PropInv\MF\Fort Worth\Sycamore School Rd_3801_The Park at Sycamore School Apts_Fort Worth_16605","Sycamore School Rd_3801_The Park at Sycamore School Apts_Fort Worth_16605" )</f>
        <v>Sycamore School Rd_3801_The Park at Sycamore School Apts_Fort Worth_16605</v>
      </c>
      <c r="L6024" s="104" t="s">
        <v>22253</v>
      </c>
      <c r="M6024" s="103" t="str">
        <f t="shared" si="473"/>
        <v>http://oconnordata.com/mlink/modules/profile/index.cfm?action=profile&amp;prop_id=16605</v>
      </c>
      <c r="N6024" s="1">
        <f t="shared" si="474"/>
        <v>16605</v>
      </c>
    </row>
    <row r="6025" spans="1:14" s="133" customFormat="1" x14ac:dyDescent="0.3">
      <c r="A6025" s="130">
        <v>16606</v>
      </c>
      <c r="B6025" s="131" t="s">
        <v>9060</v>
      </c>
      <c r="C6025" s="132">
        <v>8004</v>
      </c>
      <c r="D6025" s="131" t="s">
        <v>9061</v>
      </c>
      <c r="E6025" s="131" t="s">
        <v>842</v>
      </c>
      <c r="F6025" s="133" t="str">
        <f t="shared" si="470"/>
        <v>Bentley</v>
      </c>
      <c r="G6025" s="133" t="str">
        <f t="shared" si="471"/>
        <v>Bentley8004San Antonio</v>
      </c>
      <c r="H6025" s="133" t="s">
        <v>36881</v>
      </c>
      <c r="I6025" s="133" t="s">
        <v>28299</v>
      </c>
      <c r="J6025" s="133" t="str">
        <f t="shared" si="472"/>
        <v>E:\PropInv\MF</v>
      </c>
      <c r="K6025" s="134" t="str">
        <f>HYPERLINK("E:\PropInv\MF\San Antonio\Bentley Dr_8004_The Meadows at Bentley Drive_San Antonio_16606","Bentley Dr_8004_The Meadows at Bentley Drive_San Antonio_16606" )</f>
        <v>Bentley Dr_8004_The Meadows at Bentley Drive_San Antonio_16606</v>
      </c>
      <c r="L6025" s="135" t="s">
        <v>22253</v>
      </c>
      <c r="M6025" s="134" t="str">
        <f t="shared" si="473"/>
        <v>http://oconnordata.com/mlink/modules/profile/index.cfm?action=profile&amp;prop_id=16606</v>
      </c>
      <c r="N6025" s="130">
        <f t="shared" si="474"/>
        <v>16606</v>
      </c>
    </row>
    <row r="6026" spans="1:14" x14ac:dyDescent="0.3">
      <c r="A6026" s="1">
        <v>16607</v>
      </c>
      <c r="B6026" s="7" t="s">
        <v>9062</v>
      </c>
      <c r="C6026" s="12">
        <v>500</v>
      </c>
      <c r="D6026" s="7" t="s">
        <v>9063</v>
      </c>
      <c r="E6026" s="13" t="s">
        <v>842</v>
      </c>
      <c r="F6026" t="str">
        <f t="shared" si="470"/>
        <v>Tomar</v>
      </c>
      <c r="G6026" t="str">
        <f t="shared" si="471"/>
        <v>Tomar500San Antonio</v>
      </c>
      <c r="H6026" t="s">
        <v>36882</v>
      </c>
      <c r="I6026" t="s">
        <v>28300</v>
      </c>
      <c r="J6026" t="str">
        <f t="shared" si="472"/>
        <v>E:\PropInv\MF</v>
      </c>
      <c r="K6026" s="103" t="str">
        <f>HYPERLINK("E:\PropInv\MF\San Antonio\Tomar Dr_500_Western Hills Apts_San Antonio_16607","Tomar Dr_500_Western Hills Apts_San Antonio_16607" )</f>
        <v>Tomar Dr_500_Western Hills Apts_San Antonio_16607</v>
      </c>
      <c r="L6026" s="104" t="s">
        <v>22253</v>
      </c>
      <c r="M6026" s="103" t="str">
        <f t="shared" si="473"/>
        <v>http://oconnordata.com/mlink/modules/profile/index.cfm?action=profile&amp;prop_id=16607</v>
      </c>
      <c r="N6026" s="1">
        <f t="shared" si="474"/>
        <v>16607</v>
      </c>
    </row>
    <row r="6027" spans="1:14" x14ac:dyDescent="0.3">
      <c r="A6027" s="1">
        <v>16609</v>
      </c>
      <c r="B6027" s="7" t="s">
        <v>9064</v>
      </c>
      <c r="C6027" s="12">
        <v>222</v>
      </c>
      <c r="D6027" s="7" t="s">
        <v>9065</v>
      </c>
      <c r="E6027" s="13" t="s">
        <v>4996</v>
      </c>
      <c r="F6027" t="str">
        <f t="shared" si="470"/>
        <v>Browder</v>
      </c>
      <c r="G6027" t="str">
        <f t="shared" si="471"/>
        <v>Browder222Dallas</v>
      </c>
      <c r="H6027" t="s">
        <v>36883</v>
      </c>
      <c r="I6027" t="s">
        <v>28301</v>
      </c>
      <c r="J6027" t="str">
        <f t="shared" si="472"/>
        <v>E:\PropInv\MF</v>
      </c>
      <c r="K6027" s="103" t="str">
        <f>HYPERLINK("E:\PropInv\MF\Dallas\Browder St_222_Dallas Power &amp; Light Buildings_Dallas_16609","Browder St_222_Dallas Power &amp; Light Buildings_Dallas_16609" )</f>
        <v>Browder St_222_Dallas Power &amp; Light Buildings_Dallas_16609</v>
      </c>
      <c r="L6027" s="104" t="s">
        <v>22253</v>
      </c>
      <c r="M6027" s="103" t="str">
        <f t="shared" si="473"/>
        <v>http://oconnordata.com/mlink/modules/profile/index.cfm?action=profile&amp;prop_id=16609</v>
      </c>
      <c r="N6027" s="1">
        <f t="shared" si="474"/>
        <v>16609</v>
      </c>
    </row>
    <row r="6028" spans="1:14" x14ac:dyDescent="0.3">
      <c r="A6028" s="1">
        <v>16610</v>
      </c>
      <c r="B6028" s="7" t="s">
        <v>1588</v>
      </c>
      <c r="C6028" s="12">
        <v>6802</v>
      </c>
      <c r="D6028" s="7" t="s">
        <v>9066</v>
      </c>
      <c r="E6028" s="13" t="s">
        <v>842</v>
      </c>
      <c r="F6028" t="str">
        <f t="shared" si="470"/>
        <v>UTSA</v>
      </c>
      <c r="G6028" t="str">
        <f t="shared" si="471"/>
        <v>UTSA6802San Antonio</v>
      </c>
      <c r="H6028" t="s">
        <v>36884</v>
      </c>
      <c r="I6028" t="s">
        <v>28302</v>
      </c>
      <c r="J6028" t="str">
        <f t="shared" si="472"/>
        <v>E:\PropInv\MF</v>
      </c>
      <c r="K6028" s="103" t="str">
        <f>HYPERLINK("E:\PropInv\MF\San Antonio\UTSA Blvd_6802_The Outpost San Antonio_San Antonio_16610","UTSA Blvd_6802_The Outpost San Antonio_San Antonio_16610" )</f>
        <v>UTSA Blvd_6802_The Outpost San Antonio_San Antonio_16610</v>
      </c>
      <c r="L6028" s="104" t="s">
        <v>22253</v>
      </c>
      <c r="M6028" s="103" t="str">
        <f t="shared" si="473"/>
        <v>http://oconnordata.com/mlink/modules/profile/index.cfm?action=profile&amp;prop_id=16610</v>
      </c>
      <c r="N6028" s="1">
        <f t="shared" si="474"/>
        <v>16610</v>
      </c>
    </row>
    <row r="6029" spans="1:14" x14ac:dyDescent="0.3">
      <c r="A6029" s="1">
        <v>16611</v>
      </c>
      <c r="B6029" s="7" t="s">
        <v>9067</v>
      </c>
      <c r="C6029" s="12">
        <v>1501</v>
      </c>
      <c r="D6029" s="7" t="s">
        <v>9068</v>
      </c>
      <c r="E6029" s="13" t="s">
        <v>5014</v>
      </c>
      <c r="F6029" t="str">
        <f t="shared" si="470"/>
        <v>Westpark</v>
      </c>
      <c r="G6029" t="str">
        <f t="shared" si="471"/>
        <v>Westpark1501Fort Worth</v>
      </c>
      <c r="H6029" t="s">
        <v>36885</v>
      </c>
      <c r="I6029" t="s">
        <v>28303</v>
      </c>
      <c r="J6029" t="str">
        <f t="shared" si="472"/>
        <v>E:\PropInv\MF</v>
      </c>
      <c r="K6029" s="103" t="str">
        <f>HYPERLINK("E:\PropInv\MF\Fort Worth\Westpark View Dr_1501_Stone Villas_Fort Worth_16611","Westpark View Dr_1501_Stone Villas_Fort Worth_16611" )</f>
        <v>Westpark View Dr_1501_Stone Villas_Fort Worth_16611</v>
      </c>
      <c r="L6029" s="104" t="s">
        <v>22253</v>
      </c>
      <c r="M6029" s="103" t="str">
        <f t="shared" si="473"/>
        <v>http://oconnordata.com/mlink/modules/profile/index.cfm?action=profile&amp;prop_id=16611</v>
      </c>
      <c r="N6029" s="1">
        <f t="shared" si="474"/>
        <v>16611</v>
      </c>
    </row>
    <row r="6030" spans="1:14" x14ac:dyDescent="0.3">
      <c r="A6030" s="1">
        <v>16613</v>
      </c>
      <c r="B6030" s="7" t="s">
        <v>9069</v>
      </c>
      <c r="C6030" s="12">
        <v>4901</v>
      </c>
      <c r="D6030" s="7" t="s">
        <v>9070</v>
      </c>
      <c r="E6030" s="13" t="s">
        <v>6555</v>
      </c>
      <c r="F6030" t="str">
        <f t="shared" si="470"/>
        <v>Pacific</v>
      </c>
      <c r="G6030" t="str">
        <f t="shared" si="471"/>
        <v>Pacific4901Arlington</v>
      </c>
      <c r="H6030" t="s">
        <v>36886</v>
      </c>
      <c r="I6030" t="s">
        <v>28304</v>
      </c>
      <c r="J6030" t="str">
        <f t="shared" si="472"/>
        <v>E:\PropInv\MF</v>
      </c>
      <c r="K6030" s="103" t="str">
        <f>HYPERLINK("E:\PropInv\MF\Arlington\Pacific Dr_4901_Addison Park Apts_Arlington_16613","Pacific Dr_4901_Addison Park Apts_Arlington_16613" )</f>
        <v>Pacific Dr_4901_Addison Park Apts_Arlington_16613</v>
      </c>
      <c r="L6030" s="104" t="s">
        <v>22253</v>
      </c>
      <c r="M6030" s="103" t="str">
        <f t="shared" si="473"/>
        <v>http://oconnordata.com/mlink/modules/profile/index.cfm?action=profile&amp;prop_id=16613</v>
      </c>
      <c r="N6030" s="1">
        <f t="shared" si="474"/>
        <v>16613</v>
      </c>
    </row>
    <row r="6031" spans="1:14" x14ac:dyDescent="0.3">
      <c r="A6031" s="1">
        <v>16615</v>
      </c>
      <c r="B6031" s="7" t="s">
        <v>9071</v>
      </c>
      <c r="C6031" s="12">
        <v>7415</v>
      </c>
      <c r="D6031" s="7" t="s">
        <v>9072</v>
      </c>
      <c r="E6031" s="13" t="s">
        <v>5014</v>
      </c>
      <c r="F6031" t="str">
        <f t="shared" si="470"/>
        <v>Forest</v>
      </c>
      <c r="G6031" t="str">
        <f t="shared" si="471"/>
        <v>Forest7415Fort Worth</v>
      </c>
      <c r="H6031" t="s">
        <v>36887</v>
      </c>
      <c r="I6031" t="s">
        <v>28305</v>
      </c>
      <c r="J6031" t="str">
        <f t="shared" si="472"/>
        <v>E:\PropInv\MF</v>
      </c>
      <c r="K6031" s="103" t="str">
        <f>HYPERLINK("E:\PropInv\MF\Fort Worth\Forest Hill Dr_7415_Villas of Forest Hill_Fort Worth_16615","Forest Hill Dr_7415_Villas of Forest Hill_Fort Worth_16615" )</f>
        <v>Forest Hill Dr_7415_Villas of Forest Hill_Fort Worth_16615</v>
      </c>
      <c r="L6031" s="104" t="s">
        <v>22253</v>
      </c>
      <c r="M6031" s="103" t="str">
        <f t="shared" si="473"/>
        <v>http://oconnordata.com/mlink/modules/profile/index.cfm?action=profile&amp;prop_id=16615</v>
      </c>
      <c r="N6031" s="1">
        <f t="shared" si="474"/>
        <v>16615</v>
      </c>
    </row>
    <row r="6032" spans="1:14" x14ac:dyDescent="0.3">
      <c r="A6032" s="1">
        <v>16620</v>
      </c>
      <c r="B6032" s="7" t="s">
        <v>9073</v>
      </c>
      <c r="C6032" s="12">
        <v>101</v>
      </c>
      <c r="D6032" s="7" t="s">
        <v>8943</v>
      </c>
      <c r="E6032" s="13" t="s">
        <v>7</v>
      </c>
      <c r="F6032" t="str">
        <f t="shared" si="470"/>
        <v>Colorado</v>
      </c>
      <c r="G6032" t="str">
        <f t="shared" si="471"/>
        <v>Colorado101Austin</v>
      </c>
      <c r="H6032" t="s">
        <v>36888</v>
      </c>
      <c r="I6032" t="s">
        <v>28306</v>
      </c>
      <c r="J6032" t="str">
        <f t="shared" si="472"/>
        <v>E:\PropInv\MF</v>
      </c>
      <c r="K6032" s="103" t="str">
        <f>HYPERLINK("E:\PropInv\MF\Austin\Colorado St_101_The Ashton_Austin_16620","Colorado St_101_The Ashton_Austin_16620" )</f>
        <v>Colorado St_101_The Ashton_Austin_16620</v>
      </c>
      <c r="L6032" s="104" t="s">
        <v>22253</v>
      </c>
      <c r="M6032" s="103" t="str">
        <f t="shared" si="473"/>
        <v>http://oconnordata.com/mlink/modules/profile/index.cfm?action=profile&amp;prop_id=16620</v>
      </c>
      <c r="N6032" s="1">
        <f t="shared" si="474"/>
        <v>16620</v>
      </c>
    </row>
    <row r="6033" spans="1:14" x14ac:dyDescent="0.3">
      <c r="A6033" s="1">
        <v>16622</v>
      </c>
      <c r="B6033" s="7" t="s">
        <v>9074</v>
      </c>
      <c r="C6033" s="12">
        <v>411</v>
      </c>
      <c r="D6033" s="7" t="s">
        <v>9075</v>
      </c>
      <c r="E6033" s="13" t="s">
        <v>842</v>
      </c>
      <c r="F6033" t="str">
        <f t="shared" si="470"/>
        <v>General</v>
      </c>
      <c r="G6033" t="str">
        <f t="shared" si="471"/>
        <v>General411San Antonio</v>
      </c>
      <c r="H6033" t="s">
        <v>36889</v>
      </c>
      <c r="I6033" t="s">
        <v>28307</v>
      </c>
      <c r="J6033" t="str">
        <f t="shared" si="472"/>
        <v>E:\PropInv\MF</v>
      </c>
      <c r="K6033" s="103" t="str">
        <f>HYPERLINK("E:\PropInv\MF\San Antonio\General McMullen N_411_Bexar Creek_San Antonio_16622","General McMullen N_411_Bexar Creek_San Antonio_16622" )</f>
        <v>General McMullen N_411_Bexar Creek_San Antonio_16622</v>
      </c>
      <c r="L6033" s="104" t="s">
        <v>22253</v>
      </c>
      <c r="M6033" s="103" t="str">
        <f t="shared" si="473"/>
        <v>http://oconnordata.com/mlink/modules/profile/index.cfm?action=profile&amp;prop_id=16622</v>
      </c>
      <c r="N6033" s="1">
        <f t="shared" si="474"/>
        <v>16622</v>
      </c>
    </row>
    <row r="6034" spans="1:14" x14ac:dyDescent="0.3">
      <c r="A6034" s="1">
        <v>16623</v>
      </c>
      <c r="B6034" s="7" t="s">
        <v>9076</v>
      </c>
      <c r="C6034" s="12" t="s">
        <v>9077</v>
      </c>
      <c r="D6034" s="7" t="s">
        <v>9078</v>
      </c>
      <c r="E6034" s="13" t="s">
        <v>7</v>
      </c>
      <c r="F6034" t="str">
        <f t="shared" si="470"/>
        <v>6th</v>
      </c>
      <c r="G6034" t="str">
        <f t="shared" si="471"/>
        <v>6th2011-2121Austin</v>
      </c>
      <c r="H6034" t="s">
        <v>36890</v>
      </c>
      <c r="I6034" t="s">
        <v>28308</v>
      </c>
      <c r="J6034" t="str">
        <f t="shared" si="472"/>
        <v>E:\PropInv\MF</v>
      </c>
      <c r="K6034" s="103" t="str">
        <f>HYPERLINK("E:\PropInv\MF\Austin\6th St E_2011-2121_Villas on Sixth_Austin_16623","6th St E_2011-2121_Villas on Sixth_Austin_16623" )</f>
        <v>6th St E_2011-2121_Villas on Sixth_Austin_16623</v>
      </c>
      <c r="L6034" s="104" t="s">
        <v>22253</v>
      </c>
      <c r="M6034" s="103" t="str">
        <f t="shared" si="473"/>
        <v>http://oconnordata.com/mlink/modules/profile/index.cfm?action=profile&amp;prop_id=16623</v>
      </c>
      <c r="N6034" s="1">
        <f t="shared" si="474"/>
        <v>16623</v>
      </c>
    </row>
    <row r="6035" spans="1:14" x14ac:dyDescent="0.3">
      <c r="A6035" s="1">
        <v>16624</v>
      </c>
      <c r="B6035" s="7" t="s">
        <v>283</v>
      </c>
      <c r="C6035" s="12">
        <v>2000</v>
      </c>
      <c r="D6035" s="7" t="s">
        <v>9079</v>
      </c>
      <c r="E6035" s="13" t="s">
        <v>7</v>
      </c>
      <c r="F6035" t="str">
        <f t="shared" si="470"/>
        <v>Woodward</v>
      </c>
      <c r="G6035" t="str">
        <f t="shared" si="471"/>
        <v>Woodward2000Austin</v>
      </c>
      <c r="H6035" t="s">
        <v>36891</v>
      </c>
      <c r="I6035" t="s">
        <v>28309</v>
      </c>
      <c r="J6035" t="str">
        <f t="shared" si="472"/>
        <v>E:\PropInv\MF</v>
      </c>
      <c r="K6035" s="103" t="str">
        <f>HYPERLINK("E:\PropInv\MF\Austin\Woodward St_2000_Cityview at the Park_Austin_16624","Woodward St_2000_Cityview at the Park_Austin_16624" )</f>
        <v>Woodward St_2000_Cityview at the Park_Austin_16624</v>
      </c>
      <c r="L6035" s="104" t="s">
        <v>22253</v>
      </c>
      <c r="M6035" s="103" t="str">
        <f t="shared" si="473"/>
        <v>http://oconnordata.com/mlink/modules/profile/index.cfm?action=profile&amp;prop_id=16624</v>
      </c>
      <c r="N6035" s="1">
        <f t="shared" si="474"/>
        <v>16624</v>
      </c>
    </row>
    <row r="6036" spans="1:14" x14ac:dyDescent="0.3">
      <c r="A6036" s="1">
        <v>16625</v>
      </c>
      <c r="B6036" s="7" t="s">
        <v>9080</v>
      </c>
      <c r="C6036" s="12">
        <v>115</v>
      </c>
      <c r="D6036" s="7" t="s">
        <v>9081</v>
      </c>
      <c r="E6036" s="13" t="s">
        <v>7</v>
      </c>
      <c r="F6036" t="str">
        <f t="shared" si="470"/>
        <v>Sandra</v>
      </c>
      <c r="G6036" t="str">
        <f t="shared" si="471"/>
        <v>Sandra115Austin</v>
      </c>
      <c r="H6036" t="s">
        <v>36892</v>
      </c>
      <c r="I6036" t="s">
        <v>28310</v>
      </c>
      <c r="J6036" t="str">
        <f t="shared" si="472"/>
        <v>E:\PropInv\MF</v>
      </c>
      <c r="K6036" s="103" t="str">
        <f>HYPERLINK("E:\PropInv\MF\Austin\Sandra Muraida Way_115_Gables Park Plaza_Austin_16625","Sandra Muraida Way_115_Gables Park Plaza_Austin_16625" )</f>
        <v>Sandra Muraida Way_115_Gables Park Plaza_Austin_16625</v>
      </c>
      <c r="L6036" s="104" t="s">
        <v>22253</v>
      </c>
      <c r="M6036" s="103" t="str">
        <f t="shared" si="473"/>
        <v>http://oconnordata.com/mlink/modules/profile/index.cfm?action=profile&amp;prop_id=16625</v>
      </c>
      <c r="N6036" s="1">
        <f t="shared" si="474"/>
        <v>16625</v>
      </c>
    </row>
    <row r="6037" spans="1:14" x14ac:dyDescent="0.3">
      <c r="A6037" s="1">
        <v>16626</v>
      </c>
      <c r="B6037" s="7" t="s">
        <v>37</v>
      </c>
      <c r="C6037" s="12">
        <v>300</v>
      </c>
      <c r="D6037" s="7" t="s">
        <v>9082</v>
      </c>
      <c r="E6037" s="13" t="s">
        <v>7</v>
      </c>
      <c r="F6037" t="str">
        <f t="shared" si="470"/>
        <v>Lamar</v>
      </c>
      <c r="G6037" t="str">
        <f t="shared" si="471"/>
        <v>Lamar300Austin</v>
      </c>
      <c r="H6037" t="s">
        <v>36893</v>
      </c>
      <c r="I6037" t="s">
        <v>28311</v>
      </c>
      <c r="J6037" t="str">
        <f t="shared" si="472"/>
        <v>E:\PropInv\MF</v>
      </c>
      <c r="K6037" s="103" t="str">
        <f>HYPERLINK("E:\PropInv\MF\Austin\Lamar Blvd N_300_300 N. Lamar_Austin_16626","Lamar Blvd N_300_300 N. Lamar_Austin_16626" )</f>
        <v>Lamar Blvd N_300_300 N. Lamar_Austin_16626</v>
      </c>
      <c r="L6037" s="104" t="s">
        <v>22253</v>
      </c>
      <c r="M6037" s="103" t="str">
        <f t="shared" si="473"/>
        <v>http://oconnordata.com/mlink/modules/profile/index.cfm?action=profile&amp;prop_id=16626</v>
      </c>
      <c r="N6037" s="1">
        <f t="shared" si="474"/>
        <v>16626</v>
      </c>
    </row>
    <row r="6038" spans="1:14" x14ac:dyDescent="0.3">
      <c r="A6038" s="1">
        <v>16627</v>
      </c>
      <c r="B6038" s="7" t="s">
        <v>9083</v>
      </c>
      <c r="C6038" s="12">
        <v>1000</v>
      </c>
      <c r="D6038" s="7" t="s">
        <v>9084</v>
      </c>
      <c r="E6038" s="13" t="s">
        <v>7</v>
      </c>
      <c r="F6038" t="str">
        <f t="shared" si="470"/>
        <v>San</v>
      </c>
      <c r="G6038" t="str">
        <f t="shared" si="471"/>
        <v>San1000Austin</v>
      </c>
      <c r="H6038" t="s">
        <v>36894</v>
      </c>
      <c r="I6038" t="s">
        <v>28312</v>
      </c>
      <c r="J6038" t="str">
        <f t="shared" si="472"/>
        <v>E:\PropInv\MF</v>
      </c>
      <c r="K6038" s="103" t="str">
        <f>HYPERLINK("E:\PropInv\MF\Austin\San Marcos St_1000_Robertson Hill_Austin_16627","San Marcos St_1000_Robertson Hill_Austin_16627" )</f>
        <v>San Marcos St_1000_Robertson Hill_Austin_16627</v>
      </c>
      <c r="L6038" s="104" t="s">
        <v>22253</v>
      </c>
      <c r="M6038" s="103" t="str">
        <f t="shared" si="473"/>
        <v>http://oconnordata.com/mlink/modules/profile/index.cfm?action=profile&amp;prop_id=16627</v>
      </c>
      <c r="N6038" s="1">
        <f t="shared" si="474"/>
        <v>16627</v>
      </c>
    </row>
    <row r="6039" spans="1:14" x14ac:dyDescent="0.3">
      <c r="A6039" s="1">
        <v>16628</v>
      </c>
      <c r="B6039" s="7" t="s">
        <v>9085</v>
      </c>
      <c r="C6039" s="12">
        <v>4600</v>
      </c>
      <c r="D6039" s="7" t="s">
        <v>9086</v>
      </c>
      <c r="E6039" s="13" t="s">
        <v>7</v>
      </c>
      <c r="F6039" t="str">
        <f t="shared" si="470"/>
        <v>Mueller</v>
      </c>
      <c r="G6039" t="str">
        <f t="shared" si="471"/>
        <v>Mueller4600Austin</v>
      </c>
      <c r="H6039" t="s">
        <v>36895</v>
      </c>
      <c r="I6039" t="s">
        <v>28313</v>
      </c>
      <c r="J6039" t="str">
        <f t="shared" si="472"/>
        <v>E:\PropInv\MF</v>
      </c>
      <c r="K6039" s="103" t="str">
        <f>HYPERLINK("E:\PropInv\MF\Austin\Mueller Blvd_4600_Mosaic at Mueller_Austin_16628","Mueller Blvd_4600_Mosaic at Mueller_Austin_16628" )</f>
        <v>Mueller Blvd_4600_Mosaic at Mueller_Austin_16628</v>
      </c>
      <c r="L6039" s="104" t="s">
        <v>22253</v>
      </c>
      <c r="M6039" s="103" t="str">
        <f t="shared" si="473"/>
        <v>http://oconnordata.com/mlink/modules/profile/index.cfm?action=profile&amp;prop_id=16628</v>
      </c>
      <c r="N6039" s="1">
        <f t="shared" si="474"/>
        <v>16628</v>
      </c>
    </row>
    <row r="6040" spans="1:14" x14ac:dyDescent="0.3">
      <c r="A6040" s="1">
        <v>16629</v>
      </c>
      <c r="B6040" s="7" t="s">
        <v>9087</v>
      </c>
      <c r="C6040" s="12">
        <v>9345</v>
      </c>
      <c r="D6040" s="7" t="s">
        <v>9088</v>
      </c>
      <c r="E6040" s="13" t="s">
        <v>7</v>
      </c>
      <c r="F6040" t="str">
        <f t="shared" si="470"/>
        <v>290</v>
      </c>
      <c r="G6040" t="str">
        <f t="shared" si="471"/>
        <v>2909345Austin</v>
      </c>
      <c r="H6040" t="s">
        <v>36896</v>
      </c>
      <c r="I6040" t="s">
        <v>28314</v>
      </c>
      <c r="J6040" t="str">
        <f t="shared" si="472"/>
        <v>E:\PropInv\MF</v>
      </c>
      <c r="K6040" s="103" t="str">
        <f>HYPERLINK("E:\PropInv\MF\Austin\290 US Hwy E_9345_Rosemont at Hidden Creek_Austin_16629","290 US Hwy E_9345_Rosemont at Hidden Creek_Austin_16629" )</f>
        <v>290 US Hwy E_9345_Rosemont at Hidden Creek_Austin_16629</v>
      </c>
      <c r="L6040" s="104" t="s">
        <v>22253</v>
      </c>
      <c r="M6040" s="103" t="str">
        <f t="shared" si="473"/>
        <v>http://oconnordata.com/mlink/modules/profile/index.cfm?action=profile&amp;prop_id=16629</v>
      </c>
      <c r="N6040" s="1">
        <f t="shared" si="474"/>
        <v>16629</v>
      </c>
    </row>
    <row r="6041" spans="1:14" x14ac:dyDescent="0.3">
      <c r="A6041" s="1">
        <v>16631</v>
      </c>
      <c r="B6041" s="7" t="s">
        <v>9089</v>
      </c>
      <c r="C6041" s="12">
        <v>535</v>
      </c>
      <c r="D6041" s="7" t="s">
        <v>9090</v>
      </c>
      <c r="E6041" s="13" t="s">
        <v>842</v>
      </c>
      <c r="F6041" t="str">
        <f t="shared" si="470"/>
        <v>Acme</v>
      </c>
      <c r="G6041" t="str">
        <f t="shared" si="471"/>
        <v>Acme535San Antonio</v>
      </c>
      <c r="H6041" t="s">
        <v>36897</v>
      </c>
      <c r="I6041" t="s">
        <v>28315</v>
      </c>
      <c r="J6041" t="str">
        <f t="shared" si="472"/>
        <v>E:\PropInv\MF</v>
      </c>
      <c r="K6041" s="103" t="str">
        <f>HYPERLINK("E:\PropInv\MF\San Antonio\Acme Rd S_535_Rosemont at Bethel Place_San Antonio_16631","Acme Rd S_535_Rosemont at Bethel Place_San Antonio_16631" )</f>
        <v>Acme Rd S_535_Rosemont at Bethel Place_San Antonio_16631</v>
      </c>
      <c r="L6041" s="104" t="s">
        <v>22253</v>
      </c>
      <c r="M6041" s="103" t="str">
        <f t="shared" si="473"/>
        <v>http://oconnordata.com/mlink/modules/profile/index.cfm?action=profile&amp;prop_id=16631</v>
      </c>
      <c r="N6041" s="1">
        <f t="shared" si="474"/>
        <v>16631</v>
      </c>
    </row>
    <row r="6042" spans="1:14" x14ac:dyDescent="0.3">
      <c r="A6042" s="1">
        <v>16632</v>
      </c>
      <c r="B6042" s="7" t="s">
        <v>9091</v>
      </c>
      <c r="C6042" s="12">
        <v>102</v>
      </c>
      <c r="D6042" s="7" t="s">
        <v>9092</v>
      </c>
      <c r="E6042" s="13" t="s">
        <v>842</v>
      </c>
      <c r="F6042" t="str">
        <f t="shared" si="470"/>
        <v>Emerald</v>
      </c>
      <c r="G6042" t="str">
        <f t="shared" si="471"/>
        <v>Emerald102San Antonio</v>
      </c>
      <c r="H6042" t="s">
        <v>36898</v>
      </c>
      <c r="I6042" t="s">
        <v>28316</v>
      </c>
      <c r="J6042" t="str">
        <f t="shared" si="472"/>
        <v>E:\PropInv\MF</v>
      </c>
      <c r="K6042" s="103" t="str">
        <f>HYPERLINK("E:\PropInv\MF\San Antonio\Emerald Ash_102_Rosemont at University Park_San Antonio_16632","Emerald Ash_102_Rosemont at University Park_San Antonio_16632" )</f>
        <v>Emerald Ash_102_Rosemont at University Park_San Antonio_16632</v>
      </c>
      <c r="L6042" s="104" t="s">
        <v>22253</v>
      </c>
      <c r="M6042" s="103" t="str">
        <f t="shared" si="473"/>
        <v>http://oconnordata.com/mlink/modules/profile/index.cfm?action=profile&amp;prop_id=16632</v>
      </c>
      <c r="N6042" s="1">
        <f t="shared" si="474"/>
        <v>16632</v>
      </c>
    </row>
    <row r="6043" spans="1:14" x14ac:dyDescent="0.3">
      <c r="A6043" s="1">
        <v>16633</v>
      </c>
      <c r="B6043" s="7" t="s">
        <v>1615</v>
      </c>
      <c r="C6043" s="12">
        <v>5100</v>
      </c>
      <c r="D6043" s="7" t="s">
        <v>9093</v>
      </c>
      <c r="E6043" s="13" t="s">
        <v>842</v>
      </c>
      <c r="F6043" t="str">
        <f t="shared" si="470"/>
        <v>Eisenhauer</v>
      </c>
      <c r="G6043" t="str">
        <f t="shared" si="471"/>
        <v>Eisenhauer5100San Antonio</v>
      </c>
      <c r="H6043" t="s">
        <v>36899</v>
      </c>
      <c r="I6043" t="s">
        <v>28317</v>
      </c>
      <c r="J6043" t="str">
        <f t="shared" si="472"/>
        <v>E:\PropInv\MF</v>
      </c>
      <c r="K6043" s="103" t="str">
        <f>HYPERLINK("E:\PropInv\MF\San Antonio\Eisenhauer Rd_5100_Costa Biscaya_San Antonio_16633","Eisenhauer Rd_5100_Costa Biscaya_San Antonio_16633" )</f>
        <v>Eisenhauer Rd_5100_Costa Biscaya_San Antonio_16633</v>
      </c>
      <c r="L6043" s="104" t="s">
        <v>22253</v>
      </c>
      <c r="M6043" s="103" t="str">
        <f t="shared" si="473"/>
        <v>http://oconnordata.com/mlink/modules/profile/index.cfm?action=profile&amp;prop_id=16633</v>
      </c>
      <c r="N6043" s="1">
        <f t="shared" si="474"/>
        <v>16633</v>
      </c>
    </row>
    <row r="6044" spans="1:14" x14ac:dyDescent="0.3">
      <c r="A6044" s="1">
        <v>16634</v>
      </c>
      <c r="B6044" s="7" t="s">
        <v>9094</v>
      </c>
      <c r="C6044" s="12">
        <v>647</v>
      </c>
      <c r="D6044" s="7" t="s">
        <v>9095</v>
      </c>
      <c r="E6044" s="13" t="s">
        <v>842</v>
      </c>
      <c r="F6044" t="str">
        <f t="shared" si="470"/>
        <v>Riverside</v>
      </c>
      <c r="G6044" t="str">
        <f t="shared" si="471"/>
        <v>Riverside647San Antonio</v>
      </c>
      <c r="H6044" t="s">
        <v>36900</v>
      </c>
      <c r="I6044" t="s">
        <v>28318</v>
      </c>
      <c r="J6044" t="str">
        <f t="shared" si="472"/>
        <v>E:\PropInv\MF</v>
      </c>
      <c r="K6044" s="103" t="str">
        <f>HYPERLINK("E:\PropInv\MF\San Antonio\Riverside Dr_647_Champion Homes at Mission del Rio_San Antonio_16634","Riverside Dr_647_Champion Homes at Mission del Rio_San Antonio_16634" )</f>
        <v>Riverside Dr_647_Champion Homes at Mission del Rio_San Antonio_16634</v>
      </c>
      <c r="L6044" s="104" t="s">
        <v>22253</v>
      </c>
      <c r="M6044" s="103" t="str">
        <f t="shared" si="473"/>
        <v>http://oconnordata.com/mlink/modules/profile/index.cfm?action=profile&amp;prop_id=16634</v>
      </c>
      <c r="N6044" s="1">
        <f t="shared" si="474"/>
        <v>16634</v>
      </c>
    </row>
    <row r="6045" spans="1:14" x14ac:dyDescent="0.3">
      <c r="A6045" s="1">
        <v>16637</v>
      </c>
      <c r="B6045" s="7" t="s">
        <v>1034</v>
      </c>
      <c r="C6045" s="12">
        <v>8330</v>
      </c>
      <c r="D6045" s="7" t="s">
        <v>1922</v>
      </c>
      <c r="E6045" s="13" t="s">
        <v>842</v>
      </c>
      <c r="F6045" t="str">
        <f t="shared" si="470"/>
        <v>Potranco</v>
      </c>
      <c r="G6045" t="str">
        <f t="shared" si="471"/>
        <v>Potranco8330San Antonio</v>
      </c>
      <c r="H6045" t="s">
        <v>36901</v>
      </c>
      <c r="I6045" t="s">
        <v>28319</v>
      </c>
      <c r="J6045" t="str">
        <f t="shared" si="472"/>
        <v>E:\PropInv\MF</v>
      </c>
      <c r="K6045" s="103" t="str">
        <f>HYPERLINK("E:\PropInv\MF\San Antonio\Potranco Rd_8330_Willow Bend_San Antonio_16637","Potranco Rd_8330_Willow Bend_San Antonio_16637" )</f>
        <v>Potranco Rd_8330_Willow Bend_San Antonio_16637</v>
      </c>
      <c r="L6045" s="104" t="s">
        <v>22253</v>
      </c>
      <c r="M6045" s="103" t="str">
        <f t="shared" si="473"/>
        <v>http://oconnordata.com/mlink/modules/profile/index.cfm?action=profile&amp;prop_id=16637</v>
      </c>
      <c r="N6045" s="1">
        <f t="shared" si="474"/>
        <v>16637</v>
      </c>
    </row>
    <row r="6046" spans="1:14" x14ac:dyDescent="0.3">
      <c r="A6046" s="1">
        <v>16639</v>
      </c>
      <c r="B6046" s="7" t="s">
        <v>8738</v>
      </c>
      <c r="C6046" s="12">
        <v>10809</v>
      </c>
      <c r="D6046" s="7" t="s">
        <v>9096</v>
      </c>
      <c r="E6046" s="13" t="s">
        <v>842</v>
      </c>
      <c r="F6046" t="str">
        <f t="shared" si="470"/>
        <v>Westwood</v>
      </c>
      <c r="G6046" t="str">
        <f t="shared" si="471"/>
        <v>Westwood10809San Antonio</v>
      </c>
      <c r="H6046" t="s">
        <v>36902</v>
      </c>
      <c r="I6046" t="s">
        <v>28320</v>
      </c>
      <c r="J6046" t="str">
        <f t="shared" si="472"/>
        <v>E:\PropInv\MF</v>
      </c>
      <c r="K6046" s="103" t="str">
        <f>HYPERLINK("E:\PropInv\MF\San Antonio\Westwood Loop_10809_Laurel Canyon II_San Antonio_16639","Westwood Loop_10809_Laurel Canyon II_San Antonio_16639" )</f>
        <v>Westwood Loop_10809_Laurel Canyon II_San Antonio_16639</v>
      </c>
      <c r="L6046" s="104" t="s">
        <v>22253</v>
      </c>
      <c r="M6046" s="103" t="str">
        <f t="shared" si="473"/>
        <v>http://oconnordata.com/mlink/modules/profile/index.cfm?action=profile&amp;prop_id=16639</v>
      </c>
      <c r="N6046" s="1">
        <f t="shared" si="474"/>
        <v>16639</v>
      </c>
    </row>
    <row r="6047" spans="1:14" x14ac:dyDescent="0.3">
      <c r="A6047" s="1">
        <v>16640</v>
      </c>
      <c r="B6047" s="19" t="s">
        <v>8738</v>
      </c>
      <c r="C6047" s="18">
        <v>10809</v>
      </c>
      <c r="D6047" s="19" t="s">
        <v>9097</v>
      </c>
      <c r="E6047" s="20" t="s">
        <v>842</v>
      </c>
      <c r="F6047" t="str">
        <f t="shared" si="470"/>
        <v>Westwood</v>
      </c>
      <c r="G6047" t="str">
        <f t="shared" si="471"/>
        <v>Westwood10809San Antonio</v>
      </c>
      <c r="H6047" t="s">
        <v>36903</v>
      </c>
      <c r="I6047" t="s">
        <v>28321</v>
      </c>
      <c r="J6047" t="str">
        <f t="shared" si="472"/>
        <v>E:\PropInv\MF</v>
      </c>
      <c r="K6047" s="103" t="str">
        <f>HYPERLINK("E:\PropInv\MF\San Antonio\Westwood Loop_10809_Laurel Canyon III_San Antonio_16640","Westwood Loop_10809_Laurel Canyon III_San Antonio_16640" )</f>
        <v>Westwood Loop_10809_Laurel Canyon III_San Antonio_16640</v>
      </c>
      <c r="L6047" s="104" t="s">
        <v>22253</v>
      </c>
      <c r="M6047" s="103" t="str">
        <f t="shared" si="473"/>
        <v>http://oconnordata.com/mlink/modules/profile/index.cfm?action=profile&amp;prop_id=16640</v>
      </c>
      <c r="N6047" s="1">
        <f t="shared" si="474"/>
        <v>16640</v>
      </c>
    </row>
    <row r="6048" spans="1:14" x14ac:dyDescent="0.3">
      <c r="A6048" s="1">
        <v>16647</v>
      </c>
      <c r="B6048" s="7" t="s">
        <v>9098</v>
      </c>
      <c r="C6048" s="12">
        <v>4940</v>
      </c>
      <c r="D6048" s="7" t="s">
        <v>9099</v>
      </c>
      <c r="E6048" s="13" t="s">
        <v>5076</v>
      </c>
      <c r="F6048" t="str">
        <f t="shared" si="470"/>
        <v>360</v>
      </c>
      <c r="G6048" t="str">
        <f t="shared" si="471"/>
        <v>3604940Grand Prairie</v>
      </c>
      <c r="H6048" t="s">
        <v>36904</v>
      </c>
      <c r="I6048" t="s">
        <v>28322</v>
      </c>
      <c r="J6048" t="str">
        <f t="shared" si="472"/>
        <v>E:\PropInv\MF</v>
      </c>
      <c r="K6048" s="103" t="str">
        <f>HYPERLINK("E:\PropInv\MF\Grand Prairie\360 Hwy S_4940_Prairie Ranch_Grand Prairie_16647","360 Hwy S_4940_Prairie Ranch_Grand Prairie_16647" )</f>
        <v>360 Hwy S_4940_Prairie Ranch_Grand Prairie_16647</v>
      </c>
      <c r="L6048" s="104" t="s">
        <v>22253</v>
      </c>
      <c r="M6048" s="103" t="str">
        <f t="shared" si="473"/>
        <v>http://oconnordata.com/mlink/modules/profile/index.cfm?action=profile&amp;prop_id=16647</v>
      </c>
      <c r="N6048" s="1">
        <f t="shared" si="474"/>
        <v>16647</v>
      </c>
    </row>
    <row r="6049" spans="1:14" x14ac:dyDescent="0.3">
      <c r="A6049" s="1">
        <v>16649</v>
      </c>
      <c r="B6049" s="7" t="s">
        <v>5211</v>
      </c>
      <c r="C6049" s="12">
        <v>350</v>
      </c>
      <c r="D6049" s="7" t="s">
        <v>9100</v>
      </c>
      <c r="E6049" s="13" t="s">
        <v>5046</v>
      </c>
      <c r="F6049" t="str">
        <f t="shared" si="470"/>
        <v>Las</v>
      </c>
      <c r="G6049" t="str">
        <f t="shared" si="471"/>
        <v>Las350Irving</v>
      </c>
      <c r="H6049" t="s">
        <v>36905</v>
      </c>
      <c r="I6049" t="s">
        <v>28323</v>
      </c>
      <c r="J6049" t="str">
        <f t="shared" si="472"/>
        <v>E:\PropInv\MF</v>
      </c>
      <c r="K6049" s="103" t="str">
        <f>HYPERLINK("E:\PropInv\MF\Irving\Las Colinas Blvd E_350_Canal Side Lofts_Irving_16649","Las Colinas Blvd E_350_Canal Side Lofts_Irving_16649" )</f>
        <v>Las Colinas Blvd E_350_Canal Side Lofts_Irving_16649</v>
      </c>
      <c r="L6049" s="104" t="s">
        <v>22253</v>
      </c>
      <c r="M6049" s="103" t="str">
        <f t="shared" si="473"/>
        <v>http://oconnordata.com/mlink/modules/profile/index.cfm?action=profile&amp;prop_id=16649</v>
      </c>
      <c r="N6049" s="1">
        <f t="shared" si="474"/>
        <v>16649</v>
      </c>
    </row>
    <row r="6050" spans="1:14" x14ac:dyDescent="0.3">
      <c r="A6050" s="1">
        <v>16651</v>
      </c>
      <c r="B6050" s="7" t="s">
        <v>9101</v>
      </c>
      <c r="C6050" s="12">
        <v>5551</v>
      </c>
      <c r="D6050" s="7" t="s">
        <v>9102</v>
      </c>
      <c r="E6050" s="13" t="s">
        <v>5014</v>
      </c>
      <c r="F6050" t="str">
        <f t="shared" si="470"/>
        <v>Tarrant</v>
      </c>
      <c r="G6050" t="str">
        <f t="shared" si="471"/>
        <v>Tarrant5551Fort Worth</v>
      </c>
      <c r="H6050" t="s">
        <v>36906</v>
      </c>
      <c r="I6050" t="s">
        <v>28324</v>
      </c>
      <c r="J6050" t="str">
        <f t="shared" si="472"/>
        <v>E:\PropInv\MF</v>
      </c>
      <c r="K6050" s="103" t="str">
        <f>HYPERLINK("E:\PropInv\MF\Fort Worth\Tarrant Pkwy N_5551_Aventine Apts_Fort Worth_16651","Tarrant Pkwy N_5551_Aventine Apts_Fort Worth_16651" )</f>
        <v>Tarrant Pkwy N_5551_Aventine Apts_Fort Worth_16651</v>
      </c>
      <c r="L6050" s="104" t="s">
        <v>22253</v>
      </c>
      <c r="M6050" s="103" t="str">
        <f t="shared" si="473"/>
        <v>http://oconnordata.com/mlink/modules/profile/index.cfm?action=profile&amp;prop_id=16651</v>
      </c>
      <c r="N6050" s="1">
        <f t="shared" si="474"/>
        <v>16651</v>
      </c>
    </row>
    <row r="6051" spans="1:14" x14ac:dyDescent="0.3">
      <c r="A6051" s="1">
        <v>16652</v>
      </c>
      <c r="B6051" s="19" t="s">
        <v>5093</v>
      </c>
      <c r="C6051" s="18" t="s">
        <v>2497</v>
      </c>
      <c r="D6051" s="19" t="s">
        <v>1194</v>
      </c>
      <c r="E6051" s="20" t="s">
        <v>986</v>
      </c>
      <c r="F6051" t="str">
        <f t="shared" si="470"/>
        <v>123</v>
      </c>
      <c r="G6051" t="str">
        <f t="shared" si="471"/>
        <v>123NFSeguin</v>
      </c>
      <c r="H6051" t="s">
        <v>36907</v>
      </c>
      <c r="I6051" t="s">
        <v>28325</v>
      </c>
      <c r="J6051" t="str">
        <f t="shared" si="472"/>
        <v>E:\PropInv\MF</v>
      </c>
      <c r="K6051" s="103" t="str">
        <f>HYPERLINK("E:\PropInv\MF\Seguin\123 Hwy S_NF_Oak Meadows_Seguin_16652","123 Hwy S_NF_Oak Meadows_Seguin_16652" )</f>
        <v>123 Hwy S_NF_Oak Meadows_Seguin_16652</v>
      </c>
      <c r="L6051" s="104" t="s">
        <v>22253</v>
      </c>
      <c r="M6051" s="103" t="str">
        <f t="shared" si="473"/>
        <v>http://oconnordata.com/mlink/modules/profile/index.cfm?action=profile&amp;prop_id=16652</v>
      </c>
      <c r="N6051" s="1">
        <f t="shared" si="474"/>
        <v>16652</v>
      </c>
    </row>
    <row r="6052" spans="1:14" x14ac:dyDescent="0.3">
      <c r="A6052" s="1">
        <v>16653</v>
      </c>
      <c r="B6052" s="7" t="s">
        <v>9103</v>
      </c>
      <c r="C6052" s="12">
        <v>700</v>
      </c>
      <c r="D6052" s="7" t="s">
        <v>9104</v>
      </c>
      <c r="E6052" s="13" t="s">
        <v>5076</v>
      </c>
      <c r="F6052" t="str">
        <f t="shared" si="470"/>
        <v>Timber</v>
      </c>
      <c r="G6052" t="str">
        <f t="shared" si="471"/>
        <v>Timber700Grand Prairie</v>
      </c>
      <c r="H6052" t="s">
        <v>36908</v>
      </c>
      <c r="I6052" t="s">
        <v>28326</v>
      </c>
      <c r="J6052" t="str">
        <f t="shared" si="472"/>
        <v>E:\PropInv\MF</v>
      </c>
      <c r="K6052" s="103" t="str">
        <f>HYPERLINK("E:\PropInv\MF\Grand Prairie\Timber Oaks Ln_700_Timber Oaks Apts_Grand Prairie_16653","Timber Oaks Ln_700_Timber Oaks Apts_Grand Prairie_16653" )</f>
        <v>Timber Oaks Ln_700_Timber Oaks Apts_Grand Prairie_16653</v>
      </c>
      <c r="L6052" s="104" t="s">
        <v>22253</v>
      </c>
      <c r="M6052" s="103" t="str">
        <f t="shared" si="473"/>
        <v>http://oconnordata.com/mlink/modules/profile/index.cfm?action=profile&amp;prop_id=16653</v>
      </c>
      <c r="N6052" s="1">
        <f t="shared" si="474"/>
        <v>16653</v>
      </c>
    </row>
    <row r="6053" spans="1:14" x14ac:dyDescent="0.3">
      <c r="A6053" s="1">
        <v>16656</v>
      </c>
      <c r="B6053" s="7" t="s">
        <v>9105</v>
      </c>
      <c r="C6053" s="12">
        <v>1527</v>
      </c>
      <c r="D6053" s="7" t="s">
        <v>9106</v>
      </c>
      <c r="E6053" s="13" t="s">
        <v>842</v>
      </c>
      <c r="F6053" t="str">
        <f t="shared" si="470"/>
        <v>Sunshine</v>
      </c>
      <c r="G6053" t="str">
        <f t="shared" si="471"/>
        <v>Sunshine1527San Antonio</v>
      </c>
      <c r="H6053" t="s">
        <v>36909</v>
      </c>
      <c r="I6053" t="s">
        <v>28327</v>
      </c>
      <c r="J6053" t="str">
        <f t="shared" si="472"/>
        <v>E:\PropInv\MF</v>
      </c>
      <c r="K6053" s="103" t="str">
        <f>HYPERLINK("E:\PropInv\MF\San Antonio\Sunshine Dr W_1527_Tigoni Villas Apts_San Antonio_16656","Sunshine Dr W_1527_Tigoni Villas Apts_San Antonio_16656" )</f>
        <v>Sunshine Dr W_1527_Tigoni Villas Apts_San Antonio_16656</v>
      </c>
      <c r="L6053" s="104" t="s">
        <v>22253</v>
      </c>
      <c r="M6053" s="103" t="str">
        <f t="shared" si="473"/>
        <v>http://oconnordata.com/mlink/modules/profile/index.cfm?action=profile&amp;prop_id=16656</v>
      </c>
      <c r="N6053" s="1">
        <f t="shared" si="474"/>
        <v>16656</v>
      </c>
    </row>
    <row r="6054" spans="1:14" x14ac:dyDescent="0.3">
      <c r="A6054" s="97">
        <v>16657</v>
      </c>
      <c r="B6054" s="7" t="s">
        <v>9107</v>
      </c>
      <c r="C6054" s="12">
        <v>1050</v>
      </c>
      <c r="D6054" s="7" t="s">
        <v>9108</v>
      </c>
      <c r="E6054" s="13" t="s">
        <v>5046</v>
      </c>
      <c r="F6054" t="str">
        <f t="shared" si="470"/>
        <v>Lake</v>
      </c>
      <c r="G6054" t="str">
        <f t="shared" si="471"/>
        <v>Lake1050Irving</v>
      </c>
      <c r="H6054" t="s">
        <v>36910</v>
      </c>
      <c r="I6054" t="s">
        <v>28328</v>
      </c>
      <c r="J6054" t="str">
        <f t="shared" si="472"/>
        <v>E:\PropInv\MF</v>
      </c>
      <c r="K6054" s="103" t="str">
        <f>HYPERLINK("E:\PropInv\MF\Irving\Lake Carolyn Pkwy_1050_Windsor at Las Colinas_Irving_16657","Lake Carolyn Pkwy_1050_Windsor at Las Colinas_Irving_16657" )</f>
        <v>Lake Carolyn Pkwy_1050_Windsor at Las Colinas_Irving_16657</v>
      </c>
      <c r="L6054" s="104" t="s">
        <v>22253</v>
      </c>
      <c r="M6054" s="103" t="str">
        <f t="shared" si="473"/>
        <v>http://oconnordata.com/mlink/modules/profile/index.cfm?action=profile&amp;prop_id=16657</v>
      </c>
      <c r="N6054" s="1">
        <f t="shared" si="474"/>
        <v>16657</v>
      </c>
    </row>
    <row r="6055" spans="1:14" x14ac:dyDescent="0.3">
      <c r="A6055" s="1">
        <v>16658</v>
      </c>
      <c r="B6055" s="10" t="s">
        <v>9107</v>
      </c>
      <c r="C6055" s="9">
        <v>692</v>
      </c>
      <c r="D6055" s="10" t="s">
        <v>9109</v>
      </c>
      <c r="E6055" s="11" t="s">
        <v>5046</v>
      </c>
      <c r="F6055" t="str">
        <f t="shared" si="470"/>
        <v>Lake</v>
      </c>
      <c r="G6055" t="str">
        <f t="shared" si="471"/>
        <v>Lake692Irving</v>
      </c>
      <c r="H6055" t="s">
        <v>36911</v>
      </c>
      <c r="I6055" t="s">
        <v>28329</v>
      </c>
      <c r="J6055" t="str">
        <f t="shared" si="472"/>
        <v>E:\PropInv\MF</v>
      </c>
      <c r="K6055" s="103" t="str">
        <f>HYPERLINK("E:\PropInv\MF\Irving\Lake Carolyn Pkwy_692_The Mandalay on the Lake_Irving_16658","Lake Carolyn Pkwy_692_The Mandalay on the Lake_Irving_16658" )</f>
        <v>Lake Carolyn Pkwy_692_The Mandalay on the Lake_Irving_16658</v>
      </c>
      <c r="L6055" s="104" t="s">
        <v>22253</v>
      </c>
      <c r="M6055" s="103" t="str">
        <f t="shared" si="473"/>
        <v>http://oconnordata.com/mlink/modules/profile/index.cfm?action=profile&amp;prop_id=16658</v>
      </c>
      <c r="N6055" s="1">
        <f t="shared" si="474"/>
        <v>16658</v>
      </c>
    </row>
    <row r="6056" spans="1:14" s="114" customFormat="1" x14ac:dyDescent="0.3">
      <c r="A6056" s="111">
        <v>16662</v>
      </c>
      <c r="B6056" s="112" t="s">
        <v>9110</v>
      </c>
      <c r="C6056" s="113" t="s">
        <v>2497</v>
      </c>
      <c r="D6056" s="112" t="s">
        <v>1970</v>
      </c>
      <c r="E6056" s="112" t="s">
        <v>842</v>
      </c>
      <c r="F6056" s="114" t="str">
        <f t="shared" si="470"/>
        <v>Culebra</v>
      </c>
      <c r="G6056" s="114" t="str">
        <f t="shared" si="471"/>
        <v>CulebraNFSan Antonio</v>
      </c>
      <c r="H6056" s="114" t="s">
        <v>36912</v>
      </c>
      <c r="I6056" s="114" t="s">
        <v>28330</v>
      </c>
      <c r="J6056" s="114" t="str">
        <f t="shared" si="472"/>
        <v>E:\PropInv\MF</v>
      </c>
      <c r="K6056" s="115" t="str">
        <f>HYPERLINK("E:\PropInv\MF\San Antonio\Culebra_NF_Mira Vista_San Antonio_16662","Culebra_NF_Mira Vista_San Antonio_16662" )</f>
        <v>Culebra_NF_Mira Vista_San Antonio_16662</v>
      </c>
      <c r="L6056" s="116" t="s">
        <v>22253</v>
      </c>
      <c r="M6056" s="115" t="str">
        <f t="shared" si="473"/>
        <v>http://oconnordata.com/mlink/modules/profile/index.cfm?action=profile&amp;prop_id=16662</v>
      </c>
      <c r="N6056" s="111">
        <f t="shared" si="474"/>
        <v>16662</v>
      </c>
    </row>
    <row r="6057" spans="1:14" x14ac:dyDescent="0.3">
      <c r="A6057" s="1">
        <v>16664</v>
      </c>
      <c r="B6057" s="7" t="s">
        <v>9111</v>
      </c>
      <c r="C6057" s="12">
        <v>935</v>
      </c>
      <c r="D6057" s="7" t="s">
        <v>9112</v>
      </c>
      <c r="E6057" s="13" t="s">
        <v>5140</v>
      </c>
      <c r="F6057" t="str">
        <f t="shared" si="470"/>
        <v>Garden</v>
      </c>
      <c r="G6057" t="str">
        <f t="shared" si="471"/>
        <v>Garden935Allen</v>
      </c>
      <c r="H6057" t="s">
        <v>36913</v>
      </c>
      <c r="I6057" t="s">
        <v>28331</v>
      </c>
      <c r="J6057" t="str">
        <f t="shared" si="472"/>
        <v>E:\PropInv\MF</v>
      </c>
      <c r="K6057" s="103" t="str">
        <f>HYPERLINK("E:\PropInv\MF\Allen\Garden Park Dr_935_The Lofts at Watters Creek I_Allen_16664","Garden Park Dr_935_The Lofts at Watters Creek I_Allen_16664" )</f>
        <v>Garden Park Dr_935_The Lofts at Watters Creek I_Allen_16664</v>
      </c>
      <c r="L6057" s="104" t="s">
        <v>22253</v>
      </c>
      <c r="M6057" s="103" t="str">
        <f t="shared" si="473"/>
        <v>http://oconnordata.com/mlink/modules/profile/index.cfm?action=profile&amp;prop_id=16664</v>
      </c>
      <c r="N6057" s="1">
        <f t="shared" si="474"/>
        <v>16664</v>
      </c>
    </row>
    <row r="6058" spans="1:14" x14ac:dyDescent="0.3">
      <c r="A6058" s="1">
        <v>16665</v>
      </c>
      <c r="B6058" s="7" t="s">
        <v>1070</v>
      </c>
      <c r="C6058" s="12">
        <v>7101</v>
      </c>
      <c r="D6058" s="7" t="s">
        <v>9113</v>
      </c>
      <c r="E6058" s="13" t="s">
        <v>842</v>
      </c>
      <c r="F6058" t="str">
        <f t="shared" si="470"/>
        <v>Huebner</v>
      </c>
      <c r="G6058" t="str">
        <f t="shared" si="471"/>
        <v>Huebner7101San Antonio</v>
      </c>
      <c r="H6058" t="s">
        <v>36914</v>
      </c>
      <c r="I6058" t="s">
        <v>28332</v>
      </c>
      <c r="J6058" t="str">
        <f t="shared" si="472"/>
        <v>E:\PropInv\MF</v>
      </c>
      <c r="K6058" s="103" t="str">
        <f>HYPERLINK("E:\PropInv\MF\San Antonio\Huebner Rd_7101_Villas of Leon Valley_San Antonio_16665","Huebner Rd_7101_Villas of Leon Valley_San Antonio_16665" )</f>
        <v>Huebner Rd_7101_Villas of Leon Valley_San Antonio_16665</v>
      </c>
      <c r="L6058" s="104" t="s">
        <v>22253</v>
      </c>
      <c r="M6058" s="103" t="str">
        <f t="shared" si="473"/>
        <v>http://oconnordata.com/mlink/modules/profile/index.cfm?action=profile&amp;prop_id=16665</v>
      </c>
      <c r="N6058" s="1">
        <f t="shared" si="474"/>
        <v>16665</v>
      </c>
    </row>
    <row r="6059" spans="1:14" x14ac:dyDescent="0.3">
      <c r="A6059" s="1">
        <v>16666</v>
      </c>
      <c r="B6059" s="7" t="s">
        <v>9114</v>
      </c>
      <c r="C6059" s="12">
        <v>14500</v>
      </c>
      <c r="D6059" s="7" t="s">
        <v>9115</v>
      </c>
      <c r="E6059" s="13" t="s">
        <v>842</v>
      </c>
      <c r="F6059" t="str">
        <f t="shared" si="470"/>
        <v>Blanco</v>
      </c>
      <c r="G6059" t="str">
        <f t="shared" si="471"/>
        <v>Blanco14500San Antonio</v>
      </c>
      <c r="H6059" t="s">
        <v>36915</v>
      </c>
      <c r="I6059" t="s">
        <v>28333</v>
      </c>
      <c r="J6059" t="str">
        <f t="shared" si="472"/>
        <v>E:\PropInv\MF</v>
      </c>
      <c r="K6059" s="103" t="str">
        <f>HYPERLINK("E:\PropInv\MF\San Antonio\Blanco Rd W_14500_Walker Ranch_San Antonio_16666","Blanco Rd W_14500_Walker Ranch_San Antonio_16666" )</f>
        <v>Blanco Rd W_14500_Walker Ranch_San Antonio_16666</v>
      </c>
      <c r="L6059" s="104" t="s">
        <v>22253</v>
      </c>
      <c r="M6059" s="103" t="str">
        <f t="shared" si="473"/>
        <v>http://oconnordata.com/mlink/modules/profile/index.cfm?action=profile&amp;prop_id=16666</v>
      </c>
      <c r="N6059" s="1">
        <f t="shared" si="474"/>
        <v>16666</v>
      </c>
    </row>
    <row r="6060" spans="1:14" x14ac:dyDescent="0.3">
      <c r="A6060" s="1">
        <v>16672</v>
      </c>
      <c r="B6060" s="7" t="s">
        <v>9116</v>
      </c>
      <c r="C6060" s="12">
        <v>2500</v>
      </c>
      <c r="D6060" s="7" t="s">
        <v>9117</v>
      </c>
      <c r="E6060" s="13" t="s">
        <v>4996</v>
      </c>
      <c r="F6060" t="str">
        <f t="shared" si="470"/>
        <v>Houston</v>
      </c>
      <c r="G6060" t="str">
        <f t="shared" si="471"/>
        <v>Houston2500Dallas</v>
      </c>
      <c r="H6060" t="s">
        <v>36916</v>
      </c>
      <c r="I6060" t="s">
        <v>28334</v>
      </c>
      <c r="J6060" t="str">
        <f t="shared" si="472"/>
        <v>E:\PropInv\MF</v>
      </c>
      <c r="K6060" s="103" t="str">
        <f>HYPERLINK("E:\PropInv\MF\Dallas\Houston St N_2500_The Cirque_Dallas_16672","Houston St N_2500_The Cirque_Dallas_16672" )</f>
        <v>Houston St N_2500_The Cirque_Dallas_16672</v>
      </c>
      <c r="L6060" s="104" t="s">
        <v>22253</v>
      </c>
      <c r="M6060" s="103" t="str">
        <f t="shared" si="473"/>
        <v>http://oconnordata.com/mlink/modules/profile/index.cfm?action=profile&amp;prop_id=16672</v>
      </c>
      <c r="N6060" s="1">
        <f t="shared" si="474"/>
        <v>16672</v>
      </c>
    </row>
    <row r="6061" spans="1:14" x14ac:dyDescent="0.3">
      <c r="A6061" s="1">
        <v>16673</v>
      </c>
      <c r="B6061" s="7" t="s">
        <v>5393</v>
      </c>
      <c r="C6061" s="12">
        <v>3636</v>
      </c>
      <c r="D6061" s="7" t="s">
        <v>9118</v>
      </c>
      <c r="E6061" s="13" t="s">
        <v>4996</v>
      </c>
      <c r="F6061" t="str">
        <f t="shared" si="470"/>
        <v>McKinney</v>
      </c>
      <c r="G6061" t="str">
        <f t="shared" si="471"/>
        <v>McKinney3636Dallas</v>
      </c>
      <c r="H6061" t="s">
        <v>36917</v>
      </c>
      <c r="I6061" t="s">
        <v>28335</v>
      </c>
      <c r="J6061" t="str">
        <f t="shared" si="472"/>
        <v>E:\PropInv\MF</v>
      </c>
      <c r="K6061" s="103" t="str">
        <f>HYPERLINK("E:\PropInv\MF\Dallas\McKinney Ave_3636_Gables 3636 McKinney_Dallas_16673","McKinney Ave_3636_Gables 3636 McKinney_Dallas_16673" )</f>
        <v>McKinney Ave_3636_Gables 3636 McKinney_Dallas_16673</v>
      </c>
      <c r="L6061" s="104" t="s">
        <v>22253</v>
      </c>
      <c r="M6061" s="103" t="str">
        <f t="shared" si="473"/>
        <v>http://oconnordata.com/mlink/modules/profile/index.cfm?action=profile&amp;prop_id=16673</v>
      </c>
      <c r="N6061" s="1">
        <f t="shared" si="474"/>
        <v>16673</v>
      </c>
    </row>
    <row r="6062" spans="1:14" x14ac:dyDescent="0.3">
      <c r="A6062" s="1">
        <v>16674</v>
      </c>
      <c r="B6062" s="7" t="s">
        <v>9119</v>
      </c>
      <c r="C6062" s="12">
        <v>6303</v>
      </c>
      <c r="D6062" s="7" t="s">
        <v>9120</v>
      </c>
      <c r="E6062" s="13" t="s">
        <v>5097</v>
      </c>
      <c r="F6062" t="str">
        <f t="shared" si="470"/>
        <v>Shady</v>
      </c>
      <c r="G6062" t="str">
        <f t="shared" si="471"/>
        <v>Shady6303Denton</v>
      </c>
      <c r="H6062" t="s">
        <v>36918</v>
      </c>
      <c r="I6062" t="s">
        <v>28336</v>
      </c>
      <c r="J6062" t="str">
        <f t="shared" si="472"/>
        <v>E:\PropInv\MF</v>
      </c>
      <c r="K6062" s="103" t="str">
        <f>HYPERLINK("E:\PropInv\MF\Denton\Shady Shores Dr_6303_Preserve at Pecan Creek_Denton_16674","Shady Shores Dr_6303_Preserve at Pecan Creek_Denton_16674" )</f>
        <v>Shady Shores Dr_6303_Preserve at Pecan Creek_Denton_16674</v>
      </c>
      <c r="L6062" s="104" t="s">
        <v>22253</v>
      </c>
      <c r="M6062" s="103" t="str">
        <f t="shared" si="473"/>
        <v>http://oconnordata.com/mlink/modules/profile/index.cfm?action=profile&amp;prop_id=16674</v>
      </c>
      <c r="N6062" s="1">
        <f t="shared" si="474"/>
        <v>16674</v>
      </c>
    </row>
    <row r="6063" spans="1:14" x14ac:dyDescent="0.3">
      <c r="A6063" s="1">
        <v>16676</v>
      </c>
      <c r="B6063" s="7" t="s">
        <v>843</v>
      </c>
      <c r="C6063" s="12">
        <v>20614</v>
      </c>
      <c r="D6063" s="7" t="s">
        <v>9121</v>
      </c>
      <c r="E6063" s="13" t="s">
        <v>842</v>
      </c>
      <c r="F6063" t="str">
        <f t="shared" si="470"/>
        <v>Stone</v>
      </c>
      <c r="G6063" t="str">
        <f t="shared" si="471"/>
        <v>Stone20614San Antonio</v>
      </c>
      <c r="H6063" t="s">
        <v>36919</v>
      </c>
      <c r="I6063" t="s">
        <v>28337</v>
      </c>
      <c r="J6063" t="str">
        <f t="shared" si="472"/>
        <v>E:\PropInv\MF</v>
      </c>
      <c r="K6063" s="103" t="str">
        <f>HYPERLINK("E:\PropInv\MF\San Antonio\Stone Oak Pkwy_20614_Estates at Canyon Ridge_San Antonio_16676","Stone Oak Pkwy_20614_Estates at Canyon Ridge_San Antonio_16676" )</f>
        <v>Stone Oak Pkwy_20614_Estates at Canyon Ridge_San Antonio_16676</v>
      </c>
      <c r="L6063" s="104" t="s">
        <v>22253</v>
      </c>
      <c r="M6063" s="103" t="str">
        <f t="shared" si="473"/>
        <v>http://oconnordata.com/mlink/modules/profile/index.cfm?action=profile&amp;prop_id=16676</v>
      </c>
      <c r="N6063" s="1">
        <f t="shared" si="474"/>
        <v>16676</v>
      </c>
    </row>
    <row r="6064" spans="1:14" x14ac:dyDescent="0.3">
      <c r="A6064" s="1">
        <v>16678</v>
      </c>
      <c r="B6064" s="7" t="s">
        <v>33</v>
      </c>
      <c r="C6064" s="12">
        <v>3500</v>
      </c>
      <c r="D6064" s="7" t="s">
        <v>9122</v>
      </c>
      <c r="E6064" s="13" t="s">
        <v>7</v>
      </c>
      <c r="F6064" t="str">
        <f t="shared" si="470"/>
        <v>Capital</v>
      </c>
      <c r="G6064" t="str">
        <f t="shared" si="471"/>
        <v>Capital3500Austin</v>
      </c>
      <c r="H6064" t="s">
        <v>36920</v>
      </c>
      <c r="I6064" t="s">
        <v>28338</v>
      </c>
      <c r="J6064" t="str">
        <f t="shared" si="472"/>
        <v>E:\PropInv\MF</v>
      </c>
      <c r="K6064" s="103" t="str">
        <f>HYPERLINK("E:\PropInv\MF\Austin\Capital of Texas Hwy N_3500_Gables Westlake_Austin_16678","Capital of Texas Hwy N_3500_Gables Westlake_Austin_16678" )</f>
        <v>Capital of Texas Hwy N_3500_Gables Westlake_Austin_16678</v>
      </c>
      <c r="L6064" s="104" t="s">
        <v>22253</v>
      </c>
      <c r="M6064" s="103" t="str">
        <f t="shared" si="473"/>
        <v>http://oconnordata.com/mlink/modules/profile/index.cfm?action=profile&amp;prop_id=16678</v>
      </c>
      <c r="N6064" s="1">
        <f t="shared" si="474"/>
        <v>16678</v>
      </c>
    </row>
    <row r="6065" spans="1:14" x14ac:dyDescent="0.3">
      <c r="A6065" s="1">
        <v>16681</v>
      </c>
      <c r="B6065" s="7" t="s">
        <v>9123</v>
      </c>
      <c r="C6065" s="12">
        <v>3150</v>
      </c>
      <c r="D6065" s="7" t="s">
        <v>9124</v>
      </c>
      <c r="E6065" s="13" t="s">
        <v>8774</v>
      </c>
      <c r="F6065" t="str">
        <f t="shared" si="470"/>
        <v>Finfeather</v>
      </c>
      <c r="G6065" t="str">
        <f t="shared" si="471"/>
        <v>Finfeather3150Bryan</v>
      </c>
      <c r="H6065" t="s">
        <v>36921</v>
      </c>
      <c r="I6065" t="s">
        <v>28339</v>
      </c>
      <c r="J6065" t="str">
        <f t="shared" si="472"/>
        <v>E:\PropInv\MF</v>
      </c>
      <c r="K6065" s="103" t="str">
        <f>HYPERLINK("E:\PropInv\MF\Bryan\Finfeather Rd_3150_The Presidio_Bryan_16681","Finfeather Rd_3150_The Presidio_Bryan_16681" )</f>
        <v>Finfeather Rd_3150_The Presidio_Bryan_16681</v>
      </c>
      <c r="L6065" s="104" t="s">
        <v>22253</v>
      </c>
      <c r="M6065" s="103" t="str">
        <f t="shared" si="473"/>
        <v>http://oconnordata.com/mlink/modules/profile/index.cfm?action=profile&amp;prop_id=16681</v>
      </c>
      <c r="N6065" s="1">
        <f t="shared" si="474"/>
        <v>16681</v>
      </c>
    </row>
    <row r="6066" spans="1:14" x14ac:dyDescent="0.3">
      <c r="A6066" s="1">
        <v>16683</v>
      </c>
      <c r="B6066" s="7" t="s">
        <v>9125</v>
      </c>
      <c r="C6066" s="12">
        <v>101</v>
      </c>
      <c r="D6066" s="7" t="s">
        <v>9126</v>
      </c>
      <c r="E6066" s="13" t="s">
        <v>5014</v>
      </c>
      <c r="F6066" t="str">
        <f t="shared" si="470"/>
        <v>Roaring</v>
      </c>
      <c r="G6066" t="str">
        <f t="shared" si="471"/>
        <v>Roaring101Fort Worth</v>
      </c>
      <c r="H6066" t="s">
        <v>36922</v>
      </c>
      <c r="I6066" t="s">
        <v>28340</v>
      </c>
      <c r="J6066" t="str">
        <f t="shared" si="472"/>
        <v>E:\PropInv\MF</v>
      </c>
      <c r="K6066" s="103" t="str">
        <f>HYPERLINK("E:\PropInv\MF\Fort Worth\Roaring Springs Rd N_101_Villages of Hawks Creek_Fort Worth_16683","Roaring Springs Rd N_101_Villages of Hawks Creek_Fort Worth_16683" )</f>
        <v>Roaring Springs Rd N_101_Villages of Hawks Creek_Fort Worth_16683</v>
      </c>
      <c r="L6066" s="104" t="s">
        <v>22253</v>
      </c>
      <c r="M6066" s="103" t="str">
        <f t="shared" si="473"/>
        <v>http://oconnordata.com/mlink/modules/profile/index.cfm?action=profile&amp;prop_id=16683</v>
      </c>
      <c r="N6066" s="1">
        <f t="shared" si="474"/>
        <v>16683</v>
      </c>
    </row>
    <row r="6067" spans="1:14" x14ac:dyDescent="0.3">
      <c r="A6067" s="1">
        <v>16685</v>
      </c>
      <c r="B6067" s="7" t="s">
        <v>6015</v>
      </c>
      <c r="C6067" s="12">
        <v>1811</v>
      </c>
      <c r="D6067" s="7" t="s">
        <v>9127</v>
      </c>
      <c r="E6067" s="13" t="s">
        <v>4996</v>
      </c>
      <c r="F6067" t="str">
        <f t="shared" si="470"/>
        <v>Greenville</v>
      </c>
      <c r="G6067" t="str">
        <f t="shared" si="471"/>
        <v>Greenville1811Dallas</v>
      </c>
      <c r="H6067" t="s">
        <v>36923</v>
      </c>
      <c r="I6067" t="s">
        <v>28341</v>
      </c>
      <c r="J6067" t="str">
        <f t="shared" si="472"/>
        <v>E:\PropInv\MF</v>
      </c>
      <c r="K6067" s="103" t="str">
        <f>HYPERLINK("E:\PropInv\MF\Dallas\Greenville Ave_1811_Vue Greenville_Dallas_16685","Greenville Ave_1811_Vue Greenville_Dallas_16685" )</f>
        <v>Greenville Ave_1811_Vue Greenville_Dallas_16685</v>
      </c>
      <c r="L6067" s="104" t="s">
        <v>22253</v>
      </c>
      <c r="M6067" s="103" t="str">
        <f t="shared" si="473"/>
        <v>http://oconnordata.com/mlink/modules/profile/index.cfm?action=profile&amp;prop_id=16685</v>
      </c>
      <c r="N6067" s="1">
        <f t="shared" si="474"/>
        <v>16685</v>
      </c>
    </row>
    <row r="6068" spans="1:14" x14ac:dyDescent="0.3">
      <c r="A6068" s="1">
        <v>16686</v>
      </c>
      <c r="B6068" s="7" t="s">
        <v>9128</v>
      </c>
      <c r="C6068" s="12">
        <v>301</v>
      </c>
      <c r="D6068" s="7" t="s">
        <v>9129</v>
      </c>
      <c r="E6068" s="13" t="s">
        <v>1657</v>
      </c>
      <c r="F6068" t="str">
        <f t="shared" si="470"/>
        <v>Saint</v>
      </c>
      <c r="G6068" t="str">
        <f t="shared" si="471"/>
        <v>Saint301Houston</v>
      </c>
      <c r="H6068" t="s">
        <v>36924</v>
      </c>
      <c r="I6068" t="s">
        <v>28342</v>
      </c>
      <c r="J6068" t="str">
        <f t="shared" si="472"/>
        <v>E:\PropInv\MF</v>
      </c>
      <c r="K6068" s="103" t="str">
        <f>HYPERLINK("E:\PropInv\MF\Houston\Saint Joseph's Pkwy_301_Camden City Centre I_Houston_16686","Saint Joseph's Pkwy_301_Camden City Centre I_Houston_16686" )</f>
        <v>Saint Joseph's Pkwy_301_Camden City Centre I_Houston_16686</v>
      </c>
      <c r="L6068" s="104" t="s">
        <v>22253</v>
      </c>
      <c r="M6068" s="103" t="str">
        <f t="shared" si="473"/>
        <v>http://oconnordata.com/mlink/modules/profile/index.cfm?action=profile&amp;prop_id=16686</v>
      </c>
      <c r="N6068" s="1">
        <f t="shared" si="474"/>
        <v>16686</v>
      </c>
    </row>
    <row r="6069" spans="1:14" x14ac:dyDescent="0.3">
      <c r="A6069" s="1">
        <v>16688</v>
      </c>
      <c r="B6069" s="7" t="s">
        <v>9130</v>
      </c>
      <c r="C6069" s="12">
        <v>2505</v>
      </c>
      <c r="D6069" s="7" t="s">
        <v>9131</v>
      </c>
      <c r="E6069" s="13" t="s">
        <v>8774</v>
      </c>
      <c r="F6069" t="str">
        <f t="shared" si="470"/>
        <v>Villa</v>
      </c>
      <c r="G6069" t="str">
        <f t="shared" si="471"/>
        <v>Villa2505Bryan</v>
      </c>
      <c r="H6069" t="s">
        <v>36925</v>
      </c>
      <c r="I6069" t="s">
        <v>28343</v>
      </c>
      <c r="J6069" t="str">
        <f t="shared" si="472"/>
        <v>E:\PropInv\MF</v>
      </c>
      <c r="K6069" s="103" t="str">
        <f>HYPERLINK("E:\PropInv\MF\Bryan\Villa Maria_2505_Crestview Unity_Bryan_16688","Villa Maria_2505_Crestview Unity_Bryan_16688" )</f>
        <v>Villa Maria_2505_Crestview Unity_Bryan_16688</v>
      </c>
      <c r="L6069" s="104" t="s">
        <v>22253</v>
      </c>
      <c r="M6069" s="103" t="str">
        <f t="shared" si="473"/>
        <v>http://oconnordata.com/mlink/modules/profile/index.cfm?action=profile&amp;prop_id=16688</v>
      </c>
      <c r="N6069" s="1">
        <f t="shared" si="474"/>
        <v>16688</v>
      </c>
    </row>
    <row r="6070" spans="1:14" x14ac:dyDescent="0.3">
      <c r="A6070" s="1">
        <v>16689</v>
      </c>
      <c r="B6070" s="10" t="s">
        <v>6015</v>
      </c>
      <c r="C6070" s="9">
        <v>1701</v>
      </c>
      <c r="D6070" s="10" t="s">
        <v>9132</v>
      </c>
      <c r="E6070" s="11" t="s">
        <v>3328</v>
      </c>
      <c r="F6070" t="str">
        <f t="shared" si="470"/>
        <v>Greenville</v>
      </c>
      <c r="G6070" t="str">
        <f t="shared" si="471"/>
        <v>Greenville1701Richardson</v>
      </c>
      <c r="H6070" t="s">
        <v>36926</v>
      </c>
      <c r="I6070" t="s">
        <v>28344</v>
      </c>
      <c r="J6070" t="str">
        <f t="shared" si="472"/>
        <v>E:\PropInv\MF</v>
      </c>
      <c r="K6070" s="103" t="str">
        <f>HYPERLINK("E:\PropInv\MF\Richardson\Greenville Ave_1701_Post Eastside_Richardson_16689","Greenville Ave_1701_Post Eastside_Richardson_16689" )</f>
        <v>Greenville Ave_1701_Post Eastside_Richardson_16689</v>
      </c>
      <c r="L6070" s="104" t="s">
        <v>22253</v>
      </c>
      <c r="M6070" s="103" t="str">
        <f t="shared" si="473"/>
        <v>http://oconnordata.com/mlink/modules/profile/index.cfm?action=profile&amp;prop_id=16689</v>
      </c>
      <c r="N6070" s="1">
        <f t="shared" si="474"/>
        <v>16689</v>
      </c>
    </row>
    <row r="6071" spans="1:14" x14ac:dyDescent="0.3">
      <c r="A6071" s="1">
        <v>16690</v>
      </c>
      <c r="B6071" s="7" t="s">
        <v>9133</v>
      </c>
      <c r="C6071" s="12">
        <v>2807</v>
      </c>
      <c r="D6071" s="7" t="s">
        <v>9134</v>
      </c>
      <c r="E6071" s="13" t="s">
        <v>1662</v>
      </c>
      <c r="F6071" t="str">
        <f t="shared" si="470"/>
        <v>Kings</v>
      </c>
      <c r="G6071" t="str">
        <f t="shared" si="471"/>
        <v>Kings2807Kingwood</v>
      </c>
      <c r="H6071" t="s">
        <v>36927</v>
      </c>
      <c r="I6071" t="s">
        <v>28345</v>
      </c>
      <c r="J6071" t="str">
        <f t="shared" si="472"/>
        <v>E:\PropInv\MF</v>
      </c>
      <c r="K6071" s="103" t="str">
        <f>HYPERLINK("E:\PropInv\MF\Kingwood\Kings Crossing Dr_2807_Westminster House at Kingwood Village Estates_Kingwood_16690","Kings Crossing Dr_2807_Westminster House at Kingwood Village Estates_Kingwood_16690" )</f>
        <v>Kings Crossing Dr_2807_Westminster House at Kingwood Village Estates_Kingwood_16690</v>
      </c>
      <c r="L6071" s="104" t="s">
        <v>22253</v>
      </c>
      <c r="M6071" s="103" t="str">
        <f t="shared" si="473"/>
        <v>http://oconnordata.com/mlink/modules/profile/index.cfm?action=profile&amp;prop_id=16690</v>
      </c>
      <c r="N6071" s="1">
        <f t="shared" si="474"/>
        <v>16690</v>
      </c>
    </row>
    <row r="6072" spans="1:14" x14ac:dyDescent="0.3">
      <c r="A6072" s="1">
        <v>16691</v>
      </c>
      <c r="B6072" s="7" t="s">
        <v>1778</v>
      </c>
      <c r="C6072" s="12">
        <v>3030</v>
      </c>
      <c r="D6072" s="7" t="s">
        <v>9135</v>
      </c>
      <c r="E6072" s="13" t="s">
        <v>1671</v>
      </c>
      <c r="F6072" t="str">
        <f t="shared" si="470"/>
        <v>Hirschfield</v>
      </c>
      <c r="G6072" t="str">
        <f t="shared" si="471"/>
        <v>Hirschfield3030Spring</v>
      </c>
      <c r="H6072" t="s">
        <v>36928</v>
      </c>
      <c r="I6072" t="s">
        <v>28346</v>
      </c>
      <c r="J6072" t="str">
        <f t="shared" si="472"/>
        <v>E:\PropInv\MF</v>
      </c>
      <c r="K6072" s="103" t="str">
        <f>HYPERLINK("E:\PropInv\MF\Spring\Hirschfield_3030_Timber Run Apts_Spring_16691","Hirschfield_3030_Timber Run Apts_Spring_16691" )</f>
        <v>Hirschfield_3030_Timber Run Apts_Spring_16691</v>
      </c>
      <c r="L6072" s="104" t="s">
        <v>22253</v>
      </c>
      <c r="M6072" s="103" t="str">
        <f t="shared" si="473"/>
        <v>http://oconnordata.com/mlink/modules/profile/index.cfm?action=profile&amp;prop_id=16691</v>
      </c>
      <c r="N6072" s="1">
        <f t="shared" si="474"/>
        <v>16691</v>
      </c>
    </row>
    <row r="6073" spans="1:14" x14ac:dyDescent="0.3">
      <c r="A6073" s="1">
        <v>16693</v>
      </c>
      <c r="B6073" s="7" t="s">
        <v>1724</v>
      </c>
      <c r="C6073" s="12">
        <v>12700</v>
      </c>
      <c r="D6073" s="7" t="s">
        <v>9136</v>
      </c>
      <c r="E6073" s="13" t="s">
        <v>1657</v>
      </c>
      <c r="F6073" t="str">
        <f t="shared" si="470"/>
        <v>1960</v>
      </c>
      <c r="G6073" t="str">
        <f t="shared" si="471"/>
        <v>196012700Houston</v>
      </c>
      <c r="H6073" t="s">
        <v>36929</v>
      </c>
      <c r="I6073" t="s">
        <v>28347</v>
      </c>
      <c r="J6073" t="str">
        <f t="shared" si="472"/>
        <v>E:\PropInv\MF</v>
      </c>
      <c r="K6073" s="103" t="str">
        <f>HYPERLINK("E:\PropInv\MF\Houston\1960 FM_12700_Carrington Place_Houston_16693","1960 FM_12700_Carrington Place_Houston_16693" )</f>
        <v>1960 FM_12700_Carrington Place_Houston_16693</v>
      </c>
      <c r="L6073" s="104" t="s">
        <v>22253</v>
      </c>
      <c r="M6073" s="103" t="str">
        <f t="shared" si="473"/>
        <v>http://oconnordata.com/mlink/modules/profile/index.cfm?action=profile&amp;prop_id=16693</v>
      </c>
      <c r="N6073" s="1">
        <f t="shared" si="474"/>
        <v>16693</v>
      </c>
    </row>
    <row r="6074" spans="1:14" x14ac:dyDescent="0.3">
      <c r="A6074" s="1">
        <v>16694</v>
      </c>
      <c r="B6074" s="7" t="s">
        <v>9137</v>
      </c>
      <c r="C6074" s="12">
        <v>10335</v>
      </c>
      <c r="D6074" s="7" t="s">
        <v>9138</v>
      </c>
      <c r="E6074" s="13" t="s">
        <v>1657</v>
      </c>
      <c r="F6074" t="str">
        <f t="shared" si="470"/>
        <v>Old</v>
      </c>
      <c r="G6074" t="str">
        <f t="shared" si="471"/>
        <v>Old10335Houston</v>
      </c>
      <c r="H6074" t="s">
        <v>36930</v>
      </c>
      <c r="I6074" t="s">
        <v>28348</v>
      </c>
      <c r="J6074" t="str">
        <f t="shared" si="472"/>
        <v>E:\PropInv\MF</v>
      </c>
      <c r="K6074" s="103" t="str">
        <f>HYPERLINK("E:\PropInv\MF\Houston\Old Bammel Houston Rd N_10335_Primrose at Heritage Park_Houston_16694","Old Bammel Houston Rd N_10335_Primrose at Heritage Park_Houston_16694" )</f>
        <v>Old Bammel Houston Rd N_10335_Primrose at Heritage Park_Houston_16694</v>
      </c>
      <c r="L6074" s="104" t="s">
        <v>22253</v>
      </c>
      <c r="M6074" s="103" t="str">
        <f t="shared" si="473"/>
        <v>http://oconnordata.com/mlink/modules/profile/index.cfm?action=profile&amp;prop_id=16694</v>
      </c>
      <c r="N6074" s="1">
        <f t="shared" si="474"/>
        <v>16694</v>
      </c>
    </row>
    <row r="6075" spans="1:14" x14ac:dyDescent="0.3">
      <c r="A6075" s="1">
        <v>16700</v>
      </c>
      <c r="B6075" s="19" t="s">
        <v>9139</v>
      </c>
      <c r="C6075" s="18" t="s">
        <v>2497</v>
      </c>
      <c r="D6075" s="19" t="s">
        <v>9140</v>
      </c>
      <c r="E6075" s="20" t="s">
        <v>4392</v>
      </c>
      <c r="F6075" t="str">
        <f t="shared" si="470"/>
        <v>2nd</v>
      </c>
      <c r="G6075" t="str">
        <f t="shared" si="471"/>
        <v>2ndNFSweeny</v>
      </c>
      <c r="H6075" t="s">
        <v>36931</v>
      </c>
      <c r="I6075" t="s">
        <v>28349</v>
      </c>
      <c r="J6075" t="str">
        <f t="shared" si="472"/>
        <v>E:\PropInv\MF</v>
      </c>
      <c r="K6075" s="103" t="str">
        <f>HYPERLINK("E:\PropInv\MF\Sweeny\2nd St_NF_The Fountains_Sweeny_16700","2nd St_NF_The Fountains_Sweeny_16700" )</f>
        <v>2nd St_NF_The Fountains_Sweeny_16700</v>
      </c>
      <c r="L6075" s="104" t="s">
        <v>22253</v>
      </c>
      <c r="M6075" s="103" t="str">
        <f t="shared" si="473"/>
        <v>http://oconnordata.com/mlink/modules/profile/index.cfm?action=profile&amp;prop_id=16700</v>
      </c>
      <c r="N6075" s="1">
        <f t="shared" si="474"/>
        <v>16700</v>
      </c>
    </row>
    <row r="6076" spans="1:14" x14ac:dyDescent="0.3">
      <c r="A6076" s="1">
        <v>16719</v>
      </c>
      <c r="B6076" s="7" t="s">
        <v>9141</v>
      </c>
      <c r="C6076" s="12">
        <v>435</v>
      </c>
      <c r="D6076" s="7" t="s">
        <v>9142</v>
      </c>
      <c r="E6076" s="13" t="s">
        <v>1662</v>
      </c>
      <c r="F6076" t="str">
        <f t="shared" si="470"/>
        <v>Northpines</v>
      </c>
      <c r="G6076" t="str">
        <f t="shared" si="471"/>
        <v>Northpines435Kingwood</v>
      </c>
      <c r="H6076" t="s">
        <v>36932</v>
      </c>
      <c r="I6076" t="s">
        <v>28350</v>
      </c>
      <c r="J6076" t="str">
        <f t="shared" si="472"/>
        <v>E:\PropInv\MF</v>
      </c>
      <c r="K6076" s="103" t="str">
        <f>HYPERLINK("E:\PropInv\MF\Kingwood\Northpines Dr_435_Kingwood Senior Village_Kingwood_16719","Northpines Dr_435_Kingwood Senior Village_Kingwood_16719" )</f>
        <v>Northpines Dr_435_Kingwood Senior Village_Kingwood_16719</v>
      </c>
      <c r="L6076" s="104" t="s">
        <v>22253</v>
      </c>
      <c r="M6076" s="103" t="str">
        <f t="shared" si="473"/>
        <v>http://oconnordata.com/mlink/modules/profile/index.cfm?action=profile&amp;prop_id=16719</v>
      </c>
      <c r="N6076" s="1">
        <f t="shared" si="474"/>
        <v>16719</v>
      </c>
    </row>
    <row r="6077" spans="1:14" x14ac:dyDescent="0.3">
      <c r="A6077" s="1">
        <v>16720</v>
      </c>
      <c r="B6077" s="7" t="s">
        <v>4746</v>
      </c>
      <c r="C6077" s="12">
        <v>2203</v>
      </c>
      <c r="D6077" s="7" t="s">
        <v>9143</v>
      </c>
      <c r="E6077" s="13" t="s">
        <v>1508</v>
      </c>
      <c r="F6077" t="str">
        <f t="shared" si="470"/>
        <v>Riva</v>
      </c>
      <c r="G6077" t="str">
        <f t="shared" si="471"/>
        <v>Riva2203The Woodlands</v>
      </c>
      <c r="H6077" t="s">
        <v>36933</v>
      </c>
      <c r="I6077" t="s">
        <v>28351</v>
      </c>
      <c r="J6077" t="str">
        <f t="shared" si="472"/>
        <v>E:\PropInv\MF</v>
      </c>
      <c r="K6077" s="103" t="str">
        <f>HYPERLINK("E:\PropInv\MF\The Woodlands\Riva Row_2203_Boardwalk at Town Center Apts I_The Woodlands_16720","Riva Row_2203_Boardwalk at Town Center Apts I_The Woodlands_16720" )</f>
        <v>Riva Row_2203_Boardwalk at Town Center Apts I_The Woodlands_16720</v>
      </c>
      <c r="L6077" s="104" t="s">
        <v>22253</v>
      </c>
      <c r="M6077" s="103" t="str">
        <f t="shared" si="473"/>
        <v>http://oconnordata.com/mlink/modules/profile/index.cfm?action=profile&amp;prop_id=16720</v>
      </c>
      <c r="N6077" s="1">
        <f t="shared" si="474"/>
        <v>16720</v>
      </c>
    </row>
    <row r="6078" spans="1:14" x14ac:dyDescent="0.3">
      <c r="A6078" s="1">
        <v>16721</v>
      </c>
      <c r="B6078" s="7" t="s">
        <v>9144</v>
      </c>
      <c r="C6078" s="12">
        <v>6900</v>
      </c>
      <c r="D6078" s="7" t="s">
        <v>9145</v>
      </c>
      <c r="E6078" s="13" t="s">
        <v>1508</v>
      </c>
      <c r="F6078" t="str">
        <f t="shared" si="470"/>
        <v>Lake</v>
      </c>
      <c r="G6078" t="str">
        <f t="shared" si="471"/>
        <v>Lake6900The Woodlands</v>
      </c>
      <c r="H6078" t="s">
        <v>36934</v>
      </c>
      <c r="I6078" t="s">
        <v>28352</v>
      </c>
      <c r="J6078" t="str">
        <f t="shared" si="472"/>
        <v>E:\PropInv\MF</v>
      </c>
      <c r="K6078" s="103" t="str">
        <f>HYPERLINK("E:\PropInv\MF\The Woodlands\Lake Woodlands Dr_6900_Sterling Ridge Estates_The Woodlands_16721","Lake Woodlands Dr_6900_Sterling Ridge Estates_The Woodlands_16721" )</f>
        <v>Lake Woodlands Dr_6900_Sterling Ridge Estates_The Woodlands_16721</v>
      </c>
      <c r="L6078" s="104" t="s">
        <v>22253</v>
      </c>
      <c r="M6078" s="103" t="str">
        <f t="shared" si="473"/>
        <v>http://oconnordata.com/mlink/modules/profile/index.cfm?action=profile&amp;prop_id=16721</v>
      </c>
      <c r="N6078" s="1">
        <f t="shared" si="474"/>
        <v>16721</v>
      </c>
    </row>
    <row r="6079" spans="1:14" x14ac:dyDescent="0.3">
      <c r="A6079" s="1">
        <v>16722</v>
      </c>
      <c r="B6079" s="7" t="s">
        <v>9146</v>
      </c>
      <c r="C6079" s="12">
        <v>3300</v>
      </c>
      <c r="D6079" s="7" t="s">
        <v>9147</v>
      </c>
      <c r="E6079" s="13" t="s">
        <v>1508</v>
      </c>
      <c r="F6079" t="str">
        <f t="shared" si="470"/>
        <v>Tangle</v>
      </c>
      <c r="G6079" t="str">
        <f t="shared" si="471"/>
        <v>Tangle3300The Woodlands</v>
      </c>
      <c r="H6079" t="s">
        <v>36935</v>
      </c>
      <c r="I6079" t="s">
        <v>28353</v>
      </c>
      <c r="J6079" t="str">
        <f t="shared" si="472"/>
        <v>E:\PropInv\MF</v>
      </c>
      <c r="K6079" s="103" t="str">
        <f>HYPERLINK("E:\PropInv\MF\The Woodlands\Tangle Brush Dr_3300_Tangle Brush Villa_The Woodlands_16722","Tangle Brush Dr_3300_Tangle Brush Villa_The Woodlands_16722" )</f>
        <v>Tangle Brush Dr_3300_Tangle Brush Villa_The Woodlands_16722</v>
      </c>
      <c r="L6079" s="104" t="s">
        <v>22253</v>
      </c>
      <c r="M6079" s="103" t="str">
        <f t="shared" si="473"/>
        <v>http://oconnordata.com/mlink/modules/profile/index.cfm?action=profile&amp;prop_id=16722</v>
      </c>
      <c r="N6079" s="1">
        <f t="shared" si="474"/>
        <v>16722</v>
      </c>
    </row>
    <row r="6080" spans="1:14" x14ac:dyDescent="0.3">
      <c r="A6080" s="1">
        <v>16723</v>
      </c>
      <c r="B6080" s="7" t="s">
        <v>4696</v>
      </c>
      <c r="C6080" s="12">
        <v>229</v>
      </c>
      <c r="D6080" s="7" t="s">
        <v>9148</v>
      </c>
      <c r="E6080" s="13" t="s">
        <v>4616</v>
      </c>
      <c r="F6080" t="str">
        <f t="shared" si="470"/>
        <v>45</v>
      </c>
      <c r="G6080" t="str">
        <f t="shared" si="471"/>
        <v>45229Conroe</v>
      </c>
      <c r="H6080" t="s">
        <v>36936</v>
      </c>
      <c r="I6080" t="s">
        <v>28354</v>
      </c>
      <c r="J6080" t="str">
        <f t="shared" si="472"/>
        <v>E:\PropInv\MF</v>
      </c>
      <c r="K6080" s="103" t="str">
        <f>HYPERLINK("E:\PropInv\MF\Conroe\45 IH N_229_Stone Ridge I_Conroe_16723","45 IH N_229_Stone Ridge I_Conroe_16723" )</f>
        <v>45 IH N_229_Stone Ridge I_Conroe_16723</v>
      </c>
      <c r="L6080" s="104" t="s">
        <v>22253</v>
      </c>
      <c r="M6080" s="103" t="str">
        <f t="shared" si="473"/>
        <v>http://oconnordata.com/mlink/modules/profile/index.cfm?action=profile&amp;prop_id=16723</v>
      </c>
      <c r="N6080" s="1">
        <f t="shared" si="474"/>
        <v>16723</v>
      </c>
    </row>
    <row r="6081" spans="1:14" x14ac:dyDescent="0.3">
      <c r="A6081" s="1">
        <v>16724</v>
      </c>
      <c r="B6081" s="7" t="s">
        <v>9149</v>
      </c>
      <c r="C6081" s="12">
        <v>19788</v>
      </c>
      <c r="D6081" s="7" t="s">
        <v>9150</v>
      </c>
      <c r="E6081" s="13" t="s">
        <v>9151</v>
      </c>
      <c r="F6081" t="str">
        <f t="shared" si="470"/>
        <v>105</v>
      </c>
      <c r="G6081" t="str">
        <f t="shared" si="471"/>
        <v>10519788Montgomery</v>
      </c>
      <c r="H6081" t="s">
        <v>36937</v>
      </c>
      <c r="I6081" t="s">
        <v>28355</v>
      </c>
      <c r="J6081" t="str">
        <f t="shared" si="472"/>
        <v>E:\PropInv\MF</v>
      </c>
      <c r="K6081" s="103" t="str">
        <f>HYPERLINK("E:\PropInv\MF\Montgomery\105 Hwy W_19788_Montgomery Trace_Montgomery_16724","105 Hwy W_19788_Montgomery Trace_Montgomery_16724" )</f>
        <v>105 Hwy W_19788_Montgomery Trace_Montgomery_16724</v>
      </c>
      <c r="L6081" s="104" t="s">
        <v>22253</v>
      </c>
      <c r="M6081" s="103" t="str">
        <f t="shared" si="473"/>
        <v>http://oconnordata.com/mlink/modules/profile/index.cfm?action=profile&amp;prop_id=16724</v>
      </c>
      <c r="N6081" s="1">
        <f t="shared" si="474"/>
        <v>16724</v>
      </c>
    </row>
    <row r="6082" spans="1:14" x14ac:dyDescent="0.3">
      <c r="A6082" s="1">
        <v>16725</v>
      </c>
      <c r="B6082" s="7" t="s">
        <v>9152</v>
      </c>
      <c r="C6082" s="12">
        <v>23461</v>
      </c>
      <c r="D6082" s="7" t="s">
        <v>9153</v>
      </c>
      <c r="E6082" s="13" t="s">
        <v>4688</v>
      </c>
      <c r="F6082" t="str">
        <f t="shared" ref="F6082:F6145" si="475">IFERROR(LEFT(B6082,FIND(" ",B6082)-1),B6082)</f>
        <v>Eastex</v>
      </c>
      <c r="G6082" t="str">
        <f t="shared" ref="G6082:G6145" si="476">F6082&amp;C6082&amp;E6082</f>
        <v>Eastex23461Porter</v>
      </c>
      <c r="H6082" t="s">
        <v>36938</v>
      </c>
      <c r="I6082" t="s">
        <v>28356</v>
      </c>
      <c r="J6082" t="str">
        <f t="shared" ref="J6082:J6145" si="477">IF(L6082="TX",Folder_Path,Folder_Path&amp;"\State_"&amp;L6082)</f>
        <v>E:\PropInv\MF</v>
      </c>
      <c r="K6082" s="103" t="str">
        <f>HYPERLINK("E:\PropInv\MF\Porter\Eastex Fwy (Hwy 59)_23461_Montgomery Pines Apts_Porter_16725","Eastex Fwy (Hwy 59)_23461_Montgomery Pines Apts_Porter_16725" )</f>
        <v>Eastex Fwy (Hwy 59)_23461_Montgomery Pines Apts_Porter_16725</v>
      </c>
      <c r="L6082" s="104" t="s">
        <v>22253</v>
      </c>
      <c r="M6082" s="103" t="str">
        <f t="shared" ref="M6082:M6145" si="478">HYPERLINK("http://oconnordata.com/mlink/modules/profile/index.cfm?action=profile&amp;prop_id="&amp;A6082)</f>
        <v>http://oconnordata.com/mlink/modules/profile/index.cfm?action=profile&amp;prop_id=16725</v>
      </c>
      <c r="N6082" s="1">
        <f t="shared" ref="N6082:N6145" si="479">IF(LEN(A6082)=1,"0000"&amp;A6082,IF(LEN(A6082)=2,"000"&amp;A6082,IF(LEN(A6082)=3,"00"&amp;A6082,IF(LEN(A6082)=4,"0"&amp;A6082,IF(LEN(A6082)=5,IF(LEFT(A6082,1)="3",A6082+30000,A6082))))))</f>
        <v>16725</v>
      </c>
    </row>
    <row r="6083" spans="1:14" x14ac:dyDescent="0.3">
      <c r="A6083" s="1">
        <v>16755</v>
      </c>
      <c r="B6083" s="7" t="s">
        <v>9154</v>
      </c>
      <c r="C6083" s="12">
        <v>2101</v>
      </c>
      <c r="D6083" s="7" t="s">
        <v>9155</v>
      </c>
      <c r="E6083" s="13" t="s">
        <v>2198</v>
      </c>
      <c r="F6083" t="str">
        <f t="shared" si="475"/>
        <v>Katy</v>
      </c>
      <c r="G6083" t="str">
        <f t="shared" si="476"/>
        <v>Katy2101Katy</v>
      </c>
      <c r="H6083" t="s">
        <v>36939</v>
      </c>
      <c r="I6083" t="s">
        <v>28357</v>
      </c>
      <c r="J6083" t="str">
        <f t="shared" si="477"/>
        <v>E:\PropInv\MF</v>
      </c>
      <c r="K6083" s="103" t="str">
        <f>HYPERLINK("E:\PropInv\MF\Katy\Katy Gaston Rd_2101_Willow Lake II_Katy_16755","Katy Gaston Rd_2101_Willow Lake II_Katy_16755" )</f>
        <v>Katy Gaston Rd_2101_Willow Lake II_Katy_16755</v>
      </c>
      <c r="L6083" s="104" t="s">
        <v>22253</v>
      </c>
      <c r="M6083" s="103" t="str">
        <f t="shared" si="478"/>
        <v>http://oconnordata.com/mlink/modules/profile/index.cfm?action=profile&amp;prop_id=16755</v>
      </c>
      <c r="N6083" s="1">
        <f t="shared" si="479"/>
        <v>16755</v>
      </c>
    </row>
    <row r="6084" spans="1:14" x14ac:dyDescent="0.3">
      <c r="A6084" s="1">
        <v>16756</v>
      </c>
      <c r="B6084" s="7" t="s">
        <v>3369</v>
      </c>
      <c r="C6084" s="12">
        <v>12221</v>
      </c>
      <c r="D6084" s="7" t="s">
        <v>9156</v>
      </c>
      <c r="E6084" s="13" t="s">
        <v>3428</v>
      </c>
      <c r="F6084" t="str">
        <f t="shared" si="475"/>
        <v>Kirkwood</v>
      </c>
      <c r="G6084" t="str">
        <f t="shared" si="476"/>
        <v>Kirkwood12221Stafford</v>
      </c>
      <c r="H6084" t="s">
        <v>36940</v>
      </c>
      <c r="I6084" t="s">
        <v>28358</v>
      </c>
      <c r="J6084" t="str">
        <f t="shared" si="477"/>
        <v>E:\PropInv\MF</v>
      </c>
      <c r="K6084" s="103" t="str">
        <f>HYPERLINK("E:\PropInv\MF\Stafford\Kirkwood Dr S_12221_Meadows Place Senior Village_Stafford_16756","Kirkwood Dr S_12221_Meadows Place Senior Village_Stafford_16756" )</f>
        <v>Kirkwood Dr S_12221_Meadows Place Senior Village_Stafford_16756</v>
      </c>
      <c r="L6084" s="104" t="s">
        <v>22253</v>
      </c>
      <c r="M6084" s="103" t="str">
        <f t="shared" si="478"/>
        <v>http://oconnordata.com/mlink/modules/profile/index.cfm?action=profile&amp;prop_id=16756</v>
      </c>
      <c r="N6084" s="1">
        <f t="shared" si="479"/>
        <v>16756</v>
      </c>
    </row>
    <row r="6085" spans="1:14" x14ac:dyDescent="0.3">
      <c r="A6085" s="1">
        <v>16757</v>
      </c>
      <c r="B6085" s="7" t="s">
        <v>3525</v>
      </c>
      <c r="C6085" s="12">
        <v>14001</v>
      </c>
      <c r="D6085" s="7" t="s">
        <v>9157</v>
      </c>
      <c r="E6085" s="13" t="s">
        <v>4532</v>
      </c>
      <c r="F6085" t="str">
        <f t="shared" si="475"/>
        <v>Fondren</v>
      </c>
      <c r="G6085" t="str">
        <f t="shared" si="476"/>
        <v>Fondren14001Missouri City</v>
      </c>
      <c r="H6085" t="s">
        <v>36941</v>
      </c>
      <c r="I6085" t="s">
        <v>28359</v>
      </c>
      <c r="J6085" t="str">
        <f t="shared" si="477"/>
        <v>E:\PropInv\MF</v>
      </c>
      <c r="K6085" s="103" t="str">
        <f>HYPERLINK("E:\PropInv\MF\Missouri City\Fondren Rd_14001_Willow Park_Missouri City_16757","Fondren Rd_14001_Willow Park_Missouri City_16757" )</f>
        <v>Fondren Rd_14001_Willow Park_Missouri City_16757</v>
      </c>
      <c r="L6085" s="104" t="s">
        <v>22253</v>
      </c>
      <c r="M6085" s="103" t="str">
        <f t="shared" si="478"/>
        <v>http://oconnordata.com/mlink/modules/profile/index.cfm?action=profile&amp;prop_id=16757</v>
      </c>
      <c r="N6085" s="1">
        <f t="shared" si="479"/>
        <v>16757</v>
      </c>
    </row>
    <row r="6086" spans="1:14" x14ac:dyDescent="0.3">
      <c r="A6086" s="97">
        <v>16759</v>
      </c>
      <c r="B6086" s="7" t="s">
        <v>9158</v>
      </c>
      <c r="C6086" s="12">
        <v>2700</v>
      </c>
      <c r="D6086" s="7" t="s">
        <v>9159</v>
      </c>
      <c r="E6086" s="13" t="s">
        <v>4569</v>
      </c>
      <c r="F6086" t="str">
        <f t="shared" si="475"/>
        <v>45</v>
      </c>
      <c r="G6086" t="str">
        <f t="shared" si="476"/>
        <v>452700Texas City</v>
      </c>
      <c r="H6086" t="s">
        <v>36942</v>
      </c>
      <c r="I6086" t="s">
        <v>28360</v>
      </c>
      <c r="J6086" t="str">
        <f t="shared" si="477"/>
        <v>E:\PropInv\MF</v>
      </c>
      <c r="K6086" s="103" t="str">
        <f>HYPERLINK("E:\PropInv\MF\Texas City\45 IH_2700_Windsor Estates II_Texas City_16759","45 IH_2700_Windsor Estates II_Texas City_16759" )</f>
        <v>45 IH_2700_Windsor Estates II_Texas City_16759</v>
      </c>
      <c r="L6086" s="104" t="s">
        <v>22253</v>
      </c>
      <c r="M6086" s="103" t="str">
        <f t="shared" si="478"/>
        <v>http://oconnordata.com/mlink/modules/profile/index.cfm?action=profile&amp;prop_id=16759</v>
      </c>
      <c r="N6086" s="1">
        <f t="shared" si="479"/>
        <v>16759</v>
      </c>
    </row>
    <row r="6087" spans="1:14" x14ac:dyDescent="0.3">
      <c r="A6087" s="1">
        <v>16760</v>
      </c>
      <c r="B6087" s="7" t="s">
        <v>9160</v>
      </c>
      <c r="C6087" s="12">
        <v>1840</v>
      </c>
      <c r="D6087" s="7" t="s">
        <v>9161</v>
      </c>
      <c r="E6087" s="13" t="s">
        <v>4616</v>
      </c>
      <c r="F6087" t="str">
        <f t="shared" si="475"/>
        <v>Longmire</v>
      </c>
      <c r="G6087" t="str">
        <f t="shared" si="476"/>
        <v>Longmire1840Conroe</v>
      </c>
      <c r="H6087" t="s">
        <v>36943</v>
      </c>
      <c r="I6087" t="s">
        <v>28361</v>
      </c>
      <c r="J6087" t="str">
        <f t="shared" si="477"/>
        <v>E:\PropInv\MF</v>
      </c>
      <c r="K6087" s="103" t="str">
        <f>HYPERLINK("E:\PropInv\MF\Conroe\Longmire Rd_1840_Landmark of Conroe_Conroe_16760","Longmire Rd_1840_Landmark of Conroe_Conroe_16760" )</f>
        <v>Longmire Rd_1840_Landmark of Conroe_Conroe_16760</v>
      </c>
      <c r="L6087" s="104" t="s">
        <v>22253</v>
      </c>
      <c r="M6087" s="103" t="str">
        <f t="shared" si="478"/>
        <v>http://oconnordata.com/mlink/modules/profile/index.cfm?action=profile&amp;prop_id=16760</v>
      </c>
      <c r="N6087" s="1">
        <f t="shared" si="479"/>
        <v>16760</v>
      </c>
    </row>
    <row r="6088" spans="1:14" x14ac:dyDescent="0.3">
      <c r="A6088" s="1">
        <v>16807</v>
      </c>
      <c r="B6088" s="7" t="s">
        <v>3103</v>
      </c>
      <c r="C6088" s="12">
        <v>902</v>
      </c>
      <c r="D6088" s="7" t="s">
        <v>9162</v>
      </c>
      <c r="E6088" s="13" t="s">
        <v>4392</v>
      </c>
      <c r="F6088" t="str">
        <f t="shared" si="475"/>
        <v>Texas</v>
      </c>
      <c r="G6088" t="str">
        <f t="shared" si="476"/>
        <v>Texas902Sweeny</v>
      </c>
      <c r="H6088" t="s">
        <v>36944</v>
      </c>
      <c r="I6088" t="s">
        <v>28362</v>
      </c>
      <c r="J6088" t="str">
        <f t="shared" si="477"/>
        <v>E:\PropInv\MF</v>
      </c>
      <c r="K6088" s="103" t="str">
        <f>HYPERLINK("E:\PropInv\MF\Sweeny\Texas Ave_902_Sweeny Manor Apts_Sweeny_16807","Texas Ave_902_Sweeny Manor Apts_Sweeny_16807" )</f>
        <v>Texas Ave_902_Sweeny Manor Apts_Sweeny_16807</v>
      </c>
      <c r="L6088" s="104" t="s">
        <v>22253</v>
      </c>
      <c r="M6088" s="103" t="str">
        <f t="shared" si="478"/>
        <v>http://oconnordata.com/mlink/modules/profile/index.cfm?action=profile&amp;prop_id=16807</v>
      </c>
      <c r="N6088" s="1">
        <f t="shared" si="479"/>
        <v>16807</v>
      </c>
    </row>
    <row r="6089" spans="1:14" x14ac:dyDescent="0.3">
      <c r="A6089" s="1">
        <v>16809</v>
      </c>
      <c r="B6089" s="7" t="s">
        <v>9163</v>
      </c>
      <c r="C6089" s="12">
        <v>180</v>
      </c>
      <c r="D6089" s="7" t="s">
        <v>9164</v>
      </c>
      <c r="E6089" s="13" t="s">
        <v>9165</v>
      </c>
      <c r="F6089" t="str">
        <f t="shared" si="475"/>
        <v>Texaco</v>
      </c>
      <c r="G6089" t="str">
        <f t="shared" si="476"/>
        <v>Texaco180West Columbia</v>
      </c>
      <c r="H6089" t="s">
        <v>36945</v>
      </c>
      <c r="I6089" t="s">
        <v>28363</v>
      </c>
      <c r="J6089" t="str">
        <f t="shared" si="477"/>
        <v>E:\PropInv\MF</v>
      </c>
      <c r="K6089" s="103" t="str">
        <f>HYPERLINK("E:\PropInv\MF\West Columbia\Texaco Ave W_180_Magnolia Manor TH_West Columbia_16809","Texaco Ave W_180_Magnolia Manor TH_West Columbia_16809" )</f>
        <v>Texaco Ave W_180_Magnolia Manor TH_West Columbia_16809</v>
      </c>
      <c r="L6089" s="104" t="s">
        <v>22253</v>
      </c>
      <c r="M6089" s="103" t="str">
        <f t="shared" si="478"/>
        <v>http://oconnordata.com/mlink/modules/profile/index.cfm?action=profile&amp;prop_id=16809</v>
      </c>
      <c r="N6089" s="1">
        <f t="shared" si="479"/>
        <v>16809</v>
      </c>
    </row>
    <row r="6090" spans="1:14" x14ac:dyDescent="0.3">
      <c r="A6090" s="1">
        <v>16811</v>
      </c>
      <c r="B6090" s="7" t="s">
        <v>9166</v>
      </c>
      <c r="C6090" s="12">
        <v>1102</v>
      </c>
      <c r="D6090" s="7" t="s">
        <v>9167</v>
      </c>
      <c r="E6090" s="13" t="s">
        <v>3228</v>
      </c>
      <c r="F6090" t="str">
        <f t="shared" si="475"/>
        <v>Skinner</v>
      </c>
      <c r="G6090" t="str">
        <f t="shared" si="476"/>
        <v>Skinner1102Freeport</v>
      </c>
      <c r="H6090" t="s">
        <v>36946</v>
      </c>
      <c r="I6090" t="s">
        <v>28364</v>
      </c>
      <c r="J6090" t="str">
        <f t="shared" si="477"/>
        <v>E:\PropInv\MF</v>
      </c>
      <c r="K6090" s="103" t="str">
        <f>HYPERLINK("E:\PropInv\MF\Freeport\Skinner St_1102_Freeport Oaks Apts_Freeport_16811","Skinner St_1102_Freeport Oaks Apts_Freeport_16811" )</f>
        <v>Skinner St_1102_Freeport Oaks Apts_Freeport_16811</v>
      </c>
      <c r="L6090" s="104" t="s">
        <v>22253</v>
      </c>
      <c r="M6090" s="103" t="str">
        <f t="shared" si="478"/>
        <v>http://oconnordata.com/mlink/modules/profile/index.cfm?action=profile&amp;prop_id=16811</v>
      </c>
      <c r="N6090" s="1">
        <f t="shared" si="479"/>
        <v>16811</v>
      </c>
    </row>
    <row r="6091" spans="1:14" x14ac:dyDescent="0.3">
      <c r="A6091" s="1">
        <v>16812</v>
      </c>
      <c r="B6091" s="19" t="s">
        <v>4365</v>
      </c>
      <c r="C6091" s="18">
        <v>1001</v>
      </c>
      <c r="D6091" s="19" t="s">
        <v>9168</v>
      </c>
      <c r="E6091" s="20" t="s">
        <v>3228</v>
      </c>
      <c r="F6091" t="str">
        <f t="shared" si="475"/>
        <v>Ave</v>
      </c>
      <c r="G6091" t="str">
        <f t="shared" si="476"/>
        <v>Ave1001Freeport</v>
      </c>
      <c r="H6091" t="s">
        <v>36947</v>
      </c>
      <c r="I6091" t="s">
        <v>28365</v>
      </c>
      <c r="J6091" t="str">
        <f t="shared" si="477"/>
        <v>E:\PropInv\MF</v>
      </c>
      <c r="K6091" s="103" t="str">
        <f>HYPERLINK("E:\PropInv\MF\Freeport\Ave J N_1001_Freeport Meadows_Freeport_16812","Ave J N_1001_Freeport Meadows_Freeport_16812" )</f>
        <v>Ave J N_1001_Freeport Meadows_Freeport_16812</v>
      </c>
      <c r="L6091" s="104" t="s">
        <v>22253</v>
      </c>
      <c r="M6091" s="103" t="str">
        <f t="shared" si="478"/>
        <v>http://oconnordata.com/mlink/modules/profile/index.cfm?action=profile&amp;prop_id=16812</v>
      </c>
      <c r="N6091" s="1">
        <f t="shared" si="479"/>
        <v>16812</v>
      </c>
    </row>
    <row r="6092" spans="1:14" x14ac:dyDescent="0.3">
      <c r="A6092" s="1">
        <v>16815</v>
      </c>
      <c r="B6092" s="7" t="s">
        <v>9169</v>
      </c>
      <c r="C6092" s="12">
        <v>300</v>
      </c>
      <c r="D6092" s="7" t="s">
        <v>9170</v>
      </c>
      <c r="E6092" s="13" t="s">
        <v>4412</v>
      </c>
      <c r="F6092" t="str">
        <f t="shared" si="475"/>
        <v>Henderson</v>
      </c>
      <c r="G6092" t="str">
        <f t="shared" si="476"/>
        <v>Henderson300Angleton</v>
      </c>
      <c r="H6092" t="s">
        <v>36948</v>
      </c>
      <c r="I6092" t="s">
        <v>28366</v>
      </c>
      <c r="J6092" t="str">
        <f t="shared" si="477"/>
        <v>E:\PropInv\MF</v>
      </c>
      <c r="K6092" s="103" t="str">
        <f>HYPERLINK("E:\PropInv\MF\Angleton\Henderson Rd W_300_Country Lane Apts_Angleton_16815","Henderson Rd W_300_Country Lane Apts_Angleton_16815" )</f>
        <v>Henderson Rd W_300_Country Lane Apts_Angleton_16815</v>
      </c>
      <c r="L6092" s="104" t="s">
        <v>22253</v>
      </c>
      <c r="M6092" s="103" t="str">
        <f t="shared" si="478"/>
        <v>http://oconnordata.com/mlink/modules/profile/index.cfm?action=profile&amp;prop_id=16815</v>
      </c>
      <c r="N6092" s="1">
        <f t="shared" si="479"/>
        <v>16815</v>
      </c>
    </row>
    <row r="6093" spans="1:14" x14ac:dyDescent="0.3">
      <c r="A6093" s="1">
        <v>16816</v>
      </c>
      <c r="B6093" s="7" t="s">
        <v>9169</v>
      </c>
      <c r="C6093" s="12">
        <v>1749</v>
      </c>
      <c r="D6093" s="7" t="s">
        <v>9171</v>
      </c>
      <c r="E6093" s="13" t="s">
        <v>4412</v>
      </c>
      <c r="F6093" t="str">
        <f t="shared" si="475"/>
        <v>Henderson</v>
      </c>
      <c r="G6093" t="str">
        <f t="shared" si="476"/>
        <v>Henderson1749Angleton</v>
      </c>
      <c r="H6093" t="s">
        <v>36949</v>
      </c>
      <c r="I6093" t="s">
        <v>28367</v>
      </c>
      <c r="J6093" t="str">
        <f t="shared" si="477"/>
        <v>E:\PropInv\MF</v>
      </c>
      <c r="K6093" s="103" t="str">
        <f>HYPERLINK("E:\PropInv\MF\Angleton\Henderson Rd W_1749_Northside Senior Citizen Apts_Angleton_16816","Henderson Rd W_1749_Northside Senior Citizen Apts_Angleton_16816" )</f>
        <v>Henderson Rd W_1749_Northside Senior Citizen Apts_Angleton_16816</v>
      </c>
      <c r="L6093" s="104" t="s">
        <v>22253</v>
      </c>
      <c r="M6093" s="103" t="str">
        <f t="shared" si="478"/>
        <v>http://oconnordata.com/mlink/modules/profile/index.cfm?action=profile&amp;prop_id=16816</v>
      </c>
      <c r="N6093" s="1">
        <f t="shared" si="479"/>
        <v>16816</v>
      </c>
    </row>
    <row r="6094" spans="1:14" x14ac:dyDescent="0.3">
      <c r="A6094" s="1">
        <v>16817</v>
      </c>
      <c r="B6094" s="7" t="s">
        <v>9169</v>
      </c>
      <c r="C6094" s="12">
        <v>1753</v>
      </c>
      <c r="D6094" s="7" t="s">
        <v>9172</v>
      </c>
      <c r="E6094" s="13" t="s">
        <v>4412</v>
      </c>
      <c r="F6094" t="str">
        <f t="shared" si="475"/>
        <v>Henderson</v>
      </c>
      <c r="G6094" t="str">
        <f t="shared" si="476"/>
        <v>Henderson1753Angleton</v>
      </c>
      <c r="H6094" t="s">
        <v>36950</v>
      </c>
      <c r="I6094" t="s">
        <v>28368</v>
      </c>
      <c r="J6094" t="str">
        <f t="shared" si="477"/>
        <v>E:\PropInv\MF</v>
      </c>
      <c r="K6094" s="103" t="str">
        <f>HYPERLINK("E:\PropInv\MF\Angleton\Henderson Rd W_1753_Northside Plaza Apts_Angleton_16817","Henderson Rd W_1753_Northside Plaza Apts_Angleton_16817" )</f>
        <v>Henderson Rd W_1753_Northside Plaza Apts_Angleton_16817</v>
      </c>
      <c r="L6094" s="104" t="s">
        <v>22253</v>
      </c>
      <c r="M6094" s="103" t="str">
        <f t="shared" si="478"/>
        <v>http://oconnordata.com/mlink/modules/profile/index.cfm?action=profile&amp;prop_id=16817</v>
      </c>
      <c r="N6094" s="1">
        <f t="shared" si="479"/>
        <v>16817</v>
      </c>
    </row>
    <row r="6095" spans="1:14" x14ac:dyDescent="0.3">
      <c r="A6095" s="1">
        <v>16818</v>
      </c>
      <c r="B6095" s="7" t="s">
        <v>4470</v>
      </c>
      <c r="C6095" s="12">
        <v>1710</v>
      </c>
      <c r="D6095" s="7" t="s">
        <v>9173</v>
      </c>
      <c r="E6095" s="13" t="s">
        <v>4369</v>
      </c>
      <c r="F6095" t="str">
        <f t="shared" si="475"/>
        <v>Old</v>
      </c>
      <c r="G6095" t="str">
        <f t="shared" si="476"/>
        <v>Old1710Pearland</v>
      </c>
      <c r="H6095" t="s">
        <v>36951</v>
      </c>
      <c r="I6095" t="s">
        <v>28369</v>
      </c>
      <c r="J6095" t="str">
        <f t="shared" si="477"/>
        <v>E:\PropInv\MF</v>
      </c>
      <c r="K6095" s="103" t="str">
        <f>HYPERLINK("E:\PropInv\MF\Pearland\Old Alvin Rd_1710_Oakbridge Apts_Pearland_16818","Old Alvin Rd_1710_Oakbridge Apts_Pearland_16818" )</f>
        <v>Old Alvin Rd_1710_Oakbridge Apts_Pearland_16818</v>
      </c>
      <c r="L6095" s="104" t="s">
        <v>22253</v>
      </c>
      <c r="M6095" s="103" t="str">
        <f t="shared" si="478"/>
        <v>http://oconnordata.com/mlink/modules/profile/index.cfm?action=profile&amp;prop_id=16818</v>
      </c>
      <c r="N6095" s="1">
        <f t="shared" si="479"/>
        <v>16818</v>
      </c>
    </row>
    <row r="6096" spans="1:14" x14ac:dyDescent="0.3">
      <c r="A6096" s="1">
        <v>16819</v>
      </c>
      <c r="B6096" s="7" t="s">
        <v>4934</v>
      </c>
      <c r="C6096" s="12">
        <v>130</v>
      </c>
      <c r="D6096" s="7" t="s">
        <v>9174</v>
      </c>
      <c r="E6096" s="13" t="s">
        <v>4442</v>
      </c>
      <c r="F6096" t="str">
        <f t="shared" si="475"/>
        <v>Oyster</v>
      </c>
      <c r="G6096" t="str">
        <f t="shared" si="476"/>
        <v>Oyster130Lake Jackson</v>
      </c>
      <c r="H6096" t="s">
        <v>36952</v>
      </c>
      <c r="I6096" t="s">
        <v>28370</v>
      </c>
      <c r="J6096" t="str">
        <f t="shared" si="477"/>
        <v>E:\PropInv\MF</v>
      </c>
      <c r="K6096" s="103" t="str">
        <f>HYPERLINK("E:\PropInv\MF\Lake Jackson\Oyster Creek_130_American Apts_Lake Jackson_16819","Oyster Creek_130_American Apts_Lake Jackson_16819" )</f>
        <v>Oyster Creek_130_American Apts_Lake Jackson_16819</v>
      </c>
      <c r="L6096" s="104" t="s">
        <v>22253</v>
      </c>
      <c r="M6096" s="103" t="str">
        <f t="shared" si="478"/>
        <v>http://oconnordata.com/mlink/modules/profile/index.cfm?action=profile&amp;prop_id=16819</v>
      </c>
      <c r="N6096" s="1">
        <f t="shared" si="479"/>
        <v>16819</v>
      </c>
    </row>
    <row r="6097" spans="1:14" x14ac:dyDescent="0.3">
      <c r="A6097" s="1">
        <v>16821</v>
      </c>
      <c r="B6097" s="7" t="s">
        <v>9175</v>
      </c>
      <c r="C6097" s="12">
        <v>22155</v>
      </c>
      <c r="D6097" s="7" t="s">
        <v>9176</v>
      </c>
      <c r="E6097" s="13" t="s">
        <v>2675</v>
      </c>
      <c r="F6097" t="str">
        <f t="shared" si="475"/>
        <v>Wildwood</v>
      </c>
      <c r="G6097" t="str">
        <f t="shared" si="476"/>
        <v>Wildwood22155Richmond</v>
      </c>
      <c r="H6097" t="s">
        <v>36953</v>
      </c>
      <c r="I6097" t="s">
        <v>28371</v>
      </c>
      <c r="J6097" t="str">
        <f t="shared" si="477"/>
        <v>E:\PropInv\MF</v>
      </c>
      <c r="K6097" s="103" t="str">
        <f>HYPERLINK("E:\PropInv\MF\Richmond\Wildwood Park Rd_22155_The Reserve at River Park West_Richmond_16821","Wildwood Park Rd_22155_The Reserve at River Park West_Richmond_16821" )</f>
        <v>Wildwood Park Rd_22155_The Reserve at River Park West_Richmond_16821</v>
      </c>
      <c r="L6097" s="104" t="s">
        <v>22253</v>
      </c>
      <c r="M6097" s="103" t="str">
        <f t="shared" si="478"/>
        <v>http://oconnordata.com/mlink/modules/profile/index.cfm?action=profile&amp;prop_id=16821</v>
      </c>
      <c r="N6097" s="1">
        <f t="shared" si="479"/>
        <v>16821</v>
      </c>
    </row>
    <row r="6098" spans="1:14" x14ac:dyDescent="0.3">
      <c r="A6098" s="1">
        <v>16839</v>
      </c>
      <c r="B6098" s="7" t="s">
        <v>9177</v>
      </c>
      <c r="C6098" s="12">
        <v>1020</v>
      </c>
      <c r="D6098" s="7" t="s">
        <v>9178</v>
      </c>
      <c r="E6098" s="13" t="s">
        <v>3428</v>
      </c>
      <c r="F6098" t="str">
        <f t="shared" si="475"/>
        <v>Brand</v>
      </c>
      <c r="G6098" t="str">
        <f t="shared" si="476"/>
        <v>Brand1020Stafford</v>
      </c>
      <c r="H6098" t="s">
        <v>36954</v>
      </c>
      <c r="I6098" t="s">
        <v>28372</v>
      </c>
      <c r="J6098" t="str">
        <f t="shared" si="477"/>
        <v>E:\PropInv\MF</v>
      </c>
      <c r="K6098" s="103" t="str">
        <f>HYPERLINK("E:\PropInv\MF\Stafford\Brand Ln_1020_Silverbrooke_Stafford_16839","Brand Ln_1020_Silverbrooke_Stafford_16839" )</f>
        <v>Brand Ln_1020_Silverbrooke_Stafford_16839</v>
      </c>
      <c r="L6098" s="104" t="s">
        <v>22253</v>
      </c>
      <c r="M6098" s="103" t="str">
        <f t="shared" si="478"/>
        <v>http://oconnordata.com/mlink/modules/profile/index.cfm?action=profile&amp;prop_id=16839</v>
      </c>
      <c r="N6098" s="1">
        <f t="shared" si="479"/>
        <v>16839</v>
      </c>
    </row>
    <row r="6099" spans="1:14" x14ac:dyDescent="0.3">
      <c r="A6099" s="1">
        <v>16840</v>
      </c>
      <c r="B6099" s="7" t="s">
        <v>9179</v>
      </c>
      <c r="C6099" s="12">
        <v>2602</v>
      </c>
      <c r="D6099" s="7" t="s">
        <v>9180</v>
      </c>
      <c r="E6099" s="13" t="s">
        <v>4569</v>
      </c>
      <c r="F6099" t="str">
        <f t="shared" si="475"/>
        <v>22nd</v>
      </c>
      <c r="G6099" t="str">
        <f t="shared" si="476"/>
        <v>22nd2602Texas City</v>
      </c>
      <c r="H6099" t="s">
        <v>36955</v>
      </c>
      <c r="I6099" t="s">
        <v>28373</v>
      </c>
      <c r="J6099" t="str">
        <f t="shared" si="477"/>
        <v>E:\PropInv\MF</v>
      </c>
      <c r="K6099" s="103" t="str">
        <f>HYPERLINK("E:\PropInv\MF\Texas City\22nd St N_2602_Ashton Park III_Texas City_16840","22nd St N_2602_Ashton Park III_Texas City_16840" )</f>
        <v>22nd St N_2602_Ashton Park III_Texas City_16840</v>
      </c>
      <c r="L6099" s="104" t="s">
        <v>22253</v>
      </c>
      <c r="M6099" s="103" t="str">
        <f t="shared" si="478"/>
        <v>http://oconnordata.com/mlink/modules/profile/index.cfm?action=profile&amp;prop_id=16840</v>
      </c>
      <c r="N6099" s="1">
        <f t="shared" si="479"/>
        <v>16840</v>
      </c>
    </row>
    <row r="6100" spans="1:14" x14ac:dyDescent="0.3">
      <c r="A6100" s="1">
        <v>16844</v>
      </c>
      <c r="B6100" s="7" t="s">
        <v>4635</v>
      </c>
      <c r="C6100" s="12">
        <v>7400</v>
      </c>
      <c r="D6100" s="7" t="s">
        <v>9181</v>
      </c>
      <c r="E6100" s="13" t="s">
        <v>4565</v>
      </c>
      <c r="F6100" t="str">
        <f t="shared" si="475"/>
        <v>Jones</v>
      </c>
      <c r="G6100" t="str">
        <f t="shared" si="476"/>
        <v>Jones7400Galveston</v>
      </c>
      <c r="H6100" t="s">
        <v>36956</v>
      </c>
      <c r="I6100" t="s">
        <v>28374</v>
      </c>
      <c r="J6100" t="str">
        <f t="shared" si="477"/>
        <v>E:\PropInv\MF</v>
      </c>
      <c r="K6100" s="103" t="str">
        <f>HYPERLINK("E:\PropInv\MF\Galveston\Jones Dr_7400_Island Bay Resorts II_Galveston_16844","Jones Dr_7400_Island Bay Resorts II_Galveston_16844" )</f>
        <v>Jones Dr_7400_Island Bay Resorts II_Galveston_16844</v>
      </c>
      <c r="L6100" s="104" t="s">
        <v>22253</v>
      </c>
      <c r="M6100" s="103" t="str">
        <f t="shared" si="478"/>
        <v>http://oconnordata.com/mlink/modules/profile/index.cfm?action=profile&amp;prop_id=16844</v>
      </c>
      <c r="N6100" s="1">
        <f t="shared" si="479"/>
        <v>16844</v>
      </c>
    </row>
    <row r="6101" spans="1:14" x14ac:dyDescent="0.3">
      <c r="A6101" s="1">
        <v>16845</v>
      </c>
      <c r="B6101" s="7" t="s">
        <v>9182</v>
      </c>
      <c r="C6101" s="12">
        <v>3401</v>
      </c>
      <c r="D6101" s="7" t="s">
        <v>9183</v>
      </c>
      <c r="E6101" s="13" t="s">
        <v>4569</v>
      </c>
      <c r="F6101" t="str">
        <f t="shared" si="475"/>
        <v>Magnolia</v>
      </c>
      <c r="G6101" t="str">
        <f t="shared" si="476"/>
        <v>Magnolia3401Texas City</v>
      </c>
      <c r="H6101" t="s">
        <v>36957</v>
      </c>
      <c r="I6101" t="s">
        <v>28375</v>
      </c>
      <c r="J6101" t="str">
        <f t="shared" si="477"/>
        <v>E:\PropInv\MF</v>
      </c>
      <c r="K6101" s="103" t="str">
        <f>HYPERLINK("E:\PropInv\MF\Texas City\Magnolia Ave_3401_Village at Morningstar I_Texas City_16845","Magnolia Ave_3401_Village at Morningstar I_Texas City_16845" )</f>
        <v>Magnolia Ave_3401_Village at Morningstar I_Texas City_16845</v>
      </c>
      <c r="L6101" s="104" t="s">
        <v>22253</v>
      </c>
      <c r="M6101" s="103" t="str">
        <f t="shared" si="478"/>
        <v>http://oconnordata.com/mlink/modules/profile/index.cfm?action=profile&amp;prop_id=16845</v>
      </c>
      <c r="N6101" s="1">
        <f t="shared" si="479"/>
        <v>16845</v>
      </c>
    </row>
    <row r="6102" spans="1:14" x14ac:dyDescent="0.3">
      <c r="A6102" s="1">
        <v>16846</v>
      </c>
      <c r="B6102" s="7" t="s">
        <v>4679</v>
      </c>
      <c r="C6102" s="12">
        <v>600</v>
      </c>
      <c r="D6102" s="7" t="s">
        <v>9184</v>
      </c>
      <c r="E6102" s="13" t="s">
        <v>4563</v>
      </c>
      <c r="F6102" t="str">
        <f t="shared" si="475"/>
        <v>Hobbs</v>
      </c>
      <c r="G6102" t="str">
        <f t="shared" si="476"/>
        <v>Hobbs600League City</v>
      </c>
      <c r="H6102" t="s">
        <v>36958</v>
      </c>
      <c r="I6102" t="s">
        <v>28376</v>
      </c>
      <c r="J6102" t="str">
        <f t="shared" si="477"/>
        <v>E:\PropInv\MF</v>
      </c>
      <c r="K6102" s="103" t="str">
        <f>HYPERLINK("E:\PropInv\MF\League City\Hobbs Rd_600_Maplewood Crossing_League City_16846","Hobbs Rd_600_Maplewood Crossing_League City_16846" )</f>
        <v>Hobbs Rd_600_Maplewood Crossing_League City_16846</v>
      </c>
      <c r="L6102" s="104" t="s">
        <v>22253</v>
      </c>
      <c r="M6102" s="103" t="str">
        <f t="shared" si="478"/>
        <v>http://oconnordata.com/mlink/modules/profile/index.cfm?action=profile&amp;prop_id=16846</v>
      </c>
      <c r="N6102" s="1">
        <f t="shared" si="479"/>
        <v>16846</v>
      </c>
    </row>
    <row r="6103" spans="1:14" x14ac:dyDescent="0.3">
      <c r="A6103" s="1">
        <v>16847</v>
      </c>
      <c r="B6103" s="19" t="s">
        <v>4961</v>
      </c>
      <c r="C6103" s="18">
        <v>2810</v>
      </c>
      <c r="D6103" s="19" t="s">
        <v>9185</v>
      </c>
      <c r="E6103" s="20" t="s">
        <v>4565</v>
      </c>
      <c r="F6103" t="str">
        <f t="shared" si="475"/>
        <v>61st</v>
      </c>
      <c r="G6103" t="str">
        <f t="shared" si="476"/>
        <v>61st2810Galveston</v>
      </c>
      <c r="H6103" t="s">
        <v>36959</v>
      </c>
      <c r="I6103" t="s">
        <v>28377</v>
      </c>
      <c r="J6103" t="str">
        <f t="shared" si="477"/>
        <v>E:\PropInv\MF</v>
      </c>
      <c r="K6103" s="103" t="str">
        <f>HYPERLINK("E:\PropInv\MF\Galveston\61st St_2810_Holland House Apts_Galveston_16847","61st St_2810_Holland House Apts_Galveston_16847" )</f>
        <v>61st St_2810_Holland House Apts_Galveston_16847</v>
      </c>
      <c r="L6103" s="104" t="s">
        <v>22253</v>
      </c>
      <c r="M6103" s="103" t="str">
        <f t="shared" si="478"/>
        <v>http://oconnordata.com/mlink/modules/profile/index.cfm?action=profile&amp;prop_id=16847</v>
      </c>
      <c r="N6103" s="1">
        <f t="shared" si="479"/>
        <v>16847</v>
      </c>
    </row>
    <row r="6104" spans="1:14" x14ac:dyDescent="0.3">
      <c r="A6104" s="1">
        <v>16848</v>
      </c>
      <c r="B6104" s="7" t="s">
        <v>2045</v>
      </c>
      <c r="C6104" s="12">
        <v>901</v>
      </c>
      <c r="D6104" s="7" t="s">
        <v>9186</v>
      </c>
      <c r="E6104" s="13" t="s">
        <v>4616</v>
      </c>
      <c r="F6104" t="str">
        <f t="shared" si="475"/>
        <v>Wilson</v>
      </c>
      <c r="G6104" t="str">
        <f t="shared" si="476"/>
        <v>Wilson901Conroe</v>
      </c>
      <c r="H6104" t="s">
        <v>36960</v>
      </c>
      <c r="I6104" t="s">
        <v>28378</v>
      </c>
      <c r="J6104" t="str">
        <f t="shared" si="477"/>
        <v>E:\PropInv\MF</v>
      </c>
      <c r="K6104" s="103" t="str">
        <f>HYPERLINK("E:\PropInv\MF\Conroe\Wilson Rd_901_Heritage at Hooper Hill_Conroe_16848","Wilson Rd_901_Heritage at Hooper Hill_Conroe_16848" )</f>
        <v>Wilson Rd_901_Heritage at Hooper Hill_Conroe_16848</v>
      </c>
      <c r="L6104" s="104" t="s">
        <v>22253</v>
      </c>
      <c r="M6104" s="103" t="str">
        <f t="shared" si="478"/>
        <v>http://oconnordata.com/mlink/modules/profile/index.cfm?action=profile&amp;prop_id=16848</v>
      </c>
      <c r="N6104" s="1">
        <f t="shared" si="479"/>
        <v>16848</v>
      </c>
    </row>
    <row r="6105" spans="1:14" x14ac:dyDescent="0.3">
      <c r="A6105" s="1">
        <v>16866</v>
      </c>
      <c r="B6105" s="7" t="s">
        <v>4209</v>
      </c>
      <c r="C6105" s="12">
        <v>10181</v>
      </c>
      <c r="D6105" s="7" t="s">
        <v>9187</v>
      </c>
      <c r="E6105" s="13" t="s">
        <v>1657</v>
      </c>
      <c r="F6105" t="str">
        <f t="shared" si="475"/>
        <v>Windmill</v>
      </c>
      <c r="G6105" t="str">
        <f t="shared" si="476"/>
        <v>Windmill10181Houston</v>
      </c>
      <c r="H6105" t="s">
        <v>36961</v>
      </c>
      <c r="I6105" t="s">
        <v>28379</v>
      </c>
      <c r="J6105" t="str">
        <f t="shared" si="477"/>
        <v>E:\PropInv\MF</v>
      </c>
      <c r="K6105" s="103" t="str">
        <f>HYPERLINK("E:\PropInv\MF\Houston\Windmill Lakes Blvd_10181_Longboat Key_Houston_16866","Windmill Lakes Blvd_10181_Longboat Key_Houston_16866" )</f>
        <v>Windmill Lakes Blvd_10181_Longboat Key_Houston_16866</v>
      </c>
      <c r="L6105" s="104" t="s">
        <v>22253</v>
      </c>
      <c r="M6105" s="103" t="str">
        <f t="shared" si="478"/>
        <v>http://oconnordata.com/mlink/modules/profile/index.cfm?action=profile&amp;prop_id=16866</v>
      </c>
      <c r="N6105" s="1">
        <f t="shared" si="479"/>
        <v>16866</v>
      </c>
    </row>
    <row r="6106" spans="1:14" x14ac:dyDescent="0.3">
      <c r="A6106" s="1">
        <v>16867</v>
      </c>
      <c r="B6106" s="7" t="s">
        <v>9188</v>
      </c>
      <c r="C6106" s="12">
        <v>7909</v>
      </c>
      <c r="D6106" s="7" t="s">
        <v>9189</v>
      </c>
      <c r="E6106" s="13" t="s">
        <v>1657</v>
      </c>
      <c r="F6106" t="str">
        <f t="shared" si="475"/>
        <v>Sam</v>
      </c>
      <c r="G6106" t="str">
        <f t="shared" si="476"/>
        <v>Sam7909Houston</v>
      </c>
      <c r="H6106" t="s">
        <v>36962</v>
      </c>
      <c r="I6106" t="s">
        <v>28380</v>
      </c>
      <c r="J6106" t="str">
        <f t="shared" si="477"/>
        <v>E:\PropInv\MF</v>
      </c>
      <c r="K6106" s="103" t="str">
        <f>HYPERLINK("E:\PropInv\MF\Houston\Sam Houston Pkwy E S_7909_Sweetwater Point_Houston_16867","Sam Houston Pkwy E S_7909_Sweetwater Point_Houston_16867" )</f>
        <v>Sam Houston Pkwy E S_7909_Sweetwater Point_Houston_16867</v>
      </c>
      <c r="L6106" s="104" t="s">
        <v>22253</v>
      </c>
      <c r="M6106" s="103" t="str">
        <f t="shared" si="478"/>
        <v>http://oconnordata.com/mlink/modules/profile/index.cfm?action=profile&amp;prop_id=16867</v>
      </c>
      <c r="N6106" s="1">
        <f t="shared" si="479"/>
        <v>16867</v>
      </c>
    </row>
    <row r="6107" spans="1:14" x14ac:dyDescent="0.3">
      <c r="A6107" s="97">
        <v>16869</v>
      </c>
      <c r="B6107" s="7" t="s">
        <v>9190</v>
      </c>
      <c r="C6107" s="12">
        <v>330</v>
      </c>
      <c r="D6107" s="7" t="s">
        <v>9191</v>
      </c>
      <c r="E6107" s="13" t="s">
        <v>4047</v>
      </c>
      <c r="F6107" t="str">
        <f t="shared" si="475"/>
        <v>Bayside</v>
      </c>
      <c r="G6107" t="str">
        <f t="shared" si="476"/>
        <v>Bayside330La Porte</v>
      </c>
      <c r="H6107" t="s">
        <v>36963</v>
      </c>
      <c r="I6107" t="s">
        <v>28381</v>
      </c>
      <c r="J6107" t="str">
        <f t="shared" si="477"/>
        <v>E:\PropInv\MF</v>
      </c>
      <c r="K6107" s="103" t="str">
        <f>HYPERLINK("E:\PropInv\MF\La Porte\Bayside_330_Windsail Bay I_La Porte_16869","Bayside_330_Windsail Bay I_La Porte_16869" )</f>
        <v>Bayside_330_Windsail Bay I_La Porte_16869</v>
      </c>
      <c r="L6107" s="104" t="s">
        <v>22253</v>
      </c>
      <c r="M6107" s="103" t="str">
        <f t="shared" si="478"/>
        <v>http://oconnordata.com/mlink/modules/profile/index.cfm?action=profile&amp;prop_id=16869</v>
      </c>
      <c r="N6107" s="1">
        <f t="shared" si="479"/>
        <v>16869</v>
      </c>
    </row>
    <row r="6108" spans="1:14" x14ac:dyDescent="0.3">
      <c r="A6108" s="97">
        <v>16870</v>
      </c>
      <c r="B6108" s="7" t="s">
        <v>9192</v>
      </c>
      <c r="C6108" s="12">
        <v>300</v>
      </c>
      <c r="D6108" s="7" t="s">
        <v>9193</v>
      </c>
      <c r="E6108" s="13" t="s">
        <v>4392</v>
      </c>
      <c r="F6108" t="str">
        <f t="shared" si="475"/>
        <v>Silverleaf</v>
      </c>
      <c r="G6108" t="str">
        <f t="shared" si="476"/>
        <v>Silverleaf300Sweeny</v>
      </c>
      <c r="H6108" t="s">
        <v>36964</v>
      </c>
      <c r="I6108" t="s">
        <v>28382</v>
      </c>
      <c r="J6108" t="str">
        <f t="shared" si="477"/>
        <v>E:\PropInv\MF</v>
      </c>
      <c r="K6108" s="103" t="str">
        <f>HYPERLINK("E:\PropInv\MF\Sweeny\Silverleaf Rd_300_Windmill Run_Sweeny_16870","Silverleaf Rd_300_Windmill Run_Sweeny_16870" )</f>
        <v>Silverleaf Rd_300_Windmill Run_Sweeny_16870</v>
      </c>
      <c r="L6108" s="104" t="s">
        <v>22253</v>
      </c>
      <c r="M6108" s="103" t="str">
        <f t="shared" si="478"/>
        <v>http://oconnordata.com/mlink/modules/profile/index.cfm?action=profile&amp;prop_id=16870</v>
      </c>
      <c r="N6108" s="1">
        <f t="shared" si="479"/>
        <v>16870</v>
      </c>
    </row>
    <row r="6109" spans="1:14" x14ac:dyDescent="0.3">
      <c r="A6109" s="1">
        <v>16896</v>
      </c>
      <c r="B6109" s="7" t="s">
        <v>919</v>
      </c>
      <c r="C6109" s="12">
        <v>9900</v>
      </c>
      <c r="D6109" s="7" t="s">
        <v>9194</v>
      </c>
      <c r="E6109" s="13" t="s">
        <v>4369</v>
      </c>
      <c r="F6109" t="str">
        <f t="shared" si="475"/>
        <v>Broadway</v>
      </c>
      <c r="G6109" t="str">
        <f t="shared" si="476"/>
        <v>Broadway9900Pearland</v>
      </c>
      <c r="H6109" t="s">
        <v>36965</v>
      </c>
      <c r="I6109" t="s">
        <v>28383</v>
      </c>
      <c r="J6109" t="str">
        <f t="shared" si="477"/>
        <v>E:\PropInv\MF</v>
      </c>
      <c r="K6109" s="103" t="str">
        <f>HYPERLINK("E:\PropInv\MF\Pearland\Broadway_9900_St. Andrews II_Pearland_16896","Broadway_9900_St. Andrews II_Pearland_16896" )</f>
        <v>Broadway_9900_St. Andrews II_Pearland_16896</v>
      </c>
      <c r="L6109" s="104" t="s">
        <v>22253</v>
      </c>
      <c r="M6109" s="103" t="str">
        <f t="shared" si="478"/>
        <v>http://oconnordata.com/mlink/modules/profile/index.cfm?action=profile&amp;prop_id=16896</v>
      </c>
      <c r="N6109" s="1">
        <f t="shared" si="479"/>
        <v>16896</v>
      </c>
    </row>
    <row r="6110" spans="1:14" x14ac:dyDescent="0.3">
      <c r="A6110" s="1">
        <v>16897</v>
      </c>
      <c r="B6110" s="7" t="s">
        <v>9195</v>
      </c>
      <c r="C6110" s="12">
        <v>2414</v>
      </c>
      <c r="D6110" s="7" t="s">
        <v>9196</v>
      </c>
      <c r="E6110" s="13" t="s">
        <v>4369</v>
      </c>
      <c r="F6110" t="str">
        <f t="shared" si="475"/>
        <v>County</v>
      </c>
      <c r="G6110" t="str">
        <f t="shared" si="476"/>
        <v>County2414Pearland</v>
      </c>
      <c r="H6110" t="s">
        <v>36966</v>
      </c>
      <c r="I6110" t="s">
        <v>28384</v>
      </c>
      <c r="J6110" t="str">
        <f t="shared" si="477"/>
        <v>E:\PropInv\MF</v>
      </c>
      <c r="K6110" s="103" t="str">
        <f>HYPERLINK("E:\PropInv\MF\Pearland\County Rd 90_2414_Summer Wind Apts_Pearland_16897","County Rd 90_2414_Summer Wind Apts_Pearland_16897" )</f>
        <v>County Rd 90_2414_Summer Wind Apts_Pearland_16897</v>
      </c>
      <c r="L6110" s="104" t="s">
        <v>22253</v>
      </c>
      <c r="M6110" s="103" t="str">
        <f t="shared" si="478"/>
        <v>http://oconnordata.com/mlink/modules/profile/index.cfm?action=profile&amp;prop_id=16897</v>
      </c>
      <c r="N6110" s="1">
        <f t="shared" si="479"/>
        <v>16897</v>
      </c>
    </row>
    <row r="6111" spans="1:14" x14ac:dyDescent="0.3">
      <c r="A6111" s="1">
        <v>16898</v>
      </c>
      <c r="B6111" s="7" t="s">
        <v>8591</v>
      </c>
      <c r="C6111" s="12">
        <v>2920</v>
      </c>
      <c r="D6111" s="7" t="s">
        <v>9197</v>
      </c>
      <c r="E6111" s="13" t="s">
        <v>4369</v>
      </c>
      <c r="F6111" t="str">
        <f t="shared" si="475"/>
        <v>Oak</v>
      </c>
      <c r="G6111" t="str">
        <f t="shared" si="476"/>
        <v>Oak2920Pearland</v>
      </c>
      <c r="H6111" t="s">
        <v>36967</v>
      </c>
      <c r="I6111" t="s">
        <v>28385</v>
      </c>
      <c r="J6111" t="str">
        <f t="shared" si="477"/>
        <v>E:\PropInv\MF</v>
      </c>
      <c r="K6111" s="103" t="str">
        <f>HYPERLINK("E:\PropInv\MF\Pearland\Oak Rd_2920_Tranquility Bay I &amp; II_Pearland_16898","Oak Rd_2920_Tranquility Bay I &amp; II_Pearland_16898" )</f>
        <v>Oak Rd_2920_Tranquility Bay I &amp; II_Pearland_16898</v>
      </c>
      <c r="L6111" s="104" t="s">
        <v>22253</v>
      </c>
      <c r="M6111" s="103" t="str">
        <f t="shared" si="478"/>
        <v>http://oconnordata.com/mlink/modules/profile/index.cfm?action=profile&amp;prop_id=16898</v>
      </c>
      <c r="N6111" s="1">
        <f t="shared" si="479"/>
        <v>16898</v>
      </c>
    </row>
    <row r="6112" spans="1:14" x14ac:dyDescent="0.3">
      <c r="A6112" s="1">
        <v>16900</v>
      </c>
      <c r="B6112" s="7" t="s">
        <v>4505</v>
      </c>
      <c r="C6112" s="12">
        <v>514</v>
      </c>
      <c r="D6112" s="7" t="s">
        <v>5469</v>
      </c>
      <c r="E6112" s="13" t="s">
        <v>4442</v>
      </c>
      <c r="F6112" t="str">
        <f t="shared" si="475"/>
        <v>That</v>
      </c>
      <c r="G6112" t="str">
        <f t="shared" si="476"/>
        <v>That514Lake Jackson</v>
      </c>
      <c r="H6112" t="s">
        <v>36968</v>
      </c>
      <c r="I6112" t="s">
        <v>28386</v>
      </c>
      <c r="J6112" t="str">
        <f t="shared" si="477"/>
        <v>E:\PropInv\MF</v>
      </c>
      <c r="K6112" s="103" t="str">
        <f>HYPERLINK("E:\PropInv\MF\Lake Jackson\That Way St_514_Edgewater_Lake Jackson_16900","That Way St_514_Edgewater_Lake Jackson_16900" )</f>
        <v>That Way St_514_Edgewater_Lake Jackson_16900</v>
      </c>
      <c r="L6112" s="104" t="s">
        <v>22253</v>
      </c>
      <c r="M6112" s="103" t="str">
        <f t="shared" si="478"/>
        <v>http://oconnordata.com/mlink/modules/profile/index.cfm?action=profile&amp;prop_id=16900</v>
      </c>
      <c r="N6112" s="1">
        <f t="shared" si="479"/>
        <v>16900</v>
      </c>
    </row>
    <row r="6113" spans="1:14" x14ac:dyDescent="0.3">
      <c r="A6113" s="1">
        <v>16901</v>
      </c>
      <c r="B6113" s="7" t="s">
        <v>9198</v>
      </c>
      <c r="C6113" s="12">
        <v>3800</v>
      </c>
      <c r="D6113" s="7" t="s">
        <v>9199</v>
      </c>
      <c r="E6113" s="13" t="s">
        <v>9200</v>
      </c>
      <c r="F6113" t="str">
        <f t="shared" si="475"/>
        <v>County</v>
      </c>
      <c r="G6113" t="str">
        <f t="shared" si="476"/>
        <v>County3800Manvel</v>
      </c>
      <c r="H6113" t="s">
        <v>36969</v>
      </c>
      <c r="I6113" t="s">
        <v>28387</v>
      </c>
      <c r="J6113" t="str">
        <f t="shared" si="477"/>
        <v>E:\PropInv\MF</v>
      </c>
      <c r="K6113" s="103" t="str">
        <f>HYPERLINK("E:\PropInv\MF\Manvel\County Rd 94_3800_Cobblestone Park I_Manvel_16901","County Rd 94_3800_Cobblestone Park I_Manvel_16901" )</f>
        <v>County Rd 94_3800_Cobblestone Park I_Manvel_16901</v>
      </c>
      <c r="L6113" s="104" t="s">
        <v>22253</v>
      </c>
      <c r="M6113" s="103" t="str">
        <f t="shared" si="478"/>
        <v>http://oconnordata.com/mlink/modules/profile/index.cfm?action=profile&amp;prop_id=16901</v>
      </c>
      <c r="N6113" s="1">
        <f t="shared" si="479"/>
        <v>16901</v>
      </c>
    </row>
    <row r="6114" spans="1:14" x14ac:dyDescent="0.3">
      <c r="A6114" s="1">
        <v>16917</v>
      </c>
      <c r="B6114" s="7" t="s">
        <v>4110</v>
      </c>
      <c r="C6114" s="12">
        <v>10010</v>
      </c>
      <c r="D6114" s="7" t="s">
        <v>9201</v>
      </c>
      <c r="E6114" s="13" t="s">
        <v>1657</v>
      </c>
      <c r="F6114" t="str">
        <f t="shared" si="475"/>
        <v>Cullen</v>
      </c>
      <c r="G6114" t="str">
        <f t="shared" si="476"/>
        <v>Cullen10010Houston</v>
      </c>
      <c r="H6114" t="s">
        <v>36970</v>
      </c>
      <c r="I6114" t="s">
        <v>28388</v>
      </c>
      <c r="J6114" t="str">
        <f t="shared" si="477"/>
        <v>E:\PropInv\MF</v>
      </c>
      <c r="K6114" s="103" t="str">
        <f>HYPERLINK("E:\PropInv\MF\Houston\Cullen Blvd_10010_Lansborough Apts_Houston_16917","Cullen Blvd_10010_Lansborough Apts_Houston_16917" )</f>
        <v>Cullen Blvd_10010_Lansborough Apts_Houston_16917</v>
      </c>
      <c r="L6114" s="104" t="s">
        <v>22253</v>
      </c>
      <c r="M6114" s="103" t="str">
        <f t="shared" si="478"/>
        <v>http://oconnordata.com/mlink/modules/profile/index.cfm?action=profile&amp;prop_id=16917</v>
      </c>
      <c r="N6114" s="1">
        <f t="shared" si="479"/>
        <v>16917</v>
      </c>
    </row>
    <row r="6115" spans="1:14" x14ac:dyDescent="0.3">
      <c r="A6115" s="1">
        <v>16931</v>
      </c>
      <c r="B6115" s="7" t="s">
        <v>4566</v>
      </c>
      <c r="C6115" s="12">
        <v>3433</v>
      </c>
      <c r="D6115" s="7" t="s">
        <v>9202</v>
      </c>
      <c r="E6115" s="13" t="s">
        <v>4565</v>
      </c>
      <c r="F6115" t="str">
        <f t="shared" si="475"/>
        <v>Cove</v>
      </c>
      <c r="G6115" t="str">
        <f t="shared" si="476"/>
        <v>Cove3433Galveston</v>
      </c>
      <c r="H6115" t="s">
        <v>36971</v>
      </c>
      <c r="I6115" t="s">
        <v>28389</v>
      </c>
      <c r="J6115" t="str">
        <f t="shared" si="477"/>
        <v>E:\PropInv\MF</v>
      </c>
      <c r="K6115" s="103" t="str">
        <f>HYPERLINK("E:\PropInv\MF\Galveston\Cove View Blvd_3433_Club of the Isle_Galveston_16931","Cove View Blvd_3433_Club of the Isle_Galveston_16931" )</f>
        <v>Cove View Blvd_3433_Club of the Isle_Galveston_16931</v>
      </c>
      <c r="L6115" s="104" t="s">
        <v>22253</v>
      </c>
      <c r="M6115" s="103" t="str">
        <f t="shared" si="478"/>
        <v>http://oconnordata.com/mlink/modules/profile/index.cfm?action=profile&amp;prop_id=16931</v>
      </c>
      <c r="N6115" s="1">
        <f t="shared" si="479"/>
        <v>16931</v>
      </c>
    </row>
    <row r="6116" spans="1:14" x14ac:dyDescent="0.3">
      <c r="A6116" s="1">
        <v>16936</v>
      </c>
      <c r="B6116" s="7" t="s">
        <v>4299</v>
      </c>
      <c r="C6116" s="12">
        <v>16415</v>
      </c>
      <c r="D6116" s="7" t="s">
        <v>9203</v>
      </c>
      <c r="E6116" s="13" t="s">
        <v>1657</v>
      </c>
      <c r="F6116" t="str">
        <f t="shared" si="475"/>
        <v>Buccaneer</v>
      </c>
      <c r="G6116" t="str">
        <f t="shared" si="476"/>
        <v>Buccaneer16415Houston</v>
      </c>
      <c r="H6116" t="s">
        <v>36972</v>
      </c>
      <c r="I6116" t="s">
        <v>28390</v>
      </c>
      <c r="J6116" t="str">
        <f t="shared" si="477"/>
        <v>E:\PropInv\MF</v>
      </c>
      <c r="K6116" s="103" t="str">
        <f>HYPERLINK("E:\PropInv\MF\Houston\Buccaneer_16415_Bay Crest Village (Bay Place II)_Houston_16936","Buccaneer_16415_Bay Crest Village (Bay Place II)_Houston_16936" )</f>
        <v>Buccaneer_16415_Bay Crest Village (Bay Place II)_Houston_16936</v>
      </c>
      <c r="L6116" s="104" t="s">
        <v>22253</v>
      </c>
      <c r="M6116" s="103" t="str">
        <f t="shared" si="478"/>
        <v>http://oconnordata.com/mlink/modules/profile/index.cfm?action=profile&amp;prop_id=16936</v>
      </c>
      <c r="N6116" s="1">
        <f t="shared" si="479"/>
        <v>16936</v>
      </c>
    </row>
    <row r="6117" spans="1:14" x14ac:dyDescent="0.3">
      <c r="A6117" s="1">
        <v>16937</v>
      </c>
      <c r="B6117" s="7" t="s">
        <v>9204</v>
      </c>
      <c r="C6117" s="12">
        <v>2815</v>
      </c>
      <c r="D6117" s="7" t="s">
        <v>9205</v>
      </c>
      <c r="E6117" s="13" t="s">
        <v>4532</v>
      </c>
      <c r="F6117" t="str">
        <f t="shared" si="475"/>
        <v>Cypress</v>
      </c>
      <c r="G6117" t="str">
        <f t="shared" si="476"/>
        <v>Cypress2815Missouri City</v>
      </c>
      <c r="H6117" t="s">
        <v>36973</v>
      </c>
      <c r="I6117" t="s">
        <v>28391</v>
      </c>
      <c r="J6117" t="str">
        <f t="shared" si="477"/>
        <v>E:\PropInv\MF</v>
      </c>
      <c r="K6117" s="103" t="str">
        <f>HYPERLINK("E:\PropInv\MF\Missouri City\Cypress Point Dr_2815_Plantation at Quail Valley_Missouri City_16937","Cypress Point Dr_2815_Plantation at Quail Valley_Missouri City_16937" )</f>
        <v>Cypress Point Dr_2815_Plantation at Quail Valley_Missouri City_16937</v>
      </c>
      <c r="L6117" s="104" t="s">
        <v>22253</v>
      </c>
      <c r="M6117" s="103" t="str">
        <f t="shared" si="478"/>
        <v>http://oconnordata.com/mlink/modules/profile/index.cfm?action=profile&amp;prop_id=16937</v>
      </c>
      <c r="N6117" s="1">
        <f t="shared" si="479"/>
        <v>16937</v>
      </c>
    </row>
    <row r="6118" spans="1:14" x14ac:dyDescent="0.3">
      <c r="A6118" s="1">
        <v>16939</v>
      </c>
      <c r="B6118" s="7" t="s">
        <v>4309</v>
      </c>
      <c r="C6118" s="12">
        <v>2801</v>
      </c>
      <c r="D6118" s="7" t="s">
        <v>9206</v>
      </c>
      <c r="E6118" s="13" t="s">
        <v>4249</v>
      </c>
      <c r="F6118" t="str">
        <f t="shared" si="475"/>
        <v>Bay</v>
      </c>
      <c r="G6118" t="str">
        <f t="shared" si="476"/>
        <v>Bay2801Webster</v>
      </c>
      <c r="H6118" t="s">
        <v>36974</v>
      </c>
      <c r="I6118" t="s">
        <v>28392</v>
      </c>
      <c r="J6118" t="str">
        <f t="shared" si="477"/>
        <v>E:\PropInv\MF</v>
      </c>
      <c r="K6118" s="103" t="str">
        <f>HYPERLINK("E:\PropInv\MF\Webster\Bay Area Blvd W_2801_Baybrook Village I_Webster_16939","Bay Area Blvd W_2801_Baybrook Village I_Webster_16939" )</f>
        <v>Bay Area Blvd W_2801_Baybrook Village I_Webster_16939</v>
      </c>
      <c r="L6118" s="104" t="s">
        <v>22253</v>
      </c>
      <c r="M6118" s="103" t="str">
        <f t="shared" si="478"/>
        <v>http://oconnordata.com/mlink/modules/profile/index.cfm?action=profile&amp;prop_id=16939</v>
      </c>
      <c r="N6118" s="1">
        <f t="shared" si="479"/>
        <v>16939</v>
      </c>
    </row>
    <row r="6119" spans="1:14" x14ac:dyDescent="0.3">
      <c r="A6119" s="1">
        <v>16940</v>
      </c>
      <c r="B6119" s="7" t="s">
        <v>9207</v>
      </c>
      <c r="C6119" s="12">
        <v>1100</v>
      </c>
      <c r="D6119" s="7" t="s">
        <v>9208</v>
      </c>
      <c r="E6119" s="13" t="s">
        <v>4402</v>
      </c>
      <c r="F6119" t="str">
        <f t="shared" si="475"/>
        <v>Adoue</v>
      </c>
      <c r="G6119" t="str">
        <f t="shared" si="476"/>
        <v>Adoue1100Alvin</v>
      </c>
      <c r="H6119" t="s">
        <v>36975</v>
      </c>
      <c r="I6119" t="s">
        <v>28393</v>
      </c>
      <c r="J6119" t="str">
        <f t="shared" si="477"/>
        <v>E:\PropInv\MF</v>
      </c>
      <c r="K6119" s="103" t="str">
        <f>HYPERLINK("E:\PropInv\MF\Alvin\Adoue St E_1100_Morgan Oaks_Alvin_16940","Adoue St E_1100_Morgan Oaks_Alvin_16940" )</f>
        <v>Adoue St E_1100_Morgan Oaks_Alvin_16940</v>
      </c>
      <c r="L6119" s="104" t="s">
        <v>22253</v>
      </c>
      <c r="M6119" s="103" t="str">
        <f t="shared" si="478"/>
        <v>http://oconnordata.com/mlink/modules/profile/index.cfm?action=profile&amp;prop_id=16940</v>
      </c>
      <c r="N6119" s="1">
        <f t="shared" si="479"/>
        <v>16940</v>
      </c>
    </row>
    <row r="6120" spans="1:14" x14ac:dyDescent="0.3">
      <c r="A6120" s="1">
        <v>16941</v>
      </c>
      <c r="B6120" s="7" t="s">
        <v>234</v>
      </c>
      <c r="C6120" s="12">
        <v>140</v>
      </c>
      <c r="D6120" s="7" t="s">
        <v>9209</v>
      </c>
      <c r="E6120" s="13" t="s">
        <v>4399</v>
      </c>
      <c r="F6120" t="str">
        <f t="shared" si="475"/>
        <v>Lakeview</v>
      </c>
      <c r="G6120" t="str">
        <f t="shared" si="476"/>
        <v>Lakeview140Clute</v>
      </c>
      <c r="H6120" t="s">
        <v>36976</v>
      </c>
      <c r="I6120" t="s">
        <v>28394</v>
      </c>
      <c r="J6120" t="str">
        <f t="shared" si="477"/>
        <v>E:\PropInv\MF</v>
      </c>
      <c r="K6120" s="103" t="str">
        <f>HYPERLINK("E:\PropInv\MF\Clute\Lakeview_140_Olde Oaks_Clute_16941","Lakeview_140_Olde Oaks_Clute_16941" )</f>
        <v>Lakeview_140_Olde Oaks_Clute_16941</v>
      </c>
      <c r="L6120" s="104" t="s">
        <v>22253</v>
      </c>
      <c r="M6120" s="103" t="str">
        <f t="shared" si="478"/>
        <v>http://oconnordata.com/mlink/modules/profile/index.cfm?action=profile&amp;prop_id=16941</v>
      </c>
      <c r="N6120" s="1">
        <f t="shared" si="479"/>
        <v>16941</v>
      </c>
    </row>
    <row r="6121" spans="1:14" x14ac:dyDescent="0.3">
      <c r="A6121" s="1">
        <v>16943</v>
      </c>
      <c r="B6121" s="7" t="s">
        <v>4303</v>
      </c>
      <c r="C6121" s="12">
        <v>16302</v>
      </c>
      <c r="D6121" s="7" t="s">
        <v>9210</v>
      </c>
      <c r="E6121" s="13" t="s">
        <v>1657</v>
      </c>
      <c r="F6121" t="str">
        <f t="shared" si="475"/>
        <v>El</v>
      </c>
      <c r="G6121" t="str">
        <f t="shared" si="476"/>
        <v>El16302Houston</v>
      </c>
      <c r="H6121" t="s">
        <v>36977</v>
      </c>
      <c r="I6121" t="s">
        <v>28395</v>
      </c>
      <c r="J6121" t="str">
        <f t="shared" si="477"/>
        <v>E:\PropInv\MF</v>
      </c>
      <c r="K6121" s="103" t="str">
        <f>HYPERLINK("E:\PropInv\MF\Houston\El Camino Real_16302_The Hamptons II_Houston_16943","El Camino Real_16302_The Hamptons II_Houston_16943" )</f>
        <v>El Camino Real_16302_The Hamptons II_Houston_16943</v>
      </c>
      <c r="L6121" s="104" t="s">
        <v>22253</v>
      </c>
      <c r="M6121" s="103" t="str">
        <f t="shared" si="478"/>
        <v>http://oconnordata.com/mlink/modules/profile/index.cfm?action=profile&amp;prop_id=16943</v>
      </c>
      <c r="N6121" s="1">
        <f t="shared" si="479"/>
        <v>16943</v>
      </c>
    </row>
    <row r="6122" spans="1:14" x14ac:dyDescent="0.3">
      <c r="A6122" s="1">
        <v>16944</v>
      </c>
      <c r="B6122" s="19" t="s">
        <v>4279</v>
      </c>
      <c r="C6122" s="18">
        <v>1243</v>
      </c>
      <c r="D6122" s="19" t="s">
        <v>9211</v>
      </c>
      <c r="E6122" s="20" t="s">
        <v>1657</v>
      </c>
      <c r="F6122" t="str">
        <f t="shared" si="475"/>
        <v>Bay</v>
      </c>
      <c r="G6122" t="str">
        <f t="shared" si="476"/>
        <v>Bay1243Houston</v>
      </c>
      <c r="H6122" t="s">
        <v>36978</v>
      </c>
      <c r="I6122" t="s">
        <v>28396</v>
      </c>
      <c r="J6122" t="str">
        <f t="shared" si="477"/>
        <v>E:\PropInv\MF</v>
      </c>
      <c r="K6122" s="103" t="str">
        <f>HYPERLINK("E:\PropInv\MF\Houston\Bay Area Blvd_1243_Village South Apts_Houston_16944","Bay Area Blvd_1243_Village South Apts_Houston_16944" )</f>
        <v>Bay Area Blvd_1243_Village South Apts_Houston_16944</v>
      </c>
      <c r="L6122" s="104" t="s">
        <v>22253</v>
      </c>
      <c r="M6122" s="103" t="str">
        <f t="shared" si="478"/>
        <v>http://oconnordata.com/mlink/modules/profile/index.cfm?action=profile&amp;prop_id=16944</v>
      </c>
      <c r="N6122" s="1">
        <f t="shared" si="479"/>
        <v>16944</v>
      </c>
    </row>
    <row r="6123" spans="1:14" x14ac:dyDescent="0.3">
      <c r="A6123" s="1">
        <v>16959</v>
      </c>
      <c r="B6123" s="19" t="s">
        <v>4929</v>
      </c>
      <c r="C6123" s="18">
        <v>8010</v>
      </c>
      <c r="D6123" s="19" t="s">
        <v>9212</v>
      </c>
      <c r="E6123" s="20" t="s">
        <v>4628</v>
      </c>
      <c r="F6123" t="str">
        <f t="shared" si="475"/>
        <v>6</v>
      </c>
      <c r="G6123" t="str">
        <f t="shared" si="476"/>
        <v>68010Hitchcock</v>
      </c>
      <c r="H6123" t="s">
        <v>36979</v>
      </c>
      <c r="I6123" t="s">
        <v>28397</v>
      </c>
      <c r="J6123" t="str">
        <f t="shared" si="477"/>
        <v>E:\PropInv\MF</v>
      </c>
      <c r="K6123" s="103" t="str">
        <f>HYPERLINK("E:\PropInv\MF\Hitchcock\6 Hwy_8010_Lively Oaks Apts_Hitchcock_16959","6 Hwy_8010_Lively Oaks Apts_Hitchcock_16959" )</f>
        <v>6 Hwy_8010_Lively Oaks Apts_Hitchcock_16959</v>
      </c>
      <c r="L6123" s="104" t="s">
        <v>22253</v>
      </c>
      <c r="M6123" s="103" t="str">
        <f t="shared" si="478"/>
        <v>http://oconnordata.com/mlink/modules/profile/index.cfm?action=profile&amp;prop_id=16959</v>
      </c>
      <c r="N6123" s="1">
        <f t="shared" si="479"/>
        <v>16959</v>
      </c>
    </row>
    <row r="6124" spans="1:14" x14ac:dyDescent="0.3">
      <c r="A6124" s="1">
        <v>16962</v>
      </c>
      <c r="B6124" s="7" t="s">
        <v>3916</v>
      </c>
      <c r="C6124" s="12">
        <v>8601</v>
      </c>
      <c r="D6124" s="7" t="s">
        <v>9213</v>
      </c>
      <c r="E6124" s="13" t="s">
        <v>1657</v>
      </c>
      <c r="F6124" t="str">
        <f t="shared" si="475"/>
        <v>Broadway</v>
      </c>
      <c r="G6124" t="str">
        <f t="shared" si="476"/>
        <v>Broadway8601Houston</v>
      </c>
      <c r="H6124" t="s">
        <v>36980</v>
      </c>
      <c r="I6124" t="s">
        <v>28398</v>
      </c>
      <c r="J6124" t="str">
        <f t="shared" si="477"/>
        <v>E:\PropInv\MF</v>
      </c>
      <c r="K6124" s="103" t="str">
        <f>HYPERLINK("E:\PropInv\MF\Houston\Broadway St_8601_Broadway Square-Section 3-I_Houston_16962","Broadway St_8601_Broadway Square-Section 3-I_Houston_16962" )</f>
        <v>Broadway St_8601_Broadway Square-Section 3-I_Houston_16962</v>
      </c>
      <c r="L6124" s="104" t="s">
        <v>22253</v>
      </c>
      <c r="M6124" s="103" t="str">
        <f t="shared" si="478"/>
        <v>http://oconnordata.com/mlink/modules/profile/index.cfm?action=profile&amp;prop_id=16962</v>
      </c>
      <c r="N6124" s="1">
        <f t="shared" si="479"/>
        <v>16962</v>
      </c>
    </row>
    <row r="6125" spans="1:14" x14ac:dyDescent="0.3">
      <c r="A6125" s="1">
        <v>16963</v>
      </c>
      <c r="B6125" s="10" t="s">
        <v>3945</v>
      </c>
      <c r="C6125" s="9">
        <v>3633</v>
      </c>
      <c r="D6125" s="10" t="s">
        <v>4182</v>
      </c>
      <c r="E6125" s="11" t="s">
        <v>3924</v>
      </c>
      <c r="F6125" t="str">
        <f t="shared" si="475"/>
        <v>Shaver</v>
      </c>
      <c r="G6125" t="str">
        <f t="shared" si="476"/>
        <v>Shaver3633Pasadena</v>
      </c>
      <c r="H6125" t="s">
        <v>36981</v>
      </c>
      <c r="I6125" t="s">
        <v>28399</v>
      </c>
      <c r="J6125" t="str">
        <f t="shared" si="477"/>
        <v>E:\PropInv\MF</v>
      </c>
      <c r="K6125" s="103" t="str">
        <f>HYPERLINK("E:\PropInv\MF\Pasadena\Shaver S_3633_West Point Village_Pasadena_16963","Shaver S_3633_West Point Village_Pasadena_16963" )</f>
        <v>Shaver S_3633_West Point Village_Pasadena_16963</v>
      </c>
      <c r="L6125" s="104" t="s">
        <v>22253</v>
      </c>
      <c r="M6125" s="103" t="str">
        <f t="shared" si="478"/>
        <v>http://oconnordata.com/mlink/modules/profile/index.cfm?action=profile&amp;prop_id=16963</v>
      </c>
      <c r="N6125" s="1">
        <f t="shared" si="479"/>
        <v>16963</v>
      </c>
    </row>
    <row r="6126" spans="1:14" x14ac:dyDescent="0.3">
      <c r="A6126" s="1">
        <v>16964</v>
      </c>
      <c r="B6126" s="10" t="s">
        <v>4188</v>
      </c>
      <c r="C6126" s="9">
        <v>103</v>
      </c>
      <c r="D6126" s="10" t="s">
        <v>9214</v>
      </c>
      <c r="E6126" s="11" t="s">
        <v>1657</v>
      </c>
      <c r="F6126" t="str">
        <f t="shared" si="475"/>
        <v>Edgebrook</v>
      </c>
      <c r="G6126" t="str">
        <f t="shared" si="476"/>
        <v>Edgebrook103Houston</v>
      </c>
      <c r="H6126" t="s">
        <v>36982</v>
      </c>
      <c r="I6126" t="s">
        <v>28400</v>
      </c>
      <c r="J6126" t="str">
        <f t="shared" si="477"/>
        <v>E:\PropInv\MF</v>
      </c>
      <c r="K6126" s="103" t="str">
        <f>HYPERLINK("E:\PropInv\MF\Houston\Edgebrook Dr E_103_Edgebrook II_Houston_16964","Edgebrook Dr E_103_Edgebrook II_Houston_16964" )</f>
        <v>Edgebrook Dr E_103_Edgebrook II_Houston_16964</v>
      </c>
      <c r="L6126" s="104" t="s">
        <v>22253</v>
      </c>
      <c r="M6126" s="103" t="str">
        <f t="shared" si="478"/>
        <v>http://oconnordata.com/mlink/modules/profile/index.cfm?action=profile&amp;prop_id=16964</v>
      </c>
      <c r="N6126" s="1">
        <f t="shared" si="479"/>
        <v>16964</v>
      </c>
    </row>
    <row r="6127" spans="1:14" x14ac:dyDescent="0.3">
      <c r="A6127" s="1">
        <v>16966</v>
      </c>
      <c r="B6127" s="7" t="s">
        <v>4443</v>
      </c>
      <c r="C6127" s="12">
        <v>100</v>
      </c>
      <c r="D6127" s="7" t="s">
        <v>9215</v>
      </c>
      <c r="E6127" s="13" t="s">
        <v>4442</v>
      </c>
      <c r="F6127" t="str">
        <f t="shared" si="475"/>
        <v>Garland</v>
      </c>
      <c r="G6127" t="str">
        <f t="shared" si="476"/>
        <v>Garland100Lake Jackson</v>
      </c>
      <c r="H6127" t="s">
        <v>36983</v>
      </c>
      <c r="I6127" t="s">
        <v>28401</v>
      </c>
      <c r="J6127" t="str">
        <f t="shared" si="477"/>
        <v>E:\PropInv\MF</v>
      </c>
      <c r="K6127" s="103" t="str">
        <f>HYPERLINK("E:\PropInv\MF\Lake Jackson\Garland Dr_100_Lake Jackson Manor_Lake Jackson_16966","Garland Dr_100_Lake Jackson Manor_Lake Jackson_16966" )</f>
        <v>Garland Dr_100_Lake Jackson Manor_Lake Jackson_16966</v>
      </c>
      <c r="L6127" s="104" t="s">
        <v>22253</v>
      </c>
      <c r="M6127" s="103" t="str">
        <f t="shared" si="478"/>
        <v>http://oconnordata.com/mlink/modules/profile/index.cfm?action=profile&amp;prop_id=16966</v>
      </c>
      <c r="N6127" s="1">
        <f t="shared" si="479"/>
        <v>16966</v>
      </c>
    </row>
    <row r="6128" spans="1:14" x14ac:dyDescent="0.3">
      <c r="A6128" s="1">
        <v>16968</v>
      </c>
      <c r="B6128" s="7" t="s">
        <v>3269</v>
      </c>
      <c r="C6128" s="12">
        <v>6033</v>
      </c>
      <c r="D6128" s="7" t="s">
        <v>9216</v>
      </c>
      <c r="E6128" s="13" t="s">
        <v>2609</v>
      </c>
      <c r="F6128" t="str">
        <f t="shared" si="475"/>
        <v>Garth</v>
      </c>
      <c r="G6128" t="str">
        <f t="shared" si="476"/>
        <v>Garth6033Baytown</v>
      </c>
      <c r="H6128" t="s">
        <v>36984</v>
      </c>
      <c r="I6128" t="s">
        <v>28402</v>
      </c>
      <c r="J6128" t="str">
        <f t="shared" si="477"/>
        <v>E:\PropInv\MF</v>
      </c>
      <c r="K6128" s="103" t="str">
        <f>HYPERLINK("E:\PropInv\MF\Baytown\Garth Rd_6033_Rosemont at Baytown_Baytown_16968","Garth Rd_6033_Rosemont at Baytown_Baytown_16968" )</f>
        <v>Garth Rd_6033_Rosemont at Baytown_Baytown_16968</v>
      </c>
      <c r="L6128" s="104" t="s">
        <v>22253</v>
      </c>
      <c r="M6128" s="103" t="str">
        <f t="shared" si="478"/>
        <v>http://oconnordata.com/mlink/modules/profile/index.cfm?action=profile&amp;prop_id=16968</v>
      </c>
      <c r="N6128" s="1">
        <f t="shared" si="479"/>
        <v>16968</v>
      </c>
    </row>
    <row r="6129" spans="1:14" x14ac:dyDescent="0.3">
      <c r="A6129" s="1">
        <v>16969</v>
      </c>
      <c r="B6129" s="7" t="s">
        <v>9217</v>
      </c>
      <c r="C6129" s="12">
        <v>11800</v>
      </c>
      <c r="D6129" s="7" t="s">
        <v>9218</v>
      </c>
      <c r="E6129" s="13" t="s">
        <v>1657</v>
      </c>
      <c r="F6129" t="str">
        <f t="shared" si="475"/>
        <v>City</v>
      </c>
      <c r="G6129" t="str">
        <f t="shared" si="476"/>
        <v>City11800Houston</v>
      </c>
      <c r="H6129" t="s">
        <v>36985</v>
      </c>
      <c r="I6129" t="s">
        <v>28403</v>
      </c>
      <c r="J6129" t="str">
        <f t="shared" si="477"/>
        <v>E:\PropInv\MF</v>
      </c>
      <c r="K6129" s="103" t="str">
        <f>HYPERLINK("E:\PropInv\MF\Houston\City Park Central Ln_11800_Stonebridge at City Park_Houston_16969","City Park Central Ln_11800_Stonebridge at City Park_Houston_16969" )</f>
        <v>City Park Central Ln_11800_Stonebridge at City Park_Houston_16969</v>
      </c>
      <c r="L6129" s="104" t="s">
        <v>22253</v>
      </c>
      <c r="M6129" s="103" t="str">
        <f t="shared" si="478"/>
        <v>http://oconnordata.com/mlink/modules/profile/index.cfm?action=profile&amp;prop_id=16969</v>
      </c>
      <c r="N6129" s="1">
        <f t="shared" si="479"/>
        <v>16969</v>
      </c>
    </row>
    <row r="6130" spans="1:14" x14ac:dyDescent="0.3">
      <c r="A6130" s="1">
        <v>16970</v>
      </c>
      <c r="B6130" s="7" t="s">
        <v>9217</v>
      </c>
      <c r="C6130" s="12">
        <v>11900</v>
      </c>
      <c r="D6130" s="7" t="s">
        <v>9219</v>
      </c>
      <c r="E6130" s="13" t="s">
        <v>1657</v>
      </c>
      <c r="F6130" t="str">
        <f t="shared" si="475"/>
        <v>City</v>
      </c>
      <c r="G6130" t="str">
        <f t="shared" si="476"/>
        <v>City11900Houston</v>
      </c>
      <c r="H6130" t="s">
        <v>36986</v>
      </c>
      <c r="I6130" t="s">
        <v>28404</v>
      </c>
      <c r="J6130" t="str">
        <f t="shared" si="477"/>
        <v>E:\PropInv\MF</v>
      </c>
      <c r="K6130" s="103" t="str">
        <f>HYPERLINK("E:\PropInv\MF\Houston\City Park Central Ln_11900_Ranch at City Park_Houston_16970","City Park Central Ln_11900_Ranch at City Park_Houston_16970" )</f>
        <v>City Park Central Ln_11900_Ranch at City Park_Houston_16970</v>
      </c>
      <c r="L6130" s="104" t="s">
        <v>22253</v>
      </c>
      <c r="M6130" s="103" t="str">
        <f t="shared" si="478"/>
        <v>http://oconnordata.com/mlink/modules/profile/index.cfm?action=profile&amp;prop_id=16970</v>
      </c>
      <c r="N6130" s="1">
        <f t="shared" si="479"/>
        <v>16970</v>
      </c>
    </row>
    <row r="6131" spans="1:14" x14ac:dyDescent="0.3">
      <c r="A6131" s="1">
        <v>16971</v>
      </c>
      <c r="B6131" s="7" t="s">
        <v>4247</v>
      </c>
      <c r="C6131" s="12">
        <v>696</v>
      </c>
      <c r="D6131" s="7" t="s">
        <v>9220</v>
      </c>
      <c r="E6131" s="13" t="s">
        <v>4249</v>
      </c>
      <c r="F6131" t="str">
        <f t="shared" si="475"/>
        <v>Pineloch</v>
      </c>
      <c r="G6131" t="str">
        <f t="shared" si="476"/>
        <v>Pineloch696Webster</v>
      </c>
      <c r="H6131" t="s">
        <v>36987</v>
      </c>
      <c r="I6131" t="s">
        <v>28405</v>
      </c>
      <c r="J6131" t="str">
        <f t="shared" si="477"/>
        <v>E:\PropInv\MF</v>
      </c>
      <c r="K6131" s="103" t="str">
        <f>HYPERLINK("E:\PropInv\MF\Webster\Pineloch_696_Green Oaks II_Webster_16971","Pineloch_696_Green Oaks II_Webster_16971" )</f>
        <v>Pineloch_696_Green Oaks II_Webster_16971</v>
      </c>
      <c r="L6131" s="104" t="s">
        <v>22253</v>
      </c>
      <c r="M6131" s="103" t="str">
        <f t="shared" si="478"/>
        <v>http://oconnordata.com/mlink/modules/profile/index.cfm?action=profile&amp;prop_id=16971</v>
      </c>
      <c r="N6131" s="1">
        <f t="shared" si="479"/>
        <v>16971</v>
      </c>
    </row>
    <row r="6132" spans="1:14" x14ac:dyDescent="0.3">
      <c r="A6132" s="1">
        <v>16972</v>
      </c>
      <c r="B6132" s="7" t="s">
        <v>9221</v>
      </c>
      <c r="C6132" s="12">
        <v>1277</v>
      </c>
      <c r="D6132" s="7" t="s">
        <v>9222</v>
      </c>
      <c r="E6132" s="13" t="s">
        <v>4402</v>
      </c>
      <c r="F6132" t="str">
        <f t="shared" si="475"/>
        <v>Dickinson</v>
      </c>
      <c r="G6132" t="str">
        <f t="shared" si="476"/>
        <v>Dickinson1277Alvin</v>
      </c>
      <c r="H6132" t="s">
        <v>36988</v>
      </c>
      <c r="I6132" t="s">
        <v>28406</v>
      </c>
      <c r="J6132" t="str">
        <f t="shared" si="477"/>
        <v>E:\PropInv\MF</v>
      </c>
      <c r="K6132" s="103" t="str">
        <f>HYPERLINK("E:\PropInv\MF\Alvin\Dickinson Rd_1277_Stonegate at Alvin_Alvin_16972","Dickinson Rd_1277_Stonegate at Alvin_Alvin_16972" )</f>
        <v>Dickinson Rd_1277_Stonegate at Alvin_Alvin_16972</v>
      </c>
      <c r="L6132" s="104" t="s">
        <v>22253</v>
      </c>
      <c r="M6132" s="103" t="str">
        <f t="shared" si="478"/>
        <v>http://oconnordata.com/mlink/modules/profile/index.cfm?action=profile&amp;prop_id=16972</v>
      </c>
      <c r="N6132" s="1">
        <f t="shared" si="479"/>
        <v>16972</v>
      </c>
    </row>
    <row r="6133" spans="1:14" x14ac:dyDescent="0.3">
      <c r="A6133" s="1">
        <v>16975</v>
      </c>
      <c r="B6133" s="7" t="s">
        <v>9223</v>
      </c>
      <c r="C6133" s="12">
        <v>5045</v>
      </c>
      <c r="D6133" s="7" t="s">
        <v>4587</v>
      </c>
      <c r="E6133" s="13" t="s">
        <v>3924</v>
      </c>
      <c r="F6133" t="str">
        <f t="shared" si="475"/>
        <v>Crenshaw</v>
      </c>
      <c r="G6133" t="str">
        <f t="shared" si="476"/>
        <v>Crenshaw5045Pasadena</v>
      </c>
      <c r="H6133" t="s">
        <v>36989</v>
      </c>
      <c r="I6133" t="s">
        <v>28407</v>
      </c>
      <c r="J6133" t="str">
        <f t="shared" si="477"/>
        <v>E:\PropInv\MF</v>
      </c>
      <c r="K6133" s="103" t="str">
        <f>HYPERLINK("E:\PropInv\MF\Pasadena\Crenshaw Rd_5045_The Broadwater_Pasadena_16975","Crenshaw Rd_5045_The Broadwater_Pasadena_16975" )</f>
        <v>Crenshaw Rd_5045_The Broadwater_Pasadena_16975</v>
      </c>
      <c r="L6133" s="104" t="s">
        <v>22253</v>
      </c>
      <c r="M6133" s="103" t="str">
        <f t="shared" si="478"/>
        <v>http://oconnordata.com/mlink/modules/profile/index.cfm?action=profile&amp;prop_id=16975</v>
      </c>
      <c r="N6133" s="1">
        <f t="shared" si="479"/>
        <v>16975</v>
      </c>
    </row>
    <row r="6134" spans="1:14" x14ac:dyDescent="0.3">
      <c r="A6134" s="1">
        <v>16977</v>
      </c>
      <c r="B6134" s="19" t="s">
        <v>3782</v>
      </c>
      <c r="C6134" s="18">
        <v>16</v>
      </c>
      <c r="D6134" s="19" t="s">
        <v>9224</v>
      </c>
      <c r="E6134" s="20" t="s">
        <v>1657</v>
      </c>
      <c r="F6134" t="str">
        <f t="shared" si="475"/>
        <v>Charleston</v>
      </c>
      <c r="G6134" t="str">
        <f t="shared" si="476"/>
        <v>Charleston16Houston</v>
      </c>
      <c r="H6134" t="s">
        <v>36990</v>
      </c>
      <c r="I6134" t="s">
        <v>28408</v>
      </c>
      <c r="J6134" t="str">
        <f t="shared" si="477"/>
        <v>E:\PropInv\MF</v>
      </c>
      <c r="K6134" s="103" t="str">
        <f>HYPERLINK("E:\PropInv\MF\Houston\Charleston Park_16_Oaks of Charleston Apts (B)_Houston_16977","Charleston Park_16_Oaks of Charleston Apts (B)_Houston_16977" )</f>
        <v>Charleston Park_16_Oaks of Charleston Apts (B)_Houston_16977</v>
      </c>
      <c r="L6134" s="104" t="s">
        <v>22253</v>
      </c>
      <c r="M6134" s="103" t="str">
        <f t="shared" si="478"/>
        <v>http://oconnordata.com/mlink/modules/profile/index.cfm?action=profile&amp;prop_id=16977</v>
      </c>
      <c r="N6134" s="1">
        <f t="shared" si="479"/>
        <v>16977</v>
      </c>
    </row>
    <row r="6135" spans="1:14" x14ac:dyDescent="0.3">
      <c r="A6135" s="1">
        <v>16979</v>
      </c>
      <c r="B6135" s="7" t="s">
        <v>3756</v>
      </c>
      <c r="C6135" s="12">
        <v>3629</v>
      </c>
      <c r="D6135" s="7" t="s">
        <v>9225</v>
      </c>
      <c r="E6135" s="13" t="s">
        <v>1657</v>
      </c>
      <c r="F6135" t="str">
        <f t="shared" si="475"/>
        <v>MacGregor</v>
      </c>
      <c r="G6135" t="str">
        <f t="shared" si="476"/>
        <v>MacGregor3629Houston</v>
      </c>
      <c r="H6135" t="s">
        <v>36991</v>
      </c>
      <c r="I6135" t="s">
        <v>28409</v>
      </c>
      <c r="J6135" t="str">
        <f t="shared" si="477"/>
        <v>E:\PropInv\MF</v>
      </c>
      <c r="K6135" s="103" t="str">
        <f>HYPERLINK("E:\PropInv\MF\Houston\MacGregor Way N_3629_MacGregor Gardens_Houston_16979","MacGregor Way N_3629_MacGregor Gardens_Houston_16979" )</f>
        <v>MacGregor Way N_3629_MacGregor Gardens_Houston_16979</v>
      </c>
      <c r="L6135" s="104" t="s">
        <v>22253</v>
      </c>
      <c r="M6135" s="103" t="str">
        <f t="shared" si="478"/>
        <v>http://oconnordata.com/mlink/modules/profile/index.cfm?action=profile&amp;prop_id=16979</v>
      </c>
      <c r="N6135" s="1">
        <f t="shared" si="479"/>
        <v>16979</v>
      </c>
    </row>
    <row r="6136" spans="1:14" x14ac:dyDescent="0.3">
      <c r="A6136" s="1">
        <v>16980</v>
      </c>
      <c r="B6136" s="7" t="s">
        <v>4108</v>
      </c>
      <c r="C6136" s="12">
        <v>5250</v>
      </c>
      <c r="D6136" s="7" t="s">
        <v>9226</v>
      </c>
      <c r="E6136" s="13" t="s">
        <v>1657</v>
      </c>
      <c r="F6136" t="str">
        <f t="shared" si="475"/>
        <v>Scott</v>
      </c>
      <c r="G6136" t="str">
        <f t="shared" si="476"/>
        <v>Scott5250Houston</v>
      </c>
      <c r="H6136" t="s">
        <v>36992</v>
      </c>
      <c r="I6136" t="s">
        <v>28410</v>
      </c>
      <c r="J6136" t="str">
        <f t="shared" si="477"/>
        <v>E:\PropInv\MF</v>
      </c>
      <c r="K6136" s="103" t="str">
        <f>HYPERLINK("E:\PropInv\MF\Houston\Scott St_5250_WALIPP Seniors Residence_Houston_16980","Scott St_5250_WALIPP Seniors Residence_Houston_16980" )</f>
        <v>Scott St_5250_WALIPP Seniors Residence_Houston_16980</v>
      </c>
      <c r="L6136" s="104" t="s">
        <v>22253</v>
      </c>
      <c r="M6136" s="103" t="str">
        <f t="shared" si="478"/>
        <v>http://oconnordata.com/mlink/modules/profile/index.cfm?action=profile&amp;prop_id=16980</v>
      </c>
      <c r="N6136" s="1">
        <f t="shared" si="479"/>
        <v>16980</v>
      </c>
    </row>
    <row r="6137" spans="1:14" x14ac:dyDescent="0.3">
      <c r="A6137" s="1">
        <v>16981</v>
      </c>
      <c r="B6137" s="7" t="s">
        <v>4110</v>
      </c>
      <c r="C6137" s="12">
        <v>4600</v>
      </c>
      <c r="D6137" s="7" t="s">
        <v>9227</v>
      </c>
      <c r="E6137" s="13" t="s">
        <v>1657</v>
      </c>
      <c r="F6137" t="str">
        <f t="shared" si="475"/>
        <v>Cullen</v>
      </c>
      <c r="G6137" t="str">
        <f t="shared" si="476"/>
        <v>Cullen4600Houston</v>
      </c>
      <c r="H6137" t="s">
        <v>36993</v>
      </c>
      <c r="I6137" t="s">
        <v>28411</v>
      </c>
      <c r="J6137" t="str">
        <f t="shared" si="477"/>
        <v>E:\PropInv\MF</v>
      </c>
      <c r="K6137" s="103" t="str">
        <f>HYPERLINK("E:\PropInv\MF\Houston\Cullen Blvd_4600_Cullen Oaks I_Houston_16981","Cullen Blvd_4600_Cullen Oaks I_Houston_16981" )</f>
        <v>Cullen Blvd_4600_Cullen Oaks I_Houston_16981</v>
      </c>
      <c r="L6137" s="104" t="s">
        <v>22253</v>
      </c>
      <c r="M6137" s="103" t="str">
        <f t="shared" si="478"/>
        <v>http://oconnordata.com/mlink/modules/profile/index.cfm?action=profile&amp;prop_id=16981</v>
      </c>
      <c r="N6137" s="1">
        <f t="shared" si="479"/>
        <v>16981</v>
      </c>
    </row>
    <row r="6138" spans="1:14" x14ac:dyDescent="0.3">
      <c r="A6138" s="1">
        <v>16982</v>
      </c>
      <c r="B6138" s="7" t="s">
        <v>4110</v>
      </c>
      <c r="C6138" s="12">
        <v>4600</v>
      </c>
      <c r="D6138" s="7" t="s">
        <v>9228</v>
      </c>
      <c r="E6138" s="13" t="s">
        <v>1657</v>
      </c>
      <c r="F6138" t="str">
        <f t="shared" si="475"/>
        <v>Cullen</v>
      </c>
      <c r="G6138" t="str">
        <f t="shared" si="476"/>
        <v>Cullen4600Houston</v>
      </c>
      <c r="H6138" t="s">
        <v>36994</v>
      </c>
      <c r="I6138" t="s">
        <v>28412</v>
      </c>
      <c r="J6138" t="str">
        <f t="shared" si="477"/>
        <v>E:\PropInv\MF</v>
      </c>
      <c r="K6138" s="103" t="str">
        <f>HYPERLINK("E:\PropInv\MF\Houston\Cullen Blvd_4600_Cullen Oaks II_Houston_16982","Cullen Blvd_4600_Cullen Oaks II_Houston_16982" )</f>
        <v>Cullen Blvd_4600_Cullen Oaks II_Houston_16982</v>
      </c>
      <c r="L6138" s="104" t="s">
        <v>22253</v>
      </c>
      <c r="M6138" s="103" t="str">
        <f t="shared" si="478"/>
        <v>http://oconnordata.com/mlink/modules/profile/index.cfm?action=profile&amp;prop_id=16982</v>
      </c>
      <c r="N6138" s="1">
        <f t="shared" si="479"/>
        <v>16982</v>
      </c>
    </row>
    <row r="6139" spans="1:14" x14ac:dyDescent="0.3">
      <c r="A6139" s="1">
        <v>16984</v>
      </c>
      <c r="B6139" s="7" t="s">
        <v>9229</v>
      </c>
      <c r="C6139" s="12">
        <v>3230</v>
      </c>
      <c r="D6139" s="7" t="s">
        <v>9230</v>
      </c>
      <c r="E6139" s="13" t="s">
        <v>1657</v>
      </c>
      <c r="F6139" t="str">
        <f t="shared" si="475"/>
        <v>Boynton</v>
      </c>
      <c r="G6139" t="str">
        <f t="shared" si="476"/>
        <v>Boynton3230Houston</v>
      </c>
      <c r="H6139" t="s">
        <v>36995</v>
      </c>
      <c r="I6139" t="s">
        <v>28413</v>
      </c>
      <c r="J6139" t="str">
        <f t="shared" si="477"/>
        <v>E:\PropInv\MF</v>
      </c>
      <c r="K6139" s="103" t="str">
        <f>HYPERLINK("E:\PropInv\MF\Houston\Boynton_3230_Willow Glen Homes_Houston_16984","Boynton_3230_Willow Glen Homes_Houston_16984" )</f>
        <v>Boynton_3230_Willow Glen Homes_Houston_16984</v>
      </c>
      <c r="L6139" s="104" t="s">
        <v>22253</v>
      </c>
      <c r="M6139" s="103" t="str">
        <f t="shared" si="478"/>
        <v>http://oconnordata.com/mlink/modules/profile/index.cfm?action=profile&amp;prop_id=16984</v>
      </c>
      <c r="N6139" s="1">
        <f t="shared" si="479"/>
        <v>16984</v>
      </c>
    </row>
    <row r="6140" spans="1:14" x14ac:dyDescent="0.3">
      <c r="A6140" s="1">
        <v>16985</v>
      </c>
      <c r="B6140" s="7" t="s">
        <v>9231</v>
      </c>
      <c r="C6140" s="12">
        <v>2627</v>
      </c>
      <c r="D6140" s="7" t="s">
        <v>9232</v>
      </c>
      <c r="E6140" s="13" t="s">
        <v>3924</v>
      </c>
      <c r="F6140" t="str">
        <f t="shared" si="475"/>
        <v>Cherrybrook</v>
      </c>
      <c r="G6140" t="str">
        <f t="shared" si="476"/>
        <v>Cherrybrook2627Pasadena</v>
      </c>
      <c r="H6140" t="s">
        <v>36996</v>
      </c>
      <c r="I6140" t="s">
        <v>28414</v>
      </c>
      <c r="J6140" t="str">
        <f t="shared" si="477"/>
        <v>E:\PropInv\MF</v>
      </c>
      <c r="K6140" s="103" t="str">
        <f>HYPERLINK("E:\PropInv\MF\Pasadena\Cherrybrook Ln_2627_Evangeline Booth Garden_Pasadena_16985","Cherrybrook Ln_2627_Evangeline Booth Garden_Pasadena_16985" )</f>
        <v>Cherrybrook Ln_2627_Evangeline Booth Garden_Pasadena_16985</v>
      </c>
      <c r="L6140" s="104" t="s">
        <v>22253</v>
      </c>
      <c r="M6140" s="103" t="str">
        <f t="shared" si="478"/>
        <v>http://oconnordata.com/mlink/modules/profile/index.cfm?action=profile&amp;prop_id=16985</v>
      </c>
      <c r="N6140" s="1">
        <f t="shared" si="479"/>
        <v>16985</v>
      </c>
    </row>
    <row r="6141" spans="1:14" x14ac:dyDescent="0.3">
      <c r="A6141" s="1">
        <v>16986</v>
      </c>
      <c r="B6141" s="7" t="s">
        <v>4000</v>
      </c>
      <c r="C6141" s="12">
        <v>2122</v>
      </c>
      <c r="D6141" s="7" t="s">
        <v>9233</v>
      </c>
      <c r="E6141" s="13" t="s">
        <v>3924</v>
      </c>
      <c r="F6141" t="str">
        <f t="shared" si="475"/>
        <v>Sam</v>
      </c>
      <c r="G6141" t="str">
        <f t="shared" si="476"/>
        <v>Sam2122Pasadena</v>
      </c>
      <c r="H6141" t="s">
        <v>36997</v>
      </c>
      <c r="I6141" t="s">
        <v>28415</v>
      </c>
      <c r="J6141" t="str">
        <f t="shared" si="477"/>
        <v>E:\PropInv\MF</v>
      </c>
      <c r="K6141" s="103" t="str">
        <f>HYPERLINK("E:\PropInv\MF\Pasadena\Sam Houston Pkwy S E_2122_Primrose at Pasadena_Pasadena_16986","Sam Houston Pkwy S E_2122_Primrose at Pasadena_Pasadena_16986" )</f>
        <v>Sam Houston Pkwy S E_2122_Primrose at Pasadena_Pasadena_16986</v>
      </c>
      <c r="L6141" s="104" t="s">
        <v>22253</v>
      </c>
      <c r="M6141" s="103" t="str">
        <f t="shared" si="478"/>
        <v>http://oconnordata.com/mlink/modules/profile/index.cfm?action=profile&amp;prop_id=16986</v>
      </c>
      <c r="N6141" s="1">
        <f t="shared" si="479"/>
        <v>16986</v>
      </c>
    </row>
    <row r="6142" spans="1:14" x14ac:dyDescent="0.3">
      <c r="A6142" s="1">
        <v>16987</v>
      </c>
      <c r="B6142" s="7" t="s">
        <v>4032</v>
      </c>
      <c r="C6142" s="12">
        <v>8100</v>
      </c>
      <c r="D6142" s="7" t="s">
        <v>9234</v>
      </c>
      <c r="E6142" s="13" t="s">
        <v>1657</v>
      </c>
      <c r="F6142" t="str">
        <f t="shared" si="475"/>
        <v>Airport</v>
      </c>
      <c r="G6142" t="str">
        <f t="shared" si="476"/>
        <v>Airport8100Houston</v>
      </c>
      <c r="H6142" t="s">
        <v>36998</v>
      </c>
      <c r="I6142" t="s">
        <v>28416</v>
      </c>
      <c r="J6142" t="str">
        <f t="shared" si="477"/>
        <v>E:\PropInv\MF</v>
      </c>
      <c r="K6142" s="103" t="str">
        <f>HYPERLINK("E:\PropInv\MF\Houston\Airport Blvd W_8100_The Crossings at Bradford Place I_Houston_16987","Airport Blvd W_8100_The Crossings at Bradford Place I_Houston_16987" )</f>
        <v>Airport Blvd W_8100_The Crossings at Bradford Place I_Houston_16987</v>
      </c>
      <c r="L6142" s="104" t="s">
        <v>22253</v>
      </c>
      <c r="M6142" s="103" t="str">
        <f t="shared" si="478"/>
        <v>http://oconnordata.com/mlink/modules/profile/index.cfm?action=profile&amp;prop_id=16987</v>
      </c>
      <c r="N6142" s="1">
        <f t="shared" si="479"/>
        <v>16987</v>
      </c>
    </row>
    <row r="6143" spans="1:14" x14ac:dyDescent="0.3">
      <c r="A6143" s="1">
        <v>16988</v>
      </c>
      <c r="B6143" s="7" t="s">
        <v>3688</v>
      </c>
      <c r="C6143" s="12">
        <v>4620</v>
      </c>
      <c r="D6143" s="7" t="s">
        <v>9235</v>
      </c>
      <c r="E6143" s="13" t="s">
        <v>1657</v>
      </c>
      <c r="F6143" t="str">
        <f t="shared" si="475"/>
        <v>Braeswood</v>
      </c>
      <c r="G6143" t="str">
        <f t="shared" si="476"/>
        <v>Braeswood4620Houston</v>
      </c>
      <c r="H6143" t="s">
        <v>36999</v>
      </c>
      <c r="I6143" t="s">
        <v>28417</v>
      </c>
      <c r="J6143" t="str">
        <f t="shared" si="477"/>
        <v>E:\PropInv\MF</v>
      </c>
      <c r="K6143" s="103" t="str">
        <f>HYPERLINK("E:\PropInv\MF\Houston\Braeswood N_4620_The Halstead Tower_Houston_16988","Braeswood N_4620_The Halstead Tower_Houston_16988" )</f>
        <v>Braeswood N_4620_The Halstead Tower_Houston_16988</v>
      </c>
      <c r="L6143" s="104" t="s">
        <v>22253</v>
      </c>
      <c r="M6143" s="103" t="str">
        <f t="shared" si="478"/>
        <v>http://oconnordata.com/mlink/modules/profile/index.cfm?action=profile&amp;prop_id=16988</v>
      </c>
      <c r="N6143" s="1">
        <f t="shared" si="479"/>
        <v>16988</v>
      </c>
    </row>
    <row r="6144" spans="1:14" x14ac:dyDescent="0.3">
      <c r="A6144" s="1">
        <v>16990</v>
      </c>
      <c r="B6144" s="7" t="s">
        <v>3670</v>
      </c>
      <c r="C6144" s="12">
        <v>5454</v>
      </c>
      <c r="D6144" s="7" t="s">
        <v>9236</v>
      </c>
      <c r="E6144" s="13" t="s">
        <v>1657</v>
      </c>
      <c r="F6144" t="str">
        <f t="shared" si="475"/>
        <v>Braesvalley</v>
      </c>
      <c r="G6144" t="str">
        <f t="shared" si="476"/>
        <v>Braesvalley5454Houston</v>
      </c>
      <c r="H6144" t="s">
        <v>37000</v>
      </c>
      <c r="I6144" t="s">
        <v>28418</v>
      </c>
      <c r="J6144" t="str">
        <f t="shared" si="477"/>
        <v>E:\PropInv\MF</v>
      </c>
      <c r="K6144" s="103" t="str">
        <f>HYPERLINK("E:\PropInv\MF\Houston\Braesvalley Dr_5454_Nob Hill North_Houston_16990","Braesvalley Dr_5454_Nob Hill North_Houston_16990" )</f>
        <v>Braesvalley Dr_5454_Nob Hill North_Houston_16990</v>
      </c>
      <c r="L6144" s="104" t="s">
        <v>22253</v>
      </c>
      <c r="M6144" s="103" t="str">
        <f t="shared" si="478"/>
        <v>http://oconnordata.com/mlink/modules/profile/index.cfm?action=profile&amp;prop_id=16990</v>
      </c>
      <c r="N6144" s="1">
        <f t="shared" si="479"/>
        <v>16990</v>
      </c>
    </row>
    <row r="6145" spans="1:14" x14ac:dyDescent="0.3">
      <c r="A6145" s="1">
        <v>16991</v>
      </c>
      <c r="B6145" s="7" t="s">
        <v>3525</v>
      </c>
      <c r="C6145" s="12">
        <v>9000</v>
      </c>
      <c r="D6145" s="7" t="s">
        <v>9237</v>
      </c>
      <c r="E6145" s="13" t="s">
        <v>1657</v>
      </c>
      <c r="F6145" t="str">
        <f t="shared" si="475"/>
        <v>Fondren</v>
      </c>
      <c r="G6145" t="str">
        <f t="shared" si="476"/>
        <v>Fondren9000Houston</v>
      </c>
      <c r="H6145" t="s">
        <v>37001</v>
      </c>
      <c r="I6145" t="s">
        <v>28419</v>
      </c>
      <c r="J6145" t="str">
        <f t="shared" si="477"/>
        <v>E:\PropInv\MF</v>
      </c>
      <c r="K6145" s="103" t="str">
        <f>HYPERLINK("E:\PropInv\MF\Houston\Fondren Rd_9000_Brickhaven III_Houston_16991","Fondren Rd_9000_Brickhaven III_Houston_16991" )</f>
        <v>Fondren Rd_9000_Brickhaven III_Houston_16991</v>
      </c>
      <c r="L6145" s="104" t="s">
        <v>22253</v>
      </c>
      <c r="M6145" s="103" t="str">
        <f t="shared" si="478"/>
        <v>http://oconnordata.com/mlink/modules/profile/index.cfm?action=profile&amp;prop_id=16991</v>
      </c>
      <c r="N6145" s="1">
        <f t="shared" si="479"/>
        <v>16991</v>
      </c>
    </row>
    <row r="6146" spans="1:14" x14ac:dyDescent="0.3">
      <c r="A6146" s="1">
        <v>16992</v>
      </c>
      <c r="B6146" s="7" t="s">
        <v>3714</v>
      </c>
      <c r="C6146" s="12">
        <v>7300</v>
      </c>
      <c r="D6146" s="7" t="s">
        <v>9238</v>
      </c>
      <c r="E6146" s="13" t="s">
        <v>1657</v>
      </c>
      <c r="F6146" t="str">
        <f t="shared" ref="F6146:F6209" si="480">IFERROR(LEFT(B6146,FIND(" ",B6146)-1),B6146)</f>
        <v>Brompton</v>
      </c>
      <c r="G6146" t="str">
        <f t="shared" ref="G6146:G6209" si="481">F6146&amp;C6146&amp;E6146</f>
        <v>Brompton7300Houston</v>
      </c>
      <c r="H6146" t="s">
        <v>37002</v>
      </c>
      <c r="I6146" t="s">
        <v>28420</v>
      </c>
      <c r="J6146" t="str">
        <f t="shared" ref="J6146:J6209" si="482">IF(L6146="TX",Folder_Path,Folder_Path&amp;"\State_"&amp;L6146)</f>
        <v>E:\PropInv\MF</v>
      </c>
      <c r="K6146" s="103" t="str">
        <f>HYPERLINK("E:\PropInv\MF\Houston\Brompton_7300_Camden Vanderbilt II_Houston_16992","Brompton_7300_Camden Vanderbilt II_Houston_16992" )</f>
        <v>Brompton_7300_Camden Vanderbilt II_Houston_16992</v>
      </c>
      <c r="L6146" s="104" t="s">
        <v>22253</v>
      </c>
      <c r="M6146" s="103" t="str">
        <f t="shared" ref="M6146:M6209" si="483">HYPERLINK("http://oconnordata.com/mlink/modules/profile/index.cfm?action=profile&amp;prop_id="&amp;A6146)</f>
        <v>http://oconnordata.com/mlink/modules/profile/index.cfm?action=profile&amp;prop_id=16992</v>
      </c>
      <c r="N6146" s="1">
        <f t="shared" ref="N6146:N6209" si="484">IF(LEN(A6146)=1,"0000"&amp;A6146,IF(LEN(A6146)=2,"000"&amp;A6146,IF(LEN(A6146)=3,"00"&amp;A6146,IF(LEN(A6146)=4,"0"&amp;A6146,IF(LEN(A6146)=5,IF(LEFT(A6146,1)="3",A6146+30000,A6146))))))</f>
        <v>16992</v>
      </c>
    </row>
    <row r="6147" spans="1:14" x14ac:dyDescent="0.3">
      <c r="A6147" s="1">
        <v>16993</v>
      </c>
      <c r="B6147" s="7" t="s">
        <v>3766</v>
      </c>
      <c r="C6147" s="12">
        <v>1885</v>
      </c>
      <c r="D6147" s="7" t="s">
        <v>9239</v>
      </c>
      <c r="E6147" s="13" t="s">
        <v>1657</v>
      </c>
      <c r="F6147" t="str">
        <f t="shared" si="480"/>
        <v>El</v>
      </c>
      <c r="G6147" t="str">
        <f t="shared" si="481"/>
        <v>El1885Houston</v>
      </c>
      <c r="H6147" t="s">
        <v>37003</v>
      </c>
      <c r="I6147" t="s">
        <v>28421</v>
      </c>
      <c r="J6147" t="str">
        <f t="shared" si="482"/>
        <v>E:\PropInv\MF</v>
      </c>
      <c r="K6147" s="103" t="str">
        <f>HYPERLINK("E:\PropInv\MF\Houston\El Paseo_1885_UT Houston_Houston_16993","El Paseo_1885_UT Houston_Houston_16993" )</f>
        <v>El Paseo_1885_UT Houston_Houston_16993</v>
      </c>
      <c r="L6147" s="104" t="s">
        <v>22253</v>
      </c>
      <c r="M6147" s="103" t="str">
        <f t="shared" si="483"/>
        <v>http://oconnordata.com/mlink/modules/profile/index.cfm?action=profile&amp;prop_id=16993</v>
      </c>
      <c r="N6147" s="1">
        <f t="shared" si="484"/>
        <v>16993</v>
      </c>
    </row>
    <row r="6148" spans="1:14" x14ac:dyDescent="0.3">
      <c r="A6148" s="1">
        <v>16995</v>
      </c>
      <c r="B6148" s="7" t="s">
        <v>4032</v>
      </c>
      <c r="C6148" s="12" t="s">
        <v>9240</v>
      </c>
      <c r="D6148" s="7" t="s">
        <v>9241</v>
      </c>
      <c r="E6148" s="13" t="s">
        <v>1657</v>
      </c>
      <c r="F6148" t="str">
        <f t="shared" si="480"/>
        <v>Airport</v>
      </c>
      <c r="G6148" t="str">
        <f t="shared" si="481"/>
        <v>Airport8030-8040Houston</v>
      </c>
      <c r="H6148" t="s">
        <v>37004</v>
      </c>
      <c r="I6148" t="s">
        <v>28422</v>
      </c>
      <c r="J6148" t="str">
        <f t="shared" si="482"/>
        <v>E:\PropInv\MF</v>
      </c>
      <c r="K6148" s="103" t="str">
        <f>HYPERLINK("E:\PropInv\MF\Houston\Airport Blvd W_8030-8040_The Crossings at Jackson Square_Houston_16995","Airport Blvd W_8030-8040_The Crossings at Jackson Square_Houston_16995" )</f>
        <v>Airport Blvd W_8030-8040_The Crossings at Jackson Square_Houston_16995</v>
      </c>
      <c r="L6148" s="104" t="s">
        <v>22253</v>
      </c>
      <c r="M6148" s="103" t="str">
        <f t="shared" si="483"/>
        <v>http://oconnordata.com/mlink/modules/profile/index.cfm?action=profile&amp;prop_id=16995</v>
      </c>
      <c r="N6148" s="1">
        <f t="shared" si="484"/>
        <v>16995</v>
      </c>
    </row>
    <row r="6149" spans="1:14" x14ac:dyDescent="0.3">
      <c r="A6149" s="1">
        <v>16996</v>
      </c>
      <c r="B6149" s="7" t="s">
        <v>9242</v>
      </c>
      <c r="C6149" s="12">
        <v>12660</v>
      </c>
      <c r="D6149" s="7" t="s">
        <v>9243</v>
      </c>
      <c r="E6149" s="13" t="s">
        <v>3428</v>
      </c>
      <c r="F6149" t="str">
        <f t="shared" si="480"/>
        <v>Stafford</v>
      </c>
      <c r="G6149" t="str">
        <f t="shared" si="481"/>
        <v>Stafford12660Stafford</v>
      </c>
      <c r="H6149" t="s">
        <v>37005</v>
      </c>
      <c r="I6149" t="s">
        <v>28423</v>
      </c>
      <c r="J6149" t="str">
        <f t="shared" si="482"/>
        <v>E:\PropInv\MF</v>
      </c>
      <c r="K6149" s="103" t="str">
        <f>HYPERLINK("E:\PropInv\MF\Stafford\Stafford Rd_12660_Madison on the Meadows_Stafford_16996","Stafford Rd_12660_Madison on the Meadows_Stafford_16996" )</f>
        <v>Stafford Rd_12660_Madison on the Meadows_Stafford_16996</v>
      </c>
      <c r="L6149" s="104" t="s">
        <v>22253</v>
      </c>
      <c r="M6149" s="103" t="str">
        <f t="shared" si="483"/>
        <v>http://oconnordata.com/mlink/modules/profile/index.cfm?action=profile&amp;prop_id=16996</v>
      </c>
      <c r="N6149" s="1">
        <f t="shared" si="484"/>
        <v>16996</v>
      </c>
    </row>
    <row r="6150" spans="1:14" x14ac:dyDescent="0.3">
      <c r="A6150" s="1">
        <v>16997</v>
      </c>
      <c r="B6150" s="7" t="s">
        <v>3975</v>
      </c>
      <c r="C6150" s="12">
        <v>101</v>
      </c>
      <c r="D6150" s="7" t="s">
        <v>9244</v>
      </c>
      <c r="E6150" s="13" t="s">
        <v>3960</v>
      </c>
      <c r="F6150" t="str">
        <f t="shared" si="480"/>
        <v>Allen</v>
      </c>
      <c r="G6150" t="str">
        <f t="shared" si="481"/>
        <v>Allen101South Houston</v>
      </c>
      <c r="H6150" t="s">
        <v>37006</v>
      </c>
      <c r="I6150" t="s">
        <v>28424</v>
      </c>
      <c r="J6150" t="str">
        <f t="shared" si="482"/>
        <v>E:\PropInv\MF</v>
      </c>
      <c r="K6150" s="103" t="str">
        <f>HYPERLINK("E:\PropInv\MF\South Houston\Allen Genoa S_101_Ashton Place I Apts_South Houston_16997","Allen Genoa S_101_Ashton Place I Apts_South Houston_16997" )</f>
        <v>Allen Genoa S_101_Ashton Place I Apts_South Houston_16997</v>
      </c>
      <c r="L6150" s="104" t="s">
        <v>22253</v>
      </c>
      <c r="M6150" s="103" t="str">
        <f t="shared" si="483"/>
        <v>http://oconnordata.com/mlink/modules/profile/index.cfm?action=profile&amp;prop_id=16997</v>
      </c>
      <c r="N6150" s="1">
        <f t="shared" si="484"/>
        <v>16997</v>
      </c>
    </row>
    <row r="6151" spans="1:14" x14ac:dyDescent="0.3">
      <c r="A6151" s="1">
        <v>16999</v>
      </c>
      <c r="B6151" s="19" t="s">
        <v>548</v>
      </c>
      <c r="C6151" s="18">
        <v>8351</v>
      </c>
      <c r="D6151" s="19" t="s">
        <v>9245</v>
      </c>
      <c r="E6151" s="20" t="s">
        <v>1657</v>
      </c>
      <c r="F6151" t="str">
        <f t="shared" si="480"/>
        <v>Park</v>
      </c>
      <c r="G6151" t="str">
        <f t="shared" si="481"/>
        <v>Park8351Houston</v>
      </c>
      <c r="H6151" t="s">
        <v>37007</v>
      </c>
      <c r="I6151" t="s">
        <v>28425</v>
      </c>
      <c r="J6151" t="str">
        <f t="shared" si="482"/>
        <v>E:\PropInv\MF</v>
      </c>
      <c r="K6151" s="103" t="str">
        <f>HYPERLINK("E:\PropInv\MF\Houston\Park Place_8351_Villa del Mar_Houston_16999","Park Place_8351_Villa del Mar_Houston_16999" )</f>
        <v>Park Place_8351_Villa del Mar_Houston_16999</v>
      </c>
      <c r="L6151" s="104" t="s">
        <v>22253</v>
      </c>
      <c r="M6151" s="103" t="str">
        <f t="shared" si="483"/>
        <v>http://oconnordata.com/mlink/modules/profile/index.cfm?action=profile&amp;prop_id=16999</v>
      </c>
      <c r="N6151" s="1">
        <f t="shared" si="484"/>
        <v>16999</v>
      </c>
    </row>
    <row r="6152" spans="1:14" x14ac:dyDescent="0.3">
      <c r="A6152" s="1">
        <v>17000</v>
      </c>
      <c r="B6152" s="7" t="s">
        <v>9246</v>
      </c>
      <c r="C6152" s="12">
        <v>6401</v>
      </c>
      <c r="D6152" s="7" t="s">
        <v>9247</v>
      </c>
      <c r="E6152" s="13" t="s">
        <v>1657</v>
      </c>
      <c r="F6152" t="str">
        <f t="shared" si="480"/>
        <v>Del</v>
      </c>
      <c r="G6152" t="str">
        <f t="shared" si="481"/>
        <v>Del6401Houston</v>
      </c>
      <c r="H6152" t="s">
        <v>37008</v>
      </c>
      <c r="I6152" t="s">
        <v>28426</v>
      </c>
      <c r="J6152" t="str">
        <f t="shared" si="482"/>
        <v>E:\PropInv\MF</v>
      </c>
      <c r="K6152" s="103" t="str">
        <f>HYPERLINK("E:\PropInv\MF\Houston\Del Rio_6401_Catalina Village I_Houston_17000","Del Rio_6401_Catalina Village I_Houston_17000" )</f>
        <v>Del Rio_6401_Catalina Village I_Houston_17000</v>
      </c>
      <c r="L6152" s="104" t="s">
        <v>22253</v>
      </c>
      <c r="M6152" s="103" t="str">
        <f t="shared" si="483"/>
        <v>http://oconnordata.com/mlink/modules/profile/index.cfm?action=profile&amp;prop_id=17000</v>
      </c>
      <c r="N6152" s="1">
        <f t="shared" si="484"/>
        <v>17000</v>
      </c>
    </row>
    <row r="6153" spans="1:14" x14ac:dyDescent="0.3">
      <c r="A6153" s="1">
        <v>17001</v>
      </c>
      <c r="B6153" s="7" t="s">
        <v>9248</v>
      </c>
      <c r="C6153" s="12">
        <v>3560</v>
      </c>
      <c r="D6153" s="7" t="s">
        <v>9249</v>
      </c>
      <c r="E6153" s="13" t="s">
        <v>1657</v>
      </c>
      <c r="F6153" t="str">
        <f t="shared" si="480"/>
        <v>Dixie</v>
      </c>
      <c r="G6153" t="str">
        <f t="shared" si="481"/>
        <v>Dixie3560Houston</v>
      </c>
      <c r="H6153" t="s">
        <v>37009</v>
      </c>
      <c r="I6153" t="s">
        <v>28427</v>
      </c>
      <c r="J6153" t="str">
        <f t="shared" si="482"/>
        <v>E:\PropInv\MF</v>
      </c>
      <c r="K6153" s="103" t="str">
        <f>HYPERLINK("E:\PropInv\MF\Houston\Dixie Rd_3560_Catalina Village II_Houston_17001","Dixie Rd_3560_Catalina Village II_Houston_17001" )</f>
        <v>Dixie Rd_3560_Catalina Village II_Houston_17001</v>
      </c>
      <c r="L6153" s="104" t="s">
        <v>22253</v>
      </c>
      <c r="M6153" s="103" t="str">
        <f t="shared" si="483"/>
        <v>http://oconnordata.com/mlink/modules/profile/index.cfm?action=profile&amp;prop_id=17001</v>
      </c>
      <c r="N6153" s="1">
        <f t="shared" si="484"/>
        <v>17001</v>
      </c>
    </row>
    <row r="6154" spans="1:14" x14ac:dyDescent="0.3">
      <c r="A6154" s="1">
        <v>17002</v>
      </c>
      <c r="B6154" s="7" t="s">
        <v>3383</v>
      </c>
      <c r="C6154" s="12">
        <v>7825</v>
      </c>
      <c r="D6154" s="7" t="s">
        <v>9250</v>
      </c>
      <c r="E6154" s="13" t="s">
        <v>1657</v>
      </c>
      <c r="F6154" t="str">
        <f t="shared" si="480"/>
        <v>Corporate</v>
      </c>
      <c r="G6154" t="str">
        <f t="shared" si="481"/>
        <v>Corporate7825Houston</v>
      </c>
      <c r="H6154" t="s">
        <v>37010</v>
      </c>
      <c r="I6154" t="s">
        <v>28428</v>
      </c>
      <c r="J6154" t="str">
        <f t="shared" si="482"/>
        <v>E:\PropInv\MF</v>
      </c>
      <c r="K6154" s="103" t="str">
        <f>HYPERLINK("E:\PropInv\MF\Houston\Corporate Dr_7825_The Lodge II_Houston_17002","Corporate Dr_7825_The Lodge II_Houston_17002" )</f>
        <v>Corporate Dr_7825_The Lodge II_Houston_17002</v>
      </c>
      <c r="L6154" s="104" t="s">
        <v>22253</v>
      </c>
      <c r="M6154" s="103" t="str">
        <f t="shared" si="483"/>
        <v>http://oconnordata.com/mlink/modules/profile/index.cfm?action=profile&amp;prop_id=17002</v>
      </c>
      <c r="N6154" s="1">
        <f t="shared" si="484"/>
        <v>17002</v>
      </c>
    </row>
    <row r="6155" spans="1:14" x14ac:dyDescent="0.3">
      <c r="A6155" s="1">
        <v>17003</v>
      </c>
      <c r="B6155" s="7" t="s">
        <v>2722</v>
      </c>
      <c r="C6155" s="12">
        <v>9501</v>
      </c>
      <c r="D6155" s="7" t="s">
        <v>8824</v>
      </c>
      <c r="E6155" s="13" t="s">
        <v>1657</v>
      </c>
      <c r="F6155" t="str">
        <f t="shared" si="480"/>
        <v>Sam</v>
      </c>
      <c r="G6155" t="str">
        <f t="shared" si="481"/>
        <v>Sam9501Houston</v>
      </c>
      <c r="H6155" t="s">
        <v>37011</v>
      </c>
      <c r="I6155" t="s">
        <v>28429</v>
      </c>
      <c r="J6155" t="str">
        <f t="shared" si="482"/>
        <v>E:\PropInv\MF</v>
      </c>
      <c r="K6155" s="103" t="str">
        <f>HYPERLINK("E:\PropInv\MF\Houston\Sam Houston Pkwy S W_9501_Casa Del Sol_Houston_17003","Sam Houston Pkwy S W_9501_Casa Del Sol_Houston_17003" )</f>
        <v>Sam Houston Pkwy S W_9501_Casa Del Sol_Houston_17003</v>
      </c>
      <c r="L6155" s="104" t="s">
        <v>22253</v>
      </c>
      <c r="M6155" s="103" t="str">
        <f t="shared" si="483"/>
        <v>http://oconnordata.com/mlink/modules/profile/index.cfm?action=profile&amp;prop_id=17003</v>
      </c>
      <c r="N6155" s="1">
        <f t="shared" si="484"/>
        <v>17003</v>
      </c>
    </row>
    <row r="6156" spans="1:14" x14ac:dyDescent="0.3">
      <c r="A6156" s="1">
        <v>17004</v>
      </c>
      <c r="B6156" s="19" t="s">
        <v>3627</v>
      </c>
      <c r="C6156" s="18" t="s">
        <v>9251</v>
      </c>
      <c r="D6156" s="19" t="s">
        <v>9252</v>
      </c>
      <c r="E6156" s="20" t="s">
        <v>1657</v>
      </c>
      <c r="F6156" t="str">
        <f t="shared" si="480"/>
        <v>Westward</v>
      </c>
      <c r="G6156" t="str">
        <f t="shared" si="481"/>
        <v>Westward5612-5621Houston</v>
      </c>
      <c r="H6156" t="s">
        <v>37012</v>
      </c>
      <c r="I6156" t="s">
        <v>28430</v>
      </c>
      <c r="J6156" t="str">
        <f t="shared" si="482"/>
        <v>E:\PropInv\MF</v>
      </c>
      <c r="K6156" s="103" t="str">
        <f>HYPERLINK("E:\PropInv\MF\Houston\Westward_5612-5621_Chateau Carmel_Houston_17004","Westward_5612-5621_Chateau Carmel_Houston_17004" )</f>
        <v>Westward_5612-5621_Chateau Carmel_Houston_17004</v>
      </c>
      <c r="L6156" s="104" t="s">
        <v>22253</v>
      </c>
      <c r="M6156" s="103" t="str">
        <f t="shared" si="483"/>
        <v>http://oconnordata.com/mlink/modules/profile/index.cfm?action=profile&amp;prop_id=17004</v>
      </c>
      <c r="N6156" s="1">
        <f t="shared" si="484"/>
        <v>17004</v>
      </c>
    </row>
    <row r="6157" spans="1:14" x14ac:dyDescent="0.3">
      <c r="A6157" s="1">
        <v>17006</v>
      </c>
      <c r="B6157" s="7" t="s">
        <v>4953</v>
      </c>
      <c r="C6157" s="12">
        <v>619</v>
      </c>
      <c r="D6157" s="7" t="s">
        <v>9253</v>
      </c>
      <c r="E6157" s="13" t="s">
        <v>2609</v>
      </c>
      <c r="F6157" t="str">
        <f t="shared" si="480"/>
        <v>Rollingbrook</v>
      </c>
      <c r="G6157" t="str">
        <f t="shared" si="481"/>
        <v>Rollingbrook619Baytown</v>
      </c>
      <c r="H6157" t="s">
        <v>37013</v>
      </c>
      <c r="I6157" t="s">
        <v>28431</v>
      </c>
      <c r="J6157" t="str">
        <f t="shared" si="482"/>
        <v>E:\PropInv\MF</v>
      </c>
      <c r="K6157" s="103" t="str">
        <f>HYPERLINK("E:\PropInv\MF\Baytown\Rollingbrook Dr_619_Stonebrook II_Baytown_17006","Rollingbrook Dr_619_Stonebrook II_Baytown_17006" )</f>
        <v>Rollingbrook Dr_619_Stonebrook II_Baytown_17006</v>
      </c>
      <c r="L6157" s="104" t="s">
        <v>22253</v>
      </c>
      <c r="M6157" s="103" t="str">
        <f t="shared" si="483"/>
        <v>http://oconnordata.com/mlink/modules/profile/index.cfm?action=profile&amp;prop_id=17006</v>
      </c>
      <c r="N6157" s="1">
        <f t="shared" si="484"/>
        <v>17006</v>
      </c>
    </row>
    <row r="6158" spans="1:14" x14ac:dyDescent="0.3">
      <c r="A6158" s="1">
        <v>17007</v>
      </c>
      <c r="B6158" s="7" t="s">
        <v>9254</v>
      </c>
      <c r="C6158" s="12">
        <v>1220</v>
      </c>
      <c r="D6158" s="7" t="s">
        <v>7959</v>
      </c>
      <c r="E6158" s="13" t="s">
        <v>2609</v>
      </c>
      <c r="F6158" t="str">
        <f t="shared" si="480"/>
        <v>Knowlton</v>
      </c>
      <c r="G6158" t="str">
        <f t="shared" si="481"/>
        <v>Knowlton1220Baytown</v>
      </c>
      <c r="H6158" t="s">
        <v>37014</v>
      </c>
      <c r="I6158" t="s">
        <v>28432</v>
      </c>
      <c r="J6158" t="str">
        <f t="shared" si="482"/>
        <v>E:\PropInv\MF</v>
      </c>
      <c r="K6158" s="103" t="str">
        <f>HYPERLINK("E:\PropInv\MF\Baytown\Knowlton Rd_1220_Shady Creek_Baytown_17007","Knowlton Rd_1220_Shady Creek_Baytown_17007" )</f>
        <v>Knowlton Rd_1220_Shady Creek_Baytown_17007</v>
      </c>
      <c r="L6158" s="104" t="s">
        <v>22253</v>
      </c>
      <c r="M6158" s="103" t="str">
        <f t="shared" si="483"/>
        <v>http://oconnordata.com/mlink/modules/profile/index.cfm?action=profile&amp;prop_id=17007</v>
      </c>
      <c r="N6158" s="1">
        <f t="shared" si="484"/>
        <v>17007</v>
      </c>
    </row>
    <row r="6159" spans="1:14" x14ac:dyDescent="0.3">
      <c r="A6159" s="1">
        <v>17008</v>
      </c>
      <c r="B6159" s="7" t="s">
        <v>2722</v>
      </c>
      <c r="C6159" s="12">
        <v>8565</v>
      </c>
      <c r="D6159" s="7" t="s">
        <v>9255</v>
      </c>
      <c r="E6159" s="13" t="s">
        <v>1657</v>
      </c>
      <c r="F6159" t="str">
        <f t="shared" si="480"/>
        <v>Sam</v>
      </c>
      <c r="G6159" t="str">
        <f t="shared" si="481"/>
        <v>Sam8565Houston</v>
      </c>
      <c r="H6159" t="s">
        <v>37015</v>
      </c>
      <c r="I6159" t="s">
        <v>28433</v>
      </c>
      <c r="J6159" t="str">
        <f t="shared" si="482"/>
        <v>E:\PropInv\MF</v>
      </c>
      <c r="K6159" s="103" t="str">
        <f>HYPERLINK("E:\PropInv\MF\Houston\Sam Houston Pkwy S W_8565_Little Nell_Houston_17008","Sam Houston Pkwy S W_8565_Little Nell_Houston_17008" )</f>
        <v>Sam Houston Pkwy S W_8565_Little Nell_Houston_17008</v>
      </c>
      <c r="L6159" s="104" t="s">
        <v>22253</v>
      </c>
      <c r="M6159" s="103" t="str">
        <f t="shared" si="483"/>
        <v>http://oconnordata.com/mlink/modules/profile/index.cfm?action=profile&amp;prop_id=17008</v>
      </c>
      <c r="N6159" s="1">
        <f t="shared" si="484"/>
        <v>17008</v>
      </c>
    </row>
    <row r="6160" spans="1:14" x14ac:dyDescent="0.3">
      <c r="A6160" s="1">
        <v>17010</v>
      </c>
      <c r="B6160" s="7" t="s">
        <v>3803</v>
      </c>
      <c r="C6160" s="12">
        <v>8450</v>
      </c>
      <c r="D6160" s="7" t="s">
        <v>9256</v>
      </c>
      <c r="E6160" s="13" t="s">
        <v>1657</v>
      </c>
      <c r="F6160" t="str">
        <f t="shared" si="480"/>
        <v>Cambridge</v>
      </c>
      <c r="G6160" t="str">
        <f t="shared" si="481"/>
        <v>Cambridge8450Houston</v>
      </c>
      <c r="H6160" t="s">
        <v>37016</v>
      </c>
      <c r="I6160" t="s">
        <v>28434</v>
      </c>
      <c r="J6160" t="str">
        <f t="shared" si="482"/>
        <v>E:\PropInv\MF</v>
      </c>
      <c r="K6160" s="103" t="str">
        <f>HYPERLINK("E:\PropInv\MF\Houston\Cambridge_8450_Scotland Yard II_Houston_17010","Cambridge_8450_Scotland Yard II_Houston_17010" )</f>
        <v>Cambridge_8450_Scotland Yard II_Houston_17010</v>
      </c>
      <c r="L6160" s="104" t="s">
        <v>22253</v>
      </c>
      <c r="M6160" s="103" t="str">
        <f t="shared" si="483"/>
        <v>http://oconnordata.com/mlink/modules/profile/index.cfm?action=profile&amp;prop_id=17010</v>
      </c>
      <c r="N6160" s="1">
        <f t="shared" si="484"/>
        <v>17010</v>
      </c>
    </row>
    <row r="6161" spans="1:14" x14ac:dyDescent="0.3">
      <c r="A6161" s="1">
        <v>17012</v>
      </c>
      <c r="B6161" s="7" t="s">
        <v>2632</v>
      </c>
      <c r="C6161" s="12">
        <v>5519</v>
      </c>
      <c r="D6161" s="7" t="s">
        <v>9257</v>
      </c>
      <c r="E6161" s="13" t="s">
        <v>1657</v>
      </c>
      <c r="F6161" t="str">
        <f t="shared" si="480"/>
        <v>Live</v>
      </c>
      <c r="G6161" t="str">
        <f t="shared" si="481"/>
        <v>Live5519Houston</v>
      </c>
      <c r="H6161" t="s">
        <v>37017</v>
      </c>
      <c r="I6161" t="s">
        <v>28435</v>
      </c>
      <c r="J6161" t="str">
        <f t="shared" si="482"/>
        <v>E:\PropInv\MF</v>
      </c>
      <c r="K6161" s="103" t="str">
        <f>HYPERLINK("E:\PropInv\MF\Houston\Live Oak_5519_Riverside Terrace Apts_Houston_17012","Live Oak_5519_Riverside Terrace Apts_Houston_17012" )</f>
        <v>Live Oak_5519_Riverside Terrace Apts_Houston_17012</v>
      </c>
      <c r="L6161" s="104" t="s">
        <v>22253</v>
      </c>
      <c r="M6161" s="103" t="str">
        <f t="shared" si="483"/>
        <v>http://oconnordata.com/mlink/modules/profile/index.cfm?action=profile&amp;prop_id=17012</v>
      </c>
      <c r="N6161" s="1">
        <f t="shared" si="484"/>
        <v>17012</v>
      </c>
    </row>
    <row r="6162" spans="1:14" x14ac:dyDescent="0.3">
      <c r="A6162" s="1">
        <v>17013</v>
      </c>
      <c r="B6162" s="7" t="s">
        <v>9258</v>
      </c>
      <c r="C6162" s="12">
        <v>1</v>
      </c>
      <c r="D6162" s="7" t="s">
        <v>9259</v>
      </c>
      <c r="E6162" s="13" t="s">
        <v>1657</v>
      </c>
      <c r="F6162" t="str">
        <f t="shared" si="480"/>
        <v>Hermann</v>
      </c>
      <c r="G6162" t="str">
        <f t="shared" si="481"/>
        <v>Hermann1Houston</v>
      </c>
      <c r="H6162" t="s">
        <v>37018</v>
      </c>
      <c r="I6162" t="s">
        <v>28436</v>
      </c>
      <c r="J6162" t="str">
        <f t="shared" si="482"/>
        <v>E:\PropInv\MF</v>
      </c>
      <c r="K6162" s="103" t="str">
        <f>HYPERLINK("E:\PropInv\MF\Houston\Hermann Park Ct_1_The Lofts at Hermann Park_Houston_17013","Hermann Park Ct_1_The Lofts at Hermann Park_Houston_17013" )</f>
        <v>Hermann Park Ct_1_The Lofts at Hermann Park_Houston_17013</v>
      </c>
      <c r="L6162" s="104" t="s">
        <v>22253</v>
      </c>
      <c r="M6162" s="103" t="str">
        <f t="shared" si="483"/>
        <v>http://oconnordata.com/mlink/modules/profile/index.cfm?action=profile&amp;prop_id=17013</v>
      </c>
      <c r="N6162" s="1">
        <f t="shared" si="484"/>
        <v>17013</v>
      </c>
    </row>
    <row r="6163" spans="1:14" x14ac:dyDescent="0.3">
      <c r="A6163" s="1">
        <v>17014</v>
      </c>
      <c r="B6163" s="7" t="s">
        <v>8671</v>
      </c>
      <c r="C6163" s="12">
        <v>3</v>
      </c>
      <c r="D6163" s="7" t="s">
        <v>9260</v>
      </c>
      <c r="E6163" s="13" t="s">
        <v>1657</v>
      </c>
      <c r="F6163" t="str">
        <f t="shared" si="480"/>
        <v>Hermann</v>
      </c>
      <c r="G6163" t="str">
        <f t="shared" si="481"/>
        <v>Hermann3Houston</v>
      </c>
      <c r="H6163" t="s">
        <v>37019</v>
      </c>
      <c r="I6163" t="s">
        <v>28437</v>
      </c>
      <c r="J6163" t="str">
        <f t="shared" si="482"/>
        <v>E:\PropInv\MF</v>
      </c>
      <c r="K6163" s="103" t="str">
        <f>HYPERLINK("E:\PropInv\MF\Houston\Hermann Museum Cir_3_The Amalfi at Hermann Park_Houston_17014","Hermann Museum Cir_3_The Amalfi at Hermann Park_Houston_17014" )</f>
        <v>Hermann Museum Cir_3_The Amalfi at Hermann Park_Houston_17014</v>
      </c>
      <c r="L6163" s="104" t="s">
        <v>22253</v>
      </c>
      <c r="M6163" s="103" t="str">
        <f t="shared" si="483"/>
        <v>http://oconnordata.com/mlink/modules/profile/index.cfm?action=profile&amp;prop_id=17014</v>
      </c>
      <c r="N6163" s="1">
        <f t="shared" si="484"/>
        <v>17014</v>
      </c>
    </row>
    <row r="6164" spans="1:14" x14ac:dyDescent="0.3">
      <c r="A6164" s="1">
        <v>17015</v>
      </c>
      <c r="B6164" s="7" t="s">
        <v>4108</v>
      </c>
      <c r="C6164" s="12">
        <v>7210</v>
      </c>
      <c r="D6164" s="7" t="s">
        <v>9261</v>
      </c>
      <c r="E6164" s="13" t="s">
        <v>1657</v>
      </c>
      <c r="F6164" t="str">
        <f t="shared" si="480"/>
        <v>Scott</v>
      </c>
      <c r="G6164" t="str">
        <f t="shared" si="481"/>
        <v>Scott7210Houston</v>
      </c>
      <c r="H6164" t="s">
        <v>37020</v>
      </c>
      <c r="I6164" t="s">
        <v>28438</v>
      </c>
      <c r="J6164" t="str">
        <f t="shared" si="482"/>
        <v>E:\PropInv\MF</v>
      </c>
      <c r="K6164" s="103" t="str">
        <f>HYPERLINK("E:\PropInv\MF\Houston\Scott St_7210_South Union Place_Houston_17015","Scott St_7210_South Union Place_Houston_17015" )</f>
        <v>Scott St_7210_South Union Place_Houston_17015</v>
      </c>
      <c r="L6164" s="104" t="s">
        <v>22253</v>
      </c>
      <c r="M6164" s="103" t="str">
        <f t="shared" si="483"/>
        <v>http://oconnordata.com/mlink/modules/profile/index.cfm?action=profile&amp;prop_id=17015</v>
      </c>
      <c r="N6164" s="1">
        <f t="shared" si="484"/>
        <v>17015</v>
      </c>
    </row>
    <row r="6165" spans="1:14" x14ac:dyDescent="0.3">
      <c r="A6165" s="1">
        <v>17016</v>
      </c>
      <c r="B6165" s="7" t="s">
        <v>4108</v>
      </c>
      <c r="C6165" s="12">
        <v>7245</v>
      </c>
      <c r="D6165" s="7" t="s">
        <v>9262</v>
      </c>
      <c r="E6165" s="13" t="s">
        <v>1657</v>
      </c>
      <c r="F6165" t="str">
        <f t="shared" si="480"/>
        <v>Scott</v>
      </c>
      <c r="G6165" t="str">
        <f t="shared" si="481"/>
        <v>Scott7245Houston</v>
      </c>
      <c r="H6165" t="s">
        <v>37021</v>
      </c>
      <c r="I6165" t="s">
        <v>28439</v>
      </c>
      <c r="J6165" t="str">
        <f t="shared" si="482"/>
        <v>E:\PropInv\MF</v>
      </c>
      <c r="K6165" s="103" t="str">
        <f>HYPERLINK("E:\PropInv\MF\Houston\Scott St_7245_Scott Street TH_Houston_17016","Scott St_7245_Scott Street TH_Houston_17016" )</f>
        <v>Scott St_7245_Scott Street TH_Houston_17016</v>
      </c>
      <c r="L6165" s="104" t="s">
        <v>22253</v>
      </c>
      <c r="M6165" s="103" t="str">
        <f t="shared" si="483"/>
        <v>http://oconnordata.com/mlink/modules/profile/index.cfm?action=profile&amp;prop_id=17016</v>
      </c>
      <c r="N6165" s="1">
        <f t="shared" si="484"/>
        <v>17016</v>
      </c>
    </row>
    <row r="6166" spans="1:14" x14ac:dyDescent="0.3">
      <c r="A6166" s="1">
        <v>17018</v>
      </c>
      <c r="B6166" s="7" t="s">
        <v>9263</v>
      </c>
      <c r="C6166" s="12">
        <v>3360</v>
      </c>
      <c r="D6166" s="7" t="s">
        <v>9264</v>
      </c>
      <c r="E6166" s="13" t="s">
        <v>1657</v>
      </c>
      <c r="F6166" t="str">
        <f t="shared" si="480"/>
        <v>Alice</v>
      </c>
      <c r="G6166" t="str">
        <f t="shared" si="481"/>
        <v>Alice3360Houston</v>
      </c>
      <c r="H6166" t="s">
        <v>37022</v>
      </c>
      <c r="I6166" t="s">
        <v>28440</v>
      </c>
      <c r="J6166" t="str">
        <f t="shared" si="482"/>
        <v>E:\PropInv\MF</v>
      </c>
      <c r="K6166" s="103" t="str">
        <f>HYPERLINK("E:\PropInv\MF\Houston\Alice St_3360_Parkside Point_Houston_17018","Alice St_3360_Parkside Point_Houston_17018" )</f>
        <v>Alice St_3360_Parkside Point_Houston_17018</v>
      </c>
      <c r="L6166" s="104" t="s">
        <v>22253</v>
      </c>
      <c r="M6166" s="103" t="str">
        <f t="shared" si="483"/>
        <v>http://oconnordata.com/mlink/modules/profile/index.cfm?action=profile&amp;prop_id=17018</v>
      </c>
      <c r="N6166" s="1">
        <f t="shared" si="484"/>
        <v>17018</v>
      </c>
    </row>
    <row r="6167" spans="1:14" x14ac:dyDescent="0.3">
      <c r="A6167" s="1">
        <v>17019</v>
      </c>
      <c r="B6167" s="7" t="s">
        <v>3770</v>
      </c>
      <c r="C6167" s="12">
        <v>5925</v>
      </c>
      <c r="D6167" s="7" t="s">
        <v>9265</v>
      </c>
      <c r="E6167" s="13" t="s">
        <v>1657</v>
      </c>
      <c r="F6167" t="str">
        <f t="shared" si="480"/>
        <v>Almeda</v>
      </c>
      <c r="G6167" t="str">
        <f t="shared" si="481"/>
        <v>Almeda5925Houston</v>
      </c>
      <c r="H6167" t="s">
        <v>37023</v>
      </c>
      <c r="I6167" t="s">
        <v>28441</v>
      </c>
      <c r="J6167" t="str">
        <f t="shared" si="482"/>
        <v>E:\PropInv\MF</v>
      </c>
      <c r="K6167" s="103" t="str">
        <f>HYPERLINK("E:\PropInv\MF\Houston\Almeda Rd_5925_Montage at Mosaic_Houston_17019","Almeda Rd_5925_Montage at Mosaic_Houston_17019" )</f>
        <v>Almeda Rd_5925_Montage at Mosaic_Houston_17019</v>
      </c>
      <c r="L6167" s="104" t="s">
        <v>22253</v>
      </c>
      <c r="M6167" s="103" t="str">
        <f t="shared" si="483"/>
        <v>http://oconnordata.com/mlink/modules/profile/index.cfm?action=profile&amp;prop_id=17019</v>
      </c>
      <c r="N6167" s="1">
        <f t="shared" si="484"/>
        <v>17019</v>
      </c>
    </row>
    <row r="6168" spans="1:14" x14ac:dyDescent="0.3">
      <c r="A6168" s="1">
        <v>17022</v>
      </c>
      <c r="B6168" s="7" t="s">
        <v>4682</v>
      </c>
      <c r="C6168" s="12">
        <v>9701</v>
      </c>
      <c r="D6168" s="7" t="s">
        <v>9266</v>
      </c>
      <c r="E6168" s="13" t="s">
        <v>3188</v>
      </c>
      <c r="F6168" t="str">
        <f t="shared" si="480"/>
        <v>Market</v>
      </c>
      <c r="G6168" t="str">
        <f t="shared" si="481"/>
        <v>Market9701Jacinto City</v>
      </c>
      <c r="H6168" t="s">
        <v>37024</v>
      </c>
      <c r="I6168" t="s">
        <v>28442</v>
      </c>
      <c r="J6168" t="str">
        <f t="shared" si="482"/>
        <v>E:\PropInv\MF</v>
      </c>
      <c r="K6168" s="103" t="str">
        <f>HYPERLINK("E:\PropInv\MF\Jacinto City\Market St_9701_Sun East 55+_Jacinto City_17022","Market St_9701_Sun East 55+_Jacinto City_17022" )</f>
        <v>Market St_9701_Sun East 55+_Jacinto City_17022</v>
      </c>
      <c r="L6168" s="104" t="s">
        <v>22253</v>
      </c>
      <c r="M6168" s="103" t="str">
        <f t="shared" si="483"/>
        <v>http://oconnordata.com/mlink/modules/profile/index.cfm?action=profile&amp;prop_id=17022</v>
      </c>
      <c r="N6168" s="1">
        <f t="shared" si="484"/>
        <v>17022</v>
      </c>
    </row>
    <row r="6169" spans="1:14" x14ac:dyDescent="0.3">
      <c r="A6169" s="1">
        <v>17023</v>
      </c>
      <c r="B6169" s="7" t="s">
        <v>9267</v>
      </c>
      <c r="C6169" s="12">
        <v>15255</v>
      </c>
      <c r="D6169" s="7" t="s">
        <v>9268</v>
      </c>
      <c r="E6169" s="13" t="s">
        <v>3241</v>
      </c>
      <c r="F6169" t="str">
        <f t="shared" si="480"/>
        <v>Ferness</v>
      </c>
      <c r="G6169" t="str">
        <f t="shared" si="481"/>
        <v>Ferness15255Channelview</v>
      </c>
      <c r="H6169" t="s">
        <v>37025</v>
      </c>
      <c r="I6169" t="s">
        <v>28443</v>
      </c>
      <c r="J6169" t="str">
        <f t="shared" si="482"/>
        <v>E:\PropInv\MF</v>
      </c>
      <c r="K6169" s="103" t="str">
        <f>HYPERLINK("E:\PropInv\MF\Channelview\Ferness Ln_15255_Sterling Green Village_Channelview_17023","Ferness Ln_15255_Sterling Green Village_Channelview_17023" )</f>
        <v>Ferness Ln_15255_Sterling Green Village_Channelview_17023</v>
      </c>
      <c r="L6169" s="104" t="s">
        <v>22253</v>
      </c>
      <c r="M6169" s="103" t="str">
        <f t="shared" si="483"/>
        <v>http://oconnordata.com/mlink/modules/profile/index.cfm?action=profile&amp;prop_id=17023</v>
      </c>
      <c r="N6169" s="1">
        <f t="shared" si="484"/>
        <v>17023</v>
      </c>
    </row>
    <row r="6170" spans="1:14" x14ac:dyDescent="0.3">
      <c r="A6170" s="1">
        <v>17024</v>
      </c>
      <c r="B6170" s="7" t="s">
        <v>2800</v>
      </c>
      <c r="C6170" s="12">
        <v>6005</v>
      </c>
      <c r="D6170" s="7" t="s">
        <v>9269</v>
      </c>
      <c r="E6170" s="13" t="s">
        <v>1657</v>
      </c>
      <c r="F6170" t="str">
        <f t="shared" si="480"/>
        <v>Gessner</v>
      </c>
      <c r="G6170" t="str">
        <f t="shared" si="481"/>
        <v>Gessner6005Houston</v>
      </c>
      <c r="H6170" t="s">
        <v>37026</v>
      </c>
      <c r="I6170" t="s">
        <v>28444</v>
      </c>
      <c r="J6170" t="str">
        <f t="shared" si="482"/>
        <v>E:\PropInv\MF</v>
      </c>
      <c r="K6170" s="103" t="str">
        <f>HYPERLINK("E:\PropInv\MF\Houston\Gessner S_6005_Carlingford III_Houston_17024","Gessner S_6005_Carlingford III_Houston_17024" )</f>
        <v>Gessner S_6005_Carlingford III_Houston_17024</v>
      </c>
      <c r="L6170" s="104" t="s">
        <v>22253</v>
      </c>
      <c r="M6170" s="103" t="str">
        <f t="shared" si="483"/>
        <v>http://oconnordata.com/mlink/modules/profile/index.cfm?action=profile&amp;prop_id=17024</v>
      </c>
      <c r="N6170" s="1">
        <f t="shared" si="484"/>
        <v>17024</v>
      </c>
    </row>
    <row r="6171" spans="1:14" x14ac:dyDescent="0.3">
      <c r="A6171" s="1">
        <v>17027</v>
      </c>
      <c r="B6171" s="7" t="s">
        <v>3597</v>
      </c>
      <c r="C6171" s="12">
        <v>6500</v>
      </c>
      <c r="D6171" s="7" t="s">
        <v>9270</v>
      </c>
      <c r="E6171" s="13" t="s">
        <v>1657</v>
      </c>
      <c r="F6171" t="str">
        <f t="shared" si="480"/>
        <v>Dunlap</v>
      </c>
      <c r="G6171" t="str">
        <f t="shared" si="481"/>
        <v>Dunlap6500Houston</v>
      </c>
      <c r="H6171" t="s">
        <v>37027</v>
      </c>
      <c r="I6171" t="s">
        <v>28445</v>
      </c>
      <c r="J6171" t="str">
        <f t="shared" si="482"/>
        <v>E:\PropInv\MF</v>
      </c>
      <c r="K6171" s="103" t="str">
        <f>HYPERLINK("E:\PropInv\MF\Houston\Dunlap St_6500_Milagro Plaza_Houston_17027","Dunlap St_6500_Milagro Plaza_Houston_17027" )</f>
        <v>Dunlap St_6500_Milagro Plaza_Houston_17027</v>
      </c>
      <c r="L6171" s="104" t="s">
        <v>22253</v>
      </c>
      <c r="M6171" s="103" t="str">
        <f t="shared" si="483"/>
        <v>http://oconnordata.com/mlink/modules/profile/index.cfm?action=profile&amp;prop_id=17027</v>
      </c>
      <c r="N6171" s="1">
        <f t="shared" si="484"/>
        <v>17027</v>
      </c>
    </row>
    <row r="6172" spans="1:14" x14ac:dyDescent="0.3">
      <c r="A6172" s="1">
        <v>17034</v>
      </c>
      <c r="B6172" s="7" t="s">
        <v>3451</v>
      </c>
      <c r="C6172" s="12">
        <v>10800</v>
      </c>
      <c r="D6172" s="7" t="s">
        <v>9271</v>
      </c>
      <c r="E6172" s="13" t="s">
        <v>1657</v>
      </c>
      <c r="F6172" t="str">
        <f t="shared" si="480"/>
        <v>Fondren</v>
      </c>
      <c r="G6172" t="str">
        <f t="shared" si="481"/>
        <v>Fondren10800Houston</v>
      </c>
      <c r="H6172" t="s">
        <v>37028</v>
      </c>
      <c r="I6172" t="s">
        <v>28446</v>
      </c>
      <c r="J6172" t="str">
        <f t="shared" si="482"/>
        <v>E:\PropInv\MF</v>
      </c>
      <c r="K6172" s="103" t="str">
        <f>HYPERLINK("E:\PropInv\MF\Houston\Fondren_10800_Fondren Court South_Houston_17034","Fondren_10800_Fondren Court South_Houston_17034" )</f>
        <v>Fondren_10800_Fondren Court South_Houston_17034</v>
      </c>
      <c r="L6172" s="104" t="s">
        <v>22253</v>
      </c>
      <c r="M6172" s="103" t="str">
        <f t="shared" si="483"/>
        <v>http://oconnordata.com/mlink/modules/profile/index.cfm?action=profile&amp;prop_id=17034</v>
      </c>
      <c r="N6172" s="1">
        <f t="shared" si="484"/>
        <v>17034</v>
      </c>
    </row>
    <row r="6173" spans="1:14" x14ac:dyDescent="0.3">
      <c r="A6173" s="1">
        <v>17035</v>
      </c>
      <c r="B6173" s="7" t="s">
        <v>3274</v>
      </c>
      <c r="C6173" s="12">
        <v>15255</v>
      </c>
      <c r="D6173" s="7" t="s">
        <v>9272</v>
      </c>
      <c r="E6173" s="13" t="s">
        <v>1657</v>
      </c>
      <c r="F6173" t="str">
        <f t="shared" si="480"/>
        <v>Gray</v>
      </c>
      <c r="G6173" t="str">
        <f t="shared" si="481"/>
        <v>Gray15255Houston</v>
      </c>
      <c r="H6173" t="s">
        <v>37029</v>
      </c>
      <c r="I6173" t="s">
        <v>28447</v>
      </c>
      <c r="J6173" t="str">
        <f t="shared" si="482"/>
        <v>E:\PropInv\MF</v>
      </c>
      <c r="K6173" s="103" t="str">
        <f>HYPERLINK("E:\PropInv\MF\Houston\Gray Ridge_15255_The Vinings at West Oaks II_Houston_17035","Gray Ridge_15255_The Vinings at West Oaks II_Houston_17035" )</f>
        <v>Gray Ridge_15255_The Vinings at West Oaks II_Houston_17035</v>
      </c>
      <c r="L6173" s="104" t="s">
        <v>22253</v>
      </c>
      <c r="M6173" s="103" t="str">
        <f t="shared" si="483"/>
        <v>http://oconnordata.com/mlink/modules/profile/index.cfm?action=profile&amp;prop_id=17035</v>
      </c>
      <c r="N6173" s="1">
        <f t="shared" si="484"/>
        <v>17035</v>
      </c>
    </row>
    <row r="6174" spans="1:14" x14ac:dyDescent="0.3">
      <c r="A6174" s="1">
        <v>17036</v>
      </c>
      <c r="B6174" s="7" t="s">
        <v>9273</v>
      </c>
      <c r="C6174" s="12">
        <v>1022</v>
      </c>
      <c r="D6174" s="7" t="s">
        <v>9274</v>
      </c>
      <c r="E6174" s="13" t="s">
        <v>3924</v>
      </c>
      <c r="F6174" t="str">
        <f t="shared" si="480"/>
        <v>Witter</v>
      </c>
      <c r="G6174" t="str">
        <f t="shared" si="481"/>
        <v>Witter1022Pasadena</v>
      </c>
      <c r="H6174" t="s">
        <v>37030</v>
      </c>
      <c r="I6174" t="s">
        <v>28448</v>
      </c>
      <c r="J6174" t="str">
        <f t="shared" si="482"/>
        <v>E:\PropInv\MF</v>
      </c>
      <c r="K6174" s="103" t="str">
        <f>HYPERLINK("E:\PropInv\MF\Pasadena\Witter_1022_Gayle Villa Apts_Pasadena_17036","Witter_1022_Gayle Villa Apts_Pasadena_17036" )</f>
        <v>Witter_1022_Gayle Villa Apts_Pasadena_17036</v>
      </c>
      <c r="L6174" s="104" t="s">
        <v>22253</v>
      </c>
      <c r="M6174" s="103" t="str">
        <f t="shared" si="483"/>
        <v>http://oconnordata.com/mlink/modules/profile/index.cfm?action=profile&amp;prop_id=17036</v>
      </c>
      <c r="N6174" s="1">
        <f t="shared" si="484"/>
        <v>17036</v>
      </c>
    </row>
    <row r="6175" spans="1:14" x14ac:dyDescent="0.3">
      <c r="A6175" s="1">
        <v>17037</v>
      </c>
      <c r="B6175" s="7" t="s">
        <v>2568</v>
      </c>
      <c r="C6175" s="12">
        <v>5201</v>
      </c>
      <c r="D6175" s="7" t="s">
        <v>9275</v>
      </c>
      <c r="E6175" s="13" t="s">
        <v>1657</v>
      </c>
      <c r="F6175" t="str">
        <f t="shared" si="480"/>
        <v>Memorial</v>
      </c>
      <c r="G6175" t="str">
        <f t="shared" si="481"/>
        <v>Memorial5201Houston</v>
      </c>
      <c r="H6175" t="s">
        <v>37031</v>
      </c>
      <c r="I6175" t="s">
        <v>28449</v>
      </c>
      <c r="J6175" t="str">
        <f t="shared" si="482"/>
        <v>E:\PropInv\MF</v>
      </c>
      <c r="K6175" s="103" t="str">
        <f>HYPERLINK("E:\PropInv\MF\Houston\Memorial Dr_5201_Bayou on the Bend Apts_Houston_17037","Memorial Dr_5201_Bayou on the Bend Apts_Houston_17037" )</f>
        <v>Memorial Dr_5201_Bayou on the Bend Apts_Houston_17037</v>
      </c>
      <c r="L6175" s="104" t="s">
        <v>22253</v>
      </c>
      <c r="M6175" s="103" t="str">
        <f t="shared" si="483"/>
        <v>http://oconnordata.com/mlink/modules/profile/index.cfm?action=profile&amp;prop_id=17037</v>
      </c>
      <c r="N6175" s="1">
        <f t="shared" si="484"/>
        <v>17037</v>
      </c>
    </row>
    <row r="6176" spans="1:14" x14ac:dyDescent="0.3">
      <c r="A6176" s="1">
        <v>17038</v>
      </c>
      <c r="B6176" s="7" t="s">
        <v>3042</v>
      </c>
      <c r="C6176" s="12">
        <v>3833</v>
      </c>
      <c r="D6176" s="7" t="s">
        <v>9276</v>
      </c>
      <c r="E6176" s="13" t="s">
        <v>1657</v>
      </c>
      <c r="F6176" t="str">
        <f t="shared" si="480"/>
        <v>Cummins</v>
      </c>
      <c r="G6176" t="str">
        <f t="shared" si="481"/>
        <v>Cummins3833Houston</v>
      </c>
      <c r="H6176" t="s">
        <v>37032</v>
      </c>
      <c r="I6176" t="s">
        <v>28450</v>
      </c>
      <c r="J6176" t="str">
        <f t="shared" si="482"/>
        <v>E:\PropInv\MF</v>
      </c>
      <c r="K6176" s="103" t="str">
        <f>HYPERLINK("E:\PropInv\MF\Houston\Cummins St_3833_Camden Plaza_Houston_17038","Cummins St_3833_Camden Plaza_Houston_17038" )</f>
        <v>Cummins St_3833_Camden Plaza_Houston_17038</v>
      </c>
      <c r="L6176" s="104" t="s">
        <v>22253</v>
      </c>
      <c r="M6176" s="103" t="str">
        <f t="shared" si="483"/>
        <v>http://oconnordata.com/mlink/modules/profile/index.cfm?action=profile&amp;prop_id=17038</v>
      </c>
      <c r="N6176" s="1">
        <f t="shared" si="484"/>
        <v>17038</v>
      </c>
    </row>
    <row r="6177" spans="1:14" x14ac:dyDescent="0.3">
      <c r="A6177" s="1">
        <v>17040</v>
      </c>
      <c r="B6177" s="7" t="s">
        <v>9277</v>
      </c>
      <c r="C6177" s="12">
        <v>9950</v>
      </c>
      <c r="D6177" s="7" t="s">
        <v>9278</v>
      </c>
      <c r="E6177" s="13" t="s">
        <v>1657</v>
      </c>
      <c r="F6177" t="str">
        <f t="shared" si="480"/>
        <v>Town</v>
      </c>
      <c r="G6177" t="str">
        <f t="shared" si="481"/>
        <v>Town9950Houston</v>
      </c>
      <c r="H6177" t="s">
        <v>37033</v>
      </c>
      <c r="I6177" t="s">
        <v>28451</v>
      </c>
      <c r="J6177" t="str">
        <f t="shared" si="482"/>
        <v>E:\PropInv\MF</v>
      </c>
      <c r="K6177" s="103" t="str">
        <f>HYPERLINK("E:\PropInv\MF\Houston\Town Park Dr_9950_Town Park TH_Houston_17040","Town Park Dr_9950_Town Park TH_Houston_17040" )</f>
        <v>Town Park Dr_9950_Town Park TH_Houston_17040</v>
      </c>
      <c r="L6177" s="104" t="s">
        <v>22253</v>
      </c>
      <c r="M6177" s="103" t="str">
        <f t="shared" si="483"/>
        <v>http://oconnordata.com/mlink/modules/profile/index.cfm?action=profile&amp;prop_id=17040</v>
      </c>
      <c r="N6177" s="1">
        <f t="shared" si="484"/>
        <v>17040</v>
      </c>
    </row>
    <row r="6178" spans="1:14" x14ac:dyDescent="0.3">
      <c r="A6178" s="1">
        <v>17042</v>
      </c>
      <c r="B6178" s="7" t="s">
        <v>9279</v>
      </c>
      <c r="C6178" s="12">
        <v>8181</v>
      </c>
      <c r="D6178" s="7" t="s">
        <v>9280</v>
      </c>
      <c r="E6178" s="13" t="s">
        <v>1657</v>
      </c>
      <c r="F6178" t="str">
        <f t="shared" si="480"/>
        <v>Colony</v>
      </c>
      <c r="G6178" t="str">
        <f t="shared" si="481"/>
        <v>Colony8181Houston</v>
      </c>
      <c r="H6178" t="s">
        <v>37034</v>
      </c>
      <c r="I6178" t="s">
        <v>28452</v>
      </c>
      <c r="J6178" t="str">
        <f t="shared" si="482"/>
        <v>E:\PropInv\MF</v>
      </c>
      <c r="K6178" s="103" t="str">
        <f>HYPERLINK("E:\PropInv\MF\Houston\Colony Dr_8181_The Riveraine Apts_Houston_17042","Colony Dr_8181_The Riveraine Apts_Houston_17042" )</f>
        <v>Colony Dr_8181_The Riveraine Apts_Houston_17042</v>
      </c>
      <c r="L6178" s="104" t="s">
        <v>22253</v>
      </c>
      <c r="M6178" s="103" t="str">
        <f t="shared" si="483"/>
        <v>http://oconnordata.com/mlink/modules/profile/index.cfm?action=profile&amp;prop_id=17042</v>
      </c>
      <c r="N6178" s="1">
        <f t="shared" si="484"/>
        <v>17042</v>
      </c>
    </row>
    <row r="6179" spans="1:14" x14ac:dyDescent="0.3">
      <c r="A6179" s="1">
        <v>17045</v>
      </c>
      <c r="B6179" s="7" t="s">
        <v>3019</v>
      </c>
      <c r="C6179" s="12">
        <v>2221</v>
      </c>
      <c r="D6179" s="7" t="s">
        <v>9281</v>
      </c>
      <c r="E6179" s="13" t="s">
        <v>1657</v>
      </c>
      <c r="F6179" t="str">
        <f t="shared" si="480"/>
        <v>Dallas</v>
      </c>
      <c r="G6179" t="str">
        <f t="shared" si="481"/>
        <v>Dallas2221Houston</v>
      </c>
      <c r="H6179" t="s">
        <v>37035</v>
      </c>
      <c r="I6179" t="s">
        <v>28453</v>
      </c>
      <c r="J6179" t="str">
        <f t="shared" si="482"/>
        <v>E:\PropInv\MF</v>
      </c>
      <c r="K6179" s="103" t="str">
        <f>HYPERLINK("E:\PropInv\MF\Houston\Dallas W_2221_AMLI City Vista_Houston_17045","Dallas W_2221_AMLI City Vista_Houston_17045" )</f>
        <v>Dallas W_2221_AMLI City Vista_Houston_17045</v>
      </c>
      <c r="L6179" s="104" t="s">
        <v>22253</v>
      </c>
      <c r="M6179" s="103" t="str">
        <f t="shared" si="483"/>
        <v>http://oconnordata.com/mlink/modules/profile/index.cfm?action=profile&amp;prop_id=17045</v>
      </c>
      <c r="N6179" s="1">
        <f t="shared" si="484"/>
        <v>17045</v>
      </c>
    </row>
    <row r="6180" spans="1:14" x14ac:dyDescent="0.3">
      <c r="A6180" s="1">
        <v>17048</v>
      </c>
      <c r="B6180" s="7" t="s">
        <v>9282</v>
      </c>
      <c r="C6180" s="12">
        <v>1520</v>
      </c>
      <c r="D6180" s="7" t="s">
        <v>9283</v>
      </c>
      <c r="E6180" s="13" t="s">
        <v>1657</v>
      </c>
      <c r="F6180" t="str">
        <f t="shared" si="480"/>
        <v>Bailey</v>
      </c>
      <c r="G6180" t="str">
        <f t="shared" si="481"/>
        <v>Bailey1520Houston</v>
      </c>
      <c r="H6180" t="s">
        <v>37036</v>
      </c>
      <c r="I6180" t="s">
        <v>28454</v>
      </c>
      <c r="J6180" t="str">
        <f t="shared" si="482"/>
        <v>E:\PropInv\MF</v>
      </c>
      <c r="K6180" s="103" t="str">
        <f>HYPERLINK("E:\PropInv\MF\Houston\Bailey_1520_Victory Apts_Houston_17048","Bailey_1520_Victory Apts_Houston_17048" )</f>
        <v>Bailey_1520_Victory Apts_Houston_17048</v>
      </c>
      <c r="L6180" s="104" t="s">
        <v>22253</v>
      </c>
      <c r="M6180" s="103" t="str">
        <f t="shared" si="483"/>
        <v>http://oconnordata.com/mlink/modules/profile/index.cfm?action=profile&amp;prop_id=17048</v>
      </c>
      <c r="N6180" s="1">
        <f t="shared" si="484"/>
        <v>17048</v>
      </c>
    </row>
    <row r="6181" spans="1:14" x14ac:dyDescent="0.3">
      <c r="A6181" s="1">
        <v>17051</v>
      </c>
      <c r="B6181" s="7" t="s">
        <v>2771</v>
      </c>
      <c r="C6181" s="12">
        <v>9851</v>
      </c>
      <c r="D6181" s="7" t="s">
        <v>9284</v>
      </c>
      <c r="E6181" s="13" t="s">
        <v>1657</v>
      </c>
      <c r="F6181" t="str">
        <f t="shared" si="480"/>
        <v>Meadowglen</v>
      </c>
      <c r="G6181" t="str">
        <f t="shared" si="481"/>
        <v>Meadowglen9851Houston</v>
      </c>
      <c r="H6181" t="s">
        <v>37037</v>
      </c>
      <c r="I6181" t="s">
        <v>28455</v>
      </c>
      <c r="J6181" t="str">
        <f t="shared" si="482"/>
        <v>E:\PropInv\MF</v>
      </c>
      <c r="K6181" s="103" t="str">
        <f>HYPERLINK("E:\PropInv\MF\Houston\Meadowglen_9851_Madison Park of Westchase II_Houston_17051","Meadowglen_9851_Madison Park of Westchase II_Houston_17051" )</f>
        <v>Meadowglen_9851_Madison Park of Westchase II_Houston_17051</v>
      </c>
      <c r="L6181" s="104" t="s">
        <v>22253</v>
      </c>
      <c r="M6181" s="103" t="str">
        <f t="shared" si="483"/>
        <v>http://oconnordata.com/mlink/modules/profile/index.cfm?action=profile&amp;prop_id=17051</v>
      </c>
      <c r="N6181" s="1">
        <f t="shared" si="484"/>
        <v>17051</v>
      </c>
    </row>
    <row r="6182" spans="1:14" x14ac:dyDescent="0.3">
      <c r="A6182" s="1">
        <v>17052</v>
      </c>
      <c r="B6182" s="7" t="s">
        <v>2915</v>
      </c>
      <c r="C6182" s="12">
        <v>6363</v>
      </c>
      <c r="D6182" s="7" t="s">
        <v>9285</v>
      </c>
      <c r="E6182" s="13" t="s">
        <v>1657</v>
      </c>
      <c r="F6182" t="str">
        <f t="shared" si="480"/>
        <v>San</v>
      </c>
      <c r="G6182" t="str">
        <f t="shared" si="481"/>
        <v>San6363Houston</v>
      </c>
      <c r="H6182" t="s">
        <v>37038</v>
      </c>
      <c r="I6182" t="s">
        <v>28456</v>
      </c>
      <c r="J6182" t="str">
        <f t="shared" si="482"/>
        <v>E:\PropInv\MF</v>
      </c>
      <c r="K6182" s="103" t="str">
        <f>HYPERLINK("E:\PropInv\MF\Houston\San Felipe_6363_The Fairmont on San Felipe_Houston_17052","San Felipe_6363_The Fairmont on San Felipe_Houston_17052" )</f>
        <v>San Felipe_6363_The Fairmont on San Felipe_Houston_17052</v>
      </c>
      <c r="L6182" s="104" t="s">
        <v>22253</v>
      </c>
      <c r="M6182" s="103" t="str">
        <f t="shared" si="483"/>
        <v>http://oconnordata.com/mlink/modules/profile/index.cfm?action=profile&amp;prop_id=17052</v>
      </c>
      <c r="N6182" s="1">
        <f t="shared" si="484"/>
        <v>17052</v>
      </c>
    </row>
    <row r="6183" spans="1:14" x14ac:dyDescent="0.3">
      <c r="A6183" s="1">
        <v>17055</v>
      </c>
      <c r="B6183" s="7" t="s">
        <v>3099</v>
      </c>
      <c r="C6183" s="12">
        <v>2121</v>
      </c>
      <c r="D6183" s="7" t="s">
        <v>9286</v>
      </c>
      <c r="E6183" s="13" t="s">
        <v>1657</v>
      </c>
      <c r="F6183" t="str">
        <f t="shared" si="480"/>
        <v>Allen</v>
      </c>
      <c r="G6183" t="str">
        <f t="shared" si="481"/>
        <v>Allen2121Houston</v>
      </c>
      <c r="H6183" t="s">
        <v>37039</v>
      </c>
      <c r="I6183" t="s">
        <v>28457</v>
      </c>
      <c r="J6183" t="str">
        <f t="shared" si="482"/>
        <v>E:\PropInv\MF</v>
      </c>
      <c r="K6183" s="103" t="str">
        <f>HYPERLINK("E:\PropInv\MF\Houston\Allen Pkwy_2121_AMLI 2121_Houston_17055","Allen Pkwy_2121_AMLI 2121_Houston_17055" )</f>
        <v>Allen Pkwy_2121_AMLI 2121_Houston_17055</v>
      </c>
      <c r="L6183" s="104" t="s">
        <v>22253</v>
      </c>
      <c r="M6183" s="103" t="str">
        <f t="shared" si="483"/>
        <v>http://oconnordata.com/mlink/modules/profile/index.cfm?action=profile&amp;prop_id=17055</v>
      </c>
      <c r="N6183" s="1">
        <f t="shared" si="484"/>
        <v>17055</v>
      </c>
    </row>
    <row r="6184" spans="1:14" x14ac:dyDescent="0.3">
      <c r="A6184" s="1">
        <v>17057</v>
      </c>
      <c r="B6184" s="19" t="s">
        <v>5765</v>
      </c>
      <c r="C6184" s="18">
        <v>812</v>
      </c>
      <c r="D6184" s="19" t="s">
        <v>9287</v>
      </c>
      <c r="E6184" s="20" t="s">
        <v>1657</v>
      </c>
      <c r="F6184" t="str">
        <f t="shared" si="480"/>
        <v>Main</v>
      </c>
      <c r="G6184" t="str">
        <f t="shared" si="481"/>
        <v>Main812Houston</v>
      </c>
      <c r="H6184" t="s">
        <v>37040</v>
      </c>
      <c r="I6184" t="s">
        <v>28458</v>
      </c>
      <c r="J6184" t="str">
        <f t="shared" si="482"/>
        <v>E:\PropInv\MF</v>
      </c>
      <c r="K6184" s="103" t="str">
        <f>HYPERLINK("E:\PropInv\MF\Houston\Main_812_Main, 812 Lofts (On Hold)_Houston_17057","Main_812_Main, 812 Lofts (On Hold)_Houston_17057" )</f>
        <v>Main_812_Main, 812 Lofts (On Hold)_Houston_17057</v>
      </c>
      <c r="L6184" s="104" t="s">
        <v>22253</v>
      </c>
      <c r="M6184" s="103" t="str">
        <f t="shared" si="483"/>
        <v>http://oconnordata.com/mlink/modules/profile/index.cfm?action=profile&amp;prop_id=17057</v>
      </c>
      <c r="N6184" s="1">
        <f t="shared" si="484"/>
        <v>17057</v>
      </c>
    </row>
    <row r="6185" spans="1:14" x14ac:dyDescent="0.3">
      <c r="A6185" s="1">
        <v>17058</v>
      </c>
      <c r="B6185" s="7" t="s">
        <v>5765</v>
      </c>
      <c r="C6185" s="12">
        <v>917</v>
      </c>
      <c r="D6185" s="7" t="s">
        <v>9288</v>
      </c>
      <c r="E6185" s="13" t="s">
        <v>1657</v>
      </c>
      <c r="F6185" t="str">
        <f t="shared" si="480"/>
        <v>Main</v>
      </c>
      <c r="G6185" t="str">
        <f t="shared" si="481"/>
        <v>Main917Houston</v>
      </c>
      <c r="H6185" t="s">
        <v>37041</v>
      </c>
      <c r="I6185" t="s">
        <v>28459</v>
      </c>
      <c r="J6185" t="str">
        <f t="shared" si="482"/>
        <v>E:\PropInv\MF</v>
      </c>
      <c r="K6185" s="103" t="str">
        <f>HYPERLINK("E:\PropInv\MF\Houston\Main_917_Kirby Lofts Condo Apts_Houston_17058","Main_917_Kirby Lofts Condo Apts_Houston_17058" )</f>
        <v>Main_917_Kirby Lofts Condo Apts_Houston_17058</v>
      </c>
      <c r="L6185" s="104" t="s">
        <v>22253</v>
      </c>
      <c r="M6185" s="103" t="str">
        <f t="shared" si="483"/>
        <v>http://oconnordata.com/mlink/modules/profile/index.cfm?action=profile&amp;prop_id=17058</v>
      </c>
      <c r="N6185" s="1">
        <f t="shared" si="484"/>
        <v>17058</v>
      </c>
    </row>
    <row r="6186" spans="1:14" x14ac:dyDescent="0.3">
      <c r="A6186" s="1">
        <v>17062</v>
      </c>
      <c r="B6186" s="7" t="s">
        <v>9289</v>
      </c>
      <c r="C6186" s="12">
        <v>3206</v>
      </c>
      <c r="D6186" s="7" t="s">
        <v>9290</v>
      </c>
      <c r="E6186" s="13" t="s">
        <v>1657</v>
      </c>
      <c r="F6186" t="str">
        <f t="shared" si="480"/>
        <v>Revere</v>
      </c>
      <c r="G6186" t="str">
        <f t="shared" si="481"/>
        <v>Revere3206Houston</v>
      </c>
      <c r="H6186" t="s">
        <v>37042</v>
      </c>
      <c r="I6186" t="s">
        <v>28460</v>
      </c>
      <c r="J6186" t="str">
        <f t="shared" si="482"/>
        <v>E:\PropInv\MF</v>
      </c>
      <c r="K6186" s="103" t="str">
        <f>HYPERLINK("E:\PropInv\MF\Houston\Revere_3206_Gables Upper Kirby_Houston_17062","Revere_3206_Gables Upper Kirby_Houston_17062" )</f>
        <v>Revere_3206_Gables Upper Kirby_Houston_17062</v>
      </c>
      <c r="L6186" s="104" t="s">
        <v>22253</v>
      </c>
      <c r="M6186" s="103" t="str">
        <f t="shared" si="483"/>
        <v>http://oconnordata.com/mlink/modules/profile/index.cfm?action=profile&amp;prop_id=17062</v>
      </c>
      <c r="N6186" s="1">
        <f t="shared" si="484"/>
        <v>17062</v>
      </c>
    </row>
    <row r="6187" spans="1:14" x14ac:dyDescent="0.3">
      <c r="A6187" s="1">
        <v>17064</v>
      </c>
      <c r="B6187" s="7" t="s">
        <v>3700</v>
      </c>
      <c r="C6187" s="12">
        <v>2800</v>
      </c>
      <c r="D6187" s="7" t="s">
        <v>9291</v>
      </c>
      <c r="E6187" s="13" t="s">
        <v>1657</v>
      </c>
      <c r="F6187" t="str">
        <f t="shared" si="480"/>
        <v>Kirby</v>
      </c>
      <c r="G6187" t="str">
        <f t="shared" si="481"/>
        <v>Kirby2800Houston</v>
      </c>
      <c r="H6187" t="s">
        <v>37043</v>
      </c>
      <c r="I6187" t="s">
        <v>28461</v>
      </c>
      <c r="J6187" t="str">
        <f t="shared" si="482"/>
        <v>E:\PropInv\MF</v>
      </c>
      <c r="K6187" s="103" t="str">
        <f>HYPERLINK("E:\PropInv\MF\Houston\Kirby_2800_Gables West Ave_Houston_17064","Kirby_2800_Gables West Ave_Houston_17064" )</f>
        <v>Kirby_2800_Gables West Ave_Houston_17064</v>
      </c>
      <c r="L6187" s="104" t="s">
        <v>22253</v>
      </c>
      <c r="M6187" s="103" t="str">
        <f t="shared" si="483"/>
        <v>http://oconnordata.com/mlink/modules/profile/index.cfm?action=profile&amp;prop_id=17064</v>
      </c>
      <c r="N6187" s="1">
        <f t="shared" si="484"/>
        <v>17064</v>
      </c>
    </row>
    <row r="6188" spans="1:14" x14ac:dyDescent="0.3">
      <c r="A6188" s="1">
        <v>17068</v>
      </c>
      <c r="B6188" s="7" t="s">
        <v>5568</v>
      </c>
      <c r="C6188" s="12">
        <v>2700</v>
      </c>
      <c r="D6188" s="7" t="s">
        <v>9292</v>
      </c>
      <c r="E6188" s="13" t="s">
        <v>1657</v>
      </c>
      <c r="F6188" t="str">
        <f t="shared" si="480"/>
        <v>Travis</v>
      </c>
      <c r="G6188" t="str">
        <f t="shared" si="481"/>
        <v>Travis2700Houston</v>
      </c>
      <c r="H6188" t="s">
        <v>37044</v>
      </c>
      <c r="I6188" t="s">
        <v>28462</v>
      </c>
      <c r="J6188" t="str">
        <f t="shared" si="482"/>
        <v>E:\PropInv\MF</v>
      </c>
      <c r="K6188" s="103" t="str">
        <f>HYPERLINK("E:\PropInv\MF\Houston\Travis St_2700_Camden Travis Street_Houston_17068","Travis St_2700_Camden Travis Street_Houston_17068" )</f>
        <v>Travis St_2700_Camden Travis Street_Houston_17068</v>
      </c>
      <c r="L6188" s="104" t="s">
        <v>22253</v>
      </c>
      <c r="M6188" s="103" t="str">
        <f t="shared" si="483"/>
        <v>http://oconnordata.com/mlink/modules/profile/index.cfm?action=profile&amp;prop_id=17068</v>
      </c>
      <c r="N6188" s="1">
        <f t="shared" si="484"/>
        <v>17068</v>
      </c>
    </row>
    <row r="6189" spans="1:14" x14ac:dyDescent="0.3">
      <c r="A6189" s="1">
        <v>17071</v>
      </c>
      <c r="B6189" s="7" t="s">
        <v>9293</v>
      </c>
      <c r="C6189" s="12">
        <v>2727</v>
      </c>
      <c r="D6189" s="7" t="s">
        <v>9294</v>
      </c>
      <c r="E6189" s="13" t="s">
        <v>1657</v>
      </c>
      <c r="F6189" t="str">
        <f t="shared" si="480"/>
        <v>Synott</v>
      </c>
      <c r="G6189" t="str">
        <f t="shared" si="481"/>
        <v>Synott2727Houston</v>
      </c>
      <c r="H6189" t="s">
        <v>37045</v>
      </c>
      <c r="I6189" t="s">
        <v>28463</v>
      </c>
      <c r="J6189" t="str">
        <f t="shared" si="482"/>
        <v>E:\PropInv\MF</v>
      </c>
      <c r="K6189" s="103" t="str">
        <f>HYPERLINK("E:\PropInv\MF\Houston\Synott Rd_2727_Villas at Westheimer_Houston_17071","Synott Rd_2727_Villas at Westheimer_Houston_17071" )</f>
        <v>Synott Rd_2727_Villas at Westheimer_Houston_17071</v>
      </c>
      <c r="L6189" s="104" t="s">
        <v>22253</v>
      </c>
      <c r="M6189" s="103" t="str">
        <f t="shared" si="483"/>
        <v>http://oconnordata.com/mlink/modules/profile/index.cfm?action=profile&amp;prop_id=17071</v>
      </c>
      <c r="N6189" s="1">
        <f t="shared" si="484"/>
        <v>17071</v>
      </c>
    </row>
    <row r="6190" spans="1:14" x14ac:dyDescent="0.3">
      <c r="A6190" s="1">
        <v>17072</v>
      </c>
      <c r="B6190" s="7" t="s">
        <v>9295</v>
      </c>
      <c r="C6190" s="12">
        <v>12430</v>
      </c>
      <c r="D6190" s="7" t="s">
        <v>9296</v>
      </c>
      <c r="E6190" s="13" t="s">
        <v>1657</v>
      </c>
      <c r="F6190" t="str">
        <f t="shared" si="480"/>
        <v>Oxford</v>
      </c>
      <c r="G6190" t="str">
        <f t="shared" si="481"/>
        <v>Oxford12430Houston</v>
      </c>
      <c r="H6190" t="s">
        <v>37046</v>
      </c>
      <c r="I6190" t="s">
        <v>28464</v>
      </c>
      <c r="J6190" t="str">
        <f t="shared" si="482"/>
        <v>E:\PropInv\MF</v>
      </c>
      <c r="K6190" s="103" t="str">
        <f>HYPERLINK("E:\PropInv\MF\Houston\Oxford Park Dr_12430_Mandalay at Shadowlake_Houston_17072","Oxford Park Dr_12430_Mandalay at Shadowlake_Houston_17072" )</f>
        <v>Oxford Park Dr_12430_Mandalay at Shadowlake_Houston_17072</v>
      </c>
      <c r="L6190" s="104" t="s">
        <v>22253</v>
      </c>
      <c r="M6190" s="103" t="str">
        <f t="shared" si="483"/>
        <v>http://oconnordata.com/mlink/modules/profile/index.cfm?action=profile&amp;prop_id=17072</v>
      </c>
      <c r="N6190" s="1">
        <f t="shared" si="484"/>
        <v>17072</v>
      </c>
    </row>
    <row r="6191" spans="1:14" x14ac:dyDescent="0.3">
      <c r="A6191" s="1">
        <v>17073</v>
      </c>
      <c r="B6191" s="7" t="s">
        <v>9297</v>
      </c>
      <c r="C6191" s="12">
        <v>7</v>
      </c>
      <c r="D6191" s="7" t="s">
        <v>9298</v>
      </c>
      <c r="E6191" s="13" t="s">
        <v>1657</v>
      </c>
      <c r="F6191" t="str">
        <f t="shared" si="480"/>
        <v>Riverway</v>
      </c>
      <c r="G6191" t="str">
        <f t="shared" si="481"/>
        <v>Riverway7Houston</v>
      </c>
      <c r="H6191" t="s">
        <v>37047</v>
      </c>
      <c r="I6191" t="s">
        <v>28465</v>
      </c>
      <c r="J6191" t="str">
        <f t="shared" si="482"/>
        <v>E:\PropInv\MF</v>
      </c>
      <c r="K6191" s="103" t="str">
        <f>HYPERLINK("E:\PropInv\MF\Houston\Riverway Dr_7_7 Riverway_Houston_17073","Riverway Dr_7_7 Riverway_Houston_17073" )</f>
        <v>Riverway Dr_7_7 Riverway_Houston_17073</v>
      </c>
      <c r="L6191" s="104" t="s">
        <v>22253</v>
      </c>
      <c r="M6191" s="103" t="str">
        <f t="shared" si="483"/>
        <v>http://oconnordata.com/mlink/modules/profile/index.cfm?action=profile&amp;prop_id=17073</v>
      </c>
      <c r="N6191" s="1">
        <f t="shared" si="484"/>
        <v>17073</v>
      </c>
    </row>
    <row r="6192" spans="1:14" x14ac:dyDescent="0.3">
      <c r="A6192" s="1">
        <v>17074</v>
      </c>
      <c r="B6192" s="7" t="s">
        <v>2913</v>
      </c>
      <c r="C6192" s="12">
        <v>1600</v>
      </c>
      <c r="D6192" s="7" t="s">
        <v>9299</v>
      </c>
      <c r="E6192" s="13" t="s">
        <v>1657</v>
      </c>
      <c r="F6192" t="str">
        <f t="shared" si="480"/>
        <v>Augusta</v>
      </c>
      <c r="G6192" t="str">
        <f t="shared" si="481"/>
        <v>Augusta1600Houston</v>
      </c>
      <c r="H6192" t="s">
        <v>37048</v>
      </c>
      <c r="I6192" t="s">
        <v>28466</v>
      </c>
      <c r="J6192" t="str">
        <f t="shared" si="482"/>
        <v>E:\PropInv\MF</v>
      </c>
      <c r="K6192" s="103" t="str">
        <f>HYPERLINK("E:\PropInv\MF\Houston\Augusta_1600_Village Park of Tanglewood_Houston_17074","Augusta_1600_Village Park of Tanglewood_Houston_17074" )</f>
        <v>Augusta_1600_Village Park of Tanglewood_Houston_17074</v>
      </c>
      <c r="L6192" s="104" t="s">
        <v>22253</v>
      </c>
      <c r="M6192" s="103" t="str">
        <f t="shared" si="483"/>
        <v>http://oconnordata.com/mlink/modules/profile/index.cfm?action=profile&amp;prop_id=17074</v>
      </c>
      <c r="N6192" s="1">
        <f t="shared" si="484"/>
        <v>17074</v>
      </c>
    </row>
    <row r="6193" spans="1:14" x14ac:dyDescent="0.3">
      <c r="A6193" s="1">
        <v>17079</v>
      </c>
      <c r="B6193" s="7" t="s">
        <v>2791</v>
      </c>
      <c r="C6193" s="12">
        <v>7105</v>
      </c>
      <c r="D6193" s="7" t="s">
        <v>9300</v>
      </c>
      <c r="E6193" s="13" t="s">
        <v>1657</v>
      </c>
      <c r="F6193" t="str">
        <f t="shared" si="480"/>
        <v>Old</v>
      </c>
      <c r="G6193" t="str">
        <f t="shared" si="481"/>
        <v>Old7105Houston</v>
      </c>
      <c r="H6193" t="s">
        <v>37049</v>
      </c>
      <c r="I6193" t="s">
        <v>28467</v>
      </c>
      <c r="J6193" t="str">
        <f t="shared" si="482"/>
        <v>E:\PropInv\MF</v>
      </c>
      <c r="K6193" s="103" t="str">
        <f>HYPERLINK("E:\PropInv\MF\Houston\Old Katy Rd_7105_The Cheval_Houston_17079","Old Katy Rd_7105_The Cheval_Houston_17079" )</f>
        <v>Old Katy Rd_7105_The Cheval_Houston_17079</v>
      </c>
      <c r="L6193" s="104" t="s">
        <v>22253</v>
      </c>
      <c r="M6193" s="103" t="str">
        <f t="shared" si="483"/>
        <v>http://oconnordata.com/mlink/modules/profile/index.cfm?action=profile&amp;prop_id=17079</v>
      </c>
      <c r="N6193" s="1">
        <f t="shared" si="484"/>
        <v>17079</v>
      </c>
    </row>
    <row r="6194" spans="1:14" x14ac:dyDescent="0.3">
      <c r="A6194" s="1">
        <v>17081</v>
      </c>
      <c r="B6194" s="7" t="s">
        <v>2932</v>
      </c>
      <c r="C6194" s="18">
        <v>1715</v>
      </c>
      <c r="D6194" s="19" t="s">
        <v>9301</v>
      </c>
      <c r="E6194" s="20" t="s">
        <v>1657</v>
      </c>
      <c r="F6194" t="str">
        <f t="shared" si="480"/>
        <v>Alabama</v>
      </c>
      <c r="G6194" t="str">
        <f t="shared" si="481"/>
        <v>Alabama1715Houston</v>
      </c>
      <c r="H6194" t="s">
        <v>37050</v>
      </c>
      <c r="I6194" t="s">
        <v>28468</v>
      </c>
      <c r="J6194" t="str">
        <f t="shared" si="482"/>
        <v>E:\PropInv\MF</v>
      </c>
      <c r="K6194" s="103" t="str">
        <f>HYPERLINK("E:\PropInv\MF\Houston\Alabama W_1715_West Alabama, 1715 (on hold)_Houston_17081","Alabama W_1715_West Alabama, 1715 (on hold)_Houston_17081" )</f>
        <v>Alabama W_1715_West Alabama, 1715 (on hold)_Houston_17081</v>
      </c>
      <c r="L6194" s="104" t="s">
        <v>22253</v>
      </c>
      <c r="M6194" s="103" t="str">
        <f t="shared" si="483"/>
        <v>http://oconnordata.com/mlink/modules/profile/index.cfm?action=profile&amp;prop_id=17081</v>
      </c>
      <c r="N6194" s="1">
        <f t="shared" si="484"/>
        <v>17081</v>
      </c>
    </row>
    <row r="6195" spans="1:14" x14ac:dyDescent="0.3">
      <c r="A6195" s="1">
        <v>17083</v>
      </c>
      <c r="B6195" s="7" t="s">
        <v>2677</v>
      </c>
      <c r="C6195" s="12">
        <v>3616</v>
      </c>
      <c r="D6195" s="7" t="s">
        <v>9302</v>
      </c>
      <c r="E6195" s="13" t="s">
        <v>1657</v>
      </c>
      <c r="F6195" t="str">
        <f t="shared" si="480"/>
        <v>Richmond</v>
      </c>
      <c r="G6195" t="str">
        <f t="shared" si="481"/>
        <v>Richmond3616Houston</v>
      </c>
      <c r="H6195" t="s">
        <v>37051</v>
      </c>
      <c r="I6195" t="s">
        <v>28469</v>
      </c>
      <c r="J6195" t="str">
        <f t="shared" si="482"/>
        <v>E:\PropInv\MF</v>
      </c>
      <c r="K6195" s="103" t="str">
        <f>HYPERLINK("E:\PropInv\MF\Houston\Richmond Ave_3616_Metropole Tower_Houston_17083","Richmond Ave_3616_Metropole Tower_Houston_17083" )</f>
        <v>Richmond Ave_3616_Metropole Tower_Houston_17083</v>
      </c>
      <c r="L6195" s="104" t="s">
        <v>22253</v>
      </c>
      <c r="M6195" s="103" t="str">
        <f t="shared" si="483"/>
        <v>http://oconnordata.com/mlink/modules/profile/index.cfm?action=profile&amp;prop_id=17083</v>
      </c>
      <c r="N6195" s="1">
        <f t="shared" si="484"/>
        <v>17083</v>
      </c>
    </row>
    <row r="6196" spans="1:14" x14ac:dyDescent="0.3">
      <c r="A6196" s="1">
        <v>17084</v>
      </c>
      <c r="B6196" s="7" t="s">
        <v>2677</v>
      </c>
      <c r="C6196" s="12">
        <v>3616</v>
      </c>
      <c r="D6196" s="7" t="s">
        <v>9303</v>
      </c>
      <c r="E6196" s="13" t="s">
        <v>1657</v>
      </c>
      <c r="F6196" t="str">
        <f t="shared" si="480"/>
        <v>Richmond</v>
      </c>
      <c r="G6196" t="str">
        <f t="shared" si="481"/>
        <v>Richmond3616Houston</v>
      </c>
      <c r="H6196" t="s">
        <v>37052</v>
      </c>
      <c r="I6196" t="s">
        <v>28470</v>
      </c>
      <c r="J6196" t="str">
        <f t="shared" si="482"/>
        <v>E:\PropInv\MF</v>
      </c>
      <c r="K6196" s="103" t="str">
        <f>HYPERLINK("E:\PropInv\MF\Houston\Richmond Ave_3616_Metropole Mid-Rise_Houston_17084","Richmond Ave_3616_Metropole Mid-Rise_Houston_17084" )</f>
        <v>Richmond Ave_3616_Metropole Mid-Rise_Houston_17084</v>
      </c>
      <c r="L6196" s="104" t="s">
        <v>22253</v>
      </c>
      <c r="M6196" s="103" t="str">
        <f t="shared" si="483"/>
        <v>http://oconnordata.com/mlink/modules/profile/index.cfm?action=profile&amp;prop_id=17084</v>
      </c>
      <c r="N6196" s="1">
        <f t="shared" si="484"/>
        <v>17084</v>
      </c>
    </row>
    <row r="6197" spans="1:14" x14ac:dyDescent="0.3">
      <c r="A6197" s="1">
        <v>17085</v>
      </c>
      <c r="B6197" s="7" t="s">
        <v>8876</v>
      </c>
      <c r="C6197" s="12">
        <v>5105</v>
      </c>
      <c r="D6197" s="7" t="s">
        <v>9304</v>
      </c>
      <c r="E6197" s="13" t="s">
        <v>1657</v>
      </c>
      <c r="F6197" t="str">
        <f t="shared" si="480"/>
        <v>Airline</v>
      </c>
      <c r="G6197" t="str">
        <f t="shared" si="481"/>
        <v>Airline5105Houston</v>
      </c>
      <c r="H6197" t="s">
        <v>37053</v>
      </c>
      <c r="I6197" t="s">
        <v>28471</v>
      </c>
      <c r="J6197" t="str">
        <f t="shared" si="482"/>
        <v>E:\PropInv\MF</v>
      </c>
      <c r="K6197" s="103" t="str">
        <f>HYPERLINK("E:\PropInv\MF\Houston\Airline Dr_5105_Primrose Casabella_Houston_17085","Airline Dr_5105_Primrose Casabella_Houston_17085" )</f>
        <v>Airline Dr_5105_Primrose Casabella_Houston_17085</v>
      </c>
      <c r="L6197" s="104" t="s">
        <v>22253</v>
      </c>
      <c r="M6197" s="103" t="str">
        <f t="shared" si="483"/>
        <v>http://oconnordata.com/mlink/modules/profile/index.cfm?action=profile&amp;prop_id=17085</v>
      </c>
      <c r="N6197" s="1">
        <f t="shared" si="484"/>
        <v>17085</v>
      </c>
    </row>
    <row r="6198" spans="1:14" x14ac:dyDescent="0.3">
      <c r="A6198" s="1">
        <v>17086</v>
      </c>
      <c r="B6198" s="7" t="s">
        <v>9305</v>
      </c>
      <c r="C6198" s="12">
        <v>310</v>
      </c>
      <c r="D6198" s="7" t="s">
        <v>9306</v>
      </c>
      <c r="E6198" s="13" t="s">
        <v>1657</v>
      </c>
      <c r="F6198" t="str">
        <f t="shared" si="480"/>
        <v>Berry</v>
      </c>
      <c r="G6198" t="str">
        <f t="shared" si="481"/>
        <v>Berry310Houston</v>
      </c>
      <c r="H6198" t="s">
        <v>37054</v>
      </c>
      <c r="I6198" t="s">
        <v>28472</v>
      </c>
      <c r="J6198" t="str">
        <f t="shared" si="482"/>
        <v>E:\PropInv\MF</v>
      </c>
      <c r="K6198" s="103" t="str">
        <f>HYPERLINK("E:\PropInv\MF\Houston\Berry Rd_310_Oak Arbor TH_Houston_17086","Berry Rd_310_Oak Arbor TH_Houston_17086" )</f>
        <v>Berry Rd_310_Oak Arbor TH_Houston_17086</v>
      </c>
      <c r="L6198" s="104" t="s">
        <v>22253</v>
      </c>
      <c r="M6198" s="103" t="str">
        <f t="shared" si="483"/>
        <v>http://oconnordata.com/mlink/modules/profile/index.cfm?action=profile&amp;prop_id=17086</v>
      </c>
      <c r="N6198" s="1">
        <f t="shared" si="484"/>
        <v>17086</v>
      </c>
    </row>
    <row r="6199" spans="1:14" x14ac:dyDescent="0.3">
      <c r="A6199" s="1">
        <v>17088</v>
      </c>
      <c r="B6199" s="19" t="s">
        <v>9307</v>
      </c>
      <c r="C6199" s="18">
        <v>2807</v>
      </c>
      <c r="D6199" s="19" t="s">
        <v>9308</v>
      </c>
      <c r="E6199" s="20" t="s">
        <v>1657</v>
      </c>
      <c r="F6199" t="str">
        <f t="shared" si="480"/>
        <v>Beauchamp</v>
      </c>
      <c r="G6199" t="str">
        <f t="shared" si="481"/>
        <v>Beauchamp2807Houston</v>
      </c>
      <c r="H6199" t="s">
        <v>37055</v>
      </c>
      <c r="I6199" t="s">
        <v>28473</v>
      </c>
      <c r="J6199" t="str">
        <f t="shared" si="482"/>
        <v>E:\PropInv\MF</v>
      </c>
      <c r="K6199" s="103" t="str">
        <f>HYPERLINK("E:\PropInv\MF\Houston\Beauchamp_2807_Beauchamp Apts_Houston_17088","Beauchamp_2807_Beauchamp Apts_Houston_17088" )</f>
        <v>Beauchamp_2807_Beauchamp Apts_Houston_17088</v>
      </c>
      <c r="L6199" s="104" t="s">
        <v>22253</v>
      </c>
      <c r="M6199" s="103" t="str">
        <f t="shared" si="483"/>
        <v>http://oconnordata.com/mlink/modules/profile/index.cfm?action=profile&amp;prop_id=17088</v>
      </c>
      <c r="N6199" s="1">
        <f t="shared" si="484"/>
        <v>17088</v>
      </c>
    </row>
    <row r="6200" spans="1:14" x14ac:dyDescent="0.3">
      <c r="A6200" s="1">
        <v>17090</v>
      </c>
      <c r="B6200" s="7" t="s">
        <v>2710</v>
      </c>
      <c r="C6200" s="12">
        <v>2840</v>
      </c>
      <c r="D6200" s="7" t="s">
        <v>9309</v>
      </c>
      <c r="E6200" s="13" t="s">
        <v>1657</v>
      </c>
      <c r="F6200" t="str">
        <f t="shared" si="480"/>
        <v>Shadowbriar</v>
      </c>
      <c r="G6200" t="str">
        <f t="shared" si="481"/>
        <v>Shadowbriar2840Houston</v>
      </c>
      <c r="H6200" t="s">
        <v>37056</v>
      </c>
      <c r="I6200" t="s">
        <v>28474</v>
      </c>
      <c r="J6200" t="str">
        <f t="shared" si="482"/>
        <v>E:\PropInv\MF</v>
      </c>
      <c r="K6200" s="103" t="str">
        <f>HYPERLINK("E:\PropInv\MF\Houston\Shadowbriar Dr_2840_Estancia at Shadowlake_Houston_17090","Shadowbriar Dr_2840_Estancia at Shadowlake_Houston_17090" )</f>
        <v>Shadowbriar Dr_2840_Estancia at Shadowlake_Houston_17090</v>
      </c>
      <c r="L6200" s="104" t="s">
        <v>22253</v>
      </c>
      <c r="M6200" s="103" t="str">
        <f t="shared" si="483"/>
        <v>http://oconnordata.com/mlink/modules/profile/index.cfm?action=profile&amp;prop_id=17090</v>
      </c>
      <c r="N6200" s="1">
        <f t="shared" si="484"/>
        <v>17090</v>
      </c>
    </row>
    <row r="6201" spans="1:14" x14ac:dyDescent="0.3">
      <c r="A6201" s="1">
        <v>17091</v>
      </c>
      <c r="B6201" s="7" t="s">
        <v>2677</v>
      </c>
      <c r="C6201" s="12">
        <v>12360</v>
      </c>
      <c r="D6201" s="7" t="s">
        <v>9310</v>
      </c>
      <c r="E6201" s="13" t="s">
        <v>1657</v>
      </c>
      <c r="F6201" t="str">
        <f t="shared" si="480"/>
        <v>Richmond</v>
      </c>
      <c r="G6201" t="str">
        <f t="shared" si="481"/>
        <v>Richmond12360Houston</v>
      </c>
      <c r="H6201" t="s">
        <v>37057</v>
      </c>
      <c r="I6201" t="s">
        <v>28475</v>
      </c>
      <c r="J6201" t="str">
        <f t="shared" si="482"/>
        <v>E:\PropInv\MF</v>
      </c>
      <c r="K6201" s="103" t="str">
        <f>HYPERLINK("E:\PropInv\MF\Houston\Richmond Ave_12360_Lodge at Shadowlake II_Houston_17091","Richmond Ave_12360_Lodge at Shadowlake II_Houston_17091" )</f>
        <v>Richmond Ave_12360_Lodge at Shadowlake II_Houston_17091</v>
      </c>
      <c r="L6201" s="104" t="s">
        <v>22253</v>
      </c>
      <c r="M6201" s="103" t="str">
        <f t="shared" si="483"/>
        <v>http://oconnordata.com/mlink/modules/profile/index.cfm?action=profile&amp;prop_id=17091</v>
      </c>
      <c r="N6201" s="1">
        <f t="shared" si="484"/>
        <v>17091</v>
      </c>
    </row>
    <row r="6202" spans="1:14" x14ac:dyDescent="0.3">
      <c r="A6202" s="1">
        <v>17092</v>
      </c>
      <c r="B6202" s="7" t="s">
        <v>2762</v>
      </c>
      <c r="C6202" s="12">
        <v>10550</v>
      </c>
      <c r="D6202" s="7" t="s">
        <v>9311</v>
      </c>
      <c r="E6202" s="13" t="s">
        <v>1657</v>
      </c>
      <c r="F6202" t="str">
        <f t="shared" si="480"/>
        <v>Valley</v>
      </c>
      <c r="G6202" t="str">
        <f t="shared" si="481"/>
        <v>Valley10550Houston</v>
      </c>
      <c r="H6202" t="s">
        <v>37058</v>
      </c>
      <c r="I6202" t="s">
        <v>28476</v>
      </c>
      <c r="J6202" t="str">
        <f t="shared" si="482"/>
        <v>E:\PropInv\MF</v>
      </c>
      <c r="K6202" s="103" t="str">
        <f>HYPERLINK("E:\PropInv\MF\Houston\Valley Forge_10550_La Fontaine Apts_Houston_17092","Valley Forge_10550_La Fontaine Apts_Houston_17092" )</f>
        <v>Valley Forge_10550_La Fontaine Apts_Houston_17092</v>
      </c>
      <c r="L6202" s="104" t="s">
        <v>22253</v>
      </c>
      <c r="M6202" s="103" t="str">
        <f t="shared" si="483"/>
        <v>http://oconnordata.com/mlink/modules/profile/index.cfm?action=profile&amp;prop_id=17092</v>
      </c>
      <c r="N6202" s="1">
        <f t="shared" si="484"/>
        <v>17092</v>
      </c>
    </row>
    <row r="6203" spans="1:14" x14ac:dyDescent="0.3">
      <c r="A6203" s="1">
        <v>17094</v>
      </c>
      <c r="B6203" s="7" t="s">
        <v>2939</v>
      </c>
      <c r="C6203" s="12">
        <v>2323</v>
      </c>
      <c r="D6203" s="7" t="s">
        <v>9312</v>
      </c>
      <c r="E6203" s="13" t="s">
        <v>1657</v>
      </c>
      <c r="F6203" t="str">
        <f t="shared" si="480"/>
        <v>McCue</v>
      </c>
      <c r="G6203" t="str">
        <f t="shared" si="481"/>
        <v>McCue2323Houston</v>
      </c>
      <c r="H6203" t="s">
        <v>37059</v>
      </c>
      <c r="I6203" t="s">
        <v>28477</v>
      </c>
      <c r="J6203" t="str">
        <f t="shared" si="482"/>
        <v>E:\PropInv\MF</v>
      </c>
      <c r="K6203" s="103" t="str">
        <f>HYPERLINK("E:\PropInv\MF\Houston\McCue_2323_Dominion Post Oak_Houston_17094","McCue_2323_Dominion Post Oak_Houston_17094" )</f>
        <v>McCue_2323_Dominion Post Oak_Houston_17094</v>
      </c>
      <c r="L6203" s="104" t="s">
        <v>22253</v>
      </c>
      <c r="M6203" s="103" t="str">
        <f t="shared" si="483"/>
        <v>http://oconnordata.com/mlink/modules/profile/index.cfm?action=profile&amp;prop_id=17094</v>
      </c>
      <c r="N6203" s="1">
        <f t="shared" si="484"/>
        <v>17094</v>
      </c>
    </row>
    <row r="6204" spans="1:14" x14ac:dyDescent="0.3">
      <c r="A6204" s="1">
        <v>17095</v>
      </c>
      <c r="B6204" s="7" t="s">
        <v>9313</v>
      </c>
      <c r="C6204" s="12">
        <v>11201</v>
      </c>
      <c r="D6204" s="7" t="s">
        <v>9314</v>
      </c>
      <c r="E6204" s="13" t="s">
        <v>1657</v>
      </c>
      <c r="F6204" t="str">
        <f t="shared" si="480"/>
        <v>Olympia</v>
      </c>
      <c r="G6204" t="str">
        <f t="shared" si="481"/>
        <v>Olympia11201Houston</v>
      </c>
      <c r="H6204" t="s">
        <v>37060</v>
      </c>
      <c r="I6204" t="s">
        <v>28478</v>
      </c>
      <c r="J6204" t="str">
        <f t="shared" si="482"/>
        <v>E:\PropInv\MF</v>
      </c>
      <c r="K6204" s="103" t="str">
        <f>HYPERLINK("E:\PropInv\MF\Houston\Olympia Dr_11201_Westchase Ranch II_Houston_17095","Olympia Dr_11201_Westchase Ranch II_Houston_17095" )</f>
        <v>Olympia Dr_11201_Westchase Ranch II_Houston_17095</v>
      </c>
      <c r="L6204" s="104" t="s">
        <v>22253</v>
      </c>
      <c r="M6204" s="103" t="str">
        <f t="shared" si="483"/>
        <v>http://oconnordata.com/mlink/modules/profile/index.cfm?action=profile&amp;prop_id=17095</v>
      </c>
      <c r="N6204" s="1">
        <f t="shared" si="484"/>
        <v>17095</v>
      </c>
    </row>
    <row r="6205" spans="1:14" x14ac:dyDescent="0.3">
      <c r="A6205" s="1">
        <v>17096</v>
      </c>
      <c r="B6205" s="7" t="s">
        <v>9315</v>
      </c>
      <c r="C6205" s="12">
        <v>2501</v>
      </c>
      <c r="D6205" s="7" t="s">
        <v>9316</v>
      </c>
      <c r="E6205" s="13" t="s">
        <v>1657</v>
      </c>
      <c r="F6205" t="str">
        <f t="shared" si="480"/>
        <v>Lazy</v>
      </c>
      <c r="G6205" t="str">
        <f t="shared" si="481"/>
        <v>Lazy2501Houston</v>
      </c>
      <c r="H6205" t="s">
        <v>37061</v>
      </c>
      <c r="I6205" t="s">
        <v>28479</v>
      </c>
      <c r="J6205" t="str">
        <f t="shared" si="482"/>
        <v>E:\PropInv\MF</v>
      </c>
      <c r="K6205" s="103" t="str">
        <f>HYPERLINK("E:\PropInv\MF\Houston\Lazy Hollow Dr_2501_Westpoint-Creekside I_Houston_17096","Lazy Hollow Dr_2501_Westpoint-Creekside I_Houston_17096" )</f>
        <v>Lazy Hollow Dr_2501_Westpoint-Creekside I_Houston_17096</v>
      </c>
      <c r="L6205" s="104" t="s">
        <v>22253</v>
      </c>
      <c r="M6205" s="103" t="str">
        <f t="shared" si="483"/>
        <v>http://oconnordata.com/mlink/modules/profile/index.cfm?action=profile&amp;prop_id=17096</v>
      </c>
      <c r="N6205" s="1">
        <f t="shared" si="484"/>
        <v>17096</v>
      </c>
    </row>
    <row r="6206" spans="1:14" x14ac:dyDescent="0.3">
      <c r="A6206" s="1">
        <v>17097</v>
      </c>
      <c r="B6206" s="7" t="s">
        <v>2832</v>
      </c>
      <c r="C6206" s="12">
        <v>2525</v>
      </c>
      <c r="D6206" s="7" t="s">
        <v>22273</v>
      </c>
      <c r="E6206" s="13" t="s">
        <v>1657</v>
      </c>
      <c r="F6206" t="str">
        <f t="shared" si="480"/>
        <v>Old</v>
      </c>
      <c r="G6206" t="str">
        <f t="shared" si="481"/>
        <v>Old2525Houston</v>
      </c>
      <c r="H6206" t="s">
        <v>37062</v>
      </c>
      <c r="I6206" t="s">
        <v>28480</v>
      </c>
      <c r="J6206" t="str">
        <f t="shared" si="482"/>
        <v>E:\PropInv\MF</v>
      </c>
      <c r="K6206" s="103" t="str">
        <f>HYPERLINK("E:\PropInv\MF\Houston\Old Farm Rd_2525_The Reserve Old Farm I_Houston_17097","Old Farm Rd_2525_The Reserve Old Farm I_Houston_17097" )</f>
        <v>Old Farm Rd_2525_The Reserve Old Farm I_Houston_17097</v>
      </c>
      <c r="L6206" s="104" t="s">
        <v>22253</v>
      </c>
      <c r="M6206" s="103" t="str">
        <f t="shared" si="483"/>
        <v>http://oconnordata.com/mlink/modules/profile/index.cfm?action=profile&amp;prop_id=17097</v>
      </c>
      <c r="N6206" s="1">
        <f t="shared" si="484"/>
        <v>17097</v>
      </c>
    </row>
    <row r="6207" spans="1:14" x14ac:dyDescent="0.3">
      <c r="A6207" s="1">
        <v>17100</v>
      </c>
      <c r="B6207" s="10" t="s">
        <v>2484</v>
      </c>
      <c r="C6207" s="9">
        <v>2727</v>
      </c>
      <c r="D6207" s="10" t="s">
        <v>9317</v>
      </c>
      <c r="E6207" s="11" t="s">
        <v>1657</v>
      </c>
      <c r="F6207" t="str">
        <f t="shared" si="480"/>
        <v>18th</v>
      </c>
      <c r="G6207" t="str">
        <f t="shared" si="481"/>
        <v>18th2727Houston</v>
      </c>
      <c r="H6207" t="s">
        <v>37063</v>
      </c>
      <c r="I6207" t="s">
        <v>28481</v>
      </c>
      <c r="J6207" t="str">
        <f t="shared" si="482"/>
        <v>E:\PropInv\MF</v>
      </c>
      <c r="K6207" s="103" t="str">
        <f>HYPERLINK("E:\PropInv\MF\Houston\18th St W_2727_Broadstone West 18th_Houston_17100","18th St W_2727_Broadstone West 18th_Houston_17100" )</f>
        <v>18th St W_2727_Broadstone West 18th_Houston_17100</v>
      </c>
      <c r="L6207" s="104" t="s">
        <v>22253</v>
      </c>
      <c r="M6207" s="103" t="str">
        <f t="shared" si="483"/>
        <v>http://oconnordata.com/mlink/modules/profile/index.cfm?action=profile&amp;prop_id=17100</v>
      </c>
      <c r="N6207" s="1">
        <f t="shared" si="484"/>
        <v>17100</v>
      </c>
    </row>
    <row r="6208" spans="1:14" x14ac:dyDescent="0.3">
      <c r="A6208" s="1">
        <v>17101</v>
      </c>
      <c r="B6208" s="7" t="s">
        <v>2592</v>
      </c>
      <c r="C6208" s="12">
        <v>101</v>
      </c>
      <c r="D6208" s="7" t="s">
        <v>9318</v>
      </c>
      <c r="E6208" s="13" t="s">
        <v>1657</v>
      </c>
      <c r="F6208" t="str">
        <f t="shared" si="480"/>
        <v>Normandy</v>
      </c>
      <c r="G6208" t="str">
        <f t="shared" si="481"/>
        <v>Normandy101Houston</v>
      </c>
      <c r="H6208" t="s">
        <v>37064</v>
      </c>
      <c r="I6208" t="s">
        <v>28482</v>
      </c>
      <c r="J6208" t="str">
        <f t="shared" si="482"/>
        <v>E:\PropInv\MF</v>
      </c>
      <c r="K6208" s="103" t="str">
        <f>HYPERLINK("E:\PropInv\MF\Houston\Normandy_101_Magnolia Estates_Houston_17101","Normandy_101_Magnolia Estates_Houston_17101" )</f>
        <v>Normandy_101_Magnolia Estates_Houston_17101</v>
      </c>
      <c r="L6208" s="104" t="s">
        <v>22253</v>
      </c>
      <c r="M6208" s="103" t="str">
        <f t="shared" si="483"/>
        <v>http://oconnordata.com/mlink/modules/profile/index.cfm?action=profile&amp;prop_id=17101</v>
      </c>
      <c r="N6208" s="1">
        <f t="shared" si="484"/>
        <v>17101</v>
      </c>
    </row>
    <row r="6209" spans="1:14" x14ac:dyDescent="0.3">
      <c r="A6209" s="1">
        <v>17102</v>
      </c>
      <c r="B6209" s="19" t="s">
        <v>2791</v>
      </c>
      <c r="C6209" s="18">
        <v>6950</v>
      </c>
      <c r="D6209" s="19" t="s">
        <v>9319</v>
      </c>
      <c r="E6209" s="20" t="s">
        <v>1657</v>
      </c>
      <c r="F6209" t="str">
        <f t="shared" si="480"/>
        <v>Old</v>
      </c>
      <c r="G6209" t="str">
        <f t="shared" si="481"/>
        <v>Old6950Houston</v>
      </c>
      <c r="H6209" t="s">
        <v>37065</v>
      </c>
      <c r="I6209" t="s">
        <v>28483</v>
      </c>
      <c r="J6209" t="str">
        <f t="shared" si="482"/>
        <v>E:\PropInv\MF</v>
      </c>
      <c r="K6209" s="103" t="str">
        <f>HYPERLINK("E:\PropInv\MF\Houston\Old Katy Rd_6950_Old Katy Rd, 6950 (on hold)_Houston_17102","Old Katy Rd_6950_Old Katy Rd, 6950 (on hold)_Houston_17102" )</f>
        <v>Old Katy Rd_6950_Old Katy Rd, 6950 (on hold)_Houston_17102</v>
      </c>
      <c r="L6209" s="104" t="s">
        <v>22253</v>
      </c>
      <c r="M6209" s="103" t="str">
        <f t="shared" si="483"/>
        <v>http://oconnordata.com/mlink/modules/profile/index.cfm?action=profile&amp;prop_id=17102</v>
      </c>
      <c r="N6209" s="1">
        <f t="shared" si="484"/>
        <v>17102</v>
      </c>
    </row>
    <row r="6210" spans="1:14" x14ac:dyDescent="0.3">
      <c r="A6210" s="1">
        <v>17103</v>
      </c>
      <c r="B6210" s="7" t="s">
        <v>2963</v>
      </c>
      <c r="C6210" s="12">
        <v>2900</v>
      </c>
      <c r="D6210" s="7" t="s">
        <v>9320</v>
      </c>
      <c r="E6210" s="13" t="s">
        <v>1657</v>
      </c>
      <c r="F6210" t="str">
        <f t="shared" ref="F6210:F6273" si="485">IFERROR(LEFT(B6210,FIND(" ",B6210)-1),B6210)</f>
        <v>Briarhurst</v>
      </c>
      <c r="G6210" t="str">
        <f t="shared" ref="G6210:G6273" si="486">F6210&amp;C6210&amp;E6210</f>
        <v>Briarhurst2900Houston</v>
      </c>
      <c r="H6210" t="s">
        <v>37066</v>
      </c>
      <c r="I6210" t="s">
        <v>28484</v>
      </c>
      <c r="J6210" t="str">
        <f t="shared" ref="J6210:J6273" si="487">IF(L6210="TX",Folder_Path,Folder_Path&amp;"\State_"&amp;L6210)</f>
        <v>E:\PropInv\MF</v>
      </c>
      <c r="K6210" s="103" t="str">
        <f>HYPERLINK("E:\PropInv\MF\Houston\Briarhurst Dr_2900_Trafalgar West I_Houston_17103","Briarhurst Dr_2900_Trafalgar West I_Houston_17103" )</f>
        <v>Briarhurst Dr_2900_Trafalgar West I_Houston_17103</v>
      </c>
      <c r="L6210" s="104" t="s">
        <v>22253</v>
      </c>
      <c r="M6210" s="103" t="str">
        <f t="shared" ref="M6210:M6273" si="488">HYPERLINK("http://oconnordata.com/mlink/modules/profile/index.cfm?action=profile&amp;prop_id="&amp;A6210)</f>
        <v>http://oconnordata.com/mlink/modules/profile/index.cfm?action=profile&amp;prop_id=17103</v>
      </c>
      <c r="N6210" s="1">
        <f t="shared" ref="N6210:N6273" si="489">IF(LEN(A6210)=1,"0000"&amp;A6210,IF(LEN(A6210)=2,"000"&amp;A6210,IF(LEN(A6210)=3,"00"&amp;A6210,IF(LEN(A6210)=4,"0"&amp;A6210,IF(LEN(A6210)=5,IF(LEFT(A6210,1)="3",A6210+30000,A6210))))))</f>
        <v>17103</v>
      </c>
    </row>
    <row r="6211" spans="1:14" x14ac:dyDescent="0.3">
      <c r="A6211" s="1">
        <v>17105</v>
      </c>
      <c r="B6211" s="7" t="s">
        <v>2895</v>
      </c>
      <c r="C6211" s="12">
        <v>824</v>
      </c>
      <c r="D6211" s="7" t="s">
        <v>9321</v>
      </c>
      <c r="E6211" s="13" t="s">
        <v>1657</v>
      </c>
      <c r="F6211" t="str">
        <f t="shared" si="485"/>
        <v>Bering</v>
      </c>
      <c r="G6211" t="str">
        <f t="shared" si="486"/>
        <v>Bering824Houston</v>
      </c>
      <c r="H6211" t="s">
        <v>37067</v>
      </c>
      <c r="I6211" t="s">
        <v>28485</v>
      </c>
      <c r="J6211" t="str">
        <f t="shared" si="487"/>
        <v>E:\PropInv\MF</v>
      </c>
      <c r="K6211" s="103" t="str">
        <f>HYPERLINK("E:\PropInv\MF\Houston\Bering Dr_824_Tuscany Villas_Houston_17105","Bering Dr_824_Tuscany Villas_Houston_17105" )</f>
        <v>Bering Dr_824_Tuscany Villas_Houston_17105</v>
      </c>
      <c r="L6211" s="104" t="s">
        <v>22253</v>
      </c>
      <c r="M6211" s="103" t="str">
        <f t="shared" si="488"/>
        <v>http://oconnordata.com/mlink/modules/profile/index.cfm?action=profile&amp;prop_id=17105</v>
      </c>
      <c r="N6211" s="1">
        <f t="shared" si="489"/>
        <v>17105</v>
      </c>
    </row>
    <row r="6212" spans="1:14" x14ac:dyDescent="0.3">
      <c r="A6212" s="1">
        <v>17106</v>
      </c>
      <c r="B6212" s="7" t="s">
        <v>2956</v>
      </c>
      <c r="C6212" s="12">
        <v>6102</v>
      </c>
      <c r="D6212" s="7" t="s">
        <v>9322</v>
      </c>
      <c r="E6212" s="13" t="s">
        <v>1657</v>
      </c>
      <c r="F6212" t="str">
        <f t="shared" si="485"/>
        <v>Winsome</v>
      </c>
      <c r="G6212" t="str">
        <f t="shared" si="486"/>
        <v>Winsome6102Houston</v>
      </c>
      <c r="H6212" t="s">
        <v>37068</v>
      </c>
      <c r="I6212" t="s">
        <v>28486</v>
      </c>
      <c r="J6212" t="str">
        <f t="shared" si="487"/>
        <v>E:\PropInv\MF</v>
      </c>
      <c r="K6212" s="103" t="str">
        <f>HYPERLINK("E:\PropInv\MF\Houston\Winsome Ln_6102_Oxford on Greenridge II_Houston_17106","Winsome Ln_6102_Oxford on Greenridge II_Houston_17106" )</f>
        <v>Winsome Ln_6102_Oxford on Greenridge II_Houston_17106</v>
      </c>
      <c r="L6212" s="104" t="s">
        <v>22253</v>
      </c>
      <c r="M6212" s="103" t="str">
        <f t="shared" si="488"/>
        <v>http://oconnordata.com/mlink/modules/profile/index.cfm?action=profile&amp;prop_id=17106</v>
      </c>
      <c r="N6212" s="1">
        <f t="shared" si="489"/>
        <v>17106</v>
      </c>
    </row>
    <row r="6213" spans="1:14" x14ac:dyDescent="0.3">
      <c r="A6213" s="1">
        <v>17107</v>
      </c>
      <c r="B6213" s="7" t="s">
        <v>2956</v>
      </c>
      <c r="C6213" s="12">
        <v>6121</v>
      </c>
      <c r="D6213" s="7" t="s">
        <v>9323</v>
      </c>
      <c r="E6213" s="13" t="s">
        <v>1657</v>
      </c>
      <c r="F6213" t="str">
        <f t="shared" si="485"/>
        <v>Winsome</v>
      </c>
      <c r="G6213" t="str">
        <f t="shared" si="486"/>
        <v>Winsome6121Houston</v>
      </c>
      <c r="H6213" t="s">
        <v>37069</v>
      </c>
      <c r="I6213" t="s">
        <v>28487</v>
      </c>
      <c r="J6213" t="str">
        <f t="shared" si="487"/>
        <v>E:\PropInv\MF</v>
      </c>
      <c r="K6213" s="103" t="str">
        <f>HYPERLINK("E:\PropInv\MF\Houston\Winsome Ln_6121_Oxford on Greenridge III_Houston_17107","Winsome Ln_6121_Oxford on Greenridge III_Houston_17107" )</f>
        <v>Winsome Ln_6121_Oxford on Greenridge III_Houston_17107</v>
      </c>
      <c r="L6213" s="104" t="s">
        <v>22253</v>
      </c>
      <c r="M6213" s="103" t="str">
        <f t="shared" si="488"/>
        <v>http://oconnordata.com/mlink/modules/profile/index.cfm?action=profile&amp;prop_id=17107</v>
      </c>
      <c r="N6213" s="1">
        <f t="shared" si="489"/>
        <v>17107</v>
      </c>
    </row>
    <row r="6214" spans="1:14" x14ac:dyDescent="0.3">
      <c r="A6214" s="1">
        <v>17110</v>
      </c>
      <c r="B6214" s="7" t="s">
        <v>9324</v>
      </c>
      <c r="C6214" s="12">
        <v>6767</v>
      </c>
      <c r="D6214" s="7" t="s">
        <v>9325</v>
      </c>
      <c r="E6214" s="13" t="s">
        <v>1657</v>
      </c>
      <c r="F6214" t="str">
        <f t="shared" si="485"/>
        <v>Bennington</v>
      </c>
      <c r="G6214" t="str">
        <f t="shared" si="486"/>
        <v>Bennington6767Houston</v>
      </c>
      <c r="H6214" t="s">
        <v>37070</v>
      </c>
      <c r="I6214" t="s">
        <v>28488</v>
      </c>
      <c r="J6214" t="str">
        <f t="shared" si="487"/>
        <v>E:\PropInv\MF</v>
      </c>
      <c r="K6214" s="103" t="str">
        <f>HYPERLINK("E:\PropInv\MF\Houston\Bennington_6767_Emerald Bay_Houston_17110","Bennington_6767_Emerald Bay_Houston_17110" )</f>
        <v>Bennington_6767_Emerald Bay_Houston_17110</v>
      </c>
      <c r="L6214" s="104" t="s">
        <v>22253</v>
      </c>
      <c r="M6214" s="103" t="str">
        <f t="shared" si="488"/>
        <v>http://oconnordata.com/mlink/modules/profile/index.cfm?action=profile&amp;prop_id=17110</v>
      </c>
      <c r="N6214" s="1">
        <f t="shared" si="489"/>
        <v>17110</v>
      </c>
    </row>
    <row r="6215" spans="1:14" x14ac:dyDescent="0.3">
      <c r="A6215" s="1">
        <v>17112</v>
      </c>
      <c r="B6215" s="7" t="s">
        <v>9326</v>
      </c>
      <c r="C6215" s="12">
        <v>6160</v>
      </c>
      <c r="D6215" s="7" t="s">
        <v>9327</v>
      </c>
      <c r="E6215" s="13" t="s">
        <v>1657</v>
      </c>
      <c r="F6215" t="str">
        <f t="shared" si="485"/>
        <v>Sam</v>
      </c>
      <c r="G6215" t="str">
        <f t="shared" si="486"/>
        <v>Sam6160Houston</v>
      </c>
      <c r="H6215" t="s">
        <v>37071</v>
      </c>
      <c r="I6215" t="s">
        <v>28489</v>
      </c>
      <c r="J6215" t="str">
        <f t="shared" si="487"/>
        <v>E:\PropInv\MF</v>
      </c>
      <c r="K6215" s="103" t="str">
        <f>HYPERLINK("E:\PropInv\MF\Houston\Sam Houston Pkwy N E_6160_Stone Park I_Houston_17112","Sam Houston Pkwy N E_6160_Stone Park I_Houston_17112" )</f>
        <v>Sam Houston Pkwy N E_6160_Stone Park I_Houston_17112</v>
      </c>
      <c r="L6215" s="104" t="s">
        <v>22253</v>
      </c>
      <c r="M6215" s="103" t="str">
        <f t="shared" si="488"/>
        <v>http://oconnordata.com/mlink/modules/profile/index.cfm?action=profile&amp;prop_id=17112</v>
      </c>
      <c r="N6215" s="1">
        <f t="shared" si="489"/>
        <v>17112</v>
      </c>
    </row>
    <row r="6216" spans="1:14" x14ac:dyDescent="0.3">
      <c r="A6216" s="97">
        <v>17113</v>
      </c>
      <c r="B6216" s="7" t="s">
        <v>2081</v>
      </c>
      <c r="C6216" s="12">
        <v>7740</v>
      </c>
      <c r="D6216" s="7" t="s">
        <v>9328</v>
      </c>
      <c r="E6216" s="13" t="s">
        <v>1657</v>
      </c>
      <c r="F6216" t="str">
        <f t="shared" si="485"/>
        <v>Little</v>
      </c>
      <c r="G6216" t="str">
        <f t="shared" si="486"/>
        <v>Little7740Houston</v>
      </c>
      <c r="H6216" t="s">
        <v>37072</v>
      </c>
      <c r="I6216" t="s">
        <v>28490</v>
      </c>
      <c r="J6216" t="str">
        <f t="shared" si="487"/>
        <v>E:\PropInv\MF</v>
      </c>
      <c r="K6216" s="103" t="str">
        <f>HYPERLINK("E:\PropInv\MF\Houston\Little York W_7740_Wynhaven at Hollister_Houston_17113","Little York W_7740_Wynhaven at Hollister_Houston_17113" )</f>
        <v>Little York W_7740_Wynhaven at Hollister_Houston_17113</v>
      </c>
      <c r="L6216" s="104" t="s">
        <v>22253</v>
      </c>
      <c r="M6216" s="103" t="str">
        <f t="shared" si="488"/>
        <v>http://oconnordata.com/mlink/modules/profile/index.cfm?action=profile&amp;prop_id=17113</v>
      </c>
      <c r="N6216" s="1">
        <f t="shared" si="489"/>
        <v>17113</v>
      </c>
    </row>
    <row r="6217" spans="1:14" x14ac:dyDescent="0.3">
      <c r="A6217" s="1">
        <v>17114</v>
      </c>
      <c r="B6217" s="7" t="s">
        <v>2106</v>
      </c>
      <c r="C6217" s="12">
        <v>7550</v>
      </c>
      <c r="D6217" s="7" t="s">
        <v>9329</v>
      </c>
      <c r="E6217" s="13" t="s">
        <v>1657</v>
      </c>
      <c r="F6217" t="str">
        <f t="shared" si="485"/>
        <v>Wilshire</v>
      </c>
      <c r="G6217" t="str">
        <f t="shared" si="486"/>
        <v>Wilshire7550Houston</v>
      </c>
      <c r="H6217" t="s">
        <v>37073</v>
      </c>
      <c r="I6217" t="s">
        <v>28491</v>
      </c>
      <c r="J6217" t="str">
        <f t="shared" si="487"/>
        <v>E:\PropInv\MF</v>
      </c>
      <c r="K6217" s="103" t="str">
        <f>HYPERLINK("E:\PropInv\MF\Houston\Wilshire Place_7550_Beverly Wilshire_Houston_17114","Wilshire Place_7550_Beverly Wilshire_Houston_17114" )</f>
        <v>Wilshire Place_7550_Beverly Wilshire_Houston_17114</v>
      </c>
      <c r="L6217" s="104" t="s">
        <v>22253</v>
      </c>
      <c r="M6217" s="103" t="str">
        <f t="shared" si="488"/>
        <v>http://oconnordata.com/mlink/modules/profile/index.cfm?action=profile&amp;prop_id=17114</v>
      </c>
      <c r="N6217" s="1">
        <f t="shared" si="489"/>
        <v>17114</v>
      </c>
    </row>
    <row r="6218" spans="1:14" x14ac:dyDescent="0.3">
      <c r="A6218" s="1">
        <v>17115</v>
      </c>
      <c r="B6218" s="7" t="s">
        <v>9330</v>
      </c>
      <c r="C6218" s="12">
        <v>3111</v>
      </c>
      <c r="D6218" s="7" t="s">
        <v>9331</v>
      </c>
      <c r="E6218" s="13" t="s">
        <v>1657</v>
      </c>
      <c r="F6218" t="str">
        <f t="shared" si="485"/>
        <v>Little</v>
      </c>
      <c r="G6218" t="str">
        <f t="shared" si="486"/>
        <v>Little3111Houston</v>
      </c>
      <c r="H6218" t="s">
        <v>37074</v>
      </c>
      <c r="I6218" t="s">
        <v>28492</v>
      </c>
      <c r="J6218" t="str">
        <f t="shared" si="487"/>
        <v>E:\PropInv\MF</v>
      </c>
      <c r="K6218" s="103" t="str">
        <f>HYPERLINK("E:\PropInv\MF\Houston\Little York Rd W_3111_Little York Villas_Houston_17115","Little York Rd W_3111_Little York Villas_Houston_17115" )</f>
        <v>Little York Rd W_3111_Little York Villas_Houston_17115</v>
      </c>
      <c r="L6218" s="104" t="s">
        <v>22253</v>
      </c>
      <c r="M6218" s="103" t="str">
        <f t="shared" si="488"/>
        <v>http://oconnordata.com/mlink/modules/profile/index.cfm?action=profile&amp;prop_id=17115</v>
      </c>
      <c r="N6218" s="1">
        <f t="shared" si="489"/>
        <v>17115</v>
      </c>
    </row>
    <row r="6219" spans="1:14" x14ac:dyDescent="0.3">
      <c r="A6219" s="1">
        <v>17122</v>
      </c>
      <c r="B6219" s="7" t="s">
        <v>1999</v>
      </c>
      <c r="C6219" s="12">
        <v>535</v>
      </c>
      <c r="D6219" s="7" t="s">
        <v>9332</v>
      </c>
      <c r="E6219" s="13" t="s">
        <v>1657</v>
      </c>
      <c r="F6219" t="str">
        <f t="shared" si="485"/>
        <v>Seminar</v>
      </c>
      <c r="G6219" t="str">
        <f t="shared" si="486"/>
        <v>Seminar535Houston</v>
      </c>
      <c r="H6219" t="s">
        <v>37075</v>
      </c>
      <c r="I6219" t="s">
        <v>28493</v>
      </c>
      <c r="J6219" t="str">
        <f t="shared" si="487"/>
        <v>E:\PropInv\MF</v>
      </c>
      <c r="K6219" s="103" t="str">
        <f>HYPERLINK("E:\PropInv\MF\Houston\Seminar Dr_535_Breckenridge at CityView I_Houston_17122","Seminar Dr_535_Breckenridge at CityView I_Houston_17122" )</f>
        <v>Seminar Dr_535_Breckenridge at CityView I_Houston_17122</v>
      </c>
      <c r="L6219" s="104" t="s">
        <v>22253</v>
      </c>
      <c r="M6219" s="103" t="str">
        <f t="shared" si="488"/>
        <v>http://oconnordata.com/mlink/modules/profile/index.cfm?action=profile&amp;prop_id=17122</v>
      </c>
      <c r="N6219" s="1">
        <f t="shared" si="489"/>
        <v>17122</v>
      </c>
    </row>
    <row r="6220" spans="1:14" x14ac:dyDescent="0.3">
      <c r="A6220" s="1">
        <v>17123</v>
      </c>
      <c r="B6220" s="10" t="s">
        <v>9333</v>
      </c>
      <c r="C6220" s="9" t="s">
        <v>9334</v>
      </c>
      <c r="D6220" s="10" t="s">
        <v>9335</v>
      </c>
      <c r="E6220" s="11" t="s">
        <v>1657</v>
      </c>
      <c r="F6220" t="str">
        <f t="shared" si="485"/>
        <v>Benmar</v>
      </c>
      <c r="G6220" t="str">
        <f t="shared" si="486"/>
        <v>Benmar301-355Houston</v>
      </c>
      <c r="H6220" t="s">
        <v>37076</v>
      </c>
      <c r="I6220" t="s">
        <v>28494</v>
      </c>
      <c r="J6220" t="str">
        <f t="shared" si="487"/>
        <v>E:\PropInv\MF</v>
      </c>
      <c r="K6220" s="103" t="str">
        <f>HYPERLINK("E:\PropInv\MF\Houston\Benmar Dr_301-355_CityView Place I_Houston_17123","Benmar Dr_301-355_CityView Place I_Houston_17123" )</f>
        <v>Benmar Dr_301-355_CityView Place I_Houston_17123</v>
      </c>
      <c r="L6220" s="104" t="s">
        <v>22253</v>
      </c>
      <c r="M6220" s="103" t="str">
        <f t="shared" si="488"/>
        <v>http://oconnordata.com/mlink/modules/profile/index.cfm?action=profile&amp;prop_id=17123</v>
      </c>
      <c r="N6220" s="1">
        <f t="shared" si="489"/>
        <v>17123</v>
      </c>
    </row>
    <row r="6221" spans="1:14" x14ac:dyDescent="0.3">
      <c r="A6221" s="1">
        <v>17124</v>
      </c>
      <c r="B6221" s="7" t="s">
        <v>1933</v>
      </c>
      <c r="C6221" s="12">
        <v>1303</v>
      </c>
      <c r="D6221" s="7" t="s">
        <v>9336</v>
      </c>
      <c r="E6221" s="13" t="s">
        <v>1657</v>
      </c>
      <c r="F6221" t="str">
        <f t="shared" si="485"/>
        <v>Greens</v>
      </c>
      <c r="G6221" t="str">
        <f t="shared" si="486"/>
        <v>Greens1303Houston</v>
      </c>
      <c r="H6221" t="s">
        <v>37077</v>
      </c>
      <c r="I6221" t="s">
        <v>28495</v>
      </c>
      <c r="J6221" t="str">
        <f t="shared" si="487"/>
        <v>E:\PropInv\MF</v>
      </c>
      <c r="K6221" s="103" t="str">
        <f>HYPERLINK("E:\PropInv\MF\Houston\Greens Pkwy_1303_Bristol Apts_Houston_17124","Greens Pkwy_1303_Bristol Apts_Houston_17124" )</f>
        <v>Greens Pkwy_1303_Bristol Apts_Houston_17124</v>
      </c>
      <c r="L6221" s="104" t="s">
        <v>22253</v>
      </c>
      <c r="M6221" s="103" t="str">
        <f t="shared" si="488"/>
        <v>http://oconnordata.com/mlink/modules/profile/index.cfm?action=profile&amp;prop_id=17124</v>
      </c>
      <c r="N6221" s="1">
        <f t="shared" si="489"/>
        <v>17124</v>
      </c>
    </row>
    <row r="6222" spans="1:14" x14ac:dyDescent="0.3">
      <c r="A6222" s="1">
        <v>17126</v>
      </c>
      <c r="B6222" s="7" t="s">
        <v>2389</v>
      </c>
      <c r="C6222" s="12">
        <v>4600</v>
      </c>
      <c r="D6222" s="7" t="s">
        <v>9337</v>
      </c>
      <c r="E6222" s="13" t="s">
        <v>1657</v>
      </c>
      <c r="F6222" t="str">
        <f t="shared" si="485"/>
        <v>Sherwood</v>
      </c>
      <c r="G6222" t="str">
        <f t="shared" si="486"/>
        <v>Sherwood4600Houston</v>
      </c>
      <c r="H6222" t="s">
        <v>37078</v>
      </c>
      <c r="I6222" t="s">
        <v>28496</v>
      </c>
      <c r="J6222" t="str">
        <f t="shared" si="487"/>
        <v>E:\PropInv\MF</v>
      </c>
      <c r="K6222" s="103" t="str">
        <f>HYPERLINK("E:\PropInv\MF\Houston\Sherwood Ln_4600_Ensbrook Le Moyne Apts_Houston_17126","Sherwood Ln_4600_Ensbrook Le Moyne Apts_Houston_17126" )</f>
        <v>Sherwood Ln_4600_Ensbrook Le Moyne Apts_Houston_17126</v>
      </c>
      <c r="L6222" s="104" t="s">
        <v>22253</v>
      </c>
      <c r="M6222" s="103" t="str">
        <f t="shared" si="488"/>
        <v>http://oconnordata.com/mlink/modules/profile/index.cfm?action=profile&amp;prop_id=17126</v>
      </c>
      <c r="N6222" s="1">
        <f t="shared" si="489"/>
        <v>17126</v>
      </c>
    </row>
    <row r="6223" spans="1:14" x14ac:dyDescent="0.3">
      <c r="A6223" s="1">
        <v>17127</v>
      </c>
      <c r="B6223" s="7" t="s">
        <v>9338</v>
      </c>
      <c r="C6223" s="12">
        <v>12400</v>
      </c>
      <c r="D6223" s="7" t="s">
        <v>9339</v>
      </c>
      <c r="E6223" s="13" t="s">
        <v>1657</v>
      </c>
      <c r="F6223" t="str">
        <f t="shared" si="485"/>
        <v>Castlebridge</v>
      </c>
      <c r="G6223" t="str">
        <f t="shared" si="486"/>
        <v>Castlebridge12400Houston</v>
      </c>
      <c r="H6223" t="s">
        <v>37079</v>
      </c>
      <c r="I6223" t="s">
        <v>28497</v>
      </c>
      <c r="J6223" t="str">
        <f t="shared" si="487"/>
        <v>E:\PropInv\MF</v>
      </c>
      <c r="K6223" s="103" t="str">
        <f>HYPERLINK("E:\PropInv\MF\Houston\Castlebridge Dr_12400_The Manor at Jersey Village_Houston_17127","Castlebridge Dr_12400_The Manor at Jersey Village_Houston_17127" )</f>
        <v>Castlebridge Dr_12400_The Manor at Jersey Village_Houston_17127</v>
      </c>
      <c r="L6223" s="104" t="s">
        <v>22253</v>
      </c>
      <c r="M6223" s="103" t="str">
        <f t="shared" si="488"/>
        <v>http://oconnordata.com/mlink/modules/profile/index.cfm?action=profile&amp;prop_id=17127</v>
      </c>
      <c r="N6223" s="1">
        <f t="shared" si="489"/>
        <v>17127</v>
      </c>
    </row>
    <row r="6224" spans="1:14" x14ac:dyDescent="0.3">
      <c r="A6224" s="1">
        <v>17128</v>
      </c>
      <c r="B6224" s="7" t="s">
        <v>2081</v>
      </c>
      <c r="C6224" s="12">
        <v>790</v>
      </c>
      <c r="D6224" s="7" t="s">
        <v>9340</v>
      </c>
      <c r="E6224" s="13" t="s">
        <v>1657</v>
      </c>
      <c r="F6224" t="str">
        <f t="shared" si="485"/>
        <v>Little</v>
      </c>
      <c r="G6224" t="str">
        <f t="shared" si="486"/>
        <v>Little790Houston</v>
      </c>
      <c r="H6224" t="s">
        <v>37080</v>
      </c>
      <c r="I6224" t="s">
        <v>28498</v>
      </c>
      <c r="J6224" t="str">
        <f t="shared" si="487"/>
        <v>E:\PropInv\MF</v>
      </c>
      <c r="K6224" s="103" t="str">
        <f>HYPERLINK("E:\PropInv\MF\Houston\Little York W_790_Lincoln Park Apts_Houston_17128","Little York W_790_Lincoln Park Apts_Houston_17128" )</f>
        <v>Little York W_790_Lincoln Park Apts_Houston_17128</v>
      </c>
      <c r="L6224" s="104" t="s">
        <v>22253</v>
      </c>
      <c r="M6224" s="103" t="str">
        <f t="shared" si="488"/>
        <v>http://oconnordata.com/mlink/modules/profile/index.cfm?action=profile&amp;prop_id=17128</v>
      </c>
      <c r="N6224" s="1">
        <f t="shared" si="489"/>
        <v>17128</v>
      </c>
    </row>
    <row r="6225" spans="1:14" x14ac:dyDescent="0.3">
      <c r="A6225" s="1">
        <v>17129</v>
      </c>
      <c r="B6225" s="10" t="s">
        <v>9341</v>
      </c>
      <c r="C6225" s="9">
        <v>7450</v>
      </c>
      <c r="D6225" s="10" t="s">
        <v>9342</v>
      </c>
      <c r="E6225" s="11" t="s">
        <v>1657</v>
      </c>
      <c r="F6225" t="str">
        <f t="shared" si="485"/>
        <v>Shepherd</v>
      </c>
      <c r="G6225" t="str">
        <f t="shared" si="486"/>
        <v>Shepherd7450Houston</v>
      </c>
      <c r="H6225" t="s">
        <v>37081</v>
      </c>
      <c r="I6225" t="s">
        <v>28499</v>
      </c>
      <c r="J6225" t="str">
        <f t="shared" si="487"/>
        <v>E:\PropInv\MF</v>
      </c>
      <c r="K6225" s="103" t="str">
        <f>HYPERLINK("E:\PropInv\MF\Houston\Shepherd Dr N_7450_Mayfair Park_Houston_17129","Shepherd Dr N_7450_Mayfair Park_Houston_17129" )</f>
        <v>Shepherd Dr N_7450_Mayfair Park_Houston_17129</v>
      </c>
      <c r="L6225" s="104" t="s">
        <v>22253</v>
      </c>
      <c r="M6225" s="103" t="str">
        <f t="shared" si="488"/>
        <v>http://oconnordata.com/mlink/modules/profile/index.cfm?action=profile&amp;prop_id=17129</v>
      </c>
      <c r="N6225" s="1">
        <f t="shared" si="489"/>
        <v>17129</v>
      </c>
    </row>
    <row r="6226" spans="1:14" x14ac:dyDescent="0.3">
      <c r="A6226" s="1">
        <v>17130</v>
      </c>
      <c r="B6226" s="7" t="s">
        <v>7913</v>
      </c>
      <c r="C6226" s="12">
        <v>6900</v>
      </c>
      <c r="D6226" s="7" t="s">
        <v>9343</v>
      </c>
      <c r="E6226" s="13" t="s">
        <v>2609</v>
      </c>
      <c r="F6226" t="str">
        <f t="shared" si="485"/>
        <v>Main</v>
      </c>
      <c r="G6226" t="str">
        <f t="shared" si="486"/>
        <v>Main6900Baytown</v>
      </c>
      <c r="H6226" t="s">
        <v>37082</v>
      </c>
      <c r="I6226" t="s">
        <v>28500</v>
      </c>
      <c r="J6226" t="str">
        <f t="shared" si="487"/>
        <v>E:\PropInv\MF</v>
      </c>
      <c r="K6226" s="103" t="str">
        <f>HYPERLINK("E:\PropInv\MF\Baytown\Main St N_6900_Bayview_Baytown_17130","Main St N_6900_Bayview_Baytown_17130" )</f>
        <v>Main St N_6900_Bayview_Baytown_17130</v>
      </c>
      <c r="L6226" s="104" t="s">
        <v>22253</v>
      </c>
      <c r="M6226" s="103" t="str">
        <f t="shared" si="488"/>
        <v>http://oconnordata.com/mlink/modules/profile/index.cfm?action=profile&amp;prop_id=17130</v>
      </c>
      <c r="N6226" s="1">
        <f t="shared" si="489"/>
        <v>17130</v>
      </c>
    </row>
    <row r="6227" spans="1:14" x14ac:dyDescent="0.3">
      <c r="A6227" s="1">
        <v>17131</v>
      </c>
      <c r="B6227" s="7" t="s">
        <v>9344</v>
      </c>
      <c r="C6227" s="12">
        <v>19780</v>
      </c>
      <c r="D6227" s="7" t="s">
        <v>9345</v>
      </c>
      <c r="E6227" s="13" t="s">
        <v>1763</v>
      </c>
      <c r="F6227" t="str">
        <f t="shared" si="485"/>
        <v>Atascocita</v>
      </c>
      <c r="G6227" t="str">
        <f t="shared" si="486"/>
        <v>Atascocita19780Humble</v>
      </c>
      <c r="H6227" t="s">
        <v>37083</v>
      </c>
      <c r="I6227" t="s">
        <v>28501</v>
      </c>
      <c r="J6227" t="str">
        <f t="shared" si="487"/>
        <v>E:\PropInv\MF</v>
      </c>
      <c r="K6227" s="103" t="str">
        <f>HYPERLINK("E:\PropInv\MF\Humble\Atascocita Shores Dr_19780_Lake Forest_Humble_17131","Atascocita Shores Dr_19780_Lake Forest_Humble_17131" )</f>
        <v>Atascocita Shores Dr_19780_Lake Forest_Humble_17131</v>
      </c>
      <c r="L6227" s="104" t="s">
        <v>22253</v>
      </c>
      <c r="M6227" s="103" t="str">
        <f t="shared" si="488"/>
        <v>http://oconnordata.com/mlink/modules/profile/index.cfm?action=profile&amp;prop_id=17131</v>
      </c>
      <c r="N6227" s="1">
        <f t="shared" si="489"/>
        <v>17131</v>
      </c>
    </row>
    <row r="6228" spans="1:14" x14ac:dyDescent="0.3">
      <c r="A6228" s="1">
        <v>17132</v>
      </c>
      <c r="B6228" s="7" t="s">
        <v>9346</v>
      </c>
      <c r="C6228" s="12">
        <v>25000</v>
      </c>
      <c r="D6228" s="7" t="s">
        <v>9347</v>
      </c>
      <c r="E6228" s="13" t="s">
        <v>1830</v>
      </c>
      <c r="F6228" t="str">
        <f t="shared" si="485"/>
        <v>2100</v>
      </c>
      <c r="G6228" t="str">
        <f t="shared" si="486"/>
        <v>210025000Huffman</v>
      </c>
      <c r="H6228" t="s">
        <v>37084</v>
      </c>
      <c r="I6228" t="s">
        <v>28502</v>
      </c>
      <c r="J6228" t="str">
        <f t="shared" si="487"/>
        <v>E:\PropInv\MF</v>
      </c>
      <c r="K6228" s="103" t="str">
        <f>HYPERLINK("E:\PropInv\MF\Huffman\2100 FM Rd_25000_Huffman Hollow_Huffman_17132","2100 FM Rd_25000_Huffman Hollow_Huffman_17132" )</f>
        <v>2100 FM Rd_25000_Huffman Hollow_Huffman_17132</v>
      </c>
      <c r="L6228" s="104" t="s">
        <v>22253</v>
      </c>
      <c r="M6228" s="103" t="str">
        <f t="shared" si="488"/>
        <v>http://oconnordata.com/mlink/modules/profile/index.cfm?action=profile&amp;prop_id=17132</v>
      </c>
      <c r="N6228" s="1">
        <f t="shared" si="489"/>
        <v>17132</v>
      </c>
    </row>
    <row r="6229" spans="1:14" x14ac:dyDescent="0.3">
      <c r="A6229" s="1">
        <v>17133</v>
      </c>
      <c r="B6229" s="7" t="s">
        <v>9348</v>
      </c>
      <c r="C6229" s="12">
        <v>20300</v>
      </c>
      <c r="D6229" s="7" t="s">
        <v>8749</v>
      </c>
      <c r="E6229" s="13" t="s">
        <v>2198</v>
      </c>
      <c r="F6229" t="str">
        <f t="shared" si="485"/>
        <v>Saums</v>
      </c>
      <c r="G6229" t="str">
        <f t="shared" si="486"/>
        <v>Saums20300Katy</v>
      </c>
      <c r="H6229" t="s">
        <v>37085</v>
      </c>
      <c r="I6229" t="s">
        <v>28503</v>
      </c>
      <c r="J6229" t="str">
        <f t="shared" si="487"/>
        <v>E:\PropInv\MF</v>
      </c>
      <c r="K6229" s="103" t="str">
        <f>HYPERLINK("E:\PropInv\MF\Katy\Saums Rd_20300_Providence Place I_Katy_17133","Saums Rd_20300_Providence Place I_Katy_17133" )</f>
        <v>Saums Rd_20300_Providence Place I_Katy_17133</v>
      </c>
      <c r="L6229" s="104" t="s">
        <v>22253</v>
      </c>
      <c r="M6229" s="103" t="str">
        <f t="shared" si="488"/>
        <v>http://oconnordata.com/mlink/modules/profile/index.cfm?action=profile&amp;prop_id=17133</v>
      </c>
      <c r="N6229" s="1">
        <f t="shared" si="489"/>
        <v>17133</v>
      </c>
    </row>
    <row r="6230" spans="1:14" x14ac:dyDescent="0.3">
      <c r="A6230" s="1">
        <v>17135</v>
      </c>
      <c r="B6230" s="7" t="s">
        <v>2511</v>
      </c>
      <c r="C6230" s="12">
        <v>10120</v>
      </c>
      <c r="D6230" s="7" t="s">
        <v>9349</v>
      </c>
      <c r="E6230" s="13" t="s">
        <v>1657</v>
      </c>
      <c r="F6230" t="str">
        <f t="shared" si="485"/>
        <v>Irvington</v>
      </c>
      <c r="G6230" t="str">
        <f t="shared" si="486"/>
        <v>Irvington10120Houston</v>
      </c>
      <c r="H6230" t="s">
        <v>37086</v>
      </c>
      <c r="I6230" t="s">
        <v>28504</v>
      </c>
      <c r="J6230" t="str">
        <f t="shared" si="487"/>
        <v>E:\PropInv\MF</v>
      </c>
      <c r="K6230" s="103" t="str">
        <f>HYPERLINK("E:\PropInv\MF\Houston\Irvington_10120_Villa del Sol Apts_Houston_17135","Irvington_10120_Villa del Sol Apts_Houston_17135" )</f>
        <v>Irvington_10120_Villa del Sol Apts_Houston_17135</v>
      </c>
      <c r="L6230" s="104" t="s">
        <v>22253</v>
      </c>
      <c r="M6230" s="103" t="str">
        <f t="shared" si="488"/>
        <v>http://oconnordata.com/mlink/modules/profile/index.cfm?action=profile&amp;prop_id=17135</v>
      </c>
      <c r="N6230" s="1">
        <f t="shared" si="489"/>
        <v>17135</v>
      </c>
    </row>
    <row r="6231" spans="1:14" x14ac:dyDescent="0.3">
      <c r="A6231" s="1">
        <v>17137</v>
      </c>
      <c r="B6231" s="7" t="s">
        <v>2015</v>
      </c>
      <c r="C6231" s="12">
        <v>131</v>
      </c>
      <c r="D6231" s="7" t="s">
        <v>9350</v>
      </c>
      <c r="E6231" s="13" t="s">
        <v>1657</v>
      </c>
      <c r="F6231" t="str">
        <f t="shared" si="485"/>
        <v>Aldine</v>
      </c>
      <c r="G6231" t="str">
        <f t="shared" si="486"/>
        <v>Aldine131Houston</v>
      </c>
      <c r="H6231" t="s">
        <v>37087</v>
      </c>
      <c r="I6231" t="s">
        <v>28505</v>
      </c>
      <c r="J6231" t="str">
        <f t="shared" si="487"/>
        <v>E:\PropInv\MF</v>
      </c>
      <c r="K6231" s="103" t="str">
        <f>HYPERLINK("E:\PropInv\MF\Houston\Aldine Bender_131_Primrose del Sol_Houston_17137","Aldine Bender_131_Primrose del Sol_Houston_17137" )</f>
        <v>Aldine Bender_131_Primrose del Sol_Houston_17137</v>
      </c>
      <c r="L6231" s="104" t="s">
        <v>22253</v>
      </c>
      <c r="M6231" s="103" t="str">
        <f t="shared" si="488"/>
        <v>http://oconnordata.com/mlink/modules/profile/index.cfm?action=profile&amp;prop_id=17137</v>
      </c>
      <c r="N6231" s="1">
        <f t="shared" si="489"/>
        <v>17137</v>
      </c>
    </row>
    <row r="6232" spans="1:14" x14ac:dyDescent="0.3">
      <c r="A6232" s="1">
        <v>17138</v>
      </c>
      <c r="B6232" s="7" t="s">
        <v>9351</v>
      </c>
      <c r="C6232" s="12">
        <v>18204</v>
      </c>
      <c r="D6232" s="7" t="s">
        <v>9352</v>
      </c>
      <c r="E6232" s="13" t="s">
        <v>1657</v>
      </c>
      <c r="F6232" t="str">
        <f t="shared" si="485"/>
        <v>Chisholm</v>
      </c>
      <c r="G6232" t="str">
        <f t="shared" si="486"/>
        <v>Chisholm18204Houston</v>
      </c>
      <c r="H6232" t="s">
        <v>37088</v>
      </c>
      <c r="I6232" t="s">
        <v>28506</v>
      </c>
      <c r="J6232" t="str">
        <f t="shared" si="487"/>
        <v>E:\PropInv\MF</v>
      </c>
      <c r="K6232" s="103" t="str">
        <f>HYPERLINK("E:\PropInv\MF\Houston\Chisholm Trl_18204_Chisholm Trail_Houston_17138","Chisholm Trl_18204_Chisholm Trail_Houston_17138" )</f>
        <v>Chisholm Trl_18204_Chisholm Trail_Houston_17138</v>
      </c>
      <c r="L6232" s="104" t="s">
        <v>22253</v>
      </c>
      <c r="M6232" s="103" t="str">
        <f t="shared" si="488"/>
        <v>http://oconnordata.com/mlink/modules/profile/index.cfm?action=profile&amp;prop_id=17138</v>
      </c>
      <c r="N6232" s="1">
        <f t="shared" si="489"/>
        <v>17138</v>
      </c>
    </row>
    <row r="6233" spans="1:14" x14ac:dyDescent="0.3">
      <c r="A6233" s="1">
        <v>17139</v>
      </c>
      <c r="B6233" s="7" t="s">
        <v>9353</v>
      </c>
      <c r="C6233" s="12">
        <v>15165</v>
      </c>
      <c r="D6233" s="7" t="s">
        <v>9354</v>
      </c>
      <c r="E6233" s="13" t="s">
        <v>1657</v>
      </c>
      <c r="F6233" t="str">
        <f t="shared" si="485"/>
        <v>Vickery</v>
      </c>
      <c r="G6233" t="str">
        <f t="shared" si="486"/>
        <v>Vickery15165Houston</v>
      </c>
      <c r="H6233" t="s">
        <v>37089</v>
      </c>
      <c r="I6233" t="s">
        <v>28507</v>
      </c>
      <c r="J6233" t="str">
        <f t="shared" si="487"/>
        <v>E:\PropInv\MF</v>
      </c>
      <c r="K6233" s="103" t="str">
        <f>HYPERLINK("E:\PropInv\MF\Houston\Vickery Dr_15165_Northland Woods_Houston_17139","Vickery Dr_15165_Northland Woods_Houston_17139" )</f>
        <v>Vickery Dr_15165_Northland Woods_Houston_17139</v>
      </c>
      <c r="L6233" s="104" t="s">
        <v>22253</v>
      </c>
      <c r="M6233" s="103" t="str">
        <f t="shared" si="488"/>
        <v>http://oconnordata.com/mlink/modules/profile/index.cfm?action=profile&amp;prop_id=17139</v>
      </c>
      <c r="N6233" s="1">
        <f t="shared" si="489"/>
        <v>17139</v>
      </c>
    </row>
    <row r="6234" spans="1:14" x14ac:dyDescent="0.3">
      <c r="A6234" s="1">
        <v>17141</v>
      </c>
      <c r="B6234" s="7" t="s">
        <v>9355</v>
      </c>
      <c r="C6234" s="12">
        <v>7150</v>
      </c>
      <c r="D6234" s="7" t="s">
        <v>9356</v>
      </c>
      <c r="E6234" s="13" t="s">
        <v>1763</v>
      </c>
      <c r="F6234" t="str">
        <f t="shared" si="485"/>
        <v>Foxbrick</v>
      </c>
      <c r="G6234" t="str">
        <f t="shared" si="486"/>
        <v>Foxbrick7150Humble</v>
      </c>
      <c r="H6234" t="s">
        <v>37090</v>
      </c>
      <c r="I6234" t="s">
        <v>28508</v>
      </c>
      <c r="J6234" t="str">
        <f t="shared" si="487"/>
        <v>E:\PropInv\MF</v>
      </c>
      <c r="K6234" s="103" t="str">
        <f>HYPERLINK("E:\PropInv\MF\Humble\Foxbrick Ln_7150_Villas at Foxbrick_Humble_17141","Foxbrick Ln_7150_Villas at Foxbrick_Humble_17141" )</f>
        <v>Foxbrick Ln_7150_Villas at Foxbrick_Humble_17141</v>
      </c>
      <c r="L6234" s="104" t="s">
        <v>22253</v>
      </c>
      <c r="M6234" s="103" t="str">
        <f t="shared" si="488"/>
        <v>http://oconnordata.com/mlink/modules/profile/index.cfm?action=profile&amp;prop_id=17141</v>
      </c>
      <c r="N6234" s="1">
        <f t="shared" si="489"/>
        <v>17141</v>
      </c>
    </row>
    <row r="6235" spans="1:14" x14ac:dyDescent="0.3">
      <c r="A6235" s="1">
        <v>17142</v>
      </c>
      <c r="B6235" s="7" t="s">
        <v>9357</v>
      </c>
      <c r="C6235" s="12">
        <v>9850</v>
      </c>
      <c r="D6235" s="7" t="s">
        <v>9358</v>
      </c>
      <c r="E6235" s="13" t="s">
        <v>1763</v>
      </c>
      <c r="F6235" t="str">
        <f t="shared" si="485"/>
        <v>J.M.</v>
      </c>
      <c r="G6235" t="str">
        <f t="shared" si="486"/>
        <v>J.M.9850Humble</v>
      </c>
      <c r="H6235" t="s">
        <v>37091</v>
      </c>
      <c r="I6235" t="s">
        <v>28509</v>
      </c>
      <c r="J6235" t="str">
        <f t="shared" si="487"/>
        <v>E:\PropInv\MF</v>
      </c>
      <c r="K6235" s="103" t="str">
        <f>HYPERLINK("E:\PropInv\MF\Humble\J.M. Hester_9850_Humble Memorial Gardens_Humble_17142","J.M. Hester_9850_Humble Memorial Gardens_Humble_17142" )</f>
        <v>J.M. Hester_9850_Humble Memorial Gardens_Humble_17142</v>
      </c>
      <c r="L6235" s="104" t="s">
        <v>22253</v>
      </c>
      <c r="M6235" s="103" t="str">
        <f t="shared" si="488"/>
        <v>http://oconnordata.com/mlink/modules/profile/index.cfm?action=profile&amp;prop_id=17142</v>
      </c>
      <c r="N6235" s="1">
        <f t="shared" si="489"/>
        <v>17142</v>
      </c>
    </row>
    <row r="6236" spans="1:14" x14ac:dyDescent="0.3">
      <c r="A6236" s="1">
        <v>17144</v>
      </c>
      <c r="B6236" s="7" t="s">
        <v>1875</v>
      </c>
      <c r="C6236" s="12">
        <v>9390</v>
      </c>
      <c r="D6236" s="7" t="s">
        <v>9359</v>
      </c>
      <c r="E6236" s="13" t="s">
        <v>1763</v>
      </c>
      <c r="F6236" t="str">
        <f t="shared" si="485"/>
        <v>1960</v>
      </c>
      <c r="G6236" t="str">
        <f t="shared" si="486"/>
        <v>19609390Humble</v>
      </c>
      <c r="H6236" t="s">
        <v>37092</v>
      </c>
      <c r="I6236" t="s">
        <v>28510</v>
      </c>
      <c r="J6236" t="str">
        <f t="shared" si="487"/>
        <v>E:\PropInv\MF</v>
      </c>
      <c r="K6236" s="103" t="str">
        <f>HYPERLINK("E:\PropInv\MF\Humble\1960 FM W_9390_Park at Humble_Humble_17144","1960 FM W_9390_Park at Humble_Humble_17144" )</f>
        <v>1960 FM W_9390_Park at Humble_Humble_17144</v>
      </c>
      <c r="L6236" s="104" t="s">
        <v>22253</v>
      </c>
      <c r="M6236" s="103" t="str">
        <f t="shared" si="488"/>
        <v>http://oconnordata.com/mlink/modules/profile/index.cfm?action=profile&amp;prop_id=17144</v>
      </c>
      <c r="N6236" s="1">
        <f t="shared" si="489"/>
        <v>17144</v>
      </c>
    </row>
    <row r="6237" spans="1:14" x14ac:dyDescent="0.3">
      <c r="A6237" s="1">
        <v>17145</v>
      </c>
      <c r="B6237" s="7" t="s">
        <v>9360</v>
      </c>
      <c r="C6237" s="12">
        <v>7215</v>
      </c>
      <c r="D6237" s="7" t="s">
        <v>9361</v>
      </c>
      <c r="E6237" s="13" t="s">
        <v>1671</v>
      </c>
      <c r="F6237" t="str">
        <f t="shared" si="485"/>
        <v>Spring</v>
      </c>
      <c r="G6237" t="str">
        <f t="shared" si="486"/>
        <v>Spring7215Spring</v>
      </c>
      <c r="H6237" t="s">
        <v>37093</v>
      </c>
      <c r="I6237" t="s">
        <v>28511</v>
      </c>
      <c r="J6237" t="str">
        <f t="shared" si="487"/>
        <v>E:\PropInv\MF</v>
      </c>
      <c r="K6237" s="103" t="str">
        <f>HYPERLINK("E:\PropInv\MF\Spring\Spring Cypress_7215_Stoneleigh on Spring Cypress_Spring_17145","Spring Cypress_7215_Stoneleigh on Spring Cypress_Spring_17145" )</f>
        <v>Spring Cypress_7215_Stoneleigh on Spring Cypress_Spring_17145</v>
      </c>
      <c r="L6237" s="104" t="s">
        <v>22253</v>
      </c>
      <c r="M6237" s="103" t="str">
        <f t="shared" si="488"/>
        <v>http://oconnordata.com/mlink/modules/profile/index.cfm?action=profile&amp;prop_id=17145</v>
      </c>
      <c r="N6237" s="1">
        <f t="shared" si="489"/>
        <v>17145</v>
      </c>
    </row>
    <row r="6238" spans="1:14" x14ac:dyDescent="0.3">
      <c r="A6238" s="1">
        <v>17146</v>
      </c>
      <c r="B6238" s="10" t="s">
        <v>9360</v>
      </c>
      <c r="C6238" s="9">
        <v>10810</v>
      </c>
      <c r="D6238" s="10" t="s">
        <v>9362</v>
      </c>
      <c r="E6238" s="11" t="s">
        <v>1646</v>
      </c>
      <c r="F6238" t="str">
        <f t="shared" si="485"/>
        <v>Spring</v>
      </c>
      <c r="G6238" t="str">
        <f t="shared" si="486"/>
        <v>Spring10810Tomball</v>
      </c>
      <c r="H6238" t="s">
        <v>37094</v>
      </c>
      <c r="I6238" t="s">
        <v>28512</v>
      </c>
      <c r="J6238" t="str">
        <f t="shared" si="487"/>
        <v>E:\PropInv\MF</v>
      </c>
      <c r="K6238" s="103" t="str">
        <f>HYPERLINK("E:\PropInv\MF\Tomball\Spring Cypress_10810_Stoneleigh Cypress Pointe_Tomball_17146","Spring Cypress_10810_Stoneleigh Cypress Pointe_Tomball_17146" )</f>
        <v>Spring Cypress_10810_Stoneleigh Cypress Pointe_Tomball_17146</v>
      </c>
      <c r="L6238" s="104" t="s">
        <v>22253</v>
      </c>
      <c r="M6238" s="103" t="str">
        <f t="shared" si="488"/>
        <v>http://oconnordata.com/mlink/modules/profile/index.cfm?action=profile&amp;prop_id=17146</v>
      </c>
      <c r="N6238" s="1">
        <f t="shared" si="489"/>
        <v>17146</v>
      </c>
    </row>
    <row r="6239" spans="1:14" x14ac:dyDescent="0.3">
      <c r="A6239" s="1">
        <v>17147</v>
      </c>
      <c r="B6239" s="7" t="s">
        <v>1854</v>
      </c>
      <c r="C6239" s="12">
        <v>10451</v>
      </c>
      <c r="D6239" s="7" t="s">
        <v>9363</v>
      </c>
      <c r="E6239" s="13" t="s">
        <v>1657</v>
      </c>
      <c r="F6239" t="str">
        <f t="shared" si="485"/>
        <v>Huffmeister</v>
      </c>
      <c r="G6239" t="str">
        <f t="shared" si="486"/>
        <v>Huffmeister10451Houston</v>
      </c>
      <c r="H6239" t="s">
        <v>37095</v>
      </c>
      <c r="I6239" t="s">
        <v>28513</v>
      </c>
      <c r="J6239" t="str">
        <f t="shared" si="487"/>
        <v>E:\PropInv\MF</v>
      </c>
      <c r="K6239" s="103" t="str">
        <f>HYPERLINK("E:\PropInv\MF\Houston\Huffmeister_10451_Pinnacle Apts_Houston_17147","Huffmeister_10451_Pinnacle Apts_Houston_17147" )</f>
        <v>Huffmeister_10451_Pinnacle Apts_Houston_17147</v>
      </c>
      <c r="L6239" s="104" t="s">
        <v>22253</v>
      </c>
      <c r="M6239" s="103" t="str">
        <f t="shared" si="488"/>
        <v>http://oconnordata.com/mlink/modules/profile/index.cfm?action=profile&amp;prop_id=17147</v>
      </c>
      <c r="N6239" s="1">
        <f t="shared" si="489"/>
        <v>17147</v>
      </c>
    </row>
    <row r="6240" spans="1:14" x14ac:dyDescent="0.3">
      <c r="A6240" s="1">
        <v>17148</v>
      </c>
      <c r="B6240" s="7" t="s">
        <v>9364</v>
      </c>
      <c r="C6240" s="12">
        <v>5335</v>
      </c>
      <c r="D6240" s="7" t="s">
        <v>9365</v>
      </c>
      <c r="E6240" s="13" t="s">
        <v>1657</v>
      </c>
      <c r="F6240" t="str">
        <f t="shared" si="485"/>
        <v>Aldine</v>
      </c>
      <c r="G6240" t="str">
        <f t="shared" si="486"/>
        <v>Aldine5335Houston</v>
      </c>
      <c r="H6240" t="s">
        <v>37096</v>
      </c>
      <c r="I6240" t="s">
        <v>28514</v>
      </c>
      <c r="J6240" t="str">
        <f t="shared" si="487"/>
        <v>E:\PropInv\MF</v>
      </c>
      <c r="K6240" s="103" t="str">
        <f>HYPERLINK("E:\PropInv\MF\Houston\Aldine Bender Rd_5335_Timber Ridge II_Houston_17148","Aldine Bender Rd_5335_Timber Ridge II_Houston_17148" )</f>
        <v>Aldine Bender Rd_5335_Timber Ridge II_Houston_17148</v>
      </c>
      <c r="L6240" s="104" t="s">
        <v>22253</v>
      </c>
      <c r="M6240" s="103" t="str">
        <f t="shared" si="488"/>
        <v>http://oconnordata.com/mlink/modules/profile/index.cfm?action=profile&amp;prop_id=17148</v>
      </c>
      <c r="N6240" s="1">
        <f t="shared" si="489"/>
        <v>17148</v>
      </c>
    </row>
    <row r="6241" spans="1:14" x14ac:dyDescent="0.3">
      <c r="A6241" s="1">
        <v>17150</v>
      </c>
      <c r="B6241" s="7" t="s">
        <v>9366</v>
      </c>
      <c r="C6241" s="12">
        <v>9100</v>
      </c>
      <c r="D6241" s="7" t="s">
        <v>6470</v>
      </c>
      <c r="E6241" s="13" t="s">
        <v>1657</v>
      </c>
      <c r="F6241" t="str">
        <f t="shared" si="485"/>
        <v>Mills</v>
      </c>
      <c r="G6241" t="str">
        <f t="shared" si="486"/>
        <v>Mills9100Houston</v>
      </c>
      <c r="H6241" t="s">
        <v>37097</v>
      </c>
      <c r="I6241" t="s">
        <v>28515</v>
      </c>
      <c r="J6241" t="str">
        <f t="shared" si="487"/>
        <v>E:\PropInv\MF</v>
      </c>
      <c r="K6241" s="103" t="str">
        <f>HYPERLINK("E:\PropInv\MF\Houston\Mills_9100_Wellington Park_Houston_17150","Mills_9100_Wellington Park_Houston_17150" )</f>
        <v>Mills_9100_Wellington Park_Houston_17150</v>
      </c>
      <c r="L6241" s="104" t="s">
        <v>22253</v>
      </c>
      <c r="M6241" s="103" t="str">
        <f t="shared" si="488"/>
        <v>http://oconnordata.com/mlink/modules/profile/index.cfm?action=profile&amp;prop_id=17150</v>
      </c>
      <c r="N6241" s="1">
        <f t="shared" si="489"/>
        <v>17150</v>
      </c>
    </row>
    <row r="6242" spans="1:14" x14ac:dyDescent="0.3">
      <c r="A6242" s="1">
        <v>17151</v>
      </c>
      <c r="B6242" s="7" t="s">
        <v>9367</v>
      </c>
      <c r="C6242" s="12">
        <v>12330</v>
      </c>
      <c r="D6242" s="7" t="s">
        <v>9368</v>
      </c>
      <c r="E6242" s="13" t="s">
        <v>1657</v>
      </c>
      <c r="F6242" t="str">
        <f t="shared" si="485"/>
        <v>Gessner</v>
      </c>
      <c r="G6242" t="str">
        <f t="shared" si="486"/>
        <v>Gessner12330Houston</v>
      </c>
      <c r="H6242" t="s">
        <v>37098</v>
      </c>
      <c r="I6242" t="s">
        <v>28516</v>
      </c>
      <c r="J6242" t="str">
        <f t="shared" si="487"/>
        <v>E:\PropInv\MF</v>
      </c>
      <c r="K6242" s="103" t="str">
        <f>HYPERLINK("E:\PropInv\MF\Houston\Gessner N_12330_The Lighthouse at Willowbrook_Houston_17151","Gessner N_12330_The Lighthouse at Willowbrook_Houston_17151" )</f>
        <v>Gessner N_12330_The Lighthouse at Willowbrook_Houston_17151</v>
      </c>
      <c r="L6242" s="104" t="s">
        <v>22253</v>
      </c>
      <c r="M6242" s="103" t="str">
        <f t="shared" si="488"/>
        <v>http://oconnordata.com/mlink/modules/profile/index.cfm?action=profile&amp;prop_id=17151</v>
      </c>
      <c r="N6242" s="1">
        <f t="shared" si="489"/>
        <v>17151</v>
      </c>
    </row>
    <row r="6243" spans="1:14" x14ac:dyDescent="0.3">
      <c r="A6243" s="1">
        <v>17153</v>
      </c>
      <c r="B6243" s="10" t="s">
        <v>9369</v>
      </c>
      <c r="C6243" s="9">
        <v>517</v>
      </c>
      <c r="D6243" s="10" t="s">
        <v>4980</v>
      </c>
      <c r="E6243" s="11" t="s">
        <v>1646</v>
      </c>
      <c r="F6243" t="str">
        <f t="shared" si="485"/>
        <v>School</v>
      </c>
      <c r="G6243" t="str">
        <f t="shared" si="486"/>
        <v>School517Tomball</v>
      </c>
      <c r="H6243" t="s">
        <v>37099</v>
      </c>
      <c r="I6243" t="s">
        <v>28517</v>
      </c>
      <c r="J6243" t="str">
        <f t="shared" si="487"/>
        <v>E:\PropInv\MF</v>
      </c>
      <c r="K6243" s="103" t="str">
        <f>HYPERLINK("E:\PropInv\MF\Tomball\School St_517_The Village_Tomball_17153","School St_517_The Village_Tomball_17153" )</f>
        <v>School St_517_The Village_Tomball_17153</v>
      </c>
      <c r="L6243" s="104" t="s">
        <v>22253</v>
      </c>
      <c r="M6243" s="103" t="str">
        <f t="shared" si="488"/>
        <v>http://oconnordata.com/mlink/modules/profile/index.cfm?action=profile&amp;prop_id=17153</v>
      </c>
      <c r="N6243" s="1">
        <f t="shared" si="489"/>
        <v>17153</v>
      </c>
    </row>
    <row r="6244" spans="1:14" x14ac:dyDescent="0.3">
      <c r="A6244" s="1">
        <v>17154</v>
      </c>
      <c r="B6244" s="7" t="s">
        <v>2143</v>
      </c>
      <c r="C6244" s="12">
        <v>11201</v>
      </c>
      <c r="D6244" s="7" t="s">
        <v>9370</v>
      </c>
      <c r="E6244" s="13" t="s">
        <v>1657</v>
      </c>
      <c r="F6244" t="str">
        <f t="shared" si="485"/>
        <v>Veterans</v>
      </c>
      <c r="G6244" t="str">
        <f t="shared" si="486"/>
        <v>Veterans11201Houston</v>
      </c>
      <c r="H6244" t="s">
        <v>37100</v>
      </c>
      <c r="I6244" t="s">
        <v>28518</v>
      </c>
      <c r="J6244" t="str">
        <f t="shared" si="487"/>
        <v>E:\PropInv\MF</v>
      </c>
      <c r="K6244" s="103" t="str">
        <f>HYPERLINK("E:\PropInv\MF\Houston\Veterans Memorial_11201_Champion TH on the Green_Houston_17154","Veterans Memorial_11201_Champion TH on the Green_Houston_17154" )</f>
        <v>Veterans Memorial_11201_Champion TH on the Green_Houston_17154</v>
      </c>
      <c r="L6244" s="104" t="s">
        <v>22253</v>
      </c>
      <c r="M6244" s="103" t="str">
        <f t="shared" si="488"/>
        <v>http://oconnordata.com/mlink/modules/profile/index.cfm?action=profile&amp;prop_id=17154</v>
      </c>
      <c r="N6244" s="1">
        <f t="shared" si="489"/>
        <v>17154</v>
      </c>
    </row>
    <row r="6245" spans="1:14" x14ac:dyDescent="0.3">
      <c r="A6245" s="1">
        <v>17157</v>
      </c>
      <c r="B6245" s="7" t="s">
        <v>9371</v>
      </c>
      <c r="C6245" s="12">
        <v>3133</v>
      </c>
      <c r="D6245" s="7" t="s">
        <v>9372</v>
      </c>
      <c r="E6245" s="13" t="s">
        <v>1657</v>
      </c>
      <c r="F6245" t="str">
        <f t="shared" si="485"/>
        <v>Cornerstone</v>
      </c>
      <c r="G6245" t="str">
        <f t="shared" si="486"/>
        <v>Cornerstone3133Houston</v>
      </c>
      <c r="H6245" t="s">
        <v>37101</v>
      </c>
      <c r="I6245" t="s">
        <v>28519</v>
      </c>
      <c r="J6245" t="str">
        <f t="shared" si="487"/>
        <v>E:\PropInv\MF</v>
      </c>
      <c r="K6245" s="103" t="str">
        <f>HYPERLINK("E:\PropInv\MF\Houston\Cornerstone Park Dr_3133_Cornerstone Village Apts_Houston_17157","Cornerstone Park Dr_3133_Cornerstone Village Apts_Houston_17157" )</f>
        <v>Cornerstone Park Dr_3133_Cornerstone Village Apts_Houston_17157</v>
      </c>
      <c r="L6245" s="104" t="s">
        <v>22253</v>
      </c>
      <c r="M6245" s="103" t="str">
        <f t="shared" si="488"/>
        <v>http://oconnordata.com/mlink/modules/profile/index.cfm?action=profile&amp;prop_id=17157</v>
      </c>
      <c r="N6245" s="1">
        <f t="shared" si="489"/>
        <v>17157</v>
      </c>
    </row>
    <row r="6246" spans="1:14" x14ac:dyDescent="0.3">
      <c r="A6246" s="1">
        <v>17158</v>
      </c>
      <c r="B6246" s="7" t="s">
        <v>1704</v>
      </c>
      <c r="C6246" s="12">
        <v>1601</v>
      </c>
      <c r="D6246" s="7" t="s">
        <v>9373</v>
      </c>
      <c r="E6246" s="13" t="s">
        <v>1671</v>
      </c>
      <c r="F6246" t="str">
        <f t="shared" si="485"/>
        <v>Louetta</v>
      </c>
      <c r="G6246" t="str">
        <f t="shared" si="486"/>
        <v>Louetta1601Spring</v>
      </c>
      <c r="H6246" t="s">
        <v>37102</v>
      </c>
      <c r="I6246" t="s">
        <v>28520</v>
      </c>
      <c r="J6246" t="str">
        <f t="shared" si="487"/>
        <v>E:\PropInv\MF</v>
      </c>
      <c r="K6246" s="103" t="str">
        <f>HYPERLINK("E:\PropInv\MF\Spring\Louetta Rd_1601_Louetta Village_Spring_17158","Louetta Rd_1601_Louetta Village_Spring_17158" )</f>
        <v>Louetta Rd_1601_Louetta Village_Spring_17158</v>
      </c>
      <c r="L6246" s="104" t="s">
        <v>22253</v>
      </c>
      <c r="M6246" s="103" t="str">
        <f t="shared" si="488"/>
        <v>http://oconnordata.com/mlink/modules/profile/index.cfm?action=profile&amp;prop_id=17158</v>
      </c>
      <c r="N6246" s="1">
        <f t="shared" si="489"/>
        <v>17158</v>
      </c>
    </row>
    <row r="6247" spans="1:14" x14ac:dyDescent="0.3">
      <c r="A6247" s="1">
        <v>17160</v>
      </c>
      <c r="B6247" s="7" t="s">
        <v>1704</v>
      </c>
      <c r="C6247" s="12">
        <v>5015</v>
      </c>
      <c r="D6247" s="7" t="s">
        <v>9374</v>
      </c>
      <c r="E6247" s="13" t="s">
        <v>1671</v>
      </c>
      <c r="F6247" t="str">
        <f t="shared" si="485"/>
        <v>Louetta</v>
      </c>
      <c r="G6247" t="str">
        <f t="shared" si="486"/>
        <v>Louetta5015Spring</v>
      </c>
      <c r="H6247" t="s">
        <v>37103</v>
      </c>
      <c r="I6247" t="s">
        <v>28521</v>
      </c>
      <c r="J6247" t="str">
        <f t="shared" si="487"/>
        <v>E:\PropInv\MF</v>
      </c>
      <c r="K6247" s="103" t="str">
        <f>HYPERLINK("E:\PropInv\MF\Spring\Louetta Rd_5015_The Villages at Louetta_Spring_17160","Louetta Rd_5015_The Villages at Louetta_Spring_17160" )</f>
        <v>Louetta Rd_5015_The Villages at Louetta_Spring_17160</v>
      </c>
      <c r="L6247" s="104" t="s">
        <v>22253</v>
      </c>
      <c r="M6247" s="103" t="str">
        <f t="shared" si="488"/>
        <v>http://oconnordata.com/mlink/modules/profile/index.cfm?action=profile&amp;prop_id=17160</v>
      </c>
      <c r="N6247" s="1">
        <f t="shared" si="489"/>
        <v>17160</v>
      </c>
    </row>
    <row r="6248" spans="1:14" x14ac:dyDescent="0.3">
      <c r="A6248" s="1">
        <v>17161</v>
      </c>
      <c r="B6248" s="21" t="s">
        <v>2093</v>
      </c>
      <c r="C6248" s="12">
        <v>9404</v>
      </c>
      <c r="D6248" s="7" t="s">
        <v>9375</v>
      </c>
      <c r="E6248" s="13" t="s">
        <v>1657</v>
      </c>
      <c r="F6248" t="str">
        <f t="shared" si="485"/>
        <v>W</v>
      </c>
      <c r="G6248" t="str">
        <f t="shared" si="486"/>
        <v>W9404Houston</v>
      </c>
      <c r="H6248" t="s">
        <v>37104</v>
      </c>
      <c r="I6248" t="s">
        <v>28522</v>
      </c>
      <c r="J6248" t="str">
        <f t="shared" si="487"/>
        <v>E:\PropInv\MF</v>
      </c>
      <c r="K6248" s="103" t="str">
        <f>HYPERLINK("E:\PropInv\MF\Houston\W Rd_9404_Watermarke Apts_Houston_17161","W Rd_9404_Watermarke Apts_Houston_17161" )</f>
        <v>W Rd_9404_Watermarke Apts_Houston_17161</v>
      </c>
      <c r="L6248" s="104" t="s">
        <v>22253</v>
      </c>
      <c r="M6248" s="103" t="str">
        <f t="shared" si="488"/>
        <v>http://oconnordata.com/mlink/modules/profile/index.cfm?action=profile&amp;prop_id=17161</v>
      </c>
      <c r="N6248" s="1">
        <f t="shared" si="489"/>
        <v>17161</v>
      </c>
    </row>
    <row r="6249" spans="1:14" x14ac:dyDescent="0.3">
      <c r="A6249" s="1">
        <v>17162</v>
      </c>
      <c r="B6249" s="7" t="s">
        <v>4885</v>
      </c>
      <c r="C6249" s="12">
        <v>300</v>
      </c>
      <c r="D6249" s="7" t="s">
        <v>9376</v>
      </c>
      <c r="E6249" s="13" t="s">
        <v>1657</v>
      </c>
      <c r="F6249" t="str">
        <f t="shared" si="485"/>
        <v>Woerner</v>
      </c>
      <c r="G6249" t="str">
        <f t="shared" si="486"/>
        <v>Woerner300Houston</v>
      </c>
      <c r="H6249" t="s">
        <v>37105</v>
      </c>
      <c r="I6249" t="s">
        <v>28523</v>
      </c>
      <c r="J6249" t="str">
        <f t="shared" si="487"/>
        <v>E:\PropInv\MF</v>
      </c>
      <c r="K6249" s="103" t="str">
        <f>HYPERLINK("E:\PropInv\MF\Houston\Woerner Rd_300_Lakebridge I_Houston_17162","Woerner Rd_300_Lakebridge I_Houston_17162" )</f>
        <v>Woerner Rd_300_Lakebridge I_Houston_17162</v>
      </c>
      <c r="L6249" s="104" t="s">
        <v>22253</v>
      </c>
      <c r="M6249" s="103" t="str">
        <f t="shared" si="488"/>
        <v>http://oconnordata.com/mlink/modules/profile/index.cfm?action=profile&amp;prop_id=17162</v>
      </c>
      <c r="N6249" s="1">
        <f t="shared" si="489"/>
        <v>17162</v>
      </c>
    </row>
    <row r="6250" spans="1:14" x14ac:dyDescent="0.3">
      <c r="A6250" s="1">
        <v>17163</v>
      </c>
      <c r="B6250" s="7" t="s">
        <v>9377</v>
      </c>
      <c r="C6250" s="12">
        <v>18200</v>
      </c>
      <c r="D6250" s="7" t="s">
        <v>9378</v>
      </c>
      <c r="E6250" s="13" t="s">
        <v>1657</v>
      </c>
      <c r="F6250" t="str">
        <f t="shared" si="485"/>
        <v>Westfield</v>
      </c>
      <c r="G6250" t="str">
        <f t="shared" si="486"/>
        <v>Westfield18200Houston</v>
      </c>
      <c r="H6250" t="s">
        <v>37106</v>
      </c>
      <c r="I6250" t="s">
        <v>28524</v>
      </c>
      <c r="J6250" t="str">
        <f t="shared" si="487"/>
        <v>E:\PropInv\MF</v>
      </c>
      <c r="K6250" s="103" t="str">
        <f>HYPERLINK("E:\PropInv\MF\Houston\Westfield Place_18200_Retreat at Cypress Station_Houston_17163","Westfield Place_18200_Retreat at Cypress Station_Houston_17163" )</f>
        <v>Westfield Place_18200_Retreat at Cypress Station_Houston_17163</v>
      </c>
      <c r="L6250" s="104" t="s">
        <v>22253</v>
      </c>
      <c r="M6250" s="103" t="str">
        <f t="shared" si="488"/>
        <v>http://oconnordata.com/mlink/modules/profile/index.cfm?action=profile&amp;prop_id=17163</v>
      </c>
      <c r="N6250" s="1">
        <f t="shared" si="489"/>
        <v>17163</v>
      </c>
    </row>
    <row r="6251" spans="1:14" x14ac:dyDescent="0.3">
      <c r="A6251" s="1">
        <v>17166</v>
      </c>
      <c r="B6251" s="7" t="s">
        <v>2729</v>
      </c>
      <c r="C6251" s="12">
        <v>11805</v>
      </c>
      <c r="D6251" s="7" t="s">
        <v>9379</v>
      </c>
      <c r="E6251" s="13" t="s">
        <v>1657</v>
      </c>
      <c r="F6251" t="str">
        <f t="shared" si="485"/>
        <v>Meadowglen</v>
      </c>
      <c r="G6251" t="str">
        <f t="shared" si="486"/>
        <v>Meadowglen11805Houston</v>
      </c>
      <c r="H6251" t="s">
        <v>37107</v>
      </c>
      <c r="I6251" t="s">
        <v>28525</v>
      </c>
      <c r="J6251" t="str">
        <f t="shared" si="487"/>
        <v>E:\PropInv\MF</v>
      </c>
      <c r="K6251" s="103" t="str">
        <f>HYPERLINK("E:\PropInv\MF\Houston\Meadowglen Ln_11805_Camden Royal Oaks I_Houston_17166","Meadowglen Ln_11805_Camden Royal Oaks I_Houston_17166" )</f>
        <v>Meadowglen Ln_11805_Camden Royal Oaks I_Houston_17166</v>
      </c>
      <c r="L6251" s="104" t="s">
        <v>22253</v>
      </c>
      <c r="M6251" s="103" t="str">
        <f t="shared" si="488"/>
        <v>http://oconnordata.com/mlink/modules/profile/index.cfm?action=profile&amp;prop_id=17166</v>
      </c>
      <c r="N6251" s="1">
        <f t="shared" si="489"/>
        <v>17166</v>
      </c>
    </row>
    <row r="6252" spans="1:14" x14ac:dyDescent="0.3">
      <c r="A6252" s="1">
        <v>17168</v>
      </c>
      <c r="B6252" s="7" t="s">
        <v>9380</v>
      </c>
      <c r="C6252" s="12">
        <v>2501</v>
      </c>
      <c r="D6252" s="7" t="s">
        <v>9381</v>
      </c>
      <c r="E6252" s="13" t="s">
        <v>5014</v>
      </c>
      <c r="F6252" t="str">
        <f t="shared" si="485"/>
        <v>Park</v>
      </c>
      <c r="G6252" t="str">
        <f t="shared" si="486"/>
        <v>Park2501Fort Worth</v>
      </c>
      <c r="H6252" t="s">
        <v>37108</v>
      </c>
      <c r="I6252" t="s">
        <v>28526</v>
      </c>
      <c r="J6252" t="str">
        <f t="shared" si="487"/>
        <v>E:\PropInv\MF</v>
      </c>
      <c r="K6252" s="103" t="str">
        <f>HYPERLINK("E:\PropInv\MF\Fort Worth\Park Ridge Ct_2501_The Berkeley_Fort Worth_17168","Park Ridge Ct_2501_The Berkeley_Fort Worth_17168" )</f>
        <v>Park Ridge Ct_2501_The Berkeley_Fort Worth_17168</v>
      </c>
      <c r="L6252" s="104" t="s">
        <v>22253</v>
      </c>
      <c r="M6252" s="103" t="str">
        <f t="shared" si="488"/>
        <v>http://oconnordata.com/mlink/modules/profile/index.cfm?action=profile&amp;prop_id=17168</v>
      </c>
      <c r="N6252" s="1">
        <f t="shared" si="489"/>
        <v>17168</v>
      </c>
    </row>
    <row r="6253" spans="1:14" x14ac:dyDescent="0.3">
      <c r="A6253" s="1">
        <v>17170</v>
      </c>
      <c r="B6253" s="7" t="s">
        <v>6556</v>
      </c>
      <c r="C6253" s="12">
        <v>160</v>
      </c>
      <c r="D6253" s="7" t="s">
        <v>9382</v>
      </c>
      <c r="E6253" s="13" t="s">
        <v>5055</v>
      </c>
      <c r="F6253" t="str">
        <f t="shared" si="485"/>
        <v>Vista</v>
      </c>
      <c r="G6253" t="str">
        <f t="shared" si="486"/>
        <v>Vista160Lewisville</v>
      </c>
      <c r="H6253" t="s">
        <v>37109</v>
      </c>
      <c r="I6253" t="s">
        <v>28527</v>
      </c>
      <c r="J6253" t="str">
        <f t="shared" si="487"/>
        <v>E:\PropInv\MF</v>
      </c>
      <c r="K6253" s="103" t="str">
        <f>HYPERLINK("E:\PropInv\MF\Lewisville\Vista Ridge Mall Dr E_160_Broadstone Vista Ridge_Lewisville_17170","Vista Ridge Mall Dr E_160_Broadstone Vista Ridge_Lewisville_17170" )</f>
        <v>Vista Ridge Mall Dr E_160_Broadstone Vista Ridge_Lewisville_17170</v>
      </c>
      <c r="L6253" s="104" t="s">
        <v>22253</v>
      </c>
      <c r="M6253" s="103" t="str">
        <f t="shared" si="488"/>
        <v>http://oconnordata.com/mlink/modules/profile/index.cfm?action=profile&amp;prop_id=17170</v>
      </c>
      <c r="N6253" s="1">
        <f t="shared" si="489"/>
        <v>17170</v>
      </c>
    </row>
    <row r="6254" spans="1:14" x14ac:dyDescent="0.3">
      <c r="A6254" s="1">
        <v>17171</v>
      </c>
      <c r="B6254" s="7" t="s">
        <v>9383</v>
      </c>
      <c r="C6254" s="12">
        <v>2626</v>
      </c>
      <c r="D6254" s="7" t="s">
        <v>9384</v>
      </c>
      <c r="E6254" s="13" t="s">
        <v>4996</v>
      </c>
      <c r="F6254" t="str">
        <f t="shared" si="485"/>
        <v>Reagan</v>
      </c>
      <c r="G6254" t="str">
        <f t="shared" si="486"/>
        <v>Reagan2626Dallas</v>
      </c>
      <c r="H6254" t="s">
        <v>37110</v>
      </c>
      <c r="I6254" t="s">
        <v>28528</v>
      </c>
      <c r="J6254" t="str">
        <f t="shared" si="487"/>
        <v>E:\PropInv\MF</v>
      </c>
      <c r="K6254" s="103" t="str">
        <f>HYPERLINK("E:\PropInv\MF\Dallas\Reagan St_2626_IMT Seville Uptown_Dallas_17171","Reagan St_2626_IMT Seville Uptown_Dallas_17171" )</f>
        <v>Reagan St_2626_IMT Seville Uptown_Dallas_17171</v>
      </c>
      <c r="L6254" s="104" t="s">
        <v>22253</v>
      </c>
      <c r="M6254" s="103" t="str">
        <f t="shared" si="488"/>
        <v>http://oconnordata.com/mlink/modules/profile/index.cfm?action=profile&amp;prop_id=17171</v>
      </c>
      <c r="N6254" s="1">
        <f t="shared" si="489"/>
        <v>17171</v>
      </c>
    </row>
    <row r="6255" spans="1:14" x14ac:dyDescent="0.3">
      <c r="A6255" s="1">
        <v>17172</v>
      </c>
      <c r="B6255" s="21" t="s">
        <v>2093</v>
      </c>
      <c r="C6255" s="12">
        <v>13330</v>
      </c>
      <c r="D6255" s="7" t="s">
        <v>9385</v>
      </c>
      <c r="E6255" s="13" t="s">
        <v>1657</v>
      </c>
      <c r="F6255" t="str">
        <f t="shared" si="485"/>
        <v>W</v>
      </c>
      <c r="G6255" t="str">
        <f t="shared" si="486"/>
        <v>W13330Houston</v>
      </c>
      <c r="H6255" t="s">
        <v>37111</v>
      </c>
      <c r="I6255" t="s">
        <v>28529</v>
      </c>
      <c r="J6255" t="str">
        <f t="shared" si="487"/>
        <v>E:\PropInv\MF</v>
      </c>
      <c r="K6255" s="103" t="str">
        <f>HYPERLINK("E:\PropInv\MF\Houston\W Rd_13330_Estancia San Miguel_Houston_17172","W Rd_13330_Estancia San Miguel_Houston_17172" )</f>
        <v>W Rd_13330_Estancia San Miguel_Houston_17172</v>
      </c>
      <c r="L6255" s="104" t="s">
        <v>22253</v>
      </c>
      <c r="M6255" s="103" t="str">
        <f t="shared" si="488"/>
        <v>http://oconnordata.com/mlink/modules/profile/index.cfm?action=profile&amp;prop_id=17172</v>
      </c>
      <c r="N6255" s="1">
        <f t="shared" si="489"/>
        <v>17172</v>
      </c>
    </row>
    <row r="6256" spans="1:14" x14ac:dyDescent="0.3">
      <c r="A6256" s="1">
        <v>17173</v>
      </c>
      <c r="B6256" s="7" t="s">
        <v>9386</v>
      </c>
      <c r="C6256" s="12">
        <v>3701</v>
      </c>
      <c r="D6256" s="7" t="s">
        <v>9387</v>
      </c>
      <c r="E6256" s="13" t="s">
        <v>5014</v>
      </c>
      <c r="F6256" t="str">
        <f t="shared" si="485"/>
        <v>Fossil</v>
      </c>
      <c r="G6256" t="str">
        <f t="shared" si="486"/>
        <v>Fossil3701Fort Worth</v>
      </c>
      <c r="H6256" t="s">
        <v>37112</v>
      </c>
      <c r="I6256" t="s">
        <v>28530</v>
      </c>
      <c r="J6256" t="str">
        <f t="shared" si="487"/>
        <v>E:\PropInv\MF</v>
      </c>
      <c r="K6256" s="103" t="str">
        <f>HYPERLINK("E:\PropInv\MF\Fort Worth\Fossil Creek_3701_Fairmont at Fossil Creek_Fort Worth_17173","Fossil Creek_3701_Fairmont at Fossil Creek_Fort Worth_17173" )</f>
        <v>Fossil Creek_3701_Fairmont at Fossil Creek_Fort Worth_17173</v>
      </c>
      <c r="L6256" s="104" t="s">
        <v>22253</v>
      </c>
      <c r="M6256" s="103" t="str">
        <f t="shared" si="488"/>
        <v>http://oconnordata.com/mlink/modules/profile/index.cfm?action=profile&amp;prop_id=17173</v>
      </c>
      <c r="N6256" s="1">
        <f t="shared" si="489"/>
        <v>17173</v>
      </c>
    </row>
    <row r="6257" spans="1:14" x14ac:dyDescent="0.3">
      <c r="A6257" s="1">
        <v>17175</v>
      </c>
      <c r="B6257" s="7" t="s">
        <v>9388</v>
      </c>
      <c r="C6257" s="12">
        <v>709</v>
      </c>
      <c r="D6257" s="7" t="s">
        <v>9389</v>
      </c>
      <c r="E6257" s="13" t="s">
        <v>7</v>
      </c>
      <c r="F6257" t="str">
        <f t="shared" si="485"/>
        <v>22nd</v>
      </c>
      <c r="G6257" t="str">
        <f t="shared" si="486"/>
        <v>22nd709Austin</v>
      </c>
      <c r="H6257" t="s">
        <v>37113</v>
      </c>
      <c r="I6257" t="s">
        <v>28531</v>
      </c>
      <c r="J6257" t="str">
        <f t="shared" si="487"/>
        <v>E:\PropInv\MF</v>
      </c>
      <c r="K6257" s="103" t="str">
        <f>HYPERLINK("E:\PropInv\MF\Austin\22nd St_709_The Quarters at Sterling House_Austin_17175","22nd St_709_The Quarters at Sterling House_Austin_17175" )</f>
        <v>22nd St_709_The Quarters at Sterling House_Austin_17175</v>
      </c>
      <c r="L6257" s="104" t="s">
        <v>22253</v>
      </c>
      <c r="M6257" s="103" t="str">
        <f t="shared" si="488"/>
        <v>http://oconnordata.com/mlink/modules/profile/index.cfm?action=profile&amp;prop_id=17175</v>
      </c>
      <c r="N6257" s="1">
        <f t="shared" si="489"/>
        <v>17175</v>
      </c>
    </row>
    <row r="6258" spans="1:14" x14ac:dyDescent="0.3">
      <c r="A6258" s="1">
        <v>17176</v>
      </c>
      <c r="B6258" s="7" t="s">
        <v>171</v>
      </c>
      <c r="C6258" s="12">
        <v>2707</v>
      </c>
      <c r="D6258" s="7" t="s">
        <v>9390</v>
      </c>
      <c r="E6258" s="13" t="s">
        <v>7</v>
      </c>
      <c r="F6258" t="str">
        <f t="shared" si="485"/>
        <v>Rio</v>
      </c>
      <c r="G6258" t="str">
        <f t="shared" si="486"/>
        <v>Rio2707Austin</v>
      </c>
      <c r="H6258" t="s">
        <v>37114</v>
      </c>
      <c r="I6258" t="s">
        <v>28532</v>
      </c>
      <c r="J6258" t="str">
        <f t="shared" si="487"/>
        <v>E:\PropInv\MF</v>
      </c>
      <c r="K6258" s="103" t="str">
        <f>HYPERLINK("E:\PropInv\MF\Austin\Rio Grande St_2707_The Quarters at Cameron House_Austin_17176","Rio Grande St_2707_The Quarters at Cameron House_Austin_17176" )</f>
        <v>Rio Grande St_2707_The Quarters at Cameron House_Austin_17176</v>
      </c>
      <c r="L6258" s="104" t="s">
        <v>22253</v>
      </c>
      <c r="M6258" s="103" t="str">
        <f t="shared" si="488"/>
        <v>http://oconnordata.com/mlink/modules/profile/index.cfm?action=profile&amp;prop_id=17176</v>
      </c>
      <c r="N6258" s="1">
        <f t="shared" si="489"/>
        <v>17176</v>
      </c>
    </row>
    <row r="6259" spans="1:14" x14ac:dyDescent="0.3">
      <c r="A6259" s="1">
        <v>17177</v>
      </c>
      <c r="B6259" s="7" t="s">
        <v>9391</v>
      </c>
      <c r="C6259" s="12">
        <v>2700</v>
      </c>
      <c r="D6259" s="7" t="s">
        <v>9392</v>
      </c>
      <c r="E6259" s="13" t="s">
        <v>7</v>
      </c>
      <c r="F6259" t="str">
        <f t="shared" si="485"/>
        <v>Nueces</v>
      </c>
      <c r="G6259" t="str">
        <f t="shared" si="486"/>
        <v>Nueces2700Austin</v>
      </c>
      <c r="H6259" t="s">
        <v>37115</v>
      </c>
      <c r="I6259" t="s">
        <v>28533</v>
      </c>
      <c r="J6259" t="str">
        <f t="shared" si="487"/>
        <v>E:\PropInv\MF</v>
      </c>
      <c r="K6259" s="103" t="str">
        <f>HYPERLINK("E:\PropInv\MF\Austin\Nueces St_2700_The Quarters at Montgomery House_Austin_17177","Nueces St_2700_The Quarters at Montgomery House_Austin_17177" )</f>
        <v>Nueces St_2700_The Quarters at Montgomery House_Austin_17177</v>
      </c>
      <c r="L6259" s="104" t="s">
        <v>22253</v>
      </c>
      <c r="M6259" s="103" t="str">
        <f t="shared" si="488"/>
        <v>http://oconnordata.com/mlink/modules/profile/index.cfm?action=profile&amp;prop_id=17177</v>
      </c>
      <c r="N6259" s="1">
        <f t="shared" si="489"/>
        <v>17177</v>
      </c>
    </row>
    <row r="6260" spans="1:14" x14ac:dyDescent="0.3">
      <c r="A6260" s="1">
        <v>17178</v>
      </c>
      <c r="B6260" s="19" t="s">
        <v>171</v>
      </c>
      <c r="C6260" s="18">
        <v>2215</v>
      </c>
      <c r="D6260" s="19" t="s">
        <v>9393</v>
      </c>
      <c r="E6260" s="20" t="s">
        <v>7</v>
      </c>
      <c r="F6260" t="str">
        <f t="shared" si="485"/>
        <v>Rio</v>
      </c>
      <c r="G6260" t="str">
        <f t="shared" si="486"/>
        <v>Rio2215Austin</v>
      </c>
      <c r="H6260" t="s">
        <v>37116</v>
      </c>
      <c r="I6260" t="s">
        <v>28534</v>
      </c>
      <c r="J6260" t="str">
        <f t="shared" si="487"/>
        <v>E:\PropInv\MF</v>
      </c>
      <c r="K6260" s="103" t="str">
        <f>HYPERLINK("E:\PropInv\MF\Austin\Rio Grande St_2215_The Quarters at Bandera House_Austin_17178","Rio Grande St_2215_The Quarters at Bandera House_Austin_17178" )</f>
        <v>Rio Grande St_2215_The Quarters at Bandera House_Austin_17178</v>
      </c>
      <c r="L6260" s="104" t="s">
        <v>22253</v>
      </c>
      <c r="M6260" s="103" t="str">
        <f t="shared" si="488"/>
        <v>http://oconnordata.com/mlink/modules/profile/index.cfm?action=profile&amp;prop_id=17178</v>
      </c>
      <c r="N6260" s="1">
        <f t="shared" si="489"/>
        <v>17178</v>
      </c>
    </row>
    <row r="6261" spans="1:14" x14ac:dyDescent="0.3">
      <c r="A6261" s="1">
        <v>17179</v>
      </c>
      <c r="B6261" s="7" t="s">
        <v>9394</v>
      </c>
      <c r="C6261" s="12">
        <v>2300</v>
      </c>
      <c r="D6261" s="7" t="s">
        <v>9395</v>
      </c>
      <c r="E6261" s="13" t="s">
        <v>7</v>
      </c>
      <c r="F6261" t="str">
        <f t="shared" si="485"/>
        <v>Nueces</v>
      </c>
      <c r="G6261" t="str">
        <f t="shared" si="486"/>
        <v>Nueces2300Austin</v>
      </c>
      <c r="H6261" t="s">
        <v>37117</v>
      </c>
      <c r="I6261" t="s">
        <v>28535</v>
      </c>
      <c r="J6261" t="str">
        <f t="shared" si="487"/>
        <v>E:\PropInv\MF</v>
      </c>
      <c r="K6261" s="103" t="str">
        <f>HYPERLINK("E:\PropInv\MF\Austin\Nueces_2300_The Quarters at Nueces House_Austin_17179","Nueces_2300_The Quarters at Nueces House_Austin_17179" )</f>
        <v>Nueces_2300_The Quarters at Nueces House_Austin_17179</v>
      </c>
      <c r="L6261" s="104" t="s">
        <v>22253</v>
      </c>
      <c r="M6261" s="103" t="str">
        <f t="shared" si="488"/>
        <v>http://oconnordata.com/mlink/modules/profile/index.cfm?action=profile&amp;prop_id=17179</v>
      </c>
      <c r="N6261" s="1">
        <f t="shared" si="489"/>
        <v>17179</v>
      </c>
    </row>
    <row r="6262" spans="1:14" x14ac:dyDescent="0.3">
      <c r="A6262" s="1">
        <v>17180</v>
      </c>
      <c r="B6262" s="7" t="s">
        <v>727</v>
      </c>
      <c r="C6262" s="12">
        <v>714</v>
      </c>
      <c r="D6262" s="7" t="s">
        <v>9396</v>
      </c>
      <c r="E6262" s="13" t="s">
        <v>7</v>
      </c>
      <c r="F6262" t="str">
        <f t="shared" si="485"/>
        <v>22nd</v>
      </c>
      <c r="G6262" t="str">
        <f t="shared" si="486"/>
        <v>22nd714Austin</v>
      </c>
      <c r="H6262" t="s">
        <v>37118</v>
      </c>
      <c r="I6262" t="s">
        <v>28536</v>
      </c>
      <c r="J6262" t="str">
        <f t="shared" si="487"/>
        <v>E:\PropInv\MF</v>
      </c>
      <c r="K6262" s="103" t="str">
        <f>HYPERLINK("E:\PropInv\MF\Austin\22nd St W_714_The Quarters at Grayson House_Austin_17180","22nd St W_714_The Quarters at Grayson House_Austin_17180" )</f>
        <v>22nd St W_714_The Quarters at Grayson House_Austin_17180</v>
      </c>
      <c r="L6262" s="104" t="s">
        <v>22253</v>
      </c>
      <c r="M6262" s="103" t="str">
        <f t="shared" si="488"/>
        <v>http://oconnordata.com/mlink/modules/profile/index.cfm?action=profile&amp;prop_id=17180</v>
      </c>
      <c r="N6262" s="1">
        <f t="shared" si="489"/>
        <v>17180</v>
      </c>
    </row>
    <row r="6263" spans="1:14" x14ac:dyDescent="0.3">
      <c r="A6263" s="1">
        <v>17181</v>
      </c>
      <c r="B6263" s="7" t="s">
        <v>9397</v>
      </c>
      <c r="C6263" s="12">
        <v>2815</v>
      </c>
      <c r="D6263" s="7" t="s">
        <v>9398</v>
      </c>
      <c r="E6263" s="13" t="s">
        <v>7</v>
      </c>
      <c r="F6263" t="str">
        <f t="shared" si="485"/>
        <v>Guadalupe</v>
      </c>
      <c r="G6263" t="str">
        <f t="shared" si="486"/>
        <v>Guadalupe2815Austin</v>
      </c>
      <c r="H6263" t="s">
        <v>37119</v>
      </c>
      <c r="I6263" t="s">
        <v>28537</v>
      </c>
      <c r="J6263" t="str">
        <f t="shared" si="487"/>
        <v>E:\PropInv\MF</v>
      </c>
      <c r="K6263" s="103" t="str">
        <f>HYPERLINK("E:\PropInv\MF\Austin\Guadalupe St_2815_The Venue on Guadalupe_Austin_17181","Guadalupe St_2815_The Venue on Guadalupe_Austin_17181" )</f>
        <v>Guadalupe St_2815_The Venue on Guadalupe_Austin_17181</v>
      </c>
      <c r="L6263" s="104" t="s">
        <v>22253</v>
      </c>
      <c r="M6263" s="103" t="str">
        <f t="shared" si="488"/>
        <v>http://oconnordata.com/mlink/modules/profile/index.cfm?action=profile&amp;prop_id=17181</v>
      </c>
      <c r="N6263" s="1">
        <f t="shared" si="489"/>
        <v>17181</v>
      </c>
    </row>
    <row r="6264" spans="1:14" x14ac:dyDescent="0.3">
      <c r="A6264" s="1">
        <v>17182</v>
      </c>
      <c r="B6264" s="7" t="s">
        <v>9399</v>
      </c>
      <c r="C6264" s="12">
        <v>1750</v>
      </c>
      <c r="D6264" s="7" t="s">
        <v>9400</v>
      </c>
      <c r="E6264" s="13" t="s">
        <v>4563</v>
      </c>
      <c r="F6264" t="str">
        <f t="shared" si="485"/>
        <v>League</v>
      </c>
      <c r="G6264" t="str">
        <f t="shared" si="486"/>
        <v>League1750League City</v>
      </c>
      <c r="H6264" t="s">
        <v>37120</v>
      </c>
      <c r="I6264" t="s">
        <v>28538</v>
      </c>
      <c r="J6264" t="str">
        <f t="shared" si="487"/>
        <v>E:\PropInv\MF</v>
      </c>
      <c r="K6264" s="103" t="str">
        <f>HYPERLINK("E:\PropInv\MF\League City\League City Pkwy_1750_Ravello at Tuscan Lakes_League City_17182","League City Pkwy_1750_Ravello at Tuscan Lakes_League City_17182" )</f>
        <v>League City Pkwy_1750_Ravello at Tuscan Lakes_League City_17182</v>
      </c>
      <c r="L6264" s="104" t="s">
        <v>22253</v>
      </c>
      <c r="M6264" s="103" t="str">
        <f t="shared" si="488"/>
        <v>http://oconnordata.com/mlink/modules/profile/index.cfm?action=profile&amp;prop_id=17182</v>
      </c>
      <c r="N6264" s="1">
        <f t="shared" si="489"/>
        <v>17182</v>
      </c>
    </row>
    <row r="6265" spans="1:14" x14ac:dyDescent="0.3">
      <c r="A6265" s="1">
        <v>17183</v>
      </c>
      <c r="B6265" s="7" t="s">
        <v>9401</v>
      </c>
      <c r="C6265" s="12">
        <v>825</v>
      </c>
      <c r="D6265" s="7" t="s">
        <v>9402</v>
      </c>
      <c r="E6265" s="13" t="s">
        <v>990</v>
      </c>
      <c r="F6265" t="str">
        <f t="shared" si="485"/>
        <v>Johns</v>
      </c>
      <c r="G6265" t="str">
        <f t="shared" si="486"/>
        <v>Johns825Boerne</v>
      </c>
      <c r="H6265" t="s">
        <v>37121</v>
      </c>
      <c r="I6265" t="s">
        <v>28539</v>
      </c>
      <c r="J6265" t="str">
        <f t="shared" si="487"/>
        <v>E:\PropInv\MF</v>
      </c>
      <c r="K6265" s="103" t="str">
        <f>HYPERLINK("E:\PropInv\MF\Boerne\Johns Rd_825_The Carrington Place I_Boerne_17183","Johns Rd_825_The Carrington Place I_Boerne_17183" )</f>
        <v>Johns Rd_825_The Carrington Place I_Boerne_17183</v>
      </c>
      <c r="L6265" s="104" t="s">
        <v>22253</v>
      </c>
      <c r="M6265" s="103" t="str">
        <f t="shared" si="488"/>
        <v>http://oconnordata.com/mlink/modules/profile/index.cfm?action=profile&amp;prop_id=17183</v>
      </c>
      <c r="N6265" s="1">
        <f t="shared" si="489"/>
        <v>17183</v>
      </c>
    </row>
    <row r="6266" spans="1:14" x14ac:dyDescent="0.3">
      <c r="A6266" s="1">
        <v>17184</v>
      </c>
      <c r="B6266" s="10" t="s">
        <v>9401</v>
      </c>
      <c r="C6266" s="9">
        <v>825</v>
      </c>
      <c r="D6266" s="10" t="s">
        <v>9403</v>
      </c>
      <c r="E6266" s="11" t="s">
        <v>990</v>
      </c>
      <c r="F6266" t="str">
        <f t="shared" si="485"/>
        <v>Johns</v>
      </c>
      <c r="G6266" t="str">
        <f t="shared" si="486"/>
        <v>Johns825Boerne</v>
      </c>
      <c r="H6266" t="s">
        <v>37122</v>
      </c>
      <c r="I6266" t="s">
        <v>28540</v>
      </c>
      <c r="J6266" t="str">
        <f t="shared" si="487"/>
        <v>E:\PropInv\MF</v>
      </c>
      <c r="K6266" s="103" t="str">
        <f>HYPERLINK("E:\PropInv\MF\Boerne\Johns Rd_825_The Carrington Place II_Boerne_17184","Johns Rd_825_The Carrington Place II_Boerne_17184" )</f>
        <v>Johns Rd_825_The Carrington Place II_Boerne_17184</v>
      </c>
      <c r="L6266" s="104" t="s">
        <v>22253</v>
      </c>
      <c r="M6266" s="103" t="str">
        <f t="shared" si="488"/>
        <v>http://oconnordata.com/mlink/modules/profile/index.cfm?action=profile&amp;prop_id=17184</v>
      </c>
      <c r="N6266" s="1">
        <f t="shared" si="489"/>
        <v>17184</v>
      </c>
    </row>
    <row r="6267" spans="1:14" x14ac:dyDescent="0.3">
      <c r="A6267" s="1">
        <v>17185</v>
      </c>
      <c r="B6267" s="7" t="s">
        <v>9404</v>
      </c>
      <c r="C6267" s="12">
        <v>2821</v>
      </c>
      <c r="D6267" s="7" t="s">
        <v>9405</v>
      </c>
      <c r="E6267" s="13" t="s">
        <v>1657</v>
      </c>
      <c r="F6267" t="str">
        <f t="shared" si="485"/>
        <v>Canal</v>
      </c>
      <c r="G6267" t="str">
        <f t="shared" si="486"/>
        <v>Canal2821Houston</v>
      </c>
      <c r="H6267" t="s">
        <v>37123</v>
      </c>
      <c r="I6267" t="s">
        <v>28541</v>
      </c>
      <c r="J6267" t="str">
        <f t="shared" si="487"/>
        <v>E:\PropInv\MF</v>
      </c>
      <c r="K6267" s="103" t="str">
        <f>HYPERLINK("E:\PropInv\MF\Houston\Canal St_2821_Canal Street Apts_Houston_17185","Canal St_2821_Canal Street Apts_Houston_17185" )</f>
        <v>Canal St_2821_Canal Street Apts_Houston_17185</v>
      </c>
      <c r="L6267" s="104" t="s">
        <v>22253</v>
      </c>
      <c r="M6267" s="103" t="str">
        <f t="shared" si="488"/>
        <v>http://oconnordata.com/mlink/modules/profile/index.cfm?action=profile&amp;prop_id=17185</v>
      </c>
      <c r="N6267" s="1">
        <f t="shared" si="489"/>
        <v>17185</v>
      </c>
    </row>
    <row r="6268" spans="1:14" x14ac:dyDescent="0.3">
      <c r="A6268" s="1">
        <v>17186</v>
      </c>
      <c r="B6268" s="7" t="s">
        <v>9406</v>
      </c>
      <c r="C6268" s="12">
        <v>4928</v>
      </c>
      <c r="D6268" s="7" t="s">
        <v>9407</v>
      </c>
      <c r="E6268" s="13" t="s">
        <v>5014</v>
      </c>
      <c r="F6268" t="str">
        <f t="shared" si="485"/>
        <v>El</v>
      </c>
      <c r="G6268" t="str">
        <f t="shared" si="486"/>
        <v>El4928Fort Worth</v>
      </c>
      <c r="H6268" t="s">
        <v>37124</v>
      </c>
      <c r="I6268" t="s">
        <v>28542</v>
      </c>
      <c r="J6268" t="str">
        <f t="shared" si="487"/>
        <v>E:\PropInv\MF</v>
      </c>
      <c r="K6268" s="103" t="str">
        <f>HYPERLINK("E:\PropInv\MF\Fort Worth\El Campo Ave_4928_Whisperwind Apts_Fort Worth_17186","El Campo Ave_4928_Whisperwind Apts_Fort Worth_17186" )</f>
        <v>El Campo Ave_4928_Whisperwind Apts_Fort Worth_17186</v>
      </c>
      <c r="L6268" s="104" t="s">
        <v>22253</v>
      </c>
      <c r="M6268" s="103" t="str">
        <f t="shared" si="488"/>
        <v>http://oconnordata.com/mlink/modules/profile/index.cfm?action=profile&amp;prop_id=17186</v>
      </c>
      <c r="N6268" s="1">
        <f t="shared" si="489"/>
        <v>17186</v>
      </c>
    </row>
    <row r="6269" spans="1:14" x14ac:dyDescent="0.3">
      <c r="A6269" s="1">
        <v>17187</v>
      </c>
      <c r="B6269" s="7" t="s">
        <v>2677</v>
      </c>
      <c r="C6269" s="12">
        <v>3660</v>
      </c>
      <c r="D6269" s="7" t="s">
        <v>9408</v>
      </c>
      <c r="E6269" s="13" t="s">
        <v>1657</v>
      </c>
      <c r="F6269" t="str">
        <f t="shared" si="485"/>
        <v>Richmond</v>
      </c>
      <c r="G6269" t="str">
        <f t="shared" si="486"/>
        <v>Richmond3660Houston</v>
      </c>
      <c r="H6269" t="s">
        <v>37125</v>
      </c>
      <c r="I6269" t="s">
        <v>28543</v>
      </c>
      <c r="J6269" t="str">
        <f t="shared" si="487"/>
        <v>E:\PropInv\MF</v>
      </c>
      <c r="K6269" s="103" t="str">
        <f>HYPERLINK("E:\PropInv\MF\Houston\Richmond Ave_3660_36Sixty_Houston_17187","Richmond Ave_3660_36Sixty_Houston_17187" )</f>
        <v>Richmond Ave_3660_36Sixty_Houston_17187</v>
      </c>
      <c r="L6269" s="104" t="s">
        <v>22253</v>
      </c>
      <c r="M6269" s="103" t="str">
        <f t="shared" si="488"/>
        <v>http://oconnordata.com/mlink/modules/profile/index.cfm?action=profile&amp;prop_id=17187</v>
      </c>
      <c r="N6269" s="1">
        <f t="shared" si="489"/>
        <v>17187</v>
      </c>
    </row>
    <row r="6270" spans="1:14" x14ac:dyDescent="0.3">
      <c r="A6270" s="1">
        <v>17188</v>
      </c>
      <c r="B6270" s="7" t="s">
        <v>9409</v>
      </c>
      <c r="C6270" s="12">
        <v>18979</v>
      </c>
      <c r="D6270" s="7" t="s">
        <v>9410</v>
      </c>
      <c r="E6270" s="13" t="s">
        <v>842</v>
      </c>
      <c r="F6270" t="str">
        <f t="shared" si="485"/>
        <v>Redland</v>
      </c>
      <c r="G6270" t="str">
        <f t="shared" si="486"/>
        <v>Redland18979San Antonio</v>
      </c>
      <c r="H6270" t="s">
        <v>37126</v>
      </c>
      <c r="I6270" t="s">
        <v>28544</v>
      </c>
      <c r="J6270" t="str">
        <f t="shared" si="487"/>
        <v>E:\PropInv\MF</v>
      </c>
      <c r="K6270" s="103" t="str">
        <f>HYPERLINK("E:\PropInv\MF\San Antonio\Redland Rd_18979_The Oaks of Redland_San Antonio_17188","Redland Rd_18979_The Oaks of Redland_San Antonio_17188" )</f>
        <v>Redland Rd_18979_The Oaks of Redland_San Antonio_17188</v>
      </c>
      <c r="L6270" s="104" t="s">
        <v>22253</v>
      </c>
      <c r="M6270" s="103" t="str">
        <f t="shared" si="488"/>
        <v>http://oconnordata.com/mlink/modules/profile/index.cfm?action=profile&amp;prop_id=17188</v>
      </c>
      <c r="N6270" s="1">
        <f t="shared" si="489"/>
        <v>17188</v>
      </c>
    </row>
    <row r="6271" spans="1:14" x14ac:dyDescent="0.3">
      <c r="A6271" s="1">
        <v>17189</v>
      </c>
      <c r="B6271" s="7" t="s">
        <v>9411</v>
      </c>
      <c r="C6271" s="12">
        <v>6900</v>
      </c>
      <c r="D6271" s="7" t="s">
        <v>9412</v>
      </c>
      <c r="E6271" s="13" t="s">
        <v>5180</v>
      </c>
      <c r="F6271" t="str">
        <f t="shared" si="485"/>
        <v>Sumner</v>
      </c>
      <c r="G6271" t="str">
        <f t="shared" si="486"/>
        <v>Sumner6900The Colony</v>
      </c>
      <c r="H6271" t="s">
        <v>37127</v>
      </c>
      <c r="I6271" t="s">
        <v>28545</v>
      </c>
      <c r="J6271" t="str">
        <f t="shared" si="487"/>
        <v>E:\PropInv\MF</v>
      </c>
      <c r="K6271" s="103" t="str">
        <f>HYPERLINK("E:\PropInv\MF\The Colony\Sumner St_6900_Austin Ranch I-Trails_The Colony_17189","Sumner St_6900_Austin Ranch I-Trails_The Colony_17189" )</f>
        <v>Sumner St_6900_Austin Ranch I-Trails_The Colony_17189</v>
      </c>
      <c r="L6271" s="104" t="s">
        <v>22253</v>
      </c>
      <c r="M6271" s="103" t="str">
        <f t="shared" si="488"/>
        <v>http://oconnordata.com/mlink/modules/profile/index.cfm?action=profile&amp;prop_id=17189</v>
      </c>
      <c r="N6271" s="1">
        <f t="shared" si="489"/>
        <v>17189</v>
      </c>
    </row>
    <row r="6272" spans="1:14" x14ac:dyDescent="0.3">
      <c r="A6272" s="1">
        <v>17190</v>
      </c>
      <c r="B6272" s="7" t="s">
        <v>9411</v>
      </c>
      <c r="C6272" s="12">
        <v>6900</v>
      </c>
      <c r="D6272" s="7" t="s">
        <v>9413</v>
      </c>
      <c r="E6272" s="13" t="s">
        <v>5180</v>
      </c>
      <c r="F6272" t="str">
        <f t="shared" si="485"/>
        <v>Sumner</v>
      </c>
      <c r="G6272" t="str">
        <f t="shared" si="486"/>
        <v>Sumner6900The Colony</v>
      </c>
      <c r="H6272" t="s">
        <v>37128</v>
      </c>
      <c r="I6272" t="s">
        <v>28546</v>
      </c>
      <c r="J6272" t="str">
        <f t="shared" si="487"/>
        <v>E:\PropInv\MF</v>
      </c>
      <c r="K6272" s="103" t="str">
        <f>HYPERLINK("E:\PropInv\MF\The Colony\Sumner St_6900_Austin Ranch II-Plaza_The Colony_17190","Sumner St_6900_Austin Ranch II-Plaza_The Colony_17190" )</f>
        <v>Sumner St_6900_Austin Ranch II-Plaza_The Colony_17190</v>
      </c>
      <c r="L6272" s="104" t="s">
        <v>22253</v>
      </c>
      <c r="M6272" s="103" t="str">
        <f t="shared" si="488"/>
        <v>http://oconnordata.com/mlink/modules/profile/index.cfm?action=profile&amp;prop_id=17190</v>
      </c>
      <c r="N6272" s="1">
        <f t="shared" si="489"/>
        <v>17190</v>
      </c>
    </row>
    <row r="6273" spans="1:14" x14ac:dyDescent="0.3">
      <c r="A6273" s="1">
        <v>17191</v>
      </c>
      <c r="B6273" s="7" t="s">
        <v>9411</v>
      </c>
      <c r="C6273" s="12">
        <v>6900</v>
      </c>
      <c r="D6273" s="7" t="s">
        <v>9414</v>
      </c>
      <c r="E6273" s="13" t="s">
        <v>5180</v>
      </c>
      <c r="F6273" t="str">
        <f t="shared" si="485"/>
        <v>Sumner</v>
      </c>
      <c r="G6273" t="str">
        <f t="shared" si="486"/>
        <v>Sumner6900The Colony</v>
      </c>
      <c r="H6273" t="s">
        <v>37129</v>
      </c>
      <c r="I6273" t="s">
        <v>28547</v>
      </c>
      <c r="J6273" t="str">
        <f t="shared" si="487"/>
        <v>E:\PropInv\MF</v>
      </c>
      <c r="K6273" s="103" t="str">
        <f>HYPERLINK("E:\PropInv\MF\The Colony\Sumner St_6900_Austin Ranch III-Gardens_The Colony_17191","Sumner St_6900_Austin Ranch III-Gardens_The Colony_17191" )</f>
        <v>Sumner St_6900_Austin Ranch III-Gardens_The Colony_17191</v>
      </c>
      <c r="L6273" s="104" t="s">
        <v>22253</v>
      </c>
      <c r="M6273" s="103" t="str">
        <f t="shared" si="488"/>
        <v>http://oconnordata.com/mlink/modules/profile/index.cfm?action=profile&amp;prop_id=17191</v>
      </c>
      <c r="N6273" s="1">
        <f t="shared" si="489"/>
        <v>17191</v>
      </c>
    </row>
    <row r="6274" spans="1:14" x14ac:dyDescent="0.3">
      <c r="A6274" s="1">
        <v>17192</v>
      </c>
      <c r="B6274" s="7" t="s">
        <v>9411</v>
      </c>
      <c r="C6274" s="12">
        <v>6900</v>
      </c>
      <c r="D6274" s="7" t="s">
        <v>9415</v>
      </c>
      <c r="E6274" s="13" t="s">
        <v>5180</v>
      </c>
      <c r="F6274" t="str">
        <f t="shared" ref="F6274:F6337" si="490">IFERROR(LEFT(B6274,FIND(" ",B6274)-1),B6274)</f>
        <v>Sumner</v>
      </c>
      <c r="G6274" t="str">
        <f t="shared" ref="G6274:G6337" si="491">F6274&amp;C6274&amp;E6274</f>
        <v>Sumner6900The Colony</v>
      </c>
      <c r="H6274" t="s">
        <v>37130</v>
      </c>
      <c r="I6274" t="s">
        <v>28548</v>
      </c>
      <c r="J6274" t="str">
        <f t="shared" ref="J6274:J6337" si="492">IF(L6274="TX",Folder_Path,Folder_Path&amp;"\State_"&amp;L6274)</f>
        <v>E:\PropInv\MF</v>
      </c>
      <c r="K6274" s="103" t="str">
        <f>HYPERLINK("E:\PropInv\MF\The Colony\Sumner St_6900_Austin Ranch IV-Parks_The Colony_17192","Sumner St_6900_Austin Ranch IV-Parks_The Colony_17192" )</f>
        <v>Sumner St_6900_Austin Ranch IV-Parks_The Colony_17192</v>
      </c>
      <c r="L6274" s="104" t="s">
        <v>22253</v>
      </c>
      <c r="M6274" s="103" t="str">
        <f t="shared" ref="M6274:M6337" si="493">HYPERLINK("http://oconnordata.com/mlink/modules/profile/index.cfm?action=profile&amp;prop_id="&amp;A6274)</f>
        <v>http://oconnordata.com/mlink/modules/profile/index.cfm?action=profile&amp;prop_id=17192</v>
      </c>
      <c r="N6274" s="1">
        <f t="shared" ref="N6274:N6337" si="494">IF(LEN(A6274)=1,"0000"&amp;A6274,IF(LEN(A6274)=2,"000"&amp;A6274,IF(LEN(A6274)=3,"00"&amp;A6274,IF(LEN(A6274)=4,"0"&amp;A6274,IF(LEN(A6274)=5,IF(LEFT(A6274,1)="3",A6274+30000,A6274))))))</f>
        <v>17192</v>
      </c>
    </row>
    <row r="6275" spans="1:14" x14ac:dyDescent="0.3">
      <c r="A6275" s="1">
        <v>17193</v>
      </c>
      <c r="B6275" s="7" t="s">
        <v>9416</v>
      </c>
      <c r="C6275" s="12">
        <v>535</v>
      </c>
      <c r="D6275" s="7" t="s">
        <v>9417</v>
      </c>
      <c r="E6275" s="13" t="s">
        <v>842</v>
      </c>
      <c r="F6275" t="str">
        <f t="shared" si="490"/>
        <v>Gembler</v>
      </c>
      <c r="G6275" t="str">
        <f t="shared" si="491"/>
        <v>Gembler535San Antonio</v>
      </c>
      <c r="H6275" t="s">
        <v>37131</v>
      </c>
      <c r="I6275" t="s">
        <v>28549</v>
      </c>
      <c r="J6275" t="str">
        <f t="shared" si="492"/>
        <v>E:\PropInv\MF</v>
      </c>
      <c r="K6275" s="103" t="str">
        <f>HYPERLINK("E:\PropInv\MF\San Antonio\Gembler Rd_535_Artisan at Willow Springs_San Antonio_17193","Gembler Rd_535_Artisan at Willow Springs_San Antonio_17193" )</f>
        <v>Gembler Rd_535_Artisan at Willow Springs_San Antonio_17193</v>
      </c>
      <c r="L6275" s="104" t="s">
        <v>22253</v>
      </c>
      <c r="M6275" s="103" t="str">
        <f t="shared" si="493"/>
        <v>http://oconnordata.com/mlink/modules/profile/index.cfm?action=profile&amp;prop_id=17193</v>
      </c>
      <c r="N6275" s="1">
        <f t="shared" si="494"/>
        <v>17193</v>
      </c>
    </row>
    <row r="6276" spans="1:14" x14ac:dyDescent="0.3">
      <c r="A6276" s="1">
        <v>17194</v>
      </c>
      <c r="B6276" s="10" t="s">
        <v>942</v>
      </c>
      <c r="C6276" s="9">
        <v>6623</v>
      </c>
      <c r="D6276" s="10" t="s">
        <v>9418</v>
      </c>
      <c r="E6276" s="11" t="s">
        <v>842</v>
      </c>
      <c r="F6276" t="str">
        <f t="shared" si="490"/>
        <v>Babcock</v>
      </c>
      <c r="G6276" t="str">
        <f t="shared" si="491"/>
        <v>Babcock6623San Antonio</v>
      </c>
      <c r="H6276" t="s">
        <v>37132</v>
      </c>
      <c r="I6276" t="s">
        <v>28550</v>
      </c>
      <c r="J6276" t="str">
        <f t="shared" si="492"/>
        <v>E:\PropInv\MF</v>
      </c>
      <c r="K6276" s="103" t="str">
        <f>HYPERLINK("E:\PropInv\MF\San Antonio\Babcock Rd_6623_Artisan on the Bluff_San Antonio_17194","Babcock Rd_6623_Artisan on the Bluff_San Antonio_17194" )</f>
        <v>Babcock Rd_6623_Artisan on the Bluff_San Antonio_17194</v>
      </c>
      <c r="L6276" s="104" t="s">
        <v>22253</v>
      </c>
      <c r="M6276" s="103" t="str">
        <f t="shared" si="493"/>
        <v>http://oconnordata.com/mlink/modules/profile/index.cfm?action=profile&amp;prop_id=17194</v>
      </c>
      <c r="N6276" s="1">
        <f t="shared" si="494"/>
        <v>17194</v>
      </c>
    </row>
    <row r="6277" spans="1:14" s="124" customFormat="1" x14ac:dyDescent="0.3">
      <c r="A6277" s="121">
        <v>17195</v>
      </c>
      <c r="B6277" s="122" t="s">
        <v>9060</v>
      </c>
      <c r="C6277" s="123">
        <v>8004</v>
      </c>
      <c r="D6277" s="122" t="s">
        <v>9061</v>
      </c>
      <c r="E6277" s="122" t="s">
        <v>842</v>
      </c>
      <c r="F6277" s="124" t="str">
        <f t="shared" si="490"/>
        <v>Bentley</v>
      </c>
      <c r="G6277" s="124" t="str">
        <f t="shared" si="491"/>
        <v>Bentley8004San Antonio</v>
      </c>
      <c r="H6277" s="124" t="s">
        <v>37133</v>
      </c>
      <c r="I6277" s="124" t="s">
        <v>28299</v>
      </c>
      <c r="J6277" s="124" t="str">
        <f t="shared" si="492"/>
        <v>E:\PropInv\MF</v>
      </c>
      <c r="K6277" s="125" t="str">
        <f>HYPERLINK("E:\PropInv\MF\San Antonio\Bentley Dr_8004_The Meadows at Bentley Drive_San Antonio_17195","Bentley Dr_8004_The Meadows at Bentley Drive_San Antonio_17195" )</f>
        <v>Bentley Dr_8004_The Meadows at Bentley Drive_San Antonio_17195</v>
      </c>
      <c r="L6277" s="126" t="s">
        <v>22253</v>
      </c>
      <c r="M6277" s="125" t="str">
        <f t="shared" si="493"/>
        <v>http://oconnordata.com/mlink/modules/profile/index.cfm?action=profile&amp;prop_id=17195</v>
      </c>
      <c r="N6277" s="121">
        <f t="shared" si="494"/>
        <v>17195</v>
      </c>
    </row>
    <row r="6278" spans="1:14" x14ac:dyDescent="0.3">
      <c r="A6278" s="1">
        <v>17196</v>
      </c>
      <c r="B6278" s="7" t="s">
        <v>9419</v>
      </c>
      <c r="C6278" s="12">
        <v>1803</v>
      </c>
      <c r="D6278" s="7" t="s">
        <v>9420</v>
      </c>
      <c r="E6278" s="13" t="s">
        <v>842</v>
      </c>
      <c r="F6278" t="str">
        <f t="shared" si="490"/>
        <v>Marshall</v>
      </c>
      <c r="G6278" t="str">
        <f t="shared" si="491"/>
        <v>Marshall1803San Antonio</v>
      </c>
      <c r="H6278" t="s">
        <v>37134</v>
      </c>
      <c r="I6278" t="s">
        <v>28551</v>
      </c>
      <c r="J6278" t="str">
        <f t="shared" si="492"/>
        <v>E:\PropInv\MF</v>
      </c>
      <c r="K6278" s="103" t="str">
        <f>HYPERLINK("E:\PropInv\MF\San Antonio\Marshall Cross_1803_Champion Homes at Marshall Meadows_San Antonio_17196","Marshall Cross_1803_Champion Homes at Marshall Meadows_San Antonio_17196" )</f>
        <v>Marshall Cross_1803_Champion Homes at Marshall Meadows_San Antonio_17196</v>
      </c>
      <c r="L6278" s="104" t="s">
        <v>22253</v>
      </c>
      <c r="M6278" s="103" t="str">
        <f t="shared" si="493"/>
        <v>http://oconnordata.com/mlink/modules/profile/index.cfm?action=profile&amp;prop_id=17196</v>
      </c>
      <c r="N6278" s="1">
        <f t="shared" si="494"/>
        <v>17196</v>
      </c>
    </row>
    <row r="6279" spans="1:14" x14ac:dyDescent="0.3">
      <c r="A6279" s="1">
        <v>17197</v>
      </c>
      <c r="B6279" s="7" t="s">
        <v>9421</v>
      </c>
      <c r="C6279" s="12">
        <v>4622</v>
      </c>
      <c r="D6279" s="7" t="s">
        <v>9422</v>
      </c>
      <c r="E6279" s="13" t="s">
        <v>842</v>
      </c>
      <c r="F6279" t="str">
        <f t="shared" si="490"/>
        <v>Clark</v>
      </c>
      <c r="G6279" t="str">
        <f t="shared" si="491"/>
        <v>Clark4622San Antonio</v>
      </c>
      <c r="H6279" t="s">
        <v>37135</v>
      </c>
      <c r="I6279" t="s">
        <v>28552</v>
      </c>
      <c r="J6279" t="str">
        <f t="shared" si="492"/>
        <v>E:\PropInv\MF</v>
      </c>
      <c r="K6279" s="103" t="str">
        <f>HYPERLINK("E:\PropInv\MF\San Antonio\Clark Ave_4622_Whitefield Place Apts_San Antonio_17197","Clark Ave_4622_Whitefield Place Apts_San Antonio_17197" )</f>
        <v>Clark Ave_4622_Whitefield Place Apts_San Antonio_17197</v>
      </c>
      <c r="L6279" s="104" t="s">
        <v>22253</v>
      </c>
      <c r="M6279" s="103" t="str">
        <f t="shared" si="493"/>
        <v>http://oconnordata.com/mlink/modules/profile/index.cfm?action=profile&amp;prop_id=17197</v>
      </c>
      <c r="N6279" s="1">
        <f t="shared" si="494"/>
        <v>17197</v>
      </c>
    </row>
    <row r="6280" spans="1:14" x14ac:dyDescent="0.3">
      <c r="A6280" s="1">
        <v>17198</v>
      </c>
      <c r="B6280" s="7" t="s">
        <v>9423</v>
      </c>
      <c r="C6280" s="12">
        <v>330</v>
      </c>
      <c r="D6280" s="7" t="s">
        <v>9424</v>
      </c>
      <c r="E6280" s="13" t="s">
        <v>4996</v>
      </c>
      <c r="F6280" t="str">
        <f t="shared" si="490"/>
        <v>Camp</v>
      </c>
      <c r="G6280" t="str">
        <f t="shared" si="491"/>
        <v>Camp330Dallas</v>
      </c>
      <c r="H6280" t="s">
        <v>37136</v>
      </c>
      <c r="I6280" t="s">
        <v>28553</v>
      </c>
      <c r="J6280" t="str">
        <f t="shared" si="492"/>
        <v>E:\PropInv\MF</v>
      </c>
      <c r="K6280" s="103" t="str">
        <f>HYPERLINK("E:\PropInv\MF\Dallas\Camp Wisdom Rd E_330_Rosemont at Mission Trails_Dallas_17198","Camp Wisdom Rd E_330_Rosemont at Mission Trails_Dallas_17198" )</f>
        <v>Camp Wisdom Rd E_330_Rosemont at Mission Trails_Dallas_17198</v>
      </c>
      <c r="L6280" s="104" t="s">
        <v>22253</v>
      </c>
      <c r="M6280" s="103" t="str">
        <f t="shared" si="493"/>
        <v>http://oconnordata.com/mlink/modules/profile/index.cfm?action=profile&amp;prop_id=17198</v>
      </c>
      <c r="N6280" s="1">
        <f t="shared" si="494"/>
        <v>17198</v>
      </c>
    </row>
    <row r="6281" spans="1:14" x14ac:dyDescent="0.3">
      <c r="A6281" s="1">
        <v>17199</v>
      </c>
      <c r="B6281" s="10" t="s">
        <v>5948</v>
      </c>
      <c r="C6281" s="9">
        <v>9901</v>
      </c>
      <c r="D6281" s="10" t="s">
        <v>9425</v>
      </c>
      <c r="E6281" s="11" t="s">
        <v>4996</v>
      </c>
      <c r="F6281" t="str">
        <f t="shared" si="490"/>
        <v>Scyene</v>
      </c>
      <c r="G6281" t="str">
        <f t="shared" si="491"/>
        <v>Scyene9901Dallas</v>
      </c>
      <c r="H6281" t="s">
        <v>37137</v>
      </c>
      <c r="I6281" t="s">
        <v>28554</v>
      </c>
      <c r="J6281" t="str">
        <f t="shared" si="492"/>
        <v>E:\PropInv\MF</v>
      </c>
      <c r="K6281" s="103" t="str">
        <f>HYPERLINK("E:\PropInv\MF\Dallas\Scyene Rd_9901_Rosemont at Sierra Vista_Dallas_17199","Scyene Rd_9901_Rosemont at Sierra Vista_Dallas_17199" )</f>
        <v>Scyene Rd_9901_Rosemont at Sierra Vista_Dallas_17199</v>
      </c>
      <c r="L6281" s="104" t="s">
        <v>22253</v>
      </c>
      <c r="M6281" s="103" t="str">
        <f t="shared" si="493"/>
        <v>http://oconnordata.com/mlink/modules/profile/index.cfm?action=profile&amp;prop_id=17199</v>
      </c>
      <c r="N6281" s="1">
        <f t="shared" si="494"/>
        <v>17199</v>
      </c>
    </row>
    <row r="6282" spans="1:14" x14ac:dyDescent="0.3">
      <c r="A6282" s="1">
        <v>17200</v>
      </c>
      <c r="B6282" s="7" t="s">
        <v>9426</v>
      </c>
      <c r="C6282" s="12">
        <v>14231</v>
      </c>
      <c r="D6282" s="7" t="s">
        <v>9427</v>
      </c>
      <c r="E6282" s="13" t="s">
        <v>4484</v>
      </c>
      <c r="F6282" t="str">
        <f t="shared" si="490"/>
        <v>1464</v>
      </c>
      <c r="G6282" t="str">
        <f t="shared" si="491"/>
        <v>146414231Sugar Land</v>
      </c>
      <c r="H6282" t="s">
        <v>37138</v>
      </c>
      <c r="I6282" t="s">
        <v>28555</v>
      </c>
      <c r="J6282" t="str">
        <f t="shared" si="492"/>
        <v>E:\PropInv\MF</v>
      </c>
      <c r="K6282" s="103" t="str">
        <f>HYPERLINK("E:\PropInv\MF\Sugar Land\1464 FM_14231_The Landmark of Sugarland I_Sugar Land_17200","1464 FM_14231_The Landmark of Sugarland I_Sugar Land_17200" )</f>
        <v>1464 FM_14231_The Landmark of Sugarland I_Sugar Land_17200</v>
      </c>
      <c r="L6282" s="104" t="s">
        <v>22253</v>
      </c>
      <c r="M6282" s="103" t="str">
        <f t="shared" si="493"/>
        <v>http://oconnordata.com/mlink/modules/profile/index.cfm?action=profile&amp;prop_id=17200</v>
      </c>
      <c r="N6282" s="1">
        <f t="shared" si="494"/>
        <v>17200</v>
      </c>
    </row>
    <row r="6283" spans="1:14" x14ac:dyDescent="0.3">
      <c r="A6283" s="1">
        <v>17201</v>
      </c>
      <c r="B6283" s="7" t="s">
        <v>4719</v>
      </c>
      <c r="C6283" s="12">
        <v>425</v>
      </c>
      <c r="D6283" s="7" t="s">
        <v>9428</v>
      </c>
      <c r="E6283" s="13" t="s">
        <v>1671</v>
      </c>
      <c r="F6283" t="str">
        <f t="shared" si="490"/>
        <v>Rayford</v>
      </c>
      <c r="G6283" t="str">
        <f t="shared" si="491"/>
        <v>Rayford425Spring</v>
      </c>
      <c r="H6283" t="s">
        <v>37139</v>
      </c>
      <c r="I6283" t="s">
        <v>28556</v>
      </c>
      <c r="J6283" t="str">
        <f t="shared" si="492"/>
        <v>E:\PropInv\MF</v>
      </c>
      <c r="K6283" s="103" t="str">
        <f>HYPERLINK("E:\PropInv\MF\Spring\Rayford Rd_425_The Landmark at Woodlands I_Spring_17201","Rayford Rd_425_The Landmark at Woodlands I_Spring_17201" )</f>
        <v>Rayford Rd_425_The Landmark at Woodlands I_Spring_17201</v>
      </c>
      <c r="L6283" s="104" t="s">
        <v>22253</v>
      </c>
      <c r="M6283" s="103" t="str">
        <f t="shared" si="493"/>
        <v>http://oconnordata.com/mlink/modules/profile/index.cfm?action=profile&amp;prop_id=17201</v>
      </c>
      <c r="N6283" s="1">
        <f t="shared" si="494"/>
        <v>17201</v>
      </c>
    </row>
    <row r="6284" spans="1:14" x14ac:dyDescent="0.3">
      <c r="A6284" s="1">
        <v>17202</v>
      </c>
      <c r="B6284" s="7" t="s">
        <v>9429</v>
      </c>
      <c r="C6284" s="12">
        <v>8702</v>
      </c>
      <c r="D6284" s="7" t="s">
        <v>9430</v>
      </c>
      <c r="E6284" s="13" t="s">
        <v>4996</v>
      </c>
      <c r="F6284" t="str">
        <f t="shared" si="490"/>
        <v>Shiloh</v>
      </c>
      <c r="G6284" t="str">
        <f t="shared" si="491"/>
        <v>Shiloh8702Dallas</v>
      </c>
      <c r="H6284" t="s">
        <v>37140</v>
      </c>
      <c r="I6284" t="s">
        <v>28557</v>
      </c>
      <c r="J6284" t="str">
        <f t="shared" si="492"/>
        <v>E:\PropInv\MF</v>
      </c>
      <c r="K6284" s="103" t="str">
        <f>HYPERLINK("E:\PropInv\MF\Dallas\Shiloh Rd_8702_Shiloh Village_Dallas_17202","Shiloh Rd_8702_Shiloh Village_Dallas_17202" )</f>
        <v>Shiloh Rd_8702_Shiloh Village_Dallas_17202</v>
      </c>
      <c r="L6284" s="104" t="s">
        <v>22253</v>
      </c>
      <c r="M6284" s="103" t="str">
        <f t="shared" si="493"/>
        <v>http://oconnordata.com/mlink/modules/profile/index.cfm?action=profile&amp;prop_id=17202</v>
      </c>
      <c r="N6284" s="1">
        <f t="shared" si="494"/>
        <v>17202</v>
      </c>
    </row>
    <row r="6285" spans="1:14" x14ac:dyDescent="0.3">
      <c r="A6285" s="1">
        <v>17203</v>
      </c>
      <c r="B6285" s="7" t="s">
        <v>9431</v>
      </c>
      <c r="C6285" s="12">
        <v>306</v>
      </c>
      <c r="D6285" s="7" t="s">
        <v>9432</v>
      </c>
      <c r="E6285" s="13" t="s">
        <v>1657</v>
      </c>
      <c r="F6285" t="str">
        <f t="shared" si="490"/>
        <v>McGowen</v>
      </c>
      <c r="G6285" t="str">
        <f t="shared" si="491"/>
        <v>McGowen306Houston</v>
      </c>
      <c r="H6285" t="s">
        <v>37141</v>
      </c>
      <c r="I6285" t="s">
        <v>28558</v>
      </c>
      <c r="J6285" t="str">
        <f t="shared" si="492"/>
        <v>E:\PropInv\MF</v>
      </c>
      <c r="K6285" s="103" t="str">
        <f>HYPERLINK("E:\PropInv\MF\Houston\McGowen St_306_CityPlace Midtown_Houston_17203","McGowen St_306_CityPlace Midtown_Houston_17203" )</f>
        <v>McGowen St_306_CityPlace Midtown_Houston_17203</v>
      </c>
      <c r="L6285" s="104" t="s">
        <v>22253</v>
      </c>
      <c r="M6285" s="103" t="str">
        <f t="shared" si="493"/>
        <v>http://oconnordata.com/mlink/modules/profile/index.cfm?action=profile&amp;prop_id=17203</v>
      </c>
      <c r="N6285" s="1">
        <f t="shared" si="494"/>
        <v>17203</v>
      </c>
    </row>
    <row r="6286" spans="1:14" x14ac:dyDescent="0.3">
      <c r="A6286" s="1">
        <v>17204</v>
      </c>
      <c r="B6286" s="7" t="s">
        <v>3786</v>
      </c>
      <c r="C6286" s="12">
        <v>7373</v>
      </c>
      <c r="D6286" s="7" t="s">
        <v>9433</v>
      </c>
      <c r="E6286" s="13" t="s">
        <v>1657</v>
      </c>
      <c r="F6286" t="str">
        <f t="shared" si="490"/>
        <v>Ardmore</v>
      </c>
      <c r="G6286" t="str">
        <f t="shared" si="491"/>
        <v>Ardmore7373Houston</v>
      </c>
      <c r="H6286" t="s">
        <v>37142</v>
      </c>
      <c r="I6286" t="s">
        <v>28559</v>
      </c>
      <c r="J6286" t="str">
        <f t="shared" si="492"/>
        <v>E:\PropInv\MF</v>
      </c>
      <c r="K6286" s="103" t="str">
        <f>HYPERLINK("E:\PropInv\MF\Houston\Ardmore_7373_Avanti Cityside_Houston_17204","Ardmore_7373_Avanti Cityside_Houston_17204" )</f>
        <v>Ardmore_7373_Avanti Cityside_Houston_17204</v>
      </c>
      <c r="L6286" s="104" t="s">
        <v>22253</v>
      </c>
      <c r="M6286" s="103" t="str">
        <f t="shared" si="493"/>
        <v>http://oconnordata.com/mlink/modules/profile/index.cfm?action=profile&amp;prop_id=17204</v>
      </c>
      <c r="N6286" s="1">
        <f t="shared" si="494"/>
        <v>17204</v>
      </c>
    </row>
    <row r="6287" spans="1:14" x14ac:dyDescent="0.3">
      <c r="A6287" s="1">
        <v>17205</v>
      </c>
      <c r="B6287" s="7" t="s">
        <v>9434</v>
      </c>
      <c r="C6287" s="12">
        <v>500</v>
      </c>
      <c r="D6287" s="7" t="s">
        <v>9435</v>
      </c>
      <c r="E6287" s="13" t="s">
        <v>5014</v>
      </c>
      <c r="F6287" t="str">
        <f t="shared" si="490"/>
        <v>820</v>
      </c>
      <c r="G6287" t="str">
        <f t="shared" si="491"/>
        <v>820500Fort Worth</v>
      </c>
      <c r="H6287" t="s">
        <v>37143</v>
      </c>
      <c r="I6287" t="s">
        <v>28560</v>
      </c>
      <c r="J6287" t="str">
        <f t="shared" si="492"/>
        <v>E:\PropInv\MF</v>
      </c>
      <c r="K6287" s="103" t="str">
        <f>HYPERLINK("E:\PropInv\MF\Fort Worth\820 Loop S W_500_Constellation Ranch_Fort Worth_17205","820 Loop S W_500_Constellation Ranch_Fort Worth_17205" )</f>
        <v>820 Loop S W_500_Constellation Ranch_Fort Worth_17205</v>
      </c>
      <c r="L6287" s="104" t="s">
        <v>22253</v>
      </c>
      <c r="M6287" s="103" t="str">
        <f t="shared" si="493"/>
        <v>http://oconnordata.com/mlink/modules/profile/index.cfm?action=profile&amp;prop_id=17205</v>
      </c>
      <c r="N6287" s="1">
        <f t="shared" si="494"/>
        <v>17205</v>
      </c>
    </row>
    <row r="6288" spans="1:14" x14ac:dyDescent="0.3">
      <c r="A6288" s="1">
        <v>17206</v>
      </c>
      <c r="B6288" s="7" t="s">
        <v>9436</v>
      </c>
      <c r="C6288" s="12">
        <v>1715</v>
      </c>
      <c r="D6288" s="7" t="s">
        <v>9437</v>
      </c>
      <c r="E6288" s="13" t="s">
        <v>1657</v>
      </c>
      <c r="F6288" t="str">
        <f t="shared" si="490"/>
        <v>Johanna</v>
      </c>
      <c r="G6288" t="str">
        <f t="shared" si="491"/>
        <v>Johanna1715Houston</v>
      </c>
      <c r="H6288" t="s">
        <v>37144</v>
      </c>
      <c r="I6288" t="s">
        <v>28561</v>
      </c>
      <c r="J6288" t="str">
        <f t="shared" si="492"/>
        <v>E:\PropInv\MF</v>
      </c>
      <c r="K6288" s="103" t="str">
        <f>HYPERLINK("E:\PropInv\MF\Houston\Johanna Rd_1715_Johanna Square Apts_Houston_17206","Johanna Rd_1715_Johanna Square Apts_Houston_17206" )</f>
        <v>Johanna Rd_1715_Johanna Square Apts_Houston_17206</v>
      </c>
      <c r="L6288" s="104" t="s">
        <v>22253</v>
      </c>
      <c r="M6288" s="103" t="str">
        <f t="shared" si="493"/>
        <v>http://oconnordata.com/mlink/modules/profile/index.cfm?action=profile&amp;prop_id=17206</v>
      </c>
      <c r="N6288" s="1">
        <f t="shared" si="494"/>
        <v>17206</v>
      </c>
    </row>
    <row r="6289" spans="1:14" x14ac:dyDescent="0.3">
      <c r="A6289" s="1">
        <v>17207</v>
      </c>
      <c r="B6289" s="7" t="s">
        <v>9438</v>
      </c>
      <c r="C6289" s="12">
        <v>8910</v>
      </c>
      <c r="D6289" s="7" t="s">
        <v>9439</v>
      </c>
      <c r="E6289" s="13" t="s">
        <v>842</v>
      </c>
      <c r="F6289" t="str">
        <f t="shared" si="490"/>
        <v>1605</v>
      </c>
      <c r="G6289" t="str">
        <f t="shared" si="491"/>
        <v>16058910San Antonio</v>
      </c>
      <c r="H6289" t="s">
        <v>37145</v>
      </c>
      <c r="I6289" t="s">
        <v>28562</v>
      </c>
      <c r="J6289" t="str">
        <f t="shared" si="492"/>
        <v>E:\PropInv\MF</v>
      </c>
      <c r="K6289" s="103" t="str">
        <f>HYPERLINK("E:\PropInv\MF\San Antonio\1605 Loop W N_8910_Hidden Lake I_San Antonio_17207","1605 Loop W N_8910_Hidden Lake I_San Antonio_17207" )</f>
        <v>1605 Loop W N_8910_Hidden Lake I_San Antonio_17207</v>
      </c>
      <c r="L6289" s="104" t="s">
        <v>22253</v>
      </c>
      <c r="M6289" s="103" t="str">
        <f t="shared" si="493"/>
        <v>http://oconnordata.com/mlink/modules/profile/index.cfm?action=profile&amp;prop_id=17207</v>
      </c>
      <c r="N6289" s="1">
        <f t="shared" si="494"/>
        <v>17207</v>
      </c>
    </row>
    <row r="6290" spans="1:14" x14ac:dyDescent="0.3">
      <c r="A6290" s="1">
        <v>17208</v>
      </c>
      <c r="B6290" s="7" t="s">
        <v>2636</v>
      </c>
      <c r="C6290" s="12">
        <v>1255</v>
      </c>
      <c r="D6290" s="7" t="s">
        <v>767</v>
      </c>
      <c r="E6290" s="13" t="s">
        <v>1657</v>
      </c>
      <c r="F6290" t="str">
        <f t="shared" si="490"/>
        <v>Eldridge</v>
      </c>
      <c r="G6290" t="str">
        <f t="shared" si="491"/>
        <v>Eldridge1255Houston</v>
      </c>
      <c r="H6290" t="s">
        <v>37146</v>
      </c>
      <c r="I6290" t="s">
        <v>28563</v>
      </c>
      <c r="J6290" t="str">
        <f t="shared" si="492"/>
        <v>E:\PropInv\MF</v>
      </c>
      <c r="K6290" s="103" t="str">
        <f>HYPERLINK("E:\PropInv\MF\Houston\Eldridge Pkwy_1255_San Paloma_Houston_17208","Eldridge Pkwy_1255_San Paloma_Houston_17208" )</f>
        <v>Eldridge Pkwy_1255_San Paloma_Houston_17208</v>
      </c>
      <c r="L6290" s="104" t="s">
        <v>22253</v>
      </c>
      <c r="M6290" s="103" t="str">
        <f t="shared" si="493"/>
        <v>http://oconnordata.com/mlink/modules/profile/index.cfm?action=profile&amp;prop_id=17208</v>
      </c>
      <c r="N6290" s="1">
        <f t="shared" si="494"/>
        <v>17208</v>
      </c>
    </row>
    <row r="6291" spans="1:14" x14ac:dyDescent="0.3">
      <c r="A6291" s="1">
        <v>17209</v>
      </c>
      <c r="B6291" s="10" t="s">
        <v>9404</v>
      </c>
      <c r="C6291" s="9">
        <v>2104</v>
      </c>
      <c r="D6291" s="10" t="s">
        <v>9440</v>
      </c>
      <c r="E6291" s="11" t="s">
        <v>1657</v>
      </c>
      <c r="F6291" t="str">
        <f t="shared" si="490"/>
        <v>Canal</v>
      </c>
      <c r="G6291" t="str">
        <f t="shared" si="491"/>
        <v>Canal2104Houston</v>
      </c>
      <c r="H6291" t="s">
        <v>37147</v>
      </c>
      <c r="I6291" t="s">
        <v>28564</v>
      </c>
      <c r="J6291" t="str">
        <f t="shared" si="492"/>
        <v>E:\PropInv\MF</v>
      </c>
      <c r="K6291" s="103" t="str">
        <f>HYPERLINK("E:\PropInv\MF\Houston\Canal St_2104_Canal Place Apts_Houston_17209","Canal St_2104_Canal Place Apts_Houston_17209" )</f>
        <v>Canal St_2104_Canal Place Apts_Houston_17209</v>
      </c>
      <c r="L6291" s="104" t="s">
        <v>22253</v>
      </c>
      <c r="M6291" s="103" t="str">
        <f t="shared" si="493"/>
        <v>http://oconnordata.com/mlink/modules/profile/index.cfm?action=profile&amp;prop_id=17209</v>
      </c>
      <c r="N6291" s="1">
        <f t="shared" si="494"/>
        <v>17209</v>
      </c>
    </row>
    <row r="6292" spans="1:14" x14ac:dyDescent="0.3">
      <c r="A6292" s="1">
        <v>17210</v>
      </c>
      <c r="B6292" s="7" t="s">
        <v>7615</v>
      </c>
      <c r="C6292" s="12">
        <v>3211</v>
      </c>
      <c r="D6292" s="7" t="s">
        <v>9441</v>
      </c>
      <c r="E6292" s="13" t="s">
        <v>5012</v>
      </c>
      <c r="F6292" t="str">
        <f t="shared" si="490"/>
        <v>Hickory</v>
      </c>
      <c r="G6292" t="str">
        <f t="shared" si="491"/>
        <v>Hickory3211Balch Springs</v>
      </c>
      <c r="H6292" t="s">
        <v>37148</v>
      </c>
      <c r="I6292" t="s">
        <v>28565</v>
      </c>
      <c r="J6292" t="str">
        <f t="shared" si="492"/>
        <v>E:\PropInv\MF</v>
      </c>
      <c r="K6292" s="103" t="str">
        <f>HYPERLINK("E:\PropInv\MF\Balch Springs\Hickory Tree Rd_3211_Villas of Hickory Estates_Balch Springs_17210","Hickory Tree Rd_3211_Villas of Hickory Estates_Balch Springs_17210" )</f>
        <v>Hickory Tree Rd_3211_Villas of Hickory Estates_Balch Springs_17210</v>
      </c>
      <c r="L6292" s="104" t="s">
        <v>22253</v>
      </c>
      <c r="M6292" s="103" t="str">
        <f t="shared" si="493"/>
        <v>http://oconnordata.com/mlink/modules/profile/index.cfm?action=profile&amp;prop_id=17210</v>
      </c>
      <c r="N6292" s="1">
        <f t="shared" si="494"/>
        <v>17210</v>
      </c>
    </row>
    <row r="6293" spans="1:14" x14ac:dyDescent="0.3">
      <c r="A6293" s="1">
        <v>17211</v>
      </c>
      <c r="B6293" s="7" t="s">
        <v>3118</v>
      </c>
      <c r="C6293" s="12">
        <v>1800</v>
      </c>
      <c r="D6293" s="7" t="s">
        <v>9442</v>
      </c>
      <c r="E6293" s="13" t="s">
        <v>4996</v>
      </c>
      <c r="F6293" t="str">
        <f t="shared" si="490"/>
        <v>Main</v>
      </c>
      <c r="G6293" t="str">
        <f t="shared" si="491"/>
        <v>Main1800Dallas</v>
      </c>
      <c r="H6293" t="s">
        <v>37149</v>
      </c>
      <c r="I6293" t="s">
        <v>28566</v>
      </c>
      <c r="J6293" t="str">
        <f t="shared" si="492"/>
        <v>E:\PropInv\MF</v>
      </c>
      <c r="K6293" s="103" t="str">
        <f>HYPERLINK("E:\PropInv\MF\Dallas\Main St_1800_Mercantile Place-The Merc_Dallas_17211","Main St_1800_Mercantile Place-The Merc_Dallas_17211" )</f>
        <v>Main St_1800_Mercantile Place-The Merc_Dallas_17211</v>
      </c>
      <c r="L6293" s="104" t="s">
        <v>22253</v>
      </c>
      <c r="M6293" s="103" t="str">
        <f t="shared" si="493"/>
        <v>http://oconnordata.com/mlink/modules/profile/index.cfm?action=profile&amp;prop_id=17211</v>
      </c>
      <c r="N6293" s="1">
        <f t="shared" si="494"/>
        <v>17211</v>
      </c>
    </row>
    <row r="6294" spans="1:14" x14ac:dyDescent="0.3">
      <c r="A6294" s="1">
        <v>17214</v>
      </c>
      <c r="B6294" s="7" t="s">
        <v>9443</v>
      </c>
      <c r="C6294" s="12">
        <v>300</v>
      </c>
      <c r="D6294" s="7" t="s">
        <v>9444</v>
      </c>
      <c r="E6294" s="13" t="s">
        <v>4996</v>
      </c>
      <c r="F6294" t="str">
        <f t="shared" si="490"/>
        <v>Ervay</v>
      </c>
      <c r="G6294" t="str">
        <f t="shared" si="491"/>
        <v>Ervay300Dallas</v>
      </c>
      <c r="H6294" t="s">
        <v>37150</v>
      </c>
      <c r="I6294" t="s">
        <v>28567</v>
      </c>
      <c r="J6294" t="str">
        <f t="shared" si="492"/>
        <v>E:\PropInv\MF</v>
      </c>
      <c r="K6294" s="103" t="str">
        <f>HYPERLINK("E:\PropInv\MF\Dallas\Ervay N_300_Gables Republic Tower_Dallas_17214","Ervay N_300_Gables Republic Tower_Dallas_17214" )</f>
        <v>Ervay N_300_Gables Republic Tower_Dallas_17214</v>
      </c>
      <c r="L6294" s="104" t="s">
        <v>22253</v>
      </c>
      <c r="M6294" s="103" t="str">
        <f t="shared" si="493"/>
        <v>http://oconnordata.com/mlink/modules/profile/index.cfm?action=profile&amp;prop_id=17214</v>
      </c>
      <c r="N6294" s="1">
        <f t="shared" si="494"/>
        <v>17214</v>
      </c>
    </row>
    <row r="6295" spans="1:14" x14ac:dyDescent="0.3">
      <c r="A6295" s="1">
        <v>17215</v>
      </c>
      <c r="B6295" s="7" t="s">
        <v>4889</v>
      </c>
      <c r="C6295" s="12">
        <v>2707</v>
      </c>
      <c r="D6295" s="7" t="s">
        <v>9445</v>
      </c>
      <c r="E6295" s="13" t="s">
        <v>4996</v>
      </c>
      <c r="F6295" t="str">
        <f t="shared" si="490"/>
        <v>Cole</v>
      </c>
      <c r="G6295" t="str">
        <f t="shared" si="491"/>
        <v>Cole2707Dallas</v>
      </c>
      <c r="H6295" t="s">
        <v>37151</v>
      </c>
      <c r="I6295" t="s">
        <v>28568</v>
      </c>
      <c r="J6295" t="str">
        <f t="shared" si="492"/>
        <v>E:\PropInv\MF</v>
      </c>
      <c r="K6295" s="103" t="str">
        <f>HYPERLINK("E:\PropInv\MF\Dallas\Cole Ave_2707_Gables Villa Rosa I_Dallas_17215","Cole Ave_2707_Gables Villa Rosa I_Dallas_17215" )</f>
        <v>Cole Ave_2707_Gables Villa Rosa I_Dallas_17215</v>
      </c>
      <c r="L6295" s="104" t="s">
        <v>22253</v>
      </c>
      <c r="M6295" s="103" t="str">
        <f t="shared" si="493"/>
        <v>http://oconnordata.com/mlink/modules/profile/index.cfm?action=profile&amp;prop_id=17215</v>
      </c>
      <c r="N6295" s="1">
        <f t="shared" si="494"/>
        <v>17215</v>
      </c>
    </row>
    <row r="6296" spans="1:14" x14ac:dyDescent="0.3">
      <c r="A6296" s="1">
        <v>17216</v>
      </c>
      <c r="B6296" s="7" t="s">
        <v>4997</v>
      </c>
      <c r="C6296" s="12">
        <v>2650</v>
      </c>
      <c r="D6296" s="7" t="s">
        <v>9446</v>
      </c>
      <c r="E6296" s="13" t="s">
        <v>4996</v>
      </c>
      <c r="F6296" t="str">
        <f t="shared" si="490"/>
        <v>Cedar</v>
      </c>
      <c r="G6296" t="str">
        <f t="shared" si="491"/>
        <v>Cedar2650Dallas</v>
      </c>
      <c r="H6296" t="s">
        <v>37152</v>
      </c>
      <c r="I6296" t="s">
        <v>28569</v>
      </c>
      <c r="J6296" t="str">
        <f t="shared" si="492"/>
        <v>E:\PropInv\MF</v>
      </c>
      <c r="K6296" s="103" t="str">
        <f>HYPERLINK("E:\PropInv\MF\Dallas\Cedar Springs_2650_Gables Villa Rosa II_Dallas_17216","Cedar Springs_2650_Gables Villa Rosa II_Dallas_17216" )</f>
        <v>Cedar Springs_2650_Gables Villa Rosa II_Dallas_17216</v>
      </c>
      <c r="L6296" s="104" t="s">
        <v>22253</v>
      </c>
      <c r="M6296" s="103" t="str">
        <f t="shared" si="493"/>
        <v>http://oconnordata.com/mlink/modules/profile/index.cfm?action=profile&amp;prop_id=17216</v>
      </c>
      <c r="N6296" s="1">
        <f t="shared" si="494"/>
        <v>17216</v>
      </c>
    </row>
    <row r="6297" spans="1:14" x14ac:dyDescent="0.3">
      <c r="A6297" s="1">
        <v>17218</v>
      </c>
      <c r="B6297" s="7" t="s">
        <v>9188</v>
      </c>
      <c r="C6297" s="12">
        <v>3525</v>
      </c>
      <c r="D6297" s="7" t="s">
        <v>9447</v>
      </c>
      <c r="E6297" s="13" t="s">
        <v>1657</v>
      </c>
      <c r="F6297" t="str">
        <f t="shared" si="490"/>
        <v>Sam</v>
      </c>
      <c r="G6297" t="str">
        <f t="shared" si="491"/>
        <v>Sam3525Houston</v>
      </c>
      <c r="H6297" t="s">
        <v>37153</v>
      </c>
      <c r="I6297" t="s">
        <v>28570</v>
      </c>
      <c r="J6297" t="str">
        <f t="shared" si="492"/>
        <v>E:\PropInv\MF</v>
      </c>
      <c r="K6297" s="103" t="str">
        <f>HYPERLINK("E:\PropInv\MF\Houston\Sam Houston Pkwy E S_3525_Alta Gardens_Houston_17218","Sam Houston Pkwy E S_3525_Alta Gardens_Houston_17218" )</f>
        <v>Sam Houston Pkwy E S_3525_Alta Gardens_Houston_17218</v>
      </c>
      <c r="L6297" s="104" t="s">
        <v>22253</v>
      </c>
      <c r="M6297" s="103" t="str">
        <f t="shared" si="493"/>
        <v>http://oconnordata.com/mlink/modules/profile/index.cfm?action=profile&amp;prop_id=17218</v>
      </c>
      <c r="N6297" s="1">
        <f t="shared" si="494"/>
        <v>17218</v>
      </c>
    </row>
    <row r="6298" spans="1:14" x14ac:dyDescent="0.3">
      <c r="A6298" s="1">
        <v>17219</v>
      </c>
      <c r="B6298" s="7" t="s">
        <v>9448</v>
      </c>
      <c r="C6298" s="12">
        <v>4525</v>
      </c>
      <c r="D6298" s="7" t="s">
        <v>9449</v>
      </c>
      <c r="E6298" s="13" t="s">
        <v>4996</v>
      </c>
      <c r="F6298" t="str">
        <f t="shared" si="490"/>
        <v>Sylvester</v>
      </c>
      <c r="G6298" t="str">
        <f t="shared" si="491"/>
        <v>Sylvester4525Dallas</v>
      </c>
      <c r="H6298" t="s">
        <v>37154</v>
      </c>
      <c r="I6298" t="s">
        <v>28571</v>
      </c>
      <c r="J6298" t="str">
        <f t="shared" si="492"/>
        <v>E:\PropInv\MF</v>
      </c>
      <c r="K6298" s="103" t="str">
        <f>HYPERLINK("E:\PropInv\MF\Dallas\Sylvester_4525_Town Club One Apts_Dallas_17219","Sylvester_4525_Town Club One Apts_Dallas_17219" )</f>
        <v>Sylvester_4525_Town Club One Apts_Dallas_17219</v>
      </c>
      <c r="L6298" s="104" t="s">
        <v>22253</v>
      </c>
      <c r="M6298" s="103" t="str">
        <f t="shared" si="493"/>
        <v>http://oconnordata.com/mlink/modules/profile/index.cfm?action=profile&amp;prop_id=17219</v>
      </c>
      <c r="N6298" s="1">
        <f t="shared" si="494"/>
        <v>17219</v>
      </c>
    </row>
    <row r="6299" spans="1:14" x14ac:dyDescent="0.3">
      <c r="A6299" s="1">
        <v>17220</v>
      </c>
      <c r="B6299" s="7" t="s">
        <v>9450</v>
      </c>
      <c r="C6299" s="12">
        <v>2950</v>
      </c>
      <c r="D6299" s="7" t="s">
        <v>9451</v>
      </c>
      <c r="E6299" s="13" t="s">
        <v>1657</v>
      </c>
      <c r="F6299" t="str">
        <f t="shared" si="490"/>
        <v>Old</v>
      </c>
      <c r="G6299" t="str">
        <f t="shared" si="491"/>
        <v>Old2950Houston</v>
      </c>
      <c r="H6299" t="s">
        <v>37155</v>
      </c>
      <c r="I6299" t="s">
        <v>28572</v>
      </c>
      <c r="J6299" t="str">
        <f t="shared" si="492"/>
        <v>E:\PropInv\MF</v>
      </c>
      <c r="K6299" s="103" t="str">
        <f>HYPERLINK("E:\PropInv\MF\Houston\Old Spanish Trl_2950_Equinox_Houston_17220","Old Spanish Trl_2950_Equinox_Houston_17220" )</f>
        <v>Old Spanish Trl_2950_Equinox_Houston_17220</v>
      </c>
      <c r="L6299" s="104" t="s">
        <v>22253</v>
      </c>
      <c r="M6299" s="103" t="str">
        <f t="shared" si="493"/>
        <v>http://oconnordata.com/mlink/modules/profile/index.cfm?action=profile&amp;prop_id=17220</v>
      </c>
      <c r="N6299" s="1">
        <f t="shared" si="494"/>
        <v>17220</v>
      </c>
    </row>
    <row r="6300" spans="1:14" x14ac:dyDescent="0.3">
      <c r="A6300" s="1">
        <v>17221</v>
      </c>
      <c r="B6300" s="7" t="s">
        <v>9452</v>
      </c>
      <c r="C6300" s="12">
        <v>1200</v>
      </c>
      <c r="D6300" s="7" t="s">
        <v>9453</v>
      </c>
      <c r="E6300" s="13" t="s">
        <v>4616</v>
      </c>
      <c r="F6300" t="str">
        <f t="shared" si="490"/>
        <v>Frazier</v>
      </c>
      <c r="G6300" t="str">
        <f t="shared" si="491"/>
        <v>Frazier1200Conroe</v>
      </c>
      <c r="H6300" t="s">
        <v>37156</v>
      </c>
      <c r="I6300" t="s">
        <v>28573</v>
      </c>
      <c r="J6300" t="str">
        <f t="shared" si="492"/>
        <v>E:\PropInv\MF</v>
      </c>
      <c r="K6300" s="103" t="str">
        <f>HYPERLINK("E:\PropInv\MF\Conroe\Frazier St S_1200_Park at Piney Woods_Conroe_17221","Frazier St S_1200_Park at Piney Woods_Conroe_17221" )</f>
        <v>Frazier St S_1200_Park at Piney Woods_Conroe_17221</v>
      </c>
      <c r="L6300" s="104" t="s">
        <v>22253</v>
      </c>
      <c r="M6300" s="103" t="str">
        <f t="shared" si="493"/>
        <v>http://oconnordata.com/mlink/modules/profile/index.cfm?action=profile&amp;prop_id=17221</v>
      </c>
      <c r="N6300" s="1">
        <f t="shared" si="494"/>
        <v>17221</v>
      </c>
    </row>
    <row r="6301" spans="1:14" x14ac:dyDescent="0.3">
      <c r="A6301" s="1">
        <v>17222</v>
      </c>
      <c r="B6301" s="7" t="s">
        <v>9454</v>
      </c>
      <c r="C6301" s="12">
        <v>421</v>
      </c>
      <c r="D6301" s="7" t="s">
        <v>9455</v>
      </c>
      <c r="E6301" s="13" t="s">
        <v>7</v>
      </c>
      <c r="F6301" t="str">
        <f t="shared" si="490"/>
        <v>3rd</v>
      </c>
      <c r="G6301" t="str">
        <f t="shared" si="491"/>
        <v>3rd421Austin</v>
      </c>
      <c r="H6301" t="s">
        <v>37157</v>
      </c>
      <c r="I6301" t="s">
        <v>28574</v>
      </c>
      <c r="J6301" t="str">
        <f t="shared" si="492"/>
        <v>E:\PropInv\MF</v>
      </c>
      <c r="K6301" s="103" t="str">
        <f>HYPERLINK("E:\PropInv\MF\Austin\3rd St W_421_AMLI Second Street Tower_Austin_17222","3rd St W_421_AMLI Second Street Tower_Austin_17222" )</f>
        <v>3rd St W_421_AMLI Second Street Tower_Austin_17222</v>
      </c>
      <c r="L6301" s="104" t="s">
        <v>22253</v>
      </c>
      <c r="M6301" s="103" t="str">
        <f t="shared" si="493"/>
        <v>http://oconnordata.com/mlink/modules/profile/index.cfm?action=profile&amp;prop_id=17222</v>
      </c>
      <c r="N6301" s="1">
        <f t="shared" si="494"/>
        <v>17222</v>
      </c>
    </row>
    <row r="6302" spans="1:14" x14ac:dyDescent="0.3">
      <c r="A6302" s="1">
        <v>17223</v>
      </c>
      <c r="B6302" s="7" t="s">
        <v>9456</v>
      </c>
      <c r="C6302" s="12">
        <v>9757</v>
      </c>
      <c r="D6302" s="7" t="s">
        <v>9457</v>
      </c>
      <c r="E6302" s="13" t="s">
        <v>1657</v>
      </c>
      <c r="F6302" t="str">
        <f t="shared" si="490"/>
        <v>Pine</v>
      </c>
      <c r="G6302" t="str">
        <f t="shared" si="491"/>
        <v>Pine9757Houston</v>
      </c>
      <c r="H6302" t="s">
        <v>37158</v>
      </c>
      <c r="I6302" t="s">
        <v>28575</v>
      </c>
      <c r="J6302" t="str">
        <f t="shared" si="492"/>
        <v>E:\PropInv\MF</v>
      </c>
      <c r="K6302" s="103" t="str">
        <f>HYPERLINK("E:\PropInv\MF\Houston\Pine Lake Dr_9757_Villas at Bunker Hill_Houston_17223","Pine Lake Dr_9757_Villas at Bunker Hill_Houston_17223" )</f>
        <v>Pine Lake Dr_9757_Villas at Bunker Hill_Houston_17223</v>
      </c>
      <c r="L6302" s="104" t="s">
        <v>22253</v>
      </c>
      <c r="M6302" s="103" t="str">
        <f t="shared" si="493"/>
        <v>http://oconnordata.com/mlink/modules/profile/index.cfm?action=profile&amp;prop_id=17223</v>
      </c>
      <c r="N6302" s="1">
        <f t="shared" si="494"/>
        <v>17223</v>
      </c>
    </row>
    <row r="6303" spans="1:14" x14ac:dyDescent="0.3">
      <c r="A6303" s="1">
        <v>17224</v>
      </c>
      <c r="B6303" s="7" t="s">
        <v>9458</v>
      </c>
      <c r="C6303" s="12">
        <v>2301</v>
      </c>
      <c r="D6303" s="7" t="s">
        <v>9459</v>
      </c>
      <c r="E6303" s="13" t="s">
        <v>3328</v>
      </c>
      <c r="F6303" t="str">
        <f t="shared" si="490"/>
        <v>Performance</v>
      </c>
      <c r="G6303" t="str">
        <f t="shared" si="491"/>
        <v>Performance2301Richardson</v>
      </c>
      <c r="H6303" t="s">
        <v>37159</v>
      </c>
      <c r="I6303" t="s">
        <v>28576</v>
      </c>
      <c r="J6303" t="str">
        <f t="shared" si="492"/>
        <v>E:\PropInv\MF</v>
      </c>
      <c r="K6303" s="103" t="str">
        <f>HYPERLINK("E:\PropInv\MF\Richardson\Performance Dr_2301_The Venue_Richardson_17224","Performance Dr_2301_The Venue_Richardson_17224" )</f>
        <v>Performance Dr_2301_The Venue_Richardson_17224</v>
      </c>
      <c r="L6303" s="104" t="s">
        <v>22253</v>
      </c>
      <c r="M6303" s="103" t="str">
        <f t="shared" si="493"/>
        <v>http://oconnordata.com/mlink/modules/profile/index.cfm?action=profile&amp;prop_id=17224</v>
      </c>
      <c r="N6303" s="1">
        <f t="shared" si="494"/>
        <v>17224</v>
      </c>
    </row>
    <row r="6304" spans="1:14" x14ac:dyDescent="0.3">
      <c r="A6304" s="1">
        <v>17225</v>
      </c>
      <c r="B6304" s="7" t="s">
        <v>9460</v>
      </c>
      <c r="C6304" s="12">
        <v>1250</v>
      </c>
      <c r="D6304" s="7" t="s">
        <v>9461</v>
      </c>
      <c r="E6304" s="13" t="s">
        <v>498</v>
      </c>
      <c r="F6304" t="str">
        <f t="shared" si="490"/>
        <v>Sadler</v>
      </c>
      <c r="G6304" t="str">
        <f t="shared" si="491"/>
        <v>Sadler1250San Marcos</v>
      </c>
      <c r="H6304" t="s">
        <v>37160</v>
      </c>
      <c r="I6304" t="s">
        <v>28577</v>
      </c>
      <c r="J6304" t="str">
        <f t="shared" si="492"/>
        <v>E:\PropInv\MF</v>
      </c>
      <c r="K6304" s="103" t="str">
        <f>HYPERLINK("E:\PropInv\MF\San Marcos\Sadler Dr_1250_Cabana Beach_San Marcos_17225","Sadler Dr_1250_Cabana Beach_San Marcos_17225" )</f>
        <v>Sadler Dr_1250_Cabana Beach_San Marcos_17225</v>
      </c>
      <c r="L6304" s="104" t="s">
        <v>22253</v>
      </c>
      <c r="M6304" s="103" t="str">
        <f t="shared" si="493"/>
        <v>http://oconnordata.com/mlink/modules/profile/index.cfm?action=profile&amp;prop_id=17225</v>
      </c>
      <c r="N6304" s="1">
        <f t="shared" si="494"/>
        <v>17225</v>
      </c>
    </row>
    <row r="6305" spans="1:14" x14ac:dyDescent="0.3">
      <c r="A6305" s="1">
        <v>17226</v>
      </c>
      <c r="B6305" s="7" t="s">
        <v>9462</v>
      </c>
      <c r="C6305" s="12">
        <v>3780</v>
      </c>
      <c r="D6305" s="7" t="s">
        <v>9463</v>
      </c>
      <c r="E6305" s="13" t="s">
        <v>8774</v>
      </c>
      <c r="F6305" t="str">
        <f t="shared" si="490"/>
        <v>Copperfield</v>
      </c>
      <c r="G6305" t="str">
        <f t="shared" si="491"/>
        <v>Copperfield3780Bryan</v>
      </c>
      <c r="H6305" t="s">
        <v>37161</v>
      </c>
      <c r="I6305" t="s">
        <v>28578</v>
      </c>
      <c r="J6305" t="str">
        <f t="shared" si="492"/>
        <v>E:\PropInv\MF</v>
      </c>
      <c r="K6305" s="103" t="str">
        <f>HYPERLINK("E:\PropInv\MF\Bryan\Copperfield Dr_3780_Signature Park_Bryan_17226","Copperfield Dr_3780_Signature Park_Bryan_17226" )</f>
        <v>Copperfield Dr_3780_Signature Park_Bryan_17226</v>
      </c>
      <c r="L6305" s="104" t="s">
        <v>22253</v>
      </c>
      <c r="M6305" s="103" t="str">
        <f t="shared" si="493"/>
        <v>http://oconnordata.com/mlink/modules/profile/index.cfm?action=profile&amp;prop_id=17226</v>
      </c>
      <c r="N6305" s="1">
        <f t="shared" si="494"/>
        <v>17226</v>
      </c>
    </row>
    <row r="6306" spans="1:14" x14ac:dyDescent="0.3">
      <c r="A6306" s="1">
        <v>17227</v>
      </c>
      <c r="B6306" s="7" t="s">
        <v>9464</v>
      </c>
      <c r="C6306" s="12">
        <v>301</v>
      </c>
      <c r="D6306" s="7" t="s">
        <v>9465</v>
      </c>
      <c r="E6306" s="13" t="s">
        <v>1087</v>
      </c>
      <c r="F6306" t="str">
        <f t="shared" si="490"/>
        <v>Converse</v>
      </c>
      <c r="G6306" t="str">
        <f t="shared" si="491"/>
        <v>Converse301Converse</v>
      </c>
      <c r="H6306" t="s">
        <v>37162</v>
      </c>
      <c r="I6306" t="s">
        <v>28579</v>
      </c>
      <c r="J6306" t="str">
        <f t="shared" si="492"/>
        <v>E:\PropInv\MF</v>
      </c>
      <c r="K6306" s="103" t="str">
        <f>HYPERLINK("E:\PropInv\MF\Converse\Converse Center St_301_Town Square_Converse_17227","Converse Center St_301_Town Square_Converse_17227" )</f>
        <v>Converse Center St_301_Town Square_Converse_17227</v>
      </c>
      <c r="L6306" s="104" t="s">
        <v>22253</v>
      </c>
      <c r="M6306" s="103" t="str">
        <f t="shared" si="493"/>
        <v>http://oconnordata.com/mlink/modules/profile/index.cfm?action=profile&amp;prop_id=17227</v>
      </c>
      <c r="N6306" s="1">
        <f t="shared" si="494"/>
        <v>17227</v>
      </c>
    </row>
    <row r="6307" spans="1:14" x14ac:dyDescent="0.3">
      <c r="A6307" s="1">
        <v>17229</v>
      </c>
      <c r="B6307" s="7" t="s">
        <v>9466</v>
      </c>
      <c r="C6307" s="12">
        <v>305</v>
      </c>
      <c r="D6307" s="7" t="s">
        <v>9467</v>
      </c>
      <c r="E6307" s="13" t="s">
        <v>5019</v>
      </c>
      <c r="F6307" t="str">
        <f t="shared" si="490"/>
        <v>River</v>
      </c>
      <c r="G6307" t="str">
        <f t="shared" si="491"/>
        <v>River305Garland</v>
      </c>
      <c r="H6307" t="s">
        <v>37163</v>
      </c>
      <c r="I6307" t="s">
        <v>28580</v>
      </c>
      <c r="J6307" t="str">
        <f t="shared" si="492"/>
        <v>E:\PropInv\MF</v>
      </c>
      <c r="K6307" s="103" t="str">
        <f>HYPERLINK("E:\PropInv\MF\Garland\River Fern Ave_305_Parkside at Firewheel_Garland_17229","River Fern Ave_305_Parkside at Firewheel_Garland_17229" )</f>
        <v>River Fern Ave_305_Parkside at Firewheel_Garland_17229</v>
      </c>
      <c r="L6307" s="104" t="s">
        <v>22253</v>
      </c>
      <c r="M6307" s="103" t="str">
        <f t="shared" si="493"/>
        <v>http://oconnordata.com/mlink/modules/profile/index.cfm?action=profile&amp;prop_id=17229</v>
      </c>
      <c r="N6307" s="1">
        <f t="shared" si="494"/>
        <v>17229</v>
      </c>
    </row>
    <row r="6308" spans="1:14" x14ac:dyDescent="0.3">
      <c r="A6308" s="1">
        <v>17230</v>
      </c>
      <c r="B6308" s="7" t="s">
        <v>9468</v>
      </c>
      <c r="C6308" s="12">
        <v>4000</v>
      </c>
      <c r="D6308" s="7" t="s">
        <v>9469</v>
      </c>
      <c r="E6308" s="13" t="s">
        <v>5198</v>
      </c>
      <c r="F6308" t="str">
        <f t="shared" si="490"/>
        <v>Sigma</v>
      </c>
      <c r="G6308" t="str">
        <f t="shared" si="491"/>
        <v>Sigma4000Farmers Branch</v>
      </c>
      <c r="H6308" t="s">
        <v>37164</v>
      </c>
      <c r="I6308" t="s">
        <v>28581</v>
      </c>
      <c r="J6308" t="str">
        <f t="shared" si="492"/>
        <v>E:\PropInv\MF</v>
      </c>
      <c r="K6308" s="103" t="str">
        <f>HYPERLINK("E:\PropInv\MF\Farmers Branch\Sigma Rd_4000_Prairie Crossing_Farmers Branch_17230","Sigma Rd_4000_Prairie Crossing_Farmers Branch_17230" )</f>
        <v>Sigma Rd_4000_Prairie Crossing_Farmers Branch_17230</v>
      </c>
      <c r="L6308" s="104" t="s">
        <v>22253</v>
      </c>
      <c r="M6308" s="103" t="str">
        <f t="shared" si="493"/>
        <v>http://oconnordata.com/mlink/modules/profile/index.cfm?action=profile&amp;prop_id=17230</v>
      </c>
      <c r="N6308" s="1">
        <f t="shared" si="494"/>
        <v>17230</v>
      </c>
    </row>
    <row r="6309" spans="1:14" x14ac:dyDescent="0.3">
      <c r="A6309" s="1">
        <v>17231</v>
      </c>
      <c r="B6309" s="7" t="s">
        <v>9470</v>
      </c>
      <c r="C6309" s="12">
        <v>7560</v>
      </c>
      <c r="D6309" s="7" t="s">
        <v>9471</v>
      </c>
      <c r="E6309" s="13" t="s">
        <v>5009</v>
      </c>
      <c r="F6309" t="str">
        <f t="shared" si="490"/>
        <v>Bishop</v>
      </c>
      <c r="G6309" t="str">
        <f t="shared" si="491"/>
        <v>Bishop7560Plano</v>
      </c>
      <c r="H6309" t="s">
        <v>37165</v>
      </c>
      <c r="I6309" t="s">
        <v>28582</v>
      </c>
      <c r="J6309" t="str">
        <f t="shared" si="492"/>
        <v>E:\PropInv\MF</v>
      </c>
      <c r="K6309" s="103" t="str">
        <f>HYPERLINK("E:\PropInv\MF\Plano\Bishop Rd_7560_Northside at Legacy_Plano_17231","Bishop Rd_7560_Northside at Legacy_Plano_17231" )</f>
        <v>Bishop Rd_7560_Northside at Legacy_Plano_17231</v>
      </c>
      <c r="L6309" s="104" t="s">
        <v>22253</v>
      </c>
      <c r="M6309" s="103" t="str">
        <f t="shared" si="493"/>
        <v>http://oconnordata.com/mlink/modules/profile/index.cfm?action=profile&amp;prop_id=17231</v>
      </c>
      <c r="N6309" s="1">
        <f t="shared" si="494"/>
        <v>17231</v>
      </c>
    </row>
    <row r="6310" spans="1:14" x14ac:dyDescent="0.3">
      <c r="A6310" s="1">
        <v>17232</v>
      </c>
      <c r="B6310" s="7" t="s">
        <v>9472</v>
      </c>
      <c r="C6310" s="12">
        <v>8004</v>
      </c>
      <c r="D6310" s="7" t="s">
        <v>9473</v>
      </c>
      <c r="E6310" s="13" t="s">
        <v>4996</v>
      </c>
      <c r="F6310" t="str">
        <f t="shared" si="490"/>
        <v>Virginia</v>
      </c>
      <c r="G6310" t="str">
        <f t="shared" si="491"/>
        <v>Virginia8004Dallas</v>
      </c>
      <c r="H6310" t="s">
        <v>37166</v>
      </c>
      <c r="I6310" t="s">
        <v>28583</v>
      </c>
      <c r="J6310" t="str">
        <f t="shared" si="492"/>
        <v>E:\PropInv\MF</v>
      </c>
      <c r="K6310" s="103" t="str">
        <f>HYPERLINK("E:\PropInv\MF\Dallas\Virginia Dr W_8004_West Virginia Park_Dallas_17232","Virginia Dr W_8004_West Virginia Park_Dallas_17232" )</f>
        <v>Virginia Dr W_8004_West Virginia Park_Dallas_17232</v>
      </c>
      <c r="L6310" s="104" t="s">
        <v>22253</v>
      </c>
      <c r="M6310" s="103" t="str">
        <f t="shared" si="493"/>
        <v>http://oconnordata.com/mlink/modules/profile/index.cfm?action=profile&amp;prop_id=17232</v>
      </c>
      <c r="N6310" s="1">
        <f t="shared" si="494"/>
        <v>17232</v>
      </c>
    </row>
    <row r="6311" spans="1:14" x14ac:dyDescent="0.3">
      <c r="A6311" s="1">
        <v>17233</v>
      </c>
      <c r="B6311" s="7" t="s">
        <v>5616</v>
      </c>
      <c r="C6311" s="12">
        <v>1626</v>
      </c>
      <c r="D6311" s="7" t="s">
        <v>9474</v>
      </c>
      <c r="E6311" s="13" t="s">
        <v>5195</v>
      </c>
      <c r="F6311" t="str">
        <f t="shared" si="490"/>
        <v>Old</v>
      </c>
      <c r="G6311" t="str">
        <f t="shared" si="491"/>
        <v>Old1626Desoto</v>
      </c>
      <c r="H6311" t="s">
        <v>37167</v>
      </c>
      <c r="I6311" t="s">
        <v>28584</v>
      </c>
      <c r="J6311" t="str">
        <f t="shared" si="492"/>
        <v>E:\PropInv\MF</v>
      </c>
      <c r="K6311" s="103" t="str">
        <f>HYPERLINK("E:\PropInv\MF\Desoto\Old Hickory Trl_1626_Hickory Manor_Desoto_17233","Old Hickory Trl_1626_Hickory Manor_Desoto_17233" )</f>
        <v>Old Hickory Trl_1626_Hickory Manor_Desoto_17233</v>
      </c>
      <c r="L6311" s="104" t="s">
        <v>22253</v>
      </c>
      <c r="M6311" s="103" t="str">
        <f t="shared" si="493"/>
        <v>http://oconnordata.com/mlink/modules/profile/index.cfm?action=profile&amp;prop_id=17233</v>
      </c>
      <c r="N6311" s="1">
        <f t="shared" si="494"/>
        <v>17233</v>
      </c>
    </row>
    <row r="6312" spans="1:14" x14ac:dyDescent="0.3">
      <c r="A6312" s="1">
        <v>17234</v>
      </c>
      <c r="B6312" s="7" t="s">
        <v>6194</v>
      </c>
      <c r="C6312" s="12">
        <v>202</v>
      </c>
      <c r="D6312" s="7" t="s">
        <v>9475</v>
      </c>
      <c r="E6312" s="13" t="s">
        <v>5019</v>
      </c>
      <c r="F6312" t="str">
        <f t="shared" si="490"/>
        <v>Belt</v>
      </c>
      <c r="G6312" t="str">
        <f t="shared" si="491"/>
        <v>Belt202Garland</v>
      </c>
      <c r="H6312" t="s">
        <v>37168</v>
      </c>
      <c r="I6312" t="s">
        <v>28585</v>
      </c>
      <c r="J6312" t="str">
        <f t="shared" si="492"/>
        <v>E:\PropInv\MF</v>
      </c>
      <c r="K6312" s="103" t="str">
        <f>HYPERLINK("E:\PropInv\MF\Garland\Belt Line Rd_202_Primrose at Park Place_Garland_17234","Belt Line Rd_202_Primrose at Park Place_Garland_17234" )</f>
        <v>Belt Line Rd_202_Primrose at Park Place_Garland_17234</v>
      </c>
      <c r="L6312" s="104" t="s">
        <v>22253</v>
      </c>
      <c r="M6312" s="103" t="str">
        <f t="shared" si="493"/>
        <v>http://oconnordata.com/mlink/modules/profile/index.cfm?action=profile&amp;prop_id=17234</v>
      </c>
      <c r="N6312" s="1">
        <f t="shared" si="494"/>
        <v>17234</v>
      </c>
    </row>
    <row r="6313" spans="1:14" x14ac:dyDescent="0.3">
      <c r="A6313" s="1">
        <v>17235</v>
      </c>
      <c r="B6313" s="7" t="s">
        <v>9476</v>
      </c>
      <c r="C6313" s="12">
        <v>415</v>
      </c>
      <c r="D6313" s="7" t="s">
        <v>9477</v>
      </c>
      <c r="E6313" s="13" t="s">
        <v>5055</v>
      </c>
      <c r="F6313" t="str">
        <f t="shared" si="490"/>
        <v>Garden</v>
      </c>
      <c r="G6313" t="str">
        <f t="shared" si="491"/>
        <v>Garden415Lewisville</v>
      </c>
      <c r="H6313" t="s">
        <v>37169</v>
      </c>
      <c r="I6313" t="s">
        <v>28586</v>
      </c>
      <c r="J6313" t="str">
        <f t="shared" si="492"/>
        <v>E:\PropInv\MF</v>
      </c>
      <c r="K6313" s="103" t="str">
        <f>HYPERLINK("E:\PropInv\MF\Lewisville\Garden Ridge Blvd S_415_Evergreen at Lewisville_Lewisville_17235","Garden Ridge Blvd S_415_Evergreen at Lewisville_Lewisville_17235" )</f>
        <v>Garden Ridge Blvd S_415_Evergreen at Lewisville_Lewisville_17235</v>
      </c>
      <c r="L6313" s="104" t="s">
        <v>22253</v>
      </c>
      <c r="M6313" s="103" t="str">
        <f t="shared" si="493"/>
        <v>http://oconnordata.com/mlink/modules/profile/index.cfm?action=profile&amp;prop_id=17235</v>
      </c>
      <c r="N6313" s="1">
        <f t="shared" si="494"/>
        <v>17235</v>
      </c>
    </row>
    <row r="6314" spans="1:14" x14ac:dyDescent="0.3">
      <c r="A6314" s="1">
        <v>17236</v>
      </c>
      <c r="B6314" s="7" t="s">
        <v>9478</v>
      </c>
      <c r="C6314" s="12">
        <v>1224</v>
      </c>
      <c r="D6314" s="7" t="s">
        <v>9479</v>
      </c>
      <c r="E6314" s="13" t="s">
        <v>5097</v>
      </c>
      <c r="F6314" t="str">
        <f t="shared" si="490"/>
        <v>Hickory</v>
      </c>
      <c r="G6314" t="str">
        <f t="shared" si="491"/>
        <v>Hickory1224Denton</v>
      </c>
      <c r="H6314" t="s">
        <v>37170</v>
      </c>
      <c r="I6314" t="s">
        <v>28587</v>
      </c>
      <c r="J6314" t="str">
        <f t="shared" si="492"/>
        <v>E:\PropInv\MF</v>
      </c>
      <c r="K6314" s="103" t="str">
        <f>HYPERLINK("E:\PropInv\MF\Denton\Hickory St E_1224_Renaissance Courts TH_Denton_17236","Hickory St E_1224_Renaissance Courts TH_Denton_17236" )</f>
        <v>Hickory St E_1224_Renaissance Courts TH_Denton_17236</v>
      </c>
      <c r="L6314" s="104" t="s">
        <v>22253</v>
      </c>
      <c r="M6314" s="103" t="str">
        <f t="shared" si="493"/>
        <v>http://oconnordata.com/mlink/modules/profile/index.cfm?action=profile&amp;prop_id=17236</v>
      </c>
      <c r="N6314" s="1">
        <f t="shared" si="494"/>
        <v>17236</v>
      </c>
    </row>
    <row r="6315" spans="1:14" x14ac:dyDescent="0.3">
      <c r="A6315" s="1">
        <v>17238</v>
      </c>
      <c r="B6315" s="7" t="s">
        <v>9480</v>
      </c>
      <c r="C6315" s="12">
        <v>1300</v>
      </c>
      <c r="D6315" s="7" t="s">
        <v>282</v>
      </c>
      <c r="E6315" s="13" t="s">
        <v>5638</v>
      </c>
      <c r="F6315" t="str">
        <f t="shared" si="490"/>
        <v>Adelaide</v>
      </c>
      <c r="G6315" t="str">
        <f t="shared" si="491"/>
        <v>Adelaide1300Terrell</v>
      </c>
      <c r="H6315" t="s">
        <v>37171</v>
      </c>
      <c r="I6315" t="s">
        <v>28588</v>
      </c>
      <c r="J6315" t="str">
        <f t="shared" si="492"/>
        <v>E:\PropInv\MF</v>
      </c>
      <c r="K6315" s="103" t="str">
        <f>HYPERLINK("E:\PropInv\MF\Terrell\Adelaide St S_1300_Oak Ridge_Terrell_17238","Adelaide St S_1300_Oak Ridge_Terrell_17238" )</f>
        <v>Adelaide St S_1300_Oak Ridge_Terrell_17238</v>
      </c>
      <c r="L6315" s="104" t="s">
        <v>22253</v>
      </c>
      <c r="M6315" s="103" t="str">
        <f t="shared" si="493"/>
        <v>http://oconnordata.com/mlink/modules/profile/index.cfm?action=profile&amp;prop_id=17238</v>
      </c>
      <c r="N6315" s="1">
        <f t="shared" si="494"/>
        <v>17238</v>
      </c>
    </row>
    <row r="6316" spans="1:14" x14ac:dyDescent="0.3">
      <c r="A6316" s="1">
        <v>17239</v>
      </c>
      <c r="B6316" s="7" t="s">
        <v>2599</v>
      </c>
      <c r="C6316" s="12">
        <v>5300</v>
      </c>
      <c r="D6316" s="7" t="s">
        <v>9481</v>
      </c>
      <c r="E6316" s="13" t="s">
        <v>1657</v>
      </c>
      <c r="F6316" t="str">
        <f t="shared" si="490"/>
        <v>Lake</v>
      </c>
      <c r="G6316" t="str">
        <f t="shared" si="491"/>
        <v>Lake5300Houston</v>
      </c>
      <c r="H6316" t="s">
        <v>37172</v>
      </c>
      <c r="I6316" t="s">
        <v>28589</v>
      </c>
      <c r="J6316" t="str">
        <f t="shared" si="492"/>
        <v>E:\PropInv\MF</v>
      </c>
      <c r="K6316" s="103" t="str">
        <f>HYPERLINK("E:\PropInv\MF\Houston\Lake Houston Pkwy S_5300_Uvalde Ranch_Houston_17239","Lake Houston Pkwy S_5300_Uvalde Ranch_Houston_17239" )</f>
        <v>Lake Houston Pkwy S_5300_Uvalde Ranch_Houston_17239</v>
      </c>
      <c r="L6316" s="104" t="s">
        <v>22253</v>
      </c>
      <c r="M6316" s="103" t="str">
        <f t="shared" si="493"/>
        <v>http://oconnordata.com/mlink/modules/profile/index.cfm?action=profile&amp;prop_id=17239</v>
      </c>
      <c r="N6316" s="1">
        <f t="shared" si="494"/>
        <v>17239</v>
      </c>
    </row>
    <row r="6317" spans="1:14" x14ac:dyDescent="0.3">
      <c r="A6317" s="1">
        <v>17240</v>
      </c>
      <c r="B6317" s="7" t="s">
        <v>9482</v>
      </c>
      <c r="C6317" s="12">
        <v>3627</v>
      </c>
      <c r="D6317" s="7" t="s">
        <v>9483</v>
      </c>
      <c r="E6317" s="13" t="s">
        <v>4996</v>
      </c>
      <c r="F6317" t="str">
        <f t="shared" si="490"/>
        <v>Almazan</v>
      </c>
      <c r="G6317" t="str">
        <f t="shared" si="491"/>
        <v>Almazan3627Dallas</v>
      </c>
      <c r="H6317" t="s">
        <v>37173</v>
      </c>
      <c r="I6317" t="s">
        <v>28590</v>
      </c>
      <c r="J6317" t="str">
        <f t="shared" si="492"/>
        <v>E:\PropInv\MF</v>
      </c>
      <c r="K6317" s="103" t="str">
        <f>HYPERLINK("E:\PropInv\MF\Dallas\Almazan Dr_3627_Castle Place_Dallas_17240","Almazan Dr_3627_Castle Place_Dallas_17240" )</f>
        <v>Almazan Dr_3627_Castle Place_Dallas_17240</v>
      </c>
      <c r="L6317" s="104" t="s">
        <v>22253</v>
      </c>
      <c r="M6317" s="103" t="str">
        <f t="shared" si="493"/>
        <v>http://oconnordata.com/mlink/modules/profile/index.cfm?action=profile&amp;prop_id=17240</v>
      </c>
      <c r="N6317" s="1">
        <f t="shared" si="494"/>
        <v>17240</v>
      </c>
    </row>
    <row r="6318" spans="1:14" x14ac:dyDescent="0.3">
      <c r="A6318" s="1">
        <v>17241</v>
      </c>
      <c r="B6318" s="7" t="s">
        <v>7147</v>
      </c>
      <c r="C6318" s="12">
        <v>3434</v>
      </c>
      <c r="D6318" s="7" t="s">
        <v>9484</v>
      </c>
      <c r="E6318" s="13" t="s">
        <v>4996</v>
      </c>
      <c r="F6318" t="str">
        <f t="shared" si="490"/>
        <v>Hidalgo</v>
      </c>
      <c r="G6318" t="str">
        <f t="shared" si="491"/>
        <v>Hidalgo3434Dallas</v>
      </c>
      <c r="H6318" t="s">
        <v>37174</v>
      </c>
      <c r="I6318" t="s">
        <v>28591</v>
      </c>
      <c r="J6318" t="str">
        <f t="shared" si="492"/>
        <v>E:\PropInv\MF</v>
      </c>
      <c r="K6318" s="103" t="str">
        <f>HYPERLINK("E:\PropInv\MF\Dallas\Hidalgo Dr_3434_Town Place Apts_Dallas_17241","Hidalgo Dr_3434_Town Place Apts_Dallas_17241" )</f>
        <v>Hidalgo Dr_3434_Town Place Apts_Dallas_17241</v>
      </c>
      <c r="L6318" s="104" t="s">
        <v>22253</v>
      </c>
      <c r="M6318" s="103" t="str">
        <f t="shared" si="493"/>
        <v>http://oconnordata.com/mlink/modules/profile/index.cfm?action=profile&amp;prop_id=17241</v>
      </c>
      <c r="N6318" s="1">
        <f t="shared" si="494"/>
        <v>17241</v>
      </c>
    </row>
    <row r="6319" spans="1:14" x14ac:dyDescent="0.3">
      <c r="A6319" s="1">
        <v>17242</v>
      </c>
      <c r="B6319" s="7" t="s">
        <v>4363</v>
      </c>
      <c r="C6319" s="12">
        <v>170</v>
      </c>
      <c r="D6319" s="7" t="s">
        <v>9485</v>
      </c>
      <c r="E6319" s="13" t="s">
        <v>8116</v>
      </c>
      <c r="F6319" t="str">
        <f t="shared" si="490"/>
        <v>Henderson</v>
      </c>
      <c r="G6319" t="str">
        <f t="shared" si="491"/>
        <v>Henderson170Midlothian</v>
      </c>
      <c r="H6319" t="s">
        <v>37175</v>
      </c>
      <c r="I6319" t="s">
        <v>28592</v>
      </c>
      <c r="J6319" t="str">
        <f t="shared" si="492"/>
        <v>E:\PropInv\MF</v>
      </c>
      <c r="K6319" s="103" t="str">
        <f>HYPERLINK("E:\PropInv\MF\Midlothian\Henderson_170_Henderson Place_Midlothian_17242","Henderson_170_Henderson Place_Midlothian_17242" )</f>
        <v>Henderson_170_Henderson Place_Midlothian_17242</v>
      </c>
      <c r="L6319" s="104" t="s">
        <v>22253</v>
      </c>
      <c r="M6319" s="103" t="str">
        <f t="shared" si="493"/>
        <v>http://oconnordata.com/mlink/modules/profile/index.cfm?action=profile&amp;prop_id=17242</v>
      </c>
      <c r="N6319" s="1">
        <f t="shared" si="494"/>
        <v>17242</v>
      </c>
    </row>
    <row r="6320" spans="1:14" x14ac:dyDescent="0.3">
      <c r="A6320" s="1">
        <v>17244</v>
      </c>
      <c r="B6320" s="7" t="s">
        <v>4275</v>
      </c>
      <c r="C6320" s="12">
        <v>3701</v>
      </c>
      <c r="D6320" s="7" t="s">
        <v>9486</v>
      </c>
      <c r="E6320" s="13" t="s">
        <v>4047</v>
      </c>
      <c r="F6320" t="str">
        <f t="shared" si="490"/>
        <v>Luella</v>
      </c>
      <c r="G6320" t="str">
        <f t="shared" si="491"/>
        <v>Luella3701La Porte</v>
      </c>
      <c r="H6320" t="s">
        <v>37176</v>
      </c>
      <c r="I6320" t="s">
        <v>28593</v>
      </c>
      <c r="J6320" t="str">
        <f t="shared" si="492"/>
        <v>E:\PropInv\MF</v>
      </c>
      <c r="K6320" s="103" t="str">
        <f>HYPERLINK("E:\PropInv\MF\La Porte\Luella Blvd_3701_Seville Place_La Porte_17244","Luella Blvd_3701_Seville Place_La Porte_17244" )</f>
        <v>Luella Blvd_3701_Seville Place_La Porte_17244</v>
      </c>
      <c r="L6320" s="104" t="s">
        <v>22253</v>
      </c>
      <c r="M6320" s="103" t="str">
        <f t="shared" si="493"/>
        <v>http://oconnordata.com/mlink/modules/profile/index.cfm?action=profile&amp;prop_id=17244</v>
      </c>
      <c r="N6320" s="1">
        <f t="shared" si="494"/>
        <v>17244</v>
      </c>
    </row>
    <row r="6321" spans="1:14" x14ac:dyDescent="0.3">
      <c r="A6321" s="1">
        <v>17245</v>
      </c>
      <c r="B6321" s="7" t="s">
        <v>2054</v>
      </c>
      <c r="C6321" s="12">
        <v>8440</v>
      </c>
      <c r="D6321" s="7" t="s">
        <v>9487</v>
      </c>
      <c r="E6321" s="13" t="s">
        <v>1763</v>
      </c>
      <c r="F6321" t="str">
        <f t="shared" si="490"/>
        <v>Sam</v>
      </c>
      <c r="G6321" t="str">
        <f t="shared" si="491"/>
        <v>Sam8440Humble</v>
      </c>
      <c r="H6321" t="s">
        <v>37177</v>
      </c>
      <c r="I6321" t="s">
        <v>28594</v>
      </c>
      <c r="J6321" t="str">
        <f t="shared" si="492"/>
        <v>E:\PropInv\MF</v>
      </c>
      <c r="K6321" s="103" t="str">
        <f>HYPERLINK("E:\PropInv\MF\Humble\Sam Houston Pkwy E N_8440_Chalet at Fall Creek_Humble_17245","Sam Houston Pkwy E N_8440_Chalet at Fall Creek_Humble_17245" )</f>
        <v>Sam Houston Pkwy E N_8440_Chalet at Fall Creek_Humble_17245</v>
      </c>
      <c r="L6321" s="104" t="s">
        <v>22253</v>
      </c>
      <c r="M6321" s="103" t="str">
        <f t="shared" si="493"/>
        <v>http://oconnordata.com/mlink/modules/profile/index.cfm?action=profile&amp;prop_id=17245</v>
      </c>
      <c r="N6321" s="1">
        <f t="shared" si="494"/>
        <v>17245</v>
      </c>
    </row>
    <row r="6322" spans="1:14" x14ac:dyDescent="0.3">
      <c r="A6322" s="1">
        <v>17246</v>
      </c>
      <c r="B6322" s="7" t="s">
        <v>9488</v>
      </c>
      <c r="C6322" s="12">
        <v>300</v>
      </c>
      <c r="D6322" s="7" t="s">
        <v>9489</v>
      </c>
      <c r="E6322" s="13" t="s">
        <v>5014</v>
      </c>
      <c r="F6322" t="str">
        <f t="shared" si="490"/>
        <v>Terrell</v>
      </c>
      <c r="G6322" t="str">
        <f t="shared" si="491"/>
        <v>Terrell300Fort Worth</v>
      </c>
      <c r="H6322" t="s">
        <v>37178</v>
      </c>
      <c r="I6322" t="s">
        <v>28595</v>
      </c>
      <c r="J6322" t="str">
        <f t="shared" si="492"/>
        <v>E:\PropInv\MF</v>
      </c>
      <c r="K6322" s="103" t="str">
        <f>HYPERLINK("E:\PropInv\MF\Fort Worth\Terrell Ave E_300_Oak Timbers Fort Worth_Fort Worth_17246","Terrell Ave E_300_Oak Timbers Fort Worth_Fort Worth_17246" )</f>
        <v>Terrell Ave E_300_Oak Timbers Fort Worth_Fort Worth_17246</v>
      </c>
      <c r="L6322" s="104" t="s">
        <v>22253</v>
      </c>
      <c r="M6322" s="103" t="str">
        <f t="shared" si="493"/>
        <v>http://oconnordata.com/mlink/modules/profile/index.cfm?action=profile&amp;prop_id=17246</v>
      </c>
      <c r="N6322" s="1">
        <f t="shared" si="494"/>
        <v>17246</v>
      </c>
    </row>
    <row r="6323" spans="1:14" x14ac:dyDescent="0.3">
      <c r="A6323" s="1">
        <v>17247</v>
      </c>
      <c r="B6323" s="37" t="s">
        <v>5393</v>
      </c>
      <c r="C6323" s="38">
        <v>3839</v>
      </c>
      <c r="D6323" s="29" t="s">
        <v>9490</v>
      </c>
      <c r="E6323" s="39" t="s">
        <v>4996</v>
      </c>
      <c r="F6323" t="str">
        <f t="shared" si="490"/>
        <v>McKinney</v>
      </c>
      <c r="G6323" t="str">
        <f t="shared" si="491"/>
        <v>McKinney3839Dallas</v>
      </c>
      <c r="H6323" t="s">
        <v>37179</v>
      </c>
      <c r="I6323" t="s">
        <v>28596</v>
      </c>
      <c r="J6323" t="str">
        <f t="shared" si="492"/>
        <v>E:\PropInv\MF</v>
      </c>
      <c r="K6323" s="103" t="str">
        <f>HYPERLINK("E:\PropInv\MF\Dallas\McKinney Ave_3839_Gables West Village I_Dallas_17247","McKinney Ave_3839_Gables West Village I_Dallas_17247" )</f>
        <v>McKinney Ave_3839_Gables West Village I_Dallas_17247</v>
      </c>
      <c r="L6323" s="104" t="s">
        <v>22253</v>
      </c>
      <c r="M6323" s="103" t="str">
        <f t="shared" si="493"/>
        <v>http://oconnordata.com/mlink/modules/profile/index.cfm?action=profile&amp;prop_id=17247</v>
      </c>
      <c r="N6323" s="1">
        <f t="shared" si="494"/>
        <v>17247</v>
      </c>
    </row>
    <row r="6324" spans="1:14" x14ac:dyDescent="0.3">
      <c r="A6324" s="1">
        <v>17248</v>
      </c>
      <c r="B6324" s="7" t="s">
        <v>8645</v>
      </c>
      <c r="C6324" s="12">
        <v>7115</v>
      </c>
      <c r="D6324" s="7" t="s">
        <v>9491</v>
      </c>
      <c r="E6324" s="13" t="s">
        <v>2675</v>
      </c>
      <c r="F6324" t="str">
        <f t="shared" si="490"/>
        <v>Mason</v>
      </c>
      <c r="G6324" t="str">
        <f t="shared" si="491"/>
        <v>Mason7115Richmond</v>
      </c>
      <c r="H6324" t="s">
        <v>37180</v>
      </c>
      <c r="I6324" t="s">
        <v>28597</v>
      </c>
      <c r="J6324" t="str">
        <f t="shared" si="492"/>
        <v>E:\PropInv\MF</v>
      </c>
      <c r="K6324" s="103" t="str">
        <f>HYPERLINK("E:\PropInv\MF\Richmond\Mason Rd_7115_Camden Lakemont_Richmond_17248","Mason Rd_7115_Camden Lakemont_Richmond_17248" )</f>
        <v>Mason Rd_7115_Camden Lakemont_Richmond_17248</v>
      </c>
      <c r="L6324" s="104" t="s">
        <v>22253</v>
      </c>
      <c r="M6324" s="103" t="str">
        <f t="shared" si="493"/>
        <v>http://oconnordata.com/mlink/modules/profile/index.cfm?action=profile&amp;prop_id=17248</v>
      </c>
      <c r="N6324" s="1">
        <f t="shared" si="494"/>
        <v>17248</v>
      </c>
    </row>
    <row r="6325" spans="1:14" x14ac:dyDescent="0.3">
      <c r="A6325" s="1">
        <v>17249</v>
      </c>
      <c r="B6325" s="7" t="s">
        <v>9492</v>
      </c>
      <c r="C6325" s="12">
        <v>7404</v>
      </c>
      <c r="D6325" s="7" t="s">
        <v>9493</v>
      </c>
      <c r="E6325" s="13" t="s">
        <v>4428</v>
      </c>
      <c r="F6325" t="str">
        <f t="shared" si="490"/>
        <v>Town</v>
      </c>
      <c r="G6325" t="str">
        <f t="shared" si="491"/>
        <v>Town7404Rosenberg</v>
      </c>
      <c r="H6325" t="s">
        <v>37181</v>
      </c>
      <c r="I6325" t="s">
        <v>28598</v>
      </c>
      <c r="J6325" t="str">
        <f t="shared" si="492"/>
        <v>E:\PropInv\MF</v>
      </c>
      <c r="K6325" s="103" t="str">
        <f>HYPERLINK("E:\PropInv\MF\Rosenberg\Town Center Blvd_7404_Brazos Ranch_Rosenberg_17249","Town Center Blvd_7404_Brazos Ranch_Rosenberg_17249" )</f>
        <v>Town Center Blvd_7404_Brazos Ranch_Rosenberg_17249</v>
      </c>
      <c r="L6325" s="104" t="s">
        <v>22253</v>
      </c>
      <c r="M6325" s="103" t="str">
        <f t="shared" si="493"/>
        <v>http://oconnordata.com/mlink/modules/profile/index.cfm?action=profile&amp;prop_id=17249</v>
      </c>
      <c r="N6325" s="1">
        <f t="shared" si="494"/>
        <v>17249</v>
      </c>
    </row>
    <row r="6326" spans="1:14" x14ac:dyDescent="0.3">
      <c r="A6326" s="1">
        <v>17250</v>
      </c>
      <c r="B6326" s="7" t="s">
        <v>2568</v>
      </c>
      <c r="C6326" s="12">
        <v>5201</v>
      </c>
      <c r="D6326" s="7" t="s">
        <v>9494</v>
      </c>
      <c r="E6326" s="13" t="s">
        <v>1657</v>
      </c>
      <c r="F6326" t="str">
        <f t="shared" si="490"/>
        <v>Memorial</v>
      </c>
      <c r="G6326" t="str">
        <f t="shared" si="491"/>
        <v>Memorial5201Houston</v>
      </c>
      <c r="H6326" t="s">
        <v>37182</v>
      </c>
      <c r="I6326" t="s">
        <v>28599</v>
      </c>
      <c r="J6326" t="str">
        <f t="shared" si="492"/>
        <v>E:\PropInv\MF</v>
      </c>
      <c r="K6326" s="103" t="str">
        <f>HYPERLINK("E:\PropInv\MF\Houston\Memorial Dr_5201_Bayou on the Bend_Houston_17250","Memorial Dr_5201_Bayou on the Bend_Houston_17250" )</f>
        <v>Memorial Dr_5201_Bayou on the Bend_Houston_17250</v>
      </c>
      <c r="L6326" s="104" t="s">
        <v>22253</v>
      </c>
      <c r="M6326" s="103" t="str">
        <f t="shared" si="493"/>
        <v>http://oconnordata.com/mlink/modules/profile/index.cfm?action=profile&amp;prop_id=17250</v>
      </c>
      <c r="N6326" s="1">
        <f t="shared" si="494"/>
        <v>17250</v>
      </c>
    </row>
    <row r="6327" spans="1:14" x14ac:dyDescent="0.3">
      <c r="A6327" s="1">
        <v>17252</v>
      </c>
      <c r="B6327" s="7" t="s">
        <v>9495</v>
      </c>
      <c r="C6327" s="12">
        <v>300</v>
      </c>
      <c r="D6327" s="7" t="s">
        <v>5652</v>
      </c>
      <c r="E6327" s="13" t="s">
        <v>5140</v>
      </c>
      <c r="F6327" t="str">
        <f t="shared" si="490"/>
        <v>Waters</v>
      </c>
      <c r="G6327" t="str">
        <f t="shared" si="491"/>
        <v>Waters300Allen</v>
      </c>
      <c r="H6327" t="s">
        <v>37183</v>
      </c>
      <c r="I6327" t="s">
        <v>28600</v>
      </c>
      <c r="J6327" t="str">
        <f t="shared" si="492"/>
        <v>E:\PropInv\MF</v>
      </c>
      <c r="K6327" s="103" t="str">
        <f>HYPERLINK("E:\PropInv\MF\Allen\Waters Rd_300_Hidden Creek_Allen_17252","Waters Rd_300_Hidden Creek_Allen_17252" )</f>
        <v>Waters Rd_300_Hidden Creek_Allen_17252</v>
      </c>
      <c r="L6327" s="104" t="s">
        <v>22253</v>
      </c>
      <c r="M6327" s="103" t="str">
        <f t="shared" si="493"/>
        <v>http://oconnordata.com/mlink/modules/profile/index.cfm?action=profile&amp;prop_id=17252</v>
      </c>
      <c r="N6327" s="1">
        <f t="shared" si="494"/>
        <v>17252</v>
      </c>
    </row>
    <row r="6328" spans="1:14" x14ac:dyDescent="0.3">
      <c r="A6328" s="1">
        <v>17253</v>
      </c>
      <c r="B6328" s="7" t="s">
        <v>9496</v>
      </c>
      <c r="C6328" s="12">
        <v>11900</v>
      </c>
      <c r="D6328" s="7" t="s">
        <v>9497</v>
      </c>
      <c r="E6328" s="13" t="s">
        <v>1657</v>
      </c>
      <c r="F6328" t="str">
        <f t="shared" si="490"/>
        <v>Oakmoor</v>
      </c>
      <c r="G6328" t="str">
        <f t="shared" si="491"/>
        <v>Oakmoor11900Houston</v>
      </c>
      <c r="H6328" t="s">
        <v>37184</v>
      </c>
      <c r="I6328" t="s">
        <v>28601</v>
      </c>
      <c r="J6328" t="str">
        <f t="shared" si="492"/>
        <v>E:\PropInv\MF</v>
      </c>
      <c r="K6328" s="103" t="str">
        <f>HYPERLINK("E:\PropInv\MF\Houston\Oakmoor Pkwy_11900_Oakmoor AH_Houston_17253","Oakmoor Pkwy_11900_Oakmoor AH_Houston_17253" )</f>
        <v>Oakmoor Pkwy_11900_Oakmoor AH_Houston_17253</v>
      </c>
      <c r="L6328" s="104" t="s">
        <v>22253</v>
      </c>
      <c r="M6328" s="103" t="str">
        <f t="shared" si="493"/>
        <v>http://oconnordata.com/mlink/modules/profile/index.cfm?action=profile&amp;prop_id=17253</v>
      </c>
      <c r="N6328" s="1">
        <f t="shared" si="494"/>
        <v>17253</v>
      </c>
    </row>
    <row r="6329" spans="1:14" x14ac:dyDescent="0.3">
      <c r="A6329" s="1">
        <v>17255</v>
      </c>
      <c r="B6329" s="7" t="s">
        <v>5583</v>
      </c>
      <c r="C6329" s="12">
        <v>3850</v>
      </c>
      <c r="D6329" s="7" t="s">
        <v>9498</v>
      </c>
      <c r="E6329" s="13" t="s">
        <v>4996</v>
      </c>
      <c r="F6329" t="str">
        <f t="shared" si="490"/>
        <v>NW</v>
      </c>
      <c r="G6329" t="str">
        <f t="shared" si="491"/>
        <v>NW3850Dallas</v>
      </c>
      <c r="H6329" t="s">
        <v>37185</v>
      </c>
      <c r="I6329" t="s">
        <v>28602</v>
      </c>
      <c r="J6329" t="str">
        <f t="shared" si="492"/>
        <v>E:\PropInv\MF</v>
      </c>
      <c r="K6329" s="103" t="str">
        <f>HYPERLINK("E:\PropInv\MF\Dallas\NW Hwy W_3850_The Élan at Bluffview_Dallas_17255","NW Hwy W_3850_The Élan at Bluffview_Dallas_17255" )</f>
        <v>NW Hwy W_3850_The Élan at Bluffview_Dallas_17255</v>
      </c>
      <c r="L6329" s="104" t="s">
        <v>22253</v>
      </c>
      <c r="M6329" s="103" t="str">
        <f t="shared" si="493"/>
        <v>http://oconnordata.com/mlink/modules/profile/index.cfm?action=profile&amp;prop_id=17255</v>
      </c>
      <c r="N6329" s="1">
        <f t="shared" si="494"/>
        <v>17255</v>
      </c>
    </row>
    <row r="6330" spans="1:14" x14ac:dyDescent="0.3">
      <c r="A6330" s="1">
        <v>17256</v>
      </c>
      <c r="B6330" s="7" t="s">
        <v>2214</v>
      </c>
      <c r="C6330" s="12">
        <v>2931</v>
      </c>
      <c r="D6330" s="7" t="s">
        <v>9499</v>
      </c>
      <c r="E6330" s="13" t="s">
        <v>1657</v>
      </c>
      <c r="F6330" t="str">
        <f t="shared" si="490"/>
        <v>Barker</v>
      </c>
      <c r="G6330" t="str">
        <f t="shared" si="491"/>
        <v>Barker2931Houston</v>
      </c>
      <c r="H6330" t="s">
        <v>37186</v>
      </c>
      <c r="I6330" t="s">
        <v>28603</v>
      </c>
      <c r="J6330" t="str">
        <f t="shared" si="492"/>
        <v>E:\PropInv\MF</v>
      </c>
      <c r="K6330" s="103" t="str">
        <f>HYPERLINK("E:\PropInv\MF\Houston\Barker Cypress_2931_Landmark at Barker Cypress_Houston_17256","Barker Cypress_2931_Landmark at Barker Cypress_Houston_17256" )</f>
        <v>Barker Cypress_2931_Landmark at Barker Cypress_Houston_17256</v>
      </c>
      <c r="L6330" s="104" t="s">
        <v>22253</v>
      </c>
      <c r="M6330" s="103" t="str">
        <f t="shared" si="493"/>
        <v>http://oconnordata.com/mlink/modules/profile/index.cfm?action=profile&amp;prop_id=17256</v>
      </c>
      <c r="N6330" s="1">
        <f t="shared" si="494"/>
        <v>17256</v>
      </c>
    </row>
    <row r="6331" spans="1:14" x14ac:dyDescent="0.3">
      <c r="A6331" s="1">
        <v>17257</v>
      </c>
      <c r="B6331" s="7" t="s">
        <v>9500</v>
      </c>
      <c r="C6331" s="12">
        <v>3600</v>
      </c>
      <c r="D6331" s="7" t="s">
        <v>9501</v>
      </c>
      <c r="E6331" s="13" t="s">
        <v>1508</v>
      </c>
      <c r="F6331" t="str">
        <f t="shared" si="490"/>
        <v>College</v>
      </c>
      <c r="G6331" t="str">
        <f t="shared" si="491"/>
        <v>College3600The Woodlands</v>
      </c>
      <c r="H6331" t="s">
        <v>37187</v>
      </c>
      <c r="I6331" t="s">
        <v>28604</v>
      </c>
      <c r="J6331" t="str">
        <f t="shared" si="492"/>
        <v>E:\PropInv\MF</v>
      </c>
      <c r="K6331" s="103" t="str">
        <f>HYPERLINK("E:\PropInv\MF\The Woodlands\College Park Dr_3600_Pine Creek Ranch_The Woodlands_17257","College Park Dr_3600_Pine Creek Ranch_The Woodlands_17257" )</f>
        <v>College Park Dr_3600_Pine Creek Ranch_The Woodlands_17257</v>
      </c>
      <c r="L6331" s="104" t="s">
        <v>22253</v>
      </c>
      <c r="M6331" s="103" t="str">
        <f t="shared" si="493"/>
        <v>http://oconnordata.com/mlink/modules/profile/index.cfm?action=profile&amp;prop_id=17257</v>
      </c>
      <c r="N6331" s="1">
        <f t="shared" si="494"/>
        <v>17257</v>
      </c>
    </row>
    <row r="6332" spans="1:14" x14ac:dyDescent="0.3">
      <c r="A6332" s="1">
        <v>17258</v>
      </c>
      <c r="B6332" s="7" t="s">
        <v>9502</v>
      </c>
      <c r="C6332" s="12">
        <v>4701</v>
      </c>
      <c r="D6332" s="7" t="s">
        <v>9503</v>
      </c>
      <c r="E6332" s="13" t="s">
        <v>5014</v>
      </c>
      <c r="F6332" t="str">
        <f t="shared" si="490"/>
        <v>Donnelly</v>
      </c>
      <c r="G6332" t="str">
        <f t="shared" si="491"/>
        <v>Donnelly4701Fort Worth</v>
      </c>
      <c r="H6332" t="s">
        <v>37188</v>
      </c>
      <c r="I6332" t="s">
        <v>28605</v>
      </c>
      <c r="J6332" t="str">
        <f t="shared" si="492"/>
        <v>E:\PropInv\MF</v>
      </c>
      <c r="K6332" s="103" t="str">
        <f>HYPERLINK("E:\PropInv\MF\Fort Worth\Donnelly Cir_4701_Hulen Heights_Fort Worth_17258","Donnelly Cir_4701_Hulen Heights_Fort Worth_17258" )</f>
        <v>Donnelly Cir_4701_Hulen Heights_Fort Worth_17258</v>
      </c>
      <c r="L6332" s="104" t="s">
        <v>22253</v>
      </c>
      <c r="M6332" s="103" t="str">
        <f t="shared" si="493"/>
        <v>http://oconnordata.com/mlink/modules/profile/index.cfm?action=profile&amp;prop_id=17258</v>
      </c>
      <c r="N6332" s="1">
        <f t="shared" si="494"/>
        <v>17258</v>
      </c>
    </row>
    <row r="6333" spans="1:14" x14ac:dyDescent="0.3">
      <c r="A6333" s="1">
        <v>17261</v>
      </c>
      <c r="B6333" s="7" t="s">
        <v>5655</v>
      </c>
      <c r="C6333" s="12">
        <v>801</v>
      </c>
      <c r="D6333" s="7" t="s">
        <v>9504</v>
      </c>
      <c r="E6333" s="13" t="s">
        <v>7</v>
      </c>
      <c r="F6333" t="str">
        <f t="shared" si="490"/>
        <v>5th</v>
      </c>
      <c r="G6333" t="str">
        <f t="shared" si="491"/>
        <v>5th801Austin</v>
      </c>
      <c r="H6333" t="s">
        <v>37189</v>
      </c>
      <c r="I6333" t="s">
        <v>28606</v>
      </c>
      <c r="J6333" t="str">
        <f t="shared" si="492"/>
        <v>E:\PropInv\MF</v>
      </c>
      <c r="K6333" s="103" t="str">
        <f>HYPERLINK("E:\PropInv\MF\Austin\5th St W_801_The Monarch by Windsor_Austin_17261","5th St W_801_The Monarch by Windsor_Austin_17261" )</f>
        <v>5th St W_801_The Monarch by Windsor_Austin_17261</v>
      </c>
      <c r="L6333" s="104" t="s">
        <v>22253</v>
      </c>
      <c r="M6333" s="103" t="str">
        <f t="shared" si="493"/>
        <v>http://oconnordata.com/mlink/modules/profile/index.cfm?action=profile&amp;prop_id=17261</v>
      </c>
      <c r="N6333" s="1">
        <f t="shared" si="494"/>
        <v>17261</v>
      </c>
    </row>
    <row r="6334" spans="1:14" x14ac:dyDescent="0.3">
      <c r="A6334" s="1">
        <v>17262</v>
      </c>
      <c r="B6334" s="7" t="s">
        <v>391</v>
      </c>
      <c r="C6334" s="12">
        <v>300</v>
      </c>
      <c r="D6334" s="7" t="s">
        <v>9505</v>
      </c>
      <c r="E6334" s="13" t="s">
        <v>7</v>
      </c>
      <c r="F6334" t="str">
        <f t="shared" si="490"/>
        <v>Lamar</v>
      </c>
      <c r="G6334" t="str">
        <f t="shared" si="491"/>
        <v>Lamar300Austin</v>
      </c>
      <c r="H6334" t="s">
        <v>37190</v>
      </c>
      <c r="I6334" t="s">
        <v>28607</v>
      </c>
      <c r="J6334" t="str">
        <f t="shared" si="492"/>
        <v>E:\PropInv\MF</v>
      </c>
      <c r="K6334" s="103" t="str">
        <f>HYPERLINK("E:\PropInv\MF\Austin\Lamar Blvd S_300_Cole Apts_Austin_17262","Lamar Blvd S_300_Cole Apts_Austin_17262" )</f>
        <v>Lamar Blvd S_300_Cole Apts_Austin_17262</v>
      </c>
      <c r="L6334" s="104" t="s">
        <v>22253</v>
      </c>
      <c r="M6334" s="103" t="str">
        <f t="shared" si="493"/>
        <v>http://oconnordata.com/mlink/modules/profile/index.cfm?action=profile&amp;prop_id=17262</v>
      </c>
      <c r="N6334" s="1">
        <f t="shared" si="494"/>
        <v>17262</v>
      </c>
    </row>
    <row r="6335" spans="1:14" x14ac:dyDescent="0.3">
      <c r="A6335" s="1">
        <v>17265</v>
      </c>
      <c r="B6335" s="7" t="s">
        <v>41</v>
      </c>
      <c r="C6335" s="12">
        <v>127</v>
      </c>
      <c r="D6335" s="7" t="s">
        <v>1406</v>
      </c>
      <c r="E6335" s="13" t="s">
        <v>7</v>
      </c>
      <c r="F6335" t="str">
        <f t="shared" si="490"/>
        <v>Riverside</v>
      </c>
      <c r="G6335" t="str">
        <f t="shared" si="491"/>
        <v>Riverside127Austin</v>
      </c>
      <c r="H6335" t="s">
        <v>37191</v>
      </c>
      <c r="I6335" t="s">
        <v>28608</v>
      </c>
      <c r="J6335" t="str">
        <f t="shared" si="492"/>
        <v>E:\PropInv\MF</v>
      </c>
      <c r="K6335" s="103" t="str">
        <f>HYPERLINK("E:\PropInv\MF\Austin\Riverside Dr E_127_The Crescent_Austin_17265","Riverside Dr E_127_The Crescent_Austin_17265" )</f>
        <v>Riverside Dr E_127_The Crescent_Austin_17265</v>
      </c>
      <c r="L6335" s="104" t="s">
        <v>22253</v>
      </c>
      <c r="M6335" s="103" t="str">
        <f t="shared" si="493"/>
        <v>http://oconnordata.com/mlink/modules/profile/index.cfm?action=profile&amp;prop_id=17265</v>
      </c>
      <c r="N6335" s="1">
        <f t="shared" si="494"/>
        <v>17265</v>
      </c>
    </row>
    <row r="6336" spans="1:14" x14ac:dyDescent="0.3">
      <c r="A6336" s="1">
        <v>17266</v>
      </c>
      <c r="B6336" s="7" t="s">
        <v>9506</v>
      </c>
      <c r="C6336" s="12">
        <v>12800</v>
      </c>
      <c r="D6336" s="7" t="s">
        <v>6491</v>
      </c>
      <c r="E6336" s="13" t="s">
        <v>1657</v>
      </c>
      <c r="F6336" t="str">
        <f t="shared" si="490"/>
        <v>Dunlap</v>
      </c>
      <c r="G6336" t="str">
        <f t="shared" si="491"/>
        <v>Dunlap12800Houston</v>
      </c>
      <c r="H6336" t="s">
        <v>37192</v>
      </c>
      <c r="I6336" t="s">
        <v>28609</v>
      </c>
      <c r="J6336" t="str">
        <f t="shared" si="492"/>
        <v>E:\PropInv\MF</v>
      </c>
      <c r="K6336" s="103" t="str">
        <f>HYPERLINK("E:\PropInv\MF\Houston\Dunlap Dr_12800_Willow Ridge_Houston_17266","Dunlap Dr_12800_Willow Ridge_Houston_17266" )</f>
        <v>Dunlap Dr_12800_Willow Ridge_Houston_17266</v>
      </c>
      <c r="L6336" s="104" t="s">
        <v>22253</v>
      </c>
      <c r="M6336" s="103" t="str">
        <f t="shared" si="493"/>
        <v>http://oconnordata.com/mlink/modules/profile/index.cfm?action=profile&amp;prop_id=17266</v>
      </c>
      <c r="N6336" s="1">
        <f t="shared" si="494"/>
        <v>17266</v>
      </c>
    </row>
    <row r="6337" spans="1:14" x14ac:dyDescent="0.3">
      <c r="A6337" s="1">
        <v>17268</v>
      </c>
      <c r="B6337" s="7" t="s">
        <v>9507</v>
      </c>
      <c r="C6337" s="12">
        <v>400</v>
      </c>
      <c r="D6337" s="7" t="s">
        <v>9508</v>
      </c>
      <c r="E6337" s="13" t="s">
        <v>5195</v>
      </c>
      <c r="F6337" t="str">
        <f t="shared" si="490"/>
        <v>Wintergreen</v>
      </c>
      <c r="G6337" t="str">
        <f t="shared" si="491"/>
        <v>Wintergreen400Desoto</v>
      </c>
      <c r="H6337" t="s">
        <v>37193</v>
      </c>
      <c r="I6337" t="s">
        <v>28610</v>
      </c>
      <c r="J6337" t="str">
        <f t="shared" si="492"/>
        <v>E:\PropInv\MF</v>
      </c>
      <c r="K6337" s="103" t="str">
        <f>HYPERLINK("E:\PropInv\MF\Desoto\Wintergreen Rd E_400_Arbors on Wintergreen_Desoto_17268","Wintergreen Rd E_400_Arbors on Wintergreen_Desoto_17268" )</f>
        <v>Wintergreen Rd E_400_Arbors on Wintergreen_Desoto_17268</v>
      </c>
      <c r="L6337" s="104" t="s">
        <v>22253</v>
      </c>
      <c r="M6337" s="103" t="str">
        <f t="shared" si="493"/>
        <v>http://oconnordata.com/mlink/modules/profile/index.cfm?action=profile&amp;prop_id=17268</v>
      </c>
      <c r="N6337" s="1">
        <f t="shared" si="494"/>
        <v>17268</v>
      </c>
    </row>
    <row r="6338" spans="1:14" x14ac:dyDescent="0.3">
      <c r="A6338" s="1">
        <v>17269</v>
      </c>
      <c r="B6338" s="7" t="s">
        <v>5181</v>
      </c>
      <c r="C6338" s="12" t="s">
        <v>9509</v>
      </c>
      <c r="D6338" s="7" t="s">
        <v>9510</v>
      </c>
      <c r="E6338" s="13" t="s">
        <v>4996</v>
      </c>
      <c r="F6338" t="str">
        <f t="shared" ref="F6338:F6401" si="495">IFERROR(LEFT(B6338,FIND(" ",B6338)-1),B6338)</f>
        <v>John</v>
      </c>
      <c r="G6338" t="str">
        <f t="shared" ref="G6338:G6401" si="496">F6338&amp;C6338&amp;E6338</f>
        <v>John2519-2563Dallas</v>
      </c>
      <c r="H6338" t="s">
        <v>37194</v>
      </c>
      <c r="I6338" t="s">
        <v>28611</v>
      </c>
      <c r="J6338" t="str">
        <f t="shared" ref="J6338:J6401" si="497">IF(L6338="TX",Folder_Path,Folder_Path&amp;"\State_"&amp;L6338)</f>
        <v>E:\PropInv\MF</v>
      </c>
      <c r="K6338" s="103" t="str">
        <f>HYPERLINK("E:\PropInv\MF\Dallas\John Rd W_2519-2563_Primrose Park Villas_Dallas_17269","John Rd W_2519-2563_Primrose Park Villas_Dallas_17269" )</f>
        <v>John Rd W_2519-2563_Primrose Park Villas_Dallas_17269</v>
      </c>
      <c r="L6338" s="104" t="s">
        <v>22253</v>
      </c>
      <c r="M6338" s="103" t="str">
        <f t="shared" ref="M6338:M6401" si="498">HYPERLINK("http://oconnordata.com/mlink/modules/profile/index.cfm?action=profile&amp;prop_id="&amp;A6338)</f>
        <v>http://oconnordata.com/mlink/modules/profile/index.cfm?action=profile&amp;prop_id=17269</v>
      </c>
      <c r="N6338" s="1">
        <f t="shared" ref="N6338:N6401" si="499">IF(LEN(A6338)=1,"0000"&amp;A6338,IF(LEN(A6338)=2,"000"&amp;A6338,IF(LEN(A6338)=3,"00"&amp;A6338,IF(LEN(A6338)=4,"0"&amp;A6338,IF(LEN(A6338)=5,IF(LEFT(A6338,1)="3",A6338+30000,A6338))))))</f>
        <v>17269</v>
      </c>
    </row>
    <row r="6339" spans="1:14" x14ac:dyDescent="0.3">
      <c r="A6339" s="1">
        <v>17270</v>
      </c>
      <c r="B6339" s="7" t="s">
        <v>6129</v>
      </c>
      <c r="C6339" s="12">
        <v>2000</v>
      </c>
      <c r="D6339" s="7" t="s">
        <v>9511</v>
      </c>
      <c r="E6339" s="13" t="s">
        <v>4996</v>
      </c>
      <c r="F6339" t="str">
        <f t="shared" si="495"/>
        <v>Washington</v>
      </c>
      <c r="G6339" t="str">
        <f t="shared" si="496"/>
        <v>Washington2000Dallas</v>
      </c>
      <c r="H6339" t="s">
        <v>37195</v>
      </c>
      <c r="I6339" t="s">
        <v>28612</v>
      </c>
      <c r="J6339" t="str">
        <f t="shared" si="497"/>
        <v>E:\PropInv\MF</v>
      </c>
      <c r="K6339" s="103" t="str">
        <f>HYPERLINK("E:\PropInv\MF\Dallas\Washington Ave N_2000_Roseland Gardens_Dallas_17270","Washington Ave N_2000_Roseland Gardens_Dallas_17270" )</f>
        <v>Washington Ave N_2000_Roseland Gardens_Dallas_17270</v>
      </c>
      <c r="L6339" s="104" t="s">
        <v>22253</v>
      </c>
      <c r="M6339" s="103" t="str">
        <f t="shared" si="498"/>
        <v>http://oconnordata.com/mlink/modules/profile/index.cfm?action=profile&amp;prop_id=17270</v>
      </c>
      <c r="N6339" s="1">
        <f t="shared" si="499"/>
        <v>17270</v>
      </c>
    </row>
    <row r="6340" spans="1:14" x14ac:dyDescent="0.3">
      <c r="A6340" s="1">
        <v>17271</v>
      </c>
      <c r="B6340" s="7" t="s">
        <v>5318</v>
      </c>
      <c r="C6340" s="12">
        <v>2100</v>
      </c>
      <c r="D6340" s="7" t="s">
        <v>9512</v>
      </c>
      <c r="E6340" s="13" t="s">
        <v>4996</v>
      </c>
      <c r="F6340" t="str">
        <f t="shared" si="495"/>
        <v>Highland</v>
      </c>
      <c r="G6340" t="str">
        <f t="shared" si="496"/>
        <v>Highland2100Dallas</v>
      </c>
      <c r="H6340" t="s">
        <v>37196</v>
      </c>
      <c r="I6340" t="s">
        <v>28613</v>
      </c>
      <c r="J6340" t="str">
        <f t="shared" si="497"/>
        <v>E:\PropInv\MF</v>
      </c>
      <c r="K6340" s="103" t="str">
        <f>HYPERLINK("E:\PropInv\MF\Dallas\Highland Rd_2100_Primrose at Highland Meadows_Dallas_17271","Highland Rd_2100_Primrose at Highland Meadows_Dallas_17271" )</f>
        <v>Highland Rd_2100_Primrose at Highland Meadows_Dallas_17271</v>
      </c>
      <c r="L6340" s="104" t="s">
        <v>22253</v>
      </c>
      <c r="M6340" s="103" t="str">
        <f t="shared" si="498"/>
        <v>http://oconnordata.com/mlink/modules/profile/index.cfm?action=profile&amp;prop_id=17271</v>
      </c>
      <c r="N6340" s="1">
        <f t="shared" si="499"/>
        <v>17271</v>
      </c>
    </row>
    <row r="6341" spans="1:14" x14ac:dyDescent="0.3">
      <c r="A6341" s="1">
        <v>17272</v>
      </c>
      <c r="B6341" s="7" t="s">
        <v>9513</v>
      </c>
      <c r="C6341" s="12">
        <v>600</v>
      </c>
      <c r="D6341" s="7" t="s">
        <v>9514</v>
      </c>
      <c r="E6341" s="13" t="s">
        <v>5267</v>
      </c>
      <c r="F6341" t="str">
        <f t="shared" si="495"/>
        <v>Malloy</v>
      </c>
      <c r="G6341" t="str">
        <f t="shared" si="496"/>
        <v>Malloy600Seagoville</v>
      </c>
      <c r="H6341" t="s">
        <v>37197</v>
      </c>
      <c r="I6341" t="s">
        <v>28614</v>
      </c>
      <c r="J6341" t="str">
        <f t="shared" si="497"/>
        <v>E:\PropInv\MF</v>
      </c>
      <c r="K6341" s="103" t="str">
        <f>HYPERLINK("E:\PropInv\MF\Seagoville\Malloy Bridge Rd E_600_Villas of Seagoville Apts_Seagoville_17272","Malloy Bridge Rd E_600_Villas of Seagoville Apts_Seagoville_17272" )</f>
        <v>Malloy Bridge Rd E_600_Villas of Seagoville Apts_Seagoville_17272</v>
      </c>
      <c r="L6341" s="104" t="s">
        <v>22253</v>
      </c>
      <c r="M6341" s="103" t="str">
        <f t="shared" si="498"/>
        <v>http://oconnordata.com/mlink/modules/profile/index.cfm?action=profile&amp;prop_id=17272</v>
      </c>
      <c r="N6341" s="1">
        <f t="shared" si="499"/>
        <v>17272</v>
      </c>
    </row>
    <row r="6342" spans="1:14" x14ac:dyDescent="0.3">
      <c r="A6342" s="1">
        <v>17273</v>
      </c>
      <c r="B6342" s="7" t="s">
        <v>9107</v>
      </c>
      <c r="C6342" s="12">
        <v>851</v>
      </c>
      <c r="D6342" s="7" t="s">
        <v>9515</v>
      </c>
      <c r="E6342" s="13" t="s">
        <v>5046</v>
      </c>
      <c r="F6342" t="str">
        <f t="shared" si="495"/>
        <v>Lake</v>
      </c>
      <c r="G6342" t="str">
        <f t="shared" si="496"/>
        <v>Lake851Irving</v>
      </c>
      <c r="H6342" t="s">
        <v>37198</v>
      </c>
      <c r="I6342" t="s">
        <v>28615</v>
      </c>
      <c r="J6342" t="str">
        <f t="shared" si="497"/>
        <v>E:\PropInv\MF</v>
      </c>
      <c r="K6342" s="103" t="str">
        <f>HYPERLINK("E:\PropInv\MF\Irving\Lake Carolyn Pkwy_851_Bella Casita_Irving_17273","Lake Carolyn Pkwy_851_Bella Casita_Irving_17273" )</f>
        <v>Lake Carolyn Pkwy_851_Bella Casita_Irving_17273</v>
      </c>
      <c r="L6342" s="104" t="s">
        <v>22253</v>
      </c>
      <c r="M6342" s="103" t="str">
        <f t="shared" si="498"/>
        <v>http://oconnordata.com/mlink/modules/profile/index.cfm?action=profile&amp;prop_id=17273</v>
      </c>
      <c r="N6342" s="1">
        <f t="shared" si="499"/>
        <v>17273</v>
      </c>
    </row>
    <row r="6343" spans="1:14" x14ac:dyDescent="0.3">
      <c r="A6343" s="1">
        <v>17274</v>
      </c>
      <c r="B6343" s="7" t="s">
        <v>653</v>
      </c>
      <c r="C6343" s="12">
        <v>2601</v>
      </c>
      <c r="D6343" s="7" t="s">
        <v>9516</v>
      </c>
      <c r="E6343" s="13" t="s">
        <v>18</v>
      </c>
      <c r="F6343" t="str">
        <f t="shared" si="495"/>
        <v>La</v>
      </c>
      <c r="G6343" t="str">
        <f t="shared" si="496"/>
        <v>La2601Round Rock</v>
      </c>
      <c r="H6343" t="s">
        <v>37199</v>
      </c>
      <c r="I6343" t="s">
        <v>28616</v>
      </c>
      <c r="J6343" t="str">
        <f t="shared" si="497"/>
        <v>E:\PropInv\MF</v>
      </c>
      <c r="K6343" s="103" t="str">
        <f>HYPERLINK("E:\PropInv\MF\Round Rock\La Frontera Blvd_2601_La Frontera Square_Round Rock_17274","La Frontera Blvd_2601_La Frontera Square_Round Rock_17274" )</f>
        <v>La Frontera Blvd_2601_La Frontera Square_Round Rock_17274</v>
      </c>
      <c r="L6343" s="104" t="s">
        <v>22253</v>
      </c>
      <c r="M6343" s="103" t="str">
        <f t="shared" si="498"/>
        <v>http://oconnordata.com/mlink/modules/profile/index.cfm?action=profile&amp;prop_id=17274</v>
      </c>
      <c r="N6343" s="1">
        <f t="shared" si="499"/>
        <v>17274</v>
      </c>
    </row>
    <row r="6344" spans="1:14" x14ac:dyDescent="0.3">
      <c r="A6344" s="1">
        <v>17275</v>
      </c>
      <c r="B6344" s="7" t="s">
        <v>9517</v>
      </c>
      <c r="C6344" s="12">
        <v>618</v>
      </c>
      <c r="D6344" s="7" t="s">
        <v>9518</v>
      </c>
      <c r="E6344" s="13" t="s">
        <v>842</v>
      </c>
      <c r="F6344" t="str">
        <f t="shared" si="495"/>
        <v>Hackberry</v>
      </c>
      <c r="G6344" t="str">
        <f t="shared" si="496"/>
        <v>Hackberry618San Antonio</v>
      </c>
      <c r="H6344" t="s">
        <v>37200</v>
      </c>
      <c r="I6344" t="s">
        <v>28617</v>
      </c>
      <c r="J6344" t="str">
        <f t="shared" si="497"/>
        <v>E:\PropInv\MF</v>
      </c>
      <c r="K6344" s="103" t="str">
        <f>HYPERLINK("E:\PropInv\MF\San Antonio\Hackberry N_618_W.C. White Apts_San Antonio_17275","Hackberry N_618_W.C. White Apts_San Antonio_17275" )</f>
        <v>Hackberry N_618_W.C. White Apts_San Antonio_17275</v>
      </c>
      <c r="L6344" s="104" t="s">
        <v>22253</v>
      </c>
      <c r="M6344" s="103" t="str">
        <f t="shared" si="498"/>
        <v>http://oconnordata.com/mlink/modules/profile/index.cfm?action=profile&amp;prop_id=17275</v>
      </c>
      <c r="N6344" s="1">
        <f t="shared" si="499"/>
        <v>17275</v>
      </c>
    </row>
    <row r="6345" spans="1:14" x14ac:dyDescent="0.3">
      <c r="A6345" s="1">
        <v>17279</v>
      </c>
      <c r="B6345" s="7" t="s">
        <v>156</v>
      </c>
      <c r="C6345" s="12">
        <v>12430</v>
      </c>
      <c r="D6345" s="7" t="s">
        <v>9519</v>
      </c>
      <c r="E6345" s="13" t="s">
        <v>7</v>
      </c>
      <c r="F6345" t="str">
        <f t="shared" si="495"/>
        <v>Metric</v>
      </c>
      <c r="G6345" t="str">
        <f t="shared" si="496"/>
        <v>Metric12430Austin</v>
      </c>
      <c r="H6345" t="s">
        <v>37201</v>
      </c>
      <c r="I6345" t="s">
        <v>28618</v>
      </c>
      <c r="J6345" t="str">
        <f t="shared" si="497"/>
        <v>E:\PropInv\MF</v>
      </c>
      <c r="K6345" s="103" t="str">
        <f>HYPERLINK("E:\PropInv\MF\Austin\Metric Blvd_12430_Broadstone Crossing_Austin_17279","Metric Blvd_12430_Broadstone Crossing_Austin_17279" )</f>
        <v>Metric Blvd_12430_Broadstone Crossing_Austin_17279</v>
      </c>
      <c r="L6345" s="104" t="s">
        <v>22253</v>
      </c>
      <c r="M6345" s="103" t="str">
        <f t="shared" si="498"/>
        <v>http://oconnordata.com/mlink/modules/profile/index.cfm?action=profile&amp;prop_id=17279</v>
      </c>
      <c r="N6345" s="1">
        <f t="shared" si="499"/>
        <v>17279</v>
      </c>
    </row>
    <row r="6346" spans="1:14" x14ac:dyDescent="0.3">
      <c r="A6346" s="1">
        <v>17281</v>
      </c>
      <c r="B6346" s="7" t="s">
        <v>9520</v>
      </c>
      <c r="C6346" s="12">
        <v>1123</v>
      </c>
      <c r="D6346" s="7" t="s">
        <v>9521</v>
      </c>
      <c r="E6346" s="13" t="s">
        <v>3924</v>
      </c>
      <c r="F6346" t="str">
        <f t="shared" si="495"/>
        <v>Witter</v>
      </c>
      <c r="G6346" t="str">
        <f t="shared" si="496"/>
        <v>Witter1123Pasadena</v>
      </c>
      <c r="H6346" t="s">
        <v>37202</v>
      </c>
      <c r="I6346" t="s">
        <v>28619</v>
      </c>
      <c r="J6346" t="str">
        <f t="shared" si="497"/>
        <v>E:\PropInv\MF</v>
      </c>
      <c r="K6346" s="103" t="str">
        <f>HYPERLINK("E:\PropInv\MF\Pasadena\Witter St_1123_Town Square Apts_Pasadena_17281","Witter St_1123_Town Square Apts_Pasadena_17281" )</f>
        <v>Witter St_1123_Town Square Apts_Pasadena_17281</v>
      </c>
      <c r="L6346" s="104" t="s">
        <v>22253</v>
      </c>
      <c r="M6346" s="103" t="str">
        <f t="shared" si="498"/>
        <v>http://oconnordata.com/mlink/modules/profile/index.cfm?action=profile&amp;prop_id=17281</v>
      </c>
      <c r="N6346" s="1">
        <f t="shared" si="499"/>
        <v>17281</v>
      </c>
    </row>
    <row r="6347" spans="1:14" x14ac:dyDescent="0.3">
      <c r="A6347" s="1">
        <v>17282</v>
      </c>
      <c r="B6347" s="7" t="s">
        <v>9522</v>
      </c>
      <c r="C6347" s="12">
        <v>251</v>
      </c>
      <c r="D6347" s="7" t="s">
        <v>9523</v>
      </c>
      <c r="E6347" s="13" t="s">
        <v>6672</v>
      </c>
      <c r="F6347" t="str">
        <f t="shared" si="495"/>
        <v>Town</v>
      </c>
      <c r="G6347" t="str">
        <f t="shared" si="496"/>
        <v>Town251Keller</v>
      </c>
      <c r="H6347" t="s">
        <v>37203</v>
      </c>
      <c r="I6347" t="s">
        <v>28620</v>
      </c>
      <c r="J6347" t="str">
        <f t="shared" si="497"/>
        <v>E:\PropInv\MF</v>
      </c>
      <c r="K6347" s="103" t="str">
        <f>HYPERLINK("E:\PropInv\MF\Keller\Town Center Ln_251_Arthouse Apts_Keller_17282","Town Center Ln_251_Arthouse Apts_Keller_17282" )</f>
        <v>Town Center Ln_251_Arthouse Apts_Keller_17282</v>
      </c>
      <c r="L6347" s="104" t="s">
        <v>22253</v>
      </c>
      <c r="M6347" s="103" t="str">
        <f t="shared" si="498"/>
        <v>http://oconnordata.com/mlink/modules/profile/index.cfm?action=profile&amp;prop_id=17282</v>
      </c>
      <c r="N6347" s="1">
        <f t="shared" si="499"/>
        <v>17282</v>
      </c>
    </row>
    <row r="6348" spans="1:14" x14ac:dyDescent="0.3">
      <c r="A6348" s="1">
        <v>17283</v>
      </c>
      <c r="B6348" s="7" t="s">
        <v>9524</v>
      </c>
      <c r="C6348" s="12">
        <v>7303</v>
      </c>
      <c r="D6348" s="7" t="s">
        <v>9525</v>
      </c>
      <c r="E6348" s="13" t="s">
        <v>1818</v>
      </c>
      <c r="F6348" t="str">
        <f t="shared" si="495"/>
        <v>Spring</v>
      </c>
      <c r="G6348" t="str">
        <f t="shared" si="496"/>
        <v>Spring7303Cypress</v>
      </c>
      <c r="H6348" t="s">
        <v>37204</v>
      </c>
      <c r="I6348" t="s">
        <v>28621</v>
      </c>
      <c r="J6348" t="str">
        <f t="shared" si="497"/>
        <v>E:\PropInv\MF</v>
      </c>
      <c r="K6348" s="103" t="str">
        <f>HYPERLINK("E:\PropInv\MF\Cypress\Spring Cypress Rd_7303_Stoneleigh on the Lake_Cypress_17283","Spring Cypress Rd_7303_Stoneleigh on the Lake_Cypress_17283" )</f>
        <v>Spring Cypress Rd_7303_Stoneleigh on the Lake_Cypress_17283</v>
      </c>
      <c r="L6348" s="104" t="s">
        <v>22253</v>
      </c>
      <c r="M6348" s="103" t="str">
        <f t="shared" si="498"/>
        <v>http://oconnordata.com/mlink/modules/profile/index.cfm?action=profile&amp;prop_id=17283</v>
      </c>
      <c r="N6348" s="1">
        <f t="shared" si="499"/>
        <v>17283</v>
      </c>
    </row>
    <row r="6349" spans="1:14" x14ac:dyDescent="0.3">
      <c r="A6349" s="1">
        <v>17284</v>
      </c>
      <c r="B6349" s="7" t="s">
        <v>9450</v>
      </c>
      <c r="C6349" s="12">
        <v>1333</v>
      </c>
      <c r="D6349" s="7" t="s">
        <v>9526</v>
      </c>
      <c r="E6349" s="13" t="s">
        <v>1657</v>
      </c>
      <c r="F6349" t="str">
        <f t="shared" si="495"/>
        <v>Old</v>
      </c>
      <c r="G6349" t="str">
        <f t="shared" si="496"/>
        <v>Old1333Houston</v>
      </c>
      <c r="H6349" t="s">
        <v>37205</v>
      </c>
      <c r="I6349" t="s">
        <v>28622</v>
      </c>
      <c r="J6349" t="str">
        <f t="shared" si="497"/>
        <v>E:\PropInv\MF</v>
      </c>
      <c r="K6349" s="103" t="str">
        <f>HYPERLINK("E:\PropInv\MF\Houston\Old Spanish Trl_1333_Domain at Kirby_Houston_17284","Old Spanish Trl_1333_Domain at Kirby_Houston_17284" )</f>
        <v>Old Spanish Trl_1333_Domain at Kirby_Houston_17284</v>
      </c>
      <c r="L6349" s="104" t="s">
        <v>22253</v>
      </c>
      <c r="M6349" s="103" t="str">
        <f t="shared" si="498"/>
        <v>http://oconnordata.com/mlink/modules/profile/index.cfm?action=profile&amp;prop_id=17284</v>
      </c>
      <c r="N6349" s="1">
        <f t="shared" si="499"/>
        <v>17284</v>
      </c>
    </row>
    <row r="6350" spans="1:14" x14ac:dyDescent="0.3">
      <c r="A6350" s="1">
        <v>17285</v>
      </c>
      <c r="B6350" s="7" t="s">
        <v>9527</v>
      </c>
      <c r="C6350" s="12">
        <v>1725</v>
      </c>
      <c r="D6350" s="7" t="s">
        <v>9528</v>
      </c>
      <c r="E6350" s="13" t="s">
        <v>1657</v>
      </c>
      <c r="F6350" t="str">
        <f t="shared" si="495"/>
        <v>Crescent</v>
      </c>
      <c r="G6350" t="str">
        <f t="shared" si="496"/>
        <v>Crescent1725Houston</v>
      </c>
      <c r="H6350" t="s">
        <v>37206</v>
      </c>
      <c r="I6350" t="s">
        <v>28623</v>
      </c>
      <c r="J6350" t="str">
        <f t="shared" si="497"/>
        <v>E:\PropInv\MF</v>
      </c>
      <c r="K6350" s="103" t="str">
        <f>HYPERLINK("E:\PropInv\MF\Houston\Crescent Plaza_1725_The Eclipse_Houston_17285","Crescent Plaza_1725_The Eclipse_Houston_17285" )</f>
        <v>Crescent Plaza_1725_The Eclipse_Houston_17285</v>
      </c>
      <c r="L6350" s="104" t="s">
        <v>22253</v>
      </c>
      <c r="M6350" s="103" t="str">
        <f t="shared" si="498"/>
        <v>http://oconnordata.com/mlink/modules/profile/index.cfm?action=profile&amp;prop_id=17285</v>
      </c>
      <c r="N6350" s="1">
        <f t="shared" si="499"/>
        <v>17285</v>
      </c>
    </row>
    <row r="6351" spans="1:14" x14ac:dyDescent="0.3">
      <c r="A6351" s="1">
        <v>17286</v>
      </c>
      <c r="B6351" s="7" t="s">
        <v>1568</v>
      </c>
      <c r="C6351" s="12">
        <v>13000</v>
      </c>
      <c r="D6351" s="7" t="s">
        <v>9529</v>
      </c>
      <c r="E6351" s="13" t="s">
        <v>842</v>
      </c>
      <c r="F6351" t="str">
        <f t="shared" si="495"/>
        <v>Vista</v>
      </c>
      <c r="G6351" t="str">
        <f t="shared" si="496"/>
        <v>Vista13000San Antonio</v>
      </c>
      <c r="H6351" t="s">
        <v>37207</v>
      </c>
      <c r="I6351" t="s">
        <v>28624</v>
      </c>
      <c r="J6351" t="str">
        <f t="shared" si="497"/>
        <v>E:\PropInv\MF</v>
      </c>
      <c r="K6351" s="103" t="str">
        <f>HYPERLINK("E:\PropInv\MF\San Antonio\Vista del Norte_13000_Villas of Vista del Norte_San Antonio_17286","Vista del Norte_13000_Villas of Vista del Norte_San Antonio_17286" )</f>
        <v>Vista del Norte_13000_Villas of Vista del Norte_San Antonio_17286</v>
      </c>
      <c r="L6351" s="104" t="s">
        <v>22253</v>
      </c>
      <c r="M6351" s="103" t="str">
        <f t="shared" si="498"/>
        <v>http://oconnordata.com/mlink/modules/profile/index.cfm?action=profile&amp;prop_id=17286</v>
      </c>
      <c r="N6351" s="1">
        <f t="shared" si="499"/>
        <v>17286</v>
      </c>
    </row>
    <row r="6352" spans="1:14" x14ac:dyDescent="0.3">
      <c r="A6352" s="1">
        <v>17288</v>
      </c>
      <c r="B6352" s="7" t="s">
        <v>1414</v>
      </c>
      <c r="C6352" s="12">
        <v>3379</v>
      </c>
      <c r="D6352" s="7" t="s">
        <v>1994</v>
      </c>
      <c r="E6352" s="13" t="s">
        <v>842</v>
      </c>
      <c r="F6352" t="str">
        <f t="shared" si="495"/>
        <v>Timber</v>
      </c>
      <c r="G6352" t="str">
        <f t="shared" si="496"/>
        <v>Timber3379San Antonio</v>
      </c>
      <c r="H6352" t="s">
        <v>37208</v>
      </c>
      <c r="I6352" t="s">
        <v>28625</v>
      </c>
      <c r="J6352" t="str">
        <f t="shared" si="497"/>
        <v>E:\PropInv\MF</v>
      </c>
      <c r="K6352" s="103" t="str">
        <f>HYPERLINK("E:\PropInv\MF\San Antonio\Timber View_3379_Deer Creek_San Antonio_17288","Timber View_3379_Deer Creek_San Antonio_17288" )</f>
        <v>Timber View_3379_Deer Creek_San Antonio_17288</v>
      </c>
      <c r="L6352" s="104" t="s">
        <v>22253</v>
      </c>
      <c r="M6352" s="103" t="str">
        <f t="shared" si="498"/>
        <v>http://oconnordata.com/mlink/modules/profile/index.cfm?action=profile&amp;prop_id=17288</v>
      </c>
      <c r="N6352" s="1">
        <f t="shared" si="499"/>
        <v>17288</v>
      </c>
    </row>
    <row r="6353" spans="1:14" x14ac:dyDescent="0.3">
      <c r="A6353" s="97">
        <v>17289</v>
      </c>
      <c r="B6353" s="7" t="s">
        <v>930</v>
      </c>
      <c r="C6353" s="12">
        <v>7026</v>
      </c>
      <c r="D6353" s="7" t="s">
        <v>9530</v>
      </c>
      <c r="E6353" s="13" t="s">
        <v>842</v>
      </c>
      <c r="F6353" t="str">
        <f t="shared" si="495"/>
        <v>Wurzbach</v>
      </c>
      <c r="G6353" t="str">
        <f t="shared" si="496"/>
        <v>Wurzbach7026San Antonio</v>
      </c>
      <c r="H6353" t="s">
        <v>37209</v>
      </c>
      <c r="I6353" t="s">
        <v>28626</v>
      </c>
      <c r="J6353" t="str">
        <f t="shared" si="497"/>
        <v>E:\PropInv\MF</v>
      </c>
      <c r="K6353" s="103" t="str">
        <f>HYPERLINK("E:\PropInv\MF\San Antonio\Wurzbach Rd_7026_Woodland Ridge_San Antonio_17289","Wurzbach Rd_7026_Woodland Ridge_San Antonio_17289" )</f>
        <v>Wurzbach Rd_7026_Woodland Ridge_San Antonio_17289</v>
      </c>
      <c r="L6353" s="104" t="s">
        <v>22253</v>
      </c>
      <c r="M6353" s="103" t="str">
        <f t="shared" si="498"/>
        <v>http://oconnordata.com/mlink/modules/profile/index.cfm?action=profile&amp;prop_id=17289</v>
      </c>
      <c r="N6353" s="1">
        <f t="shared" si="499"/>
        <v>17289</v>
      </c>
    </row>
    <row r="6354" spans="1:14" x14ac:dyDescent="0.3">
      <c r="A6354" s="1">
        <v>17290</v>
      </c>
      <c r="B6354" s="7" t="s">
        <v>9531</v>
      </c>
      <c r="C6354" s="12">
        <v>4827</v>
      </c>
      <c r="D6354" s="7" t="s">
        <v>9532</v>
      </c>
      <c r="E6354" s="13" t="s">
        <v>842</v>
      </c>
      <c r="F6354" t="str">
        <f t="shared" si="495"/>
        <v>Explorer</v>
      </c>
      <c r="G6354" t="str">
        <f t="shared" si="496"/>
        <v>Explorer4827San Antonio</v>
      </c>
      <c r="H6354" t="s">
        <v>37210</v>
      </c>
      <c r="I6354" t="s">
        <v>28627</v>
      </c>
      <c r="J6354" t="str">
        <f t="shared" si="497"/>
        <v>E:\PropInv\MF</v>
      </c>
      <c r="K6354" s="103" t="str">
        <f>HYPERLINK("E:\PropInv\MF\San Antonio\Explorer St_4827_Springfield Manor Ph_San Antonio_17290","Explorer St_4827_Springfield Manor Ph_San Antonio_17290" )</f>
        <v>Explorer St_4827_Springfield Manor Ph_San Antonio_17290</v>
      </c>
      <c r="L6354" s="104" t="s">
        <v>22253</v>
      </c>
      <c r="M6354" s="103" t="str">
        <f t="shared" si="498"/>
        <v>http://oconnordata.com/mlink/modules/profile/index.cfm?action=profile&amp;prop_id=17290</v>
      </c>
      <c r="N6354" s="1">
        <f t="shared" si="499"/>
        <v>17290</v>
      </c>
    </row>
    <row r="6355" spans="1:14" x14ac:dyDescent="0.3">
      <c r="A6355" s="1">
        <v>17291</v>
      </c>
      <c r="B6355" s="7" t="s">
        <v>1484</v>
      </c>
      <c r="C6355" s="12">
        <v>13656</v>
      </c>
      <c r="D6355" s="7" t="s">
        <v>9533</v>
      </c>
      <c r="E6355" s="13" t="s">
        <v>842</v>
      </c>
      <c r="F6355" t="str">
        <f t="shared" si="495"/>
        <v>O'Connor</v>
      </c>
      <c r="G6355" t="str">
        <f t="shared" si="496"/>
        <v>O'Connor13656San Antonio</v>
      </c>
      <c r="H6355" t="s">
        <v>37211</v>
      </c>
      <c r="I6355" t="s">
        <v>28628</v>
      </c>
      <c r="J6355" t="str">
        <f t="shared" si="497"/>
        <v>E:\PropInv\MF</v>
      </c>
      <c r="K6355" s="103" t="str">
        <f>HYPERLINK("E:\PropInv\MF\San Antonio\O'Connor Rd_13656_Villa De Valencia_San Antonio_17291","O'Connor Rd_13656_Villa De Valencia_San Antonio_17291" )</f>
        <v>O'Connor Rd_13656_Villa De Valencia_San Antonio_17291</v>
      </c>
      <c r="L6355" s="104" t="s">
        <v>22253</v>
      </c>
      <c r="M6355" s="103" t="str">
        <f t="shared" si="498"/>
        <v>http://oconnordata.com/mlink/modules/profile/index.cfm?action=profile&amp;prop_id=17291</v>
      </c>
      <c r="N6355" s="1">
        <f t="shared" si="499"/>
        <v>17291</v>
      </c>
    </row>
    <row r="6356" spans="1:14" x14ac:dyDescent="0.3">
      <c r="A6356" s="1">
        <v>17292</v>
      </c>
      <c r="B6356" s="7" t="s">
        <v>865</v>
      </c>
      <c r="C6356" s="12">
        <v>5347</v>
      </c>
      <c r="D6356" s="7" t="s">
        <v>9534</v>
      </c>
      <c r="E6356" s="13" t="s">
        <v>842</v>
      </c>
      <c r="F6356" t="str">
        <f t="shared" si="495"/>
        <v>Blanco</v>
      </c>
      <c r="G6356" t="str">
        <f t="shared" si="496"/>
        <v>Blanco5347San Antonio</v>
      </c>
      <c r="H6356" t="s">
        <v>37212</v>
      </c>
      <c r="I6356" t="s">
        <v>28629</v>
      </c>
      <c r="J6356" t="str">
        <f t="shared" si="497"/>
        <v>E:\PropInv\MF</v>
      </c>
      <c r="K6356" s="103" t="str">
        <f>HYPERLINK("E:\PropInv\MF\San Antonio\Blanco Rd_5347_Meadow Run_San Antonio_17292","Blanco Rd_5347_Meadow Run_San Antonio_17292" )</f>
        <v>Blanco Rd_5347_Meadow Run_San Antonio_17292</v>
      </c>
      <c r="L6356" s="104" t="s">
        <v>22253</v>
      </c>
      <c r="M6356" s="103" t="str">
        <f t="shared" si="498"/>
        <v>http://oconnordata.com/mlink/modules/profile/index.cfm?action=profile&amp;prop_id=17292</v>
      </c>
      <c r="N6356" s="1">
        <f t="shared" si="499"/>
        <v>17292</v>
      </c>
    </row>
    <row r="6357" spans="1:14" x14ac:dyDescent="0.3">
      <c r="A6357" s="1">
        <v>17293</v>
      </c>
      <c r="B6357" s="10" t="s">
        <v>8954</v>
      </c>
      <c r="C6357" s="9">
        <v>8910</v>
      </c>
      <c r="D6357" s="10" t="s">
        <v>9535</v>
      </c>
      <c r="E6357" s="11" t="s">
        <v>842</v>
      </c>
      <c r="F6357" t="str">
        <f t="shared" si="495"/>
        <v>1604</v>
      </c>
      <c r="G6357" t="str">
        <f t="shared" si="496"/>
        <v>16048910San Antonio</v>
      </c>
      <c r="H6357" t="s">
        <v>37213</v>
      </c>
      <c r="I6357" t="s">
        <v>28630</v>
      </c>
      <c r="J6357" t="str">
        <f t="shared" si="497"/>
        <v>E:\PropInv\MF</v>
      </c>
      <c r="K6357" s="103" t="str">
        <f>HYPERLINK("E:\PropInv\MF\San Antonio\1604 Loop W N_8910_Hidden Lake II_San Antonio_17293","1604 Loop W N_8910_Hidden Lake II_San Antonio_17293" )</f>
        <v>1604 Loop W N_8910_Hidden Lake II_San Antonio_17293</v>
      </c>
      <c r="L6357" s="104" t="s">
        <v>22253</v>
      </c>
      <c r="M6357" s="103" t="str">
        <f t="shared" si="498"/>
        <v>http://oconnordata.com/mlink/modules/profile/index.cfm?action=profile&amp;prop_id=17293</v>
      </c>
      <c r="N6357" s="1">
        <f t="shared" si="499"/>
        <v>17293</v>
      </c>
    </row>
    <row r="6358" spans="1:14" x14ac:dyDescent="0.3">
      <c r="A6358" s="1">
        <v>17294</v>
      </c>
      <c r="B6358" s="7" t="s">
        <v>2800</v>
      </c>
      <c r="C6358" s="12">
        <v>2401</v>
      </c>
      <c r="D6358" s="7" t="s">
        <v>9536</v>
      </c>
      <c r="E6358" s="13" t="s">
        <v>1657</v>
      </c>
      <c r="F6358" t="str">
        <f t="shared" si="495"/>
        <v>Gessner</v>
      </c>
      <c r="G6358" t="str">
        <f t="shared" si="496"/>
        <v>Gessner2401Houston</v>
      </c>
      <c r="H6358" t="s">
        <v>37214</v>
      </c>
      <c r="I6358" t="s">
        <v>28631</v>
      </c>
      <c r="J6358" t="str">
        <f t="shared" si="497"/>
        <v>E:\PropInv\MF</v>
      </c>
      <c r="K6358" s="103" t="str">
        <f>HYPERLINK("E:\PropInv\MF\Houston\Gessner S_2401_Ventura Lofts_Houston_17294","Gessner S_2401_Ventura Lofts_Houston_17294" )</f>
        <v>Gessner S_2401_Ventura Lofts_Houston_17294</v>
      </c>
      <c r="L6358" s="104" t="s">
        <v>22253</v>
      </c>
      <c r="M6358" s="103" t="str">
        <f t="shared" si="498"/>
        <v>http://oconnordata.com/mlink/modules/profile/index.cfm?action=profile&amp;prop_id=17294</v>
      </c>
      <c r="N6358" s="1">
        <f t="shared" si="499"/>
        <v>17294</v>
      </c>
    </row>
    <row r="6359" spans="1:14" x14ac:dyDescent="0.3">
      <c r="A6359" s="1">
        <v>17295</v>
      </c>
      <c r="B6359" s="7" t="s">
        <v>9537</v>
      </c>
      <c r="C6359" s="12">
        <v>7423</v>
      </c>
      <c r="D6359" s="7" t="s">
        <v>9538</v>
      </c>
      <c r="E6359" s="13" t="s">
        <v>842</v>
      </c>
      <c r="F6359" t="str">
        <f t="shared" si="495"/>
        <v>Yarrow</v>
      </c>
      <c r="G6359" t="str">
        <f t="shared" si="496"/>
        <v>Yarrow7423San Antonio</v>
      </c>
      <c r="H6359" t="s">
        <v>37215</v>
      </c>
      <c r="I6359" t="s">
        <v>28632</v>
      </c>
      <c r="J6359" t="str">
        <f t="shared" si="497"/>
        <v>E:\PropInv\MF</v>
      </c>
      <c r="K6359" s="103" t="str">
        <f>HYPERLINK("E:\PropInv\MF\San Antonio\Yarrow Blvd_7423_Artisan at Mission Creek_San Antonio_17295","Yarrow Blvd_7423_Artisan at Mission Creek_San Antonio_17295" )</f>
        <v>Yarrow Blvd_7423_Artisan at Mission Creek_San Antonio_17295</v>
      </c>
      <c r="L6359" s="104" t="s">
        <v>22253</v>
      </c>
      <c r="M6359" s="103" t="str">
        <f t="shared" si="498"/>
        <v>http://oconnordata.com/mlink/modules/profile/index.cfm?action=profile&amp;prop_id=17295</v>
      </c>
      <c r="N6359" s="1">
        <f t="shared" si="499"/>
        <v>17295</v>
      </c>
    </row>
    <row r="6360" spans="1:14" x14ac:dyDescent="0.3">
      <c r="A6360" s="1">
        <v>17296</v>
      </c>
      <c r="B6360" s="7" t="s">
        <v>8956</v>
      </c>
      <c r="C6360" s="12">
        <v>860</v>
      </c>
      <c r="D6360" s="7" t="s">
        <v>9539</v>
      </c>
      <c r="E6360" s="13" t="s">
        <v>912</v>
      </c>
      <c r="F6360" t="str">
        <f t="shared" si="495"/>
        <v>Landa</v>
      </c>
      <c r="G6360" t="str">
        <f t="shared" si="496"/>
        <v>Landa860New Braunfels</v>
      </c>
      <c r="H6360" t="s">
        <v>37216</v>
      </c>
      <c r="I6360" t="s">
        <v>28633</v>
      </c>
      <c r="J6360" t="str">
        <f t="shared" si="497"/>
        <v>E:\PropInv\MF</v>
      </c>
      <c r="K6360" s="103" t="str">
        <f>HYPERLINK("E:\PropInv\MF\New Braunfels\Landa St_860_Landa Place_New Braunfels_17296","Landa St_860_Landa Place_New Braunfels_17296" )</f>
        <v>Landa St_860_Landa Place_New Braunfels_17296</v>
      </c>
      <c r="L6360" s="104" t="s">
        <v>22253</v>
      </c>
      <c r="M6360" s="103" t="str">
        <f t="shared" si="498"/>
        <v>http://oconnordata.com/mlink/modules/profile/index.cfm?action=profile&amp;prop_id=17296</v>
      </c>
      <c r="N6360" s="1">
        <f t="shared" si="499"/>
        <v>17296</v>
      </c>
    </row>
    <row r="6361" spans="1:14" x14ac:dyDescent="0.3">
      <c r="A6361" s="1">
        <v>17297</v>
      </c>
      <c r="B6361" s="7" t="s">
        <v>9540</v>
      </c>
      <c r="C6361" s="12">
        <v>716</v>
      </c>
      <c r="D6361" s="7" t="s">
        <v>9541</v>
      </c>
      <c r="E6361" s="13" t="s">
        <v>986</v>
      </c>
      <c r="F6361" t="str">
        <f t="shared" si="495"/>
        <v>Stratton</v>
      </c>
      <c r="G6361" t="str">
        <f t="shared" si="496"/>
        <v>Stratton716Seguin</v>
      </c>
      <c r="H6361" t="s">
        <v>37217</v>
      </c>
      <c r="I6361" t="s">
        <v>28634</v>
      </c>
      <c r="J6361" t="str">
        <f t="shared" si="497"/>
        <v>E:\PropInv\MF</v>
      </c>
      <c r="K6361" s="103" t="str">
        <f>HYPERLINK("E:\PropInv\MF\Seguin\Stratton Ave_716_Stratton Oaks Apts_Seguin_17297","Stratton Ave_716_Stratton Oaks Apts_Seguin_17297" )</f>
        <v>Stratton Ave_716_Stratton Oaks Apts_Seguin_17297</v>
      </c>
      <c r="L6361" s="104" t="s">
        <v>22253</v>
      </c>
      <c r="M6361" s="103" t="str">
        <f t="shared" si="498"/>
        <v>http://oconnordata.com/mlink/modules/profile/index.cfm?action=profile&amp;prop_id=17297</v>
      </c>
      <c r="N6361" s="1">
        <f t="shared" si="499"/>
        <v>17297</v>
      </c>
    </row>
    <row r="6362" spans="1:14" x14ac:dyDescent="0.3">
      <c r="A6362" s="1">
        <v>17298</v>
      </c>
      <c r="B6362" s="7" t="s">
        <v>934</v>
      </c>
      <c r="C6362" s="12">
        <v>1303</v>
      </c>
      <c r="D6362" s="7" t="s">
        <v>9542</v>
      </c>
      <c r="E6362" s="13" t="s">
        <v>842</v>
      </c>
      <c r="F6362" t="str">
        <f t="shared" si="495"/>
        <v>Rigsby</v>
      </c>
      <c r="G6362" t="str">
        <f t="shared" si="496"/>
        <v>Rigsby1303San Antonio</v>
      </c>
      <c r="H6362" t="s">
        <v>37218</v>
      </c>
      <c r="I6362" t="s">
        <v>28635</v>
      </c>
      <c r="J6362" t="str">
        <f t="shared" si="497"/>
        <v>E:\PropInv\MF</v>
      </c>
      <c r="K6362" s="103" t="str">
        <f>HYPERLINK("E:\PropInv\MF\San Antonio\Rigsby Ave_1303_Rosemont at Highland Park_San Antonio_17298","Rigsby Ave_1303_Rosemont at Highland Park_San Antonio_17298" )</f>
        <v>Rigsby Ave_1303_Rosemont at Highland Park_San Antonio_17298</v>
      </c>
      <c r="L6362" s="104" t="s">
        <v>22253</v>
      </c>
      <c r="M6362" s="103" t="str">
        <f t="shared" si="498"/>
        <v>http://oconnordata.com/mlink/modules/profile/index.cfm?action=profile&amp;prop_id=17298</v>
      </c>
      <c r="N6362" s="1">
        <f t="shared" si="499"/>
        <v>17298</v>
      </c>
    </row>
    <row r="6363" spans="1:14" x14ac:dyDescent="0.3">
      <c r="A6363" s="1">
        <v>17300</v>
      </c>
      <c r="B6363" s="7" t="s">
        <v>1275</v>
      </c>
      <c r="C6363" s="12">
        <v>6303</v>
      </c>
      <c r="D6363" s="7" t="s">
        <v>9543</v>
      </c>
      <c r="E6363" s="13" t="s">
        <v>842</v>
      </c>
      <c r="F6363" t="str">
        <f t="shared" si="495"/>
        <v>90</v>
      </c>
      <c r="G6363" t="str">
        <f t="shared" si="496"/>
        <v>906303San Antonio</v>
      </c>
      <c r="H6363" t="s">
        <v>37219</v>
      </c>
      <c r="I6363" t="s">
        <v>28636</v>
      </c>
      <c r="J6363" t="str">
        <f t="shared" si="497"/>
        <v>E:\PropInv\MF</v>
      </c>
      <c r="K6363" s="103" t="str">
        <f>HYPERLINK("E:\PropInv\MF\San Antonio\90 Hwy W_6303_Costa Valencia_San Antonio_17300","90 Hwy W_6303_Costa Valencia_San Antonio_17300" )</f>
        <v>90 Hwy W_6303_Costa Valencia_San Antonio_17300</v>
      </c>
      <c r="L6363" s="104" t="s">
        <v>22253</v>
      </c>
      <c r="M6363" s="103" t="str">
        <f t="shared" si="498"/>
        <v>http://oconnordata.com/mlink/modules/profile/index.cfm?action=profile&amp;prop_id=17300</v>
      </c>
      <c r="N6363" s="1">
        <f t="shared" si="499"/>
        <v>17300</v>
      </c>
    </row>
    <row r="6364" spans="1:14" x14ac:dyDescent="0.3">
      <c r="A6364" s="1">
        <v>17301</v>
      </c>
      <c r="B6364" s="7" t="s">
        <v>948</v>
      </c>
      <c r="C6364" s="12">
        <v>9914</v>
      </c>
      <c r="D6364" s="7" t="s">
        <v>9544</v>
      </c>
      <c r="E6364" s="13" t="s">
        <v>842</v>
      </c>
      <c r="F6364" t="str">
        <f t="shared" si="495"/>
        <v>Military</v>
      </c>
      <c r="G6364" t="str">
        <f t="shared" si="496"/>
        <v>Military9914San Antonio</v>
      </c>
      <c r="H6364" t="s">
        <v>37220</v>
      </c>
      <c r="I6364" t="s">
        <v>28637</v>
      </c>
      <c r="J6364" t="str">
        <f t="shared" si="497"/>
        <v>E:\PropInv\MF</v>
      </c>
      <c r="K6364" s="103" t="str">
        <f>HYPERLINK("E:\PropInv\MF\San Antonio\Military Dr W_9914_The Haven at Westover Hills_San Antonio_17301","Military Dr W_9914_The Haven at Westover Hills_San Antonio_17301" )</f>
        <v>Military Dr W_9914_The Haven at Westover Hills_San Antonio_17301</v>
      </c>
      <c r="L6364" s="104" t="s">
        <v>22253</v>
      </c>
      <c r="M6364" s="103" t="str">
        <f t="shared" si="498"/>
        <v>http://oconnordata.com/mlink/modules/profile/index.cfm?action=profile&amp;prop_id=17301</v>
      </c>
      <c r="N6364" s="1">
        <f t="shared" si="499"/>
        <v>17301</v>
      </c>
    </row>
    <row r="6365" spans="1:14" x14ac:dyDescent="0.3">
      <c r="A6365" s="1">
        <v>17302</v>
      </c>
      <c r="B6365" s="7" t="s">
        <v>9545</v>
      </c>
      <c r="C6365" s="12">
        <v>501</v>
      </c>
      <c r="D6365" s="7" t="s">
        <v>9546</v>
      </c>
      <c r="E6365" s="13" t="s">
        <v>7</v>
      </c>
      <c r="F6365" t="str">
        <f t="shared" si="495"/>
        <v>Stassney</v>
      </c>
      <c r="G6365" t="str">
        <f t="shared" si="496"/>
        <v>Stassney501Austin</v>
      </c>
      <c r="H6365" t="s">
        <v>37221</v>
      </c>
      <c r="I6365" t="s">
        <v>28638</v>
      </c>
      <c r="J6365" t="str">
        <f t="shared" si="497"/>
        <v>E:\PropInv\MF</v>
      </c>
      <c r="K6365" s="103" t="str">
        <f>HYPERLINK("E:\PropInv\MF\Austin\Stassney E_501_Austin City Lights_Austin_17302","Stassney E_501_Austin City Lights_Austin_17302" )</f>
        <v>Stassney E_501_Austin City Lights_Austin_17302</v>
      </c>
      <c r="L6365" s="104" t="s">
        <v>22253</v>
      </c>
      <c r="M6365" s="103" t="str">
        <f t="shared" si="498"/>
        <v>http://oconnordata.com/mlink/modules/profile/index.cfm?action=profile&amp;prop_id=17302</v>
      </c>
      <c r="N6365" s="1">
        <f t="shared" si="499"/>
        <v>17302</v>
      </c>
    </row>
    <row r="6366" spans="1:14" x14ac:dyDescent="0.3">
      <c r="A6366" s="1">
        <v>17303</v>
      </c>
      <c r="B6366" s="7" t="s">
        <v>793</v>
      </c>
      <c r="C6366" s="12">
        <v>9501</v>
      </c>
      <c r="D6366" s="7" t="s">
        <v>9547</v>
      </c>
      <c r="E6366" s="13" t="s">
        <v>7</v>
      </c>
      <c r="F6366" t="str">
        <f t="shared" si="495"/>
        <v>620</v>
      </c>
      <c r="G6366" t="str">
        <f t="shared" si="496"/>
        <v>6209501Austin</v>
      </c>
      <c r="H6366" t="s">
        <v>37222</v>
      </c>
      <c r="I6366" t="s">
        <v>28639</v>
      </c>
      <c r="J6366" t="str">
        <f t="shared" si="497"/>
        <v>E:\PropInv\MF</v>
      </c>
      <c r="K6366" s="103" t="str">
        <f>HYPERLINK("E:\PropInv\MF\Austin\620 FM N_9501_Colonial Grand at Canyon Creek_Austin_17303","620 FM N_9501_Colonial Grand at Canyon Creek_Austin_17303" )</f>
        <v>620 FM N_9501_Colonial Grand at Canyon Creek_Austin_17303</v>
      </c>
      <c r="L6366" s="104" t="s">
        <v>22253</v>
      </c>
      <c r="M6366" s="103" t="str">
        <f t="shared" si="498"/>
        <v>http://oconnordata.com/mlink/modules/profile/index.cfm?action=profile&amp;prop_id=17303</v>
      </c>
      <c r="N6366" s="1">
        <f t="shared" si="499"/>
        <v>17303</v>
      </c>
    </row>
    <row r="6367" spans="1:14" x14ac:dyDescent="0.3">
      <c r="A6367" s="1">
        <v>17304</v>
      </c>
      <c r="B6367" s="7" t="s">
        <v>9548</v>
      </c>
      <c r="C6367" s="12">
        <v>1800</v>
      </c>
      <c r="D6367" s="7" t="s">
        <v>9549</v>
      </c>
      <c r="E6367" s="13" t="s">
        <v>18</v>
      </c>
      <c r="F6367" t="str">
        <f t="shared" si="495"/>
        <v>Plateau</v>
      </c>
      <c r="G6367" t="str">
        <f t="shared" si="496"/>
        <v>Plateau1800Round Rock</v>
      </c>
      <c r="H6367" t="s">
        <v>37223</v>
      </c>
      <c r="I6367" t="s">
        <v>28640</v>
      </c>
      <c r="J6367" t="str">
        <f t="shared" si="497"/>
        <v>E:\PropInv\MF</v>
      </c>
      <c r="K6367" s="103" t="str">
        <f>HYPERLINK("E:\PropInv\MF\Round Rock\Plateau Vista Blvd_1800_Colonial Grand at Round Rock_Round Rock_17304","Plateau Vista Blvd_1800_Colonial Grand at Round Rock_Round Rock_17304" )</f>
        <v>Plateau Vista Blvd_1800_Colonial Grand at Round Rock_Round Rock_17304</v>
      </c>
      <c r="L6367" s="104" t="s">
        <v>22253</v>
      </c>
      <c r="M6367" s="103" t="str">
        <f t="shared" si="498"/>
        <v>http://oconnordata.com/mlink/modules/profile/index.cfm?action=profile&amp;prop_id=17304</v>
      </c>
      <c r="N6367" s="1">
        <f t="shared" si="499"/>
        <v>17304</v>
      </c>
    </row>
    <row r="6368" spans="1:14" x14ac:dyDescent="0.3">
      <c r="A6368" s="1">
        <v>17305</v>
      </c>
      <c r="B6368" s="7" t="s">
        <v>9550</v>
      </c>
      <c r="C6368" s="12">
        <v>2914</v>
      </c>
      <c r="D6368" s="7" t="s">
        <v>9551</v>
      </c>
      <c r="E6368" s="13" t="s">
        <v>842</v>
      </c>
      <c r="F6368" t="str">
        <f t="shared" si="495"/>
        <v>Olmos</v>
      </c>
      <c r="G6368" t="str">
        <f t="shared" si="496"/>
        <v>Olmos2914San Antonio</v>
      </c>
      <c r="H6368" t="s">
        <v>37224</v>
      </c>
      <c r="I6368" t="s">
        <v>28641</v>
      </c>
      <c r="J6368" t="str">
        <f t="shared" si="497"/>
        <v>E:\PropInv\MF</v>
      </c>
      <c r="K6368" s="103" t="str">
        <f>HYPERLINK("E:\PropInv\MF\San Antonio\Olmos Creek Dr_2914_Bella Madera_San Antonio_17305","Olmos Creek Dr_2914_Bella Madera_San Antonio_17305" )</f>
        <v>Olmos Creek Dr_2914_Bella Madera_San Antonio_17305</v>
      </c>
      <c r="L6368" s="104" t="s">
        <v>22253</v>
      </c>
      <c r="M6368" s="103" t="str">
        <f t="shared" si="498"/>
        <v>http://oconnordata.com/mlink/modules/profile/index.cfm?action=profile&amp;prop_id=17305</v>
      </c>
      <c r="N6368" s="1">
        <f t="shared" si="499"/>
        <v>17305</v>
      </c>
    </row>
    <row r="6369" spans="1:14" x14ac:dyDescent="0.3">
      <c r="A6369" s="1">
        <v>17306</v>
      </c>
      <c r="B6369" s="7" t="s">
        <v>928</v>
      </c>
      <c r="C6369" s="12">
        <v>7575</v>
      </c>
      <c r="D6369" s="7" t="s">
        <v>9552</v>
      </c>
      <c r="E6369" s="13" t="s">
        <v>842</v>
      </c>
      <c r="F6369" t="str">
        <f t="shared" si="495"/>
        <v>Callaghan</v>
      </c>
      <c r="G6369" t="str">
        <f t="shared" si="496"/>
        <v>Callaghan7575San Antonio</v>
      </c>
      <c r="H6369" t="s">
        <v>37225</v>
      </c>
      <c r="I6369" t="s">
        <v>28642</v>
      </c>
      <c r="J6369" t="str">
        <f t="shared" si="497"/>
        <v>E:\PropInv\MF</v>
      </c>
      <c r="K6369" s="103" t="str">
        <f>HYPERLINK("E:\PropInv\MF\San Antonio\Callaghan Rd_7575_Mission Oaks_San Antonio_17306","Callaghan Rd_7575_Mission Oaks_San Antonio_17306" )</f>
        <v>Callaghan Rd_7575_Mission Oaks_San Antonio_17306</v>
      </c>
      <c r="L6369" s="104" t="s">
        <v>22253</v>
      </c>
      <c r="M6369" s="103" t="str">
        <f t="shared" si="498"/>
        <v>http://oconnordata.com/mlink/modules/profile/index.cfm?action=profile&amp;prop_id=17306</v>
      </c>
      <c r="N6369" s="1">
        <f t="shared" si="499"/>
        <v>17306</v>
      </c>
    </row>
    <row r="6370" spans="1:14" x14ac:dyDescent="0.3">
      <c r="A6370" s="1">
        <v>17307</v>
      </c>
      <c r="B6370" s="7" t="s">
        <v>9553</v>
      </c>
      <c r="C6370" s="12">
        <v>3001</v>
      </c>
      <c r="D6370" s="7" t="s">
        <v>9554</v>
      </c>
      <c r="E6370" s="13" t="s">
        <v>705</v>
      </c>
      <c r="F6370" t="str">
        <f t="shared" si="495"/>
        <v>Colonial</v>
      </c>
      <c r="G6370" t="str">
        <f t="shared" si="496"/>
        <v>Colonial3001Cedar Park</v>
      </c>
      <c r="H6370" t="s">
        <v>37226</v>
      </c>
      <c r="I6370" t="s">
        <v>28643</v>
      </c>
      <c r="J6370" t="str">
        <f t="shared" si="497"/>
        <v>E:\PropInv\MF</v>
      </c>
      <c r="K6370" s="103" t="str">
        <f>HYPERLINK("E:\PropInv\MF\Cedar Park\Colonial Grand Pkwy_3001_Colonial Grand at Silverado_Cedar Park_17307","Colonial Grand Pkwy_3001_Colonial Grand at Silverado_Cedar Park_17307" )</f>
        <v>Colonial Grand Pkwy_3001_Colonial Grand at Silverado_Cedar Park_17307</v>
      </c>
      <c r="L6370" s="104" t="s">
        <v>22253</v>
      </c>
      <c r="M6370" s="103" t="str">
        <f t="shared" si="498"/>
        <v>http://oconnordata.com/mlink/modules/profile/index.cfm?action=profile&amp;prop_id=17307</v>
      </c>
      <c r="N6370" s="1">
        <f t="shared" si="499"/>
        <v>17307</v>
      </c>
    </row>
    <row r="6371" spans="1:14" x14ac:dyDescent="0.3">
      <c r="A6371" s="1">
        <v>17308</v>
      </c>
      <c r="B6371" s="7" t="s">
        <v>1553</v>
      </c>
      <c r="C6371" s="12">
        <v>11801</v>
      </c>
      <c r="D6371" s="7" t="s">
        <v>9555</v>
      </c>
      <c r="E6371" s="13" t="s">
        <v>864</v>
      </c>
      <c r="F6371" t="str">
        <f t="shared" si="495"/>
        <v>1604</v>
      </c>
      <c r="G6371" t="str">
        <f t="shared" si="496"/>
        <v>160411801Universal City</v>
      </c>
      <c r="H6371" t="s">
        <v>37227</v>
      </c>
      <c r="I6371" t="s">
        <v>28644</v>
      </c>
      <c r="J6371" t="str">
        <f t="shared" si="497"/>
        <v>E:\PropInv\MF</v>
      </c>
      <c r="K6371" s="103" t="str">
        <f>HYPERLINK("E:\PropInv\MF\Universal City\1604 Loop N E_11801_The Villages at Kitty Hawk_Universal City_17308","1604 Loop N E_11801_The Villages at Kitty Hawk_Universal City_17308" )</f>
        <v>1604 Loop N E_11801_The Villages at Kitty Hawk_Universal City_17308</v>
      </c>
      <c r="L6371" s="104" t="s">
        <v>22253</v>
      </c>
      <c r="M6371" s="103" t="str">
        <f t="shared" si="498"/>
        <v>http://oconnordata.com/mlink/modules/profile/index.cfm?action=profile&amp;prop_id=17308</v>
      </c>
      <c r="N6371" s="1">
        <f t="shared" si="499"/>
        <v>17308</v>
      </c>
    </row>
    <row r="6372" spans="1:14" x14ac:dyDescent="0.3">
      <c r="A6372" s="1">
        <v>17309</v>
      </c>
      <c r="B6372" s="7" t="s">
        <v>1134</v>
      </c>
      <c r="C6372" s="12">
        <v>9603</v>
      </c>
      <c r="D6372" s="7" t="s">
        <v>9556</v>
      </c>
      <c r="E6372" s="13" t="s">
        <v>842</v>
      </c>
      <c r="F6372" t="str">
        <f t="shared" si="495"/>
        <v>Bandera</v>
      </c>
      <c r="G6372" t="str">
        <f t="shared" si="496"/>
        <v>Bandera9603San Antonio</v>
      </c>
      <c r="H6372" t="s">
        <v>37228</v>
      </c>
      <c r="I6372" t="s">
        <v>28645</v>
      </c>
      <c r="J6372" t="str">
        <f t="shared" si="497"/>
        <v>E:\PropInv\MF</v>
      </c>
      <c r="K6372" s="103" t="str">
        <f>HYPERLINK("E:\PropInv\MF\San Antonio\Bandera Rd_9603_Camden Braun Station_San Antonio_17309","Bandera Rd_9603_Camden Braun Station_San Antonio_17309" )</f>
        <v>Bandera Rd_9603_Camden Braun Station_San Antonio_17309</v>
      </c>
      <c r="L6372" s="104" t="s">
        <v>22253</v>
      </c>
      <c r="M6372" s="103" t="str">
        <f t="shared" si="498"/>
        <v>http://oconnordata.com/mlink/modules/profile/index.cfm?action=profile&amp;prop_id=17309</v>
      </c>
      <c r="N6372" s="1">
        <f t="shared" si="499"/>
        <v>17309</v>
      </c>
    </row>
    <row r="6373" spans="1:14" x14ac:dyDescent="0.3">
      <c r="A6373" s="1">
        <v>17310</v>
      </c>
      <c r="B6373" s="7" t="s">
        <v>9557</v>
      </c>
      <c r="C6373" s="12">
        <v>501</v>
      </c>
      <c r="D6373" s="7" t="s">
        <v>9557</v>
      </c>
      <c r="E6373" s="13" t="s">
        <v>864</v>
      </c>
      <c r="F6373" t="str">
        <f t="shared" si="495"/>
        <v>Sunrise</v>
      </c>
      <c r="G6373" t="str">
        <f t="shared" si="496"/>
        <v>Sunrise501Universal City</v>
      </c>
      <c r="H6373" t="s">
        <v>37229</v>
      </c>
      <c r="I6373" t="s">
        <v>28646</v>
      </c>
      <c r="J6373" t="str">
        <f t="shared" si="497"/>
        <v>E:\PropInv\MF</v>
      </c>
      <c r="K6373" s="103" t="str">
        <f>HYPERLINK("E:\PropInv\MF\Universal City\Sunrise Canyon_501_Sunrise Canyon_Universal City_17310","Sunrise Canyon_501_Sunrise Canyon_Universal City_17310" )</f>
        <v>Sunrise Canyon_501_Sunrise Canyon_Universal City_17310</v>
      </c>
      <c r="L6373" s="104" t="s">
        <v>22253</v>
      </c>
      <c r="M6373" s="103" t="str">
        <f t="shared" si="498"/>
        <v>http://oconnordata.com/mlink/modules/profile/index.cfm?action=profile&amp;prop_id=17310</v>
      </c>
      <c r="N6373" s="1">
        <f t="shared" si="499"/>
        <v>17310</v>
      </c>
    </row>
    <row r="6374" spans="1:14" x14ac:dyDescent="0.3">
      <c r="A6374" s="1">
        <v>17311</v>
      </c>
      <c r="B6374" s="7" t="s">
        <v>6833</v>
      </c>
      <c r="C6374" s="12">
        <v>5400</v>
      </c>
      <c r="D6374" s="7" t="s">
        <v>9558</v>
      </c>
      <c r="E6374" s="13" t="s">
        <v>5014</v>
      </c>
      <c r="F6374" t="str">
        <f t="shared" si="495"/>
        <v>Sycamore</v>
      </c>
      <c r="G6374" t="str">
        <f t="shared" si="496"/>
        <v>Sycamore5400Fort Worth</v>
      </c>
      <c r="H6374" t="s">
        <v>37230</v>
      </c>
      <c r="I6374" t="s">
        <v>28647</v>
      </c>
      <c r="J6374" t="str">
        <f t="shared" si="497"/>
        <v>E:\PropInv\MF</v>
      </c>
      <c r="K6374" s="103" t="str">
        <f>HYPERLINK("E:\PropInv\MF\Fort Worth\Sycamore School Rd_5400_Sunset Pointe_Fort Worth_17311","Sycamore School Rd_5400_Sunset Pointe_Fort Worth_17311" )</f>
        <v>Sycamore School Rd_5400_Sunset Pointe_Fort Worth_17311</v>
      </c>
      <c r="L6374" s="104" t="s">
        <v>22253</v>
      </c>
      <c r="M6374" s="103" t="str">
        <f t="shared" si="498"/>
        <v>http://oconnordata.com/mlink/modules/profile/index.cfm?action=profile&amp;prop_id=17311</v>
      </c>
      <c r="N6374" s="1">
        <f t="shared" si="499"/>
        <v>17311</v>
      </c>
    </row>
    <row r="6375" spans="1:14" x14ac:dyDescent="0.3">
      <c r="A6375" s="1">
        <v>17314</v>
      </c>
      <c r="B6375" s="7" t="s">
        <v>1032</v>
      </c>
      <c r="C6375" s="12">
        <v>6639</v>
      </c>
      <c r="D6375" s="7" t="s">
        <v>9559</v>
      </c>
      <c r="E6375" s="13" t="s">
        <v>842</v>
      </c>
      <c r="F6375" t="str">
        <f t="shared" si="495"/>
        <v>New</v>
      </c>
      <c r="G6375" t="str">
        <f t="shared" si="496"/>
        <v>New6639San Antonio</v>
      </c>
      <c r="H6375" t="s">
        <v>37231</v>
      </c>
      <c r="I6375" t="s">
        <v>28648</v>
      </c>
      <c r="J6375" t="str">
        <f t="shared" si="497"/>
        <v>E:\PropInv\MF</v>
      </c>
      <c r="K6375" s="103" t="str">
        <f>HYPERLINK("E:\PropInv\MF\San Antonio\New Braunfels Ave S_6639_Primrose at Mission Hills_San Antonio_17314","New Braunfels Ave S_6639_Primrose at Mission Hills_San Antonio_17314" )</f>
        <v>New Braunfels Ave S_6639_Primrose at Mission Hills_San Antonio_17314</v>
      </c>
      <c r="L6375" s="104" t="s">
        <v>22253</v>
      </c>
      <c r="M6375" s="103" t="str">
        <f t="shared" si="498"/>
        <v>http://oconnordata.com/mlink/modules/profile/index.cfm?action=profile&amp;prop_id=17314</v>
      </c>
      <c r="N6375" s="1">
        <f t="shared" si="499"/>
        <v>17314</v>
      </c>
    </row>
    <row r="6376" spans="1:14" x14ac:dyDescent="0.3">
      <c r="A6376" s="1">
        <v>17315</v>
      </c>
      <c r="B6376" s="7" t="s">
        <v>9560</v>
      </c>
      <c r="C6376" s="12">
        <v>2525</v>
      </c>
      <c r="D6376" s="7" t="s">
        <v>9561</v>
      </c>
      <c r="E6376" s="13" t="s">
        <v>842</v>
      </c>
      <c r="F6376" t="str">
        <f t="shared" si="495"/>
        <v>Castroville</v>
      </c>
      <c r="G6376" t="str">
        <f t="shared" si="496"/>
        <v>Castroville2525San Antonio</v>
      </c>
      <c r="H6376" t="s">
        <v>37232</v>
      </c>
      <c r="I6376" t="s">
        <v>28649</v>
      </c>
      <c r="J6376" t="str">
        <f t="shared" si="497"/>
        <v>E:\PropInv\MF</v>
      </c>
      <c r="K6376" s="103" t="str">
        <f>HYPERLINK("E:\PropInv\MF\San Antonio\Castroville Rd_2525_La Providencia_San Antonio_17315","Castroville Rd_2525_La Providencia_San Antonio_17315" )</f>
        <v>Castroville Rd_2525_La Providencia_San Antonio_17315</v>
      </c>
      <c r="L6376" s="104" t="s">
        <v>22253</v>
      </c>
      <c r="M6376" s="103" t="str">
        <f t="shared" si="498"/>
        <v>http://oconnordata.com/mlink/modules/profile/index.cfm?action=profile&amp;prop_id=17315</v>
      </c>
      <c r="N6376" s="1">
        <f t="shared" si="499"/>
        <v>17315</v>
      </c>
    </row>
    <row r="6377" spans="1:14" x14ac:dyDescent="0.3">
      <c r="A6377" s="1">
        <v>17316</v>
      </c>
      <c r="B6377" s="7" t="s">
        <v>9562</v>
      </c>
      <c r="C6377" s="12">
        <v>820</v>
      </c>
      <c r="D6377" s="7" t="s">
        <v>5924</v>
      </c>
      <c r="E6377" s="13" t="s">
        <v>842</v>
      </c>
      <c r="F6377" t="str">
        <f t="shared" si="495"/>
        <v>Gentleman</v>
      </c>
      <c r="G6377" t="str">
        <f t="shared" si="496"/>
        <v>Gentleman820San Antonio</v>
      </c>
      <c r="H6377" t="s">
        <v>37233</v>
      </c>
      <c r="I6377" t="s">
        <v>28650</v>
      </c>
      <c r="J6377" t="str">
        <f t="shared" si="497"/>
        <v>E:\PropInv\MF</v>
      </c>
      <c r="K6377" s="103" t="str">
        <f>HYPERLINK("E:\PropInv\MF\San Antonio\Gentleman Dr_820_Westchester_San Antonio_17316","Gentleman Dr_820_Westchester_San Antonio_17316" )</f>
        <v>Gentleman Dr_820_Westchester_San Antonio_17316</v>
      </c>
      <c r="L6377" s="104" t="s">
        <v>22253</v>
      </c>
      <c r="M6377" s="103" t="str">
        <f t="shared" si="498"/>
        <v>http://oconnordata.com/mlink/modules/profile/index.cfm?action=profile&amp;prop_id=17316</v>
      </c>
      <c r="N6377" s="1">
        <f t="shared" si="499"/>
        <v>17316</v>
      </c>
    </row>
    <row r="6378" spans="1:14" x14ac:dyDescent="0.3">
      <c r="A6378" s="1">
        <v>17317</v>
      </c>
      <c r="B6378" s="7" t="s">
        <v>9563</v>
      </c>
      <c r="C6378" s="12">
        <v>2600</v>
      </c>
      <c r="D6378" s="7" t="s">
        <v>9564</v>
      </c>
      <c r="E6378" s="13" t="s">
        <v>498</v>
      </c>
      <c r="F6378" t="str">
        <f t="shared" si="495"/>
        <v>Hunter</v>
      </c>
      <c r="G6378" t="str">
        <f t="shared" si="496"/>
        <v>Hunter2600San Marcos</v>
      </c>
      <c r="H6378" t="s">
        <v>37234</v>
      </c>
      <c r="I6378" t="s">
        <v>28651</v>
      </c>
      <c r="J6378" t="str">
        <f t="shared" si="497"/>
        <v>E:\PropInv\MF</v>
      </c>
      <c r="K6378" s="103" t="str">
        <f>HYPERLINK("E:\PropInv\MF\San Marcos\Hunter Rd_2600_Mariposa at Hunter Road_San Marcos_17317","Hunter Rd_2600_Mariposa at Hunter Road_San Marcos_17317" )</f>
        <v>Hunter Rd_2600_Mariposa at Hunter Road_San Marcos_17317</v>
      </c>
      <c r="L6378" s="104" t="s">
        <v>22253</v>
      </c>
      <c r="M6378" s="103" t="str">
        <f t="shared" si="498"/>
        <v>http://oconnordata.com/mlink/modules/profile/index.cfm?action=profile&amp;prop_id=17317</v>
      </c>
      <c r="N6378" s="1">
        <f t="shared" si="499"/>
        <v>17317</v>
      </c>
    </row>
    <row r="6379" spans="1:14" x14ac:dyDescent="0.3">
      <c r="A6379" s="1">
        <v>17318</v>
      </c>
      <c r="B6379" s="10" t="s">
        <v>75</v>
      </c>
      <c r="C6379" s="9">
        <v>10701</v>
      </c>
      <c r="D6379" s="10" t="s">
        <v>9565</v>
      </c>
      <c r="E6379" s="11" t="s">
        <v>7</v>
      </c>
      <c r="F6379" t="str">
        <f t="shared" si="495"/>
        <v>35</v>
      </c>
      <c r="G6379" t="str">
        <f t="shared" si="496"/>
        <v>3510701Austin</v>
      </c>
      <c r="H6379" t="s">
        <v>37235</v>
      </c>
      <c r="I6379" t="s">
        <v>28652</v>
      </c>
      <c r="J6379" t="str">
        <f t="shared" si="497"/>
        <v>E:\PropInv\MF</v>
      </c>
      <c r="K6379" s="103" t="str">
        <f>HYPERLINK("E:\PropInv\MF\Austin\35 IH S_10701_Onion Creek Luxury Apts_Austin_17318","35 IH S_10701_Onion Creek Luxury Apts_Austin_17318" )</f>
        <v>35 IH S_10701_Onion Creek Luxury Apts_Austin_17318</v>
      </c>
      <c r="L6379" s="104" t="s">
        <v>22253</v>
      </c>
      <c r="M6379" s="103" t="str">
        <f t="shared" si="498"/>
        <v>http://oconnordata.com/mlink/modules/profile/index.cfm?action=profile&amp;prop_id=17318</v>
      </c>
      <c r="N6379" s="1">
        <f t="shared" si="499"/>
        <v>17318</v>
      </c>
    </row>
    <row r="6380" spans="1:14" x14ac:dyDescent="0.3">
      <c r="A6380" s="1">
        <v>17319</v>
      </c>
      <c r="B6380" s="7" t="s">
        <v>775</v>
      </c>
      <c r="C6380" s="12">
        <v>420</v>
      </c>
      <c r="D6380" s="7" t="s">
        <v>9566</v>
      </c>
      <c r="E6380" s="13" t="s">
        <v>7</v>
      </c>
      <c r="F6380" t="str">
        <f t="shared" si="495"/>
        <v>Slaughter</v>
      </c>
      <c r="G6380" t="str">
        <f t="shared" si="496"/>
        <v>Slaughter420Austin</v>
      </c>
      <c r="H6380" t="s">
        <v>37236</v>
      </c>
      <c r="I6380" t="s">
        <v>28653</v>
      </c>
      <c r="J6380" t="str">
        <f t="shared" si="497"/>
        <v>E:\PropInv\MF</v>
      </c>
      <c r="K6380" s="103" t="str">
        <f>HYPERLINK("E:\PropInv\MF\Austin\Slaughter Ln W_420_Waterstone_Austin_17319","Slaughter Ln W_420_Waterstone_Austin_17319" )</f>
        <v>Slaughter Ln W_420_Waterstone_Austin_17319</v>
      </c>
      <c r="L6380" s="104" t="s">
        <v>22253</v>
      </c>
      <c r="M6380" s="103" t="str">
        <f t="shared" si="498"/>
        <v>http://oconnordata.com/mlink/modules/profile/index.cfm?action=profile&amp;prop_id=17319</v>
      </c>
      <c r="N6380" s="1">
        <f t="shared" si="499"/>
        <v>17319</v>
      </c>
    </row>
    <row r="6381" spans="1:14" x14ac:dyDescent="0.3">
      <c r="A6381" s="1">
        <v>17324</v>
      </c>
      <c r="B6381" s="7" t="s">
        <v>9567</v>
      </c>
      <c r="C6381" s="12">
        <v>12800</v>
      </c>
      <c r="D6381" s="7" t="s">
        <v>9568</v>
      </c>
      <c r="E6381" s="13" t="s">
        <v>7</v>
      </c>
      <c r="F6381" t="str">
        <f t="shared" si="495"/>
        <v>Center</v>
      </c>
      <c r="G6381" t="str">
        <f t="shared" si="496"/>
        <v>Center12800Austin</v>
      </c>
      <c r="H6381" t="s">
        <v>37237</v>
      </c>
      <c r="I6381" t="s">
        <v>28654</v>
      </c>
      <c r="J6381" t="str">
        <f t="shared" si="497"/>
        <v>E:\PropInv\MF</v>
      </c>
      <c r="K6381" s="103" t="str">
        <f>HYPERLINK("E:\PropInv\MF\Austin\Center Lake Dr_12800_Bella Sarah Apts_Austin_17324","Center Lake Dr_12800_Bella Sarah Apts_Austin_17324" )</f>
        <v>Center Lake Dr_12800_Bella Sarah Apts_Austin_17324</v>
      </c>
      <c r="L6381" s="104" t="s">
        <v>22253</v>
      </c>
      <c r="M6381" s="103" t="str">
        <f t="shared" si="498"/>
        <v>http://oconnordata.com/mlink/modules/profile/index.cfm?action=profile&amp;prop_id=17324</v>
      </c>
      <c r="N6381" s="1">
        <f t="shared" si="499"/>
        <v>17324</v>
      </c>
    </row>
    <row r="6382" spans="1:14" x14ac:dyDescent="0.3">
      <c r="A6382" s="1">
        <v>17326</v>
      </c>
      <c r="B6382" s="7" t="s">
        <v>209</v>
      </c>
      <c r="C6382" s="12">
        <v>12215</v>
      </c>
      <c r="D6382" s="7" t="s">
        <v>9569</v>
      </c>
      <c r="E6382" s="13" t="s">
        <v>7</v>
      </c>
      <c r="F6382" t="str">
        <f t="shared" si="495"/>
        <v>Hunters</v>
      </c>
      <c r="G6382" t="str">
        <f t="shared" si="496"/>
        <v>Hunters12215Austin</v>
      </c>
      <c r="H6382" t="s">
        <v>37238</v>
      </c>
      <c r="I6382" t="s">
        <v>28655</v>
      </c>
      <c r="J6382" t="str">
        <f t="shared" si="497"/>
        <v>E:\PropInv\MF</v>
      </c>
      <c r="K6382" s="103" t="str">
        <f>HYPERLINK("E:\PropInv\MF\Austin\Hunters Chase Dr_12215_Dakota Springs_Austin_17326","Hunters Chase Dr_12215_Dakota Springs_Austin_17326" )</f>
        <v>Hunters Chase Dr_12215_Dakota Springs_Austin_17326</v>
      </c>
      <c r="L6382" s="104" t="s">
        <v>22253</v>
      </c>
      <c r="M6382" s="103" t="str">
        <f t="shared" si="498"/>
        <v>http://oconnordata.com/mlink/modules/profile/index.cfm?action=profile&amp;prop_id=17326</v>
      </c>
      <c r="N6382" s="1">
        <f t="shared" si="499"/>
        <v>17326</v>
      </c>
    </row>
    <row r="6383" spans="1:14" x14ac:dyDescent="0.3">
      <c r="A6383" s="1">
        <v>17327</v>
      </c>
      <c r="B6383" s="7" t="s">
        <v>9570</v>
      </c>
      <c r="C6383" s="12">
        <v>9012</v>
      </c>
      <c r="D6383" s="7" t="s">
        <v>9571</v>
      </c>
      <c r="E6383" s="13" t="s">
        <v>6541</v>
      </c>
      <c r="F6383" t="str">
        <f t="shared" si="495"/>
        <v>Courtenay</v>
      </c>
      <c r="G6383" t="str">
        <f t="shared" si="496"/>
        <v>Courtenay9012North Richland Hills</v>
      </c>
      <c r="H6383" t="s">
        <v>37239</v>
      </c>
      <c r="I6383" t="s">
        <v>28656</v>
      </c>
      <c r="J6383" t="str">
        <f t="shared" si="497"/>
        <v>E:\PropInv\MF</v>
      </c>
      <c r="K6383" s="103" t="str">
        <f>HYPERLINK("E:\PropInv\MF\North Richland Hills\Courtenay St_9012_Venue at Home Town NRH_North Richland Hills_17327","Courtenay St_9012_Venue at Home Town NRH_North Richland Hills_17327" )</f>
        <v>Courtenay St_9012_Venue at Home Town NRH_North Richland Hills_17327</v>
      </c>
      <c r="L6383" s="104" t="s">
        <v>22253</v>
      </c>
      <c r="M6383" s="103" t="str">
        <f t="shared" si="498"/>
        <v>http://oconnordata.com/mlink/modules/profile/index.cfm?action=profile&amp;prop_id=17327</v>
      </c>
      <c r="N6383" s="1">
        <f t="shared" si="499"/>
        <v>17327</v>
      </c>
    </row>
    <row r="6384" spans="1:14" x14ac:dyDescent="0.3">
      <c r="A6384" s="1">
        <v>17328</v>
      </c>
      <c r="B6384" s="7" t="s">
        <v>9572</v>
      </c>
      <c r="C6384" s="12">
        <v>5005</v>
      </c>
      <c r="D6384" s="7" t="s">
        <v>9573</v>
      </c>
      <c r="E6384" s="13" t="s">
        <v>5198</v>
      </c>
      <c r="F6384" t="str">
        <f t="shared" si="495"/>
        <v>Galleria</v>
      </c>
      <c r="G6384" t="str">
        <f t="shared" si="496"/>
        <v>Galleria5005Farmers Branch</v>
      </c>
      <c r="H6384" t="s">
        <v>37240</v>
      </c>
      <c r="I6384" t="s">
        <v>28657</v>
      </c>
      <c r="J6384" t="str">
        <f t="shared" si="497"/>
        <v>E:\PropInv\MF</v>
      </c>
      <c r="K6384" s="103" t="str">
        <f>HYPERLINK("E:\PropInv\MF\Farmers Branch\Galleria Dr_5005_Broadstone Parkway_Farmers Branch_17328","Galleria Dr_5005_Broadstone Parkway_Farmers Branch_17328" )</f>
        <v>Galleria Dr_5005_Broadstone Parkway_Farmers Branch_17328</v>
      </c>
      <c r="L6384" s="104" t="s">
        <v>22253</v>
      </c>
      <c r="M6384" s="103" t="str">
        <f t="shared" si="498"/>
        <v>http://oconnordata.com/mlink/modules/profile/index.cfm?action=profile&amp;prop_id=17328</v>
      </c>
      <c r="N6384" s="1">
        <f t="shared" si="499"/>
        <v>17328</v>
      </c>
    </row>
    <row r="6385" spans="1:14" x14ac:dyDescent="0.3">
      <c r="A6385" s="1">
        <v>17329</v>
      </c>
      <c r="B6385" s="7" t="s">
        <v>9574</v>
      </c>
      <c r="C6385" s="12">
        <v>2200</v>
      </c>
      <c r="D6385" s="7" t="s">
        <v>9575</v>
      </c>
      <c r="E6385" s="13" t="s">
        <v>4369</v>
      </c>
      <c r="F6385" t="str">
        <f t="shared" si="495"/>
        <v>Business</v>
      </c>
      <c r="G6385" t="str">
        <f t="shared" si="496"/>
        <v>Business2200Pearland</v>
      </c>
      <c r="H6385" t="s">
        <v>37241</v>
      </c>
      <c r="I6385" t="s">
        <v>28658</v>
      </c>
      <c r="J6385" t="str">
        <f t="shared" si="497"/>
        <v>E:\PropInv\MF</v>
      </c>
      <c r="K6385" s="103" t="str">
        <f>HYPERLINK("E:\PropInv\MF\Pearland\Business Center Dr_2200_Waterford Place at Shadow Creek Ranch_Pearland_17329","Business Center Dr_2200_Waterford Place at Shadow Creek Ranch_Pearland_17329" )</f>
        <v>Business Center Dr_2200_Waterford Place at Shadow Creek Ranch_Pearland_17329</v>
      </c>
      <c r="L6385" s="104" t="s">
        <v>22253</v>
      </c>
      <c r="M6385" s="103" t="str">
        <f t="shared" si="498"/>
        <v>http://oconnordata.com/mlink/modules/profile/index.cfm?action=profile&amp;prop_id=17329</v>
      </c>
      <c r="N6385" s="1">
        <f t="shared" si="499"/>
        <v>17329</v>
      </c>
    </row>
    <row r="6386" spans="1:14" x14ac:dyDescent="0.3">
      <c r="A6386" s="1">
        <v>17330</v>
      </c>
      <c r="B6386" s="7" t="s">
        <v>9576</v>
      </c>
      <c r="C6386" s="12">
        <v>15895</v>
      </c>
      <c r="D6386" s="7" t="s">
        <v>9577</v>
      </c>
      <c r="E6386" s="13" t="s">
        <v>1657</v>
      </c>
      <c r="F6386" t="str">
        <f t="shared" si="495"/>
        <v>Ridgecroft</v>
      </c>
      <c r="G6386" t="str">
        <f t="shared" si="496"/>
        <v>Ridgecroft15895Houston</v>
      </c>
      <c r="H6386" t="s">
        <v>37242</v>
      </c>
      <c r="I6386" t="s">
        <v>28659</v>
      </c>
      <c r="J6386" t="str">
        <f t="shared" si="497"/>
        <v>E:\PropInv\MF</v>
      </c>
      <c r="K6386" s="103" t="str">
        <f>HYPERLINK("E:\PropInv\MF\Houston\Ridgecroft_15895_Ridgemont Heights_Houston_17330","Ridgecroft_15895_Ridgemont Heights_Houston_17330" )</f>
        <v>Ridgecroft_15895_Ridgemont Heights_Houston_17330</v>
      </c>
      <c r="L6386" s="104" t="s">
        <v>22253</v>
      </c>
      <c r="M6386" s="103" t="str">
        <f t="shared" si="498"/>
        <v>http://oconnordata.com/mlink/modules/profile/index.cfm?action=profile&amp;prop_id=17330</v>
      </c>
      <c r="N6386" s="1">
        <f t="shared" si="499"/>
        <v>17330</v>
      </c>
    </row>
    <row r="6387" spans="1:14" x14ac:dyDescent="0.3">
      <c r="A6387" s="1">
        <v>17331</v>
      </c>
      <c r="B6387" s="7" t="s">
        <v>9578</v>
      </c>
      <c r="C6387" s="12">
        <v>9520</v>
      </c>
      <c r="D6387" s="7" t="s">
        <v>9579</v>
      </c>
      <c r="E6387" s="13" t="s">
        <v>1657</v>
      </c>
      <c r="F6387" t="str">
        <f t="shared" si="495"/>
        <v>Wilcrest</v>
      </c>
      <c r="G6387" t="str">
        <f t="shared" si="496"/>
        <v>Wilcrest9520Houston</v>
      </c>
      <c r="H6387" t="s">
        <v>37243</v>
      </c>
      <c r="I6387" t="s">
        <v>28660</v>
      </c>
      <c r="J6387" t="str">
        <f t="shared" si="497"/>
        <v>E:\PropInv\MF</v>
      </c>
      <c r="K6387" s="103" t="str">
        <f>HYPERLINK("E:\PropInv\MF\Houston\Wilcrest Dr_9520_The Pinnacle on Wilcrest_Houston_17331","Wilcrest Dr_9520_The Pinnacle on Wilcrest_Houston_17331" )</f>
        <v>Wilcrest Dr_9520_The Pinnacle on Wilcrest_Houston_17331</v>
      </c>
      <c r="L6387" s="104" t="s">
        <v>22253</v>
      </c>
      <c r="M6387" s="103" t="str">
        <f t="shared" si="498"/>
        <v>http://oconnordata.com/mlink/modules/profile/index.cfm?action=profile&amp;prop_id=17331</v>
      </c>
      <c r="N6387" s="1">
        <f t="shared" si="499"/>
        <v>17331</v>
      </c>
    </row>
    <row r="6388" spans="1:14" x14ac:dyDescent="0.3">
      <c r="A6388" s="1">
        <v>17332</v>
      </c>
      <c r="B6388" s="7" t="s">
        <v>5043</v>
      </c>
      <c r="C6388" s="12">
        <v>1400</v>
      </c>
      <c r="D6388" s="7" t="s">
        <v>9580</v>
      </c>
      <c r="E6388" s="13" t="s">
        <v>1657</v>
      </c>
      <c r="F6388" t="str">
        <f t="shared" si="495"/>
        <v>McKinney</v>
      </c>
      <c r="G6388" t="str">
        <f t="shared" si="496"/>
        <v>McKinney1400Houston</v>
      </c>
      <c r="H6388" t="s">
        <v>37244</v>
      </c>
      <c r="I6388" t="s">
        <v>28661</v>
      </c>
      <c r="J6388" t="str">
        <f t="shared" si="497"/>
        <v>E:\PropInv\MF</v>
      </c>
      <c r="K6388" s="103" t="str">
        <f>HYPERLINK("E:\PropInv\MF\Houston\McKinney_1400_One Park Place_Houston_17332","McKinney_1400_One Park Place_Houston_17332" )</f>
        <v>McKinney_1400_One Park Place_Houston_17332</v>
      </c>
      <c r="L6388" s="104" t="s">
        <v>22253</v>
      </c>
      <c r="M6388" s="103" t="str">
        <f t="shared" si="498"/>
        <v>http://oconnordata.com/mlink/modules/profile/index.cfm?action=profile&amp;prop_id=17332</v>
      </c>
      <c r="N6388" s="1">
        <f t="shared" si="499"/>
        <v>17332</v>
      </c>
    </row>
    <row r="6389" spans="1:14" x14ac:dyDescent="0.3">
      <c r="A6389" s="1">
        <v>17333</v>
      </c>
      <c r="B6389" s="7" t="s">
        <v>9581</v>
      </c>
      <c r="C6389" s="12">
        <v>1105</v>
      </c>
      <c r="D6389" s="7" t="s">
        <v>9582</v>
      </c>
      <c r="E6389" s="13" t="s">
        <v>16</v>
      </c>
      <c r="F6389" t="str">
        <f t="shared" si="495"/>
        <v>Church</v>
      </c>
      <c r="G6389" t="str">
        <f t="shared" si="496"/>
        <v>Church1105Georgetown</v>
      </c>
      <c r="H6389" t="s">
        <v>37245</v>
      </c>
      <c r="I6389" t="s">
        <v>28662</v>
      </c>
      <c r="J6389" t="str">
        <f t="shared" si="497"/>
        <v>E:\PropInv\MF</v>
      </c>
      <c r="K6389" s="103" t="str">
        <f>HYPERLINK("E:\PropInv\MF\Georgetown\Church St S_1105_Wesleyan Retirement Homes_Georgetown_17333","Church St S_1105_Wesleyan Retirement Homes_Georgetown_17333" )</f>
        <v>Church St S_1105_Wesleyan Retirement Homes_Georgetown_17333</v>
      </c>
      <c r="L6389" s="104" t="s">
        <v>22253</v>
      </c>
      <c r="M6389" s="103" t="str">
        <f t="shared" si="498"/>
        <v>http://oconnordata.com/mlink/modules/profile/index.cfm?action=profile&amp;prop_id=17333</v>
      </c>
      <c r="N6389" s="1">
        <f t="shared" si="499"/>
        <v>17333</v>
      </c>
    </row>
    <row r="6390" spans="1:14" x14ac:dyDescent="0.3">
      <c r="A6390" s="97">
        <v>17334</v>
      </c>
      <c r="B6390" s="7" t="s">
        <v>9583</v>
      </c>
      <c r="C6390" s="12">
        <v>12301</v>
      </c>
      <c r="D6390" s="7" t="s">
        <v>9584</v>
      </c>
      <c r="E6390" s="13" t="s">
        <v>5014</v>
      </c>
      <c r="F6390" t="str">
        <f t="shared" si="495"/>
        <v>Hemphill</v>
      </c>
      <c r="G6390" t="str">
        <f t="shared" si="496"/>
        <v>Hemphill12301Fort Worth</v>
      </c>
      <c r="H6390" t="s">
        <v>37246</v>
      </c>
      <c r="I6390" t="s">
        <v>28663</v>
      </c>
      <c r="J6390" t="str">
        <f t="shared" si="497"/>
        <v>E:\PropInv\MF</v>
      </c>
      <c r="K6390" s="103" t="str">
        <f>HYPERLINK("E:\PropInv\MF\Fort Worth\Hemphill St_12301_Worthington Point Apts_Fort Worth_17334","Hemphill St_12301_Worthington Point Apts_Fort Worth_17334" )</f>
        <v>Hemphill St_12301_Worthington Point Apts_Fort Worth_17334</v>
      </c>
      <c r="L6390" s="104" t="s">
        <v>22253</v>
      </c>
      <c r="M6390" s="103" t="str">
        <f t="shared" si="498"/>
        <v>http://oconnordata.com/mlink/modules/profile/index.cfm?action=profile&amp;prop_id=17334</v>
      </c>
      <c r="N6390" s="1">
        <f t="shared" si="499"/>
        <v>17334</v>
      </c>
    </row>
    <row r="6391" spans="1:14" x14ac:dyDescent="0.3">
      <c r="A6391" s="1">
        <v>17335</v>
      </c>
      <c r="B6391" s="7" t="s">
        <v>9585</v>
      </c>
      <c r="C6391" s="12">
        <v>7320</v>
      </c>
      <c r="D6391" s="7" t="s">
        <v>9586</v>
      </c>
      <c r="E6391" s="13" t="s">
        <v>1657</v>
      </c>
      <c r="F6391" t="str">
        <f t="shared" si="495"/>
        <v>Jensen</v>
      </c>
      <c r="G6391" t="str">
        <f t="shared" si="496"/>
        <v>Jensen7320Houston</v>
      </c>
      <c r="H6391" t="s">
        <v>37247</v>
      </c>
      <c r="I6391" t="s">
        <v>28664</v>
      </c>
      <c r="J6391" t="str">
        <f t="shared" si="497"/>
        <v>E:\PropInv\MF</v>
      </c>
      <c r="K6391" s="103" t="str">
        <f>HYPERLINK("E:\PropInv\MF\Houston\Jensen St_7320_Redwood Heights_Houston_17335","Jensen St_7320_Redwood Heights_Houston_17335" )</f>
        <v>Jensen St_7320_Redwood Heights_Houston_17335</v>
      </c>
      <c r="L6391" s="104" t="s">
        <v>22253</v>
      </c>
      <c r="M6391" s="103" t="str">
        <f t="shared" si="498"/>
        <v>http://oconnordata.com/mlink/modules/profile/index.cfm?action=profile&amp;prop_id=17335</v>
      </c>
      <c r="N6391" s="1">
        <f t="shared" si="499"/>
        <v>17335</v>
      </c>
    </row>
    <row r="6392" spans="1:14" x14ac:dyDescent="0.3">
      <c r="A6392" s="1">
        <v>17338</v>
      </c>
      <c r="B6392" s="7" t="s">
        <v>3863</v>
      </c>
      <c r="C6392" s="12">
        <v>8625</v>
      </c>
      <c r="D6392" s="7" t="s">
        <v>9587</v>
      </c>
      <c r="E6392" s="13" t="s">
        <v>1657</v>
      </c>
      <c r="F6392" t="str">
        <f t="shared" si="495"/>
        <v>Winkler</v>
      </c>
      <c r="G6392" t="str">
        <f t="shared" si="496"/>
        <v>Winkler8625Houston</v>
      </c>
      <c r="H6392" t="s">
        <v>37248</v>
      </c>
      <c r="I6392" t="s">
        <v>28665</v>
      </c>
      <c r="J6392" t="str">
        <f t="shared" si="497"/>
        <v>E:\PropInv\MF</v>
      </c>
      <c r="K6392" s="103" t="str">
        <f>HYPERLINK("E:\PropInv\MF\Houston\Winkler Dr_8625_Villas on Winkler Senior Homes_Houston_17338","Winkler Dr_8625_Villas on Winkler Senior Homes_Houston_17338" )</f>
        <v>Winkler Dr_8625_Villas on Winkler Senior Homes_Houston_17338</v>
      </c>
      <c r="L6392" s="104" t="s">
        <v>22253</v>
      </c>
      <c r="M6392" s="103" t="str">
        <f t="shared" si="498"/>
        <v>http://oconnordata.com/mlink/modules/profile/index.cfm?action=profile&amp;prop_id=17338</v>
      </c>
      <c r="N6392" s="1">
        <f t="shared" si="499"/>
        <v>17338</v>
      </c>
    </row>
    <row r="6393" spans="1:14" x14ac:dyDescent="0.3">
      <c r="A6393" s="1">
        <v>17340</v>
      </c>
      <c r="B6393" s="7" t="s">
        <v>9588</v>
      </c>
      <c r="C6393" s="12">
        <v>2222</v>
      </c>
      <c r="D6393" s="7" t="s">
        <v>9589</v>
      </c>
      <c r="E6393" s="13" t="s">
        <v>4996</v>
      </c>
      <c r="F6393" t="str">
        <f t="shared" si="495"/>
        <v>Saint</v>
      </c>
      <c r="G6393" t="str">
        <f t="shared" si="496"/>
        <v>Saint2222Dallas</v>
      </c>
      <c r="H6393" t="s">
        <v>37249</v>
      </c>
      <c r="I6393" t="s">
        <v>28666</v>
      </c>
      <c r="J6393" t="str">
        <f t="shared" si="497"/>
        <v>E:\PropInv\MF</v>
      </c>
      <c r="K6393" s="103" t="str">
        <f>HYPERLINK("E:\PropInv\MF\Dallas\Saint Augustine Dr N_2222_St. Augustine Estates Apts_Dallas_17340","Saint Augustine Dr N_2222_St. Augustine Estates Apts_Dallas_17340" )</f>
        <v>Saint Augustine Dr N_2222_St. Augustine Estates Apts_Dallas_17340</v>
      </c>
      <c r="L6393" s="104" t="s">
        <v>22253</v>
      </c>
      <c r="M6393" s="103" t="str">
        <f t="shared" si="498"/>
        <v>http://oconnordata.com/mlink/modules/profile/index.cfm?action=profile&amp;prop_id=17340</v>
      </c>
      <c r="N6393" s="1">
        <f t="shared" si="499"/>
        <v>17340</v>
      </c>
    </row>
    <row r="6394" spans="1:14" x14ac:dyDescent="0.3">
      <c r="A6394" s="1">
        <v>17341</v>
      </c>
      <c r="B6394" s="10" t="s">
        <v>9590</v>
      </c>
      <c r="C6394" s="9">
        <v>3110</v>
      </c>
      <c r="D6394" s="10" t="s">
        <v>9591</v>
      </c>
      <c r="E6394" s="11" t="s">
        <v>4996</v>
      </c>
      <c r="F6394" t="str">
        <f t="shared" si="495"/>
        <v>Cockrell</v>
      </c>
      <c r="G6394" t="str">
        <f t="shared" si="496"/>
        <v>Cockrell3110Dallas</v>
      </c>
      <c r="H6394" t="s">
        <v>37250</v>
      </c>
      <c r="I6394" t="s">
        <v>28667</v>
      </c>
      <c r="J6394" t="str">
        <f t="shared" si="497"/>
        <v>E:\PropInv\MF</v>
      </c>
      <c r="K6394" s="103" t="str">
        <f>HYPERLINK("E:\PropInv\MF\Dallas\Cockrell Hill Rd_3110_Sphinx at Luxar Villas_Dallas_17341","Cockrell Hill Rd_3110_Sphinx at Luxar Villas_Dallas_17341" )</f>
        <v>Cockrell Hill Rd_3110_Sphinx at Luxar Villas_Dallas_17341</v>
      </c>
      <c r="L6394" s="104" t="s">
        <v>22253</v>
      </c>
      <c r="M6394" s="103" t="str">
        <f t="shared" si="498"/>
        <v>http://oconnordata.com/mlink/modules/profile/index.cfm?action=profile&amp;prop_id=17341</v>
      </c>
      <c r="N6394" s="1">
        <f t="shared" si="499"/>
        <v>17341</v>
      </c>
    </row>
    <row r="6395" spans="1:14" x14ac:dyDescent="0.3">
      <c r="A6395" s="1">
        <v>17342</v>
      </c>
      <c r="B6395" s="7" t="s">
        <v>9592</v>
      </c>
      <c r="C6395" s="12">
        <v>3003</v>
      </c>
      <c r="D6395" s="7" t="s">
        <v>9593</v>
      </c>
      <c r="E6395" s="13" t="s">
        <v>1657</v>
      </c>
      <c r="F6395" t="str">
        <f t="shared" si="495"/>
        <v>Seagler</v>
      </c>
      <c r="G6395" t="str">
        <f t="shared" si="496"/>
        <v>Seagler3003Houston</v>
      </c>
      <c r="H6395" t="s">
        <v>37251</v>
      </c>
      <c r="I6395" t="s">
        <v>28668</v>
      </c>
      <c r="J6395" t="str">
        <f t="shared" si="497"/>
        <v>E:\PropInv\MF</v>
      </c>
      <c r="K6395" s="103" t="str">
        <f>HYPERLINK("E:\PropInv\MF\Houston\Seagler Rd_3003_Portico at West 8, I_Houston_17342","Seagler Rd_3003_Portico at West 8, I_Houston_17342" )</f>
        <v>Seagler Rd_3003_Portico at West 8, I_Houston_17342</v>
      </c>
      <c r="L6395" s="104" t="s">
        <v>22253</v>
      </c>
      <c r="M6395" s="103" t="str">
        <f t="shared" si="498"/>
        <v>http://oconnordata.com/mlink/modules/profile/index.cfm?action=profile&amp;prop_id=17342</v>
      </c>
      <c r="N6395" s="1">
        <f t="shared" si="499"/>
        <v>17342</v>
      </c>
    </row>
    <row r="6396" spans="1:14" x14ac:dyDescent="0.3">
      <c r="A6396" s="1">
        <v>17343</v>
      </c>
      <c r="B6396" s="10" t="s">
        <v>2675</v>
      </c>
      <c r="C6396" s="9">
        <v>2300</v>
      </c>
      <c r="D6396" s="10" t="s">
        <v>9594</v>
      </c>
      <c r="E6396" s="11" t="s">
        <v>1657</v>
      </c>
      <c r="F6396" t="str">
        <f t="shared" si="495"/>
        <v>Richmond</v>
      </c>
      <c r="G6396" t="str">
        <f t="shared" si="496"/>
        <v>Richmond2300Houston</v>
      </c>
      <c r="H6396" t="s">
        <v>37252</v>
      </c>
      <c r="I6396" t="s">
        <v>28669</v>
      </c>
      <c r="J6396" t="str">
        <f t="shared" si="497"/>
        <v>E:\PropInv\MF</v>
      </c>
      <c r="K6396" s="103" t="str">
        <f>HYPERLINK("E:\PropInv\MF\Houston\Richmond_2300_Alexan Upper Kirby_Houston_17343","Richmond_2300_Alexan Upper Kirby_Houston_17343" )</f>
        <v>Richmond_2300_Alexan Upper Kirby_Houston_17343</v>
      </c>
      <c r="L6396" s="104" t="s">
        <v>22253</v>
      </c>
      <c r="M6396" s="103" t="str">
        <f t="shared" si="498"/>
        <v>http://oconnordata.com/mlink/modules/profile/index.cfm?action=profile&amp;prop_id=17343</v>
      </c>
      <c r="N6396" s="1">
        <f t="shared" si="499"/>
        <v>17343</v>
      </c>
    </row>
    <row r="6397" spans="1:14" x14ac:dyDescent="0.3">
      <c r="A6397" s="1">
        <v>17344</v>
      </c>
      <c r="B6397" s="7" t="s">
        <v>2818</v>
      </c>
      <c r="C6397" s="12">
        <v>2001</v>
      </c>
      <c r="D6397" s="7" t="s">
        <v>9595</v>
      </c>
      <c r="E6397" s="13" t="s">
        <v>1657</v>
      </c>
      <c r="F6397" t="str">
        <f t="shared" si="495"/>
        <v>Westheimer</v>
      </c>
      <c r="G6397" t="str">
        <f t="shared" si="496"/>
        <v>Westheimer2001Houston</v>
      </c>
      <c r="H6397" t="s">
        <v>37253</v>
      </c>
      <c r="I6397" t="s">
        <v>28670</v>
      </c>
      <c r="J6397" t="str">
        <f t="shared" si="497"/>
        <v>E:\PropInv\MF</v>
      </c>
      <c r="K6397" s="103" t="str">
        <f>HYPERLINK("E:\PropInv\MF\Houston\Westheimer Rd_2001_The Westheimer_Houston_17344","Westheimer Rd_2001_The Westheimer_Houston_17344" )</f>
        <v>Westheimer Rd_2001_The Westheimer_Houston_17344</v>
      </c>
      <c r="L6397" s="104" t="s">
        <v>22253</v>
      </c>
      <c r="M6397" s="103" t="str">
        <f t="shared" si="498"/>
        <v>http://oconnordata.com/mlink/modules/profile/index.cfm?action=profile&amp;prop_id=17344</v>
      </c>
      <c r="N6397" s="1">
        <f t="shared" si="499"/>
        <v>17344</v>
      </c>
    </row>
    <row r="6398" spans="1:14" x14ac:dyDescent="0.3">
      <c r="A6398" s="1">
        <v>17345</v>
      </c>
      <c r="B6398" s="7" t="s">
        <v>9596</v>
      </c>
      <c r="C6398" s="12">
        <v>3300</v>
      </c>
      <c r="D6398" s="7" t="s">
        <v>9597</v>
      </c>
      <c r="E6398" s="13" t="s">
        <v>1657</v>
      </c>
      <c r="F6398" t="str">
        <f t="shared" si="495"/>
        <v>Elser</v>
      </c>
      <c r="G6398" t="str">
        <f t="shared" si="496"/>
        <v>Elser3300Houston</v>
      </c>
      <c r="H6398" t="s">
        <v>37254</v>
      </c>
      <c r="I6398" t="s">
        <v>28671</v>
      </c>
      <c r="J6398" t="str">
        <f t="shared" si="497"/>
        <v>E:\PropInv\MF</v>
      </c>
      <c r="K6398" s="103" t="str">
        <f>HYPERLINK("E:\PropInv\MF\Houston\Elser St_3300_Fulton Village Apts_Houston_17345","Elser St_3300_Fulton Village Apts_Houston_17345" )</f>
        <v>Elser St_3300_Fulton Village Apts_Houston_17345</v>
      </c>
      <c r="L6398" s="104" t="s">
        <v>22253</v>
      </c>
      <c r="M6398" s="103" t="str">
        <f t="shared" si="498"/>
        <v>http://oconnordata.com/mlink/modules/profile/index.cfm?action=profile&amp;prop_id=17345</v>
      </c>
      <c r="N6398" s="1">
        <f t="shared" si="499"/>
        <v>17345</v>
      </c>
    </row>
    <row r="6399" spans="1:14" x14ac:dyDescent="0.3">
      <c r="A6399" s="1">
        <v>17346</v>
      </c>
      <c r="B6399" s="10" t="s">
        <v>9598</v>
      </c>
      <c r="C6399" s="9">
        <v>2101</v>
      </c>
      <c r="D6399" s="10" t="s">
        <v>9599</v>
      </c>
      <c r="E6399" s="11" t="s">
        <v>16</v>
      </c>
      <c r="F6399" t="str">
        <f t="shared" si="495"/>
        <v>Railroad</v>
      </c>
      <c r="G6399" t="str">
        <f t="shared" si="496"/>
        <v>Railroad2101Georgetown</v>
      </c>
      <c r="H6399" t="s">
        <v>37255</v>
      </c>
      <c r="I6399" t="s">
        <v>28672</v>
      </c>
      <c r="J6399" t="str">
        <f t="shared" si="497"/>
        <v>E:\PropInv\MF</v>
      </c>
      <c r="K6399" s="103" t="str">
        <f>HYPERLINK("E:\PropInv\MF\Georgetown\Railroad St_2101_San Gabriel Senior Village_Georgetown_17346","Railroad St_2101_San Gabriel Senior Village_Georgetown_17346" )</f>
        <v>Railroad St_2101_San Gabriel Senior Village_Georgetown_17346</v>
      </c>
      <c r="L6399" s="104" t="s">
        <v>22253</v>
      </c>
      <c r="M6399" s="103" t="str">
        <f t="shared" si="498"/>
        <v>http://oconnordata.com/mlink/modules/profile/index.cfm?action=profile&amp;prop_id=17346</v>
      </c>
      <c r="N6399" s="1">
        <f t="shared" si="499"/>
        <v>17346</v>
      </c>
    </row>
    <row r="6400" spans="1:14" x14ac:dyDescent="0.3">
      <c r="A6400" s="1">
        <v>17347</v>
      </c>
      <c r="B6400" s="7" t="s">
        <v>2064</v>
      </c>
      <c r="C6400" s="12">
        <v>230</v>
      </c>
      <c r="D6400" s="7" t="s">
        <v>9600</v>
      </c>
      <c r="E6400" s="13" t="s">
        <v>1763</v>
      </c>
      <c r="F6400" t="str">
        <f t="shared" si="495"/>
        <v>Atascocita</v>
      </c>
      <c r="G6400" t="str">
        <f t="shared" si="496"/>
        <v>Atascocita230Humble</v>
      </c>
      <c r="H6400" t="s">
        <v>37256</v>
      </c>
      <c r="I6400" t="s">
        <v>28673</v>
      </c>
      <c r="J6400" t="str">
        <f t="shared" si="497"/>
        <v>E:\PropInv\MF</v>
      </c>
      <c r="K6400" s="103" t="str">
        <f>HYPERLINK("E:\PropInv\MF\Humble\Atascocita Rd_230_Atascocita Pines Apts_Humble_17347","Atascocita Rd_230_Atascocita Pines Apts_Humble_17347" )</f>
        <v>Atascocita Rd_230_Atascocita Pines Apts_Humble_17347</v>
      </c>
      <c r="L6400" s="104" t="s">
        <v>22253</v>
      </c>
      <c r="M6400" s="103" t="str">
        <f t="shared" si="498"/>
        <v>http://oconnordata.com/mlink/modules/profile/index.cfm?action=profile&amp;prop_id=17347</v>
      </c>
      <c r="N6400" s="1">
        <f t="shared" si="499"/>
        <v>17347</v>
      </c>
    </row>
    <row r="6401" spans="1:14" x14ac:dyDescent="0.3">
      <c r="A6401" s="1">
        <v>17348</v>
      </c>
      <c r="B6401" s="10" t="s">
        <v>7328</v>
      </c>
      <c r="C6401" s="9">
        <v>8124</v>
      </c>
      <c r="D6401" s="10" t="s">
        <v>9601</v>
      </c>
      <c r="E6401" s="11" t="s">
        <v>5014</v>
      </c>
      <c r="F6401" t="str">
        <f t="shared" si="495"/>
        <v>Calmont</v>
      </c>
      <c r="G6401" t="str">
        <f t="shared" si="496"/>
        <v>Calmont8124Fort Worth</v>
      </c>
      <c r="H6401" t="s">
        <v>37257</v>
      </c>
      <c r="I6401" t="s">
        <v>28674</v>
      </c>
      <c r="J6401" t="str">
        <f t="shared" si="497"/>
        <v>E:\PropInv\MF</v>
      </c>
      <c r="K6401" s="103" t="str">
        <f>HYPERLINK("E:\PropInv\MF\Fort Worth\Calmont Ave_8124_Cambridge Court_Fort Worth_17348","Calmont Ave_8124_Cambridge Court_Fort Worth_17348" )</f>
        <v>Calmont Ave_8124_Cambridge Court_Fort Worth_17348</v>
      </c>
      <c r="L6401" s="104" t="s">
        <v>22253</v>
      </c>
      <c r="M6401" s="103" t="str">
        <f t="shared" si="498"/>
        <v>http://oconnordata.com/mlink/modules/profile/index.cfm?action=profile&amp;prop_id=17348</v>
      </c>
      <c r="N6401" s="1">
        <f t="shared" si="499"/>
        <v>17348</v>
      </c>
    </row>
    <row r="6402" spans="1:14" x14ac:dyDescent="0.3">
      <c r="A6402" s="1">
        <v>17349</v>
      </c>
      <c r="B6402" s="7" t="s">
        <v>2258</v>
      </c>
      <c r="C6402" s="12">
        <v>9110</v>
      </c>
      <c r="D6402" s="7" t="s">
        <v>9602</v>
      </c>
      <c r="E6402" s="13" t="s">
        <v>1657</v>
      </c>
      <c r="F6402" t="str">
        <f t="shared" ref="F6402:F6465" si="500">IFERROR(LEFT(B6402,FIND(" ",B6402)-1),B6402)</f>
        <v>Tidwell</v>
      </c>
      <c r="G6402" t="str">
        <f t="shared" ref="G6402:G6465" si="501">F6402&amp;C6402&amp;E6402</f>
        <v>Tidwell9110Houston</v>
      </c>
      <c r="H6402" t="s">
        <v>37258</v>
      </c>
      <c r="I6402" t="s">
        <v>28675</v>
      </c>
      <c r="J6402" t="str">
        <f t="shared" ref="J6402:J6465" si="502">IF(L6402="TX",Folder_Path,Folder_Path&amp;"\State_"&amp;L6402)</f>
        <v>E:\PropInv\MF</v>
      </c>
      <c r="K6402" s="103" t="str">
        <f>HYPERLINK("E:\PropInv\MF\Houston\Tidwell_9110_Commons of Grace Senior Estates_Houston_17349","Tidwell_9110_Commons of Grace Senior Estates_Houston_17349" )</f>
        <v>Tidwell_9110_Commons of Grace Senior Estates_Houston_17349</v>
      </c>
      <c r="L6402" s="104" t="s">
        <v>22253</v>
      </c>
      <c r="M6402" s="103" t="str">
        <f t="shared" ref="M6402:M6465" si="503">HYPERLINK("http://oconnordata.com/mlink/modules/profile/index.cfm?action=profile&amp;prop_id="&amp;A6402)</f>
        <v>http://oconnordata.com/mlink/modules/profile/index.cfm?action=profile&amp;prop_id=17349</v>
      </c>
      <c r="N6402" s="1">
        <f t="shared" ref="N6402:N6465" si="504">IF(LEN(A6402)=1,"0000"&amp;A6402,IF(LEN(A6402)=2,"000"&amp;A6402,IF(LEN(A6402)=3,"00"&amp;A6402,IF(LEN(A6402)=4,"0"&amp;A6402,IF(LEN(A6402)=5,IF(LEFT(A6402,1)="3",A6402+30000,A6402))))))</f>
        <v>17349</v>
      </c>
    </row>
    <row r="6403" spans="1:14" x14ac:dyDescent="0.3">
      <c r="A6403" s="1">
        <v>17350</v>
      </c>
      <c r="B6403" s="7" t="s">
        <v>9603</v>
      </c>
      <c r="C6403" s="12">
        <v>901</v>
      </c>
      <c r="D6403" s="7" t="s">
        <v>9604</v>
      </c>
      <c r="E6403" s="13" t="s">
        <v>4249</v>
      </c>
      <c r="F6403" t="str">
        <f t="shared" si="500"/>
        <v>Kobayashi</v>
      </c>
      <c r="G6403" t="str">
        <f t="shared" si="501"/>
        <v>Kobayashi901Webster</v>
      </c>
      <c r="H6403" t="s">
        <v>37259</v>
      </c>
      <c r="I6403" t="s">
        <v>28676</v>
      </c>
      <c r="J6403" t="str">
        <f t="shared" si="502"/>
        <v>E:\PropInv\MF</v>
      </c>
      <c r="K6403" s="103" t="str">
        <f>HYPERLINK("E:\PropInv\MF\Webster\Kobayashi Rd S_901_Baypointe_Webster_17350","Kobayashi Rd S_901_Baypointe_Webster_17350" )</f>
        <v>Kobayashi Rd S_901_Baypointe_Webster_17350</v>
      </c>
      <c r="L6403" s="104" t="s">
        <v>22253</v>
      </c>
      <c r="M6403" s="103" t="str">
        <f t="shared" si="503"/>
        <v>http://oconnordata.com/mlink/modules/profile/index.cfm?action=profile&amp;prop_id=17350</v>
      </c>
      <c r="N6403" s="1">
        <f t="shared" si="504"/>
        <v>17350</v>
      </c>
    </row>
    <row r="6404" spans="1:14" x14ac:dyDescent="0.3">
      <c r="A6404" s="1">
        <v>17351</v>
      </c>
      <c r="B6404" s="7" t="s">
        <v>4631</v>
      </c>
      <c r="C6404" s="12">
        <v>500</v>
      </c>
      <c r="D6404" s="7" t="s">
        <v>9605</v>
      </c>
      <c r="E6404" s="13" t="s">
        <v>4249</v>
      </c>
      <c r="F6404" t="str">
        <f t="shared" si="500"/>
        <v>Texas</v>
      </c>
      <c r="G6404" t="str">
        <f t="shared" si="501"/>
        <v>Texas500Webster</v>
      </c>
      <c r="H6404" t="s">
        <v>37260</v>
      </c>
      <c r="I6404" t="s">
        <v>28677</v>
      </c>
      <c r="J6404" t="str">
        <f t="shared" si="502"/>
        <v>E:\PropInv\MF</v>
      </c>
      <c r="K6404" s="103" t="str">
        <f>HYPERLINK("E:\PropInv\MF\Webster\Texas Ave W_500_Baybrook Park Retirement Center_Webster_17351","Texas Ave W_500_Baybrook Park Retirement Center_Webster_17351" )</f>
        <v>Texas Ave W_500_Baybrook Park Retirement Center_Webster_17351</v>
      </c>
      <c r="L6404" s="104" t="s">
        <v>22253</v>
      </c>
      <c r="M6404" s="103" t="str">
        <f t="shared" si="503"/>
        <v>http://oconnordata.com/mlink/modules/profile/index.cfm?action=profile&amp;prop_id=17351</v>
      </c>
      <c r="N6404" s="1">
        <f t="shared" si="504"/>
        <v>17351</v>
      </c>
    </row>
    <row r="6405" spans="1:14" x14ac:dyDescent="0.3">
      <c r="A6405" s="1">
        <v>17353</v>
      </c>
      <c r="B6405" s="7" t="s">
        <v>9606</v>
      </c>
      <c r="C6405" s="12">
        <v>5151</v>
      </c>
      <c r="D6405" s="7" t="s">
        <v>9607</v>
      </c>
      <c r="E6405" s="13" t="s">
        <v>4996</v>
      </c>
      <c r="F6405" t="str">
        <f t="shared" si="500"/>
        <v>Village</v>
      </c>
      <c r="G6405" t="str">
        <f t="shared" si="501"/>
        <v>Village5151Dallas</v>
      </c>
      <c r="H6405" t="s">
        <v>37261</v>
      </c>
      <c r="I6405" t="s">
        <v>28678</v>
      </c>
      <c r="J6405" t="str">
        <f t="shared" si="502"/>
        <v>E:\PropInv\MF</v>
      </c>
      <c r="K6405" s="103" t="str">
        <f>HYPERLINK("E:\PropInv\MF\Dallas\Village Fair Dr_5151_Providence at Village Fair_Dallas_17353","Village Fair Dr_5151_Providence at Village Fair_Dallas_17353" )</f>
        <v>Village Fair Dr_5151_Providence at Village Fair_Dallas_17353</v>
      </c>
      <c r="L6405" s="104" t="s">
        <v>22253</v>
      </c>
      <c r="M6405" s="103" t="str">
        <f t="shared" si="503"/>
        <v>http://oconnordata.com/mlink/modules/profile/index.cfm?action=profile&amp;prop_id=17353</v>
      </c>
      <c r="N6405" s="1">
        <f t="shared" si="504"/>
        <v>17353</v>
      </c>
    </row>
    <row r="6406" spans="1:14" x14ac:dyDescent="0.3">
      <c r="A6406" s="1">
        <v>17354</v>
      </c>
      <c r="B6406" s="7" t="s">
        <v>5839</v>
      </c>
      <c r="C6406" s="12">
        <v>3030</v>
      </c>
      <c r="D6406" s="7" t="s">
        <v>9608</v>
      </c>
      <c r="E6406" s="13" t="s">
        <v>4996</v>
      </c>
      <c r="F6406" t="str">
        <f t="shared" si="500"/>
        <v>Hampton</v>
      </c>
      <c r="G6406" t="str">
        <f t="shared" si="501"/>
        <v>Hampton3030Dallas</v>
      </c>
      <c r="H6406" t="s">
        <v>37262</v>
      </c>
      <c r="I6406" t="s">
        <v>28679</v>
      </c>
      <c r="J6406" t="str">
        <f t="shared" si="502"/>
        <v>E:\PropInv\MF</v>
      </c>
      <c r="K6406" s="103" t="str">
        <f>HYPERLINK("E:\PropInv\MF\Dallas\Hampton N_3030_Rosemont at Lakewest_Dallas_17354","Hampton N_3030_Rosemont at Lakewest_Dallas_17354" )</f>
        <v>Hampton N_3030_Rosemont at Lakewest_Dallas_17354</v>
      </c>
      <c r="L6406" s="104" t="s">
        <v>22253</v>
      </c>
      <c r="M6406" s="103" t="str">
        <f t="shared" si="503"/>
        <v>http://oconnordata.com/mlink/modules/profile/index.cfm?action=profile&amp;prop_id=17354</v>
      </c>
      <c r="N6406" s="1">
        <f t="shared" si="504"/>
        <v>17354</v>
      </c>
    </row>
    <row r="6407" spans="1:14" x14ac:dyDescent="0.3">
      <c r="A6407" s="1">
        <v>17355</v>
      </c>
      <c r="B6407" s="7" t="s">
        <v>9609</v>
      </c>
      <c r="C6407" s="12">
        <v>2950</v>
      </c>
      <c r="D6407" s="7" t="s">
        <v>9610</v>
      </c>
      <c r="E6407" s="13" t="s">
        <v>5014</v>
      </c>
      <c r="F6407" t="str">
        <f t="shared" si="500"/>
        <v>Alemeda</v>
      </c>
      <c r="G6407" t="str">
        <f t="shared" si="501"/>
        <v>Alemeda2950Fort Worth</v>
      </c>
      <c r="H6407" t="s">
        <v>37263</v>
      </c>
      <c r="I6407" t="s">
        <v>28680</v>
      </c>
      <c r="J6407" t="str">
        <f t="shared" si="502"/>
        <v>E:\PropInv\MF</v>
      </c>
      <c r="K6407" s="103" t="str">
        <f>HYPERLINK("E:\PropInv\MF\Fort Worth\Alemeda St_2950_Alameda Villas_Fort Worth_17355","Alemeda St_2950_Alameda Villas_Fort Worth_17355" )</f>
        <v>Alemeda St_2950_Alameda Villas_Fort Worth_17355</v>
      </c>
      <c r="L6407" s="104" t="s">
        <v>22253</v>
      </c>
      <c r="M6407" s="103" t="str">
        <f t="shared" si="503"/>
        <v>http://oconnordata.com/mlink/modules/profile/index.cfm?action=profile&amp;prop_id=17355</v>
      </c>
      <c r="N6407" s="1">
        <f t="shared" si="504"/>
        <v>17355</v>
      </c>
    </row>
    <row r="6408" spans="1:14" x14ac:dyDescent="0.3">
      <c r="A6408" s="1">
        <v>17356</v>
      </c>
      <c r="B6408" s="7" t="s">
        <v>7581</v>
      </c>
      <c r="C6408" s="12">
        <v>4323</v>
      </c>
      <c r="D6408" s="7" t="s">
        <v>9611</v>
      </c>
      <c r="E6408" s="13" t="s">
        <v>5046</v>
      </c>
      <c r="F6408" t="str">
        <f t="shared" si="500"/>
        <v>Shore</v>
      </c>
      <c r="G6408" t="str">
        <f t="shared" si="501"/>
        <v>Shore4323Irving</v>
      </c>
      <c r="H6408" t="s">
        <v>37264</v>
      </c>
      <c r="I6408" t="s">
        <v>28681</v>
      </c>
      <c r="J6408" t="str">
        <f t="shared" si="502"/>
        <v>E:\PropInv\MF</v>
      </c>
      <c r="K6408" s="103" t="str">
        <f>HYPERLINK("E:\PropInv\MF\Irving\Shore N_4323_Reserve at Las Brisas II_Irving_17356","Shore N_4323_Reserve at Las Brisas II_Irving_17356" )</f>
        <v>Shore N_4323_Reserve at Las Brisas II_Irving_17356</v>
      </c>
      <c r="L6408" s="104" t="s">
        <v>22253</v>
      </c>
      <c r="M6408" s="103" t="str">
        <f t="shared" si="503"/>
        <v>http://oconnordata.com/mlink/modules/profile/index.cfm?action=profile&amp;prop_id=17356</v>
      </c>
      <c r="N6408" s="1">
        <f t="shared" si="504"/>
        <v>17356</v>
      </c>
    </row>
    <row r="6409" spans="1:14" x14ac:dyDescent="0.3">
      <c r="A6409" s="1">
        <v>17357</v>
      </c>
      <c r="B6409" s="7" t="s">
        <v>4283</v>
      </c>
      <c r="C6409" s="12">
        <v>711</v>
      </c>
      <c r="D6409" s="7" t="s">
        <v>9612</v>
      </c>
      <c r="E6409" s="13" t="s">
        <v>1657</v>
      </c>
      <c r="F6409" t="str">
        <f t="shared" si="500"/>
        <v>1959</v>
      </c>
      <c r="G6409" t="str">
        <f t="shared" si="501"/>
        <v>1959711Houston</v>
      </c>
      <c r="H6409" t="s">
        <v>37265</v>
      </c>
      <c r="I6409" t="s">
        <v>28682</v>
      </c>
      <c r="J6409" t="str">
        <f t="shared" si="502"/>
        <v>E:\PropInv\MF</v>
      </c>
      <c r="K6409" s="103" t="str">
        <f>HYPERLINK("E:\PropInv\MF\Houston\1959 FM_711_Kensington Place_Houston_17357","1959 FM_711_Kensington Place_Houston_17357" )</f>
        <v>1959 FM_711_Kensington Place_Houston_17357</v>
      </c>
      <c r="L6409" s="104" t="s">
        <v>22253</v>
      </c>
      <c r="M6409" s="103" t="str">
        <f t="shared" si="503"/>
        <v>http://oconnordata.com/mlink/modules/profile/index.cfm?action=profile&amp;prop_id=17357</v>
      </c>
      <c r="N6409" s="1">
        <f t="shared" si="504"/>
        <v>17357</v>
      </c>
    </row>
    <row r="6410" spans="1:14" x14ac:dyDescent="0.3">
      <c r="A6410" s="1">
        <v>17358</v>
      </c>
      <c r="B6410" s="7" t="s">
        <v>9613</v>
      </c>
      <c r="C6410" s="12">
        <v>1200</v>
      </c>
      <c r="D6410" s="7" t="s">
        <v>6212</v>
      </c>
      <c r="E6410" s="13" t="s">
        <v>6555</v>
      </c>
      <c r="F6410" t="str">
        <f t="shared" si="500"/>
        <v>Sublett</v>
      </c>
      <c r="G6410" t="str">
        <f t="shared" si="501"/>
        <v>Sublett1200Arlington</v>
      </c>
      <c r="H6410" t="s">
        <v>37266</v>
      </c>
      <c r="I6410" t="s">
        <v>28683</v>
      </c>
      <c r="J6410" t="str">
        <f t="shared" si="502"/>
        <v>E:\PropInv\MF</v>
      </c>
      <c r="K6410" s="103" t="str">
        <f>HYPERLINK("E:\PropInv\MF\Arlington\Sublett Rd_1200_Rush Creek_Arlington_17358","Sublett Rd_1200_Rush Creek_Arlington_17358" )</f>
        <v>Sublett Rd_1200_Rush Creek_Arlington_17358</v>
      </c>
      <c r="L6410" s="104" t="s">
        <v>22253</v>
      </c>
      <c r="M6410" s="103" t="str">
        <f t="shared" si="503"/>
        <v>http://oconnordata.com/mlink/modules/profile/index.cfm?action=profile&amp;prop_id=17358</v>
      </c>
      <c r="N6410" s="1">
        <f t="shared" si="504"/>
        <v>17358</v>
      </c>
    </row>
    <row r="6411" spans="1:14" x14ac:dyDescent="0.3">
      <c r="A6411" s="1">
        <v>17359</v>
      </c>
      <c r="B6411" s="10" t="s">
        <v>9614</v>
      </c>
      <c r="C6411" s="9">
        <v>2700</v>
      </c>
      <c r="D6411" s="10" t="s">
        <v>9615</v>
      </c>
      <c r="E6411" s="11" t="s">
        <v>6555</v>
      </c>
      <c r="F6411" t="str">
        <f t="shared" si="500"/>
        <v>Oak</v>
      </c>
      <c r="G6411" t="str">
        <f t="shared" si="501"/>
        <v>Oak2700Arlington</v>
      </c>
      <c r="H6411" t="s">
        <v>37267</v>
      </c>
      <c r="I6411" t="s">
        <v>28684</v>
      </c>
      <c r="J6411" t="str">
        <f t="shared" si="502"/>
        <v>E:\PropInv\MF</v>
      </c>
      <c r="K6411" s="103" t="str">
        <f>HYPERLINK("E:\PropInv\MF\Arlington\Oak Moor Dr_2700_Providence at Prairie Oaks Apts_Arlington_17359","Oak Moor Dr_2700_Providence at Prairie Oaks Apts_Arlington_17359" )</f>
        <v>Oak Moor Dr_2700_Providence at Prairie Oaks Apts_Arlington_17359</v>
      </c>
      <c r="L6411" s="104" t="s">
        <v>22253</v>
      </c>
      <c r="M6411" s="103" t="str">
        <f t="shared" si="503"/>
        <v>http://oconnordata.com/mlink/modules/profile/index.cfm?action=profile&amp;prop_id=17359</v>
      </c>
      <c r="N6411" s="1">
        <f t="shared" si="504"/>
        <v>17359</v>
      </c>
    </row>
    <row r="6412" spans="1:14" x14ac:dyDescent="0.3">
      <c r="A6412" s="1">
        <v>17361</v>
      </c>
      <c r="B6412" s="7" t="s">
        <v>4921</v>
      </c>
      <c r="C6412" s="12">
        <v>3888</v>
      </c>
      <c r="D6412" s="7" t="s">
        <v>9616</v>
      </c>
      <c r="E6412" s="13" t="s">
        <v>5781</v>
      </c>
      <c r="F6412" t="str">
        <f t="shared" si="500"/>
        <v>Post</v>
      </c>
      <c r="G6412" t="str">
        <f t="shared" si="501"/>
        <v>Post3888Euless</v>
      </c>
      <c r="H6412" t="s">
        <v>37268</v>
      </c>
      <c r="I6412" t="s">
        <v>28685</v>
      </c>
      <c r="J6412" t="str">
        <f t="shared" si="502"/>
        <v>E:\PropInv\MF</v>
      </c>
      <c r="K6412" s="103" t="str">
        <f>HYPERLINK("E:\PropInv\MF\Euless\Post Oak Blvd_3888_Post Oak East_Euless_17361","Post Oak Blvd_3888_Post Oak East_Euless_17361" )</f>
        <v>Post Oak Blvd_3888_Post Oak East_Euless_17361</v>
      </c>
      <c r="L6412" s="104" t="s">
        <v>22253</v>
      </c>
      <c r="M6412" s="103" t="str">
        <f t="shared" si="503"/>
        <v>http://oconnordata.com/mlink/modules/profile/index.cfm?action=profile&amp;prop_id=17361</v>
      </c>
      <c r="N6412" s="1">
        <f t="shared" si="504"/>
        <v>17361</v>
      </c>
    </row>
    <row r="6413" spans="1:14" x14ac:dyDescent="0.3">
      <c r="A6413" s="1">
        <v>17362</v>
      </c>
      <c r="B6413" s="7" t="s">
        <v>9617</v>
      </c>
      <c r="C6413" s="12">
        <v>2501</v>
      </c>
      <c r="D6413" s="7" t="s">
        <v>9618</v>
      </c>
      <c r="E6413" s="13" t="s">
        <v>7</v>
      </c>
      <c r="F6413" t="str">
        <f t="shared" si="500"/>
        <v>Anken</v>
      </c>
      <c r="G6413" t="str">
        <f t="shared" si="501"/>
        <v>Anken2501Austin</v>
      </c>
      <c r="H6413" t="s">
        <v>37269</v>
      </c>
      <c r="I6413" t="s">
        <v>28686</v>
      </c>
      <c r="J6413" t="str">
        <f t="shared" si="502"/>
        <v>E:\PropInv\MF</v>
      </c>
      <c r="K6413" s="103" t="str">
        <f>HYPERLINK("E:\PropInv\MF\Austin\Anken Dr_2501_Pleasant Hill Apts_Austin_17362","Anken Dr_2501_Pleasant Hill Apts_Austin_17362" )</f>
        <v>Anken Dr_2501_Pleasant Hill Apts_Austin_17362</v>
      </c>
      <c r="L6413" s="104" t="s">
        <v>22253</v>
      </c>
      <c r="M6413" s="103" t="str">
        <f t="shared" si="503"/>
        <v>http://oconnordata.com/mlink/modules/profile/index.cfm?action=profile&amp;prop_id=17362</v>
      </c>
      <c r="N6413" s="1">
        <f t="shared" si="504"/>
        <v>17362</v>
      </c>
    </row>
    <row r="6414" spans="1:14" x14ac:dyDescent="0.3">
      <c r="A6414" s="1">
        <v>17364</v>
      </c>
      <c r="B6414" s="7" t="s">
        <v>2167</v>
      </c>
      <c r="C6414" s="12">
        <v>5950</v>
      </c>
      <c r="D6414" s="7" t="s">
        <v>9619</v>
      </c>
      <c r="E6414" s="13" t="s">
        <v>1657</v>
      </c>
      <c r="F6414" t="str">
        <f t="shared" si="500"/>
        <v>Antoine</v>
      </c>
      <c r="G6414" t="str">
        <f t="shared" si="501"/>
        <v>Antoine5950Houston</v>
      </c>
      <c r="H6414" t="s">
        <v>37270</v>
      </c>
      <c r="I6414" t="s">
        <v>28687</v>
      </c>
      <c r="J6414" t="str">
        <f t="shared" si="502"/>
        <v>E:\PropInv\MF</v>
      </c>
      <c r="K6414" s="103" t="str">
        <f>HYPERLINK("E:\PropInv\MF\Houston\Antoine Dr_5950_Pepper Tree Manor_Houston_17364","Antoine Dr_5950_Pepper Tree Manor_Houston_17364" )</f>
        <v>Antoine Dr_5950_Pepper Tree Manor_Houston_17364</v>
      </c>
      <c r="L6414" s="104" t="s">
        <v>22253</v>
      </c>
      <c r="M6414" s="103" t="str">
        <f t="shared" si="503"/>
        <v>http://oconnordata.com/mlink/modules/profile/index.cfm?action=profile&amp;prop_id=17364</v>
      </c>
      <c r="N6414" s="1">
        <f t="shared" si="504"/>
        <v>17364</v>
      </c>
    </row>
    <row r="6415" spans="1:14" x14ac:dyDescent="0.3">
      <c r="A6415" s="1">
        <v>17365</v>
      </c>
      <c r="B6415" s="7" t="s">
        <v>8485</v>
      </c>
      <c r="C6415" s="12">
        <v>8301</v>
      </c>
      <c r="D6415" s="7" t="s">
        <v>9620</v>
      </c>
      <c r="E6415" s="13" t="s">
        <v>7120</v>
      </c>
      <c r="F6415" t="str">
        <f t="shared" si="500"/>
        <v>Tumbleweed</v>
      </c>
      <c r="G6415" t="str">
        <f t="shared" si="501"/>
        <v>Tumbleweed8301White Settlement</v>
      </c>
      <c r="H6415" t="s">
        <v>37271</v>
      </c>
      <c r="I6415" t="s">
        <v>28688</v>
      </c>
      <c r="J6415" t="str">
        <f t="shared" si="502"/>
        <v>E:\PropInv\MF</v>
      </c>
      <c r="K6415" s="103" t="str">
        <f>HYPERLINK("E:\PropInv\MF\White Settlement\Tumbleweed Trl_8301_Oak Timbers II_White Settlement_17365","Tumbleweed Trl_8301_Oak Timbers II_White Settlement_17365" )</f>
        <v>Tumbleweed Trl_8301_Oak Timbers II_White Settlement_17365</v>
      </c>
      <c r="L6415" s="104" t="s">
        <v>22253</v>
      </c>
      <c r="M6415" s="103" t="str">
        <f t="shared" si="503"/>
        <v>http://oconnordata.com/mlink/modules/profile/index.cfm?action=profile&amp;prop_id=17365</v>
      </c>
      <c r="N6415" s="1">
        <f t="shared" si="504"/>
        <v>17365</v>
      </c>
    </row>
    <row r="6416" spans="1:14" x14ac:dyDescent="0.3">
      <c r="A6416" s="1">
        <v>17366</v>
      </c>
      <c r="B6416" s="7" t="s">
        <v>9621</v>
      </c>
      <c r="C6416" s="12">
        <v>14603</v>
      </c>
      <c r="D6416" s="7" t="s">
        <v>9622</v>
      </c>
      <c r="E6416" s="13" t="s">
        <v>1657</v>
      </c>
      <c r="F6416" t="str">
        <f t="shared" si="500"/>
        <v>Fonmeadow</v>
      </c>
      <c r="G6416" t="str">
        <f t="shared" si="501"/>
        <v>Fonmeadow14603Houston</v>
      </c>
      <c r="H6416" t="s">
        <v>37272</v>
      </c>
      <c r="I6416" t="s">
        <v>28689</v>
      </c>
      <c r="J6416" t="str">
        <f t="shared" si="502"/>
        <v>E:\PropInv\MF</v>
      </c>
      <c r="K6416" s="103" t="str">
        <f>HYPERLINK("E:\PropInv\MF\Houston\Fonmeadow St_14603_Oak Tree Manor_Houston_17366","Fonmeadow St_14603_Oak Tree Manor_Houston_17366" )</f>
        <v>Fonmeadow St_14603_Oak Tree Manor_Houston_17366</v>
      </c>
      <c r="L6416" s="104" t="s">
        <v>22253</v>
      </c>
      <c r="M6416" s="103" t="str">
        <f t="shared" si="503"/>
        <v>http://oconnordata.com/mlink/modules/profile/index.cfm?action=profile&amp;prop_id=17366</v>
      </c>
      <c r="N6416" s="1">
        <f t="shared" si="504"/>
        <v>17366</v>
      </c>
    </row>
    <row r="6417" spans="1:14" x14ac:dyDescent="0.3">
      <c r="A6417" s="1">
        <v>17367</v>
      </c>
      <c r="B6417" s="7" t="s">
        <v>7518</v>
      </c>
      <c r="C6417" s="12">
        <v>378</v>
      </c>
      <c r="D6417" s="7" t="s">
        <v>3173</v>
      </c>
      <c r="E6417" s="13" t="s">
        <v>4996</v>
      </c>
      <c r="F6417" t="str">
        <f t="shared" si="500"/>
        <v>Jim</v>
      </c>
      <c r="G6417" t="str">
        <f t="shared" si="501"/>
        <v>Jim378Dallas</v>
      </c>
      <c r="H6417" t="s">
        <v>37273</v>
      </c>
      <c r="I6417" t="s">
        <v>28690</v>
      </c>
      <c r="J6417" t="str">
        <f t="shared" si="502"/>
        <v>E:\PropInv\MF</v>
      </c>
      <c r="K6417" s="103" t="str">
        <f>HYPERLINK("E:\PropInv\MF\Dallas\Jim Miller Rd N_378_Pleasant Village_Dallas_17367","Jim Miller Rd N_378_Pleasant Village_Dallas_17367" )</f>
        <v>Jim Miller Rd N_378_Pleasant Village_Dallas_17367</v>
      </c>
      <c r="L6417" s="104" t="s">
        <v>22253</v>
      </c>
      <c r="M6417" s="103" t="str">
        <f t="shared" si="503"/>
        <v>http://oconnordata.com/mlink/modules/profile/index.cfm?action=profile&amp;prop_id=17367</v>
      </c>
      <c r="N6417" s="1">
        <f t="shared" si="504"/>
        <v>17367</v>
      </c>
    </row>
    <row r="6418" spans="1:14" x14ac:dyDescent="0.3">
      <c r="A6418" s="1">
        <v>17370</v>
      </c>
      <c r="B6418" s="7" t="s">
        <v>9623</v>
      </c>
      <c r="C6418" s="12">
        <v>1893</v>
      </c>
      <c r="D6418" s="7" t="s">
        <v>9624</v>
      </c>
      <c r="E6418" s="13" t="s">
        <v>4996</v>
      </c>
      <c r="F6418" t="str">
        <f t="shared" si="500"/>
        <v>Mockingbird</v>
      </c>
      <c r="G6418" t="str">
        <f t="shared" si="501"/>
        <v>Mockingbird1893Dallas</v>
      </c>
      <c r="H6418" t="s">
        <v>37274</v>
      </c>
      <c r="I6418" t="s">
        <v>28691</v>
      </c>
      <c r="J6418" t="str">
        <f t="shared" si="502"/>
        <v>E:\PropInv\MF</v>
      </c>
      <c r="K6418" s="103" t="str">
        <f>HYPERLINK("E:\PropInv\MF\Dallas\Mockingbird Ln W_1893_Providence Mockingbird_Dallas_17370","Mockingbird Ln W_1893_Providence Mockingbird_Dallas_17370" )</f>
        <v>Mockingbird Ln W_1893_Providence Mockingbird_Dallas_17370</v>
      </c>
      <c r="L6418" s="104" t="s">
        <v>22253</v>
      </c>
      <c r="M6418" s="103" t="str">
        <f t="shared" si="503"/>
        <v>http://oconnordata.com/mlink/modules/profile/index.cfm?action=profile&amp;prop_id=17370</v>
      </c>
      <c r="N6418" s="1">
        <f t="shared" si="504"/>
        <v>17370</v>
      </c>
    </row>
    <row r="6419" spans="1:14" x14ac:dyDescent="0.3">
      <c r="A6419" s="1">
        <v>17371</v>
      </c>
      <c r="B6419" s="7" t="s">
        <v>4771</v>
      </c>
      <c r="C6419" s="12">
        <v>1900</v>
      </c>
      <c r="D6419" s="7" t="s">
        <v>9625</v>
      </c>
      <c r="E6419" s="13" t="s">
        <v>4616</v>
      </c>
      <c r="F6419" t="str">
        <f t="shared" si="500"/>
        <v>Westview</v>
      </c>
      <c r="G6419" t="str">
        <f t="shared" si="501"/>
        <v>Westview1900Conroe</v>
      </c>
      <c r="H6419" t="s">
        <v>37275</v>
      </c>
      <c r="I6419" t="s">
        <v>28692</v>
      </c>
      <c r="J6419" t="str">
        <f t="shared" si="502"/>
        <v>E:\PropInv\MF</v>
      </c>
      <c r="K6419" s="103" t="str">
        <f>HYPERLINK("E:\PropInv\MF\Conroe\Westview Blvd_1900_The Lakes at Westview I_Conroe_17371","Westview Blvd_1900_The Lakes at Westview I_Conroe_17371" )</f>
        <v>Westview Blvd_1900_The Lakes at Westview I_Conroe_17371</v>
      </c>
      <c r="L6419" s="104" t="s">
        <v>22253</v>
      </c>
      <c r="M6419" s="103" t="str">
        <f t="shared" si="503"/>
        <v>http://oconnordata.com/mlink/modules/profile/index.cfm?action=profile&amp;prop_id=17371</v>
      </c>
      <c r="N6419" s="1">
        <f t="shared" si="504"/>
        <v>17371</v>
      </c>
    </row>
    <row r="6420" spans="1:14" x14ac:dyDescent="0.3">
      <c r="A6420" s="1">
        <v>17373</v>
      </c>
      <c r="B6420" s="7" t="s">
        <v>1679</v>
      </c>
      <c r="C6420" s="12">
        <v>15727</v>
      </c>
      <c r="D6420" s="7" t="s">
        <v>9626</v>
      </c>
      <c r="E6420" s="13" t="s">
        <v>1657</v>
      </c>
      <c r="F6420" t="str">
        <f t="shared" si="500"/>
        <v>Cutten</v>
      </c>
      <c r="G6420" t="str">
        <f t="shared" si="501"/>
        <v>Cutten15727Houston</v>
      </c>
      <c r="H6420" t="s">
        <v>37276</v>
      </c>
      <c r="I6420" t="s">
        <v>28693</v>
      </c>
      <c r="J6420" t="str">
        <f t="shared" si="502"/>
        <v>E:\PropInv\MF</v>
      </c>
      <c r="K6420" s="103" t="str">
        <f>HYPERLINK("E:\PropInv\MF\Houston\Cutten Rd_15727_Vintage Park_Houston_17373","Cutten Rd_15727_Vintage Park_Houston_17373" )</f>
        <v>Cutten Rd_15727_Vintage Park_Houston_17373</v>
      </c>
      <c r="L6420" s="104" t="s">
        <v>22253</v>
      </c>
      <c r="M6420" s="103" t="str">
        <f t="shared" si="503"/>
        <v>http://oconnordata.com/mlink/modules/profile/index.cfm?action=profile&amp;prop_id=17373</v>
      </c>
      <c r="N6420" s="1">
        <f t="shared" si="504"/>
        <v>17373</v>
      </c>
    </row>
    <row r="6421" spans="1:14" x14ac:dyDescent="0.3">
      <c r="A6421" s="1">
        <v>17374</v>
      </c>
      <c r="B6421" s="7" t="s">
        <v>2638</v>
      </c>
      <c r="C6421" s="12">
        <v>13202</v>
      </c>
      <c r="D6421" s="7" t="s">
        <v>9627</v>
      </c>
      <c r="E6421" s="13" t="s">
        <v>1657</v>
      </c>
      <c r="F6421" t="str">
        <f t="shared" si="500"/>
        <v>Briar</v>
      </c>
      <c r="G6421" t="str">
        <f t="shared" si="501"/>
        <v>Briar13202Houston</v>
      </c>
      <c r="H6421" t="s">
        <v>37277</v>
      </c>
      <c r="I6421" t="s">
        <v>28694</v>
      </c>
      <c r="J6421" t="str">
        <f t="shared" si="502"/>
        <v>E:\PropInv\MF</v>
      </c>
      <c r="K6421" s="103" t="str">
        <f>HYPERLINK("E:\PropInv\MF\Houston\Briar Forest Dr_13202_Briar Forest Lofts_Houston_17374","Briar Forest Dr_13202_Briar Forest Lofts_Houston_17374" )</f>
        <v>Briar Forest Dr_13202_Briar Forest Lofts_Houston_17374</v>
      </c>
      <c r="L6421" s="104" t="s">
        <v>22253</v>
      </c>
      <c r="M6421" s="103" t="str">
        <f t="shared" si="503"/>
        <v>http://oconnordata.com/mlink/modules/profile/index.cfm?action=profile&amp;prop_id=17374</v>
      </c>
      <c r="N6421" s="1">
        <f t="shared" si="504"/>
        <v>17374</v>
      </c>
    </row>
    <row r="6422" spans="1:14" x14ac:dyDescent="0.3">
      <c r="A6422" s="1">
        <v>17375</v>
      </c>
      <c r="B6422" s="7" t="s">
        <v>9628</v>
      </c>
      <c r="C6422" s="12">
        <v>8660</v>
      </c>
      <c r="D6422" s="7" t="s">
        <v>9629</v>
      </c>
      <c r="E6422" s="13" t="s">
        <v>5488</v>
      </c>
      <c r="F6422" t="str">
        <f t="shared" si="500"/>
        <v>Preston</v>
      </c>
      <c r="G6422" t="str">
        <f t="shared" si="501"/>
        <v>Preston8660Frisco</v>
      </c>
      <c r="H6422" t="s">
        <v>37278</v>
      </c>
      <c r="I6422" t="s">
        <v>28695</v>
      </c>
      <c r="J6422" t="str">
        <f t="shared" si="502"/>
        <v>E:\PropInv\MF</v>
      </c>
      <c r="K6422" s="103" t="str">
        <f>HYPERLINK("E:\PropInv\MF\Frisco\Preston Trace Blvd_8660_Preston Trace Apts_Frisco_17375","Preston Trace Blvd_8660_Preston Trace Apts_Frisco_17375" )</f>
        <v>Preston Trace Blvd_8660_Preston Trace Apts_Frisco_17375</v>
      </c>
      <c r="L6422" s="104" t="s">
        <v>22253</v>
      </c>
      <c r="M6422" s="103" t="str">
        <f t="shared" si="503"/>
        <v>http://oconnordata.com/mlink/modules/profile/index.cfm?action=profile&amp;prop_id=17375</v>
      </c>
      <c r="N6422" s="1">
        <f t="shared" si="504"/>
        <v>17375</v>
      </c>
    </row>
    <row r="6423" spans="1:14" x14ac:dyDescent="0.3">
      <c r="A6423" s="1">
        <v>17376</v>
      </c>
      <c r="B6423" s="7" t="s">
        <v>9630</v>
      </c>
      <c r="C6423" s="12">
        <v>2515</v>
      </c>
      <c r="D6423" s="7" t="s">
        <v>9631</v>
      </c>
      <c r="E6423" s="13" t="s">
        <v>4996</v>
      </c>
      <c r="F6423" t="str">
        <f t="shared" si="500"/>
        <v>Perryton</v>
      </c>
      <c r="G6423" t="str">
        <f t="shared" si="501"/>
        <v>Perryton2515Dallas</v>
      </c>
      <c r="H6423" t="s">
        <v>37279</v>
      </c>
      <c r="I6423" t="s">
        <v>28696</v>
      </c>
      <c r="J6423" t="str">
        <f t="shared" si="502"/>
        <v>E:\PropInv\MF</v>
      </c>
      <c r="K6423" s="103" t="str">
        <f>HYPERLINK("E:\PropInv\MF\Dallas\Perryton_2515_Potters House at Primrose_Dallas_17376","Perryton_2515_Potters House at Primrose_Dallas_17376" )</f>
        <v>Perryton_2515_Potters House at Primrose_Dallas_17376</v>
      </c>
      <c r="L6423" s="104" t="s">
        <v>22253</v>
      </c>
      <c r="M6423" s="103" t="str">
        <f t="shared" si="503"/>
        <v>http://oconnordata.com/mlink/modules/profile/index.cfm?action=profile&amp;prop_id=17376</v>
      </c>
      <c r="N6423" s="1">
        <f t="shared" si="504"/>
        <v>17376</v>
      </c>
    </row>
    <row r="6424" spans="1:14" x14ac:dyDescent="0.3">
      <c r="A6424" s="1">
        <v>17377</v>
      </c>
      <c r="B6424" s="7" t="s">
        <v>9632</v>
      </c>
      <c r="C6424" s="12">
        <v>4317</v>
      </c>
      <c r="D6424" s="7" t="s">
        <v>9633</v>
      </c>
      <c r="E6424" s="13" t="s">
        <v>5012</v>
      </c>
      <c r="F6424" t="str">
        <f t="shared" si="500"/>
        <v>Shepherd</v>
      </c>
      <c r="G6424" t="str">
        <f t="shared" si="501"/>
        <v>Shepherd4317Balch Springs</v>
      </c>
      <c r="H6424" t="s">
        <v>37280</v>
      </c>
      <c r="I6424" t="s">
        <v>28697</v>
      </c>
      <c r="J6424" t="str">
        <f t="shared" si="502"/>
        <v>E:\PropInv\MF</v>
      </c>
      <c r="K6424" s="103" t="str">
        <f>HYPERLINK("E:\PropInv\MF\Balch Springs\Shepherd Ln_4317_Spring Oaks Apts_Balch Springs_17377","Shepherd Ln_4317_Spring Oaks Apts_Balch Springs_17377" )</f>
        <v>Shepherd Ln_4317_Spring Oaks Apts_Balch Springs_17377</v>
      </c>
      <c r="L6424" s="104" t="s">
        <v>22253</v>
      </c>
      <c r="M6424" s="103" t="str">
        <f t="shared" si="503"/>
        <v>http://oconnordata.com/mlink/modules/profile/index.cfm?action=profile&amp;prop_id=17377</v>
      </c>
      <c r="N6424" s="1">
        <f t="shared" si="504"/>
        <v>17377</v>
      </c>
    </row>
    <row r="6425" spans="1:14" x14ac:dyDescent="0.3">
      <c r="A6425" s="1">
        <v>17380</v>
      </c>
      <c r="B6425" s="7" t="s">
        <v>9634</v>
      </c>
      <c r="C6425" s="12" t="s">
        <v>9635</v>
      </c>
      <c r="D6425" s="7" t="s">
        <v>9636</v>
      </c>
      <c r="E6425" s="13" t="s">
        <v>4996</v>
      </c>
      <c r="F6425" t="str">
        <f t="shared" si="500"/>
        <v>Simpson</v>
      </c>
      <c r="G6425" t="str">
        <f t="shared" si="501"/>
        <v>Simpson3111-3131Dallas</v>
      </c>
      <c r="H6425" t="s">
        <v>37281</v>
      </c>
      <c r="I6425" t="s">
        <v>28698</v>
      </c>
      <c r="J6425" t="str">
        <f t="shared" si="502"/>
        <v>E:\PropInv\MF</v>
      </c>
      <c r="K6425" s="103" t="str">
        <f>HYPERLINK("E:\PropInv\MF\Dallas\Simpson Stuart Rd_3111-3131_Champion TH at Pecan Grove_Dallas_17380","Simpson Stuart Rd_3111-3131_Champion TH at Pecan Grove_Dallas_17380" )</f>
        <v>Simpson Stuart Rd_3111-3131_Champion TH at Pecan Grove_Dallas_17380</v>
      </c>
      <c r="L6425" s="104" t="s">
        <v>22253</v>
      </c>
      <c r="M6425" s="103" t="str">
        <f t="shared" si="503"/>
        <v>http://oconnordata.com/mlink/modules/profile/index.cfm?action=profile&amp;prop_id=17380</v>
      </c>
      <c r="N6425" s="1">
        <f t="shared" si="504"/>
        <v>17380</v>
      </c>
    </row>
    <row r="6426" spans="1:14" x14ac:dyDescent="0.3">
      <c r="A6426" s="1">
        <v>17381</v>
      </c>
      <c r="B6426" s="7" t="s">
        <v>9637</v>
      </c>
      <c r="C6426" s="12">
        <v>4900</v>
      </c>
      <c r="D6426" s="7" t="s">
        <v>9638</v>
      </c>
      <c r="E6426" s="13" t="s">
        <v>4996</v>
      </c>
      <c r="F6426" t="str">
        <f t="shared" si="500"/>
        <v>Hatcher</v>
      </c>
      <c r="G6426" t="str">
        <f t="shared" si="501"/>
        <v>Hatcher4900Dallas</v>
      </c>
      <c r="H6426" t="s">
        <v>37282</v>
      </c>
      <c r="I6426" t="s">
        <v>28699</v>
      </c>
      <c r="J6426" t="str">
        <f t="shared" si="502"/>
        <v>E:\PropInv\MF</v>
      </c>
      <c r="K6426" s="103" t="str">
        <f>HYPERLINK("E:\PropInv\MF\Dallas\Hatcher St_4900_Frazier Court_Dallas_17381","Hatcher St_4900_Frazier Court_Dallas_17381" )</f>
        <v>Hatcher St_4900_Frazier Court_Dallas_17381</v>
      </c>
      <c r="L6426" s="104" t="s">
        <v>22253</v>
      </c>
      <c r="M6426" s="103" t="str">
        <f t="shared" si="503"/>
        <v>http://oconnordata.com/mlink/modules/profile/index.cfm?action=profile&amp;prop_id=17381</v>
      </c>
      <c r="N6426" s="1">
        <f t="shared" si="504"/>
        <v>17381</v>
      </c>
    </row>
    <row r="6427" spans="1:14" x14ac:dyDescent="0.3">
      <c r="A6427" s="1">
        <v>17382</v>
      </c>
      <c r="B6427" s="10" t="s">
        <v>9639</v>
      </c>
      <c r="C6427" s="9">
        <v>2560</v>
      </c>
      <c r="D6427" s="10" t="s">
        <v>9640</v>
      </c>
      <c r="E6427" s="11" t="s">
        <v>7181</v>
      </c>
      <c r="F6427" t="str">
        <f t="shared" si="500"/>
        <v>Tower</v>
      </c>
      <c r="G6427" t="str">
        <f t="shared" si="501"/>
        <v>Tower2560Corinth</v>
      </c>
      <c r="H6427" t="s">
        <v>37283</v>
      </c>
      <c r="I6427" t="s">
        <v>28700</v>
      </c>
      <c r="J6427" t="str">
        <f t="shared" si="502"/>
        <v>E:\PropInv\MF</v>
      </c>
      <c r="K6427" s="103" t="str">
        <f>HYPERLINK("E:\PropInv\MF\Corinth\Tower Ridge Dr_2560_Tower Ridge Apts_Corinth_17382","Tower Ridge Dr_2560_Tower Ridge Apts_Corinth_17382" )</f>
        <v>Tower Ridge Dr_2560_Tower Ridge Apts_Corinth_17382</v>
      </c>
      <c r="L6427" s="104" t="s">
        <v>22253</v>
      </c>
      <c r="M6427" s="103" t="str">
        <f t="shared" si="503"/>
        <v>http://oconnordata.com/mlink/modules/profile/index.cfm?action=profile&amp;prop_id=17382</v>
      </c>
      <c r="N6427" s="1">
        <f t="shared" si="504"/>
        <v>17382</v>
      </c>
    </row>
    <row r="6428" spans="1:14" x14ac:dyDescent="0.3">
      <c r="A6428" s="1">
        <v>17383</v>
      </c>
      <c r="B6428" s="7" t="s">
        <v>9641</v>
      </c>
      <c r="C6428" s="12">
        <v>1828</v>
      </c>
      <c r="D6428" s="7" t="s">
        <v>7758</v>
      </c>
      <c r="E6428" s="13" t="s">
        <v>8774</v>
      </c>
      <c r="F6428" t="str">
        <f t="shared" si="500"/>
        <v>Sandy</v>
      </c>
      <c r="G6428" t="str">
        <f t="shared" si="501"/>
        <v>Sandy1828Bryan</v>
      </c>
      <c r="H6428" t="s">
        <v>37284</v>
      </c>
      <c r="I6428" t="s">
        <v>28701</v>
      </c>
      <c r="J6428" t="str">
        <f t="shared" si="502"/>
        <v>E:\PropInv\MF</v>
      </c>
      <c r="K6428" s="103" t="str">
        <f>HYPERLINK("E:\PropInv\MF\Bryan\Sandy Point_1828_Forest Park Apts_Bryan_17383","Sandy Point_1828_Forest Park Apts_Bryan_17383" )</f>
        <v>Sandy Point_1828_Forest Park Apts_Bryan_17383</v>
      </c>
      <c r="L6428" s="104" t="s">
        <v>22253</v>
      </c>
      <c r="M6428" s="103" t="str">
        <f t="shared" si="503"/>
        <v>http://oconnordata.com/mlink/modules/profile/index.cfm?action=profile&amp;prop_id=17383</v>
      </c>
      <c r="N6428" s="1">
        <f t="shared" si="504"/>
        <v>17383</v>
      </c>
    </row>
    <row r="6429" spans="1:14" x14ac:dyDescent="0.3">
      <c r="A6429" s="1">
        <v>17384</v>
      </c>
      <c r="B6429" s="7" t="s">
        <v>1724</v>
      </c>
      <c r="C6429" s="12">
        <v>11100</v>
      </c>
      <c r="D6429" s="7" t="s">
        <v>9642</v>
      </c>
      <c r="E6429" s="13" t="s">
        <v>1830</v>
      </c>
      <c r="F6429" t="str">
        <f t="shared" si="500"/>
        <v>1960</v>
      </c>
      <c r="G6429" t="str">
        <f t="shared" si="501"/>
        <v>196011100Huffman</v>
      </c>
      <c r="H6429" t="s">
        <v>37285</v>
      </c>
      <c r="I6429" t="s">
        <v>28702</v>
      </c>
      <c r="J6429" t="str">
        <f t="shared" si="502"/>
        <v>E:\PropInv\MF</v>
      </c>
      <c r="K6429" s="103" t="str">
        <f>HYPERLINK("E:\PropInv\MF\Huffman\1960 FM_11100_Fairlake Cove Apts_Huffman_17384","1960 FM_11100_Fairlake Cove Apts_Huffman_17384" )</f>
        <v>1960 FM_11100_Fairlake Cove Apts_Huffman_17384</v>
      </c>
      <c r="L6429" s="104" t="s">
        <v>22253</v>
      </c>
      <c r="M6429" s="103" t="str">
        <f t="shared" si="503"/>
        <v>http://oconnordata.com/mlink/modules/profile/index.cfm?action=profile&amp;prop_id=17384</v>
      </c>
      <c r="N6429" s="1">
        <f t="shared" si="504"/>
        <v>17384</v>
      </c>
    </row>
    <row r="6430" spans="1:14" x14ac:dyDescent="0.3">
      <c r="A6430" s="1">
        <v>17385</v>
      </c>
      <c r="B6430" s="7" t="s">
        <v>6729</v>
      </c>
      <c r="C6430" s="12">
        <v>501</v>
      </c>
      <c r="D6430" s="7" t="s">
        <v>9643</v>
      </c>
      <c r="E6430" s="13" t="s">
        <v>6672</v>
      </c>
      <c r="F6430" t="str">
        <f t="shared" si="500"/>
        <v>Bourland</v>
      </c>
      <c r="G6430" t="str">
        <f t="shared" si="501"/>
        <v>Bourland501Keller</v>
      </c>
      <c r="H6430" t="s">
        <v>37286</v>
      </c>
      <c r="I6430" t="s">
        <v>28703</v>
      </c>
      <c r="J6430" t="str">
        <f t="shared" si="502"/>
        <v>E:\PropInv\MF</v>
      </c>
      <c r="K6430" s="103" t="str">
        <f>HYPERLINK("E:\PropInv\MF\Keller\Bourland Rd_501_Evergreen at Keller_Keller_17385","Bourland Rd_501_Evergreen at Keller_Keller_17385" )</f>
        <v>Bourland Rd_501_Evergreen at Keller_Keller_17385</v>
      </c>
      <c r="L6430" s="104" t="s">
        <v>22253</v>
      </c>
      <c r="M6430" s="103" t="str">
        <f t="shared" si="503"/>
        <v>http://oconnordata.com/mlink/modules/profile/index.cfm?action=profile&amp;prop_id=17385</v>
      </c>
      <c r="N6430" s="1">
        <f t="shared" si="504"/>
        <v>17385</v>
      </c>
    </row>
    <row r="6431" spans="1:14" x14ac:dyDescent="0.3">
      <c r="A6431" s="1">
        <v>17387</v>
      </c>
      <c r="B6431" s="7" t="s">
        <v>9076</v>
      </c>
      <c r="C6431" s="12">
        <v>513</v>
      </c>
      <c r="D6431" s="7" t="s">
        <v>9644</v>
      </c>
      <c r="E6431" s="13" t="s">
        <v>7317</v>
      </c>
      <c r="F6431" t="str">
        <f t="shared" si="500"/>
        <v>6th</v>
      </c>
      <c r="G6431" t="str">
        <f t="shared" si="501"/>
        <v>6th513Kaufman</v>
      </c>
      <c r="H6431" t="s">
        <v>37287</v>
      </c>
      <c r="I6431" t="s">
        <v>28704</v>
      </c>
      <c r="J6431" t="str">
        <f t="shared" si="502"/>
        <v>E:\PropInv\MF</v>
      </c>
      <c r="K6431" s="103" t="str">
        <f>HYPERLINK("E:\PropInv\MF\Kaufman\6th St E_513_Briarwood Apts_Kaufman_17387","6th St E_513_Briarwood Apts_Kaufman_17387" )</f>
        <v>6th St E_513_Briarwood Apts_Kaufman_17387</v>
      </c>
      <c r="L6431" s="104" t="s">
        <v>22253</v>
      </c>
      <c r="M6431" s="103" t="str">
        <f t="shared" si="503"/>
        <v>http://oconnordata.com/mlink/modules/profile/index.cfm?action=profile&amp;prop_id=17387</v>
      </c>
      <c r="N6431" s="1">
        <f t="shared" si="504"/>
        <v>17387</v>
      </c>
    </row>
    <row r="6432" spans="1:14" x14ac:dyDescent="0.3">
      <c r="A6432" s="1">
        <v>17388</v>
      </c>
      <c r="B6432" s="7" t="s">
        <v>47</v>
      </c>
      <c r="C6432" s="12">
        <v>8600</v>
      </c>
      <c r="D6432" s="7" t="s">
        <v>9645</v>
      </c>
      <c r="E6432" s="13" t="s">
        <v>7</v>
      </c>
      <c r="F6432" t="str">
        <f t="shared" si="500"/>
        <v>Research</v>
      </c>
      <c r="G6432" t="str">
        <f t="shared" si="501"/>
        <v>Research8600Austin</v>
      </c>
      <c r="H6432" t="s">
        <v>37288</v>
      </c>
      <c r="I6432" t="s">
        <v>28705</v>
      </c>
      <c r="J6432" t="str">
        <f t="shared" si="502"/>
        <v>E:\PropInv\MF</v>
      </c>
      <c r="K6432" s="103" t="str">
        <f>HYPERLINK("E:\PropInv\MF\Austin\Research Blvd_8600_Autumn Chase Austin_Austin_17388","Research Blvd_8600_Autumn Chase Austin_Austin_17388" )</f>
        <v>Research Blvd_8600_Autumn Chase Austin_Austin_17388</v>
      </c>
      <c r="L6432" s="104" t="s">
        <v>22253</v>
      </c>
      <c r="M6432" s="103" t="str">
        <f t="shared" si="503"/>
        <v>http://oconnordata.com/mlink/modules/profile/index.cfm?action=profile&amp;prop_id=17388</v>
      </c>
      <c r="N6432" s="1">
        <f t="shared" si="504"/>
        <v>17388</v>
      </c>
    </row>
    <row r="6433" spans="1:14" x14ac:dyDescent="0.3">
      <c r="A6433" s="1">
        <v>17389</v>
      </c>
      <c r="B6433" s="7" t="s">
        <v>9646</v>
      </c>
      <c r="C6433" s="12">
        <v>1161</v>
      </c>
      <c r="D6433" s="7" t="s">
        <v>9647</v>
      </c>
      <c r="E6433" s="13" t="s">
        <v>7</v>
      </c>
      <c r="F6433" t="str">
        <f t="shared" si="500"/>
        <v>Harvey</v>
      </c>
      <c r="G6433" t="str">
        <f t="shared" si="501"/>
        <v>Harvey1161Austin</v>
      </c>
      <c r="H6433" t="s">
        <v>37289</v>
      </c>
      <c r="I6433" t="s">
        <v>28706</v>
      </c>
      <c r="J6433" t="str">
        <f t="shared" si="502"/>
        <v>E:\PropInv\MF</v>
      </c>
      <c r="K6433" s="103" t="str">
        <f>HYPERLINK("E:\PropInv\MF\Austin\Harvey Ln_1161_Elm Ridge Apts_Austin_17389","Harvey Ln_1161_Elm Ridge Apts_Austin_17389" )</f>
        <v>Harvey Ln_1161_Elm Ridge Apts_Austin_17389</v>
      </c>
      <c r="L6433" s="104" t="s">
        <v>22253</v>
      </c>
      <c r="M6433" s="103" t="str">
        <f t="shared" si="503"/>
        <v>http://oconnordata.com/mlink/modules/profile/index.cfm?action=profile&amp;prop_id=17389</v>
      </c>
      <c r="N6433" s="1">
        <f t="shared" si="504"/>
        <v>17389</v>
      </c>
    </row>
    <row r="6434" spans="1:14" x14ac:dyDescent="0.3">
      <c r="A6434" s="1">
        <v>17390</v>
      </c>
      <c r="B6434" s="7" t="s">
        <v>710</v>
      </c>
      <c r="C6434" s="12">
        <v>8000</v>
      </c>
      <c r="D6434" s="7" t="s">
        <v>9648</v>
      </c>
      <c r="E6434" s="13" t="s">
        <v>7</v>
      </c>
      <c r="F6434" t="str">
        <f t="shared" si="500"/>
        <v>Decker</v>
      </c>
      <c r="G6434" t="str">
        <f t="shared" si="501"/>
        <v>Decker8000Austin</v>
      </c>
      <c r="H6434" t="s">
        <v>37290</v>
      </c>
      <c r="I6434" t="s">
        <v>28707</v>
      </c>
      <c r="J6434" t="str">
        <f t="shared" si="502"/>
        <v>E:\PropInv\MF</v>
      </c>
      <c r="K6434" s="103" t="str">
        <f>HYPERLINK("E:\PropInv\MF\Austin\Decker Ln_8000_Eagles Landing Apts_Austin_17390","Decker Ln_8000_Eagles Landing Apts_Austin_17390" )</f>
        <v>Decker Ln_8000_Eagles Landing Apts_Austin_17390</v>
      </c>
      <c r="L6434" s="104" t="s">
        <v>22253</v>
      </c>
      <c r="M6434" s="103" t="str">
        <f t="shared" si="503"/>
        <v>http://oconnordata.com/mlink/modules/profile/index.cfm?action=profile&amp;prop_id=17390</v>
      </c>
      <c r="N6434" s="1">
        <f t="shared" si="504"/>
        <v>17390</v>
      </c>
    </row>
    <row r="6435" spans="1:14" x14ac:dyDescent="0.3">
      <c r="A6435" s="1">
        <v>17391</v>
      </c>
      <c r="B6435" s="7" t="s">
        <v>9649</v>
      </c>
      <c r="C6435" s="12">
        <v>200</v>
      </c>
      <c r="D6435" s="7" t="s">
        <v>6024</v>
      </c>
      <c r="E6435" s="13" t="s">
        <v>6559</v>
      </c>
      <c r="F6435" t="str">
        <f t="shared" si="500"/>
        <v>Parks</v>
      </c>
      <c r="G6435" t="str">
        <f t="shared" si="501"/>
        <v>Parks200Waxahachie</v>
      </c>
      <c r="H6435" t="s">
        <v>37291</v>
      </c>
      <c r="I6435" t="s">
        <v>28708</v>
      </c>
      <c r="J6435" t="str">
        <f t="shared" si="502"/>
        <v>E:\PropInv\MF</v>
      </c>
      <c r="K6435" s="103" t="str">
        <f>HYPERLINK("E:\PropInv\MF\Waxahachie\Parks School House Rd_200_Park Manor_Waxahachie_17391","Parks School House Rd_200_Park Manor_Waxahachie_17391" )</f>
        <v>Parks School House Rd_200_Park Manor_Waxahachie_17391</v>
      </c>
      <c r="L6435" s="104" t="s">
        <v>22253</v>
      </c>
      <c r="M6435" s="103" t="str">
        <f t="shared" si="503"/>
        <v>http://oconnordata.com/mlink/modules/profile/index.cfm?action=profile&amp;prop_id=17391</v>
      </c>
      <c r="N6435" s="1">
        <f t="shared" si="504"/>
        <v>17391</v>
      </c>
    </row>
    <row r="6436" spans="1:14" x14ac:dyDescent="0.3">
      <c r="A6436" s="1">
        <v>17392</v>
      </c>
      <c r="B6436" s="7" t="s">
        <v>9650</v>
      </c>
      <c r="C6436" s="12">
        <v>1201</v>
      </c>
      <c r="D6436" s="7" t="s">
        <v>9651</v>
      </c>
      <c r="E6436" s="13" t="s">
        <v>4996</v>
      </c>
      <c r="F6436" t="str">
        <f t="shared" si="500"/>
        <v>Ewing</v>
      </c>
      <c r="G6436" t="str">
        <f t="shared" si="501"/>
        <v>Ewing1201Dallas</v>
      </c>
      <c r="H6436" t="s">
        <v>37292</v>
      </c>
      <c r="I6436" t="s">
        <v>28709</v>
      </c>
      <c r="J6436" t="str">
        <f t="shared" si="502"/>
        <v>E:\PropInv\MF</v>
      </c>
      <c r="K6436" s="103" t="str">
        <f>HYPERLINK("E:\PropInv\MF\Dallas\Ewing Ave_1201_Sphinx at Reese Court_Dallas_17392","Ewing Ave_1201_Sphinx at Reese Court_Dallas_17392" )</f>
        <v>Ewing Ave_1201_Sphinx at Reese Court_Dallas_17392</v>
      </c>
      <c r="L6436" s="104" t="s">
        <v>22253</v>
      </c>
      <c r="M6436" s="103" t="str">
        <f t="shared" si="503"/>
        <v>http://oconnordata.com/mlink/modules/profile/index.cfm?action=profile&amp;prop_id=17392</v>
      </c>
      <c r="N6436" s="1">
        <f t="shared" si="504"/>
        <v>17392</v>
      </c>
    </row>
    <row r="6437" spans="1:14" x14ac:dyDescent="0.3">
      <c r="A6437" s="1">
        <v>17393</v>
      </c>
      <c r="B6437" s="7" t="s">
        <v>8736</v>
      </c>
      <c r="C6437" s="12">
        <v>3020</v>
      </c>
      <c r="D6437" s="7" t="s">
        <v>9652</v>
      </c>
      <c r="E6437" s="13" t="s">
        <v>4996</v>
      </c>
      <c r="F6437" t="str">
        <f t="shared" si="500"/>
        <v>Bickers</v>
      </c>
      <c r="G6437" t="str">
        <f t="shared" si="501"/>
        <v>Bickers3020Dallas</v>
      </c>
      <c r="H6437" t="s">
        <v>37293</v>
      </c>
      <c r="I6437" t="s">
        <v>28710</v>
      </c>
      <c r="J6437" t="str">
        <f t="shared" si="502"/>
        <v>E:\PropInv\MF</v>
      </c>
      <c r="K6437" s="103" t="str">
        <f>HYPERLINK("E:\PropInv\MF\Dallas\Bickers St_3020_Lakeview TH_Dallas_17393","Bickers St_3020_Lakeview TH_Dallas_17393" )</f>
        <v>Bickers St_3020_Lakeview TH_Dallas_17393</v>
      </c>
      <c r="L6437" s="104" t="s">
        <v>22253</v>
      </c>
      <c r="M6437" s="103" t="str">
        <f t="shared" si="503"/>
        <v>http://oconnordata.com/mlink/modules/profile/index.cfm?action=profile&amp;prop_id=17393</v>
      </c>
      <c r="N6437" s="1">
        <f t="shared" si="504"/>
        <v>17393</v>
      </c>
    </row>
    <row r="6438" spans="1:14" x14ac:dyDescent="0.3">
      <c r="A6438" s="1">
        <v>17394</v>
      </c>
      <c r="B6438" s="7" t="s">
        <v>9653</v>
      </c>
      <c r="C6438" s="12">
        <v>1950</v>
      </c>
      <c r="D6438" s="7" t="s">
        <v>9654</v>
      </c>
      <c r="E6438" s="13" t="s">
        <v>7</v>
      </c>
      <c r="F6438" t="str">
        <f t="shared" si="500"/>
        <v>Webberville</v>
      </c>
      <c r="G6438" t="str">
        <f t="shared" si="501"/>
        <v>Webberville1950Austin</v>
      </c>
      <c r="H6438" t="s">
        <v>37294</v>
      </c>
      <c r="I6438" t="s">
        <v>28711</v>
      </c>
      <c r="J6438" t="str">
        <f t="shared" si="502"/>
        <v>E:\PropInv\MF</v>
      </c>
      <c r="K6438" s="103" t="str">
        <f>HYPERLINK("E:\PropInv\MF\Austin\Webberville Rd_1950_Heritage Pointe_Austin_17394","Webberville Rd_1950_Heritage Pointe_Austin_17394" )</f>
        <v>Webberville Rd_1950_Heritage Pointe_Austin_17394</v>
      </c>
      <c r="L6438" s="104" t="s">
        <v>22253</v>
      </c>
      <c r="M6438" s="103" t="str">
        <f t="shared" si="503"/>
        <v>http://oconnordata.com/mlink/modules/profile/index.cfm?action=profile&amp;prop_id=17394</v>
      </c>
      <c r="N6438" s="1">
        <f t="shared" si="504"/>
        <v>17394</v>
      </c>
    </row>
    <row r="6439" spans="1:14" x14ac:dyDescent="0.3">
      <c r="A6439" s="1">
        <v>17395</v>
      </c>
      <c r="B6439" s="21" t="s">
        <v>2968</v>
      </c>
      <c r="C6439" s="12">
        <v>4100</v>
      </c>
      <c r="D6439" s="7" t="s">
        <v>9655</v>
      </c>
      <c r="E6439" s="13" t="s">
        <v>1657</v>
      </c>
      <c r="F6439" t="str">
        <f t="shared" si="500"/>
        <v>SW</v>
      </c>
      <c r="G6439" t="str">
        <f t="shared" si="501"/>
        <v>SW4100Houston</v>
      </c>
      <c r="H6439" t="s">
        <v>37295</v>
      </c>
      <c r="I6439" t="s">
        <v>28712</v>
      </c>
      <c r="J6439" t="str">
        <f t="shared" si="502"/>
        <v>E:\PropInv\MF</v>
      </c>
      <c r="K6439" s="103" t="str">
        <f>HYPERLINK("E:\PropInv\MF\Houston\SW Fwy_4100_Metro Greenway_Houston_17395","SW Fwy_4100_Metro Greenway_Houston_17395" )</f>
        <v>SW Fwy_4100_Metro Greenway_Houston_17395</v>
      </c>
      <c r="L6439" s="104" t="s">
        <v>22253</v>
      </c>
      <c r="M6439" s="103" t="str">
        <f t="shared" si="503"/>
        <v>http://oconnordata.com/mlink/modules/profile/index.cfm?action=profile&amp;prop_id=17395</v>
      </c>
      <c r="N6439" s="1">
        <f t="shared" si="504"/>
        <v>17395</v>
      </c>
    </row>
    <row r="6440" spans="1:14" x14ac:dyDescent="0.3">
      <c r="A6440" s="1">
        <v>17396</v>
      </c>
      <c r="B6440" s="7" t="s">
        <v>9656</v>
      </c>
      <c r="C6440" s="12">
        <v>6203</v>
      </c>
      <c r="D6440" s="7" t="s">
        <v>9657</v>
      </c>
      <c r="E6440" s="13" t="s">
        <v>1508</v>
      </c>
      <c r="F6440" t="str">
        <f t="shared" si="500"/>
        <v>Alden</v>
      </c>
      <c r="G6440" t="str">
        <f t="shared" si="501"/>
        <v>Alden6203The Woodlands</v>
      </c>
      <c r="H6440" t="s">
        <v>37296</v>
      </c>
      <c r="I6440" t="s">
        <v>28713</v>
      </c>
      <c r="J6440" t="str">
        <f t="shared" si="502"/>
        <v>E:\PropInv\MF</v>
      </c>
      <c r="K6440" s="103" t="str">
        <f>HYPERLINK("E:\PropInv\MF\The Woodlands\Alden Bridge_6203_Conservatory at Alden Bridge_The Woodlands_17396","Alden Bridge_6203_Conservatory at Alden Bridge_The Woodlands_17396" )</f>
        <v>Alden Bridge_6203_Conservatory at Alden Bridge_The Woodlands_17396</v>
      </c>
      <c r="L6440" s="104" t="s">
        <v>22253</v>
      </c>
      <c r="M6440" s="103" t="str">
        <f t="shared" si="503"/>
        <v>http://oconnordata.com/mlink/modules/profile/index.cfm?action=profile&amp;prop_id=17396</v>
      </c>
      <c r="N6440" s="1">
        <f t="shared" si="504"/>
        <v>17396</v>
      </c>
    </row>
    <row r="6441" spans="1:14" x14ac:dyDescent="0.3">
      <c r="A6441" s="97">
        <v>17397</v>
      </c>
      <c r="B6441" s="7" t="s">
        <v>9658</v>
      </c>
      <c r="C6441" s="12">
        <v>5902</v>
      </c>
      <c r="D6441" s="7" t="s">
        <v>1094</v>
      </c>
      <c r="E6441" s="13" t="s">
        <v>4996</v>
      </c>
      <c r="F6441" t="str">
        <f t="shared" si="500"/>
        <v>University</v>
      </c>
      <c r="G6441" t="str">
        <f t="shared" si="501"/>
        <v>University5902Dallas</v>
      </c>
      <c r="H6441" t="s">
        <v>37297</v>
      </c>
      <c r="I6441" t="s">
        <v>28714</v>
      </c>
      <c r="J6441" t="str">
        <f t="shared" si="502"/>
        <v>E:\PropInv\MF</v>
      </c>
      <c r="K6441" s="103" t="str">
        <f>HYPERLINK("E:\PropInv\MF\Dallas\University Ln E_5902_Windsor House_Dallas_17397","University Ln E_5902_Windsor House_Dallas_17397" )</f>
        <v>University Ln E_5902_Windsor House_Dallas_17397</v>
      </c>
      <c r="L6441" s="104" t="s">
        <v>22253</v>
      </c>
      <c r="M6441" s="103" t="str">
        <f t="shared" si="503"/>
        <v>http://oconnordata.com/mlink/modules/profile/index.cfm?action=profile&amp;prop_id=17397</v>
      </c>
      <c r="N6441" s="1">
        <f t="shared" si="504"/>
        <v>17397</v>
      </c>
    </row>
    <row r="6442" spans="1:14" x14ac:dyDescent="0.3">
      <c r="A6442" s="1">
        <v>17398</v>
      </c>
      <c r="B6442" s="7" t="s">
        <v>5505</v>
      </c>
      <c r="C6442" s="12">
        <v>9300</v>
      </c>
      <c r="D6442" s="7" t="s">
        <v>9659</v>
      </c>
      <c r="E6442" s="13" t="s">
        <v>5009</v>
      </c>
      <c r="F6442" t="str">
        <f t="shared" si="500"/>
        <v>Coit</v>
      </c>
      <c r="G6442" t="str">
        <f t="shared" si="501"/>
        <v>Coit9300Plano</v>
      </c>
      <c r="H6442" t="s">
        <v>37298</v>
      </c>
      <c r="I6442" t="s">
        <v>28715</v>
      </c>
      <c r="J6442" t="str">
        <f t="shared" si="502"/>
        <v>E:\PropInv\MF</v>
      </c>
      <c r="K6442" s="103" t="str">
        <f>HYPERLINK("E:\PropInv\MF\Plano\Coit Rd_9300_Kia Ora Park Apts_Plano_17398","Coit Rd_9300_Kia Ora Park Apts_Plano_17398" )</f>
        <v>Coit Rd_9300_Kia Ora Park Apts_Plano_17398</v>
      </c>
      <c r="L6442" s="104" t="s">
        <v>22253</v>
      </c>
      <c r="M6442" s="103" t="str">
        <f t="shared" si="503"/>
        <v>http://oconnordata.com/mlink/modules/profile/index.cfm?action=profile&amp;prop_id=17398</v>
      </c>
      <c r="N6442" s="1">
        <f t="shared" si="504"/>
        <v>17398</v>
      </c>
    </row>
    <row r="6443" spans="1:14" x14ac:dyDescent="0.3">
      <c r="A6443" s="97">
        <v>17400</v>
      </c>
      <c r="B6443" s="7" t="s">
        <v>7443</v>
      </c>
      <c r="C6443" s="12">
        <v>2970</v>
      </c>
      <c r="D6443" s="7" t="s">
        <v>9660</v>
      </c>
      <c r="E6443" s="13" t="s">
        <v>4996</v>
      </c>
      <c r="F6443" t="str">
        <f t="shared" si="500"/>
        <v>Spruce</v>
      </c>
      <c r="G6443" t="str">
        <f t="shared" si="501"/>
        <v>Spruce2970Dallas</v>
      </c>
      <c r="H6443" t="s">
        <v>37299</v>
      </c>
      <c r="I6443" t="s">
        <v>28716</v>
      </c>
      <c r="J6443" t="str">
        <f t="shared" si="502"/>
        <v>E:\PropInv\MF</v>
      </c>
      <c r="K6443" s="103" t="str">
        <f>HYPERLINK("E:\PropInv\MF\Dallas\Spruce Valley Ln_2970_Windsor Forest_Dallas_17400","Spruce Valley Ln_2970_Windsor Forest_Dallas_17400" )</f>
        <v>Spruce Valley Ln_2970_Windsor Forest_Dallas_17400</v>
      </c>
      <c r="L6443" s="104" t="s">
        <v>22253</v>
      </c>
      <c r="M6443" s="103" t="str">
        <f t="shared" si="503"/>
        <v>http://oconnordata.com/mlink/modules/profile/index.cfm?action=profile&amp;prop_id=17400</v>
      </c>
      <c r="N6443" s="1">
        <f t="shared" si="504"/>
        <v>17400</v>
      </c>
    </row>
    <row r="6444" spans="1:14" x14ac:dyDescent="0.3">
      <c r="A6444" s="1">
        <v>17402</v>
      </c>
      <c r="B6444" s="7" t="s">
        <v>5486</v>
      </c>
      <c r="C6444" s="12">
        <v>7450</v>
      </c>
      <c r="D6444" s="7" t="s">
        <v>9661</v>
      </c>
      <c r="E6444" s="13" t="s">
        <v>5488</v>
      </c>
      <c r="F6444" t="str">
        <f t="shared" si="500"/>
        <v>Stonebrook</v>
      </c>
      <c r="G6444" t="str">
        <f t="shared" si="501"/>
        <v>Stonebrook7450Frisco</v>
      </c>
      <c r="H6444" t="s">
        <v>37300</v>
      </c>
      <c r="I6444" t="s">
        <v>28717</v>
      </c>
      <c r="J6444" t="str">
        <f t="shared" si="502"/>
        <v>E:\PropInv\MF</v>
      </c>
      <c r="K6444" s="103" t="str">
        <f>HYPERLINK("E:\PropInv\MF\Frisco\Stonebrook Pkwy_7450_Parkview in Frisco_Frisco_17402","Stonebrook Pkwy_7450_Parkview in Frisco_Frisco_17402" )</f>
        <v>Stonebrook Pkwy_7450_Parkview in Frisco_Frisco_17402</v>
      </c>
      <c r="L6444" s="104" t="s">
        <v>22253</v>
      </c>
      <c r="M6444" s="103" t="str">
        <f t="shared" si="503"/>
        <v>http://oconnordata.com/mlink/modules/profile/index.cfm?action=profile&amp;prop_id=17402</v>
      </c>
      <c r="N6444" s="1">
        <f t="shared" si="504"/>
        <v>17402</v>
      </c>
    </row>
    <row r="6445" spans="1:14" x14ac:dyDescent="0.3">
      <c r="A6445" s="1">
        <v>17403</v>
      </c>
      <c r="B6445" s="19" t="s">
        <v>6770</v>
      </c>
      <c r="C6445" s="18">
        <v>8363</v>
      </c>
      <c r="D6445" s="19" t="s">
        <v>9662</v>
      </c>
      <c r="E6445" s="20" t="s">
        <v>1657</v>
      </c>
      <c r="F6445" t="str">
        <f t="shared" si="500"/>
        <v>Park</v>
      </c>
      <c r="G6445" t="str">
        <f t="shared" si="501"/>
        <v>Park8363Houston</v>
      </c>
      <c r="H6445" t="s">
        <v>37301</v>
      </c>
      <c r="I6445" t="s">
        <v>28718</v>
      </c>
      <c r="J6445" t="str">
        <f t="shared" si="502"/>
        <v>E:\PropInv\MF</v>
      </c>
      <c r="K6445" s="103" t="str">
        <f>HYPERLINK("E:\PropInv\MF\Houston\Park Place Blvd_8363_Casa Bella Apts_Houston_17403","Park Place Blvd_8363_Casa Bella Apts_Houston_17403" )</f>
        <v>Park Place Blvd_8363_Casa Bella Apts_Houston_17403</v>
      </c>
      <c r="L6445" s="104" t="s">
        <v>22253</v>
      </c>
      <c r="M6445" s="103" t="str">
        <f t="shared" si="503"/>
        <v>http://oconnordata.com/mlink/modules/profile/index.cfm?action=profile&amp;prop_id=17403</v>
      </c>
      <c r="N6445" s="1">
        <f t="shared" si="504"/>
        <v>17403</v>
      </c>
    </row>
    <row r="6446" spans="1:14" x14ac:dyDescent="0.3">
      <c r="A6446" s="1">
        <v>17404</v>
      </c>
      <c r="B6446" s="7" t="s">
        <v>6582</v>
      </c>
      <c r="C6446" s="12">
        <v>10501</v>
      </c>
      <c r="D6446" s="7" t="s">
        <v>9663</v>
      </c>
      <c r="E6446" s="13" t="s">
        <v>6672</v>
      </c>
      <c r="F6446" t="str">
        <f t="shared" si="500"/>
        <v>Beach</v>
      </c>
      <c r="G6446" t="str">
        <f t="shared" si="501"/>
        <v>Beach10501Keller</v>
      </c>
      <c r="H6446" t="s">
        <v>37302</v>
      </c>
      <c r="I6446" t="s">
        <v>28719</v>
      </c>
      <c r="J6446" t="str">
        <f t="shared" si="502"/>
        <v>E:\PropInv\MF</v>
      </c>
      <c r="K6446" s="103" t="str">
        <f>HYPERLINK("E:\PropInv\MF\Keller\Beach St N_10501_City Parc at Keller_Keller_17404","Beach St N_10501_City Parc at Keller_Keller_17404" )</f>
        <v>Beach St N_10501_City Parc at Keller_Keller_17404</v>
      </c>
      <c r="L6446" s="104" t="s">
        <v>22253</v>
      </c>
      <c r="M6446" s="103" t="str">
        <f t="shared" si="503"/>
        <v>http://oconnordata.com/mlink/modules/profile/index.cfm?action=profile&amp;prop_id=17404</v>
      </c>
      <c r="N6446" s="1">
        <f t="shared" si="504"/>
        <v>17404</v>
      </c>
    </row>
    <row r="6447" spans="1:14" x14ac:dyDescent="0.3">
      <c r="A6447" s="1">
        <v>17405</v>
      </c>
      <c r="B6447" s="7" t="s">
        <v>4921</v>
      </c>
      <c r="C6447" s="12">
        <v>1111</v>
      </c>
      <c r="D6447" s="7" t="s">
        <v>9664</v>
      </c>
      <c r="E6447" s="13" t="s">
        <v>1657</v>
      </c>
      <c r="F6447" t="str">
        <f t="shared" si="500"/>
        <v>Post</v>
      </c>
      <c r="G6447" t="str">
        <f t="shared" si="501"/>
        <v>Post1111Houston</v>
      </c>
      <c r="H6447" t="s">
        <v>37303</v>
      </c>
      <c r="I6447" t="s">
        <v>28720</v>
      </c>
      <c r="J6447" t="str">
        <f t="shared" si="502"/>
        <v>E:\PropInv\MF</v>
      </c>
      <c r="K6447" s="103" t="str">
        <f>HYPERLINK("E:\PropInv\MF\Houston\Post Oak Blvd_1111_Uptown Post Oak_Houston_17405","Post Oak Blvd_1111_Uptown Post Oak_Houston_17405" )</f>
        <v>Post Oak Blvd_1111_Uptown Post Oak_Houston_17405</v>
      </c>
      <c r="L6447" s="104" t="s">
        <v>22253</v>
      </c>
      <c r="M6447" s="103" t="str">
        <f t="shared" si="503"/>
        <v>http://oconnordata.com/mlink/modules/profile/index.cfm?action=profile&amp;prop_id=17405</v>
      </c>
      <c r="N6447" s="1">
        <f t="shared" si="504"/>
        <v>17405</v>
      </c>
    </row>
    <row r="6448" spans="1:14" x14ac:dyDescent="0.3">
      <c r="A6448" s="1">
        <v>17406</v>
      </c>
      <c r="B6448" s="7" t="s">
        <v>2362</v>
      </c>
      <c r="C6448" s="12">
        <v>25222</v>
      </c>
      <c r="D6448" s="7" t="s">
        <v>9665</v>
      </c>
      <c r="E6448" s="13" t="s">
        <v>1818</v>
      </c>
      <c r="F6448" t="str">
        <f t="shared" si="500"/>
        <v>NW</v>
      </c>
      <c r="G6448" t="str">
        <f t="shared" si="501"/>
        <v>NW25222Cypress</v>
      </c>
      <c r="H6448" t="s">
        <v>37304</v>
      </c>
      <c r="I6448" t="s">
        <v>28721</v>
      </c>
      <c r="J6448" t="str">
        <f t="shared" si="502"/>
        <v>E:\PropInv\MF</v>
      </c>
      <c r="K6448" s="103" t="str">
        <f>HYPERLINK("E:\PropInv\MF\Cypress\NW Fwy_25222_Greystar Cypress Village_Cypress_17406","NW Fwy_25222_Greystar Cypress Village_Cypress_17406" )</f>
        <v>NW Fwy_25222_Greystar Cypress Village_Cypress_17406</v>
      </c>
      <c r="L6448" s="104" t="s">
        <v>22253</v>
      </c>
      <c r="M6448" s="103" t="str">
        <f t="shared" si="503"/>
        <v>http://oconnordata.com/mlink/modules/profile/index.cfm?action=profile&amp;prop_id=17406</v>
      </c>
      <c r="N6448" s="1">
        <f t="shared" si="504"/>
        <v>17406</v>
      </c>
    </row>
    <row r="6449" spans="1:14" x14ac:dyDescent="0.3">
      <c r="A6449" s="1">
        <v>17407</v>
      </c>
      <c r="B6449" s="7" t="s">
        <v>5</v>
      </c>
      <c r="C6449" s="12">
        <v>4410</v>
      </c>
      <c r="D6449" s="7" t="s">
        <v>9666</v>
      </c>
      <c r="E6449" s="13" t="s">
        <v>1657</v>
      </c>
      <c r="F6449" t="str">
        <f t="shared" si="500"/>
        <v>Westheimer</v>
      </c>
      <c r="G6449" t="str">
        <f t="shared" si="501"/>
        <v>Westheimer4410Houston</v>
      </c>
      <c r="H6449" t="s">
        <v>37305</v>
      </c>
      <c r="I6449" t="s">
        <v>28722</v>
      </c>
      <c r="J6449" t="str">
        <f t="shared" si="502"/>
        <v>E:\PropInv\MF</v>
      </c>
      <c r="K6449" s="103" t="str">
        <f>HYPERLINK("E:\PropInv\MF\Houston\Westheimer_4410_Millennium High Street_Houston_17407","Westheimer_4410_Millennium High Street_Houston_17407" )</f>
        <v>Westheimer_4410_Millennium High Street_Houston_17407</v>
      </c>
      <c r="L6449" s="104" t="s">
        <v>22253</v>
      </c>
      <c r="M6449" s="103" t="str">
        <f t="shared" si="503"/>
        <v>http://oconnordata.com/mlink/modules/profile/index.cfm?action=profile&amp;prop_id=17407</v>
      </c>
      <c r="N6449" s="1">
        <f t="shared" si="504"/>
        <v>17407</v>
      </c>
    </row>
    <row r="6450" spans="1:14" x14ac:dyDescent="0.3">
      <c r="A6450" s="1">
        <v>17408</v>
      </c>
      <c r="B6450" s="7" t="s">
        <v>9667</v>
      </c>
      <c r="C6450" s="12">
        <v>100</v>
      </c>
      <c r="D6450" s="7" t="s">
        <v>9668</v>
      </c>
      <c r="E6450" s="13" t="s">
        <v>842</v>
      </c>
      <c r="F6450" t="str">
        <f t="shared" si="500"/>
        <v>Santa</v>
      </c>
      <c r="G6450" t="str">
        <f t="shared" si="501"/>
        <v>Santa100San Antonio</v>
      </c>
      <c r="H6450" t="s">
        <v>37306</v>
      </c>
      <c r="I6450" t="s">
        <v>28723</v>
      </c>
      <c r="J6450" t="str">
        <f t="shared" si="502"/>
        <v>E:\PropInv\MF</v>
      </c>
      <c r="K6450" s="103" t="str">
        <f>HYPERLINK("E:\PropInv\MF\San Antonio\Santa Rosa Ave N_100_The Vistana_San Antonio_17408","Santa Rosa Ave N_100_The Vistana_San Antonio_17408" )</f>
        <v>Santa Rosa Ave N_100_The Vistana_San Antonio_17408</v>
      </c>
      <c r="L6450" s="104" t="s">
        <v>22253</v>
      </c>
      <c r="M6450" s="103" t="str">
        <f t="shared" si="503"/>
        <v>http://oconnordata.com/mlink/modules/profile/index.cfm?action=profile&amp;prop_id=17408</v>
      </c>
      <c r="N6450" s="1">
        <f t="shared" si="504"/>
        <v>17408</v>
      </c>
    </row>
    <row r="6451" spans="1:14" x14ac:dyDescent="0.3">
      <c r="A6451" s="1">
        <v>17409</v>
      </c>
      <c r="B6451" s="7" t="s">
        <v>9669</v>
      </c>
      <c r="C6451" s="12">
        <v>1531</v>
      </c>
      <c r="D6451" s="7" t="s">
        <v>9670</v>
      </c>
      <c r="E6451" s="13" t="s">
        <v>4996</v>
      </c>
      <c r="F6451" t="str">
        <f t="shared" si="500"/>
        <v>Inspiration</v>
      </c>
      <c r="G6451" t="str">
        <f t="shared" si="501"/>
        <v>Inspiration1531Dallas</v>
      </c>
      <c r="H6451" t="s">
        <v>37307</v>
      </c>
      <c r="I6451" t="s">
        <v>28724</v>
      </c>
      <c r="J6451" t="str">
        <f t="shared" si="502"/>
        <v>E:\PropInv\MF</v>
      </c>
      <c r="K6451" s="103" t="str">
        <f>HYPERLINK("E:\PropInv\MF\Dallas\Inspiration Dr_1531_Alta Design District_Dallas_17409","Inspiration Dr_1531_Alta Design District_Dallas_17409" )</f>
        <v>Inspiration Dr_1531_Alta Design District_Dallas_17409</v>
      </c>
      <c r="L6451" s="104" t="s">
        <v>22253</v>
      </c>
      <c r="M6451" s="103" t="str">
        <f t="shared" si="503"/>
        <v>http://oconnordata.com/mlink/modules/profile/index.cfm?action=profile&amp;prop_id=17409</v>
      </c>
      <c r="N6451" s="1">
        <f t="shared" si="504"/>
        <v>17409</v>
      </c>
    </row>
    <row r="6452" spans="1:14" x14ac:dyDescent="0.3">
      <c r="A6452" s="1">
        <v>17410</v>
      </c>
      <c r="B6452" s="10" t="s">
        <v>9671</v>
      </c>
      <c r="C6452" s="9">
        <v>8301</v>
      </c>
      <c r="D6452" s="10" t="s">
        <v>9672</v>
      </c>
      <c r="E6452" s="11" t="s">
        <v>5014</v>
      </c>
      <c r="F6452" t="str">
        <f t="shared" si="500"/>
        <v>Monterra</v>
      </c>
      <c r="G6452" t="str">
        <f t="shared" si="501"/>
        <v>Monterra8301Fort Worth</v>
      </c>
      <c r="H6452" t="s">
        <v>37308</v>
      </c>
      <c r="I6452" t="s">
        <v>28725</v>
      </c>
      <c r="J6452" t="str">
        <f t="shared" si="502"/>
        <v>E:\PropInv\MF</v>
      </c>
      <c r="K6452" s="103" t="str">
        <f>HYPERLINK("E:\PropInv\MF\Fort Worth\Monterra Blvd_8301_Monterra Village I_Fort Worth_17410","Monterra Blvd_8301_Monterra Village I_Fort Worth_17410" )</f>
        <v>Monterra Blvd_8301_Monterra Village I_Fort Worth_17410</v>
      </c>
      <c r="L6452" s="104" t="s">
        <v>22253</v>
      </c>
      <c r="M6452" s="103" t="str">
        <f t="shared" si="503"/>
        <v>http://oconnordata.com/mlink/modules/profile/index.cfm?action=profile&amp;prop_id=17410</v>
      </c>
      <c r="N6452" s="1">
        <f t="shared" si="504"/>
        <v>17410</v>
      </c>
    </row>
    <row r="6453" spans="1:14" x14ac:dyDescent="0.3">
      <c r="A6453" s="1">
        <v>17413</v>
      </c>
      <c r="B6453" s="7" t="s">
        <v>4719</v>
      </c>
      <c r="C6453" s="12">
        <v>425</v>
      </c>
      <c r="D6453" s="7" t="s">
        <v>9673</v>
      </c>
      <c r="E6453" s="13" t="s">
        <v>1671</v>
      </c>
      <c r="F6453" t="str">
        <f t="shared" si="500"/>
        <v>Rayford</v>
      </c>
      <c r="G6453" t="str">
        <f t="shared" si="501"/>
        <v>Rayford425Spring</v>
      </c>
      <c r="H6453" t="s">
        <v>37309</v>
      </c>
      <c r="I6453" t="s">
        <v>28726</v>
      </c>
      <c r="J6453" t="str">
        <f t="shared" si="502"/>
        <v>E:\PropInv\MF</v>
      </c>
      <c r="K6453" s="103" t="str">
        <f>HYPERLINK("E:\PropInv\MF\Spring\Rayford Rd_425_The Landmark at Woodlands II_Spring_17413","Rayford Rd_425_The Landmark at Woodlands II_Spring_17413" )</f>
        <v>Rayford Rd_425_The Landmark at Woodlands II_Spring_17413</v>
      </c>
      <c r="L6453" s="104" t="s">
        <v>22253</v>
      </c>
      <c r="M6453" s="103" t="str">
        <f t="shared" si="503"/>
        <v>http://oconnordata.com/mlink/modules/profile/index.cfm?action=profile&amp;prop_id=17413</v>
      </c>
      <c r="N6453" s="1">
        <f t="shared" si="504"/>
        <v>17413</v>
      </c>
    </row>
    <row r="6454" spans="1:14" x14ac:dyDescent="0.3">
      <c r="A6454" s="1">
        <v>17414</v>
      </c>
      <c r="B6454" s="7" t="s">
        <v>9674</v>
      </c>
      <c r="C6454" s="12">
        <v>701</v>
      </c>
      <c r="D6454" s="7" t="s">
        <v>9675</v>
      </c>
      <c r="E6454" s="13" t="s">
        <v>5014</v>
      </c>
      <c r="F6454" t="str">
        <f t="shared" si="500"/>
        <v>Bluff</v>
      </c>
      <c r="G6454" t="str">
        <f t="shared" si="501"/>
        <v>Bluff701Fort Worth</v>
      </c>
      <c r="H6454" t="s">
        <v>37310</v>
      </c>
      <c r="I6454" t="s">
        <v>28727</v>
      </c>
      <c r="J6454" t="str">
        <f t="shared" si="502"/>
        <v>E:\PropInv\MF</v>
      </c>
      <c r="K6454" s="103" t="str">
        <f>HYPERLINK("E:\PropInv\MF\Fort Worth\Bluff St E_701_Lincoln Trinity Bluff_Fort Worth_17414","Bluff St E_701_Lincoln Trinity Bluff_Fort Worth_17414" )</f>
        <v>Bluff St E_701_Lincoln Trinity Bluff_Fort Worth_17414</v>
      </c>
      <c r="L6454" s="104" t="s">
        <v>22253</v>
      </c>
      <c r="M6454" s="103" t="str">
        <f t="shared" si="503"/>
        <v>http://oconnordata.com/mlink/modules/profile/index.cfm?action=profile&amp;prop_id=17414</v>
      </c>
      <c r="N6454" s="1">
        <f t="shared" si="504"/>
        <v>17414</v>
      </c>
    </row>
    <row r="6455" spans="1:14" x14ac:dyDescent="0.3">
      <c r="A6455" s="1">
        <v>17415</v>
      </c>
      <c r="B6455" s="7" t="s">
        <v>9676</v>
      </c>
      <c r="C6455" s="12">
        <v>2855</v>
      </c>
      <c r="D6455" s="7" t="s">
        <v>9677</v>
      </c>
      <c r="E6455" s="13" t="s">
        <v>5014</v>
      </c>
      <c r="F6455" t="str">
        <f t="shared" si="500"/>
        <v>Bowie</v>
      </c>
      <c r="G6455" t="str">
        <f t="shared" si="501"/>
        <v>Bowie2855Fort Worth</v>
      </c>
      <c r="H6455" t="s">
        <v>37311</v>
      </c>
      <c r="I6455" t="s">
        <v>28728</v>
      </c>
      <c r="J6455" t="str">
        <f t="shared" si="502"/>
        <v>E:\PropInv\MF</v>
      </c>
      <c r="K6455" s="103" t="str">
        <f>HYPERLINK("E:\PropInv\MF\Fort Worth\Bowie St W_2855_GrandMarc at Westberry Place_Fort Worth_17415","Bowie St W_2855_GrandMarc at Westberry Place_Fort Worth_17415" )</f>
        <v>Bowie St W_2855_GrandMarc at Westberry Place_Fort Worth_17415</v>
      </c>
      <c r="L6455" s="104" t="s">
        <v>22253</v>
      </c>
      <c r="M6455" s="103" t="str">
        <f t="shared" si="503"/>
        <v>http://oconnordata.com/mlink/modules/profile/index.cfm?action=profile&amp;prop_id=17415</v>
      </c>
      <c r="N6455" s="1">
        <f t="shared" si="504"/>
        <v>17415</v>
      </c>
    </row>
    <row r="6456" spans="1:14" x14ac:dyDescent="0.3">
      <c r="A6456" s="1">
        <v>17416</v>
      </c>
      <c r="B6456" s="7" t="s">
        <v>9678</v>
      </c>
      <c r="C6456" s="12">
        <v>7951</v>
      </c>
      <c r="D6456" s="7" t="s">
        <v>9679</v>
      </c>
      <c r="E6456" s="13" t="s">
        <v>5043</v>
      </c>
      <c r="F6456" t="str">
        <f t="shared" si="500"/>
        <v>Collin</v>
      </c>
      <c r="G6456" t="str">
        <f t="shared" si="501"/>
        <v>Collin7951McKinney</v>
      </c>
      <c r="H6456" t="s">
        <v>37312</v>
      </c>
      <c r="I6456" t="s">
        <v>28729</v>
      </c>
      <c r="J6456" t="str">
        <f t="shared" si="502"/>
        <v>E:\PropInv\MF</v>
      </c>
      <c r="K6456" s="103" t="str">
        <f>HYPERLINK("E:\PropInv\MF\McKinney\Collin McKinney Pkwy_7951_Times Square at Craig Ranch_McKinney_17416","Collin McKinney Pkwy_7951_Times Square at Craig Ranch_McKinney_17416" )</f>
        <v>Collin McKinney Pkwy_7951_Times Square at Craig Ranch_McKinney_17416</v>
      </c>
      <c r="L6456" s="104" t="s">
        <v>22253</v>
      </c>
      <c r="M6456" s="103" t="str">
        <f t="shared" si="503"/>
        <v>http://oconnordata.com/mlink/modules/profile/index.cfm?action=profile&amp;prop_id=17416</v>
      </c>
      <c r="N6456" s="1">
        <f t="shared" si="504"/>
        <v>17416</v>
      </c>
    </row>
    <row r="6457" spans="1:14" x14ac:dyDescent="0.3">
      <c r="A6457" s="1">
        <v>17417</v>
      </c>
      <c r="B6457" s="7" t="s">
        <v>9680</v>
      </c>
      <c r="C6457" s="12">
        <v>222</v>
      </c>
      <c r="D6457" s="7" t="s">
        <v>9681</v>
      </c>
      <c r="E6457" s="13" t="s">
        <v>2198</v>
      </c>
      <c r="F6457" t="str">
        <f t="shared" si="500"/>
        <v>Mason</v>
      </c>
      <c r="G6457" t="str">
        <f t="shared" si="501"/>
        <v>Mason222Katy</v>
      </c>
      <c r="H6457" t="s">
        <v>37313</v>
      </c>
      <c r="I6457" t="s">
        <v>28730</v>
      </c>
      <c r="J6457" t="str">
        <f t="shared" si="502"/>
        <v>E:\PropInv\MF</v>
      </c>
      <c r="K6457" s="103" t="str">
        <f>HYPERLINK("E:\PropInv\MF\Katy\Mason Creek Dr_222_Mason Park Apts_Katy_17417","Mason Creek Dr_222_Mason Park Apts_Katy_17417" )</f>
        <v>Mason Creek Dr_222_Mason Park Apts_Katy_17417</v>
      </c>
      <c r="L6457" s="104" t="s">
        <v>22253</v>
      </c>
      <c r="M6457" s="103" t="str">
        <f t="shared" si="503"/>
        <v>http://oconnordata.com/mlink/modules/profile/index.cfm?action=profile&amp;prop_id=17417</v>
      </c>
      <c r="N6457" s="1">
        <f t="shared" si="504"/>
        <v>17417</v>
      </c>
    </row>
    <row r="6458" spans="1:14" x14ac:dyDescent="0.3">
      <c r="A6458" s="1">
        <v>17418</v>
      </c>
      <c r="B6458" s="16" t="s">
        <v>9682</v>
      </c>
      <c r="C6458" s="15">
        <v>11001</v>
      </c>
      <c r="D6458" s="16" t="s">
        <v>9683</v>
      </c>
      <c r="E6458" s="17" t="s">
        <v>705</v>
      </c>
      <c r="F6458" t="str">
        <f t="shared" si="500"/>
        <v>Lakeline</v>
      </c>
      <c r="G6458" t="str">
        <f t="shared" si="501"/>
        <v>Lakeline11001Cedar Park</v>
      </c>
      <c r="H6458" t="s">
        <v>37314</v>
      </c>
      <c r="I6458" t="s">
        <v>28731</v>
      </c>
      <c r="J6458" t="str">
        <f t="shared" si="502"/>
        <v>E:\PropInv\MF</v>
      </c>
      <c r="K6458" s="103" t="str">
        <f>HYPERLINK("E:\PropInv\MF\Cedar Park\Lakeline Blvd_11001_The Crossings at Lakeline_Cedar Park_17418","Lakeline Blvd_11001_The Crossings at Lakeline_Cedar Park_17418" )</f>
        <v>Lakeline Blvd_11001_The Crossings at Lakeline_Cedar Park_17418</v>
      </c>
      <c r="L6458" s="104" t="s">
        <v>22253</v>
      </c>
      <c r="M6458" s="103" t="str">
        <f t="shared" si="503"/>
        <v>http://oconnordata.com/mlink/modules/profile/index.cfm?action=profile&amp;prop_id=17418</v>
      </c>
      <c r="N6458" s="1">
        <f t="shared" si="504"/>
        <v>17418</v>
      </c>
    </row>
    <row r="6459" spans="1:14" x14ac:dyDescent="0.3">
      <c r="A6459" s="1">
        <v>17419</v>
      </c>
      <c r="B6459" s="16" t="s">
        <v>9684</v>
      </c>
      <c r="C6459" s="15">
        <v>1100</v>
      </c>
      <c r="D6459" s="16" t="s">
        <v>9685</v>
      </c>
      <c r="E6459" s="17" t="s">
        <v>18</v>
      </c>
      <c r="F6459" t="str">
        <f t="shared" si="500"/>
        <v>Louis</v>
      </c>
      <c r="G6459" t="str">
        <f t="shared" si="501"/>
        <v>Louis1100Round Rock</v>
      </c>
      <c r="H6459" t="s">
        <v>37315</v>
      </c>
      <c r="I6459" t="s">
        <v>28732</v>
      </c>
      <c r="J6459" t="str">
        <f t="shared" si="502"/>
        <v>E:\PropInv\MF</v>
      </c>
      <c r="K6459" s="103" t="str">
        <f>HYPERLINK("E:\PropInv\MF\Round Rock\Louis Henna Blvd W (Texas 45)_1100_La Frontera Apts-Frontera Vista_Round Rock_17419","Louis Henna Blvd W (Texas 45)_1100_La Frontera Apts-Frontera Vista_Round Rock_17419" )</f>
        <v>Louis Henna Blvd W (Texas 45)_1100_La Frontera Apts-Frontera Vista_Round Rock_17419</v>
      </c>
      <c r="L6459" s="104" t="s">
        <v>22253</v>
      </c>
      <c r="M6459" s="103" t="str">
        <f t="shared" si="503"/>
        <v>http://oconnordata.com/mlink/modules/profile/index.cfm?action=profile&amp;prop_id=17419</v>
      </c>
      <c r="N6459" s="1">
        <f t="shared" si="504"/>
        <v>17419</v>
      </c>
    </row>
    <row r="6460" spans="1:14" x14ac:dyDescent="0.3">
      <c r="A6460" s="1">
        <v>17420</v>
      </c>
      <c r="B6460" s="10" t="s">
        <v>9326</v>
      </c>
      <c r="C6460" s="9">
        <v>4822</v>
      </c>
      <c r="D6460" s="10" t="s">
        <v>9686</v>
      </c>
      <c r="E6460" s="11" t="s">
        <v>1657</v>
      </c>
      <c r="F6460" t="str">
        <f t="shared" si="500"/>
        <v>Sam</v>
      </c>
      <c r="G6460" t="str">
        <f t="shared" si="501"/>
        <v>Sam4822Houston</v>
      </c>
      <c r="H6460" t="s">
        <v>37316</v>
      </c>
      <c r="I6460" t="s">
        <v>28733</v>
      </c>
      <c r="J6460" t="str">
        <f t="shared" si="502"/>
        <v>E:\PropInv\MF</v>
      </c>
      <c r="K6460" s="103" t="str">
        <f>HYPERLINK("E:\PropInv\MF\Houston\Sam Houston Pkwy N E_4822_Lafayette Village_Houston_17420","Sam Houston Pkwy N E_4822_Lafayette Village_Houston_17420" )</f>
        <v>Sam Houston Pkwy N E_4822_Lafayette Village_Houston_17420</v>
      </c>
      <c r="L6460" s="104" t="s">
        <v>22253</v>
      </c>
      <c r="M6460" s="103" t="str">
        <f t="shared" si="503"/>
        <v>http://oconnordata.com/mlink/modules/profile/index.cfm?action=profile&amp;prop_id=17420</v>
      </c>
      <c r="N6460" s="1">
        <f t="shared" si="504"/>
        <v>17420</v>
      </c>
    </row>
    <row r="6461" spans="1:14" x14ac:dyDescent="0.3">
      <c r="A6461" s="1">
        <v>17421</v>
      </c>
      <c r="B6461" s="10" t="s">
        <v>2362</v>
      </c>
      <c r="C6461" s="9">
        <v>15301</v>
      </c>
      <c r="D6461" s="10" t="s">
        <v>9687</v>
      </c>
      <c r="E6461" s="11" t="s">
        <v>1657</v>
      </c>
      <c r="F6461" t="str">
        <f t="shared" si="500"/>
        <v>NW</v>
      </c>
      <c r="G6461" t="str">
        <f t="shared" si="501"/>
        <v>NW15301Houston</v>
      </c>
      <c r="H6461" t="s">
        <v>37317</v>
      </c>
      <c r="I6461" t="s">
        <v>28734</v>
      </c>
      <c r="J6461" t="str">
        <f t="shared" si="502"/>
        <v>E:\PropInv\MF</v>
      </c>
      <c r="K6461" s="103" t="str">
        <f>HYPERLINK("E:\PropInv\MF\Houston\NW Fwy_15301_Stonehaven AH_Houston_17421","NW Fwy_15301_Stonehaven AH_Houston_17421" )</f>
        <v>NW Fwy_15301_Stonehaven AH_Houston_17421</v>
      </c>
      <c r="L6461" s="104" t="s">
        <v>22253</v>
      </c>
      <c r="M6461" s="103" t="str">
        <f t="shared" si="503"/>
        <v>http://oconnordata.com/mlink/modules/profile/index.cfm?action=profile&amp;prop_id=17421</v>
      </c>
      <c r="N6461" s="1">
        <f t="shared" si="504"/>
        <v>17421</v>
      </c>
    </row>
    <row r="6462" spans="1:14" x14ac:dyDescent="0.3">
      <c r="A6462" s="1">
        <v>17422</v>
      </c>
      <c r="B6462" s="7" t="s">
        <v>2035</v>
      </c>
      <c r="C6462" s="12">
        <v>12424</v>
      </c>
      <c r="D6462" s="7" t="s">
        <v>9688</v>
      </c>
      <c r="E6462" s="13" t="s">
        <v>1657</v>
      </c>
      <c r="F6462" t="str">
        <f t="shared" si="500"/>
        <v>Steepleway</v>
      </c>
      <c r="G6462" t="str">
        <f t="shared" si="501"/>
        <v>Steepleway12424Houston</v>
      </c>
      <c r="H6462" t="s">
        <v>37318</v>
      </c>
      <c r="I6462" t="s">
        <v>28735</v>
      </c>
      <c r="J6462" t="str">
        <f t="shared" si="502"/>
        <v>E:\PropInv\MF</v>
      </c>
      <c r="K6462" s="103" t="str">
        <f>HYPERLINK("E:\PropInv\MF\Houston\Steepleway Blvd_12424_The Meadowlands_Houston_17422","Steepleway Blvd_12424_The Meadowlands_Houston_17422" )</f>
        <v>Steepleway Blvd_12424_The Meadowlands_Houston_17422</v>
      </c>
      <c r="L6462" s="104" t="s">
        <v>22253</v>
      </c>
      <c r="M6462" s="103" t="str">
        <f t="shared" si="503"/>
        <v>http://oconnordata.com/mlink/modules/profile/index.cfm?action=profile&amp;prop_id=17422</v>
      </c>
      <c r="N6462" s="1">
        <f t="shared" si="504"/>
        <v>17422</v>
      </c>
    </row>
    <row r="6463" spans="1:14" x14ac:dyDescent="0.3">
      <c r="A6463" s="1">
        <v>17423</v>
      </c>
      <c r="B6463" s="21" t="s">
        <v>2093</v>
      </c>
      <c r="C6463" s="12">
        <v>503</v>
      </c>
      <c r="D6463" s="7" t="s">
        <v>9689</v>
      </c>
      <c r="E6463" s="13" t="s">
        <v>1657</v>
      </c>
      <c r="F6463" t="str">
        <f t="shared" si="500"/>
        <v>W</v>
      </c>
      <c r="G6463" t="str">
        <f t="shared" si="501"/>
        <v>W503Houston</v>
      </c>
      <c r="H6463" t="s">
        <v>37319</v>
      </c>
      <c r="I6463" t="s">
        <v>28736</v>
      </c>
      <c r="J6463" t="str">
        <f t="shared" si="502"/>
        <v>E:\PropInv\MF</v>
      </c>
      <c r="K6463" s="103" t="str">
        <f>HYPERLINK("E:\PropInv\MF\Houston\W Rd_503_Waterside Court_Houston_17423","W Rd_503_Waterside Court_Houston_17423" )</f>
        <v>W Rd_503_Waterside Court_Houston_17423</v>
      </c>
      <c r="L6463" s="104" t="s">
        <v>22253</v>
      </c>
      <c r="M6463" s="103" t="str">
        <f t="shared" si="503"/>
        <v>http://oconnordata.com/mlink/modules/profile/index.cfm?action=profile&amp;prop_id=17423</v>
      </c>
      <c r="N6463" s="1">
        <f t="shared" si="504"/>
        <v>17423</v>
      </c>
    </row>
    <row r="6464" spans="1:14" x14ac:dyDescent="0.3">
      <c r="A6464" s="1">
        <v>17424</v>
      </c>
      <c r="B6464" s="10" t="s">
        <v>9690</v>
      </c>
      <c r="C6464" s="9">
        <v>43</v>
      </c>
      <c r="D6464" s="10" t="s">
        <v>9691</v>
      </c>
      <c r="E6464" s="11" t="s">
        <v>7</v>
      </c>
      <c r="F6464" t="str">
        <f t="shared" si="500"/>
        <v>Rainey</v>
      </c>
      <c r="G6464" t="str">
        <f t="shared" si="501"/>
        <v>Rainey43Austin</v>
      </c>
      <c r="H6464" t="s">
        <v>37320</v>
      </c>
      <c r="I6464" t="s">
        <v>28737</v>
      </c>
      <c r="J6464" t="str">
        <f t="shared" si="502"/>
        <v>E:\PropInv\MF</v>
      </c>
      <c r="K6464" s="103" t="str">
        <f>HYPERLINK("E:\PropInv\MF\Austin\Rainey St_43_Legacy on the Lake_Austin_17424","Rainey St_43_Legacy on the Lake_Austin_17424" )</f>
        <v>Rainey St_43_Legacy on the Lake_Austin_17424</v>
      </c>
      <c r="L6464" s="104" t="s">
        <v>22253</v>
      </c>
      <c r="M6464" s="103" t="str">
        <f t="shared" si="503"/>
        <v>http://oconnordata.com/mlink/modules/profile/index.cfm?action=profile&amp;prop_id=17424</v>
      </c>
      <c r="N6464" s="1">
        <f t="shared" si="504"/>
        <v>17424</v>
      </c>
    </row>
    <row r="6465" spans="1:14" x14ac:dyDescent="0.3">
      <c r="A6465" s="1">
        <v>17425</v>
      </c>
      <c r="B6465" s="7" t="s">
        <v>9692</v>
      </c>
      <c r="C6465" s="12">
        <v>1051</v>
      </c>
      <c r="D6465" s="7" t="s">
        <v>9693</v>
      </c>
      <c r="E6465" s="13" t="s">
        <v>6555</v>
      </c>
      <c r="F6465" t="str">
        <f t="shared" si="500"/>
        <v>Abram</v>
      </c>
      <c r="G6465" t="str">
        <f t="shared" si="501"/>
        <v>Abram1051Arlington</v>
      </c>
      <c r="H6465" t="s">
        <v>37321</v>
      </c>
      <c r="I6465" t="s">
        <v>28738</v>
      </c>
      <c r="J6465" t="str">
        <f t="shared" si="502"/>
        <v>E:\PropInv\MF</v>
      </c>
      <c r="K6465" s="103" t="str">
        <f>HYPERLINK("E:\PropInv\MF\Arlington\Abram St W_1051_Midtown UTA_Arlington_17425","Abram St W_1051_Midtown UTA_Arlington_17425" )</f>
        <v>Abram St W_1051_Midtown UTA_Arlington_17425</v>
      </c>
      <c r="L6465" s="104" t="s">
        <v>22253</v>
      </c>
      <c r="M6465" s="103" t="str">
        <f t="shared" si="503"/>
        <v>http://oconnordata.com/mlink/modules/profile/index.cfm?action=profile&amp;prop_id=17425</v>
      </c>
      <c r="N6465" s="1">
        <f t="shared" si="504"/>
        <v>17425</v>
      </c>
    </row>
    <row r="6466" spans="1:14" x14ac:dyDescent="0.3">
      <c r="A6466" s="1">
        <v>17426</v>
      </c>
      <c r="B6466" s="7" t="s">
        <v>9694</v>
      </c>
      <c r="C6466" s="12">
        <v>501</v>
      </c>
      <c r="D6466" s="7" t="s">
        <v>9695</v>
      </c>
      <c r="E6466" s="13" t="s">
        <v>8612</v>
      </c>
      <c r="F6466" t="str">
        <f t="shared" ref="F6466:F6529" si="505">IFERROR(LEFT(B6466,FIND(" ",B6466)-1),B6466)</f>
        <v>University</v>
      </c>
      <c r="G6466" t="str">
        <f t="shared" ref="G6466:G6529" si="506">F6466&amp;C6466&amp;E6466</f>
        <v>University501College Station</v>
      </c>
      <c r="H6466" t="s">
        <v>37322</v>
      </c>
      <c r="I6466" t="s">
        <v>28739</v>
      </c>
      <c r="J6466" t="str">
        <f t="shared" ref="J6466:J6529" si="507">IF(L6466="TX",Folder_Path,Folder_Path&amp;"\State_"&amp;L6466)</f>
        <v>E:\PropInv\MF</v>
      </c>
      <c r="K6466" s="103" t="str">
        <f>HYPERLINK("E:\PropInv\MF\College Station\University Oaks_501_The Cambridge at College Station_College Station_17426","University Oaks_501_The Cambridge at College Station_College Station_17426" )</f>
        <v>University Oaks_501_The Cambridge at College Station_College Station_17426</v>
      </c>
      <c r="L6466" s="104" t="s">
        <v>22253</v>
      </c>
      <c r="M6466" s="103" t="str">
        <f t="shared" ref="M6466:M6529" si="508">HYPERLINK("http://oconnordata.com/mlink/modules/profile/index.cfm?action=profile&amp;prop_id="&amp;A6466)</f>
        <v>http://oconnordata.com/mlink/modules/profile/index.cfm?action=profile&amp;prop_id=17426</v>
      </c>
      <c r="N6466" s="1">
        <f t="shared" ref="N6466:N6529" si="509">IF(LEN(A6466)=1,"0000"&amp;A6466,IF(LEN(A6466)=2,"000"&amp;A6466,IF(LEN(A6466)=3,"00"&amp;A6466,IF(LEN(A6466)=4,"0"&amp;A6466,IF(LEN(A6466)=5,IF(LEFT(A6466,1)="3",A6466+30000,A6466))))))</f>
        <v>17426</v>
      </c>
    </row>
    <row r="6467" spans="1:14" x14ac:dyDescent="0.3">
      <c r="A6467" s="1">
        <v>17427</v>
      </c>
      <c r="B6467" s="7" t="s">
        <v>5166</v>
      </c>
      <c r="C6467" s="12">
        <v>2704</v>
      </c>
      <c r="D6467" s="7" t="s">
        <v>9696</v>
      </c>
      <c r="E6467" s="13" t="s">
        <v>7</v>
      </c>
      <c r="F6467" t="str">
        <f t="shared" si="505"/>
        <v>Rio</v>
      </c>
      <c r="G6467" t="str">
        <f t="shared" si="506"/>
        <v>Rio2704Austin</v>
      </c>
      <c r="H6467" t="s">
        <v>37323</v>
      </c>
      <c r="I6467" t="s">
        <v>28740</v>
      </c>
      <c r="J6467" t="str">
        <f t="shared" si="507"/>
        <v>E:\PropInv\MF</v>
      </c>
      <c r="K6467" s="103" t="str">
        <f>HYPERLINK("E:\PropInv\MF\Austin\Rio Grande_2704_Rio West_Austin_17427","Rio Grande_2704_Rio West_Austin_17427" )</f>
        <v>Rio Grande_2704_Rio West_Austin_17427</v>
      </c>
      <c r="L6467" s="104" t="s">
        <v>22253</v>
      </c>
      <c r="M6467" s="103" t="str">
        <f t="shared" si="508"/>
        <v>http://oconnordata.com/mlink/modules/profile/index.cfm?action=profile&amp;prop_id=17427</v>
      </c>
      <c r="N6467" s="1">
        <f t="shared" si="509"/>
        <v>17427</v>
      </c>
    </row>
    <row r="6468" spans="1:14" x14ac:dyDescent="0.3">
      <c r="A6468" s="1">
        <v>17428</v>
      </c>
      <c r="B6468" s="7" t="s">
        <v>9697</v>
      </c>
      <c r="C6468" s="12">
        <v>2424</v>
      </c>
      <c r="D6468" s="7" t="s">
        <v>9698</v>
      </c>
      <c r="E6468" s="13" t="s">
        <v>1657</v>
      </c>
      <c r="F6468" t="str">
        <f t="shared" si="505"/>
        <v>Sawyer</v>
      </c>
      <c r="G6468" t="str">
        <f t="shared" si="506"/>
        <v>Sawyer2424Houston</v>
      </c>
      <c r="H6468" t="s">
        <v>37324</v>
      </c>
      <c r="I6468" t="s">
        <v>28741</v>
      </c>
      <c r="J6468" t="str">
        <f t="shared" si="507"/>
        <v>E:\PropInv\MF</v>
      </c>
      <c r="K6468" s="103" t="str">
        <f>HYPERLINK("E:\PropInv\MF\Houston\Sawyer Heights_2424_Sawyer Heights Lofts_Houston_17428","Sawyer Heights_2424_Sawyer Heights Lofts_Houston_17428" )</f>
        <v>Sawyer Heights_2424_Sawyer Heights Lofts_Houston_17428</v>
      </c>
      <c r="L6468" s="104" t="s">
        <v>22253</v>
      </c>
      <c r="M6468" s="103" t="str">
        <f t="shared" si="508"/>
        <v>http://oconnordata.com/mlink/modules/profile/index.cfm?action=profile&amp;prop_id=17428</v>
      </c>
      <c r="N6468" s="1">
        <f t="shared" si="509"/>
        <v>17428</v>
      </c>
    </row>
    <row r="6469" spans="1:14" x14ac:dyDescent="0.3">
      <c r="A6469" s="1">
        <v>17429</v>
      </c>
      <c r="B6469" s="7" t="s">
        <v>9034</v>
      </c>
      <c r="C6469" s="12">
        <v>1310</v>
      </c>
      <c r="D6469" s="7" t="s">
        <v>9699</v>
      </c>
      <c r="E6469" s="13" t="s">
        <v>4996</v>
      </c>
      <c r="F6469" t="str">
        <f t="shared" si="505"/>
        <v>Cockrell</v>
      </c>
      <c r="G6469" t="str">
        <f t="shared" si="506"/>
        <v>Cockrell1310Dallas</v>
      </c>
      <c r="H6469" t="s">
        <v>37325</v>
      </c>
      <c r="I6469" t="s">
        <v>28742</v>
      </c>
      <c r="J6469" t="str">
        <f t="shared" si="507"/>
        <v>E:\PropInv\MF</v>
      </c>
      <c r="K6469" s="103" t="str">
        <f>HYPERLINK("E:\PropInv\MF\Dallas\Cockrell Hill N_1310_Pinnacle Ridge Apts_Dallas_17429","Cockrell Hill N_1310_Pinnacle Ridge Apts_Dallas_17429" )</f>
        <v>Cockrell Hill N_1310_Pinnacle Ridge Apts_Dallas_17429</v>
      </c>
      <c r="L6469" s="104" t="s">
        <v>22253</v>
      </c>
      <c r="M6469" s="103" t="str">
        <f t="shared" si="508"/>
        <v>http://oconnordata.com/mlink/modules/profile/index.cfm?action=profile&amp;prop_id=17429</v>
      </c>
      <c r="N6469" s="1">
        <f t="shared" si="509"/>
        <v>17429</v>
      </c>
    </row>
    <row r="6470" spans="1:14" x14ac:dyDescent="0.3">
      <c r="A6470" s="97">
        <v>17430</v>
      </c>
      <c r="B6470" s="10" t="s">
        <v>9700</v>
      </c>
      <c r="C6470" s="9">
        <v>12531</v>
      </c>
      <c r="D6470" s="10" t="s">
        <v>9701</v>
      </c>
      <c r="E6470" s="11" t="s">
        <v>9702</v>
      </c>
      <c r="F6470" t="str">
        <f t="shared" si="505"/>
        <v>71</v>
      </c>
      <c r="G6470" t="str">
        <f t="shared" si="506"/>
        <v>7112531Bee Cave</v>
      </c>
      <c r="H6470" t="s">
        <v>37326</v>
      </c>
      <c r="I6470" t="s">
        <v>28743</v>
      </c>
      <c r="J6470" t="str">
        <f t="shared" si="507"/>
        <v>E:\PropInv\MF</v>
      </c>
      <c r="K6470" s="103" t="str">
        <f>HYPERLINK("E:\PropInv\MF\Bee Cave\71 Hwy W_12531_Windsor at Bee Cave_Bee Cave_17430","71 Hwy W_12531_Windsor at Bee Cave_Bee Cave_17430" )</f>
        <v>71 Hwy W_12531_Windsor at Bee Cave_Bee Cave_17430</v>
      </c>
      <c r="L6470" s="104" t="s">
        <v>22253</v>
      </c>
      <c r="M6470" s="103" t="str">
        <f t="shared" si="508"/>
        <v>http://oconnordata.com/mlink/modules/profile/index.cfm?action=profile&amp;prop_id=17430</v>
      </c>
      <c r="N6470" s="1">
        <f t="shared" si="509"/>
        <v>17430</v>
      </c>
    </row>
    <row r="6471" spans="1:14" x14ac:dyDescent="0.3">
      <c r="A6471" s="1">
        <v>17431</v>
      </c>
      <c r="B6471" s="7" t="s">
        <v>9703</v>
      </c>
      <c r="C6471" s="12">
        <v>5151</v>
      </c>
      <c r="D6471" s="7" t="s">
        <v>9704</v>
      </c>
      <c r="E6471" s="13" t="s">
        <v>5014</v>
      </c>
      <c r="F6471" t="str">
        <f t="shared" si="505"/>
        <v>Mansfield</v>
      </c>
      <c r="G6471" t="str">
        <f t="shared" si="506"/>
        <v>Mansfield5151Fort Worth</v>
      </c>
      <c r="H6471" t="s">
        <v>37327</v>
      </c>
      <c r="I6471" t="s">
        <v>28744</v>
      </c>
      <c r="J6471" t="str">
        <f t="shared" si="507"/>
        <v>E:\PropInv\MF</v>
      </c>
      <c r="K6471" s="103" t="str">
        <f>HYPERLINK("E:\PropInv\MF\Fort Worth\Mansfield Hwy_5151_Magnolia at Village Creek Apts_Fort Worth_17431","Mansfield Hwy_5151_Magnolia at Village Creek Apts_Fort Worth_17431" )</f>
        <v>Mansfield Hwy_5151_Magnolia at Village Creek Apts_Fort Worth_17431</v>
      </c>
      <c r="L6471" s="104" t="s">
        <v>22253</v>
      </c>
      <c r="M6471" s="103" t="str">
        <f t="shared" si="508"/>
        <v>http://oconnordata.com/mlink/modules/profile/index.cfm?action=profile&amp;prop_id=17431</v>
      </c>
      <c r="N6471" s="1">
        <f t="shared" si="509"/>
        <v>17431</v>
      </c>
    </row>
    <row r="6472" spans="1:14" x14ac:dyDescent="0.3">
      <c r="A6472" s="1">
        <v>17432</v>
      </c>
      <c r="B6472" s="7" t="s">
        <v>9705</v>
      </c>
      <c r="C6472" s="12">
        <v>5600</v>
      </c>
      <c r="D6472" s="7" t="s">
        <v>9706</v>
      </c>
      <c r="E6472" s="13" t="s">
        <v>5014</v>
      </c>
      <c r="F6472" t="str">
        <f t="shared" si="505"/>
        <v>Azle</v>
      </c>
      <c r="G6472" t="str">
        <f t="shared" si="506"/>
        <v>Azle5600Fort Worth</v>
      </c>
      <c r="H6472" t="s">
        <v>37328</v>
      </c>
      <c r="I6472" t="s">
        <v>28745</v>
      </c>
      <c r="J6472" t="str">
        <f t="shared" si="507"/>
        <v>E:\PropInv\MF</v>
      </c>
      <c r="K6472" s="103" t="str">
        <f>HYPERLINK("E:\PropInv\MF\Fort Worth\Azle Ave_5600_Lindbergh Parc Senior Apts_Fort Worth_17432","Azle Ave_5600_Lindbergh Parc Senior Apts_Fort Worth_17432" )</f>
        <v>Azle Ave_5600_Lindbergh Parc Senior Apts_Fort Worth_17432</v>
      </c>
      <c r="L6472" s="104" t="s">
        <v>22253</v>
      </c>
      <c r="M6472" s="103" t="str">
        <f t="shared" si="508"/>
        <v>http://oconnordata.com/mlink/modules/profile/index.cfm?action=profile&amp;prop_id=17432</v>
      </c>
      <c r="N6472" s="1">
        <f t="shared" si="509"/>
        <v>17432</v>
      </c>
    </row>
    <row r="6473" spans="1:14" x14ac:dyDescent="0.3">
      <c r="A6473" s="1">
        <v>17433</v>
      </c>
      <c r="B6473" s="7" t="s">
        <v>6750</v>
      </c>
      <c r="C6473" s="12">
        <v>6100</v>
      </c>
      <c r="D6473" s="7" t="s">
        <v>9707</v>
      </c>
      <c r="E6473" s="13" t="s">
        <v>5014</v>
      </c>
      <c r="F6473" t="str">
        <f t="shared" si="505"/>
        <v>820</v>
      </c>
      <c r="G6473" t="str">
        <f t="shared" si="506"/>
        <v>8206100Fort Worth</v>
      </c>
      <c r="H6473" t="s">
        <v>37329</v>
      </c>
      <c r="I6473" t="s">
        <v>28746</v>
      </c>
      <c r="J6473" t="str">
        <f t="shared" si="507"/>
        <v>E:\PropInv\MF</v>
      </c>
      <c r="K6473" s="103" t="str">
        <f>HYPERLINK("E:\PropInv\MF\Fort Worth\820 Loop E_6100_Amelia Parc_Fort Worth_17433","820 Loop E_6100_Amelia Parc_Fort Worth_17433" )</f>
        <v>820 Loop E_6100_Amelia Parc_Fort Worth_17433</v>
      </c>
      <c r="L6473" s="104" t="s">
        <v>22253</v>
      </c>
      <c r="M6473" s="103" t="str">
        <f t="shared" si="508"/>
        <v>http://oconnordata.com/mlink/modules/profile/index.cfm?action=profile&amp;prop_id=17433</v>
      </c>
      <c r="N6473" s="1">
        <f t="shared" si="509"/>
        <v>17433</v>
      </c>
    </row>
    <row r="6474" spans="1:14" x14ac:dyDescent="0.3">
      <c r="A6474" s="1">
        <v>17434</v>
      </c>
      <c r="B6474" s="7" t="s">
        <v>793</v>
      </c>
      <c r="C6474" s="12">
        <v>13730</v>
      </c>
      <c r="D6474" s="7" t="s">
        <v>1302</v>
      </c>
      <c r="E6474" s="13" t="s">
        <v>7</v>
      </c>
      <c r="F6474" t="str">
        <f t="shared" si="505"/>
        <v>620</v>
      </c>
      <c r="G6474" t="str">
        <f t="shared" si="506"/>
        <v>62013730Austin</v>
      </c>
      <c r="H6474" t="s">
        <v>37330</v>
      </c>
      <c r="I6474" t="s">
        <v>28747</v>
      </c>
      <c r="J6474" t="str">
        <f t="shared" si="507"/>
        <v>E:\PropInv\MF</v>
      </c>
      <c r="K6474" s="103" t="str">
        <f>HYPERLINK("E:\PropInv\MF\Austin\620 FM N_13730_The Remington_Austin_17434","620 FM N_13730_The Remington_Austin_17434" )</f>
        <v>620 FM N_13730_The Remington_Austin_17434</v>
      </c>
      <c r="L6474" s="104" t="s">
        <v>22253</v>
      </c>
      <c r="M6474" s="103" t="str">
        <f t="shared" si="508"/>
        <v>http://oconnordata.com/mlink/modules/profile/index.cfm?action=profile&amp;prop_id=17434</v>
      </c>
      <c r="N6474" s="1">
        <f t="shared" si="509"/>
        <v>17434</v>
      </c>
    </row>
    <row r="6475" spans="1:14" x14ac:dyDescent="0.3">
      <c r="A6475" s="1">
        <v>17435</v>
      </c>
      <c r="B6475" s="7" t="s">
        <v>8940</v>
      </c>
      <c r="C6475" s="12">
        <v>2707</v>
      </c>
      <c r="D6475" s="7" t="s">
        <v>9708</v>
      </c>
      <c r="E6475" s="13" t="s">
        <v>4996</v>
      </c>
      <c r="F6475" t="str">
        <f t="shared" si="505"/>
        <v>Fitzhugh</v>
      </c>
      <c r="G6475" t="str">
        <f t="shared" si="506"/>
        <v>Fitzhugh2707Dallas</v>
      </c>
      <c r="H6475" t="s">
        <v>37331</v>
      </c>
      <c r="I6475" t="s">
        <v>28748</v>
      </c>
      <c r="J6475" t="str">
        <f t="shared" si="507"/>
        <v>E:\PropInv\MF</v>
      </c>
      <c r="K6475" s="103" t="str">
        <f>HYPERLINK("E:\PropInv\MF\Dallas\Fitzhugh Ave N_2707_Fitzhugh Urban Flats_Dallas_17435","Fitzhugh Ave N_2707_Fitzhugh Urban Flats_Dallas_17435" )</f>
        <v>Fitzhugh Ave N_2707_Fitzhugh Urban Flats_Dallas_17435</v>
      </c>
      <c r="L6475" s="104" t="s">
        <v>22253</v>
      </c>
      <c r="M6475" s="103" t="str">
        <f t="shared" si="508"/>
        <v>http://oconnordata.com/mlink/modules/profile/index.cfm?action=profile&amp;prop_id=17435</v>
      </c>
      <c r="N6475" s="1">
        <f t="shared" si="509"/>
        <v>17435</v>
      </c>
    </row>
    <row r="6476" spans="1:14" x14ac:dyDescent="0.3">
      <c r="A6476" s="1">
        <v>17436</v>
      </c>
      <c r="B6476" s="7" t="s">
        <v>8776</v>
      </c>
      <c r="C6476" s="12">
        <v>2300</v>
      </c>
      <c r="D6476" s="7" t="s">
        <v>9709</v>
      </c>
      <c r="E6476" s="13" t="s">
        <v>8612</v>
      </c>
      <c r="F6476" t="str">
        <f t="shared" si="505"/>
        <v>Longmire</v>
      </c>
      <c r="G6476" t="str">
        <f t="shared" si="506"/>
        <v>Longmire2300College Station</v>
      </c>
      <c r="H6476" t="s">
        <v>37332</v>
      </c>
      <c r="I6476" t="s">
        <v>28749</v>
      </c>
      <c r="J6476" t="str">
        <f t="shared" si="507"/>
        <v>E:\PropInv\MF</v>
      </c>
      <c r="K6476" s="103" t="str">
        <f>HYPERLINK("E:\PropInv\MF\College Station\Longmire Dr_2300_Longmire House Apts_College Station_17436","Longmire Dr_2300_Longmire House Apts_College Station_17436" )</f>
        <v>Longmire Dr_2300_Longmire House Apts_College Station_17436</v>
      </c>
      <c r="L6476" s="104" t="s">
        <v>22253</v>
      </c>
      <c r="M6476" s="103" t="str">
        <f t="shared" si="508"/>
        <v>http://oconnordata.com/mlink/modules/profile/index.cfm?action=profile&amp;prop_id=17436</v>
      </c>
      <c r="N6476" s="1">
        <f t="shared" si="509"/>
        <v>17436</v>
      </c>
    </row>
    <row r="6477" spans="1:14" x14ac:dyDescent="0.3">
      <c r="A6477" s="1">
        <v>17437</v>
      </c>
      <c r="B6477" s="10" t="s">
        <v>5393</v>
      </c>
      <c r="C6477" s="9">
        <v>1900</v>
      </c>
      <c r="D6477" s="10" t="s">
        <v>9710</v>
      </c>
      <c r="E6477" s="11" t="s">
        <v>4996</v>
      </c>
      <c r="F6477" t="str">
        <f t="shared" si="505"/>
        <v>McKinney</v>
      </c>
      <c r="G6477" t="str">
        <f t="shared" si="506"/>
        <v>McKinney1900Dallas</v>
      </c>
      <c r="H6477" t="s">
        <v>37333</v>
      </c>
      <c r="I6477" t="s">
        <v>28750</v>
      </c>
      <c r="J6477" t="str">
        <f t="shared" si="507"/>
        <v>E:\PropInv\MF</v>
      </c>
      <c r="K6477" s="103" t="str">
        <f>HYPERLINK("E:\PropInv\MF\Dallas\McKinney Ave_1900_1900 McKinney_Dallas_17437","McKinney Ave_1900_1900 McKinney_Dallas_17437" )</f>
        <v>McKinney Ave_1900_1900 McKinney_Dallas_17437</v>
      </c>
      <c r="L6477" s="104" t="s">
        <v>22253</v>
      </c>
      <c r="M6477" s="103" t="str">
        <f t="shared" si="508"/>
        <v>http://oconnordata.com/mlink/modules/profile/index.cfm?action=profile&amp;prop_id=17437</v>
      </c>
      <c r="N6477" s="1">
        <f t="shared" si="509"/>
        <v>17437</v>
      </c>
    </row>
    <row r="6478" spans="1:14" x14ac:dyDescent="0.3">
      <c r="A6478" s="1">
        <v>17438</v>
      </c>
      <c r="B6478" s="10" t="s">
        <v>9711</v>
      </c>
      <c r="C6478" s="9">
        <v>2901</v>
      </c>
      <c r="D6478" s="10" t="s">
        <v>9712</v>
      </c>
      <c r="E6478" s="11" t="s">
        <v>4996</v>
      </c>
      <c r="F6478" t="str">
        <f t="shared" si="505"/>
        <v>Indiana</v>
      </c>
      <c r="G6478" t="str">
        <f t="shared" si="506"/>
        <v>Indiana2901Dallas</v>
      </c>
      <c r="H6478" t="s">
        <v>37334</v>
      </c>
      <c r="I6478" t="s">
        <v>28751</v>
      </c>
      <c r="J6478" t="str">
        <f t="shared" si="507"/>
        <v>E:\PropInv\MF</v>
      </c>
      <c r="K6478" s="103" t="str">
        <f>HYPERLINK("E:\PropInv\MF\Dallas\Indiana St_2901_Broadstone Ambrose_Dallas_17438","Indiana St_2901_Broadstone Ambrose_Dallas_17438" )</f>
        <v>Indiana St_2901_Broadstone Ambrose_Dallas_17438</v>
      </c>
      <c r="L6478" s="104" t="s">
        <v>22253</v>
      </c>
      <c r="M6478" s="103" t="str">
        <f t="shared" si="508"/>
        <v>http://oconnordata.com/mlink/modules/profile/index.cfm?action=profile&amp;prop_id=17438</v>
      </c>
      <c r="N6478" s="1">
        <f t="shared" si="509"/>
        <v>17438</v>
      </c>
    </row>
    <row r="6479" spans="1:14" x14ac:dyDescent="0.3">
      <c r="A6479" s="1">
        <v>17439</v>
      </c>
      <c r="B6479" s="10" t="s">
        <v>9713</v>
      </c>
      <c r="C6479" s="9">
        <v>401</v>
      </c>
      <c r="D6479" s="10" t="s">
        <v>9714</v>
      </c>
      <c r="E6479" s="11" t="s">
        <v>18</v>
      </c>
      <c r="F6479" t="str">
        <f t="shared" si="505"/>
        <v>Teravista</v>
      </c>
      <c r="G6479" t="str">
        <f t="shared" si="506"/>
        <v>Teravista401Round Rock</v>
      </c>
      <c r="H6479" t="s">
        <v>37335</v>
      </c>
      <c r="I6479" t="s">
        <v>28752</v>
      </c>
      <c r="J6479" t="str">
        <f t="shared" si="507"/>
        <v>E:\PropInv\MF</v>
      </c>
      <c r="K6479" s="103" t="str">
        <f>HYPERLINK("E:\PropInv\MF\Round Rock\Teravista Pkwy_401_Melograno at Teravista_Round Rock_17439","Teravista Pkwy_401_Melograno at Teravista_Round Rock_17439" )</f>
        <v>Teravista Pkwy_401_Melograno at Teravista_Round Rock_17439</v>
      </c>
      <c r="L6479" s="104" t="s">
        <v>22253</v>
      </c>
      <c r="M6479" s="103" t="str">
        <f t="shared" si="508"/>
        <v>http://oconnordata.com/mlink/modules/profile/index.cfm?action=profile&amp;prop_id=17439</v>
      </c>
      <c r="N6479" s="1">
        <f t="shared" si="509"/>
        <v>17439</v>
      </c>
    </row>
    <row r="6480" spans="1:14" x14ac:dyDescent="0.3">
      <c r="A6480" s="1">
        <v>17440</v>
      </c>
      <c r="B6480" s="10" t="s">
        <v>9715</v>
      </c>
      <c r="C6480" s="9">
        <v>701</v>
      </c>
      <c r="D6480" s="10" t="s">
        <v>9716</v>
      </c>
      <c r="E6480" s="11" t="s">
        <v>5055</v>
      </c>
      <c r="F6480" t="str">
        <f t="shared" si="505"/>
        <v>Leora</v>
      </c>
      <c r="G6480" t="str">
        <f t="shared" si="506"/>
        <v>Leora701Lewisville</v>
      </c>
      <c r="H6480" t="s">
        <v>37336</v>
      </c>
      <c r="I6480" t="s">
        <v>28753</v>
      </c>
      <c r="J6480" t="str">
        <f t="shared" si="507"/>
        <v>E:\PropInv\MF</v>
      </c>
      <c r="K6480" s="103" t="str">
        <f>HYPERLINK("E:\PropInv\MF\Lewisville\Leora Ln N_701_Lakeside 121_Lewisville_17440","Leora Ln N_701_Lakeside 121_Lewisville_17440" )</f>
        <v>Leora Ln N_701_Lakeside 121_Lewisville_17440</v>
      </c>
      <c r="L6480" s="104" t="s">
        <v>22253</v>
      </c>
      <c r="M6480" s="103" t="str">
        <f t="shared" si="508"/>
        <v>http://oconnordata.com/mlink/modules/profile/index.cfm?action=profile&amp;prop_id=17440</v>
      </c>
      <c r="N6480" s="1">
        <f t="shared" si="509"/>
        <v>17440</v>
      </c>
    </row>
    <row r="6481" spans="1:14" x14ac:dyDescent="0.3">
      <c r="A6481" s="1">
        <v>17441</v>
      </c>
      <c r="B6481" s="10" t="s">
        <v>9717</v>
      </c>
      <c r="C6481" s="9">
        <v>811</v>
      </c>
      <c r="D6481" s="10" t="s">
        <v>9718</v>
      </c>
      <c r="E6481" s="11" t="s">
        <v>4996</v>
      </c>
      <c r="F6481" t="str">
        <f t="shared" si="505"/>
        <v>Morrell</v>
      </c>
      <c r="G6481" t="str">
        <f t="shared" si="506"/>
        <v>Morrell811Dallas</v>
      </c>
      <c r="H6481" t="s">
        <v>37337</v>
      </c>
      <c r="I6481" t="s">
        <v>28754</v>
      </c>
      <c r="J6481" t="str">
        <f t="shared" si="507"/>
        <v>E:\PropInv\MF</v>
      </c>
      <c r="K6481" s="103" t="str">
        <f>HYPERLINK("E:\PropInv\MF\Dallas\Morrell Ave_811_Ewing Villas_Dallas_17441","Morrell Ave_811_Ewing Villas_Dallas_17441" )</f>
        <v>Morrell Ave_811_Ewing Villas_Dallas_17441</v>
      </c>
      <c r="L6481" s="104" t="s">
        <v>22253</v>
      </c>
      <c r="M6481" s="103" t="str">
        <f t="shared" si="508"/>
        <v>http://oconnordata.com/mlink/modules/profile/index.cfm?action=profile&amp;prop_id=17441</v>
      </c>
      <c r="N6481" s="1">
        <f t="shared" si="509"/>
        <v>17441</v>
      </c>
    </row>
    <row r="6482" spans="1:14" x14ac:dyDescent="0.3">
      <c r="A6482" s="1">
        <v>17442</v>
      </c>
      <c r="B6482" s="10" t="s">
        <v>9719</v>
      </c>
      <c r="C6482" s="9">
        <v>1300</v>
      </c>
      <c r="D6482" s="10" t="s">
        <v>9720</v>
      </c>
      <c r="E6482" s="11" t="s">
        <v>7790</v>
      </c>
      <c r="F6482" t="str">
        <f t="shared" si="505"/>
        <v>Village</v>
      </c>
      <c r="G6482" t="str">
        <f t="shared" si="506"/>
        <v>Village1300Azle</v>
      </c>
      <c r="H6482" t="s">
        <v>37338</v>
      </c>
      <c r="I6482" t="s">
        <v>28755</v>
      </c>
      <c r="J6482" t="str">
        <f t="shared" si="507"/>
        <v>E:\PropInv\MF</v>
      </c>
      <c r="K6482" s="103" t="str">
        <f>HYPERLINK("E:\PropInv\MF\Azle\Village Gardens_1300_Eagle Lake Gardens_Azle_17442","Village Gardens_1300_Eagle Lake Gardens_Azle_17442" )</f>
        <v>Village Gardens_1300_Eagle Lake Gardens_Azle_17442</v>
      </c>
      <c r="L6482" s="104" t="s">
        <v>22253</v>
      </c>
      <c r="M6482" s="103" t="str">
        <f t="shared" si="508"/>
        <v>http://oconnordata.com/mlink/modules/profile/index.cfm?action=profile&amp;prop_id=17442</v>
      </c>
      <c r="N6482" s="1">
        <f t="shared" si="509"/>
        <v>17442</v>
      </c>
    </row>
    <row r="6483" spans="1:14" x14ac:dyDescent="0.3">
      <c r="A6483" s="1">
        <v>17445</v>
      </c>
      <c r="B6483" s="7" t="s">
        <v>9721</v>
      </c>
      <c r="C6483" s="12">
        <v>351</v>
      </c>
      <c r="D6483" s="7" t="s">
        <v>9722</v>
      </c>
      <c r="E6483" s="13" t="s">
        <v>5140</v>
      </c>
      <c r="F6483" t="str">
        <f t="shared" si="505"/>
        <v>Chaparral</v>
      </c>
      <c r="G6483" t="str">
        <f t="shared" si="506"/>
        <v>Chaparral351Allen</v>
      </c>
      <c r="H6483" t="s">
        <v>37339</v>
      </c>
      <c r="I6483" t="s">
        <v>28756</v>
      </c>
      <c r="J6483" t="str">
        <f t="shared" si="507"/>
        <v>E:\PropInv\MF</v>
      </c>
      <c r="K6483" s="103" t="str">
        <f>HYPERLINK("E:\PropInv\MF\Allen\Chaparral Rd_351_Chaparral TH_Allen_17445","Chaparral Rd_351_Chaparral TH_Allen_17445" )</f>
        <v>Chaparral Rd_351_Chaparral TH_Allen_17445</v>
      </c>
      <c r="L6483" s="104" t="s">
        <v>22253</v>
      </c>
      <c r="M6483" s="103" t="str">
        <f t="shared" si="508"/>
        <v>http://oconnordata.com/mlink/modules/profile/index.cfm?action=profile&amp;prop_id=17445</v>
      </c>
      <c r="N6483" s="1">
        <f t="shared" si="509"/>
        <v>17445</v>
      </c>
    </row>
    <row r="6484" spans="1:14" x14ac:dyDescent="0.3">
      <c r="A6484" s="1">
        <v>17446</v>
      </c>
      <c r="B6484" s="7" t="s">
        <v>6731</v>
      </c>
      <c r="C6484" s="12">
        <v>6225</v>
      </c>
      <c r="D6484" s="7" t="s">
        <v>9723</v>
      </c>
      <c r="E6484" s="13" t="s">
        <v>5014</v>
      </c>
      <c r="F6484" t="str">
        <f t="shared" si="505"/>
        <v>Shady</v>
      </c>
      <c r="G6484" t="str">
        <f t="shared" si="506"/>
        <v>Shady6225Fort Worth</v>
      </c>
      <c r="H6484" t="s">
        <v>37340</v>
      </c>
      <c r="I6484" t="s">
        <v>28757</v>
      </c>
      <c r="J6484" t="str">
        <f t="shared" si="507"/>
        <v>E:\PropInv\MF</v>
      </c>
      <c r="K6484" s="103" t="str">
        <f>HYPERLINK("E:\PropInv\MF\Fort Worth\Shady Oaks Manor Dr_6225_Wildwood Branch_Fort Worth_17446","Shady Oaks Manor Dr_6225_Wildwood Branch_Fort Worth_17446" )</f>
        <v>Shady Oaks Manor Dr_6225_Wildwood Branch_Fort Worth_17446</v>
      </c>
      <c r="L6484" s="104" t="s">
        <v>22253</v>
      </c>
      <c r="M6484" s="103" t="str">
        <f t="shared" si="508"/>
        <v>http://oconnordata.com/mlink/modules/profile/index.cfm?action=profile&amp;prop_id=17446</v>
      </c>
      <c r="N6484" s="1">
        <f t="shared" si="509"/>
        <v>17446</v>
      </c>
    </row>
    <row r="6485" spans="1:14" x14ac:dyDescent="0.3">
      <c r="A6485" s="1">
        <v>17447</v>
      </c>
      <c r="B6485" s="7" t="s">
        <v>9634</v>
      </c>
      <c r="C6485" s="12">
        <v>3245</v>
      </c>
      <c r="D6485" s="7" t="s">
        <v>9724</v>
      </c>
      <c r="E6485" s="13" t="s">
        <v>4996</v>
      </c>
      <c r="F6485" t="str">
        <f t="shared" si="505"/>
        <v>Simpson</v>
      </c>
      <c r="G6485" t="str">
        <f t="shared" si="506"/>
        <v>Simpson3245Dallas</v>
      </c>
      <c r="H6485" t="s">
        <v>37341</v>
      </c>
      <c r="I6485" t="s">
        <v>28758</v>
      </c>
      <c r="J6485" t="str">
        <f t="shared" si="507"/>
        <v>E:\PropInv\MF</v>
      </c>
      <c r="K6485" s="103" t="str">
        <f>HYPERLINK("E:\PropInv\MF\Dallas\Simpson Stuart Rd_3245_Homes of Persimmon_Dallas_17447","Simpson Stuart Rd_3245_Homes of Persimmon_Dallas_17447" )</f>
        <v>Simpson Stuart Rd_3245_Homes of Persimmon_Dallas_17447</v>
      </c>
      <c r="L6485" s="104" t="s">
        <v>22253</v>
      </c>
      <c r="M6485" s="103" t="str">
        <f t="shared" si="508"/>
        <v>http://oconnordata.com/mlink/modules/profile/index.cfm?action=profile&amp;prop_id=17447</v>
      </c>
      <c r="N6485" s="1">
        <f t="shared" si="509"/>
        <v>17447</v>
      </c>
    </row>
    <row r="6486" spans="1:14" x14ac:dyDescent="0.3">
      <c r="A6486" s="1">
        <v>17448</v>
      </c>
      <c r="B6486" s="7" t="s">
        <v>9725</v>
      </c>
      <c r="C6486" s="12">
        <v>2100</v>
      </c>
      <c r="D6486" s="7" t="s">
        <v>9726</v>
      </c>
      <c r="E6486" s="13" t="s">
        <v>5014</v>
      </c>
      <c r="F6486" t="str">
        <f t="shared" si="505"/>
        <v>Jacocks</v>
      </c>
      <c r="G6486" t="str">
        <f t="shared" si="506"/>
        <v>Jacocks2100Fort Worth</v>
      </c>
      <c r="H6486" t="s">
        <v>37342</v>
      </c>
      <c r="I6486" t="s">
        <v>28759</v>
      </c>
      <c r="J6486" t="str">
        <f t="shared" si="507"/>
        <v>E:\PropInv\MF</v>
      </c>
      <c r="K6486" s="103" t="str">
        <f>HYPERLINK("E:\PropInv\MF\Fort Worth\Jacocks Ln_2100_Times Square on the Hill_Fort Worth_17448","Jacocks Ln_2100_Times Square on the Hill_Fort Worth_17448" )</f>
        <v>Jacocks Ln_2100_Times Square on the Hill_Fort Worth_17448</v>
      </c>
      <c r="L6486" s="104" t="s">
        <v>22253</v>
      </c>
      <c r="M6486" s="103" t="str">
        <f t="shared" si="508"/>
        <v>http://oconnordata.com/mlink/modules/profile/index.cfm?action=profile&amp;prop_id=17448</v>
      </c>
      <c r="N6486" s="1">
        <f t="shared" si="509"/>
        <v>17448</v>
      </c>
    </row>
    <row r="6487" spans="1:14" x14ac:dyDescent="0.3">
      <c r="A6487" s="1">
        <v>17449</v>
      </c>
      <c r="B6487" s="7" t="s">
        <v>9727</v>
      </c>
      <c r="C6487" s="12">
        <v>2929</v>
      </c>
      <c r="D6487" s="7" t="s">
        <v>9728</v>
      </c>
      <c r="E6487" s="13" t="s">
        <v>4996</v>
      </c>
      <c r="F6487" t="str">
        <f t="shared" si="505"/>
        <v>Wycliff</v>
      </c>
      <c r="G6487" t="str">
        <f t="shared" si="506"/>
        <v>Wycliff2929Dallas</v>
      </c>
      <c r="H6487" t="s">
        <v>37343</v>
      </c>
      <c r="I6487" t="s">
        <v>28760</v>
      </c>
      <c r="J6487" t="str">
        <f t="shared" si="507"/>
        <v>E:\PropInv\MF</v>
      </c>
      <c r="K6487" s="103" t="str">
        <f>HYPERLINK("E:\PropInv\MF\Dallas\Wycliff Ave_2929_2929 Wycliff_Dallas_17449","Wycliff Ave_2929_2929 Wycliff_Dallas_17449" )</f>
        <v>Wycliff Ave_2929_2929 Wycliff_Dallas_17449</v>
      </c>
      <c r="L6487" s="104" t="s">
        <v>22253</v>
      </c>
      <c r="M6487" s="103" t="str">
        <f t="shared" si="508"/>
        <v>http://oconnordata.com/mlink/modules/profile/index.cfm?action=profile&amp;prop_id=17449</v>
      </c>
      <c r="N6487" s="1">
        <f t="shared" si="509"/>
        <v>17449</v>
      </c>
    </row>
    <row r="6488" spans="1:14" x14ac:dyDescent="0.3">
      <c r="A6488" s="1">
        <v>17450</v>
      </c>
      <c r="B6488" s="7" t="s">
        <v>9729</v>
      </c>
      <c r="C6488" s="12">
        <v>151</v>
      </c>
      <c r="D6488" s="7" t="s">
        <v>9730</v>
      </c>
      <c r="E6488" s="13" t="s">
        <v>5638</v>
      </c>
      <c r="F6488" t="str">
        <f t="shared" si="505"/>
        <v>Meadowview</v>
      </c>
      <c r="G6488" t="str">
        <f t="shared" si="506"/>
        <v>Meadowview151Terrell</v>
      </c>
      <c r="H6488" t="s">
        <v>37344</v>
      </c>
      <c r="I6488" t="s">
        <v>28761</v>
      </c>
      <c r="J6488" t="str">
        <f t="shared" si="507"/>
        <v>E:\PropInv\MF</v>
      </c>
      <c r="K6488" s="103" t="str">
        <f>HYPERLINK("E:\PropInv\MF\Terrell\Meadowview Ct_151_Meadowview TH_Terrell_17450","Meadowview Ct_151_Meadowview TH_Terrell_17450" )</f>
        <v>Meadowview Ct_151_Meadowview TH_Terrell_17450</v>
      </c>
      <c r="L6488" s="104" t="s">
        <v>22253</v>
      </c>
      <c r="M6488" s="103" t="str">
        <f t="shared" si="508"/>
        <v>http://oconnordata.com/mlink/modules/profile/index.cfm?action=profile&amp;prop_id=17450</v>
      </c>
      <c r="N6488" s="1">
        <f t="shared" si="509"/>
        <v>17450</v>
      </c>
    </row>
    <row r="6489" spans="1:14" x14ac:dyDescent="0.3">
      <c r="A6489" s="1">
        <v>17451</v>
      </c>
      <c r="B6489" s="7" t="s">
        <v>6129</v>
      </c>
      <c r="C6489" s="12">
        <v>2021</v>
      </c>
      <c r="D6489" s="7" t="s">
        <v>9731</v>
      </c>
      <c r="E6489" s="13" t="s">
        <v>4996</v>
      </c>
      <c r="F6489" t="str">
        <f t="shared" si="505"/>
        <v>Washington</v>
      </c>
      <c r="G6489" t="str">
        <f t="shared" si="506"/>
        <v>Washington2021Dallas</v>
      </c>
      <c r="H6489" t="s">
        <v>37345</v>
      </c>
      <c r="I6489" t="s">
        <v>28762</v>
      </c>
      <c r="J6489" t="str">
        <f t="shared" si="507"/>
        <v>E:\PropInv\MF</v>
      </c>
      <c r="K6489" s="103" t="str">
        <f>HYPERLINK("E:\PropInv\MF\Dallas\Washington Ave N_2021_Roseland TH &amp; Estates_Dallas_17451","Washington Ave N_2021_Roseland TH &amp; Estates_Dallas_17451" )</f>
        <v>Washington Ave N_2021_Roseland TH &amp; Estates_Dallas_17451</v>
      </c>
      <c r="L6489" s="104" t="s">
        <v>22253</v>
      </c>
      <c r="M6489" s="103" t="str">
        <f t="shared" si="508"/>
        <v>http://oconnordata.com/mlink/modules/profile/index.cfm?action=profile&amp;prop_id=17451</v>
      </c>
      <c r="N6489" s="1">
        <f t="shared" si="509"/>
        <v>17451</v>
      </c>
    </row>
    <row r="6490" spans="1:14" x14ac:dyDescent="0.3">
      <c r="A6490" s="1">
        <v>17452</v>
      </c>
      <c r="B6490" s="7" t="s">
        <v>9732</v>
      </c>
      <c r="C6490" s="12">
        <v>1488</v>
      </c>
      <c r="D6490" s="7" t="s">
        <v>9733</v>
      </c>
      <c r="E6490" s="13" t="s">
        <v>5267</v>
      </c>
      <c r="F6490" t="str">
        <f t="shared" si="505"/>
        <v>May</v>
      </c>
      <c r="G6490" t="str">
        <f t="shared" si="506"/>
        <v>May1488Seagoville</v>
      </c>
      <c r="H6490" t="s">
        <v>37346</v>
      </c>
      <c r="I6490" t="s">
        <v>28763</v>
      </c>
      <c r="J6490" t="str">
        <f t="shared" si="507"/>
        <v>E:\PropInv\MF</v>
      </c>
      <c r="K6490" s="103" t="str">
        <f>HYPERLINK("E:\PropInv\MF\Seagoville\May Rd Cir_1488_May Road Apts_Seagoville_17452","May Rd Cir_1488_May Road Apts_Seagoville_17452" )</f>
        <v>May Rd Cir_1488_May Road Apts_Seagoville_17452</v>
      </c>
      <c r="L6490" s="104" t="s">
        <v>22253</v>
      </c>
      <c r="M6490" s="103" t="str">
        <f t="shared" si="508"/>
        <v>http://oconnordata.com/mlink/modules/profile/index.cfm?action=profile&amp;prop_id=17452</v>
      </c>
      <c r="N6490" s="1">
        <f t="shared" si="509"/>
        <v>17452</v>
      </c>
    </row>
    <row r="6491" spans="1:14" x14ac:dyDescent="0.3">
      <c r="A6491" s="1">
        <v>17453</v>
      </c>
      <c r="B6491" s="7" t="s">
        <v>9734</v>
      </c>
      <c r="C6491" s="12">
        <v>202</v>
      </c>
      <c r="D6491" s="7" t="s">
        <v>9735</v>
      </c>
      <c r="E6491" s="13" t="s">
        <v>7522</v>
      </c>
      <c r="F6491" t="str">
        <f t="shared" si="505"/>
        <v>Sweetwater</v>
      </c>
      <c r="G6491" t="str">
        <f t="shared" si="506"/>
        <v>Sweetwater202Weatherford</v>
      </c>
      <c r="H6491" t="s">
        <v>37347</v>
      </c>
      <c r="I6491" t="s">
        <v>28764</v>
      </c>
      <c r="J6491" t="str">
        <f t="shared" si="507"/>
        <v>E:\PropInv\MF</v>
      </c>
      <c r="K6491" s="103" t="str">
        <f>HYPERLINK("E:\PropInv\MF\Weatherford\Sweetwater Dr_202_Fox Hollow TH_Weatherford_17453","Sweetwater Dr_202_Fox Hollow TH_Weatherford_17453" )</f>
        <v>Sweetwater Dr_202_Fox Hollow TH_Weatherford_17453</v>
      </c>
      <c r="L6491" s="104" t="s">
        <v>22253</v>
      </c>
      <c r="M6491" s="103" t="str">
        <f t="shared" si="508"/>
        <v>http://oconnordata.com/mlink/modules/profile/index.cfm?action=profile&amp;prop_id=17453</v>
      </c>
      <c r="N6491" s="1">
        <f t="shared" si="509"/>
        <v>17453</v>
      </c>
    </row>
    <row r="6492" spans="1:14" x14ac:dyDescent="0.3">
      <c r="A6492" s="1">
        <v>17454</v>
      </c>
      <c r="B6492" s="7" t="s">
        <v>5347</v>
      </c>
      <c r="C6492" s="12">
        <v>2400</v>
      </c>
      <c r="D6492" s="7" t="s">
        <v>9736</v>
      </c>
      <c r="E6492" s="13" t="s">
        <v>5195</v>
      </c>
      <c r="F6492" t="str">
        <f t="shared" si="505"/>
        <v>Bolton</v>
      </c>
      <c r="G6492" t="str">
        <f t="shared" si="506"/>
        <v>Bolton2400Desoto</v>
      </c>
      <c r="H6492" t="s">
        <v>37348</v>
      </c>
      <c r="I6492" t="s">
        <v>28765</v>
      </c>
      <c r="J6492" t="str">
        <f t="shared" si="507"/>
        <v>E:\PropInv\MF</v>
      </c>
      <c r="K6492" s="103" t="str">
        <f>HYPERLINK("E:\PropInv\MF\Desoto\Bolton Boone Dr_2400_Primrose Park at Rolling Hills_Desoto_17454","Bolton Boone Dr_2400_Primrose Park at Rolling Hills_Desoto_17454" )</f>
        <v>Bolton Boone Dr_2400_Primrose Park at Rolling Hills_Desoto_17454</v>
      </c>
      <c r="L6492" s="104" t="s">
        <v>22253</v>
      </c>
      <c r="M6492" s="103" t="str">
        <f t="shared" si="508"/>
        <v>http://oconnordata.com/mlink/modules/profile/index.cfm?action=profile&amp;prop_id=17454</v>
      </c>
      <c r="N6492" s="1">
        <f t="shared" si="509"/>
        <v>17454</v>
      </c>
    </row>
    <row r="6493" spans="1:14" x14ac:dyDescent="0.3">
      <c r="A6493" s="1">
        <v>17455</v>
      </c>
      <c r="B6493" s="7" t="s">
        <v>9737</v>
      </c>
      <c r="C6493" s="12">
        <v>401</v>
      </c>
      <c r="D6493" s="7" t="s">
        <v>9738</v>
      </c>
      <c r="E6493" s="13" t="s">
        <v>5074</v>
      </c>
      <c r="F6493" t="str">
        <f t="shared" si="505"/>
        <v>Shady</v>
      </c>
      <c r="G6493" t="str">
        <f t="shared" si="506"/>
        <v>Shady401Lake Dallas</v>
      </c>
      <c r="H6493" t="s">
        <v>37349</v>
      </c>
      <c r="I6493" t="s">
        <v>28766</v>
      </c>
      <c r="J6493" t="str">
        <f t="shared" si="507"/>
        <v>E:\PropInv\MF</v>
      </c>
      <c r="K6493" s="103" t="str">
        <f>HYPERLINK("E:\PropInv\MF\Lake Dallas\Shady Shore Rd_401_Shady Shores Apts_Lake Dallas_17455","Shady Shore Rd_401_Shady Shores Apts_Lake Dallas_17455" )</f>
        <v>Shady Shore Rd_401_Shady Shores Apts_Lake Dallas_17455</v>
      </c>
      <c r="L6493" s="104" t="s">
        <v>22253</v>
      </c>
      <c r="M6493" s="103" t="str">
        <f t="shared" si="508"/>
        <v>http://oconnordata.com/mlink/modules/profile/index.cfm?action=profile&amp;prop_id=17455</v>
      </c>
      <c r="N6493" s="1">
        <f t="shared" si="509"/>
        <v>17455</v>
      </c>
    </row>
    <row r="6494" spans="1:14" x14ac:dyDescent="0.3">
      <c r="A6494" s="1">
        <v>17456</v>
      </c>
      <c r="B6494" s="7" t="s">
        <v>9739</v>
      </c>
      <c r="C6494" s="12">
        <v>2800</v>
      </c>
      <c r="D6494" s="7" t="s">
        <v>9740</v>
      </c>
      <c r="E6494" s="13" t="s">
        <v>5046</v>
      </c>
      <c r="F6494" t="str">
        <f t="shared" si="505"/>
        <v>Pioneer</v>
      </c>
      <c r="G6494" t="str">
        <f t="shared" si="506"/>
        <v>Pioneer2800Irving</v>
      </c>
      <c r="H6494" t="s">
        <v>37350</v>
      </c>
      <c r="I6494" t="s">
        <v>28767</v>
      </c>
      <c r="J6494" t="str">
        <f t="shared" si="507"/>
        <v>E:\PropInv\MF</v>
      </c>
      <c r="K6494" s="103" t="str">
        <f>HYPERLINK("E:\PropInv\MF\Irving\Pioneer Blvd W_2800_Oak Park Apts_Irving_17456","Pioneer Blvd W_2800_Oak Park Apts_Irving_17456" )</f>
        <v>Pioneer Blvd W_2800_Oak Park Apts_Irving_17456</v>
      </c>
      <c r="L6494" s="104" t="s">
        <v>22253</v>
      </c>
      <c r="M6494" s="103" t="str">
        <f t="shared" si="508"/>
        <v>http://oconnordata.com/mlink/modules/profile/index.cfm?action=profile&amp;prop_id=17456</v>
      </c>
      <c r="N6494" s="1">
        <f t="shared" si="509"/>
        <v>17456</v>
      </c>
    </row>
    <row r="6495" spans="1:14" x14ac:dyDescent="0.3">
      <c r="A6495" s="1">
        <v>17457</v>
      </c>
      <c r="B6495" s="7" t="s">
        <v>9741</v>
      </c>
      <c r="C6495" s="12">
        <v>3120</v>
      </c>
      <c r="D6495" s="7" t="s">
        <v>9742</v>
      </c>
      <c r="E6495" s="13" t="s">
        <v>4996</v>
      </c>
      <c r="F6495" t="str">
        <f t="shared" si="505"/>
        <v>Guadalupe</v>
      </c>
      <c r="G6495" t="str">
        <f t="shared" si="506"/>
        <v>Guadalupe3120Dallas</v>
      </c>
      <c r="H6495" t="s">
        <v>37351</v>
      </c>
      <c r="I6495" t="s">
        <v>28768</v>
      </c>
      <c r="J6495" t="str">
        <f t="shared" si="507"/>
        <v>E:\PropInv\MF</v>
      </c>
      <c r="K6495" s="103" t="str">
        <f>HYPERLINK("E:\PropInv\MF\Dallas\Guadalupe Ave_3120_Columbia Luxar TH_Dallas_17457","Guadalupe Ave_3120_Columbia Luxar TH_Dallas_17457" )</f>
        <v>Guadalupe Ave_3120_Columbia Luxar TH_Dallas_17457</v>
      </c>
      <c r="L6495" s="104" t="s">
        <v>22253</v>
      </c>
      <c r="M6495" s="103" t="str">
        <f t="shared" si="508"/>
        <v>http://oconnordata.com/mlink/modules/profile/index.cfm?action=profile&amp;prop_id=17457</v>
      </c>
      <c r="N6495" s="1">
        <f t="shared" si="509"/>
        <v>17457</v>
      </c>
    </row>
    <row r="6496" spans="1:14" x14ac:dyDescent="0.3">
      <c r="A6496" s="1">
        <v>17458</v>
      </c>
      <c r="B6496" s="21" t="s">
        <v>9743</v>
      </c>
      <c r="C6496" s="12" t="s">
        <v>9744</v>
      </c>
      <c r="D6496" s="7" t="s">
        <v>9745</v>
      </c>
      <c r="E6496" s="13" t="s">
        <v>4996</v>
      </c>
      <c r="F6496" t="str">
        <f t="shared" si="505"/>
        <v>S</v>
      </c>
      <c r="G6496" t="str">
        <f t="shared" si="506"/>
        <v>S1811-1821Dallas</v>
      </c>
      <c r="H6496" t="s">
        <v>37352</v>
      </c>
      <c r="I6496" t="s">
        <v>28769</v>
      </c>
      <c r="J6496" t="str">
        <f t="shared" si="507"/>
        <v>E:\PropInv\MF</v>
      </c>
      <c r="K6496" s="103" t="str">
        <f>HYPERLINK("E:\PropInv\MF\Dallas\S Blvd_1811-1821_Edgewood Manor_Dallas_17458","S Blvd_1811-1821_Edgewood Manor_Dallas_17458" )</f>
        <v>S Blvd_1811-1821_Edgewood Manor_Dallas_17458</v>
      </c>
      <c r="L6496" s="104" t="s">
        <v>22253</v>
      </c>
      <c r="M6496" s="103" t="str">
        <f t="shared" si="508"/>
        <v>http://oconnordata.com/mlink/modules/profile/index.cfm?action=profile&amp;prop_id=17458</v>
      </c>
      <c r="N6496" s="1">
        <f t="shared" si="509"/>
        <v>17458</v>
      </c>
    </row>
    <row r="6497" spans="1:14" x14ac:dyDescent="0.3">
      <c r="A6497" s="1">
        <v>17459</v>
      </c>
      <c r="B6497" s="7" t="s">
        <v>7641</v>
      </c>
      <c r="C6497" s="12">
        <v>1725</v>
      </c>
      <c r="D6497" s="7" t="s">
        <v>9746</v>
      </c>
      <c r="E6497" s="13" t="s">
        <v>5088</v>
      </c>
      <c r="F6497" t="str">
        <f t="shared" si="505"/>
        <v>Oates</v>
      </c>
      <c r="G6497" t="str">
        <f t="shared" si="506"/>
        <v>Oates1725Mesquite</v>
      </c>
      <c r="H6497" t="s">
        <v>37353</v>
      </c>
      <c r="I6497" t="s">
        <v>28770</v>
      </c>
      <c r="J6497" t="str">
        <f t="shared" si="507"/>
        <v>E:\PropInv\MF</v>
      </c>
      <c r="K6497" s="103" t="str">
        <f>HYPERLINK("E:\PropInv\MF\Mesquite\Oates Dr_1725_LBJ Garden Villas_Mesquite_17459","Oates Dr_1725_LBJ Garden Villas_Mesquite_17459" )</f>
        <v>Oates Dr_1725_LBJ Garden Villas_Mesquite_17459</v>
      </c>
      <c r="L6497" s="104" t="s">
        <v>22253</v>
      </c>
      <c r="M6497" s="103" t="str">
        <f t="shared" si="508"/>
        <v>http://oconnordata.com/mlink/modules/profile/index.cfm?action=profile&amp;prop_id=17459</v>
      </c>
      <c r="N6497" s="1">
        <f t="shared" si="509"/>
        <v>17459</v>
      </c>
    </row>
    <row r="6498" spans="1:14" x14ac:dyDescent="0.3">
      <c r="A6498" s="1">
        <v>17460</v>
      </c>
      <c r="B6498" s="7" t="s">
        <v>9747</v>
      </c>
      <c r="C6498" s="12">
        <v>260</v>
      </c>
      <c r="D6498" s="7" t="s">
        <v>9748</v>
      </c>
      <c r="E6498" s="13" t="s">
        <v>5638</v>
      </c>
      <c r="F6498" t="str">
        <f t="shared" si="505"/>
        <v>2578</v>
      </c>
      <c r="G6498" t="str">
        <f t="shared" si="506"/>
        <v>2578260Terrell</v>
      </c>
      <c r="H6498" t="s">
        <v>37354</v>
      </c>
      <c r="I6498" t="s">
        <v>28771</v>
      </c>
      <c r="J6498" t="str">
        <f t="shared" si="507"/>
        <v>E:\PropInv\MF</v>
      </c>
      <c r="K6498" s="103" t="str">
        <f>HYPERLINK("E:\PropInv\MF\Terrell\2578 FM_260_Terrell Senior Terraces I_Terrell_17460","2578 FM_260_Terrell Senior Terraces I_Terrell_17460" )</f>
        <v>2578 FM_260_Terrell Senior Terraces I_Terrell_17460</v>
      </c>
      <c r="L6498" s="104" t="s">
        <v>22253</v>
      </c>
      <c r="M6498" s="103" t="str">
        <f t="shared" si="508"/>
        <v>http://oconnordata.com/mlink/modules/profile/index.cfm?action=profile&amp;prop_id=17460</v>
      </c>
      <c r="N6498" s="1">
        <f t="shared" si="509"/>
        <v>17460</v>
      </c>
    </row>
    <row r="6499" spans="1:14" x14ac:dyDescent="0.3">
      <c r="A6499" s="1">
        <v>17461</v>
      </c>
      <c r="B6499" s="7" t="s">
        <v>9749</v>
      </c>
      <c r="C6499" s="12">
        <v>1151</v>
      </c>
      <c r="D6499" s="19" t="s">
        <v>9750</v>
      </c>
      <c r="E6499" s="13" t="s">
        <v>6898</v>
      </c>
      <c r="F6499" t="str">
        <f t="shared" si="505"/>
        <v>Remington</v>
      </c>
      <c r="G6499" t="str">
        <f t="shared" si="506"/>
        <v>Remington1151Burleson</v>
      </c>
      <c r="H6499" t="s">
        <v>37355</v>
      </c>
      <c r="I6499" t="s">
        <v>28772</v>
      </c>
      <c r="J6499" t="str">
        <f t="shared" si="507"/>
        <v>E:\PropInv\MF</v>
      </c>
      <c r="K6499" s="103" t="str">
        <f>HYPERLINK("E:\PropInv\MF\Burleson\Remington Cir_1151_Shenandoah TH_Burleson_17461","Remington Cir_1151_Shenandoah TH_Burleson_17461" )</f>
        <v>Remington Cir_1151_Shenandoah TH_Burleson_17461</v>
      </c>
      <c r="L6499" s="104" t="s">
        <v>22253</v>
      </c>
      <c r="M6499" s="103" t="str">
        <f t="shared" si="508"/>
        <v>http://oconnordata.com/mlink/modules/profile/index.cfm?action=profile&amp;prop_id=17461</v>
      </c>
      <c r="N6499" s="1">
        <f t="shared" si="509"/>
        <v>17461</v>
      </c>
    </row>
    <row r="6500" spans="1:14" s="114" customFormat="1" x14ac:dyDescent="0.3">
      <c r="A6500" s="111">
        <v>17462</v>
      </c>
      <c r="B6500" s="127" t="s">
        <v>9751</v>
      </c>
      <c r="C6500" s="128">
        <v>1215</v>
      </c>
      <c r="D6500" s="127" t="s">
        <v>9752</v>
      </c>
      <c r="E6500" s="127" t="s">
        <v>6555</v>
      </c>
      <c r="F6500" s="114" t="str">
        <f t="shared" si="505"/>
        <v>Cooper</v>
      </c>
      <c r="G6500" s="114" t="str">
        <f t="shared" si="506"/>
        <v>Cooper1215Arlington</v>
      </c>
      <c r="H6500" s="114" t="s">
        <v>37356</v>
      </c>
      <c r="I6500" s="114" t="s">
        <v>28773</v>
      </c>
      <c r="J6500" s="114" t="str">
        <f t="shared" si="507"/>
        <v>E:\PropInv\MF</v>
      </c>
      <c r="K6500" s="115" t="str">
        <f>HYPERLINK("E:\PropInv\MF\Arlington\Cooper St N_1215_Avalon Apts_Arlington_17462","Cooper St N_1215_Avalon Apts_Arlington_17462" )</f>
        <v>Cooper St N_1215_Avalon Apts_Arlington_17462</v>
      </c>
      <c r="L6500" s="116" t="s">
        <v>22253</v>
      </c>
      <c r="M6500" s="115" t="str">
        <f t="shared" si="508"/>
        <v>http://oconnordata.com/mlink/modules/profile/index.cfm?action=profile&amp;prop_id=17462</v>
      </c>
      <c r="N6500" s="111">
        <f t="shared" si="509"/>
        <v>17462</v>
      </c>
    </row>
    <row r="6501" spans="1:14" x14ac:dyDescent="0.3">
      <c r="A6501" s="1">
        <v>17463</v>
      </c>
      <c r="B6501" s="7" t="s">
        <v>9753</v>
      </c>
      <c r="C6501" s="12">
        <v>201</v>
      </c>
      <c r="D6501" s="7" t="s">
        <v>9754</v>
      </c>
      <c r="E6501" s="13" t="s">
        <v>7790</v>
      </c>
      <c r="F6501" t="str">
        <f t="shared" si="505"/>
        <v>Las</v>
      </c>
      <c r="G6501" t="str">
        <f t="shared" si="506"/>
        <v>Las201Azle</v>
      </c>
      <c r="H6501" t="s">
        <v>37357</v>
      </c>
      <c r="I6501" t="s">
        <v>28774</v>
      </c>
      <c r="J6501" t="str">
        <f t="shared" si="507"/>
        <v>E:\PropInv\MF</v>
      </c>
      <c r="K6501" s="103" t="str">
        <f>HYPERLINK("E:\PropInv\MF\Azle\Las Bresas_201_Azle Village_Azle_17463","Las Bresas_201_Azle Village_Azle_17463" )</f>
        <v>Las Bresas_201_Azle Village_Azle_17463</v>
      </c>
      <c r="L6501" s="104" t="s">
        <v>22253</v>
      </c>
      <c r="M6501" s="103" t="str">
        <f t="shared" si="508"/>
        <v>http://oconnordata.com/mlink/modules/profile/index.cfm?action=profile&amp;prop_id=17463</v>
      </c>
      <c r="N6501" s="1">
        <f t="shared" si="509"/>
        <v>17463</v>
      </c>
    </row>
    <row r="6502" spans="1:14" x14ac:dyDescent="0.3">
      <c r="A6502" s="1">
        <v>17464</v>
      </c>
      <c r="B6502" s="7" t="s">
        <v>7189</v>
      </c>
      <c r="C6502" s="12">
        <v>2700</v>
      </c>
      <c r="D6502" s="7" t="s">
        <v>9755</v>
      </c>
      <c r="E6502" s="13" t="s">
        <v>4996</v>
      </c>
      <c r="F6502" t="str">
        <f t="shared" si="505"/>
        <v>Buckner</v>
      </c>
      <c r="G6502" t="str">
        <f t="shared" si="506"/>
        <v>Buckner2700Dallas</v>
      </c>
      <c r="H6502" t="s">
        <v>37358</v>
      </c>
      <c r="I6502" t="s">
        <v>28775</v>
      </c>
      <c r="J6502" t="str">
        <f t="shared" si="507"/>
        <v>E:\PropInv\MF</v>
      </c>
      <c r="K6502" s="103" t="str">
        <f>HYPERLINK("E:\PropInv\MF\Dallas\Buckner Blvd N_2700_Bella Vista Park_Dallas_17464","Buckner Blvd N_2700_Bella Vista Park_Dallas_17464" )</f>
        <v>Buckner Blvd N_2700_Bella Vista Park_Dallas_17464</v>
      </c>
      <c r="L6502" s="104" t="s">
        <v>22253</v>
      </c>
      <c r="M6502" s="103" t="str">
        <f t="shared" si="508"/>
        <v>http://oconnordata.com/mlink/modules/profile/index.cfm?action=profile&amp;prop_id=17464</v>
      </c>
      <c r="N6502" s="1">
        <f t="shared" si="509"/>
        <v>17464</v>
      </c>
    </row>
    <row r="6503" spans="1:14" x14ac:dyDescent="0.3">
      <c r="A6503" s="1">
        <v>17465</v>
      </c>
      <c r="B6503" s="7" t="s">
        <v>9756</v>
      </c>
      <c r="C6503" s="12">
        <v>1190</v>
      </c>
      <c r="D6503" s="7" t="s">
        <v>9757</v>
      </c>
      <c r="E6503" s="13" t="s">
        <v>4996</v>
      </c>
      <c r="F6503" t="str">
        <f t="shared" si="505"/>
        <v>Prairie</v>
      </c>
      <c r="G6503" t="str">
        <f t="shared" si="506"/>
        <v>Prairie1190Dallas</v>
      </c>
      <c r="H6503" t="s">
        <v>37359</v>
      </c>
      <c r="I6503" t="s">
        <v>28776</v>
      </c>
      <c r="J6503" t="str">
        <f t="shared" si="507"/>
        <v>E:\PropInv\MF</v>
      </c>
      <c r="K6503" s="103" t="str">
        <f>HYPERLINK("E:\PropInv\MF\Dallas\Prairie Creek_1190_Prairie Creek Manor_Dallas_17465","Prairie Creek_1190_Prairie Creek Manor_Dallas_17465" )</f>
        <v>Prairie Creek_1190_Prairie Creek Manor_Dallas_17465</v>
      </c>
      <c r="L6503" s="104" t="s">
        <v>22253</v>
      </c>
      <c r="M6503" s="103" t="str">
        <f t="shared" si="508"/>
        <v>http://oconnordata.com/mlink/modules/profile/index.cfm?action=profile&amp;prop_id=17465</v>
      </c>
      <c r="N6503" s="1">
        <f t="shared" si="509"/>
        <v>17465</v>
      </c>
    </row>
    <row r="6504" spans="1:14" x14ac:dyDescent="0.3">
      <c r="A6504" s="1">
        <v>17466</v>
      </c>
      <c r="B6504" s="7" t="s">
        <v>6930</v>
      </c>
      <c r="C6504" s="12">
        <v>7100</v>
      </c>
      <c r="D6504" s="7" t="s">
        <v>9758</v>
      </c>
      <c r="E6504" s="13" t="s">
        <v>5009</v>
      </c>
      <c r="F6504" t="str">
        <f t="shared" si="505"/>
        <v>Chase</v>
      </c>
      <c r="G6504" t="str">
        <f t="shared" si="506"/>
        <v>Chase7100Plano</v>
      </c>
      <c r="H6504" t="s">
        <v>37360</v>
      </c>
      <c r="I6504" t="s">
        <v>28777</v>
      </c>
      <c r="J6504" t="str">
        <f t="shared" si="507"/>
        <v>E:\PropInv\MF</v>
      </c>
      <c r="K6504" s="103" t="str">
        <f>HYPERLINK("E:\PropInv\MF\Plano\Chase Oaks Blvd_7100_Plaza at Chase Oaks_Plano_17466","Chase Oaks Blvd_7100_Plaza at Chase Oaks_Plano_17466" )</f>
        <v>Chase Oaks Blvd_7100_Plaza at Chase Oaks_Plano_17466</v>
      </c>
      <c r="L6504" s="104" t="s">
        <v>22253</v>
      </c>
      <c r="M6504" s="103" t="str">
        <f t="shared" si="508"/>
        <v>http://oconnordata.com/mlink/modules/profile/index.cfm?action=profile&amp;prop_id=17466</v>
      </c>
      <c r="N6504" s="1">
        <f t="shared" si="509"/>
        <v>17466</v>
      </c>
    </row>
    <row r="6505" spans="1:14" x14ac:dyDescent="0.3">
      <c r="A6505" s="1">
        <v>17467</v>
      </c>
      <c r="B6505" s="7" t="s">
        <v>9759</v>
      </c>
      <c r="C6505" s="12">
        <v>8201</v>
      </c>
      <c r="D6505" s="7" t="s">
        <v>9760</v>
      </c>
      <c r="E6505" s="13" t="s">
        <v>5014</v>
      </c>
      <c r="F6505" t="str">
        <f t="shared" si="505"/>
        <v>Sartain</v>
      </c>
      <c r="G6505" t="str">
        <f t="shared" si="506"/>
        <v>Sartain8201Fort Worth</v>
      </c>
      <c r="H6505" t="s">
        <v>37361</v>
      </c>
      <c r="I6505" t="s">
        <v>28778</v>
      </c>
      <c r="J6505" t="str">
        <f t="shared" si="507"/>
        <v>E:\PropInv\MF</v>
      </c>
      <c r="K6505" s="103" t="str">
        <f>HYPERLINK("E:\PropInv\MF\Fort Worth\Sartain Dr_8201_Cobblestone Manor_Fort Worth_17467","Sartain Dr_8201_Cobblestone Manor_Fort Worth_17467" )</f>
        <v>Sartain Dr_8201_Cobblestone Manor_Fort Worth_17467</v>
      </c>
      <c r="L6505" s="104" t="s">
        <v>22253</v>
      </c>
      <c r="M6505" s="103" t="str">
        <f t="shared" si="508"/>
        <v>http://oconnordata.com/mlink/modules/profile/index.cfm?action=profile&amp;prop_id=17467</v>
      </c>
      <c r="N6505" s="1">
        <f t="shared" si="509"/>
        <v>17467</v>
      </c>
    </row>
    <row r="6506" spans="1:14" x14ac:dyDescent="0.3">
      <c r="A6506" s="1">
        <v>17468</v>
      </c>
      <c r="B6506" s="7" t="s">
        <v>9761</v>
      </c>
      <c r="C6506" s="12">
        <v>6148</v>
      </c>
      <c r="D6506" s="7" t="s">
        <v>9762</v>
      </c>
      <c r="E6506" s="13" t="s">
        <v>5014</v>
      </c>
      <c r="F6506" t="str">
        <f t="shared" si="505"/>
        <v>San</v>
      </c>
      <c r="G6506" t="str">
        <f t="shared" si="506"/>
        <v>San6148Fort Worth</v>
      </c>
      <c r="H6506" t="s">
        <v>37362</v>
      </c>
      <c r="I6506" t="s">
        <v>28779</v>
      </c>
      <c r="J6506" t="str">
        <f t="shared" si="507"/>
        <v>E:\PropInv\MF</v>
      </c>
      <c r="K6506" s="103" t="str">
        <f>HYPERLINK("E:\PropInv\MF\Fort Worth\San Villa Dr_6148_Shady Oaks Manor Apts_Fort Worth_17468","San Villa Dr_6148_Shady Oaks Manor Apts_Fort Worth_17468" )</f>
        <v>San Villa Dr_6148_Shady Oaks Manor Apts_Fort Worth_17468</v>
      </c>
      <c r="L6506" s="104" t="s">
        <v>22253</v>
      </c>
      <c r="M6506" s="103" t="str">
        <f t="shared" si="508"/>
        <v>http://oconnordata.com/mlink/modules/profile/index.cfm?action=profile&amp;prop_id=17468</v>
      </c>
      <c r="N6506" s="1">
        <f t="shared" si="509"/>
        <v>17468</v>
      </c>
    </row>
    <row r="6507" spans="1:14" x14ac:dyDescent="0.3">
      <c r="A6507" s="1">
        <v>17469</v>
      </c>
      <c r="B6507" s="7" t="s">
        <v>9763</v>
      </c>
      <c r="C6507" s="12">
        <v>955</v>
      </c>
      <c r="D6507" s="7" t="s">
        <v>9764</v>
      </c>
      <c r="E6507" s="13" t="s">
        <v>1657</v>
      </c>
      <c r="F6507" t="str">
        <f t="shared" si="505"/>
        <v>Langwick</v>
      </c>
      <c r="G6507" t="str">
        <f t="shared" si="506"/>
        <v>Langwick955Houston</v>
      </c>
      <c r="H6507" t="s">
        <v>37363</v>
      </c>
      <c r="I6507" t="s">
        <v>28780</v>
      </c>
      <c r="J6507" t="str">
        <f t="shared" si="507"/>
        <v>E:\PropInv\MF</v>
      </c>
      <c r="K6507" s="103" t="str">
        <f>HYPERLINK("E:\PropInv\MF\Houston\Langwick Dr_955_Langwick Senior Residences_Houston_17469","Langwick Dr_955_Langwick Senior Residences_Houston_17469" )</f>
        <v>Langwick Dr_955_Langwick Senior Residences_Houston_17469</v>
      </c>
      <c r="L6507" s="104" t="s">
        <v>22253</v>
      </c>
      <c r="M6507" s="103" t="str">
        <f t="shared" si="508"/>
        <v>http://oconnordata.com/mlink/modules/profile/index.cfm?action=profile&amp;prop_id=17469</v>
      </c>
      <c r="N6507" s="1">
        <f t="shared" si="509"/>
        <v>17469</v>
      </c>
    </row>
    <row r="6508" spans="1:14" x14ac:dyDescent="0.3">
      <c r="A6508" s="1">
        <v>17470</v>
      </c>
      <c r="B6508" s="7" t="s">
        <v>4873</v>
      </c>
      <c r="C6508" s="12">
        <v>9922</v>
      </c>
      <c r="D6508" s="7" t="s">
        <v>9765</v>
      </c>
      <c r="E6508" s="13" t="s">
        <v>1657</v>
      </c>
      <c r="F6508" t="str">
        <f t="shared" si="505"/>
        <v>Montgomery</v>
      </c>
      <c r="G6508" t="str">
        <f t="shared" si="506"/>
        <v>Montgomery9922Houston</v>
      </c>
      <c r="H6508" t="s">
        <v>37364</v>
      </c>
      <c r="I6508" t="s">
        <v>28781</v>
      </c>
      <c r="J6508" t="str">
        <f t="shared" si="507"/>
        <v>E:\PropInv\MF</v>
      </c>
      <c r="K6508" s="103" t="str">
        <f>HYPERLINK("E:\PropInv\MF\Houston\Montgomery Rd W_9922_Parkway Ranch I_Houston_17470","Montgomery Rd W_9922_Parkway Ranch I_Houston_17470" )</f>
        <v>Montgomery Rd W_9922_Parkway Ranch I_Houston_17470</v>
      </c>
      <c r="L6508" s="104" t="s">
        <v>22253</v>
      </c>
      <c r="M6508" s="103" t="str">
        <f t="shared" si="508"/>
        <v>http://oconnordata.com/mlink/modules/profile/index.cfm?action=profile&amp;prop_id=17470</v>
      </c>
      <c r="N6508" s="1">
        <f t="shared" si="509"/>
        <v>17470</v>
      </c>
    </row>
    <row r="6509" spans="1:14" x14ac:dyDescent="0.3">
      <c r="A6509" s="1">
        <v>17471</v>
      </c>
      <c r="B6509" s="19" t="s">
        <v>9766</v>
      </c>
      <c r="C6509" s="18">
        <v>1017</v>
      </c>
      <c r="D6509" s="19" t="s">
        <v>9767</v>
      </c>
      <c r="E6509" s="20" t="s">
        <v>4673</v>
      </c>
      <c r="F6509" t="str">
        <f t="shared" si="505"/>
        <v>Cedar</v>
      </c>
      <c r="G6509" t="str">
        <f t="shared" si="506"/>
        <v>Cedar1017La Marque</v>
      </c>
      <c r="H6509" t="s">
        <v>37365</v>
      </c>
      <c r="I6509" t="s">
        <v>28782</v>
      </c>
      <c r="J6509" t="str">
        <f t="shared" si="507"/>
        <v>E:\PropInv\MF</v>
      </c>
      <c r="K6509" s="103" t="str">
        <f>HYPERLINK("E:\PropInv\MF\La Marque\Cedar Dr_1017_Cedar Drive Village_La Marque_17471","Cedar Dr_1017_Cedar Drive Village_La Marque_17471" )</f>
        <v>Cedar Dr_1017_Cedar Drive Village_La Marque_17471</v>
      </c>
      <c r="L6509" s="104" t="s">
        <v>22253</v>
      </c>
      <c r="M6509" s="103" t="str">
        <f t="shared" si="508"/>
        <v>http://oconnordata.com/mlink/modules/profile/index.cfm?action=profile&amp;prop_id=17471</v>
      </c>
      <c r="N6509" s="1">
        <f t="shared" si="509"/>
        <v>17471</v>
      </c>
    </row>
    <row r="6510" spans="1:14" x14ac:dyDescent="0.3">
      <c r="A6510" s="1">
        <v>17472</v>
      </c>
      <c r="B6510" s="7" t="s">
        <v>4781</v>
      </c>
      <c r="C6510" s="12">
        <v>2889</v>
      </c>
      <c r="D6510" s="7" t="s">
        <v>9768</v>
      </c>
      <c r="E6510" s="13" t="s">
        <v>1657</v>
      </c>
      <c r="F6510" t="str">
        <f t="shared" si="505"/>
        <v>Reed</v>
      </c>
      <c r="G6510" t="str">
        <f t="shared" si="506"/>
        <v>Reed2889Houston</v>
      </c>
      <c r="H6510" t="s">
        <v>37366</v>
      </c>
      <c r="I6510" t="s">
        <v>28783</v>
      </c>
      <c r="J6510" t="str">
        <f t="shared" si="507"/>
        <v>E:\PropInv\MF</v>
      </c>
      <c r="K6510" s="103" t="str">
        <f>HYPERLINK("E:\PropInv\MF\Houston\Reed Rd_2889_Mariposa at Reed Road_Houston_17472","Reed Rd_2889_Mariposa at Reed Road_Houston_17472" )</f>
        <v>Reed Rd_2889_Mariposa at Reed Road_Houston_17472</v>
      </c>
      <c r="L6510" s="104" t="s">
        <v>22253</v>
      </c>
      <c r="M6510" s="103" t="str">
        <f t="shared" si="508"/>
        <v>http://oconnordata.com/mlink/modules/profile/index.cfm?action=profile&amp;prop_id=17472</v>
      </c>
      <c r="N6510" s="1">
        <f t="shared" si="509"/>
        <v>17472</v>
      </c>
    </row>
    <row r="6511" spans="1:14" x14ac:dyDescent="0.3">
      <c r="A6511" s="1">
        <v>17473</v>
      </c>
      <c r="B6511" s="7" t="s">
        <v>9769</v>
      </c>
      <c r="C6511" s="12">
        <v>1000</v>
      </c>
      <c r="D6511" s="7" t="s">
        <v>9770</v>
      </c>
      <c r="E6511" s="13" t="s">
        <v>2609</v>
      </c>
      <c r="F6511" t="str">
        <f t="shared" si="505"/>
        <v>Birdsong</v>
      </c>
      <c r="G6511" t="str">
        <f t="shared" si="506"/>
        <v>Birdsong1000Baytown</v>
      </c>
      <c r="H6511" t="s">
        <v>37367</v>
      </c>
      <c r="I6511" t="s">
        <v>28784</v>
      </c>
      <c r="J6511" t="str">
        <f t="shared" si="507"/>
        <v>E:\PropInv\MF</v>
      </c>
      <c r="K6511" s="103" t="str">
        <f>HYPERLINK("E:\PropInv\MF\Baytown\Birdsong Dr_1000_Birdsong Place Villas_Baytown_17473","Birdsong Dr_1000_Birdsong Place Villas_Baytown_17473" )</f>
        <v>Birdsong Dr_1000_Birdsong Place Villas_Baytown_17473</v>
      </c>
      <c r="L6511" s="104" t="s">
        <v>22253</v>
      </c>
      <c r="M6511" s="103" t="str">
        <f t="shared" si="508"/>
        <v>http://oconnordata.com/mlink/modules/profile/index.cfm?action=profile&amp;prop_id=17473</v>
      </c>
      <c r="N6511" s="1">
        <f t="shared" si="509"/>
        <v>17473</v>
      </c>
    </row>
    <row r="6512" spans="1:14" x14ac:dyDescent="0.3">
      <c r="A6512" s="1">
        <v>17474</v>
      </c>
      <c r="B6512" s="7" t="s">
        <v>9771</v>
      </c>
      <c r="C6512" s="12">
        <v>7510</v>
      </c>
      <c r="D6512" s="7" t="s">
        <v>9772</v>
      </c>
      <c r="E6512" s="13" t="s">
        <v>1657</v>
      </c>
      <c r="F6512" t="str">
        <f t="shared" si="505"/>
        <v>Burgoyne</v>
      </c>
      <c r="G6512" t="str">
        <f t="shared" si="506"/>
        <v>Burgoyne7510Houston</v>
      </c>
      <c r="H6512" t="s">
        <v>37368</v>
      </c>
      <c r="I6512" t="s">
        <v>28785</v>
      </c>
      <c r="J6512" t="str">
        <f t="shared" si="507"/>
        <v>E:\PropInv\MF</v>
      </c>
      <c r="K6512" s="103" t="str">
        <f>HYPERLINK("E:\PropInv\MF\Houston\Burgoyne Rd_7510_Tanglewood at Voss West_Houston_17474","Burgoyne Rd_7510_Tanglewood at Voss West_Houston_17474" )</f>
        <v>Burgoyne Rd_7510_Tanglewood at Voss West_Houston_17474</v>
      </c>
      <c r="L6512" s="104" t="s">
        <v>22253</v>
      </c>
      <c r="M6512" s="103" t="str">
        <f t="shared" si="508"/>
        <v>http://oconnordata.com/mlink/modules/profile/index.cfm?action=profile&amp;prop_id=17474</v>
      </c>
      <c r="N6512" s="1">
        <f t="shared" si="509"/>
        <v>17474</v>
      </c>
    </row>
    <row r="6513" spans="1:14" x14ac:dyDescent="0.3">
      <c r="A6513" s="1">
        <v>17475</v>
      </c>
      <c r="B6513" s="7" t="s">
        <v>9773</v>
      </c>
      <c r="C6513" s="12">
        <v>2213</v>
      </c>
      <c r="D6513" s="7" t="s">
        <v>275</v>
      </c>
      <c r="E6513" s="13" t="s">
        <v>4616</v>
      </c>
      <c r="F6513" t="str">
        <f t="shared" si="505"/>
        <v>Frazier</v>
      </c>
      <c r="G6513" t="str">
        <f t="shared" si="506"/>
        <v>Frazier2213Conroe</v>
      </c>
      <c r="H6513" t="s">
        <v>37369</v>
      </c>
      <c r="I6513" t="s">
        <v>28786</v>
      </c>
      <c r="J6513" t="str">
        <f t="shared" si="507"/>
        <v>E:\PropInv\MF</v>
      </c>
      <c r="K6513" s="103" t="str">
        <f>HYPERLINK("E:\PropInv\MF\Conroe\Frazier St N_2213_Oak Creek_Conroe_17475","Frazier St N_2213_Oak Creek_Conroe_17475" )</f>
        <v>Frazier St N_2213_Oak Creek_Conroe_17475</v>
      </c>
      <c r="L6513" s="104" t="s">
        <v>22253</v>
      </c>
      <c r="M6513" s="103" t="str">
        <f t="shared" si="508"/>
        <v>http://oconnordata.com/mlink/modules/profile/index.cfm?action=profile&amp;prop_id=17475</v>
      </c>
      <c r="N6513" s="1">
        <f t="shared" si="509"/>
        <v>17475</v>
      </c>
    </row>
    <row r="6514" spans="1:14" x14ac:dyDescent="0.3">
      <c r="A6514" s="1">
        <v>17476</v>
      </c>
      <c r="B6514" s="7" t="s">
        <v>9774</v>
      </c>
      <c r="C6514" s="12">
        <v>930</v>
      </c>
      <c r="D6514" s="7" t="s">
        <v>9775</v>
      </c>
      <c r="E6514" s="13" t="s">
        <v>3241</v>
      </c>
      <c r="F6514" t="str">
        <f t="shared" si="505"/>
        <v>Dell</v>
      </c>
      <c r="G6514" t="str">
        <f t="shared" si="506"/>
        <v>Dell930Channelview</v>
      </c>
      <c r="H6514" t="s">
        <v>37370</v>
      </c>
      <c r="I6514" t="s">
        <v>28787</v>
      </c>
      <c r="J6514" t="str">
        <f t="shared" si="507"/>
        <v>E:\PropInv\MF</v>
      </c>
      <c r="K6514" s="103" t="str">
        <f>HYPERLINK("E:\PropInv\MF\Channelview\Dell Dale St_930_Sheldon Ranch_Channelview_17476","Dell Dale St_930_Sheldon Ranch_Channelview_17476" )</f>
        <v>Dell Dale St_930_Sheldon Ranch_Channelview_17476</v>
      </c>
      <c r="L6514" s="104" t="s">
        <v>22253</v>
      </c>
      <c r="M6514" s="103" t="str">
        <f t="shared" si="508"/>
        <v>http://oconnordata.com/mlink/modules/profile/index.cfm?action=profile&amp;prop_id=17476</v>
      </c>
      <c r="N6514" s="1">
        <f t="shared" si="509"/>
        <v>17476</v>
      </c>
    </row>
    <row r="6515" spans="1:14" x14ac:dyDescent="0.3">
      <c r="A6515" s="1">
        <v>17477</v>
      </c>
      <c r="B6515" s="7" t="s">
        <v>1889</v>
      </c>
      <c r="C6515" s="12">
        <v>13350</v>
      </c>
      <c r="D6515" s="7" t="s">
        <v>9776</v>
      </c>
      <c r="E6515" s="13" t="s">
        <v>1657</v>
      </c>
      <c r="F6515" t="str">
        <f t="shared" si="505"/>
        <v>Perry</v>
      </c>
      <c r="G6515" t="str">
        <f t="shared" si="506"/>
        <v>Perry13350Houston</v>
      </c>
      <c r="H6515" t="s">
        <v>37371</v>
      </c>
      <c r="I6515" t="s">
        <v>28788</v>
      </c>
      <c r="J6515" t="str">
        <f t="shared" si="507"/>
        <v>E:\PropInv\MF</v>
      </c>
      <c r="K6515" s="103" t="str">
        <f>HYPERLINK("E:\PropInv\MF\Houston\Perry Rd_13350_Orchard Park at Willowbrook_Houston_17477","Perry Rd_13350_Orchard Park at Willowbrook_Houston_17477" )</f>
        <v>Perry Rd_13350_Orchard Park at Willowbrook_Houston_17477</v>
      </c>
      <c r="L6515" s="104" t="s">
        <v>22253</v>
      </c>
      <c r="M6515" s="103" t="str">
        <f t="shared" si="508"/>
        <v>http://oconnordata.com/mlink/modules/profile/index.cfm?action=profile&amp;prop_id=17477</v>
      </c>
      <c r="N6515" s="1">
        <f t="shared" si="509"/>
        <v>17477</v>
      </c>
    </row>
    <row r="6516" spans="1:14" x14ac:dyDescent="0.3">
      <c r="A6516" s="1">
        <v>17478</v>
      </c>
      <c r="B6516" s="7" t="s">
        <v>2045</v>
      </c>
      <c r="C6516" s="12">
        <v>625</v>
      </c>
      <c r="D6516" s="7" t="s">
        <v>9777</v>
      </c>
      <c r="E6516" s="13" t="s">
        <v>1763</v>
      </c>
      <c r="F6516" t="str">
        <f t="shared" si="505"/>
        <v>Wilson</v>
      </c>
      <c r="G6516" t="str">
        <f t="shared" si="506"/>
        <v>Wilson625Humble</v>
      </c>
      <c r="H6516" t="s">
        <v>37372</v>
      </c>
      <c r="I6516" t="s">
        <v>28789</v>
      </c>
      <c r="J6516" t="str">
        <f t="shared" si="507"/>
        <v>E:\PropInv\MF</v>
      </c>
      <c r="K6516" s="103" t="str">
        <f>HYPERLINK("E:\PropInv\MF\Humble\Wilson Rd_625_Countryside Village_Humble_17478","Wilson Rd_625_Countryside Village_Humble_17478" )</f>
        <v>Wilson Rd_625_Countryside Village_Humble_17478</v>
      </c>
      <c r="L6516" s="104" t="s">
        <v>22253</v>
      </c>
      <c r="M6516" s="103" t="str">
        <f t="shared" si="508"/>
        <v>http://oconnordata.com/mlink/modules/profile/index.cfm?action=profile&amp;prop_id=17478</v>
      </c>
      <c r="N6516" s="1">
        <f t="shared" si="509"/>
        <v>17478</v>
      </c>
    </row>
    <row r="6517" spans="1:14" x14ac:dyDescent="0.3">
      <c r="A6517" s="1">
        <v>17479</v>
      </c>
      <c r="B6517" s="7" t="s">
        <v>9778</v>
      </c>
      <c r="C6517" s="12" t="s">
        <v>9779</v>
      </c>
      <c r="D6517" s="7" t="s">
        <v>3511</v>
      </c>
      <c r="E6517" s="13" t="s">
        <v>5046</v>
      </c>
      <c r="F6517" t="str">
        <f t="shared" si="505"/>
        <v>Haley</v>
      </c>
      <c r="G6517" t="str">
        <f t="shared" si="506"/>
        <v>Haley410 &amp; 500Irving</v>
      </c>
      <c r="H6517" t="s">
        <v>37373</v>
      </c>
      <c r="I6517" t="s">
        <v>28790</v>
      </c>
      <c r="J6517" t="str">
        <f t="shared" si="507"/>
        <v>E:\PropInv\MF</v>
      </c>
      <c r="K6517" s="103" t="str">
        <f>HYPERLINK("E:\PropInv\MF\Irving\Haley St_410 &amp; 500_Royal Oaks Apts_Irving_17479","Haley St_410 &amp; 500_Royal Oaks Apts_Irving_17479" )</f>
        <v>Haley St_410 &amp; 500_Royal Oaks Apts_Irving_17479</v>
      </c>
      <c r="L6517" s="104" t="s">
        <v>22253</v>
      </c>
      <c r="M6517" s="103" t="str">
        <f t="shared" si="508"/>
        <v>http://oconnordata.com/mlink/modules/profile/index.cfm?action=profile&amp;prop_id=17479</v>
      </c>
      <c r="N6517" s="1">
        <f t="shared" si="509"/>
        <v>17479</v>
      </c>
    </row>
    <row r="6518" spans="1:14" x14ac:dyDescent="0.3">
      <c r="A6518" s="1">
        <v>17480</v>
      </c>
      <c r="B6518" s="7" t="s">
        <v>9780</v>
      </c>
      <c r="C6518" s="12">
        <v>2650</v>
      </c>
      <c r="D6518" s="7" t="s">
        <v>9781</v>
      </c>
      <c r="E6518" s="13" t="s">
        <v>5076</v>
      </c>
      <c r="F6518" t="str">
        <f t="shared" si="505"/>
        <v>Forum</v>
      </c>
      <c r="G6518" t="str">
        <f t="shared" si="506"/>
        <v>Forum2650Grand Prairie</v>
      </c>
      <c r="H6518" t="s">
        <v>37374</v>
      </c>
      <c r="I6518" t="s">
        <v>28791</v>
      </c>
      <c r="J6518" t="str">
        <f t="shared" si="507"/>
        <v>E:\PropInv\MF</v>
      </c>
      <c r="K6518" s="103" t="str">
        <f>HYPERLINK("E:\PropInv\MF\Grand Prairie\Forum Dr S_2650_The Forum at Grand Prairie_Grand Prairie_17480","Forum Dr S_2650_The Forum at Grand Prairie_Grand Prairie_17480" )</f>
        <v>Forum Dr S_2650_The Forum at Grand Prairie_Grand Prairie_17480</v>
      </c>
      <c r="L6518" s="104" t="s">
        <v>22253</v>
      </c>
      <c r="M6518" s="103" t="str">
        <f t="shared" si="508"/>
        <v>http://oconnordata.com/mlink/modules/profile/index.cfm?action=profile&amp;prop_id=17480</v>
      </c>
      <c r="N6518" s="1">
        <f t="shared" si="509"/>
        <v>17480</v>
      </c>
    </row>
    <row r="6519" spans="1:14" x14ac:dyDescent="0.3">
      <c r="A6519" s="1">
        <v>17481</v>
      </c>
      <c r="B6519" s="7" t="s">
        <v>2220</v>
      </c>
      <c r="C6519" s="12">
        <v>3023</v>
      </c>
      <c r="D6519" s="7" t="s">
        <v>9782</v>
      </c>
      <c r="E6519" s="13" t="s">
        <v>4996</v>
      </c>
      <c r="F6519" t="str">
        <f t="shared" si="505"/>
        <v>Park</v>
      </c>
      <c r="G6519" t="str">
        <f t="shared" si="506"/>
        <v>Park3023Dallas</v>
      </c>
      <c r="H6519" t="s">
        <v>37375</v>
      </c>
      <c r="I6519" t="s">
        <v>28792</v>
      </c>
      <c r="J6519" t="str">
        <f t="shared" si="507"/>
        <v>E:\PropInv\MF</v>
      </c>
      <c r="K6519" s="103" t="str">
        <f>HYPERLINK("E:\PropInv\MF\Dallas\Park Row_3023_Eban Village I &amp; II_Dallas_17481","Park Row_3023_Eban Village I &amp; II_Dallas_17481" )</f>
        <v>Park Row_3023_Eban Village I &amp; II_Dallas_17481</v>
      </c>
      <c r="L6519" s="104" t="s">
        <v>22253</v>
      </c>
      <c r="M6519" s="103" t="str">
        <f t="shared" si="508"/>
        <v>http://oconnordata.com/mlink/modules/profile/index.cfm?action=profile&amp;prop_id=17481</v>
      </c>
      <c r="N6519" s="1">
        <f t="shared" si="509"/>
        <v>17481</v>
      </c>
    </row>
    <row r="6520" spans="1:14" x14ac:dyDescent="0.3">
      <c r="A6520" s="1">
        <v>17483</v>
      </c>
      <c r="B6520" s="7" t="s">
        <v>9783</v>
      </c>
      <c r="C6520" s="12">
        <v>3200</v>
      </c>
      <c r="D6520" s="7" t="s">
        <v>9784</v>
      </c>
      <c r="E6520" s="13" t="s">
        <v>5488</v>
      </c>
      <c r="F6520" t="str">
        <f t="shared" si="505"/>
        <v>Rifle</v>
      </c>
      <c r="G6520" t="str">
        <f t="shared" si="506"/>
        <v>Rifle3200Frisco</v>
      </c>
      <c r="H6520" t="s">
        <v>37376</v>
      </c>
      <c r="I6520" t="s">
        <v>28793</v>
      </c>
      <c r="J6520" t="str">
        <f t="shared" si="507"/>
        <v>E:\PropInv\MF</v>
      </c>
      <c r="K6520" s="103" t="str">
        <f>HYPERLINK("E:\PropInv\MF\Frisco\Rifle Gap Rd_3200_Post Sierra at Frisco Bridges I_Frisco_17483","Rifle Gap Rd_3200_Post Sierra at Frisco Bridges I_Frisco_17483" )</f>
        <v>Rifle Gap Rd_3200_Post Sierra at Frisco Bridges I_Frisco_17483</v>
      </c>
      <c r="L6520" s="104" t="s">
        <v>22253</v>
      </c>
      <c r="M6520" s="103" t="str">
        <f t="shared" si="508"/>
        <v>http://oconnordata.com/mlink/modules/profile/index.cfm?action=profile&amp;prop_id=17483</v>
      </c>
      <c r="N6520" s="1">
        <f t="shared" si="509"/>
        <v>17483</v>
      </c>
    </row>
    <row r="6521" spans="1:14" x14ac:dyDescent="0.3">
      <c r="A6521" s="1">
        <v>17484</v>
      </c>
      <c r="B6521" s="7" t="s">
        <v>9783</v>
      </c>
      <c r="C6521" s="12" t="s">
        <v>2497</v>
      </c>
      <c r="D6521" s="7" t="s">
        <v>9785</v>
      </c>
      <c r="E6521" s="25" t="s">
        <v>5488</v>
      </c>
      <c r="F6521" t="str">
        <f t="shared" si="505"/>
        <v>Rifle</v>
      </c>
      <c r="G6521" t="str">
        <f t="shared" si="506"/>
        <v>RifleNFFrisco</v>
      </c>
      <c r="H6521" t="s">
        <v>37377</v>
      </c>
      <c r="I6521" t="s">
        <v>28794</v>
      </c>
      <c r="J6521" t="str">
        <f t="shared" si="507"/>
        <v>E:\PropInv\MF</v>
      </c>
      <c r="K6521" s="103" t="str">
        <f>HYPERLINK("E:\PropInv\MF\Frisco\Rifle Gap Rd_NF_Post Sierra at Frisco Bridges II_Frisco_17484","Rifle Gap Rd_NF_Post Sierra at Frisco Bridges II_Frisco_17484" )</f>
        <v>Rifle Gap Rd_NF_Post Sierra at Frisco Bridges II_Frisco_17484</v>
      </c>
      <c r="L6521" s="104" t="s">
        <v>22253</v>
      </c>
      <c r="M6521" s="103" t="str">
        <f t="shared" si="508"/>
        <v>http://oconnordata.com/mlink/modules/profile/index.cfm?action=profile&amp;prop_id=17484</v>
      </c>
      <c r="N6521" s="1">
        <f t="shared" si="509"/>
        <v>17484</v>
      </c>
    </row>
    <row r="6522" spans="1:14" x14ac:dyDescent="0.3">
      <c r="A6522" s="1">
        <v>17486</v>
      </c>
      <c r="B6522" s="7" t="s">
        <v>3933</v>
      </c>
      <c r="C6522" s="12">
        <v>925</v>
      </c>
      <c r="D6522" s="7" t="s">
        <v>9786</v>
      </c>
      <c r="E6522" s="13" t="s">
        <v>6578</v>
      </c>
      <c r="F6522" t="str">
        <f t="shared" si="505"/>
        <v>Main</v>
      </c>
      <c r="G6522" t="str">
        <f t="shared" si="506"/>
        <v>Main925Grapevine</v>
      </c>
      <c r="H6522" t="s">
        <v>37378</v>
      </c>
      <c r="I6522" t="s">
        <v>28795</v>
      </c>
      <c r="J6522" t="str">
        <f t="shared" si="507"/>
        <v>E:\PropInv\MF</v>
      </c>
      <c r="K6522" s="103" t="str">
        <f>HYPERLINK("E:\PropInv\MF\Grapevine\Main St S_925_925 Main_Grapevine_17486","Main St S_925_925 Main_Grapevine_17486" )</f>
        <v>Main St S_925_925 Main_Grapevine_17486</v>
      </c>
      <c r="L6522" s="104" t="s">
        <v>22253</v>
      </c>
      <c r="M6522" s="103" t="str">
        <f t="shared" si="508"/>
        <v>http://oconnordata.com/mlink/modules/profile/index.cfm?action=profile&amp;prop_id=17486</v>
      </c>
      <c r="N6522" s="1">
        <f t="shared" si="509"/>
        <v>17486</v>
      </c>
    </row>
    <row r="6523" spans="1:14" x14ac:dyDescent="0.3">
      <c r="A6523" s="1">
        <v>17489</v>
      </c>
      <c r="B6523" s="7" t="s">
        <v>9637</v>
      </c>
      <c r="C6523" s="12" t="s">
        <v>9787</v>
      </c>
      <c r="D6523" s="7" t="s">
        <v>9788</v>
      </c>
      <c r="E6523" s="13" t="s">
        <v>4996</v>
      </c>
      <c r="F6523" t="str">
        <f t="shared" si="505"/>
        <v>Hatcher</v>
      </c>
      <c r="G6523" t="str">
        <f t="shared" si="506"/>
        <v>Hatcher4700-4900Dallas</v>
      </c>
      <c r="H6523" t="s">
        <v>37379</v>
      </c>
      <c r="I6523" t="s">
        <v>28796</v>
      </c>
      <c r="J6523" t="str">
        <f t="shared" si="507"/>
        <v>E:\PropInv\MF</v>
      </c>
      <c r="K6523" s="103" t="str">
        <f>HYPERLINK("E:\PropInv\MF\Dallas\Hatcher St_4700-4900_Wahoo Frazier TH_Dallas_17489","Hatcher St_4700-4900_Wahoo Frazier TH_Dallas_17489" )</f>
        <v>Hatcher St_4700-4900_Wahoo Frazier TH_Dallas_17489</v>
      </c>
      <c r="L6523" s="104" t="s">
        <v>22253</v>
      </c>
      <c r="M6523" s="103" t="str">
        <f t="shared" si="508"/>
        <v>http://oconnordata.com/mlink/modules/profile/index.cfm?action=profile&amp;prop_id=17489</v>
      </c>
      <c r="N6523" s="1">
        <f t="shared" si="509"/>
        <v>17489</v>
      </c>
    </row>
    <row r="6524" spans="1:14" x14ac:dyDescent="0.3">
      <c r="A6524" s="1">
        <v>17490</v>
      </c>
      <c r="B6524" s="7" t="s">
        <v>9789</v>
      </c>
      <c r="C6524" s="12">
        <v>100</v>
      </c>
      <c r="D6524" s="7" t="s">
        <v>9790</v>
      </c>
      <c r="E6524" s="13" t="s">
        <v>5638</v>
      </c>
      <c r="F6524" t="str">
        <f t="shared" si="505"/>
        <v>Windsor</v>
      </c>
      <c r="G6524" t="str">
        <f t="shared" si="506"/>
        <v>Windsor100Terrell</v>
      </c>
      <c r="H6524" t="s">
        <v>37380</v>
      </c>
      <c r="I6524" t="s">
        <v>28797</v>
      </c>
      <c r="J6524" t="str">
        <f t="shared" si="507"/>
        <v>E:\PropInv\MF</v>
      </c>
      <c r="K6524" s="103" t="str">
        <f>HYPERLINK("E:\PropInv\MF\Terrell\Windsor Ct_100_Terrell Senior Terraces II_Terrell_17490","Windsor Ct_100_Terrell Senior Terraces II_Terrell_17490" )</f>
        <v>Windsor Ct_100_Terrell Senior Terraces II_Terrell_17490</v>
      </c>
      <c r="L6524" s="104" t="s">
        <v>22253</v>
      </c>
      <c r="M6524" s="103" t="str">
        <f t="shared" si="508"/>
        <v>http://oconnordata.com/mlink/modules/profile/index.cfm?action=profile&amp;prop_id=17490</v>
      </c>
      <c r="N6524" s="1">
        <f t="shared" si="509"/>
        <v>17490</v>
      </c>
    </row>
    <row r="6525" spans="1:14" x14ac:dyDescent="0.3">
      <c r="A6525" s="1">
        <v>17491</v>
      </c>
      <c r="B6525" s="7" t="s">
        <v>5322</v>
      </c>
      <c r="C6525" s="12">
        <v>8066</v>
      </c>
      <c r="D6525" s="7" t="s">
        <v>9791</v>
      </c>
      <c r="E6525" s="13" t="s">
        <v>4996</v>
      </c>
      <c r="F6525" t="str">
        <f t="shared" si="505"/>
        <v>Park</v>
      </c>
      <c r="G6525" t="str">
        <f t="shared" si="506"/>
        <v>Park8066Dallas</v>
      </c>
      <c r="H6525" t="s">
        <v>37381</v>
      </c>
      <c r="I6525" t="s">
        <v>28798</v>
      </c>
      <c r="J6525" t="str">
        <f t="shared" si="507"/>
        <v>E:\PropInv\MF</v>
      </c>
      <c r="K6525" s="103" t="str">
        <f>HYPERLINK("E:\PropInv\MF\Dallas\Park Ln_8066_The Heights at Park Lane Tower_Dallas_17491","Park Ln_8066_The Heights at Park Lane Tower_Dallas_17491" )</f>
        <v>Park Ln_8066_The Heights at Park Lane Tower_Dallas_17491</v>
      </c>
      <c r="L6525" s="104" t="s">
        <v>22253</v>
      </c>
      <c r="M6525" s="103" t="str">
        <f t="shared" si="508"/>
        <v>http://oconnordata.com/mlink/modules/profile/index.cfm?action=profile&amp;prop_id=17491</v>
      </c>
      <c r="N6525" s="1">
        <f t="shared" si="509"/>
        <v>17491</v>
      </c>
    </row>
    <row r="6526" spans="1:14" x14ac:dyDescent="0.3">
      <c r="A6526" s="1">
        <v>17492</v>
      </c>
      <c r="B6526" s="7" t="s">
        <v>5322</v>
      </c>
      <c r="C6526" s="12">
        <v>8066</v>
      </c>
      <c r="D6526" s="7" t="s">
        <v>9792</v>
      </c>
      <c r="E6526" s="13" t="s">
        <v>4996</v>
      </c>
      <c r="F6526" t="str">
        <f t="shared" si="505"/>
        <v>Park</v>
      </c>
      <c r="G6526" t="str">
        <f t="shared" si="506"/>
        <v>Park8066Dallas</v>
      </c>
      <c r="H6526" t="s">
        <v>37382</v>
      </c>
      <c r="I6526" t="s">
        <v>28799</v>
      </c>
      <c r="J6526" t="str">
        <f t="shared" si="507"/>
        <v>E:\PropInv\MF</v>
      </c>
      <c r="K6526" s="103" t="str">
        <f>HYPERLINK("E:\PropInv\MF\Dallas\Park Ln_8066_The Heights at Park Lane Flats_Dallas_17492","Park Ln_8066_The Heights at Park Lane Flats_Dallas_17492" )</f>
        <v>Park Ln_8066_The Heights at Park Lane Flats_Dallas_17492</v>
      </c>
      <c r="L6526" s="104" t="s">
        <v>22253</v>
      </c>
      <c r="M6526" s="103" t="str">
        <f t="shared" si="508"/>
        <v>http://oconnordata.com/mlink/modules/profile/index.cfm?action=profile&amp;prop_id=17492</v>
      </c>
      <c r="N6526" s="1">
        <f t="shared" si="509"/>
        <v>17492</v>
      </c>
    </row>
    <row r="6527" spans="1:14" x14ac:dyDescent="0.3">
      <c r="A6527" s="1">
        <v>17493</v>
      </c>
      <c r="B6527" s="7" t="s">
        <v>5322</v>
      </c>
      <c r="C6527" s="12">
        <v>8066</v>
      </c>
      <c r="D6527" s="7" t="s">
        <v>9793</v>
      </c>
      <c r="E6527" s="13" t="s">
        <v>4996</v>
      </c>
      <c r="F6527" t="str">
        <f t="shared" si="505"/>
        <v>Park</v>
      </c>
      <c r="G6527" t="str">
        <f t="shared" si="506"/>
        <v>Park8066Dallas</v>
      </c>
      <c r="H6527" t="s">
        <v>37383</v>
      </c>
      <c r="I6527" t="s">
        <v>28800</v>
      </c>
      <c r="J6527" t="str">
        <f t="shared" si="507"/>
        <v>E:\PropInv\MF</v>
      </c>
      <c r="K6527" s="103" t="str">
        <f>HYPERLINK("E:\PropInv\MF\Dallas\Park Ln_8066_The Heights at Park Lane Lofts_Dallas_17493","Park Ln_8066_The Heights at Park Lane Lofts_Dallas_17493" )</f>
        <v>Park Ln_8066_The Heights at Park Lane Lofts_Dallas_17493</v>
      </c>
      <c r="L6527" s="104" t="s">
        <v>22253</v>
      </c>
      <c r="M6527" s="103" t="str">
        <f t="shared" si="508"/>
        <v>http://oconnordata.com/mlink/modules/profile/index.cfm?action=profile&amp;prop_id=17493</v>
      </c>
      <c r="N6527" s="1">
        <f t="shared" si="509"/>
        <v>17493</v>
      </c>
    </row>
    <row r="6528" spans="1:14" x14ac:dyDescent="0.3">
      <c r="A6528" s="1">
        <v>17494</v>
      </c>
      <c r="B6528" s="7" t="s">
        <v>9794</v>
      </c>
      <c r="C6528" s="12">
        <v>2301</v>
      </c>
      <c r="D6528" s="7" t="s">
        <v>9795</v>
      </c>
      <c r="E6528" s="13" t="s">
        <v>1657</v>
      </c>
      <c r="F6528" t="str">
        <f t="shared" si="505"/>
        <v>Voss</v>
      </c>
      <c r="G6528" t="str">
        <f t="shared" si="506"/>
        <v>Voss2301Houston</v>
      </c>
      <c r="H6528" t="s">
        <v>37384</v>
      </c>
      <c r="I6528" t="s">
        <v>28801</v>
      </c>
      <c r="J6528" t="str">
        <f t="shared" si="507"/>
        <v>E:\PropInv\MF</v>
      </c>
      <c r="K6528" s="103" t="str">
        <f>HYPERLINK("E:\PropInv\MF\Houston\Voss Rd S_2301_Tanglewood at Voss East_Houston_17494","Voss Rd S_2301_Tanglewood at Voss East_Houston_17494" )</f>
        <v>Voss Rd S_2301_Tanglewood at Voss East_Houston_17494</v>
      </c>
      <c r="L6528" s="104" t="s">
        <v>22253</v>
      </c>
      <c r="M6528" s="103" t="str">
        <f t="shared" si="508"/>
        <v>http://oconnordata.com/mlink/modules/profile/index.cfm?action=profile&amp;prop_id=17494</v>
      </c>
      <c r="N6528" s="1">
        <f t="shared" si="509"/>
        <v>17494</v>
      </c>
    </row>
    <row r="6529" spans="1:14" x14ac:dyDescent="0.3">
      <c r="A6529" s="1">
        <v>17496</v>
      </c>
      <c r="B6529" s="7" t="s">
        <v>9796</v>
      </c>
      <c r="C6529" s="12">
        <v>3333</v>
      </c>
      <c r="D6529" s="7" t="s">
        <v>9797</v>
      </c>
      <c r="E6529" s="13" t="s">
        <v>1657</v>
      </c>
      <c r="F6529" t="str">
        <f t="shared" si="505"/>
        <v>Weslayan</v>
      </c>
      <c r="G6529" t="str">
        <f t="shared" si="506"/>
        <v>Weslayan3333Houston</v>
      </c>
      <c r="H6529" t="s">
        <v>37385</v>
      </c>
      <c r="I6529" t="s">
        <v>28802</v>
      </c>
      <c r="J6529" t="str">
        <f t="shared" si="507"/>
        <v>E:\PropInv\MF</v>
      </c>
      <c r="K6529" s="103" t="str">
        <f>HYPERLINK("E:\PropInv\MF\Houston\Weslayan St_3333_33 ThirtyThree_Houston_17496","Weslayan St_3333_33 ThirtyThree_Houston_17496" )</f>
        <v>Weslayan St_3333_33 ThirtyThree_Houston_17496</v>
      </c>
      <c r="L6529" s="104" t="s">
        <v>22253</v>
      </c>
      <c r="M6529" s="103" t="str">
        <f t="shared" si="508"/>
        <v>http://oconnordata.com/mlink/modules/profile/index.cfm?action=profile&amp;prop_id=17496</v>
      </c>
      <c r="N6529" s="1">
        <f t="shared" si="509"/>
        <v>17496</v>
      </c>
    </row>
    <row r="6530" spans="1:14" x14ac:dyDescent="0.3">
      <c r="A6530" s="1">
        <v>17497</v>
      </c>
      <c r="B6530" s="7" t="s">
        <v>9798</v>
      </c>
      <c r="C6530" s="12">
        <v>4310</v>
      </c>
      <c r="D6530" s="7" t="s">
        <v>9799</v>
      </c>
      <c r="E6530" s="13" t="s">
        <v>1657</v>
      </c>
      <c r="F6530" t="str">
        <f t="shared" ref="F6530:F6593" si="510">IFERROR(LEFT(B6530,FIND(" ",B6530)-1),B6530)</f>
        <v>Dunlavy</v>
      </c>
      <c r="G6530" t="str">
        <f t="shared" ref="G6530:G6593" si="511">F6530&amp;C6530&amp;E6530</f>
        <v>Dunlavy4310Houston</v>
      </c>
      <c r="H6530" t="s">
        <v>37386</v>
      </c>
      <c r="I6530" t="s">
        <v>28803</v>
      </c>
      <c r="J6530" t="str">
        <f t="shared" ref="J6530:J6593" si="512">IF(L6530="TX",Folder_Path,Folder_Path&amp;"\State_"&amp;L6530)</f>
        <v>E:\PropInv\MF</v>
      </c>
      <c r="K6530" s="103" t="str">
        <f>HYPERLINK("E:\PropInv\MF\Houston\Dunlavy St_4310_Fairmont Museum District_Houston_17497","Dunlavy St_4310_Fairmont Museum District_Houston_17497" )</f>
        <v>Dunlavy St_4310_Fairmont Museum District_Houston_17497</v>
      </c>
      <c r="L6530" s="104" t="s">
        <v>22253</v>
      </c>
      <c r="M6530" s="103" t="str">
        <f t="shared" ref="M6530:M6593" si="513">HYPERLINK("http://oconnordata.com/mlink/modules/profile/index.cfm?action=profile&amp;prop_id="&amp;A6530)</f>
        <v>http://oconnordata.com/mlink/modules/profile/index.cfm?action=profile&amp;prop_id=17497</v>
      </c>
      <c r="N6530" s="1">
        <f t="shared" ref="N6530:N6593" si="514">IF(LEN(A6530)=1,"0000"&amp;A6530,IF(LEN(A6530)=2,"000"&amp;A6530,IF(LEN(A6530)=3,"00"&amp;A6530,IF(LEN(A6530)=4,"0"&amp;A6530,IF(LEN(A6530)=5,IF(LEFT(A6530,1)="3",A6530+30000,A6530))))))</f>
        <v>17497</v>
      </c>
    </row>
    <row r="6531" spans="1:14" x14ac:dyDescent="0.3">
      <c r="A6531" s="1">
        <v>17498</v>
      </c>
      <c r="B6531" s="7" t="s">
        <v>9800</v>
      </c>
      <c r="C6531" s="12">
        <v>1200</v>
      </c>
      <c r="D6531" s="7" t="s">
        <v>9521</v>
      </c>
      <c r="E6531" s="13" t="s">
        <v>4412</v>
      </c>
      <c r="F6531" t="str">
        <f t="shared" si="510"/>
        <v>Hospital</v>
      </c>
      <c r="G6531" t="str">
        <f t="shared" si="511"/>
        <v>Hospital1200Angleton</v>
      </c>
      <c r="H6531" t="s">
        <v>37387</v>
      </c>
      <c r="I6531" t="s">
        <v>28804</v>
      </c>
      <c r="J6531" t="str">
        <f t="shared" si="512"/>
        <v>E:\PropInv\MF</v>
      </c>
      <c r="K6531" s="103" t="str">
        <f>HYPERLINK("E:\PropInv\MF\Angleton\Hospital Dr_1200_Town Square Apts_Angleton_17498","Hospital Dr_1200_Town Square Apts_Angleton_17498" )</f>
        <v>Hospital Dr_1200_Town Square Apts_Angleton_17498</v>
      </c>
      <c r="L6531" s="104" t="s">
        <v>22253</v>
      </c>
      <c r="M6531" s="103" t="str">
        <f t="shared" si="513"/>
        <v>http://oconnordata.com/mlink/modules/profile/index.cfm?action=profile&amp;prop_id=17498</v>
      </c>
      <c r="N6531" s="1">
        <f t="shared" si="514"/>
        <v>17498</v>
      </c>
    </row>
    <row r="6532" spans="1:14" x14ac:dyDescent="0.3">
      <c r="A6532" s="1">
        <v>17499</v>
      </c>
      <c r="B6532" s="7" t="s">
        <v>9801</v>
      </c>
      <c r="C6532" s="12">
        <v>2651</v>
      </c>
      <c r="D6532" s="7" t="s">
        <v>9802</v>
      </c>
      <c r="E6532" s="13" t="s">
        <v>5076</v>
      </c>
      <c r="F6532" t="str">
        <f t="shared" si="510"/>
        <v>Stone</v>
      </c>
      <c r="G6532" t="str">
        <f t="shared" si="511"/>
        <v>Stone2651Grand Prairie</v>
      </c>
      <c r="H6532" t="s">
        <v>37388</v>
      </c>
      <c r="I6532" t="s">
        <v>28805</v>
      </c>
      <c r="J6532" t="str">
        <f t="shared" si="512"/>
        <v>E:\PropInv\MF</v>
      </c>
      <c r="K6532" s="103" t="str">
        <f>HYPERLINK("E:\PropInv\MF\Grand Prairie\Stone Lake Dr_2651_Stone Lake_Grand Prairie_17499","Stone Lake Dr_2651_Stone Lake_Grand Prairie_17499" )</f>
        <v>Stone Lake Dr_2651_Stone Lake_Grand Prairie_17499</v>
      </c>
      <c r="L6532" s="104" t="s">
        <v>22253</v>
      </c>
      <c r="M6532" s="103" t="str">
        <f t="shared" si="513"/>
        <v>http://oconnordata.com/mlink/modules/profile/index.cfm?action=profile&amp;prop_id=17499</v>
      </c>
      <c r="N6532" s="1">
        <f t="shared" si="514"/>
        <v>17499</v>
      </c>
    </row>
    <row r="6533" spans="1:14" x14ac:dyDescent="0.3">
      <c r="A6533" s="1">
        <v>17500</v>
      </c>
      <c r="B6533" s="7" t="s">
        <v>6293</v>
      </c>
      <c r="C6533" s="12">
        <v>6805</v>
      </c>
      <c r="D6533" s="7" t="s">
        <v>9803</v>
      </c>
      <c r="E6533" s="13" t="s">
        <v>5488</v>
      </c>
      <c r="F6533" t="str">
        <f t="shared" si="510"/>
        <v>Lebanon</v>
      </c>
      <c r="G6533" t="str">
        <f t="shared" si="511"/>
        <v>Lebanon6805Frisco</v>
      </c>
      <c r="H6533" t="s">
        <v>37389</v>
      </c>
      <c r="I6533" t="s">
        <v>28806</v>
      </c>
      <c r="J6533" t="str">
        <f t="shared" si="512"/>
        <v>E:\PropInv\MF</v>
      </c>
      <c r="K6533" s="103" t="str">
        <f>HYPERLINK("E:\PropInv\MF\Frisco\Lebanon Rd_6805_La Valencia at Starwood_Frisco_17500","Lebanon Rd_6805_La Valencia at Starwood_Frisco_17500" )</f>
        <v>Lebanon Rd_6805_La Valencia at Starwood_Frisco_17500</v>
      </c>
      <c r="L6533" s="104" t="s">
        <v>22253</v>
      </c>
      <c r="M6533" s="103" t="str">
        <f t="shared" si="513"/>
        <v>http://oconnordata.com/mlink/modules/profile/index.cfm?action=profile&amp;prop_id=17500</v>
      </c>
      <c r="N6533" s="1">
        <f t="shared" si="514"/>
        <v>17500</v>
      </c>
    </row>
    <row r="6534" spans="1:14" x14ac:dyDescent="0.3">
      <c r="A6534" s="1">
        <v>17501</v>
      </c>
      <c r="B6534" s="7" t="s">
        <v>75</v>
      </c>
      <c r="C6534" s="12">
        <v>8515</v>
      </c>
      <c r="D6534" s="7" t="s">
        <v>9804</v>
      </c>
      <c r="E6534" s="13" t="s">
        <v>7</v>
      </c>
      <c r="F6534" t="str">
        <f t="shared" si="510"/>
        <v>35</v>
      </c>
      <c r="G6534" t="str">
        <f t="shared" si="511"/>
        <v>358515Austin</v>
      </c>
      <c r="H6534" t="s">
        <v>37390</v>
      </c>
      <c r="I6534" t="s">
        <v>28807</v>
      </c>
      <c r="J6534" t="str">
        <f t="shared" si="512"/>
        <v>E:\PropInv\MF</v>
      </c>
      <c r="K6534" s="103" t="str">
        <f>HYPERLINK("E:\PropInv\MF\Austin\35 IH S_8515_The Cottages_Austin_17501","35 IH S_8515_The Cottages_Austin_17501" )</f>
        <v>35 IH S_8515_The Cottages_Austin_17501</v>
      </c>
      <c r="L6534" s="104" t="s">
        <v>22253</v>
      </c>
      <c r="M6534" s="103" t="str">
        <f t="shared" si="513"/>
        <v>http://oconnordata.com/mlink/modules/profile/index.cfm?action=profile&amp;prop_id=17501</v>
      </c>
      <c r="N6534" s="1">
        <f t="shared" si="514"/>
        <v>17501</v>
      </c>
    </row>
    <row r="6535" spans="1:14" x14ac:dyDescent="0.3">
      <c r="A6535" s="1">
        <v>17502</v>
      </c>
      <c r="B6535" s="19" t="s">
        <v>9805</v>
      </c>
      <c r="C6535" s="18" t="s">
        <v>2497</v>
      </c>
      <c r="D6535" s="19" t="s">
        <v>9806</v>
      </c>
      <c r="E6535" s="20" t="s">
        <v>7</v>
      </c>
      <c r="F6535" t="str">
        <f t="shared" si="510"/>
        <v>Howard</v>
      </c>
      <c r="G6535" t="str">
        <f t="shared" si="511"/>
        <v>HowardNFAustin</v>
      </c>
      <c r="H6535" t="s">
        <v>37391</v>
      </c>
      <c r="I6535" t="s">
        <v>28808</v>
      </c>
      <c r="J6535" t="str">
        <f t="shared" si="512"/>
        <v>E:\PropInv\MF</v>
      </c>
      <c r="K6535" s="103" t="str">
        <f>HYPERLINK("E:\PropInv\MF\Austin\Howard Ln E_NF_Criterion at Harris Ridge_Austin_17502","Howard Ln E_NF_Criterion at Harris Ridge_Austin_17502" )</f>
        <v>Howard Ln E_NF_Criterion at Harris Ridge_Austin_17502</v>
      </c>
      <c r="L6535" s="104" t="s">
        <v>22253</v>
      </c>
      <c r="M6535" s="103" t="str">
        <f t="shared" si="513"/>
        <v>http://oconnordata.com/mlink/modules/profile/index.cfm?action=profile&amp;prop_id=17502</v>
      </c>
      <c r="N6535" s="1">
        <f t="shared" si="514"/>
        <v>17502</v>
      </c>
    </row>
    <row r="6536" spans="1:14" x14ac:dyDescent="0.3">
      <c r="A6536" s="1">
        <v>17503</v>
      </c>
      <c r="B6536" s="7" t="s">
        <v>9807</v>
      </c>
      <c r="C6536" s="12" t="s">
        <v>9808</v>
      </c>
      <c r="D6536" s="7" t="s">
        <v>9809</v>
      </c>
      <c r="E6536" s="13" t="s">
        <v>1657</v>
      </c>
      <c r="F6536" t="str">
        <f t="shared" si="510"/>
        <v>Eastwood</v>
      </c>
      <c r="G6536" t="str">
        <f t="shared" si="511"/>
        <v>Eastwood114-117Houston</v>
      </c>
      <c r="H6536" t="s">
        <v>37392</v>
      </c>
      <c r="I6536" t="s">
        <v>28809</v>
      </c>
      <c r="J6536" t="str">
        <f t="shared" si="512"/>
        <v>E:\PropInv\MF</v>
      </c>
      <c r="K6536" s="103" t="str">
        <f>HYPERLINK("E:\PropInv\MF\Houston\Eastwood_114-117_John Goldberg Senior Apts_Houston_17503","Eastwood_114-117_John Goldberg Senior Apts_Houston_17503" )</f>
        <v>Eastwood_114-117_John Goldberg Senior Apts_Houston_17503</v>
      </c>
      <c r="L6536" s="104" t="s">
        <v>22253</v>
      </c>
      <c r="M6536" s="103" t="str">
        <f t="shared" si="513"/>
        <v>http://oconnordata.com/mlink/modules/profile/index.cfm?action=profile&amp;prop_id=17503</v>
      </c>
      <c r="N6536" s="1">
        <f t="shared" si="514"/>
        <v>17503</v>
      </c>
    </row>
    <row r="6537" spans="1:14" x14ac:dyDescent="0.3">
      <c r="A6537" s="1">
        <v>17504</v>
      </c>
      <c r="B6537" s="7" t="s">
        <v>1699</v>
      </c>
      <c r="C6537" s="12">
        <v>9889</v>
      </c>
      <c r="D6537" s="7" t="s">
        <v>9810</v>
      </c>
      <c r="E6537" s="13" t="s">
        <v>1657</v>
      </c>
      <c r="F6537" t="str">
        <f t="shared" si="510"/>
        <v>Cypresswood</v>
      </c>
      <c r="G6537" t="str">
        <f t="shared" si="511"/>
        <v>Cypresswood9889Houston</v>
      </c>
      <c r="H6537" t="s">
        <v>37393</v>
      </c>
      <c r="I6537" t="s">
        <v>28810</v>
      </c>
      <c r="J6537" t="str">
        <f t="shared" si="512"/>
        <v>E:\PropInv\MF</v>
      </c>
      <c r="K6537" s="103" t="str">
        <f>HYPERLINK("E:\PropInv\MF\Houston\Cypresswood Dr_9889_The Lakes at Cypresswood_Houston_17504","Cypresswood Dr_9889_The Lakes at Cypresswood_Houston_17504" )</f>
        <v>Cypresswood Dr_9889_The Lakes at Cypresswood_Houston_17504</v>
      </c>
      <c r="L6537" s="104" t="s">
        <v>22253</v>
      </c>
      <c r="M6537" s="103" t="str">
        <f t="shared" si="513"/>
        <v>http://oconnordata.com/mlink/modules/profile/index.cfm?action=profile&amp;prop_id=17504</v>
      </c>
      <c r="N6537" s="1">
        <f t="shared" si="514"/>
        <v>17504</v>
      </c>
    </row>
    <row r="6538" spans="1:14" x14ac:dyDescent="0.3">
      <c r="A6538" s="1">
        <v>17506</v>
      </c>
      <c r="B6538" s="7" t="s">
        <v>9811</v>
      </c>
      <c r="C6538" s="12">
        <v>10851</v>
      </c>
      <c r="D6538" s="7" t="s">
        <v>9812</v>
      </c>
      <c r="E6538" s="13" t="s">
        <v>1508</v>
      </c>
      <c r="F6538" t="str">
        <f t="shared" si="510"/>
        <v>Montfair</v>
      </c>
      <c r="G6538" t="str">
        <f t="shared" si="511"/>
        <v>Montfair10851The Woodlands</v>
      </c>
      <c r="H6538" t="s">
        <v>37394</v>
      </c>
      <c r="I6538" t="s">
        <v>28811</v>
      </c>
      <c r="J6538" t="str">
        <f t="shared" si="512"/>
        <v>E:\PropInv\MF</v>
      </c>
      <c r="K6538" s="103" t="str">
        <f>HYPERLINK("E:\PropInv\MF\The Woodlands\Montfair Blvd_10851_Alexan Sterling Ridge_The Woodlands_17506","Montfair Blvd_10851_Alexan Sterling Ridge_The Woodlands_17506" )</f>
        <v>Montfair Blvd_10851_Alexan Sterling Ridge_The Woodlands_17506</v>
      </c>
      <c r="L6538" s="104" t="s">
        <v>22253</v>
      </c>
      <c r="M6538" s="103" t="str">
        <f t="shared" si="513"/>
        <v>http://oconnordata.com/mlink/modules/profile/index.cfm?action=profile&amp;prop_id=17506</v>
      </c>
      <c r="N6538" s="1">
        <f t="shared" si="514"/>
        <v>17506</v>
      </c>
    </row>
    <row r="6539" spans="1:14" x14ac:dyDescent="0.3">
      <c r="A6539" s="1">
        <v>17508</v>
      </c>
      <c r="B6539" s="7" t="s">
        <v>2648</v>
      </c>
      <c r="C6539" s="12">
        <v>1602</v>
      </c>
      <c r="D6539" s="7" t="s">
        <v>9813</v>
      </c>
      <c r="E6539" s="13" t="s">
        <v>1657</v>
      </c>
      <c r="F6539" t="str">
        <f t="shared" si="510"/>
        <v>Enclave</v>
      </c>
      <c r="G6539" t="str">
        <f t="shared" si="511"/>
        <v>Enclave1602Houston</v>
      </c>
      <c r="H6539" t="s">
        <v>37395</v>
      </c>
      <c r="I6539" t="s">
        <v>28812</v>
      </c>
      <c r="J6539" t="str">
        <f t="shared" si="512"/>
        <v>E:\PropInv\MF</v>
      </c>
      <c r="K6539" s="103" t="str">
        <f>HYPERLINK("E:\PropInv\MF\Houston\Enclave Pkwy_1602_The Abbey at Eldridge II_Houston_17508","Enclave Pkwy_1602_The Abbey at Eldridge II_Houston_17508" )</f>
        <v>Enclave Pkwy_1602_The Abbey at Eldridge II_Houston_17508</v>
      </c>
      <c r="L6539" s="104" t="s">
        <v>22253</v>
      </c>
      <c r="M6539" s="103" t="str">
        <f t="shared" si="513"/>
        <v>http://oconnordata.com/mlink/modules/profile/index.cfm?action=profile&amp;prop_id=17508</v>
      </c>
      <c r="N6539" s="1">
        <f t="shared" si="514"/>
        <v>17508</v>
      </c>
    </row>
    <row r="6540" spans="1:14" x14ac:dyDescent="0.3">
      <c r="A6540" s="1">
        <v>17509</v>
      </c>
      <c r="B6540" s="7" t="s">
        <v>9814</v>
      </c>
      <c r="C6540" s="12">
        <v>13131</v>
      </c>
      <c r="D6540" s="7" t="s">
        <v>9815</v>
      </c>
      <c r="E6540" s="13" t="s">
        <v>1657</v>
      </c>
      <c r="F6540" t="str">
        <f t="shared" si="510"/>
        <v>Fallsview</v>
      </c>
      <c r="G6540" t="str">
        <f t="shared" si="511"/>
        <v>Fallsview13131Houston</v>
      </c>
      <c r="H6540" t="s">
        <v>37396</v>
      </c>
      <c r="I6540" t="s">
        <v>28813</v>
      </c>
      <c r="J6540" t="str">
        <f t="shared" si="512"/>
        <v>E:\PropInv\MF</v>
      </c>
      <c r="K6540" s="103" t="str">
        <f>HYPERLINK("E:\PropInv\MF\Houston\Fallsview Ln_13131_ARIUM Briar Forest II_Houston_17509","Fallsview Ln_13131_ARIUM Briar Forest II_Houston_17509" )</f>
        <v>Fallsview Ln_13131_ARIUM Briar Forest II_Houston_17509</v>
      </c>
      <c r="L6540" s="104" t="s">
        <v>22253</v>
      </c>
      <c r="M6540" s="103" t="str">
        <f t="shared" si="513"/>
        <v>http://oconnordata.com/mlink/modules/profile/index.cfm?action=profile&amp;prop_id=17509</v>
      </c>
      <c r="N6540" s="1">
        <f t="shared" si="514"/>
        <v>17509</v>
      </c>
    </row>
    <row r="6541" spans="1:14" x14ac:dyDescent="0.3">
      <c r="A6541" s="1">
        <v>17510</v>
      </c>
      <c r="B6541" s="7" t="s">
        <v>9816</v>
      </c>
      <c r="C6541" s="12">
        <v>5401</v>
      </c>
      <c r="D6541" s="7" t="s">
        <v>9817</v>
      </c>
      <c r="E6541" s="13" t="s">
        <v>1657</v>
      </c>
      <c r="F6541" t="str">
        <f t="shared" si="510"/>
        <v>Werner</v>
      </c>
      <c r="G6541" t="str">
        <f t="shared" si="511"/>
        <v>Werner5401Houston</v>
      </c>
      <c r="H6541" t="s">
        <v>37397</v>
      </c>
      <c r="I6541" t="s">
        <v>28814</v>
      </c>
      <c r="J6541" t="str">
        <f t="shared" si="512"/>
        <v>E:\PropInv\MF</v>
      </c>
      <c r="K6541" s="103" t="str">
        <f>HYPERLINK("E:\PropInv\MF\Houston\Werner St_5401_Redstone Apts_Houston_17510","Werner St_5401_Redstone Apts_Houston_17510" )</f>
        <v>Werner St_5401_Redstone Apts_Houston_17510</v>
      </c>
      <c r="L6541" s="104" t="s">
        <v>22253</v>
      </c>
      <c r="M6541" s="103" t="str">
        <f t="shared" si="513"/>
        <v>http://oconnordata.com/mlink/modules/profile/index.cfm?action=profile&amp;prop_id=17510</v>
      </c>
      <c r="N6541" s="1">
        <f t="shared" si="514"/>
        <v>17510</v>
      </c>
    </row>
    <row r="6542" spans="1:14" x14ac:dyDescent="0.3">
      <c r="A6542" s="1">
        <v>17511</v>
      </c>
      <c r="B6542" s="7" t="s">
        <v>9818</v>
      </c>
      <c r="C6542" s="12">
        <v>6653</v>
      </c>
      <c r="D6542" s="7" t="s">
        <v>9819</v>
      </c>
      <c r="E6542" s="13" t="s">
        <v>5043</v>
      </c>
      <c r="F6542" t="str">
        <f t="shared" si="510"/>
        <v>McKinney</v>
      </c>
      <c r="G6542" t="str">
        <f t="shared" si="511"/>
        <v>McKinney6653McKinney</v>
      </c>
      <c r="H6542" t="s">
        <v>37398</v>
      </c>
      <c r="I6542" t="s">
        <v>28815</v>
      </c>
      <c r="J6542" t="str">
        <f t="shared" si="512"/>
        <v>E:\PropInv\MF</v>
      </c>
      <c r="K6542" s="103" t="str">
        <f>HYPERLINK("E:\PropInv\MF\McKinney\McKinney Ranch Pkwy_6653_Soho Parkway_McKinney_17511","McKinney Ranch Pkwy_6653_Soho Parkway_McKinney_17511" )</f>
        <v>McKinney Ranch Pkwy_6653_Soho Parkway_McKinney_17511</v>
      </c>
      <c r="L6542" s="104" t="s">
        <v>22253</v>
      </c>
      <c r="M6542" s="103" t="str">
        <f t="shared" si="513"/>
        <v>http://oconnordata.com/mlink/modules/profile/index.cfm?action=profile&amp;prop_id=17511</v>
      </c>
      <c r="N6542" s="1">
        <f t="shared" si="514"/>
        <v>17511</v>
      </c>
    </row>
    <row r="6543" spans="1:14" x14ac:dyDescent="0.3">
      <c r="A6543" s="1">
        <v>17513</v>
      </c>
      <c r="B6543" s="7" t="s">
        <v>9820</v>
      </c>
      <c r="C6543" s="12">
        <v>12808</v>
      </c>
      <c r="D6543" s="7" t="s">
        <v>9821</v>
      </c>
      <c r="E6543" s="13" t="s">
        <v>1657</v>
      </c>
      <c r="F6543" t="str">
        <f t="shared" si="510"/>
        <v>Queensbury</v>
      </c>
      <c r="G6543" t="str">
        <f t="shared" si="511"/>
        <v>Queensbury12808Houston</v>
      </c>
      <c r="H6543" t="s">
        <v>37399</v>
      </c>
      <c r="I6543" t="s">
        <v>28816</v>
      </c>
      <c r="J6543" t="str">
        <f t="shared" si="512"/>
        <v>E:\PropInv\MF</v>
      </c>
      <c r="K6543" s="103" t="str">
        <f>HYPERLINK("E:\PropInv\MF\Houston\Queensbury Ln_12808_The Lofts CityCentre_Houston_17513","Queensbury Ln_12808_The Lofts CityCentre_Houston_17513" )</f>
        <v>Queensbury Ln_12808_The Lofts CityCentre_Houston_17513</v>
      </c>
      <c r="L6543" s="104" t="s">
        <v>22253</v>
      </c>
      <c r="M6543" s="103" t="str">
        <f t="shared" si="513"/>
        <v>http://oconnordata.com/mlink/modules/profile/index.cfm?action=profile&amp;prop_id=17513</v>
      </c>
      <c r="N6543" s="1">
        <f t="shared" si="514"/>
        <v>17513</v>
      </c>
    </row>
    <row r="6544" spans="1:14" x14ac:dyDescent="0.3">
      <c r="A6544" s="1">
        <v>17514</v>
      </c>
      <c r="B6544" s="19" t="s">
        <v>9822</v>
      </c>
      <c r="C6544" s="18">
        <v>800</v>
      </c>
      <c r="D6544" s="19" t="s">
        <v>9823</v>
      </c>
      <c r="E6544" s="20" t="s">
        <v>1657</v>
      </c>
      <c r="F6544" t="str">
        <f t="shared" si="510"/>
        <v>Sam</v>
      </c>
      <c r="G6544" t="str">
        <f t="shared" si="511"/>
        <v>Sam800Houston</v>
      </c>
      <c r="H6544" t="s">
        <v>37400</v>
      </c>
      <c r="I6544" t="s">
        <v>28817</v>
      </c>
      <c r="J6544" t="str">
        <f t="shared" si="512"/>
        <v>E:\PropInv\MF</v>
      </c>
      <c r="K6544" s="103" t="str">
        <f>HYPERLINK("E:\PropInv\MF\Houston\Sam Houston Pkwy_800_The Lofts at CityCentre II_Houston_17514","Sam Houston Pkwy_800_The Lofts at CityCentre II_Houston_17514" )</f>
        <v>Sam Houston Pkwy_800_The Lofts at CityCentre II_Houston_17514</v>
      </c>
      <c r="L6544" s="104" t="s">
        <v>22253</v>
      </c>
      <c r="M6544" s="103" t="str">
        <f t="shared" si="513"/>
        <v>http://oconnordata.com/mlink/modules/profile/index.cfm?action=profile&amp;prop_id=17514</v>
      </c>
      <c r="N6544" s="1">
        <f t="shared" si="514"/>
        <v>17514</v>
      </c>
    </row>
    <row r="6545" spans="1:14" x14ac:dyDescent="0.3">
      <c r="A6545" s="1">
        <v>17515</v>
      </c>
      <c r="B6545" s="7" t="s">
        <v>9824</v>
      </c>
      <c r="C6545" s="12">
        <v>505</v>
      </c>
      <c r="D6545" s="7" t="s">
        <v>9825</v>
      </c>
      <c r="E6545" s="13" t="s">
        <v>5140</v>
      </c>
      <c r="F6545" t="str">
        <f t="shared" si="510"/>
        <v>Exchange</v>
      </c>
      <c r="G6545" t="str">
        <f t="shared" si="511"/>
        <v>Exchange505Allen</v>
      </c>
      <c r="H6545" t="s">
        <v>37401</v>
      </c>
      <c r="I6545" t="s">
        <v>28818</v>
      </c>
      <c r="J6545" t="str">
        <f t="shared" si="512"/>
        <v>E:\PropInv\MF</v>
      </c>
      <c r="K6545" s="103" t="str">
        <f>HYPERLINK("E:\PropInv\MF\Allen\Exchange Pkwy E_505_The Heights at Allen Station_Allen_17515","Exchange Pkwy E_505_The Heights at Allen Station_Allen_17515" )</f>
        <v>Exchange Pkwy E_505_The Heights at Allen Station_Allen_17515</v>
      </c>
      <c r="L6545" s="104" t="s">
        <v>22253</v>
      </c>
      <c r="M6545" s="103" t="str">
        <f t="shared" si="513"/>
        <v>http://oconnordata.com/mlink/modules/profile/index.cfm?action=profile&amp;prop_id=17515</v>
      </c>
      <c r="N6545" s="1">
        <f t="shared" si="514"/>
        <v>17515</v>
      </c>
    </row>
    <row r="6546" spans="1:14" x14ac:dyDescent="0.3">
      <c r="A6546" s="1">
        <v>17516</v>
      </c>
      <c r="B6546" s="7" t="s">
        <v>8204</v>
      </c>
      <c r="C6546" s="12">
        <v>7001</v>
      </c>
      <c r="D6546" s="7" t="s">
        <v>9826</v>
      </c>
      <c r="E6546" s="13" t="s">
        <v>5014</v>
      </c>
      <c r="F6546" t="str">
        <f t="shared" si="510"/>
        <v>Sandshell</v>
      </c>
      <c r="G6546" t="str">
        <f t="shared" si="511"/>
        <v>Sandshell7001Fort Worth</v>
      </c>
      <c r="H6546" t="s">
        <v>37402</v>
      </c>
      <c r="I6546" t="s">
        <v>28819</v>
      </c>
      <c r="J6546" t="str">
        <f t="shared" si="512"/>
        <v>E:\PropInv\MF</v>
      </c>
      <c r="K6546" s="103" t="str">
        <f>HYPERLINK("E:\PropInv\MF\Fort Worth\Sandshell Blvd_7001_Belterra Apts_Fort Worth_17516","Sandshell Blvd_7001_Belterra Apts_Fort Worth_17516" )</f>
        <v>Sandshell Blvd_7001_Belterra Apts_Fort Worth_17516</v>
      </c>
      <c r="L6546" s="104" t="s">
        <v>22253</v>
      </c>
      <c r="M6546" s="103" t="str">
        <f t="shared" si="513"/>
        <v>http://oconnordata.com/mlink/modules/profile/index.cfm?action=profile&amp;prop_id=17516</v>
      </c>
      <c r="N6546" s="1">
        <f t="shared" si="514"/>
        <v>17516</v>
      </c>
    </row>
    <row r="6547" spans="1:14" x14ac:dyDescent="0.3">
      <c r="A6547" s="1">
        <v>17517</v>
      </c>
      <c r="B6547" s="7" t="s">
        <v>9827</v>
      </c>
      <c r="C6547" s="12">
        <v>710</v>
      </c>
      <c r="D6547" s="7" t="s">
        <v>9828</v>
      </c>
      <c r="E6547" s="13" t="s">
        <v>9165</v>
      </c>
      <c r="F6547" t="str">
        <f t="shared" si="510"/>
        <v>Loggins</v>
      </c>
      <c r="G6547" t="str">
        <f t="shared" si="511"/>
        <v>Loggins710West Columbia</v>
      </c>
      <c r="H6547" t="s">
        <v>37403</v>
      </c>
      <c r="I6547" t="s">
        <v>28820</v>
      </c>
      <c r="J6547" t="str">
        <f t="shared" si="512"/>
        <v>E:\PropInv\MF</v>
      </c>
      <c r="K6547" s="103" t="str">
        <f>HYPERLINK("E:\PropInv\MF\West Columbia\Loggins Dr_710_Loggins Court_West Columbia_17517","Loggins Dr_710_Loggins Court_West Columbia_17517" )</f>
        <v>Loggins Dr_710_Loggins Court_West Columbia_17517</v>
      </c>
      <c r="L6547" s="104" t="s">
        <v>22253</v>
      </c>
      <c r="M6547" s="103" t="str">
        <f t="shared" si="513"/>
        <v>http://oconnordata.com/mlink/modules/profile/index.cfm?action=profile&amp;prop_id=17517</v>
      </c>
      <c r="N6547" s="1">
        <f t="shared" si="514"/>
        <v>17517</v>
      </c>
    </row>
    <row r="6548" spans="1:14" x14ac:dyDescent="0.3">
      <c r="A6548" s="1">
        <v>17518</v>
      </c>
      <c r="B6548" s="7" t="s">
        <v>1409</v>
      </c>
      <c r="C6548" s="12">
        <v>300</v>
      </c>
      <c r="D6548" s="7" t="s">
        <v>9829</v>
      </c>
      <c r="E6548" s="13" t="s">
        <v>842</v>
      </c>
      <c r="F6548" t="str">
        <f t="shared" si="510"/>
        <v>Basse</v>
      </c>
      <c r="G6548" t="str">
        <f t="shared" si="511"/>
        <v>Basse300San Antonio</v>
      </c>
      <c r="H6548" t="s">
        <v>37404</v>
      </c>
      <c r="I6548" t="s">
        <v>28821</v>
      </c>
      <c r="J6548" t="str">
        <f t="shared" si="512"/>
        <v>E:\PropInv\MF</v>
      </c>
      <c r="K6548" s="103" t="str">
        <f>HYPERLINK("E:\PropInv\MF\San Antonio\Basse Rd E_300_Artessa at Quarry Village_San Antonio_17518","Basse Rd E_300_Artessa at Quarry Village_San Antonio_17518" )</f>
        <v>Basse Rd E_300_Artessa at Quarry Village_San Antonio_17518</v>
      </c>
      <c r="L6548" s="104" t="s">
        <v>22253</v>
      </c>
      <c r="M6548" s="103" t="str">
        <f t="shared" si="513"/>
        <v>http://oconnordata.com/mlink/modules/profile/index.cfm?action=profile&amp;prop_id=17518</v>
      </c>
      <c r="N6548" s="1">
        <f t="shared" si="514"/>
        <v>17518</v>
      </c>
    </row>
    <row r="6549" spans="1:14" x14ac:dyDescent="0.3">
      <c r="A6549" s="1">
        <v>17519</v>
      </c>
      <c r="B6549" s="7" t="s">
        <v>9830</v>
      </c>
      <c r="C6549" s="12">
        <v>12655</v>
      </c>
      <c r="D6549" s="7" t="s">
        <v>9831</v>
      </c>
      <c r="E6549" s="13" t="s">
        <v>1657</v>
      </c>
      <c r="F6549" t="str">
        <f t="shared" si="510"/>
        <v>Houston</v>
      </c>
      <c r="G6549" t="str">
        <f t="shared" si="511"/>
        <v>Houston12655Houston</v>
      </c>
      <c r="H6549" t="s">
        <v>37405</v>
      </c>
      <c r="I6549" t="s">
        <v>28822</v>
      </c>
      <c r="J6549" t="str">
        <f t="shared" si="512"/>
        <v>E:\PropInv\MF</v>
      </c>
      <c r="K6549" s="103" t="str">
        <f>HYPERLINK("E:\PropInv\MF\Houston\Houston Center Blvd W_12655_Camden Whispering Oaks_Houston_17519","Houston Center Blvd W_12655_Camden Whispering Oaks_Houston_17519" )</f>
        <v>Houston Center Blvd W_12655_Camden Whispering Oaks_Houston_17519</v>
      </c>
      <c r="L6549" s="104" t="s">
        <v>22253</v>
      </c>
      <c r="M6549" s="103" t="str">
        <f t="shared" si="513"/>
        <v>http://oconnordata.com/mlink/modules/profile/index.cfm?action=profile&amp;prop_id=17519</v>
      </c>
      <c r="N6549" s="1">
        <f t="shared" si="514"/>
        <v>17519</v>
      </c>
    </row>
    <row r="6550" spans="1:14" x14ac:dyDescent="0.3">
      <c r="A6550" s="1">
        <v>17520</v>
      </c>
      <c r="B6550" s="7" t="s">
        <v>4329</v>
      </c>
      <c r="C6550" s="12">
        <v>11400</v>
      </c>
      <c r="D6550" s="7" t="s">
        <v>9832</v>
      </c>
      <c r="E6550" s="13" t="s">
        <v>1657</v>
      </c>
      <c r="F6550" t="str">
        <f t="shared" si="510"/>
        <v>Space</v>
      </c>
      <c r="G6550" t="str">
        <f t="shared" si="511"/>
        <v>Space11400Houston</v>
      </c>
      <c r="H6550" t="s">
        <v>37406</v>
      </c>
      <c r="I6550" t="s">
        <v>28823</v>
      </c>
      <c r="J6550" t="str">
        <f t="shared" si="512"/>
        <v>E:\PropInv\MF</v>
      </c>
      <c r="K6550" s="103" t="str">
        <f>HYPERLINK("E:\PropInv\MF\Houston\Space Center Blvd_11400_Clearpoint Crossing Residences_Houston_17520","Space Center Blvd_11400_Clearpoint Crossing Residences_Houston_17520" )</f>
        <v>Space Center Blvd_11400_Clearpoint Crossing Residences_Houston_17520</v>
      </c>
      <c r="L6550" s="104" t="s">
        <v>22253</v>
      </c>
      <c r="M6550" s="103" t="str">
        <f t="shared" si="513"/>
        <v>http://oconnordata.com/mlink/modules/profile/index.cfm?action=profile&amp;prop_id=17520</v>
      </c>
      <c r="N6550" s="1">
        <f t="shared" si="514"/>
        <v>17520</v>
      </c>
    </row>
    <row r="6551" spans="1:14" x14ac:dyDescent="0.3">
      <c r="A6551" s="1">
        <v>17521</v>
      </c>
      <c r="B6551" s="7" t="s">
        <v>9833</v>
      </c>
      <c r="C6551" s="12">
        <v>11400</v>
      </c>
      <c r="D6551" s="7" t="s">
        <v>9834</v>
      </c>
      <c r="E6551" s="13" t="s">
        <v>7</v>
      </c>
      <c r="F6551" t="str">
        <f t="shared" si="510"/>
        <v>Domain</v>
      </c>
      <c r="G6551" t="str">
        <f t="shared" si="511"/>
        <v>Domain11400Austin</v>
      </c>
      <c r="H6551" t="s">
        <v>37407</v>
      </c>
      <c r="I6551" t="s">
        <v>28824</v>
      </c>
      <c r="J6551" t="str">
        <f t="shared" si="512"/>
        <v>E:\PropInv\MF</v>
      </c>
      <c r="K6551" s="103" t="str">
        <f>HYPERLINK("E:\PropInv\MF\Austin\Domain Dr_11400_Residences at the Domain_Austin_17521","Domain Dr_11400_Residences at the Domain_Austin_17521" )</f>
        <v>Domain Dr_11400_Residences at the Domain_Austin_17521</v>
      </c>
      <c r="L6551" s="104" t="s">
        <v>22253</v>
      </c>
      <c r="M6551" s="103" t="str">
        <f t="shared" si="513"/>
        <v>http://oconnordata.com/mlink/modules/profile/index.cfm?action=profile&amp;prop_id=17521</v>
      </c>
      <c r="N6551" s="1">
        <f t="shared" si="514"/>
        <v>17521</v>
      </c>
    </row>
    <row r="6552" spans="1:14" x14ac:dyDescent="0.3">
      <c r="A6552" s="1">
        <v>17522</v>
      </c>
      <c r="B6552" s="7" t="s">
        <v>9833</v>
      </c>
      <c r="C6552" s="12">
        <v>11011</v>
      </c>
      <c r="D6552" s="7" t="s">
        <v>9835</v>
      </c>
      <c r="E6552" s="13" t="s">
        <v>7</v>
      </c>
      <c r="F6552" t="str">
        <f t="shared" si="510"/>
        <v>Domain</v>
      </c>
      <c r="G6552" t="str">
        <f t="shared" si="511"/>
        <v>Domain11011Austin</v>
      </c>
      <c r="H6552" t="s">
        <v>37408</v>
      </c>
      <c r="I6552" t="s">
        <v>28825</v>
      </c>
      <c r="J6552" t="str">
        <f t="shared" si="512"/>
        <v>E:\PropInv\MF</v>
      </c>
      <c r="K6552" s="103" t="str">
        <f>HYPERLINK("E:\PropInv\MF\Austin\Domain Dr_11011_Villages at the Domain_Austin_17522","Domain Dr_11011_Villages at the Domain_Austin_17522" )</f>
        <v>Domain Dr_11011_Villages at the Domain_Austin_17522</v>
      </c>
      <c r="L6552" s="104" t="s">
        <v>22253</v>
      </c>
      <c r="M6552" s="103" t="str">
        <f t="shared" si="513"/>
        <v>http://oconnordata.com/mlink/modules/profile/index.cfm?action=profile&amp;prop_id=17522</v>
      </c>
      <c r="N6552" s="1">
        <f t="shared" si="514"/>
        <v>17522</v>
      </c>
    </row>
    <row r="6553" spans="1:14" x14ac:dyDescent="0.3">
      <c r="A6553" s="1">
        <v>17523</v>
      </c>
      <c r="B6553" s="7" t="s">
        <v>9836</v>
      </c>
      <c r="C6553" s="12">
        <v>819</v>
      </c>
      <c r="D6553" s="7" t="s">
        <v>9837</v>
      </c>
      <c r="E6553" s="13" t="s">
        <v>8612</v>
      </c>
      <c r="F6553" t="str">
        <f t="shared" si="510"/>
        <v>Krenek</v>
      </c>
      <c r="G6553" t="str">
        <f t="shared" si="511"/>
        <v>Krenek819College Station</v>
      </c>
      <c r="H6553" t="s">
        <v>37409</v>
      </c>
      <c r="I6553" t="s">
        <v>28826</v>
      </c>
      <c r="J6553" t="str">
        <f t="shared" si="512"/>
        <v>E:\PropInv\MF</v>
      </c>
      <c r="K6553" s="103" t="str">
        <f>HYPERLINK("E:\PropInv\MF\College Station\Krenek Tap Rd_819_Terrace Pines AH_College Station_17523","Krenek Tap Rd_819_Terrace Pines AH_College Station_17523" )</f>
        <v>Krenek Tap Rd_819_Terrace Pines AH_College Station_17523</v>
      </c>
      <c r="L6553" s="104" t="s">
        <v>22253</v>
      </c>
      <c r="M6553" s="103" t="str">
        <f t="shared" si="513"/>
        <v>http://oconnordata.com/mlink/modules/profile/index.cfm?action=profile&amp;prop_id=17523</v>
      </c>
      <c r="N6553" s="1">
        <f t="shared" si="514"/>
        <v>17523</v>
      </c>
    </row>
    <row r="6554" spans="1:14" x14ac:dyDescent="0.3">
      <c r="A6554" s="1">
        <v>17524</v>
      </c>
      <c r="B6554" s="7" t="s">
        <v>144</v>
      </c>
      <c r="C6554" s="12">
        <v>21393</v>
      </c>
      <c r="D6554" s="7" t="s">
        <v>9838</v>
      </c>
      <c r="E6554" s="13" t="s">
        <v>9839</v>
      </c>
      <c r="F6554" t="str">
        <f t="shared" si="510"/>
        <v>35</v>
      </c>
      <c r="G6554" t="str">
        <f t="shared" si="511"/>
        <v>3521393Kyle</v>
      </c>
      <c r="H6554" t="s">
        <v>37410</v>
      </c>
      <c r="I6554" t="s">
        <v>28827</v>
      </c>
      <c r="J6554" t="str">
        <f t="shared" si="512"/>
        <v>E:\PropInv\MF</v>
      </c>
      <c r="K6554" s="103" t="str">
        <f>HYPERLINK("E:\PropInv\MF\Kyle\35 IH N_21393_Saddle Creek Apts_Kyle_17524","35 IH N_21393_Saddle Creek Apts_Kyle_17524" )</f>
        <v>35 IH N_21393_Saddle Creek Apts_Kyle_17524</v>
      </c>
      <c r="L6554" s="104" t="s">
        <v>22253</v>
      </c>
      <c r="M6554" s="103" t="str">
        <f t="shared" si="513"/>
        <v>http://oconnordata.com/mlink/modules/profile/index.cfm?action=profile&amp;prop_id=17524</v>
      </c>
      <c r="N6554" s="1">
        <f t="shared" si="514"/>
        <v>17524</v>
      </c>
    </row>
    <row r="6555" spans="1:14" x14ac:dyDescent="0.3">
      <c r="A6555" s="1">
        <v>17525</v>
      </c>
      <c r="B6555" s="7" t="s">
        <v>9840</v>
      </c>
      <c r="C6555" s="12">
        <v>9401</v>
      </c>
      <c r="D6555" s="7" t="s">
        <v>9841</v>
      </c>
      <c r="E6555" s="13" t="s">
        <v>7</v>
      </c>
      <c r="F6555" t="str">
        <f t="shared" si="510"/>
        <v>First</v>
      </c>
      <c r="G6555" t="str">
        <f t="shared" si="511"/>
        <v>First9401Austin</v>
      </c>
      <c r="H6555" t="s">
        <v>37411</v>
      </c>
      <c r="I6555" t="s">
        <v>28828</v>
      </c>
      <c r="J6555" t="str">
        <f t="shared" si="512"/>
        <v>E:\PropInv\MF</v>
      </c>
      <c r="K6555" s="103" t="str">
        <f>HYPERLINK("E:\PropInv\MF\Austin\First St S_9401_Southpark Ranch_Austin_17525","First St S_9401_Southpark Ranch_Austin_17525" )</f>
        <v>First St S_9401_Southpark Ranch_Austin_17525</v>
      </c>
      <c r="L6555" s="104" t="s">
        <v>22253</v>
      </c>
      <c r="M6555" s="103" t="str">
        <f t="shared" si="513"/>
        <v>http://oconnordata.com/mlink/modules/profile/index.cfm?action=profile&amp;prop_id=17525</v>
      </c>
      <c r="N6555" s="1">
        <f t="shared" si="514"/>
        <v>17525</v>
      </c>
    </row>
    <row r="6556" spans="1:14" x14ac:dyDescent="0.3">
      <c r="A6556" s="1">
        <v>17526</v>
      </c>
      <c r="B6556" s="7" t="s">
        <v>9842</v>
      </c>
      <c r="C6556" s="12">
        <v>1409</v>
      </c>
      <c r="D6556" s="7" t="s">
        <v>9843</v>
      </c>
      <c r="E6556" s="13" t="s">
        <v>498</v>
      </c>
      <c r="F6556" t="str">
        <f t="shared" si="510"/>
        <v>Bishop</v>
      </c>
      <c r="G6556" t="str">
        <f t="shared" si="511"/>
        <v>Bishop1409San Marcos</v>
      </c>
      <c r="H6556" t="s">
        <v>37412</v>
      </c>
      <c r="I6556" t="s">
        <v>28829</v>
      </c>
      <c r="J6556" t="str">
        <f t="shared" si="512"/>
        <v>E:\PropInv\MF</v>
      </c>
      <c r="K6556" s="103" t="str">
        <f>HYPERLINK("E:\PropInv\MF\San Marcos\Bishop St N_1409_Bishop's Corner_San Marcos_17526","Bishop St N_1409_Bishop's Corner_San Marcos_17526" )</f>
        <v>Bishop St N_1409_Bishop's Corner_San Marcos_17526</v>
      </c>
      <c r="L6556" s="104" t="s">
        <v>22253</v>
      </c>
      <c r="M6556" s="103" t="str">
        <f t="shared" si="513"/>
        <v>http://oconnordata.com/mlink/modules/profile/index.cfm?action=profile&amp;prop_id=17526</v>
      </c>
      <c r="N6556" s="1">
        <f t="shared" si="514"/>
        <v>17526</v>
      </c>
    </row>
    <row r="6557" spans="1:14" x14ac:dyDescent="0.3">
      <c r="A6557" s="1">
        <v>17527</v>
      </c>
      <c r="B6557" s="7" t="s">
        <v>9844</v>
      </c>
      <c r="C6557" s="12">
        <v>6298</v>
      </c>
      <c r="D6557" s="7" t="s">
        <v>9845</v>
      </c>
      <c r="E6557" s="13" t="s">
        <v>842</v>
      </c>
      <c r="F6557" t="str">
        <f t="shared" si="510"/>
        <v>Lockhill</v>
      </c>
      <c r="G6557" t="str">
        <f t="shared" si="511"/>
        <v>Lockhill6298San Antonio</v>
      </c>
      <c r="H6557" t="s">
        <v>37413</v>
      </c>
      <c r="I6557" t="s">
        <v>28830</v>
      </c>
      <c r="J6557" t="str">
        <f t="shared" si="512"/>
        <v>E:\PropInv\MF</v>
      </c>
      <c r="K6557" s="103" t="str">
        <f>HYPERLINK("E:\PropInv\MF\San Antonio\Lockhill Rd_6298_Providence Estates TH_San Antonio_17527","Lockhill Rd_6298_Providence Estates TH_San Antonio_17527" )</f>
        <v>Lockhill Rd_6298_Providence Estates TH_San Antonio_17527</v>
      </c>
      <c r="L6557" s="104" t="s">
        <v>22253</v>
      </c>
      <c r="M6557" s="103" t="str">
        <f t="shared" si="513"/>
        <v>http://oconnordata.com/mlink/modules/profile/index.cfm?action=profile&amp;prop_id=17527</v>
      </c>
      <c r="N6557" s="1">
        <f t="shared" si="514"/>
        <v>17527</v>
      </c>
    </row>
    <row r="6558" spans="1:14" x14ac:dyDescent="0.3">
      <c r="A6558" s="1">
        <v>17528</v>
      </c>
      <c r="B6558" s="7" t="s">
        <v>965</v>
      </c>
      <c r="C6558" s="12" t="s">
        <v>9846</v>
      </c>
      <c r="D6558" s="7" t="s">
        <v>9847</v>
      </c>
      <c r="E6558" s="13" t="s">
        <v>842</v>
      </c>
      <c r="F6558" t="str">
        <f t="shared" si="510"/>
        <v>Frio</v>
      </c>
      <c r="G6558" t="str">
        <f t="shared" si="511"/>
        <v>Frio810 &amp; 910San Antonio</v>
      </c>
      <c r="H6558" t="s">
        <v>37414</v>
      </c>
      <c r="I6558" t="s">
        <v>28831</v>
      </c>
      <c r="J6558" t="str">
        <f t="shared" si="512"/>
        <v>E:\PropInv\MF</v>
      </c>
      <c r="K6558" s="103" t="str">
        <f>HYPERLINK("E:\PropInv\MF\San Antonio\Frio St N_810 &amp; 910_Vista Verde Apts_San Antonio_17528","Frio St N_810 &amp; 910_Vista Verde Apts_San Antonio_17528" )</f>
        <v>Frio St N_810 &amp; 910_Vista Verde Apts_San Antonio_17528</v>
      </c>
      <c r="L6558" s="104" t="s">
        <v>22253</v>
      </c>
      <c r="M6558" s="103" t="str">
        <f t="shared" si="513"/>
        <v>http://oconnordata.com/mlink/modules/profile/index.cfm?action=profile&amp;prop_id=17528</v>
      </c>
      <c r="N6558" s="1">
        <f t="shared" si="514"/>
        <v>17528</v>
      </c>
    </row>
    <row r="6559" spans="1:14" x14ac:dyDescent="0.3">
      <c r="A6559" s="1">
        <v>17529</v>
      </c>
      <c r="B6559" s="7" t="s">
        <v>9848</v>
      </c>
      <c r="C6559" s="12">
        <v>9494</v>
      </c>
      <c r="D6559" s="7" t="s">
        <v>9849</v>
      </c>
      <c r="E6559" s="13" t="s">
        <v>1763</v>
      </c>
      <c r="F6559" t="str">
        <f t="shared" si="510"/>
        <v>Humble</v>
      </c>
      <c r="G6559" t="str">
        <f t="shared" si="511"/>
        <v>Humble9494Humble</v>
      </c>
      <c r="H6559" t="s">
        <v>37415</v>
      </c>
      <c r="I6559" t="s">
        <v>28832</v>
      </c>
      <c r="J6559" t="str">
        <f t="shared" si="512"/>
        <v>E:\PropInv\MF</v>
      </c>
      <c r="K6559" s="103" t="str">
        <f>HYPERLINK("E:\PropInv\MF\Humble\Humble Westfield Rd (1960 FM)_9494_Bellaterra at Deerbrook_Humble_17529","Humble Westfield Rd (1960 FM)_9494_Bellaterra at Deerbrook_Humble_17529" )</f>
        <v>Humble Westfield Rd (1960 FM)_9494_Bellaterra at Deerbrook_Humble_17529</v>
      </c>
      <c r="L6559" s="104" t="s">
        <v>22253</v>
      </c>
      <c r="M6559" s="103" t="str">
        <f t="shared" si="513"/>
        <v>http://oconnordata.com/mlink/modules/profile/index.cfm?action=profile&amp;prop_id=17529</v>
      </c>
      <c r="N6559" s="1">
        <f t="shared" si="514"/>
        <v>17529</v>
      </c>
    </row>
    <row r="6560" spans="1:14" x14ac:dyDescent="0.3">
      <c r="A6560" s="1">
        <v>17530</v>
      </c>
      <c r="B6560" s="7" t="s">
        <v>9850</v>
      </c>
      <c r="C6560" s="12">
        <v>1901</v>
      </c>
      <c r="D6560" s="7" t="s">
        <v>9851</v>
      </c>
      <c r="E6560" s="13" t="s">
        <v>7</v>
      </c>
      <c r="F6560" t="str">
        <f t="shared" si="510"/>
        <v>Onion</v>
      </c>
      <c r="G6560" t="str">
        <f t="shared" si="511"/>
        <v>Onion1901Austin</v>
      </c>
      <c r="H6560" t="s">
        <v>37416</v>
      </c>
      <c r="I6560" t="s">
        <v>28833</v>
      </c>
      <c r="J6560" t="str">
        <f t="shared" si="512"/>
        <v>E:\PropInv\MF</v>
      </c>
      <c r="K6560" s="103" t="str">
        <f>HYPERLINK("E:\PropInv\MF\Austin\Onion Creek Pkwy_1901_Colonial Grand at Onion Creek_Austin_17530","Onion Creek Pkwy_1901_Colonial Grand at Onion Creek_Austin_17530" )</f>
        <v>Onion Creek Pkwy_1901_Colonial Grand at Onion Creek_Austin_17530</v>
      </c>
      <c r="L6560" s="104" t="s">
        <v>22253</v>
      </c>
      <c r="M6560" s="103" t="str">
        <f t="shared" si="513"/>
        <v>http://oconnordata.com/mlink/modules/profile/index.cfm?action=profile&amp;prop_id=17530</v>
      </c>
      <c r="N6560" s="1">
        <f t="shared" si="514"/>
        <v>17530</v>
      </c>
    </row>
    <row r="6561" spans="1:14" x14ac:dyDescent="0.3">
      <c r="A6561" s="1">
        <v>17531</v>
      </c>
      <c r="B6561" s="19" t="s">
        <v>9852</v>
      </c>
      <c r="C6561" s="18" t="s">
        <v>2497</v>
      </c>
      <c r="D6561" s="19" t="s">
        <v>9853</v>
      </c>
      <c r="E6561" s="20" t="s">
        <v>7</v>
      </c>
      <c r="F6561" t="str">
        <f t="shared" si="510"/>
        <v>1626</v>
      </c>
      <c r="G6561" t="str">
        <f t="shared" si="511"/>
        <v>1626NFAustin</v>
      </c>
      <c r="H6561" t="s">
        <v>37417</v>
      </c>
      <c r="I6561" t="s">
        <v>28834</v>
      </c>
      <c r="J6561" t="str">
        <f t="shared" si="512"/>
        <v>E:\PropInv\MF</v>
      </c>
      <c r="K6561" s="103" t="str">
        <f>HYPERLINK("E:\PropInv\MF\Austin\1626 FM_NF_Colonial Grand at Cityway I_Austin_17531","1626 FM_NF_Colonial Grand at Cityway I_Austin_17531" )</f>
        <v>1626 FM_NF_Colonial Grand at Cityway I_Austin_17531</v>
      </c>
      <c r="L6561" s="104" t="s">
        <v>22253</v>
      </c>
      <c r="M6561" s="103" t="str">
        <f t="shared" si="513"/>
        <v>http://oconnordata.com/mlink/modules/profile/index.cfm?action=profile&amp;prop_id=17531</v>
      </c>
      <c r="N6561" s="1">
        <f t="shared" si="514"/>
        <v>17531</v>
      </c>
    </row>
    <row r="6562" spans="1:14" x14ac:dyDescent="0.3">
      <c r="A6562" s="1">
        <v>17532</v>
      </c>
      <c r="B6562" s="7" t="s">
        <v>4880</v>
      </c>
      <c r="C6562" s="12" t="s">
        <v>9854</v>
      </c>
      <c r="D6562" s="7" t="s">
        <v>3852</v>
      </c>
      <c r="E6562" s="13" t="s">
        <v>1657</v>
      </c>
      <c r="F6562" t="str">
        <f t="shared" si="510"/>
        <v>Schroeder</v>
      </c>
      <c r="G6562" t="str">
        <f t="shared" si="511"/>
        <v>Schroeder5938-6004Houston</v>
      </c>
      <c r="H6562" t="s">
        <v>37418</v>
      </c>
      <c r="I6562" t="s">
        <v>28835</v>
      </c>
      <c r="J6562" t="str">
        <f t="shared" si="512"/>
        <v>E:\PropInv\MF</v>
      </c>
      <c r="K6562" s="103" t="str">
        <f>HYPERLINK("E:\PropInv\MF\Houston\Schroeder Rd_5938-6004_The Villas_Houston_17532","Schroeder Rd_5938-6004_The Villas_Houston_17532" )</f>
        <v>Schroeder Rd_5938-6004_The Villas_Houston_17532</v>
      </c>
      <c r="L6562" s="104" t="s">
        <v>22253</v>
      </c>
      <c r="M6562" s="103" t="str">
        <f t="shared" si="513"/>
        <v>http://oconnordata.com/mlink/modules/profile/index.cfm?action=profile&amp;prop_id=17532</v>
      </c>
      <c r="N6562" s="1">
        <f t="shared" si="514"/>
        <v>17532</v>
      </c>
    </row>
    <row r="6563" spans="1:14" x14ac:dyDescent="0.3">
      <c r="A6563" s="1">
        <v>17533</v>
      </c>
      <c r="B6563" s="7" t="s">
        <v>9855</v>
      </c>
      <c r="C6563" s="12">
        <v>13100</v>
      </c>
      <c r="D6563" s="7" t="s">
        <v>9856</v>
      </c>
      <c r="E6563" s="13" t="s">
        <v>1657</v>
      </c>
      <c r="F6563" t="str">
        <f t="shared" si="510"/>
        <v>Belfort</v>
      </c>
      <c r="G6563" t="str">
        <f t="shared" si="511"/>
        <v>Belfort13100Houston</v>
      </c>
      <c r="H6563" t="s">
        <v>37419</v>
      </c>
      <c r="I6563" t="s">
        <v>28836</v>
      </c>
      <c r="J6563" t="str">
        <f t="shared" si="512"/>
        <v>E:\PropInv\MF</v>
      </c>
      <c r="K6563" s="103" t="str">
        <f>HYPERLINK("E:\PropInv\MF\Houston\Belfort W_13100_Milan_Houston_17533","Belfort W_13100_Milan_Houston_17533" )</f>
        <v>Belfort W_13100_Milan_Houston_17533</v>
      </c>
      <c r="L6563" s="104" t="s">
        <v>22253</v>
      </c>
      <c r="M6563" s="103" t="str">
        <f t="shared" si="513"/>
        <v>http://oconnordata.com/mlink/modules/profile/index.cfm?action=profile&amp;prop_id=17533</v>
      </c>
      <c r="N6563" s="1">
        <f t="shared" si="514"/>
        <v>17533</v>
      </c>
    </row>
    <row r="6564" spans="1:14" x14ac:dyDescent="0.3">
      <c r="A6564" s="1">
        <v>17534</v>
      </c>
      <c r="B6564" s="7" t="s">
        <v>9857</v>
      </c>
      <c r="C6564" s="12">
        <v>2222</v>
      </c>
      <c r="D6564" s="7" t="s">
        <v>9858</v>
      </c>
      <c r="E6564" s="13" t="s">
        <v>4996</v>
      </c>
      <c r="F6564" t="str">
        <f t="shared" si="510"/>
        <v>Medical</v>
      </c>
      <c r="G6564" t="str">
        <f t="shared" si="511"/>
        <v>Medical2222Dallas</v>
      </c>
      <c r="H6564" t="s">
        <v>37420</v>
      </c>
      <c r="I6564" t="s">
        <v>28837</v>
      </c>
      <c r="J6564" t="str">
        <f t="shared" si="512"/>
        <v>E:\PropInv\MF</v>
      </c>
      <c r="K6564" s="103" t="str">
        <f>HYPERLINK("E:\PropInv\MF\Dallas\Medical District Dr_2222_Colonial Reserve at Medical District_Dallas_17534","Medical District Dr_2222_Colonial Reserve at Medical District_Dallas_17534" )</f>
        <v>Medical District Dr_2222_Colonial Reserve at Medical District_Dallas_17534</v>
      </c>
      <c r="L6564" s="104" t="s">
        <v>22253</v>
      </c>
      <c r="M6564" s="103" t="str">
        <f t="shared" si="513"/>
        <v>http://oconnordata.com/mlink/modules/profile/index.cfm?action=profile&amp;prop_id=17534</v>
      </c>
      <c r="N6564" s="1">
        <f t="shared" si="514"/>
        <v>17534</v>
      </c>
    </row>
    <row r="6565" spans="1:14" x14ac:dyDescent="0.3">
      <c r="A6565" s="1">
        <v>17535</v>
      </c>
      <c r="B6565" s="7" t="s">
        <v>9016</v>
      </c>
      <c r="C6565" s="12">
        <v>2728</v>
      </c>
      <c r="D6565" s="7" t="s">
        <v>9859</v>
      </c>
      <c r="E6565" s="13" t="s">
        <v>4996</v>
      </c>
      <c r="F6565" t="str">
        <f t="shared" si="510"/>
        <v>McKinnon</v>
      </c>
      <c r="G6565" t="str">
        <f t="shared" si="511"/>
        <v>McKinnon2728Dallas</v>
      </c>
      <c r="H6565" t="s">
        <v>37421</v>
      </c>
      <c r="I6565" t="s">
        <v>28838</v>
      </c>
      <c r="J6565" t="str">
        <f t="shared" si="512"/>
        <v>E:\PropInv\MF</v>
      </c>
      <c r="K6565" s="103" t="str">
        <f>HYPERLINK("E:\PropInv\MF\Dallas\McKinnon St_2728_Glass House by Windsor_Dallas_17535","McKinnon St_2728_Glass House by Windsor_Dallas_17535" )</f>
        <v>McKinnon St_2728_Glass House by Windsor_Dallas_17535</v>
      </c>
      <c r="L6565" s="104" t="s">
        <v>22253</v>
      </c>
      <c r="M6565" s="103" t="str">
        <f t="shared" si="513"/>
        <v>http://oconnordata.com/mlink/modules/profile/index.cfm?action=profile&amp;prop_id=17535</v>
      </c>
      <c r="N6565" s="1">
        <f t="shared" si="514"/>
        <v>17535</v>
      </c>
    </row>
    <row r="6566" spans="1:14" x14ac:dyDescent="0.3">
      <c r="A6566" s="1">
        <v>17536</v>
      </c>
      <c r="B6566" s="10" t="s">
        <v>9860</v>
      </c>
      <c r="C6566" s="9">
        <v>900</v>
      </c>
      <c r="D6566" s="10" t="s">
        <v>9861</v>
      </c>
      <c r="E6566" s="11" t="s">
        <v>5088</v>
      </c>
      <c r="F6566" t="str">
        <f t="shared" si="510"/>
        <v>Gross</v>
      </c>
      <c r="G6566" t="str">
        <f t="shared" si="511"/>
        <v>Gross900Mesquite</v>
      </c>
      <c r="H6566" t="s">
        <v>37422</v>
      </c>
      <c r="I6566" t="s">
        <v>28839</v>
      </c>
      <c r="J6566" t="str">
        <f t="shared" si="512"/>
        <v>E:\PropInv\MF</v>
      </c>
      <c r="K6566" s="103" t="str">
        <f>HYPERLINK("E:\PropInv\MF\Mesquite\Gross Rd_900_Magnolia At Mesquite Creek_Mesquite_17536","Gross Rd_900_Magnolia At Mesquite Creek_Mesquite_17536" )</f>
        <v>Gross Rd_900_Magnolia At Mesquite Creek_Mesquite_17536</v>
      </c>
      <c r="L6566" s="104" t="s">
        <v>22253</v>
      </c>
      <c r="M6566" s="103" t="str">
        <f t="shared" si="513"/>
        <v>http://oconnordata.com/mlink/modules/profile/index.cfm?action=profile&amp;prop_id=17536</v>
      </c>
      <c r="N6566" s="1">
        <f t="shared" si="514"/>
        <v>17536</v>
      </c>
    </row>
    <row r="6567" spans="1:14" x14ac:dyDescent="0.3">
      <c r="A6567" s="1">
        <v>17537</v>
      </c>
      <c r="B6567" s="10" t="s">
        <v>379</v>
      </c>
      <c r="C6567" s="9">
        <v>6200</v>
      </c>
      <c r="D6567" s="10" t="s">
        <v>9862</v>
      </c>
      <c r="E6567" s="11" t="s">
        <v>7</v>
      </c>
      <c r="F6567" t="str">
        <f t="shared" si="510"/>
        <v>Loyola</v>
      </c>
      <c r="G6567" t="str">
        <f t="shared" si="511"/>
        <v>Loyola6200Austin</v>
      </c>
      <c r="H6567" t="s">
        <v>37423</v>
      </c>
      <c r="I6567" t="s">
        <v>28840</v>
      </c>
      <c r="J6567" t="str">
        <f t="shared" si="512"/>
        <v>E:\PropInv\MF</v>
      </c>
      <c r="K6567" s="103" t="str">
        <f>HYPERLINK("E:\PropInv\MF\Austin\Loyola Ln_6200_Park Place at Loyola_Austin_17537","Loyola Ln_6200_Park Place at Loyola_Austin_17537" )</f>
        <v>Loyola Ln_6200_Park Place at Loyola_Austin_17537</v>
      </c>
      <c r="L6567" s="104" t="s">
        <v>22253</v>
      </c>
      <c r="M6567" s="103" t="str">
        <f t="shared" si="513"/>
        <v>http://oconnordata.com/mlink/modules/profile/index.cfm?action=profile&amp;prop_id=17537</v>
      </c>
      <c r="N6567" s="1">
        <f t="shared" si="514"/>
        <v>17537</v>
      </c>
    </row>
    <row r="6568" spans="1:14" x14ac:dyDescent="0.3">
      <c r="A6568" s="1">
        <v>17538</v>
      </c>
      <c r="B6568" s="10" t="s">
        <v>2220</v>
      </c>
      <c r="C6568" s="9">
        <v>20100</v>
      </c>
      <c r="D6568" s="10" t="s">
        <v>9863</v>
      </c>
      <c r="E6568" s="11" t="s">
        <v>2198</v>
      </c>
      <c r="F6568" t="str">
        <f t="shared" si="510"/>
        <v>Park</v>
      </c>
      <c r="G6568" t="str">
        <f t="shared" si="511"/>
        <v>Park20100Katy</v>
      </c>
      <c r="H6568" t="s">
        <v>37424</v>
      </c>
      <c r="I6568" t="s">
        <v>28841</v>
      </c>
      <c r="J6568" t="str">
        <f t="shared" si="512"/>
        <v>E:\PropInv\MF</v>
      </c>
      <c r="K6568" s="103" t="str">
        <f>HYPERLINK("E:\PropInv\MF\Katy\Park Row_20100_Lancaster Apts_Katy_17538","Park Row_20100_Lancaster Apts_Katy_17538" )</f>
        <v>Park Row_20100_Lancaster Apts_Katy_17538</v>
      </c>
      <c r="L6568" s="104" t="s">
        <v>22253</v>
      </c>
      <c r="M6568" s="103" t="str">
        <f t="shared" si="513"/>
        <v>http://oconnordata.com/mlink/modules/profile/index.cfm?action=profile&amp;prop_id=17538</v>
      </c>
      <c r="N6568" s="1">
        <f t="shared" si="514"/>
        <v>17538</v>
      </c>
    </row>
    <row r="6569" spans="1:14" x14ac:dyDescent="0.3">
      <c r="A6569" s="1">
        <v>17539</v>
      </c>
      <c r="B6569" s="10" t="s">
        <v>2818</v>
      </c>
      <c r="C6569" s="9">
        <v>2929</v>
      </c>
      <c r="D6569" s="10" t="s">
        <v>9864</v>
      </c>
      <c r="E6569" s="11" t="s">
        <v>1657</v>
      </c>
      <c r="F6569" t="str">
        <f t="shared" si="510"/>
        <v>Westheimer</v>
      </c>
      <c r="G6569" t="str">
        <f t="shared" si="511"/>
        <v>Westheimer2929Houston</v>
      </c>
      <c r="H6569" t="s">
        <v>37425</v>
      </c>
      <c r="I6569" t="s">
        <v>28842</v>
      </c>
      <c r="J6569" t="str">
        <f t="shared" si="512"/>
        <v>E:\PropInv\MF</v>
      </c>
      <c r="K6569" s="103" t="str">
        <f>HYPERLINK("E:\PropInv\MF\Houston\Westheimer Rd_2929_The Belle Meade at River Oaks_Houston_17539","Westheimer Rd_2929_The Belle Meade at River Oaks_Houston_17539" )</f>
        <v>Westheimer Rd_2929_The Belle Meade at River Oaks_Houston_17539</v>
      </c>
      <c r="L6569" s="104" t="s">
        <v>22253</v>
      </c>
      <c r="M6569" s="103" t="str">
        <f t="shared" si="513"/>
        <v>http://oconnordata.com/mlink/modules/profile/index.cfm?action=profile&amp;prop_id=17539</v>
      </c>
      <c r="N6569" s="1">
        <f t="shared" si="514"/>
        <v>17539</v>
      </c>
    </row>
    <row r="6570" spans="1:14" x14ac:dyDescent="0.3">
      <c r="A6570" s="1">
        <v>17540</v>
      </c>
      <c r="B6570" s="10" t="s">
        <v>3667</v>
      </c>
      <c r="C6570" s="9">
        <v>3838</v>
      </c>
      <c r="D6570" s="10" t="s">
        <v>9865</v>
      </c>
      <c r="E6570" s="11" t="s">
        <v>1657</v>
      </c>
      <c r="F6570" t="str">
        <f t="shared" si="510"/>
        <v>Braeswood</v>
      </c>
      <c r="G6570" t="str">
        <f t="shared" si="511"/>
        <v>Braeswood3838Houston</v>
      </c>
      <c r="H6570" t="s">
        <v>37426</v>
      </c>
      <c r="I6570" t="s">
        <v>28843</v>
      </c>
      <c r="J6570" t="str">
        <f t="shared" si="512"/>
        <v>E:\PropInv\MF</v>
      </c>
      <c r="K6570" s="103" t="str">
        <f>HYPERLINK("E:\PropInv\MF\Houston\Braeswood Blvd N_3838_Braeswood Place_Houston_17540","Braeswood Blvd N_3838_Braeswood Place_Houston_17540" )</f>
        <v>Braeswood Blvd N_3838_Braeswood Place_Houston_17540</v>
      </c>
      <c r="L6570" s="104" t="s">
        <v>22253</v>
      </c>
      <c r="M6570" s="103" t="str">
        <f t="shared" si="513"/>
        <v>http://oconnordata.com/mlink/modules/profile/index.cfm?action=profile&amp;prop_id=17540</v>
      </c>
      <c r="N6570" s="1">
        <f t="shared" si="514"/>
        <v>17540</v>
      </c>
    </row>
    <row r="6571" spans="1:14" x14ac:dyDescent="0.3">
      <c r="A6571" s="1">
        <v>17541</v>
      </c>
      <c r="B6571" s="10" t="s">
        <v>9866</v>
      </c>
      <c r="C6571" s="9">
        <v>1601</v>
      </c>
      <c r="D6571" s="10" t="s">
        <v>9867</v>
      </c>
      <c r="E6571" s="11" t="s">
        <v>8765</v>
      </c>
      <c r="F6571" t="str">
        <f t="shared" si="510"/>
        <v>Towne</v>
      </c>
      <c r="G6571" t="str">
        <f t="shared" si="511"/>
        <v>Towne1601Mansfield</v>
      </c>
      <c r="H6571" t="s">
        <v>37427</v>
      </c>
      <c r="I6571" t="s">
        <v>28844</v>
      </c>
      <c r="J6571" t="str">
        <f t="shared" si="512"/>
        <v>E:\PropInv\MF</v>
      </c>
      <c r="K6571" s="103" t="str">
        <f>HYPERLINK("E:\PropInv\MF\Mansfield\Towne Crossing Blvd_1601_Towne Crossing_Mansfield_17541","Towne Crossing Blvd_1601_Towne Crossing_Mansfield_17541" )</f>
        <v>Towne Crossing Blvd_1601_Towne Crossing_Mansfield_17541</v>
      </c>
      <c r="L6571" s="104" t="s">
        <v>22253</v>
      </c>
      <c r="M6571" s="103" t="str">
        <f t="shared" si="513"/>
        <v>http://oconnordata.com/mlink/modules/profile/index.cfm?action=profile&amp;prop_id=17541</v>
      </c>
      <c r="N6571" s="1">
        <f t="shared" si="514"/>
        <v>17541</v>
      </c>
    </row>
    <row r="6572" spans="1:14" x14ac:dyDescent="0.3">
      <c r="A6572" s="1">
        <v>17542</v>
      </c>
      <c r="B6572" s="10" t="s">
        <v>9866</v>
      </c>
      <c r="C6572" s="9">
        <v>1751</v>
      </c>
      <c r="D6572" s="10" t="s">
        <v>9868</v>
      </c>
      <c r="E6572" s="11" t="s">
        <v>8765</v>
      </c>
      <c r="F6572" t="str">
        <f t="shared" si="510"/>
        <v>Towne</v>
      </c>
      <c r="G6572" t="str">
        <f t="shared" si="511"/>
        <v>Towne1751Mansfield</v>
      </c>
      <c r="H6572" t="s">
        <v>37428</v>
      </c>
      <c r="I6572" t="s">
        <v>28845</v>
      </c>
      <c r="J6572" t="str">
        <f t="shared" si="512"/>
        <v>E:\PropInv\MF</v>
      </c>
      <c r="K6572" s="103" t="str">
        <f>HYPERLINK("E:\PropInv\MF\Mansfield\Towne Crossing Blvd_1751_Cedar Point TH_Mansfield_17542","Towne Crossing Blvd_1751_Cedar Point TH_Mansfield_17542" )</f>
        <v>Towne Crossing Blvd_1751_Cedar Point TH_Mansfield_17542</v>
      </c>
      <c r="L6572" s="104" t="s">
        <v>22253</v>
      </c>
      <c r="M6572" s="103" t="str">
        <f t="shared" si="513"/>
        <v>http://oconnordata.com/mlink/modules/profile/index.cfm?action=profile&amp;prop_id=17542</v>
      </c>
      <c r="N6572" s="1">
        <f t="shared" si="514"/>
        <v>17542</v>
      </c>
    </row>
    <row r="6573" spans="1:14" x14ac:dyDescent="0.3">
      <c r="A6573" s="1">
        <v>17543</v>
      </c>
      <c r="B6573" s="10" t="s">
        <v>9866</v>
      </c>
      <c r="C6573" s="9">
        <v>1701</v>
      </c>
      <c r="D6573" s="10" t="s">
        <v>9869</v>
      </c>
      <c r="E6573" s="11" t="s">
        <v>8765</v>
      </c>
      <c r="F6573" t="str">
        <f t="shared" si="510"/>
        <v>Towne</v>
      </c>
      <c r="G6573" t="str">
        <f t="shared" si="511"/>
        <v>Towne1701Mansfield</v>
      </c>
      <c r="H6573" t="s">
        <v>37429</v>
      </c>
      <c r="I6573" t="s">
        <v>28846</v>
      </c>
      <c r="J6573" t="str">
        <f t="shared" si="512"/>
        <v>E:\PropInv\MF</v>
      </c>
      <c r="K6573" s="103" t="str">
        <f>HYPERLINK("E:\PropInv\MF\Mansfield\Towne Crossing Blvd_1701_Falls at Towne Crossing_Mansfield_17543","Towne Crossing Blvd_1701_Falls at Towne Crossing_Mansfield_17543" )</f>
        <v>Towne Crossing Blvd_1701_Falls at Towne Crossing_Mansfield_17543</v>
      </c>
      <c r="L6573" s="104" t="s">
        <v>22253</v>
      </c>
      <c r="M6573" s="103" t="str">
        <f t="shared" si="513"/>
        <v>http://oconnordata.com/mlink/modules/profile/index.cfm?action=profile&amp;prop_id=17543</v>
      </c>
      <c r="N6573" s="1">
        <f t="shared" si="514"/>
        <v>17543</v>
      </c>
    </row>
    <row r="6574" spans="1:14" x14ac:dyDescent="0.3">
      <c r="A6574" s="1">
        <v>17544</v>
      </c>
      <c r="B6574" s="10" t="s">
        <v>4853</v>
      </c>
      <c r="C6574" s="9">
        <v>3990</v>
      </c>
      <c r="D6574" s="10" t="s">
        <v>9870</v>
      </c>
      <c r="E6574" s="11" t="s">
        <v>1657</v>
      </c>
      <c r="F6574" t="str">
        <f t="shared" si="510"/>
        <v>Washington</v>
      </c>
      <c r="G6574" t="str">
        <f t="shared" si="511"/>
        <v>Washington3990Houston</v>
      </c>
      <c r="H6574" t="s">
        <v>37430</v>
      </c>
      <c r="I6574" t="s">
        <v>28847</v>
      </c>
      <c r="J6574" t="str">
        <f t="shared" si="512"/>
        <v>E:\PropInv\MF</v>
      </c>
      <c r="K6574" s="103" t="str">
        <f>HYPERLINK("E:\PropInv\MF\Houston\Washington Ave_3990_The Core Apts_Houston_17544","Washington Ave_3990_The Core Apts_Houston_17544" )</f>
        <v>Washington Ave_3990_The Core Apts_Houston_17544</v>
      </c>
      <c r="L6574" s="104" t="s">
        <v>22253</v>
      </c>
      <c r="M6574" s="103" t="str">
        <f t="shared" si="513"/>
        <v>http://oconnordata.com/mlink/modules/profile/index.cfm?action=profile&amp;prop_id=17544</v>
      </c>
      <c r="N6574" s="1">
        <f t="shared" si="514"/>
        <v>17544</v>
      </c>
    </row>
    <row r="6575" spans="1:14" x14ac:dyDescent="0.3">
      <c r="A6575" s="1">
        <v>17545</v>
      </c>
      <c r="B6575" s="10" t="s">
        <v>9871</v>
      </c>
      <c r="C6575" s="9">
        <v>3401</v>
      </c>
      <c r="D6575" s="10" t="s">
        <v>9872</v>
      </c>
      <c r="E6575" s="11" t="s">
        <v>5009</v>
      </c>
      <c r="F6575" t="str">
        <f t="shared" si="510"/>
        <v>Premier</v>
      </c>
      <c r="G6575" t="str">
        <f t="shared" si="511"/>
        <v>Premier3401Plano</v>
      </c>
      <c r="H6575" t="s">
        <v>37431</v>
      </c>
      <c r="I6575" t="s">
        <v>28848</v>
      </c>
      <c r="J6575" t="str">
        <f t="shared" si="512"/>
        <v>E:\PropInv\MF</v>
      </c>
      <c r="K6575" s="103" t="str">
        <f>HYPERLINK("E:\PropInv\MF\Plano\Premier Dr_3401_The Waterford at Plano_Plano_17545","Premier Dr_3401_The Waterford at Plano_Plano_17545" )</f>
        <v>Premier Dr_3401_The Waterford at Plano_Plano_17545</v>
      </c>
      <c r="L6575" s="104" t="s">
        <v>22253</v>
      </c>
      <c r="M6575" s="103" t="str">
        <f t="shared" si="513"/>
        <v>http://oconnordata.com/mlink/modules/profile/index.cfm?action=profile&amp;prop_id=17545</v>
      </c>
      <c r="N6575" s="1">
        <f t="shared" si="514"/>
        <v>17545</v>
      </c>
    </row>
    <row r="6576" spans="1:14" x14ac:dyDescent="0.3">
      <c r="A6576" s="1">
        <v>17547</v>
      </c>
      <c r="B6576" s="10" t="s">
        <v>9873</v>
      </c>
      <c r="C6576" s="9">
        <v>4690</v>
      </c>
      <c r="D6576" s="10" t="s">
        <v>9874</v>
      </c>
      <c r="E6576" s="11" t="s">
        <v>5043</v>
      </c>
      <c r="F6576" t="str">
        <f t="shared" si="510"/>
        <v>Eldorado</v>
      </c>
      <c r="G6576" t="str">
        <f t="shared" si="511"/>
        <v>Eldorado4690McKinney</v>
      </c>
      <c r="H6576" t="s">
        <v>37432</v>
      </c>
      <c r="I6576" t="s">
        <v>28849</v>
      </c>
      <c r="J6576" t="str">
        <f t="shared" si="512"/>
        <v>E:\PropInv\MF</v>
      </c>
      <c r="K6576" s="103" t="str">
        <f>HYPERLINK("E:\PropInv\MF\McKinney\Eldorado Pkwy W_4690_Haven at Eldorado_McKinney_17547","Eldorado Pkwy W_4690_Haven at Eldorado_McKinney_17547" )</f>
        <v>Eldorado Pkwy W_4690_Haven at Eldorado_McKinney_17547</v>
      </c>
      <c r="L6576" s="104" t="s">
        <v>22253</v>
      </c>
      <c r="M6576" s="103" t="str">
        <f t="shared" si="513"/>
        <v>http://oconnordata.com/mlink/modules/profile/index.cfm?action=profile&amp;prop_id=17547</v>
      </c>
      <c r="N6576" s="1">
        <f t="shared" si="514"/>
        <v>17547</v>
      </c>
    </row>
    <row r="6577" spans="1:14" x14ac:dyDescent="0.3">
      <c r="A6577" s="1">
        <v>17548</v>
      </c>
      <c r="B6577" s="10" t="s">
        <v>8913</v>
      </c>
      <c r="C6577" s="9">
        <v>1895</v>
      </c>
      <c r="D6577" s="10" t="s">
        <v>9875</v>
      </c>
      <c r="E6577" s="11" t="s">
        <v>1657</v>
      </c>
      <c r="F6577" t="str">
        <f t="shared" si="510"/>
        <v>Barker</v>
      </c>
      <c r="G6577" t="str">
        <f t="shared" si="511"/>
        <v>Barker1895Houston</v>
      </c>
      <c r="H6577" t="s">
        <v>37433</v>
      </c>
      <c r="I6577" t="s">
        <v>28850</v>
      </c>
      <c r="J6577" t="str">
        <f t="shared" si="512"/>
        <v>E:\PropInv\MF</v>
      </c>
      <c r="K6577" s="103" t="str">
        <f>HYPERLINK("E:\PropInv\MF\Houston\Barker Cypress Rd_1895_Newport on the Lake_Houston_17548","Barker Cypress Rd_1895_Newport on the Lake_Houston_17548" )</f>
        <v>Barker Cypress Rd_1895_Newport on the Lake_Houston_17548</v>
      </c>
      <c r="L6577" s="104" t="s">
        <v>22253</v>
      </c>
      <c r="M6577" s="103" t="str">
        <f t="shared" si="513"/>
        <v>http://oconnordata.com/mlink/modules/profile/index.cfm?action=profile&amp;prop_id=17548</v>
      </c>
      <c r="N6577" s="1">
        <f t="shared" si="514"/>
        <v>17548</v>
      </c>
    </row>
    <row r="6578" spans="1:14" x14ac:dyDescent="0.3">
      <c r="A6578" s="1">
        <v>17549</v>
      </c>
      <c r="B6578" s="10" t="s">
        <v>8445</v>
      </c>
      <c r="C6578" s="9">
        <v>875</v>
      </c>
      <c r="D6578" s="10" t="s">
        <v>9876</v>
      </c>
      <c r="E6578" s="11" t="s">
        <v>1657</v>
      </c>
      <c r="F6578" t="str">
        <f t="shared" si="510"/>
        <v>Eldridge</v>
      </c>
      <c r="G6578" t="str">
        <f t="shared" si="511"/>
        <v>Eldridge875Houston</v>
      </c>
      <c r="H6578" t="s">
        <v>37434</v>
      </c>
      <c r="I6578" t="s">
        <v>28851</v>
      </c>
      <c r="J6578" t="str">
        <f t="shared" si="512"/>
        <v>E:\PropInv\MF</v>
      </c>
      <c r="K6578" s="103" t="str">
        <f>HYPERLINK("E:\PropInv\MF\Houston\Eldridge Pkwy N_875_Broadstone Memorial_Houston_17549","Eldridge Pkwy N_875_Broadstone Memorial_Houston_17549" )</f>
        <v>Eldridge Pkwy N_875_Broadstone Memorial_Houston_17549</v>
      </c>
      <c r="L6578" s="104" t="s">
        <v>22253</v>
      </c>
      <c r="M6578" s="103" t="str">
        <f t="shared" si="513"/>
        <v>http://oconnordata.com/mlink/modules/profile/index.cfm?action=profile&amp;prop_id=17549</v>
      </c>
      <c r="N6578" s="1">
        <f t="shared" si="514"/>
        <v>17549</v>
      </c>
    </row>
    <row r="6579" spans="1:14" x14ac:dyDescent="0.3">
      <c r="A6579" s="1">
        <v>17550</v>
      </c>
      <c r="B6579" s="10" t="s">
        <v>9877</v>
      </c>
      <c r="C6579" s="9">
        <v>1501</v>
      </c>
      <c r="D6579" s="10" t="s">
        <v>9878</v>
      </c>
      <c r="E6579" s="11" t="s">
        <v>8612</v>
      </c>
      <c r="F6579" t="str">
        <f t="shared" si="510"/>
        <v>Copperfield</v>
      </c>
      <c r="G6579" t="str">
        <f t="shared" si="511"/>
        <v>Copperfield1501College Station</v>
      </c>
      <c r="H6579" t="s">
        <v>37435</v>
      </c>
      <c r="I6579" t="s">
        <v>28852</v>
      </c>
      <c r="J6579" t="str">
        <f t="shared" si="512"/>
        <v>E:\PropInv\MF</v>
      </c>
      <c r="K6579" s="103" t="str">
        <f>HYPERLINK("E:\PropInv\MF\College Station\Copperfield Pkwy_1501_Crescent Pointe_College Station_17550","Copperfield Pkwy_1501_Crescent Pointe_College Station_17550" )</f>
        <v>Copperfield Pkwy_1501_Crescent Pointe_College Station_17550</v>
      </c>
      <c r="L6579" s="104" t="s">
        <v>22253</v>
      </c>
      <c r="M6579" s="103" t="str">
        <f t="shared" si="513"/>
        <v>http://oconnordata.com/mlink/modules/profile/index.cfm?action=profile&amp;prop_id=17550</v>
      </c>
      <c r="N6579" s="1">
        <f t="shared" si="514"/>
        <v>17550</v>
      </c>
    </row>
    <row r="6580" spans="1:14" x14ac:dyDescent="0.3">
      <c r="A6580" s="1">
        <v>17551</v>
      </c>
      <c r="B6580" s="10" t="s">
        <v>9879</v>
      </c>
      <c r="C6580" s="9">
        <v>6850</v>
      </c>
      <c r="D6580" s="10" t="s">
        <v>9880</v>
      </c>
      <c r="E6580" s="11" t="s">
        <v>5014</v>
      </c>
      <c r="F6580" t="str">
        <f t="shared" si="510"/>
        <v>Granbury</v>
      </c>
      <c r="G6580" t="str">
        <f t="shared" si="511"/>
        <v>Granbury6850Fort Worth</v>
      </c>
      <c r="H6580" t="s">
        <v>37436</v>
      </c>
      <c r="I6580" t="s">
        <v>28853</v>
      </c>
      <c r="J6580" t="str">
        <f t="shared" si="512"/>
        <v>E:\PropInv\MF</v>
      </c>
      <c r="K6580" s="103" t="str">
        <f>HYPERLINK("E:\PropInv\MF\Fort Worth\Granbury Rd_6850_Cumberland on Granbury_Fort Worth_17551","Granbury Rd_6850_Cumberland on Granbury_Fort Worth_17551" )</f>
        <v>Granbury Rd_6850_Cumberland on Granbury_Fort Worth_17551</v>
      </c>
      <c r="L6580" s="104" t="s">
        <v>22253</v>
      </c>
      <c r="M6580" s="103" t="str">
        <f t="shared" si="513"/>
        <v>http://oconnordata.com/mlink/modules/profile/index.cfm?action=profile&amp;prop_id=17551</v>
      </c>
      <c r="N6580" s="1">
        <f t="shared" si="514"/>
        <v>17551</v>
      </c>
    </row>
    <row r="6581" spans="1:14" x14ac:dyDescent="0.3">
      <c r="A6581" s="1">
        <v>17553</v>
      </c>
      <c r="B6581" s="10" t="s">
        <v>9881</v>
      </c>
      <c r="C6581" s="9">
        <v>518</v>
      </c>
      <c r="D6581" s="10" t="s">
        <v>9882</v>
      </c>
      <c r="E6581" s="11" t="s">
        <v>990</v>
      </c>
      <c r="F6581" t="str">
        <f t="shared" si="510"/>
        <v>Fabra</v>
      </c>
      <c r="G6581" t="str">
        <f t="shared" si="511"/>
        <v>Fabra518Boerne</v>
      </c>
      <c r="H6581" t="s">
        <v>37437</v>
      </c>
      <c r="I6581" t="s">
        <v>28854</v>
      </c>
      <c r="J6581" t="str">
        <f t="shared" si="512"/>
        <v>E:\PropInv\MF</v>
      </c>
      <c r="K6581" s="103" t="str">
        <f>HYPERLINK("E:\PropInv\MF\Boerne\Fabra St_518_Terraces at Cibolo_Boerne_17553","Fabra St_518_Terraces at Cibolo_Boerne_17553" )</f>
        <v>Fabra St_518_Terraces at Cibolo_Boerne_17553</v>
      </c>
      <c r="L6581" s="104" t="s">
        <v>22253</v>
      </c>
      <c r="M6581" s="103" t="str">
        <f t="shared" si="513"/>
        <v>http://oconnordata.com/mlink/modules/profile/index.cfm?action=profile&amp;prop_id=17553</v>
      </c>
      <c r="N6581" s="1">
        <f t="shared" si="514"/>
        <v>17553</v>
      </c>
    </row>
    <row r="6582" spans="1:14" x14ac:dyDescent="0.3">
      <c r="A6582" s="1">
        <v>17554</v>
      </c>
      <c r="B6582" s="10" t="s">
        <v>9883</v>
      </c>
      <c r="C6582" s="9">
        <v>8500</v>
      </c>
      <c r="D6582" s="10" t="s">
        <v>9884</v>
      </c>
      <c r="E6582" s="11" t="s">
        <v>5014</v>
      </c>
      <c r="F6582" t="str">
        <f t="shared" si="510"/>
        <v>Crowley</v>
      </c>
      <c r="G6582" t="str">
        <f t="shared" si="511"/>
        <v>Crowley8500Fort Worth</v>
      </c>
      <c r="H6582" t="s">
        <v>37438</v>
      </c>
      <c r="I6582" t="s">
        <v>28855</v>
      </c>
      <c r="J6582" t="str">
        <f t="shared" si="512"/>
        <v>E:\PropInv\MF</v>
      </c>
      <c r="K6582" s="103" t="str">
        <f>HYPERLINK("E:\PropInv\MF\Fort Worth\Crowley Rd_8500_Home Towne at Matador Ranch_Fort Worth_17554","Crowley Rd_8500_Home Towne at Matador Ranch_Fort Worth_17554" )</f>
        <v>Crowley Rd_8500_Home Towne at Matador Ranch_Fort Worth_17554</v>
      </c>
      <c r="L6582" s="104" t="s">
        <v>22253</v>
      </c>
      <c r="M6582" s="103" t="str">
        <f t="shared" si="513"/>
        <v>http://oconnordata.com/mlink/modules/profile/index.cfm?action=profile&amp;prop_id=17554</v>
      </c>
      <c r="N6582" s="1">
        <f t="shared" si="514"/>
        <v>17554</v>
      </c>
    </row>
    <row r="6583" spans="1:14" x14ac:dyDescent="0.3">
      <c r="A6583" s="1">
        <v>17555</v>
      </c>
      <c r="B6583" s="10" t="s">
        <v>6021</v>
      </c>
      <c r="C6583" s="9">
        <v>6044</v>
      </c>
      <c r="D6583" s="10" t="s">
        <v>9885</v>
      </c>
      <c r="E6583" s="11" t="s">
        <v>4996</v>
      </c>
      <c r="F6583" t="str">
        <f t="shared" si="510"/>
        <v>Lovers</v>
      </c>
      <c r="G6583" t="str">
        <f t="shared" si="511"/>
        <v>Lovers6044Dallas</v>
      </c>
      <c r="H6583" t="s">
        <v>37439</v>
      </c>
      <c r="I6583" t="s">
        <v>28856</v>
      </c>
      <c r="J6583" t="str">
        <f t="shared" si="512"/>
        <v>E:\PropInv\MF</v>
      </c>
      <c r="K6583" s="103" t="str">
        <f>HYPERLINK("E:\PropInv\MF\Dallas\Lovers Ln_6044_Grand Reserve_Dallas_17555","Lovers Ln_6044_Grand Reserve_Dallas_17555" )</f>
        <v>Lovers Ln_6044_Grand Reserve_Dallas_17555</v>
      </c>
      <c r="L6583" s="104" t="s">
        <v>22253</v>
      </c>
      <c r="M6583" s="103" t="str">
        <f t="shared" si="513"/>
        <v>http://oconnordata.com/mlink/modules/profile/index.cfm?action=profile&amp;prop_id=17555</v>
      </c>
      <c r="N6583" s="1">
        <f t="shared" si="514"/>
        <v>17555</v>
      </c>
    </row>
    <row r="6584" spans="1:14" x14ac:dyDescent="0.3">
      <c r="A6584" s="1">
        <v>17556</v>
      </c>
      <c r="B6584" s="10" t="s">
        <v>9886</v>
      </c>
      <c r="C6584" s="9">
        <v>8333</v>
      </c>
      <c r="D6584" s="10" t="s">
        <v>9887</v>
      </c>
      <c r="E6584" s="11" t="s">
        <v>1657</v>
      </c>
      <c r="F6584" t="str">
        <f t="shared" si="510"/>
        <v>Braesmain</v>
      </c>
      <c r="G6584" t="str">
        <f t="shared" si="511"/>
        <v>Braesmain8333Houston</v>
      </c>
      <c r="H6584" t="s">
        <v>37440</v>
      </c>
      <c r="I6584" t="s">
        <v>28857</v>
      </c>
      <c r="J6584" t="str">
        <f t="shared" si="512"/>
        <v>E:\PropInv\MF</v>
      </c>
      <c r="K6584" s="103" t="str">
        <f>HYPERLINK("E:\PropInv\MF\Houston\Braesmain Dr_8333_Alexan Main Street_Houston_17556","Braesmain Dr_8333_Alexan Main Street_Houston_17556" )</f>
        <v>Braesmain Dr_8333_Alexan Main Street_Houston_17556</v>
      </c>
      <c r="L6584" s="104" t="s">
        <v>22253</v>
      </c>
      <c r="M6584" s="103" t="str">
        <f t="shared" si="513"/>
        <v>http://oconnordata.com/mlink/modules/profile/index.cfm?action=profile&amp;prop_id=17556</v>
      </c>
      <c r="N6584" s="1">
        <f t="shared" si="514"/>
        <v>17556</v>
      </c>
    </row>
    <row r="6585" spans="1:14" x14ac:dyDescent="0.3">
      <c r="A6585" s="1">
        <v>17557</v>
      </c>
      <c r="B6585" s="10" t="s">
        <v>4329</v>
      </c>
      <c r="C6585" s="9">
        <v>19220</v>
      </c>
      <c r="D6585" s="10" t="s">
        <v>9888</v>
      </c>
      <c r="E6585" s="11" t="s">
        <v>1657</v>
      </c>
      <c r="F6585" t="str">
        <f t="shared" si="510"/>
        <v>Space</v>
      </c>
      <c r="G6585" t="str">
        <f t="shared" si="511"/>
        <v>Space19220Houston</v>
      </c>
      <c r="H6585" t="s">
        <v>37441</v>
      </c>
      <c r="I6585" t="s">
        <v>28858</v>
      </c>
      <c r="J6585" t="str">
        <f t="shared" si="512"/>
        <v>E:\PropInv\MF</v>
      </c>
      <c r="K6585" s="103" t="str">
        <f>HYPERLINK("E:\PropInv\MF\Houston\Space Center Blvd_19220_Village on the Lake II_Houston_17557","Space Center Blvd_19220_Village on the Lake II_Houston_17557" )</f>
        <v>Space Center Blvd_19220_Village on the Lake II_Houston_17557</v>
      </c>
      <c r="L6585" s="104" t="s">
        <v>22253</v>
      </c>
      <c r="M6585" s="103" t="str">
        <f t="shared" si="513"/>
        <v>http://oconnordata.com/mlink/modules/profile/index.cfm?action=profile&amp;prop_id=17557</v>
      </c>
      <c r="N6585" s="1">
        <f t="shared" si="514"/>
        <v>17557</v>
      </c>
    </row>
    <row r="6586" spans="1:14" x14ac:dyDescent="0.3">
      <c r="A6586" s="1">
        <v>17559</v>
      </c>
      <c r="B6586" s="10" t="s">
        <v>9889</v>
      </c>
      <c r="C6586" s="9">
        <v>11350</v>
      </c>
      <c r="D6586" s="10" t="s">
        <v>9890</v>
      </c>
      <c r="E6586" s="11" t="s">
        <v>7</v>
      </c>
      <c r="F6586" t="str">
        <f t="shared" si="510"/>
        <v>Four</v>
      </c>
      <c r="G6586" t="str">
        <f t="shared" si="511"/>
        <v>Four11350Austin</v>
      </c>
      <c r="H6586" t="s">
        <v>37442</v>
      </c>
      <c r="I6586" t="s">
        <v>28859</v>
      </c>
      <c r="J6586" t="str">
        <f t="shared" si="512"/>
        <v>E:\PropInv\MF</v>
      </c>
      <c r="K6586" s="103" t="str">
        <f>HYPERLINK("E:\PropInv\MF\Austin\Four Point Dr_11350_Tintara at Canyon Creek II_Austin_17559","Four Point Dr_11350_Tintara at Canyon Creek II_Austin_17559" )</f>
        <v>Four Point Dr_11350_Tintara at Canyon Creek II_Austin_17559</v>
      </c>
      <c r="L6586" s="104" t="s">
        <v>22253</v>
      </c>
      <c r="M6586" s="103" t="str">
        <f t="shared" si="513"/>
        <v>http://oconnordata.com/mlink/modules/profile/index.cfm?action=profile&amp;prop_id=17559</v>
      </c>
      <c r="N6586" s="1">
        <f t="shared" si="514"/>
        <v>17559</v>
      </c>
    </row>
    <row r="6587" spans="1:14" x14ac:dyDescent="0.3">
      <c r="A6587" s="1">
        <v>17560</v>
      </c>
      <c r="B6587" s="10" t="s">
        <v>9891</v>
      </c>
      <c r="C6587" s="9">
        <v>501</v>
      </c>
      <c r="D6587" s="10" t="s">
        <v>9892</v>
      </c>
      <c r="E6587" s="11" t="s">
        <v>4249</v>
      </c>
      <c r="F6587" t="str">
        <f t="shared" si="510"/>
        <v>Sarah</v>
      </c>
      <c r="G6587" t="str">
        <f t="shared" si="511"/>
        <v>Sarah501Webster</v>
      </c>
      <c r="H6587" t="s">
        <v>37443</v>
      </c>
      <c r="I6587" t="s">
        <v>28860</v>
      </c>
      <c r="J6587" t="str">
        <f t="shared" si="512"/>
        <v>E:\PropInv\MF</v>
      </c>
      <c r="K6587" s="103" t="str">
        <f>HYPERLINK("E:\PropInv\MF\Webster\Sarah Deel Dr_501_The Landings at Clear Lake_Webster_17560","Sarah Deel Dr_501_The Landings at Clear Lake_Webster_17560" )</f>
        <v>Sarah Deel Dr_501_The Landings at Clear Lake_Webster_17560</v>
      </c>
      <c r="L6587" s="104" t="s">
        <v>22253</v>
      </c>
      <c r="M6587" s="103" t="str">
        <f t="shared" si="513"/>
        <v>http://oconnordata.com/mlink/modules/profile/index.cfm?action=profile&amp;prop_id=17560</v>
      </c>
      <c r="N6587" s="1">
        <f t="shared" si="514"/>
        <v>17560</v>
      </c>
    </row>
    <row r="6588" spans="1:14" x14ac:dyDescent="0.3">
      <c r="A6588" s="1">
        <v>17561</v>
      </c>
      <c r="B6588" s="10" t="s">
        <v>2054</v>
      </c>
      <c r="C6588" s="9">
        <v>8330</v>
      </c>
      <c r="D6588" s="10" t="s">
        <v>9893</v>
      </c>
      <c r="E6588" s="11" t="s">
        <v>1763</v>
      </c>
      <c r="F6588" t="str">
        <f t="shared" si="510"/>
        <v>Sam</v>
      </c>
      <c r="G6588" t="str">
        <f t="shared" si="511"/>
        <v>Sam8330Humble</v>
      </c>
      <c r="H6588" t="s">
        <v>37444</v>
      </c>
      <c r="I6588" t="s">
        <v>28861</v>
      </c>
      <c r="J6588" t="str">
        <f t="shared" si="512"/>
        <v>E:\PropInv\MF</v>
      </c>
      <c r="K6588" s="103" t="str">
        <f>HYPERLINK("E:\PropInv\MF\Humble\Sam Houston Pkwy E N_8330_Cascade at Fall Creek_Humble_17561","Sam Houston Pkwy E N_8330_Cascade at Fall Creek_Humble_17561" )</f>
        <v>Sam Houston Pkwy E N_8330_Cascade at Fall Creek_Humble_17561</v>
      </c>
      <c r="L6588" s="104" t="s">
        <v>22253</v>
      </c>
      <c r="M6588" s="103" t="str">
        <f t="shared" si="513"/>
        <v>http://oconnordata.com/mlink/modules/profile/index.cfm?action=profile&amp;prop_id=17561</v>
      </c>
      <c r="N6588" s="1">
        <f t="shared" si="514"/>
        <v>17561</v>
      </c>
    </row>
    <row r="6589" spans="1:14" x14ac:dyDescent="0.3">
      <c r="A6589" s="1">
        <v>17562</v>
      </c>
      <c r="B6589" s="10" t="s">
        <v>9894</v>
      </c>
      <c r="C6589" s="9">
        <v>8787</v>
      </c>
      <c r="D6589" s="10" t="s">
        <v>9895</v>
      </c>
      <c r="E6589" s="11" t="s">
        <v>4532</v>
      </c>
      <c r="F6589" t="str">
        <f t="shared" si="510"/>
        <v>Sienna</v>
      </c>
      <c r="G6589" t="str">
        <f t="shared" si="511"/>
        <v>Sienna8787Missouri City</v>
      </c>
      <c r="H6589" t="s">
        <v>37445</v>
      </c>
      <c r="I6589" t="s">
        <v>28862</v>
      </c>
      <c r="J6589" t="str">
        <f t="shared" si="512"/>
        <v>E:\PropInv\MF</v>
      </c>
      <c r="K6589" s="103" t="str">
        <f>HYPERLINK("E:\PropInv\MF\Missouri City\Sienna Springs Blvd_8787_Century Sienna Plantation_Missouri City_17562","Sienna Springs Blvd_8787_Century Sienna Plantation_Missouri City_17562" )</f>
        <v>Sienna Springs Blvd_8787_Century Sienna Plantation_Missouri City_17562</v>
      </c>
      <c r="L6589" s="104" t="s">
        <v>22253</v>
      </c>
      <c r="M6589" s="103" t="str">
        <f t="shared" si="513"/>
        <v>http://oconnordata.com/mlink/modules/profile/index.cfm?action=profile&amp;prop_id=17562</v>
      </c>
      <c r="N6589" s="1">
        <f t="shared" si="514"/>
        <v>17562</v>
      </c>
    </row>
    <row r="6590" spans="1:14" x14ac:dyDescent="0.3">
      <c r="A6590" s="1">
        <v>17563</v>
      </c>
      <c r="B6590" s="10" t="s">
        <v>9896</v>
      </c>
      <c r="C6590" s="9">
        <v>1455</v>
      </c>
      <c r="D6590" s="10" t="s">
        <v>9897</v>
      </c>
      <c r="E6590" s="11" t="s">
        <v>4563</v>
      </c>
      <c r="F6590" t="str">
        <f t="shared" si="510"/>
        <v>Louisiana</v>
      </c>
      <c r="G6590" t="str">
        <f t="shared" si="511"/>
        <v>Louisiana1455League City</v>
      </c>
      <c r="H6590" t="s">
        <v>37446</v>
      </c>
      <c r="I6590" t="s">
        <v>28863</v>
      </c>
      <c r="J6590" t="str">
        <f t="shared" si="512"/>
        <v>E:\PropInv\MF</v>
      </c>
      <c r="K6590" s="103" t="str">
        <f>HYPERLINK("E:\PropInv\MF\League City\Louisiana Ave_1455_Sorrento at Tuscan Lakes (I &amp; II)_League City_17563","Louisiana Ave_1455_Sorrento at Tuscan Lakes (I &amp; II)_League City_17563" )</f>
        <v>Louisiana Ave_1455_Sorrento at Tuscan Lakes (I &amp; II)_League City_17563</v>
      </c>
      <c r="L6590" s="104" t="s">
        <v>22253</v>
      </c>
      <c r="M6590" s="103" t="str">
        <f t="shared" si="513"/>
        <v>http://oconnordata.com/mlink/modules/profile/index.cfm?action=profile&amp;prop_id=17563</v>
      </c>
      <c r="N6590" s="1">
        <f t="shared" si="514"/>
        <v>17563</v>
      </c>
    </row>
    <row r="6591" spans="1:14" x14ac:dyDescent="0.3">
      <c r="A6591" s="1">
        <v>17564</v>
      </c>
      <c r="B6591" s="10" t="s">
        <v>9898</v>
      </c>
      <c r="C6591" s="9">
        <v>1450</v>
      </c>
      <c r="D6591" s="10" t="s">
        <v>9899</v>
      </c>
      <c r="E6591" s="11" t="s">
        <v>4563</v>
      </c>
      <c r="F6591" t="str">
        <f t="shared" si="510"/>
        <v>League</v>
      </c>
      <c r="G6591" t="str">
        <f t="shared" si="511"/>
        <v>League1450League City</v>
      </c>
      <c r="H6591" t="s">
        <v>37447</v>
      </c>
      <c r="I6591" t="s">
        <v>28864</v>
      </c>
      <c r="J6591" t="str">
        <f t="shared" si="512"/>
        <v>E:\PropInv\MF</v>
      </c>
      <c r="K6591" s="103" t="str">
        <f>HYPERLINK("E:\PropInv\MF\League City\League City Pkwy E_1450_Amalfi at Tuscan Lakes_League City_17564","League City Pkwy E_1450_Amalfi at Tuscan Lakes_League City_17564" )</f>
        <v>League City Pkwy E_1450_Amalfi at Tuscan Lakes_League City_17564</v>
      </c>
      <c r="L6591" s="104" t="s">
        <v>22253</v>
      </c>
      <c r="M6591" s="103" t="str">
        <f t="shared" si="513"/>
        <v>http://oconnordata.com/mlink/modules/profile/index.cfm?action=profile&amp;prop_id=17564</v>
      </c>
      <c r="N6591" s="1">
        <f t="shared" si="514"/>
        <v>17564</v>
      </c>
    </row>
    <row r="6592" spans="1:14" x14ac:dyDescent="0.3">
      <c r="A6592" s="1">
        <v>17566</v>
      </c>
      <c r="B6592" s="10" t="s">
        <v>5629</v>
      </c>
      <c r="C6592" s="9">
        <v>9100</v>
      </c>
      <c r="D6592" s="31" t="s">
        <v>9900</v>
      </c>
      <c r="E6592" s="11" t="s">
        <v>5009</v>
      </c>
      <c r="F6592" t="str">
        <f t="shared" si="510"/>
        <v>Independence</v>
      </c>
      <c r="G6592" t="str">
        <f t="shared" si="511"/>
        <v>Independence9100Plano</v>
      </c>
      <c r="H6592" t="s">
        <v>37448</v>
      </c>
      <c r="I6592" t="s">
        <v>28865</v>
      </c>
      <c r="J6592" t="str">
        <f t="shared" si="512"/>
        <v>E:\PropInv\MF</v>
      </c>
      <c r="K6592" s="103" t="str">
        <f>HYPERLINK("E:\PropInv\MF\Plano\Independence Pkwy_9100_Sequoia Courtney Manor_Plano_17566","Independence Pkwy_9100_Sequoia Courtney Manor_Plano_17566" )</f>
        <v>Independence Pkwy_9100_Sequoia Courtney Manor_Plano_17566</v>
      </c>
      <c r="L6592" s="104" t="s">
        <v>22253</v>
      </c>
      <c r="M6592" s="103" t="str">
        <f t="shared" si="513"/>
        <v>http://oconnordata.com/mlink/modules/profile/index.cfm?action=profile&amp;prop_id=17566</v>
      </c>
      <c r="N6592" s="1">
        <f t="shared" si="514"/>
        <v>17566</v>
      </c>
    </row>
    <row r="6593" spans="1:14" x14ac:dyDescent="0.3">
      <c r="A6593" s="1">
        <v>17568</v>
      </c>
      <c r="B6593" s="10" t="s">
        <v>2463</v>
      </c>
      <c r="C6593" s="9">
        <v>902</v>
      </c>
      <c r="D6593" s="10" t="s">
        <v>1486</v>
      </c>
      <c r="E6593" s="11" t="s">
        <v>1657</v>
      </c>
      <c r="F6593" t="str">
        <f t="shared" si="510"/>
        <v>Oak</v>
      </c>
      <c r="G6593" t="str">
        <f t="shared" si="511"/>
        <v>Oak902Houston</v>
      </c>
      <c r="H6593" t="s">
        <v>37449</v>
      </c>
      <c r="I6593" t="s">
        <v>28866</v>
      </c>
      <c r="J6593" t="str">
        <f t="shared" si="512"/>
        <v>E:\PropInv\MF</v>
      </c>
      <c r="K6593" s="103" t="str">
        <f>HYPERLINK("E:\PropInv\MF\Houston\Oak St_902_Whispering Oaks_Houston_17568","Oak St_902_Whispering Oaks_Houston_17568" )</f>
        <v>Oak St_902_Whispering Oaks_Houston_17568</v>
      </c>
      <c r="L6593" s="104" t="s">
        <v>22253</v>
      </c>
      <c r="M6593" s="103" t="str">
        <f t="shared" si="513"/>
        <v>http://oconnordata.com/mlink/modules/profile/index.cfm?action=profile&amp;prop_id=17568</v>
      </c>
      <c r="N6593" s="1">
        <f t="shared" si="514"/>
        <v>17568</v>
      </c>
    </row>
    <row r="6594" spans="1:14" s="118" customFormat="1" x14ac:dyDescent="0.3">
      <c r="A6594" s="117">
        <v>17569</v>
      </c>
      <c r="B6594" s="129" t="s">
        <v>2463</v>
      </c>
      <c r="C6594" s="9">
        <v>838</v>
      </c>
      <c r="D6594" s="129" t="s">
        <v>2465</v>
      </c>
      <c r="E6594" s="129" t="s">
        <v>1657</v>
      </c>
      <c r="F6594" s="118" t="str">
        <f t="shared" ref="F6594:F6657" si="515">IFERROR(LEFT(B6594,FIND(" ",B6594)-1),B6594)</f>
        <v>Oak</v>
      </c>
      <c r="G6594" s="118" t="str">
        <f t="shared" ref="G6594:G6657" si="516">F6594&amp;C6594&amp;E6594</f>
        <v>Oak838Houston</v>
      </c>
      <c r="H6594" s="118" t="s">
        <v>37450</v>
      </c>
      <c r="I6594" s="118" t="s">
        <v>23915</v>
      </c>
      <c r="J6594" s="118" t="str">
        <f t="shared" ref="J6594:J6657" si="517">IF(L6594="TX",Folder_Path,Folder_Path&amp;"\State_"&amp;L6594)</f>
        <v>E:\PropInv\MF</v>
      </c>
      <c r="K6594" s="119" t="str">
        <f>HYPERLINK("E:\PropInv\MF\Houston\Oak St_838_Tiffany Oaks_Houston_17569","Oak St_838_Tiffany Oaks_Houston_17569" )</f>
        <v>Oak St_838_Tiffany Oaks_Houston_17569</v>
      </c>
      <c r="L6594" s="120" t="s">
        <v>22253</v>
      </c>
      <c r="M6594" s="119" t="str">
        <f t="shared" ref="M6594:M6657" si="518">HYPERLINK("http://oconnordata.com/mlink/modules/profile/index.cfm?action=profile&amp;prop_id="&amp;A6594)</f>
        <v>http://oconnordata.com/mlink/modules/profile/index.cfm?action=profile&amp;prop_id=17569</v>
      </c>
      <c r="N6594" s="117">
        <f t="shared" ref="N6594:N6657" si="519">IF(LEN(A6594)=1,"0000"&amp;A6594,IF(LEN(A6594)=2,"000"&amp;A6594,IF(LEN(A6594)=3,"00"&amp;A6594,IF(LEN(A6594)=4,"0"&amp;A6594,IF(LEN(A6594)=5,IF(LEFT(A6594,1)="3",A6594+30000,A6594))))))</f>
        <v>17569</v>
      </c>
    </row>
    <row r="6595" spans="1:14" x14ac:dyDescent="0.3">
      <c r="A6595" s="1">
        <v>17570</v>
      </c>
      <c r="B6595" s="10" t="s">
        <v>9175</v>
      </c>
      <c r="C6595" s="9">
        <v>21811</v>
      </c>
      <c r="D6595" s="10" t="s">
        <v>9901</v>
      </c>
      <c r="E6595" s="11" t="s">
        <v>2675</v>
      </c>
      <c r="F6595" t="str">
        <f t="shared" si="515"/>
        <v>Wildwood</v>
      </c>
      <c r="G6595" t="str">
        <f t="shared" si="516"/>
        <v>Wildwood21811Richmond</v>
      </c>
      <c r="H6595" t="s">
        <v>37451</v>
      </c>
      <c r="I6595" t="s">
        <v>28867</v>
      </c>
      <c r="J6595" t="str">
        <f t="shared" si="517"/>
        <v>E:\PropInv\MF</v>
      </c>
      <c r="K6595" s="103" t="str">
        <f>HYPERLINK("E:\PropInv\MF\Richmond\Wildwood Park Rd_21811_The Villas at River Park West_Richmond_17570","Wildwood Park Rd_21811_The Villas at River Park West_Richmond_17570" )</f>
        <v>Wildwood Park Rd_21811_The Villas at River Park West_Richmond_17570</v>
      </c>
      <c r="L6595" s="104" t="s">
        <v>22253</v>
      </c>
      <c r="M6595" s="103" t="str">
        <f t="shared" si="518"/>
        <v>http://oconnordata.com/mlink/modules/profile/index.cfm?action=profile&amp;prop_id=17570</v>
      </c>
      <c r="N6595" s="1">
        <f t="shared" si="519"/>
        <v>17570</v>
      </c>
    </row>
    <row r="6596" spans="1:14" x14ac:dyDescent="0.3">
      <c r="A6596" s="1">
        <v>17571</v>
      </c>
      <c r="B6596" s="10" t="s">
        <v>2915</v>
      </c>
      <c r="C6596" s="9">
        <v>6464</v>
      </c>
      <c r="D6596" s="10" t="s">
        <v>9902</v>
      </c>
      <c r="E6596" s="11" t="s">
        <v>1657</v>
      </c>
      <c r="F6596" t="str">
        <f t="shared" si="515"/>
        <v>San</v>
      </c>
      <c r="G6596" t="str">
        <f t="shared" si="516"/>
        <v>San6464Houston</v>
      </c>
      <c r="H6596" t="s">
        <v>37452</v>
      </c>
      <c r="I6596" t="s">
        <v>28868</v>
      </c>
      <c r="J6596" t="str">
        <f t="shared" si="517"/>
        <v>E:\PropInv\MF</v>
      </c>
      <c r="K6596" s="103" t="str">
        <f>HYPERLINK("E:\PropInv\MF\Houston\San Felipe_6464_Gables 6464_Houston_17571","San Felipe_6464_Gables 6464_Houston_17571" )</f>
        <v>San Felipe_6464_Gables 6464_Houston_17571</v>
      </c>
      <c r="L6596" s="104" t="s">
        <v>22253</v>
      </c>
      <c r="M6596" s="103" t="str">
        <f t="shared" si="518"/>
        <v>http://oconnordata.com/mlink/modules/profile/index.cfm?action=profile&amp;prop_id=17571</v>
      </c>
      <c r="N6596" s="1">
        <f t="shared" si="519"/>
        <v>17571</v>
      </c>
    </row>
    <row r="6597" spans="1:14" x14ac:dyDescent="0.3">
      <c r="A6597" s="1">
        <v>17572</v>
      </c>
      <c r="B6597" s="10" t="s">
        <v>8492</v>
      </c>
      <c r="C6597" s="9">
        <v>6541</v>
      </c>
      <c r="D6597" s="10" t="s">
        <v>9903</v>
      </c>
      <c r="E6597" s="11" t="s">
        <v>4996</v>
      </c>
      <c r="F6597" t="str">
        <f t="shared" si="515"/>
        <v>Shady</v>
      </c>
      <c r="G6597" t="str">
        <f t="shared" si="516"/>
        <v>Shady6541Dallas</v>
      </c>
      <c r="H6597" t="s">
        <v>37453</v>
      </c>
      <c r="I6597" t="s">
        <v>28869</v>
      </c>
      <c r="J6597" t="str">
        <f t="shared" si="517"/>
        <v>E:\PropInv\MF</v>
      </c>
      <c r="K6597" s="103" t="str">
        <f>HYPERLINK("E:\PropInv\MF\Dallas\Shady Brook Ln_6541_Westside in the Village_Dallas_17572","Shady Brook Ln_6541_Westside in the Village_Dallas_17572" )</f>
        <v>Shady Brook Ln_6541_Westside in the Village_Dallas_17572</v>
      </c>
      <c r="L6597" s="104" t="s">
        <v>22253</v>
      </c>
      <c r="M6597" s="103" t="str">
        <f t="shared" si="518"/>
        <v>http://oconnordata.com/mlink/modules/profile/index.cfm?action=profile&amp;prop_id=17572</v>
      </c>
      <c r="N6597" s="1">
        <f t="shared" si="519"/>
        <v>17572</v>
      </c>
    </row>
    <row r="6598" spans="1:14" x14ac:dyDescent="0.3">
      <c r="A6598" s="1">
        <v>17573</v>
      </c>
      <c r="B6598" s="10" t="s">
        <v>4994</v>
      </c>
      <c r="C6598" s="9">
        <v>555</v>
      </c>
      <c r="D6598" s="10" t="s">
        <v>9904</v>
      </c>
      <c r="E6598" s="11" t="s">
        <v>5014</v>
      </c>
      <c r="F6598" t="str">
        <f t="shared" si="515"/>
        <v>Elm</v>
      </c>
      <c r="G6598" t="str">
        <f t="shared" si="516"/>
        <v>Elm555Fort Worth</v>
      </c>
      <c r="H6598" t="s">
        <v>37454</v>
      </c>
      <c r="I6598" t="s">
        <v>28870</v>
      </c>
      <c r="J6598" t="str">
        <f t="shared" si="517"/>
        <v>E:\PropInv\MF</v>
      </c>
      <c r="K6598" s="103" t="str">
        <f>HYPERLINK("E:\PropInv\MF\Fort Worth\Elm St_555_The Depot Apts_Fort Worth_17573","Elm St_555_The Depot Apts_Fort Worth_17573" )</f>
        <v>Elm St_555_The Depot Apts_Fort Worth_17573</v>
      </c>
      <c r="L6598" s="104" t="s">
        <v>22253</v>
      </c>
      <c r="M6598" s="103" t="str">
        <f t="shared" si="518"/>
        <v>http://oconnordata.com/mlink/modules/profile/index.cfm?action=profile&amp;prop_id=17573</v>
      </c>
      <c r="N6598" s="1">
        <f t="shared" si="519"/>
        <v>17573</v>
      </c>
    </row>
    <row r="6599" spans="1:14" x14ac:dyDescent="0.3">
      <c r="A6599" s="1">
        <v>17574</v>
      </c>
      <c r="B6599" s="16" t="s">
        <v>2568</v>
      </c>
      <c r="C6599" s="15" t="s">
        <v>2497</v>
      </c>
      <c r="D6599" s="16" t="s">
        <v>9905</v>
      </c>
      <c r="E6599" s="17" t="s">
        <v>1657</v>
      </c>
      <c r="F6599" t="str">
        <f t="shared" si="515"/>
        <v>Memorial</v>
      </c>
      <c r="G6599" t="str">
        <f t="shared" si="516"/>
        <v>MemorialNFHouston</v>
      </c>
      <c r="H6599" t="s">
        <v>37455</v>
      </c>
      <c r="I6599" t="s">
        <v>28871</v>
      </c>
      <c r="J6599" t="str">
        <f t="shared" si="517"/>
        <v>E:\PropInv\MF</v>
      </c>
      <c r="K6599" s="103" t="str">
        <f>HYPERLINK("E:\PropInv\MF\Houston\Memorial Dr_NF_Asbury at River Oaks_Houston_17574","Memorial Dr_NF_Asbury at River Oaks_Houston_17574" )</f>
        <v>Memorial Dr_NF_Asbury at River Oaks_Houston_17574</v>
      </c>
      <c r="L6599" s="104" t="s">
        <v>22253</v>
      </c>
      <c r="M6599" s="103" t="str">
        <f t="shared" si="518"/>
        <v>http://oconnordata.com/mlink/modules/profile/index.cfm?action=profile&amp;prop_id=17574</v>
      </c>
      <c r="N6599" s="1">
        <f t="shared" si="519"/>
        <v>17574</v>
      </c>
    </row>
    <row r="6600" spans="1:14" x14ac:dyDescent="0.3">
      <c r="A6600" s="1">
        <v>17577</v>
      </c>
      <c r="B6600" s="34" t="s">
        <v>2093</v>
      </c>
      <c r="C6600" s="9">
        <v>8989</v>
      </c>
      <c r="D6600" s="10" t="s">
        <v>6536</v>
      </c>
      <c r="E6600" s="11" t="s">
        <v>1657</v>
      </c>
      <c r="F6600" t="str">
        <f t="shared" si="515"/>
        <v>W</v>
      </c>
      <c r="G6600" t="str">
        <f t="shared" si="516"/>
        <v>W8989Houston</v>
      </c>
      <c r="H6600" t="s">
        <v>37456</v>
      </c>
      <c r="I6600" t="s">
        <v>28872</v>
      </c>
      <c r="J6600" t="str">
        <f t="shared" si="517"/>
        <v>E:\PropInv\MF</v>
      </c>
      <c r="K6600" s="103" t="str">
        <f>HYPERLINK("E:\PropInv\MF\Houston\W Rd_8989_Tiburon_Houston_17577","W Rd_8989_Tiburon_Houston_17577" )</f>
        <v>W Rd_8989_Tiburon_Houston_17577</v>
      </c>
      <c r="L6600" s="104" t="s">
        <v>22253</v>
      </c>
      <c r="M6600" s="103" t="str">
        <f t="shared" si="518"/>
        <v>http://oconnordata.com/mlink/modules/profile/index.cfm?action=profile&amp;prop_id=17577</v>
      </c>
      <c r="N6600" s="1">
        <f t="shared" si="519"/>
        <v>17577</v>
      </c>
    </row>
    <row r="6601" spans="1:14" x14ac:dyDescent="0.3">
      <c r="A6601" s="1">
        <v>17578</v>
      </c>
      <c r="B6601" s="16" t="s">
        <v>184</v>
      </c>
      <c r="C6601" s="15">
        <v>9306</v>
      </c>
      <c r="D6601" s="16" t="s">
        <v>9906</v>
      </c>
      <c r="E6601" s="17" t="s">
        <v>7</v>
      </c>
      <c r="F6601" t="str">
        <f t="shared" si="515"/>
        <v>Great</v>
      </c>
      <c r="G6601" t="str">
        <f t="shared" si="516"/>
        <v>Great9306Austin</v>
      </c>
      <c r="H6601" t="s">
        <v>37457</v>
      </c>
      <c r="I6601" t="s">
        <v>28873</v>
      </c>
      <c r="J6601" t="str">
        <f t="shared" si="517"/>
        <v>E:\PropInv\MF</v>
      </c>
      <c r="K6601" s="103" t="str">
        <f>HYPERLINK("E:\PropInv\MF\Austin\Great Hills Trl_9306_Village Park at the Arboretum_Austin_17578","Great Hills Trl_9306_Village Park at the Arboretum_Austin_17578" )</f>
        <v>Great Hills Trl_9306_Village Park at the Arboretum_Austin_17578</v>
      </c>
      <c r="L6601" s="104" t="s">
        <v>22253</v>
      </c>
      <c r="M6601" s="103" t="str">
        <f t="shared" si="518"/>
        <v>http://oconnordata.com/mlink/modules/profile/index.cfm?action=profile&amp;prop_id=17578</v>
      </c>
      <c r="N6601" s="1">
        <f t="shared" si="519"/>
        <v>17578</v>
      </c>
    </row>
    <row r="6602" spans="1:14" x14ac:dyDescent="0.3">
      <c r="A6602" s="1">
        <v>17579</v>
      </c>
      <c r="B6602" s="16" t="s">
        <v>9907</v>
      </c>
      <c r="C6602" s="15">
        <v>1920</v>
      </c>
      <c r="D6602" s="16" t="s">
        <v>9908</v>
      </c>
      <c r="E6602" s="17" t="s">
        <v>1657</v>
      </c>
      <c r="F6602" t="str">
        <f t="shared" si="515"/>
        <v>Woodbury</v>
      </c>
      <c r="G6602" t="str">
        <f t="shared" si="516"/>
        <v>Woodbury1920Houston</v>
      </c>
      <c r="H6602" t="s">
        <v>37458</v>
      </c>
      <c r="I6602" t="s">
        <v>28874</v>
      </c>
      <c r="J6602" t="str">
        <f t="shared" si="517"/>
        <v>E:\PropInv\MF</v>
      </c>
      <c r="K6602" s="103" t="str">
        <f>HYPERLINK("E:\PropInv\MF\Houston\Woodbury St_1920_Cambridge Tower_Houston_17579","Woodbury St_1920_Cambridge Tower_Houston_17579" )</f>
        <v>Woodbury St_1920_Cambridge Tower_Houston_17579</v>
      </c>
      <c r="L6602" s="104" t="s">
        <v>22253</v>
      </c>
      <c r="M6602" s="103" t="str">
        <f t="shared" si="518"/>
        <v>http://oconnordata.com/mlink/modules/profile/index.cfm?action=profile&amp;prop_id=17579</v>
      </c>
      <c r="N6602" s="1">
        <f t="shared" si="519"/>
        <v>17579</v>
      </c>
    </row>
    <row r="6603" spans="1:14" x14ac:dyDescent="0.3">
      <c r="A6603" s="1">
        <v>17580</v>
      </c>
      <c r="B6603" s="10" t="s">
        <v>3120</v>
      </c>
      <c r="C6603" s="9" t="s">
        <v>2497</v>
      </c>
      <c r="D6603" s="10" t="s">
        <v>9909</v>
      </c>
      <c r="E6603" s="43" t="s">
        <v>1657</v>
      </c>
      <c r="F6603" t="str">
        <f t="shared" si="515"/>
        <v>Gray</v>
      </c>
      <c r="G6603" t="str">
        <f t="shared" si="516"/>
        <v>GrayNFHouston</v>
      </c>
      <c r="H6603" t="s">
        <v>37459</v>
      </c>
      <c r="I6603" t="s">
        <v>28875</v>
      </c>
      <c r="J6603" t="str">
        <f t="shared" si="517"/>
        <v>E:\PropInv\MF</v>
      </c>
      <c r="K6603" s="103" t="str">
        <f>HYPERLINK("E:\PropInv\MF\Houston\Gray St_NF_Post Midtown Square III_Houston_17580","Gray St_NF_Post Midtown Square III_Houston_17580" )</f>
        <v>Gray St_NF_Post Midtown Square III_Houston_17580</v>
      </c>
      <c r="L6603" s="104" t="s">
        <v>22253</v>
      </c>
      <c r="M6603" s="103" t="str">
        <f t="shared" si="518"/>
        <v>http://oconnordata.com/mlink/modules/profile/index.cfm?action=profile&amp;prop_id=17580</v>
      </c>
      <c r="N6603" s="1">
        <f t="shared" si="519"/>
        <v>17580</v>
      </c>
    </row>
    <row r="6604" spans="1:14" x14ac:dyDescent="0.3">
      <c r="A6604" s="1">
        <v>17581</v>
      </c>
      <c r="B6604" s="10" t="s">
        <v>9910</v>
      </c>
      <c r="C6604" s="9">
        <v>901</v>
      </c>
      <c r="D6604" s="10" t="s">
        <v>9911</v>
      </c>
      <c r="E6604" s="11" t="s">
        <v>1657</v>
      </c>
      <c r="F6604" t="str">
        <f t="shared" si="515"/>
        <v>Cleveland</v>
      </c>
      <c r="G6604" t="str">
        <f t="shared" si="516"/>
        <v>Cleveland901Houston</v>
      </c>
      <c r="H6604" t="s">
        <v>37460</v>
      </c>
      <c r="I6604" t="s">
        <v>28876</v>
      </c>
      <c r="J6604" t="str">
        <f t="shared" si="517"/>
        <v>E:\PropInv\MF</v>
      </c>
      <c r="K6604" s="103" t="str">
        <f>HYPERLINK("E:\PropInv\MF\Houston\Cleveland_901_Camden City Centre II_Houston_17581","Cleveland_901_Camden City Centre II_Houston_17581" )</f>
        <v>Cleveland_901_Camden City Centre II_Houston_17581</v>
      </c>
      <c r="L6604" s="104" t="s">
        <v>22253</v>
      </c>
      <c r="M6604" s="103" t="str">
        <f t="shared" si="518"/>
        <v>http://oconnordata.com/mlink/modules/profile/index.cfm?action=profile&amp;prop_id=17581</v>
      </c>
      <c r="N6604" s="1">
        <f t="shared" si="519"/>
        <v>17581</v>
      </c>
    </row>
    <row r="6605" spans="1:14" x14ac:dyDescent="0.3">
      <c r="A6605" s="1">
        <v>17582</v>
      </c>
      <c r="B6605" s="16" t="s">
        <v>9798</v>
      </c>
      <c r="C6605" s="15">
        <v>4310</v>
      </c>
      <c r="D6605" s="16" t="s">
        <v>9912</v>
      </c>
      <c r="E6605" s="17" t="s">
        <v>1657</v>
      </c>
      <c r="F6605" t="str">
        <f t="shared" si="515"/>
        <v>Dunlavy</v>
      </c>
      <c r="G6605" t="str">
        <f t="shared" si="516"/>
        <v>Dunlavy4310Houston</v>
      </c>
      <c r="H6605" t="s">
        <v>37461</v>
      </c>
      <c r="I6605" t="s">
        <v>28877</v>
      </c>
      <c r="J6605" t="str">
        <f t="shared" si="517"/>
        <v>E:\PropInv\MF</v>
      </c>
      <c r="K6605" s="103" t="str">
        <f>HYPERLINK("E:\PropInv\MF\Houston\Dunlavy St_4310_Fairmont Museum District II_Houston_17582","Dunlavy St_4310_Fairmont Museum District II_Houston_17582" )</f>
        <v>Dunlavy St_4310_Fairmont Museum District II_Houston_17582</v>
      </c>
      <c r="L6605" s="104" t="s">
        <v>22253</v>
      </c>
      <c r="M6605" s="103" t="str">
        <f t="shared" si="518"/>
        <v>http://oconnordata.com/mlink/modules/profile/index.cfm?action=profile&amp;prop_id=17582</v>
      </c>
      <c r="N6605" s="1">
        <f t="shared" si="519"/>
        <v>17582</v>
      </c>
    </row>
    <row r="6606" spans="1:14" x14ac:dyDescent="0.3">
      <c r="A6606" s="1">
        <v>17584</v>
      </c>
      <c r="B6606" s="10" t="s">
        <v>3127</v>
      </c>
      <c r="C6606" s="9">
        <v>5353</v>
      </c>
      <c r="D6606" s="10" t="s">
        <v>9913</v>
      </c>
      <c r="E6606" s="11" t="s">
        <v>1657</v>
      </c>
      <c r="F6606" t="str">
        <f t="shared" si="515"/>
        <v>Fannin</v>
      </c>
      <c r="G6606" t="str">
        <f t="shared" si="516"/>
        <v>Fannin5353Houston</v>
      </c>
      <c r="H6606" t="s">
        <v>37462</v>
      </c>
      <c r="I6606" t="s">
        <v>28878</v>
      </c>
      <c r="J6606" t="str">
        <f t="shared" si="517"/>
        <v>E:\PropInv\MF</v>
      </c>
      <c r="K6606" s="103" t="str">
        <f>HYPERLINK("E:\PropInv\MF\Houston\Fannin St_5353_Venue Museum District_Houston_17584","Fannin St_5353_Venue Museum District_Houston_17584" )</f>
        <v>Fannin St_5353_Venue Museum District_Houston_17584</v>
      </c>
      <c r="L6606" s="104" t="s">
        <v>22253</v>
      </c>
      <c r="M6606" s="103" t="str">
        <f t="shared" si="518"/>
        <v>http://oconnordata.com/mlink/modules/profile/index.cfm?action=profile&amp;prop_id=17584</v>
      </c>
      <c r="N6606" s="1">
        <f t="shared" si="519"/>
        <v>17584</v>
      </c>
    </row>
    <row r="6607" spans="1:14" x14ac:dyDescent="0.3">
      <c r="A6607" s="1">
        <v>17586</v>
      </c>
      <c r="B6607" s="16" t="s">
        <v>2915</v>
      </c>
      <c r="C6607" s="15">
        <v>6464</v>
      </c>
      <c r="D6607" s="16" t="s">
        <v>9914</v>
      </c>
      <c r="E6607" s="17" t="s">
        <v>1657</v>
      </c>
      <c r="F6607" t="str">
        <f t="shared" si="515"/>
        <v>San</v>
      </c>
      <c r="G6607" t="str">
        <f t="shared" si="516"/>
        <v>San6464Houston</v>
      </c>
      <c r="H6607" t="s">
        <v>37463</v>
      </c>
      <c r="I6607" t="s">
        <v>28879</v>
      </c>
      <c r="J6607" t="str">
        <f t="shared" si="517"/>
        <v>E:\PropInv\MF</v>
      </c>
      <c r="K6607" s="103" t="str">
        <f>HYPERLINK("E:\PropInv\MF\Houston\San Felipe_6464_Gables 6464, II &amp; III_Houston_17586","San Felipe_6464_Gables 6464, II &amp; III_Houston_17586" )</f>
        <v>San Felipe_6464_Gables 6464, II &amp; III_Houston_17586</v>
      </c>
      <c r="L6607" s="104" t="s">
        <v>22253</v>
      </c>
      <c r="M6607" s="103" t="str">
        <f t="shared" si="518"/>
        <v>http://oconnordata.com/mlink/modules/profile/index.cfm?action=profile&amp;prop_id=17586</v>
      </c>
      <c r="N6607" s="1">
        <f t="shared" si="519"/>
        <v>17586</v>
      </c>
    </row>
    <row r="6608" spans="1:14" x14ac:dyDescent="0.3">
      <c r="A6608" s="1">
        <v>17589</v>
      </c>
      <c r="B6608" s="10" t="s">
        <v>1679</v>
      </c>
      <c r="C6608" s="9">
        <v>15500</v>
      </c>
      <c r="D6608" s="10" t="s">
        <v>9915</v>
      </c>
      <c r="E6608" s="11" t="s">
        <v>1657</v>
      </c>
      <c r="F6608" t="str">
        <f t="shared" si="515"/>
        <v>Cutten</v>
      </c>
      <c r="G6608" t="str">
        <f t="shared" si="516"/>
        <v>Cutten15500Houston</v>
      </c>
      <c r="H6608" t="s">
        <v>37464</v>
      </c>
      <c r="I6608" t="s">
        <v>28880</v>
      </c>
      <c r="J6608" t="str">
        <f t="shared" si="517"/>
        <v>E:\PropInv\MF</v>
      </c>
      <c r="K6608" s="103" t="str">
        <f>HYPERLINK("E:\PropInv\MF\Houston\Cutten Rd_15500_San Cierra_Houston_17589","Cutten Rd_15500_San Cierra_Houston_17589" )</f>
        <v>Cutten Rd_15500_San Cierra_Houston_17589</v>
      </c>
      <c r="L6608" s="104" t="s">
        <v>22253</v>
      </c>
      <c r="M6608" s="103" t="str">
        <f t="shared" si="518"/>
        <v>http://oconnordata.com/mlink/modules/profile/index.cfm?action=profile&amp;prop_id=17589</v>
      </c>
      <c r="N6608" s="1">
        <f t="shared" si="519"/>
        <v>17589</v>
      </c>
    </row>
    <row r="6609" spans="1:14" x14ac:dyDescent="0.3">
      <c r="A6609" s="1">
        <v>17591</v>
      </c>
      <c r="B6609" s="10" t="s">
        <v>9916</v>
      </c>
      <c r="C6609" s="9">
        <v>18203</v>
      </c>
      <c r="D6609" s="10" t="s">
        <v>9917</v>
      </c>
      <c r="E6609" s="11" t="s">
        <v>1657</v>
      </c>
      <c r="F6609" t="str">
        <f t="shared" si="515"/>
        <v>Wfield</v>
      </c>
      <c r="G6609" t="str">
        <f t="shared" si="516"/>
        <v>Wfield18203Houston</v>
      </c>
      <c r="H6609" t="s">
        <v>37465</v>
      </c>
      <c r="I6609" t="s">
        <v>28881</v>
      </c>
      <c r="J6609" t="str">
        <f t="shared" si="517"/>
        <v>E:\PropInv\MF</v>
      </c>
      <c r="K6609" s="103" t="str">
        <f>HYPERLINK("E:\PropInv\MF\Houston\Wfield Place Dr_18203_Stoneleigh Cypress Station_Houston_17591","Wfield Place Dr_18203_Stoneleigh Cypress Station_Houston_17591" )</f>
        <v>Wfield Place Dr_18203_Stoneleigh Cypress Station_Houston_17591</v>
      </c>
      <c r="L6609" s="104" t="s">
        <v>22253</v>
      </c>
      <c r="M6609" s="103" t="str">
        <f t="shared" si="518"/>
        <v>http://oconnordata.com/mlink/modules/profile/index.cfm?action=profile&amp;prop_id=17591</v>
      </c>
      <c r="N6609" s="1">
        <f t="shared" si="519"/>
        <v>17591</v>
      </c>
    </row>
    <row r="6610" spans="1:14" x14ac:dyDescent="0.3">
      <c r="A6610" s="1">
        <v>17592</v>
      </c>
      <c r="B6610" s="10" t="s">
        <v>8492</v>
      </c>
      <c r="C6610" s="9">
        <v>6550</v>
      </c>
      <c r="D6610" s="10" t="s">
        <v>9918</v>
      </c>
      <c r="E6610" s="11" t="s">
        <v>4996</v>
      </c>
      <c r="F6610" t="str">
        <f t="shared" si="515"/>
        <v>Shady</v>
      </c>
      <c r="G6610" t="str">
        <f t="shared" si="516"/>
        <v>Shady6550Dallas</v>
      </c>
      <c r="H6610" t="s">
        <v>37466</v>
      </c>
      <c r="I6610" t="s">
        <v>28882</v>
      </c>
      <c r="J6610" t="str">
        <f t="shared" si="517"/>
        <v>E:\PropInv\MF</v>
      </c>
      <c r="K6610" s="103" t="str">
        <f>HYPERLINK("E:\PropInv\MF\Dallas\Shady Brook Ln_6550_The Dakota in the Village_Dallas_17592","Shady Brook Ln_6550_The Dakota in the Village_Dallas_17592" )</f>
        <v>Shady Brook Ln_6550_The Dakota in the Village_Dallas_17592</v>
      </c>
      <c r="L6610" s="104" t="s">
        <v>22253</v>
      </c>
      <c r="M6610" s="103" t="str">
        <f t="shared" si="518"/>
        <v>http://oconnordata.com/mlink/modules/profile/index.cfm?action=profile&amp;prop_id=17592</v>
      </c>
      <c r="N6610" s="1">
        <f t="shared" si="519"/>
        <v>17592</v>
      </c>
    </row>
    <row r="6611" spans="1:14" x14ac:dyDescent="0.3">
      <c r="A6611" s="1">
        <v>17594</v>
      </c>
      <c r="B6611" s="10" t="s">
        <v>9919</v>
      </c>
      <c r="C6611" s="9">
        <v>13838</v>
      </c>
      <c r="D6611" s="10" t="s">
        <v>9920</v>
      </c>
      <c r="E6611" s="11" t="s">
        <v>367</v>
      </c>
      <c r="F6611" t="str">
        <f t="shared" si="515"/>
        <v>The</v>
      </c>
      <c r="G6611" t="str">
        <f t="shared" si="516"/>
        <v>The13838Pflugerville</v>
      </c>
      <c r="H6611" t="s">
        <v>37467</v>
      </c>
      <c r="I6611" t="s">
        <v>28883</v>
      </c>
      <c r="J6611" t="str">
        <f t="shared" si="517"/>
        <v>E:\PropInv\MF</v>
      </c>
      <c r="K6611" s="103" t="str">
        <f>HYPERLINK("E:\PropInv\MF\Pflugerville\The Lakes Blvd_13838_Villas Tech Ridge_Pflugerville_17594","The Lakes Blvd_13838_Villas Tech Ridge_Pflugerville_17594" )</f>
        <v>The Lakes Blvd_13838_Villas Tech Ridge_Pflugerville_17594</v>
      </c>
      <c r="L6611" s="104" t="s">
        <v>22253</v>
      </c>
      <c r="M6611" s="103" t="str">
        <f t="shared" si="518"/>
        <v>http://oconnordata.com/mlink/modules/profile/index.cfm?action=profile&amp;prop_id=17594</v>
      </c>
      <c r="N6611" s="1">
        <f t="shared" si="519"/>
        <v>17594</v>
      </c>
    </row>
    <row r="6612" spans="1:14" x14ac:dyDescent="0.3">
      <c r="A6612" s="97">
        <v>17596</v>
      </c>
      <c r="B6612" s="10" t="s">
        <v>1816</v>
      </c>
      <c r="C6612" s="9">
        <v>9611</v>
      </c>
      <c r="D6612" s="10" t="s">
        <v>9921</v>
      </c>
      <c r="E6612" s="11" t="s">
        <v>1657</v>
      </c>
      <c r="F6612" t="str">
        <f t="shared" si="515"/>
        <v>Grant</v>
      </c>
      <c r="G6612" t="str">
        <f t="shared" si="516"/>
        <v>Grant9611Houston</v>
      </c>
      <c r="H6612" t="s">
        <v>37468</v>
      </c>
      <c r="I6612" t="s">
        <v>28884</v>
      </c>
      <c r="J6612" t="str">
        <f t="shared" si="517"/>
        <v>E:\PropInv\MF</v>
      </c>
      <c r="K6612" s="103" t="str">
        <f>HYPERLINK("E:\PropInv\MF\Houston\Grant Rd_9611_Wynhaven at Willowbrook_Houston_17596","Grant Rd_9611_Wynhaven at Willowbrook_Houston_17596" )</f>
        <v>Grant Rd_9611_Wynhaven at Willowbrook_Houston_17596</v>
      </c>
      <c r="L6612" s="104" t="s">
        <v>22253</v>
      </c>
      <c r="M6612" s="103" t="str">
        <f t="shared" si="518"/>
        <v>http://oconnordata.com/mlink/modules/profile/index.cfm?action=profile&amp;prop_id=17596</v>
      </c>
      <c r="N6612" s="1">
        <f t="shared" si="519"/>
        <v>17596</v>
      </c>
    </row>
    <row r="6613" spans="1:14" x14ac:dyDescent="0.3">
      <c r="A6613" s="1">
        <v>17597</v>
      </c>
      <c r="B6613" s="10" t="s">
        <v>8650</v>
      </c>
      <c r="C6613" s="9">
        <v>14600</v>
      </c>
      <c r="D6613" s="10" t="s">
        <v>9922</v>
      </c>
      <c r="E6613" s="11" t="s">
        <v>1818</v>
      </c>
      <c r="F6613" t="str">
        <f t="shared" si="515"/>
        <v>Huffmeister</v>
      </c>
      <c r="G6613" t="str">
        <f t="shared" si="516"/>
        <v>Huffmeister14600Cypress</v>
      </c>
      <c r="H6613" t="s">
        <v>37469</v>
      </c>
      <c r="I6613" t="s">
        <v>28885</v>
      </c>
      <c r="J6613" t="str">
        <f t="shared" si="517"/>
        <v>E:\PropInv\MF</v>
      </c>
      <c r="K6613" s="103" t="str">
        <f>HYPERLINK("E:\PropInv\MF\Cypress\Huffmeister Rd_14600_Carrington Park at Huffmeister_Cypress_17597","Huffmeister Rd_14600_Carrington Park at Huffmeister_Cypress_17597" )</f>
        <v>Huffmeister Rd_14600_Carrington Park at Huffmeister_Cypress_17597</v>
      </c>
      <c r="L6613" s="104" t="s">
        <v>22253</v>
      </c>
      <c r="M6613" s="103" t="str">
        <f t="shared" si="518"/>
        <v>http://oconnordata.com/mlink/modules/profile/index.cfm?action=profile&amp;prop_id=17597</v>
      </c>
      <c r="N6613" s="1">
        <f t="shared" si="519"/>
        <v>17597</v>
      </c>
    </row>
    <row r="6614" spans="1:14" x14ac:dyDescent="0.3">
      <c r="A6614" s="1">
        <v>17598</v>
      </c>
      <c r="B6614" s="10" t="s">
        <v>9923</v>
      </c>
      <c r="C6614" s="9">
        <v>6777</v>
      </c>
      <c r="D6614" s="10" t="s">
        <v>9924</v>
      </c>
      <c r="E6614" s="11" t="s">
        <v>1657</v>
      </c>
      <c r="F6614" t="str">
        <f t="shared" si="515"/>
        <v>Sommerall</v>
      </c>
      <c r="G6614" t="str">
        <f t="shared" si="516"/>
        <v>Sommerall6777Houston</v>
      </c>
      <c r="H6614" t="s">
        <v>37470</v>
      </c>
      <c r="I6614" t="s">
        <v>28886</v>
      </c>
      <c r="J6614" t="str">
        <f t="shared" si="517"/>
        <v>E:\PropInv\MF</v>
      </c>
      <c r="K6614" s="103" t="str">
        <f>HYPERLINK("E:\PropInv\MF\Houston\Sommerall Dr_6777_Alexan Sommerall_Houston_17598","Sommerall Dr_6777_Alexan Sommerall_Houston_17598" )</f>
        <v>Sommerall Dr_6777_Alexan Sommerall_Houston_17598</v>
      </c>
      <c r="L6614" s="104" t="s">
        <v>22253</v>
      </c>
      <c r="M6614" s="103" t="str">
        <f t="shared" si="518"/>
        <v>http://oconnordata.com/mlink/modules/profile/index.cfm?action=profile&amp;prop_id=17598</v>
      </c>
      <c r="N6614" s="1">
        <f t="shared" si="519"/>
        <v>17598</v>
      </c>
    </row>
    <row r="6615" spans="1:14" x14ac:dyDescent="0.3">
      <c r="A6615" s="1">
        <v>17599</v>
      </c>
      <c r="B6615" s="10" t="s">
        <v>2214</v>
      </c>
      <c r="C6615" s="9">
        <v>7202</v>
      </c>
      <c r="D6615" s="10" t="s">
        <v>9925</v>
      </c>
      <c r="E6615" s="11" t="s">
        <v>1657</v>
      </c>
      <c r="F6615" t="str">
        <f t="shared" si="515"/>
        <v>Barker</v>
      </c>
      <c r="G6615" t="str">
        <f t="shared" si="516"/>
        <v>Barker7202Houston</v>
      </c>
      <c r="H6615" t="s">
        <v>37471</v>
      </c>
      <c r="I6615" t="s">
        <v>28887</v>
      </c>
      <c r="J6615" t="str">
        <f t="shared" si="517"/>
        <v>E:\PropInv\MF</v>
      </c>
      <c r="K6615" s="103" t="str">
        <f>HYPERLINK("E:\PropInv\MF\Houston\Barker Cypress_7202_Carrington at Barker Cypress_Houston_17599","Barker Cypress_7202_Carrington at Barker Cypress_Houston_17599" )</f>
        <v>Barker Cypress_7202_Carrington at Barker Cypress_Houston_17599</v>
      </c>
      <c r="L6615" s="104" t="s">
        <v>22253</v>
      </c>
      <c r="M6615" s="103" t="str">
        <f t="shared" si="518"/>
        <v>http://oconnordata.com/mlink/modules/profile/index.cfm?action=profile&amp;prop_id=17599</v>
      </c>
      <c r="N6615" s="1">
        <f t="shared" si="519"/>
        <v>17599</v>
      </c>
    </row>
    <row r="6616" spans="1:14" x14ac:dyDescent="0.3">
      <c r="A6616" s="1">
        <v>17600</v>
      </c>
      <c r="B6616" s="10" t="s">
        <v>9330</v>
      </c>
      <c r="C6616" s="9">
        <v>12410</v>
      </c>
      <c r="D6616" s="10" t="s">
        <v>9926</v>
      </c>
      <c r="E6616" s="11" t="s">
        <v>1657</v>
      </c>
      <c r="F6616" t="str">
        <f t="shared" si="515"/>
        <v>Little</v>
      </c>
      <c r="G6616" t="str">
        <f t="shared" si="516"/>
        <v>Little12410Houston</v>
      </c>
      <c r="H6616" t="s">
        <v>37472</v>
      </c>
      <c r="I6616" t="s">
        <v>28888</v>
      </c>
      <c r="J6616" t="str">
        <f t="shared" si="517"/>
        <v>E:\PropInv\MF</v>
      </c>
      <c r="K6616" s="103" t="str">
        <f>HYPERLINK("E:\PropInv\MF\Houston\Little York Rd W_12410_Camden Yorktown_Houston_17600","Little York Rd W_12410_Camden Yorktown_Houston_17600" )</f>
        <v>Little York Rd W_12410_Camden Yorktown_Houston_17600</v>
      </c>
      <c r="L6616" s="104" t="s">
        <v>22253</v>
      </c>
      <c r="M6616" s="103" t="str">
        <f t="shared" si="518"/>
        <v>http://oconnordata.com/mlink/modules/profile/index.cfm?action=profile&amp;prop_id=17600</v>
      </c>
      <c r="N6616" s="1">
        <f t="shared" si="519"/>
        <v>17600</v>
      </c>
    </row>
    <row r="6617" spans="1:14" x14ac:dyDescent="0.3">
      <c r="A6617" s="1">
        <v>17601</v>
      </c>
      <c r="B6617" s="10" t="s">
        <v>2621</v>
      </c>
      <c r="C6617" s="9">
        <v>2005</v>
      </c>
      <c r="D6617" s="10" t="s">
        <v>9927</v>
      </c>
      <c r="E6617" s="11" t="s">
        <v>2198</v>
      </c>
      <c r="F6617" t="str">
        <f t="shared" si="515"/>
        <v>Mason</v>
      </c>
      <c r="G6617" t="str">
        <f t="shared" si="516"/>
        <v>Mason2005Katy</v>
      </c>
      <c r="H6617" t="s">
        <v>37473</v>
      </c>
      <c r="I6617" t="s">
        <v>28889</v>
      </c>
      <c r="J6617" t="str">
        <f t="shared" si="517"/>
        <v>E:\PropInv\MF</v>
      </c>
      <c r="K6617" s="103" t="str">
        <f>HYPERLINK("E:\PropInv\MF\Katy\Mason Rd S_2005_Oak Park Trails_Katy_17601","Mason Rd S_2005_Oak Park Trails_Katy_17601" )</f>
        <v>Mason Rd S_2005_Oak Park Trails_Katy_17601</v>
      </c>
      <c r="L6617" s="104" t="s">
        <v>22253</v>
      </c>
      <c r="M6617" s="103" t="str">
        <f t="shared" si="518"/>
        <v>http://oconnordata.com/mlink/modules/profile/index.cfm?action=profile&amp;prop_id=17601</v>
      </c>
      <c r="N6617" s="1">
        <f t="shared" si="519"/>
        <v>17601</v>
      </c>
    </row>
    <row r="6618" spans="1:14" x14ac:dyDescent="0.3">
      <c r="A6618" s="1">
        <v>17602</v>
      </c>
      <c r="B6618" s="10" t="s">
        <v>2621</v>
      </c>
      <c r="C6618" s="9">
        <v>5303</v>
      </c>
      <c r="D6618" s="10" t="s">
        <v>9928</v>
      </c>
      <c r="E6618" s="11" t="s">
        <v>2198</v>
      </c>
      <c r="F6618" t="str">
        <f t="shared" si="515"/>
        <v>Mason</v>
      </c>
      <c r="G6618" t="str">
        <f t="shared" si="516"/>
        <v>Mason5303Katy</v>
      </c>
      <c r="H6618" t="s">
        <v>37474</v>
      </c>
      <c r="I6618" t="s">
        <v>28890</v>
      </c>
      <c r="J6618" t="str">
        <f t="shared" si="517"/>
        <v>E:\PropInv\MF</v>
      </c>
      <c r="K6618" s="103" t="str">
        <f>HYPERLINK("E:\PropInv\MF\Katy\Mason Rd S_5303_Legends at Cinco Ranch_Katy_17602","Mason Rd S_5303_Legends at Cinco Ranch_Katy_17602" )</f>
        <v>Mason Rd S_5303_Legends at Cinco Ranch_Katy_17602</v>
      </c>
      <c r="L6618" s="104" t="s">
        <v>22253</v>
      </c>
      <c r="M6618" s="103" t="str">
        <f t="shared" si="518"/>
        <v>http://oconnordata.com/mlink/modules/profile/index.cfm?action=profile&amp;prop_id=17602</v>
      </c>
      <c r="N6618" s="1">
        <f t="shared" si="519"/>
        <v>17602</v>
      </c>
    </row>
    <row r="6619" spans="1:14" x14ac:dyDescent="0.3">
      <c r="A6619" s="1">
        <v>17603</v>
      </c>
      <c r="B6619" s="10" t="s">
        <v>9929</v>
      </c>
      <c r="C6619" s="9">
        <v>15511</v>
      </c>
      <c r="D6619" s="10" t="s">
        <v>9930</v>
      </c>
      <c r="E6619" s="11" t="s">
        <v>1657</v>
      </c>
      <c r="F6619" t="str">
        <f t="shared" si="515"/>
        <v>Tuckerton</v>
      </c>
      <c r="G6619" t="str">
        <f t="shared" si="516"/>
        <v>Tuckerton15511Houston</v>
      </c>
      <c r="H6619" t="s">
        <v>37475</v>
      </c>
      <c r="I6619" t="s">
        <v>28891</v>
      </c>
      <c r="J6619" t="str">
        <f t="shared" si="517"/>
        <v>E:\PropInv\MF</v>
      </c>
      <c r="K6619" s="103" t="str">
        <f>HYPERLINK("E:\PropInv\MF\Houston\Tuckerton Dr_15511_Landmark at Cypress Falls_Houston_17603","Tuckerton Dr_15511_Landmark at Cypress Falls_Houston_17603" )</f>
        <v>Tuckerton Dr_15511_Landmark at Cypress Falls_Houston_17603</v>
      </c>
      <c r="L6619" s="104" t="s">
        <v>22253</v>
      </c>
      <c r="M6619" s="103" t="str">
        <f t="shared" si="518"/>
        <v>http://oconnordata.com/mlink/modules/profile/index.cfm?action=profile&amp;prop_id=17603</v>
      </c>
      <c r="N6619" s="1">
        <f t="shared" si="519"/>
        <v>17603</v>
      </c>
    </row>
    <row r="6620" spans="1:14" x14ac:dyDescent="0.3">
      <c r="A6620" s="1">
        <v>17604</v>
      </c>
      <c r="B6620" s="19" t="s">
        <v>9931</v>
      </c>
      <c r="C6620" s="18" t="s">
        <v>2497</v>
      </c>
      <c r="D6620" s="19" t="s">
        <v>9932</v>
      </c>
      <c r="E6620" s="20" t="s">
        <v>4616</v>
      </c>
      <c r="F6620" t="str">
        <f t="shared" si="515"/>
        <v>WestView</v>
      </c>
      <c r="G6620" t="str">
        <f t="shared" si="516"/>
        <v>WestViewNFConroe</v>
      </c>
      <c r="H6620" t="s">
        <v>37476</v>
      </c>
      <c r="I6620" t="s">
        <v>28892</v>
      </c>
      <c r="J6620" t="str">
        <f t="shared" si="517"/>
        <v>E:\PropInv\MF</v>
      </c>
      <c r="K6620" s="103" t="str">
        <f>HYPERLINK("E:\PropInv\MF\Conroe\WestView Blvd_NF_WestView Conroe Tract II (on hold)_Conroe_17604","WestView Blvd_NF_WestView Conroe Tract II (on hold)_Conroe_17604" )</f>
        <v>WestView Blvd_NF_WestView Conroe Tract II (on hold)_Conroe_17604</v>
      </c>
      <c r="L6620" s="104" t="s">
        <v>22253</v>
      </c>
      <c r="M6620" s="103" t="str">
        <f t="shared" si="518"/>
        <v>http://oconnordata.com/mlink/modules/profile/index.cfm?action=profile&amp;prop_id=17604</v>
      </c>
      <c r="N6620" s="1">
        <f t="shared" si="519"/>
        <v>17604</v>
      </c>
    </row>
    <row r="6621" spans="1:14" x14ac:dyDescent="0.3">
      <c r="A6621" s="1">
        <v>17605</v>
      </c>
      <c r="B6621" s="7" t="s">
        <v>9933</v>
      </c>
      <c r="C6621" s="12">
        <v>2201</v>
      </c>
      <c r="D6621" s="7" t="s">
        <v>9934</v>
      </c>
      <c r="E6621" s="13" t="s">
        <v>1657</v>
      </c>
      <c r="F6621" t="str">
        <f t="shared" si="515"/>
        <v>Orem</v>
      </c>
      <c r="G6621" t="str">
        <f t="shared" si="516"/>
        <v>Orem2201Houston</v>
      </c>
      <c r="H6621" t="s">
        <v>37477</v>
      </c>
      <c r="I6621" t="s">
        <v>28893</v>
      </c>
      <c r="J6621" t="str">
        <f t="shared" si="517"/>
        <v>E:\PropInv\MF</v>
      </c>
      <c r="K6621" s="103" t="str">
        <f>HYPERLINK("E:\PropInv\MF\Houston\Orem Dr W_2201_Landmark at City Park_Houston_17605","Orem Dr W_2201_Landmark at City Park_Houston_17605" )</f>
        <v>Orem Dr W_2201_Landmark at City Park_Houston_17605</v>
      </c>
      <c r="L6621" s="104" t="s">
        <v>22253</v>
      </c>
      <c r="M6621" s="103" t="str">
        <f t="shared" si="518"/>
        <v>http://oconnordata.com/mlink/modules/profile/index.cfm?action=profile&amp;prop_id=17605</v>
      </c>
      <c r="N6621" s="1">
        <f t="shared" si="519"/>
        <v>17605</v>
      </c>
    </row>
    <row r="6622" spans="1:14" x14ac:dyDescent="0.3">
      <c r="A6622" s="1">
        <v>17606</v>
      </c>
      <c r="B6622" s="7" t="s">
        <v>1937</v>
      </c>
      <c r="C6622" s="12">
        <v>6200</v>
      </c>
      <c r="D6622" s="7" t="s">
        <v>9935</v>
      </c>
      <c r="E6622" s="13" t="s">
        <v>1763</v>
      </c>
      <c r="F6622" t="str">
        <f t="shared" si="515"/>
        <v>Greens</v>
      </c>
      <c r="G6622" t="str">
        <f t="shared" si="516"/>
        <v>Greens6200Humble</v>
      </c>
      <c r="H6622" t="s">
        <v>37478</v>
      </c>
      <c r="I6622" t="s">
        <v>28894</v>
      </c>
      <c r="J6622" t="str">
        <f t="shared" si="517"/>
        <v>E:\PropInv\MF</v>
      </c>
      <c r="K6622" s="103" t="str">
        <f>HYPERLINK("E:\PropInv\MF\Humble\Greens Rd_6200_Autumn Pines_Humble_17606","Greens Rd_6200_Autumn Pines_Humble_17606" )</f>
        <v>Greens Rd_6200_Autumn Pines_Humble_17606</v>
      </c>
      <c r="L6622" s="104" t="s">
        <v>22253</v>
      </c>
      <c r="M6622" s="103" t="str">
        <f t="shared" si="518"/>
        <v>http://oconnordata.com/mlink/modules/profile/index.cfm?action=profile&amp;prop_id=17606</v>
      </c>
      <c r="N6622" s="1">
        <f t="shared" si="519"/>
        <v>17606</v>
      </c>
    </row>
    <row r="6623" spans="1:14" x14ac:dyDescent="0.3">
      <c r="A6623" s="1">
        <v>17607</v>
      </c>
      <c r="B6623" s="7" t="s">
        <v>9936</v>
      </c>
      <c r="C6623" s="12">
        <v>15000</v>
      </c>
      <c r="D6623" s="7" t="s">
        <v>9937</v>
      </c>
      <c r="E6623" s="13" t="s">
        <v>4616</v>
      </c>
      <c r="F6623" t="str">
        <f t="shared" si="515"/>
        <v>Mansions</v>
      </c>
      <c r="G6623" t="str">
        <f t="shared" si="516"/>
        <v>Mansions15000Conroe</v>
      </c>
      <c r="H6623" t="s">
        <v>37479</v>
      </c>
      <c r="I6623" t="s">
        <v>28895</v>
      </c>
      <c r="J6623" t="str">
        <f t="shared" si="517"/>
        <v>E:\PropInv\MF</v>
      </c>
      <c r="K6623" s="103" t="str">
        <f>HYPERLINK("E:\PropInv\MF\Conroe\Mansions View Dr_15000_Regency at Woodland_Conroe_17607","Mansions View Dr_15000_Regency at Woodland_Conroe_17607" )</f>
        <v>Mansions View Dr_15000_Regency at Woodland_Conroe_17607</v>
      </c>
      <c r="L6623" s="104" t="s">
        <v>22253</v>
      </c>
      <c r="M6623" s="103" t="str">
        <f t="shared" si="518"/>
        <v>http://oconnordata.com/mlink/modules/profile/index.cfm?action=profile&amp;prop_id=17607</v>
      </c>
      <c r="N6623" s="1">
        <f t="shared" si="519"/>
        <v>17607</v>
      </c>
    </row>
    <row r="6624" spans="1:14" x14ac:dyDescent="0.3">
      <c r="A6624" s="1">
        <v>17608</v>
      </c>
      <c r="B6624" s="7" t="s">
        <v>1835</v>
      </c>
      <c r="C6624" s="12">
        <v>4855</v>
      </c>
      <c r="D6624" s="7" t="s">
        <v>9938</v>
      </c>
      <c r="E6624" s="13" t="s">
        <v>1662</v>
      </c>
      <c r="F6624" t="str">
        <f t="shared" si="515"/>
        <v>Magnolia</v>
      </c>
      <c r="G6624" t="str">
        <f t="shared" si="516"/>
        <v>Magnolia4855Kingwood</v>
      </c>
      <c r="H6624" t="s">
        <v>37480</v>
      </c>
      <c r="I6624" t="s">
        <v>28896</v>
      </c>
      <c r="J6624" t="str">
        <f t="shared" si="517"/>
        <v>E:\PropInv\MF</v>
      </c>
      <c r="K6624" s="103" t="str">
        <f>HYPERLINK("E:\PropInv\MF\Kingwood\Magnolia Cove Dr_4855_Harbor View at Kings Harbor_Kingwood_17608","Magnolia Cove Dr_4855_Harbor View at Kings Harbor_Kingwood_17608" )</f>
        <v>Magnolia Cove Dr_4855_Harbor View at Kings Harbor_Kingwood_17608</v>
      </c>
      <c r="L6624" s="104" t="s">
        <v>22253</v>
      </c>
      <c r="M6624" s="103" t="str">
        <f t="shared" si="518"/>
        <v>http://oconnordata.com/mlink/modules/profile/index.cfm?action=profile&amp;prop_id=17608</v>
      </c>
      <c r="N6624" s="1">
        <f t="shared" si="519"/>
        <v>17608</v>
      </c>
    </row>
    <row r="6625" spans="1:14" x14ac:dyDescent="0.3">
      <c r="A6625" s="1">
        <v>17609</v>
      </c>
      <c r="B6625" s="7" t="s">
        <v>9898</v>
      </c>
      <c r="C6625" s="12">
        <v>2800</v>
      </c>
      <c r="D6625" s="7" t="s">
        <v>9939</v>
      </c>
      <c r="E6625" s="13" t="s">
        <v>4563</v>
      </c>
      <c r="F6625" t="str">
        <f t="shared" si="515"/>
        <v>League</v>
      </c>
      <c r="G6625" t="str">
        <f t="shared" si="516"/>
        <v>League2800League City</v>
      </c>
      <c r="H6625" t="s">
        <v>37481</v>
      </c>
      <c r="I6625" t="s">
        <v>28897</v>
      </c>
      <c r="J6625" t="str">
        <f t="shared" si="517"/>
        <v>E:\PropInv\MF</v>
      </c>
      <c r="K6625" s="103" t="str">
        <f>HYPERLINK("E:\PropInv\MF\League City\League City Pkwy E_2800_The Haven at South Shore_League City_17609","League City Pkwy E_2800_The Haven at South Shore_League City_17609" )</f>
        <v>League City Pkwy E_2800_The Haven at South Shore_League City_17609</v>
      </c>
      <c r="L6625" s="104" t="s">
        <v>22253</v>
      </c>
      <c r="M6625" s="103" t="str">
        <f t="shared" si="518"/>
        <v>http://oconnordata.com/mlink/modules/profile/index.cfm?action=profile&amp;prop_id=17609</v>
      </c>
      <c r="N6625" s="1">
        <f t="shared" si="519"/>
        <v>17609</v>
      </c>
    </row>
    <row r="6626" spans="1:14" x14ac:dyDescent="0.3">
      <c r="A6626" s="1">
        <v>17610</v>
      </c>
      <c r="B6626" s="7" t="s">
        <v>9940</v>
      </c>
      <c r="C6626" s="12">
        <v>4522</v>
      </c>
      <c r="D6626" s="7" t="s">
        <v>9941</v>
      </c>
      <c r="E6626" s="13" t="s">
        <v>1657</v>
      </c>
      <c r="F6626" t="str">
        <f t="shared" si="515"/>
        <v>Sylvanfield</v>
      </c>
      <c r="G6626" t="str">
        <f t="shared" si="516"/>
        <v>Sylvanfield4522Houston</v>
      </c>
      <c r="H6626" t="s">
        <v>37482</v>
      </c>
      <c r="I6626" t="s">
        <v>28898</v>
      </c>
      <c r="J6626" t="str">
        <f t="shared" si="517"/>
        <v>E:\PropInv\MF</v>
      </c>
      <c r="K6626" s="103" t="str">
        <f>HYPERLINK("E:\PropInv\MF\Houston\Sylvanfield Blvd_4522_NorthChase Village_Houston_17610","Sylvanfield Blvd_4522_NorthChase Village_Houston_17610" )</f>
        <v>Sylvanfield Blvd_4522_NorthChase Village_Houston_17610</v>
      </c>
      <c r="L6626" s="104" t="s">
        <v>22253</v>
      </c>
      <c r="M6626" s="103" t="str">
        <f t="shared" si="518"/>
        <v>http://oconnordata.com/mlink/modules/profile/index.cfm?action=profile&amp;prop_id=17610</v>
      </c>
      <c r="N6626" s="1">
        <f t="shared" si="519"/>
        <v>17610</v>
      </c>
    </row>
    <row r="6627" spans="1:14" x14ac:dyDescent="0.3">
      <c r="A6627" s="1">
        <v>17611</v>
      </c>
      <c r="B6627" s="19" t="s">
        <v>9940</v>
      </c>
      <c r="C6627" s="18">
        <v>4521</v>
      </c>
      <c r="D6627" s="19" t="s">
        <v>9942</v>
      </c>
      <c r="E6627" s="20" t="s">
        <v>1657</v>
      </c>
      <c r="F6627" t="str">
        <f t="shared" si="515"/>
        <v>Sylvanfield</v>
      </c>
      <c r="G6627" t="str">
        <f t="shared" si="516"/>
        <v>Sylvanfield4521Houston</v>
      </c>
      <c r="H6627" t="s">
        <v>37483</v>
      </c>
      <c r="I6627" t="s">
        <v>28899</v>
      </c>
      <c r="J6627" t="str">
        <f t="shared" si="517"/>
        <v>E:\PropInv\MF</v>
      </c>
      <c r="K6627" s="103" t="str">
        <f>HYPERLINK("E:\PropInv\MF\Houston\Sylvanfield Blvd_4521_North Chase Village II (on hold)_Houston_17611","Sylvanfield Blvd_4521_North Chase Village II (on hold)_Houston_17611" )</f>
        <v>Sylvanfield Blvd_4521_North Chase Village II (on hold)_Houston_17611</v>
      </c>
      <c r="L6627" s="104" t="s">
        <v>22253</v>
      </c>
      <c r="M6627" s="103" t="str">
        <f t="shared" si="518"/>
        <v>http://oconnordata.com/mlink/modules/profile/index.cfm?action=profile&amp;prop_id=17611</v>
      </c>
      <c r="N6627" s="1">
        <f t="shared" si="519"/>
        <v>17611</v>
      </c>
    </row>
    <row r="6628" spans="1:14" x14ac:dyDescent="0.3">
      <c r="A6628" s="1">
        <v>17612</v>
      </c>
      <c r="B6628" s="7" t="s">
        <v>5893</v>
      </c>
      <c r="C6628" s="12">
        <v>6401</v>
      </c>
      <c r="D6628" s="7" t="s">
        <v>9943</v>
      </c>
      <c r="E6628" s="13" t="s">
        <v>4996</v>
      </c>
      <c r="F6628" t="str">
        <f t="shared" si="515"/>
        <v>Maple</v>
      </c>
      <c r="G6628" t="str">
        <f t="shared" si="516"/>
        <v>Maple6401Dallas</v>
      </c>
      <c r="H6628" t="s">
        <v>37484</v>
      </c>
      <c r="I6628" t="s">
        <v>28900</v>
      </c>
      <c r="J6628" t="str">
        <f t="shared" si="517"/>
        <v>E:\PropInv\MF</v>
      </c>
      <c r="K6628" s="103" t="str">
        <f>HYPERLINK("E:\PropInv\MF\Dallas\Maple Ave_6401_Southwestern Medical Park_Dallas_17612","Maple Ave_6401_Southwestern Medical Park_Dallas_17612" )</f>
        <v>Maple Ave_6401_Southwestern Medical Park_Dallas_17612</v>
      </c>
      <c r="L6628" s="104" t="s">
        <v>22253</v>
      </c>
      <c r="M6628" s="103" t="str">
        <f t="shared" si="518"/>
        <v>http://oconnordata.com/mlink/modules/profile/index.cfm?action=profile&amp;prop_id=17612</v>
      </c>
      <c r="N6628" s="1">
        <f t="shared" si="519"/>
        <v>17612</v>
      </c>
    </row>
    <row r="6629" spans="1:14" x14ac:dyDescent="0.3">
      <c r="A6629" s="1">
        <v>17613</v>
      </c>
      <c r="B6629" s="7" t="s">
        <v>3118</v>
      </c>
      <c r="C6629" s="12">
        <v>3200</v>
      </c>
      <c r="D6629" s="7" t="s">
        <v>9944</v>
      </c>
      <c r="E6629" s="13" t="s">
        <v>4996</v>
      </c>
      <c r="F6629" t="str">
        <f t="shared" si="515"/>
        <v>Main</v>
      </c>
      <c r="G6629" t="str">
        <f t="shared" si="516"/>
        <v>Main3200Dallas</v>
      </c>
      <c r="H6629" t="s">
        <v>37485</v>
      </c>
      <c r="I6629" t="s">
        <v>28901</v>
      </c>
      <c r="J6629" t="str">
        <f t="shared" si="517"/>
        <v>E:\PropInv\MF</v>
      </c>
      <c r="K6629" s="103" t="str">
        <f>HYPERLINK("E:\PropInv\MF\Dallas\Main St_3200_3200 Main Lofts_Dallas_17613","Main St_3200_3200 Main Lofts_Dallas_17613" )</f>
        <v>Main St_3200_3200 Main Lofts_Dallas_17613</v>
      </c>
      <c r="L6629" s="104" t="s">
        <v>22253</v>
      </c>
      <c r="M6629" s="103" t="str">
        <f t="shared" si="518"/>
        <v>http://oconnordata.com/mlink/modules/profile/index.cfm?action=profile&amp;prop_id=17613</v>
      </c>
      <c r="N6629" s="1">
        <f t="shared" si="519"/>
        <v>17613</v>
      </c>
    </row>
    <row r="6630" spans="1:14" x14ac:dyDescent="0.3">
      <c r="A6630" s="1">
        <v>17615</v>
      </c>
      <c r="B6630" s="7" t="s">
        <v>9945</v>
      </c>
      <c r="C6630" s="12">
        <v>3306</v>
      </c>
      <c r="D6630" s="7" t="s">
        <v>9946</v>
      </c>
      <c r="E6630" s="13" t="s">
        <v>2198</v>
      </c>
      <c r="F6630" t="str">
        <f t="shared" si="515"/>
        <v>Fry</v>
      </c>
      <c r="G6630" t="str">
        <f t="shared" si="516"/>
        <v>Fry3306Katy</v>
      </c>
      <c r="H6630" t="s">
        <v>37486</v>
      </c>
      <c r="I6630" t="s">
        <v>28902</v>
      </c>
      <c r="J6630" t="str">
        <f t="shared" si="517"/>
        <v>E:\PropInv\MF</v>
      </c>
      <c r="K6630" s="103" t="str">
        <f>HYPERLINK("E:\PropInv\MF\Katy\Fry Rd S_3306_Retreat at Cinco Ranch_Katy_17615","Fry Rd S_3306_Retreat at Cinco Ranch_Katy_17615" )</f>
        <v>Fry Rd S_3306_Retreat at Cinco Ranch_Katy_17615</v>
      </c>
      <c r="L6630" s="104" t="s">
        <v>22253</v>
      </c>
      <c r="M6630" s="103" t="str">
        <f t="shared" si="518"/>
        <v>http://oconnordata.com/mlink/modules/profile/index.cfm?action=profile&amp;prop_id=17615</v>
      </c>
      <c r="N6630" s="1">
        <f t="shared" si="519"/>
        <v>17615</v>
      </c>
    </row>
    <row r="6631" spans="1:14" x14ac:dyDescent="0.3">
      <c r="A6631" s="1">
        <v>17616</v>
      </c>
      <c r="B6631" s="7" t="s">
        <v>9947</v>
      </c>
      <c r="C6631" s="12">
        <v>16303</v>
      </c>
      <c r="D6631" s="7" t="s">
        <v>9948</v>
      </c>
      <c r="E6631" s="13" t="s">
        <v>9949</v>
      </c>
      <c r="F6631" t="str">
        <f t="shared" si="515"/>
        <v>Chelsea</v>
      </c>
      <c r="G6631" t="str">
        <f t="shared" si="516"/>
        <v>Chelsea16303Selma</v>
      </c>
      <c r="H6631" t="s">
        <v>37487</v>
      </c>
      <c r="I6631" t="s">
        <v>28903</v>
      </c>
      <c r="J6631" t="str">
        <f t="shared" si="517"/>
        <v>E:\PropInv\MF</v>
      </c>
      <c r="K6631" s="103" t="str">
        <f>HYPERLINK("E:\PropInv\MF\Selma\Chelsea Place_16303_The Retreat at Chelsea Park_Selma_17616","Chelsea Place_16303_The Retreat at Chelsea Park_Selma_17616" )</f>
        <v>Chelsea Place_16303_The Retreat at Chelsea Park_Selma_17616</v>
      </c>
      <c r="L6631" s="104" t="s">
        <v>22253</v>
      </c>
      <c r="M6631" s="103" t="str">
        <f t="shared" si="518"/>
        <v>http://oconnordata.com/mlink/modules/profile/index.cfm?action=profile&amp;prop_id=17616</v>
      </c>
      <c r="N6631" s="1">
        <f t="shared" si="519"/>
        <v>17616</v>
      </c>
    </row>
    <row r="6632" spans="1:14" x14ac:dyDescent="0.3">
      <c r="A6632" s="1">
        <v>17617</v>
      </c>
      <c r="B6632" s="7" t="s">
        <v>1835</v>
      </c>
      <c r="C6632" s="12">
        <v>4920</v>
      </c>
      <c r="D6632" s="7" t="s">
        <v>9950</v>
      </c>
      <c r="E6632" s="13" t="s">
        <v>1662</v>
      </c>
      <c r="F6632" t="str">
        <f t="shared" si="515"/>
        <v>Magnolia</v>
      </c>
      <c r="G6632" t="str">
        <f t="shared" si="516"/>
        <v>Magnolia4920Kingwood</v>
      </c>
      <c r="H6632" t="s">
        <v>37488</v>
      </c>
      <c r="I6632" t="s">
        <v>28904</v>
      </c>
      <c r="J6632" t="str">
        <f t="shared" si="517"/>
        <v>E:\PropInv\MF</v>
      </c>
      <c r="K6632" s="103" t="str">
        <f>HYPERLINK("E:\PropInv\MF\Kingwood\Magnolia Cove Dr_4920_Kings Cove_Kingwood_17617","Magnolia Cove Dr_4920_Kings Cove_Kingwood_17617" )</f>
        <v>Magnolia Cove Dr_4920_Kings Cove_Kingwood_17617</v>
      </c>
      <c r="L6632" s="104" t="s">
        <v>22253</v>
      </c>
      <c r="M6632" s="103" t="str">
        <f t="shared" si="518"/>
        <v>http://oconnordata.com/mlink/modules/profile/index.cfm?action=profile&amp;prop_id=17617</v>
      </c>
      <c r="N6632" s="1">
        <f t="shared" si="519"/>
        <v>17617</v>
      </c>
    </row>
    <row r="6633" spans="1:14" x14ac:dyDescent="0.3">
      <c r="A6633" s="1">
        <v>17618</v>
      </c>
      <c r="B6633" s="7" t="s">
        <v>662</v>
      </c>
      <c r="C6633" s="12">
        <v>12820</v>
      </c>
      <c r="D6633" s="7" t="s">
        <v>9951</v>
      </c>
      <c r="E6633" s="13" t="s">
        <v>705</v>
      </c>
      <c r="F6633" t="str">
        <f t="shared" si="515"/>
        <v>Parmer</v>
      </c>
      <c r="G6633" t="str">
        <f t="shared" si="516"/>
        <v>Parmer12820Cedar Park</v>
      </c>
      <c r="H6633" t="s">
        <v>37489</v>
      </c>
      <c r="I6633" t="s">
        <v>28905</v>
      </c>
      <c r="J6633" t="str">
        <f t="shared" si="517"/>
        <v>E:\PropInv\MF</v>
      </c>
      <c r="K6633" s="103" t="str">
        <f>HYPERLINK("E:\PropInv\MF\Cedar Park\Parmer Ln W_12820_Altea at Silverado_Cedar Park_17618","Parmer Ln W_12820_Altea at Silverado_Cedar Park_17618" )</f>
        <v>Parmer Ln W_12820_Altea at Silverado_Cedar Park_17618</v>
      </c>
      <c r="L6633" s="104" t="s">
        <v>22253</v>
      </c>
      <c r="M6633" s="103" t="str">
        <f t="shared" si="518"/>
        <v>http://oconnordata.com/mlink/modules/profile/index.cfm?action=profile&amp;prop_id=17618</v>
      </c>
      <c r="N6633" s="1">
        <f t="shared" si="519"/>
        <v>17618</v>
      </c>
    </row>
    <row r="6634" spans="1:14" x14ac:dyDescent="0.3">
      <c r="A6634" s="1">
        <v>17619</v>
      </c>
      <c r="B6634" s="7" t="s">
        <v>9952</v>
      </c>
      <c r="C6634" s="12">
        <v>900</v>
      </c>
      <c r="D6634" s="7" t="s">
        <v>9953</v>
      </c>
      <c r="E6634" s="13" t="s">
        <v>705</v>
      </c>
      <c r="F6634" t="str">
        <f t="shared" si="515"/>
        <v>Discovery</v>
      </c>
      <c r="G6634" t="str">
        <f t="shared" si="516"/>
        <v>Discovery900Cedar Park</v>
      </c>
      <c r="H6634" t="s">
        <v>37490</v>
      </c>
      <c r="I6634" t="s">
        <v>28906</v>
      </c>
      <c r="J6634" t="str">
        <f t="shared" si="517"/>
        <v>E:\PropInv\MF</v>
      </c>
      <c r="K6634" s="103" t="str">
        <f>HYPERLINK("E:\PropInv\MF\Cedar Park\Discovery Blvd_900_Arboleda_Cedar Park_17619","Discovery Blvd_900_Arboleda_Cedar Park_17619" )</f>
        <v>Discovery Blvd_900_Arboleda_Cedar Park_17619</v>
      </c>
      <c r="L6634" s="104" t="s">
        <v>22253</v>
      </c>
      <c r="M6634" s="103" t="str">
        <f t="shared" si="518"/>
        <v>http://oconnordata.com/mlink/modules/profile/index.cfm?action=profile&amp;prop_id=17619</v>
      </c>
      <c r="N6634" s="1">
        <f t="shared" si="519"/>
        <v>17619</v>
      </c>
    </row>
    <row r="6635" spans="1:14" x14ac:dyDescent="0.3">
      <c r="A6635" s="1">
        <v>17620</v>
      </c>
      <c r="B6635" s="7" t="s">
        <v>703</v>
      </c>
      <c r="C6635" s="12">
        <v>350</v>
      </c>
      <c r="D6635" s="7" t="s">
        <v>9954</v>
      </c>
      <c r="E6635" s="13" t="s">
        <v>705</v>
      </c>
      <c r="F6635" t="str">
        <f t="shared" si="515"/>
        <v>Cypress</v>
      </c>
      <c r="G6635" t="str">
        <f t="shared" si="516"/>
        <v>Cypress350Cedar Park</v>
      </c>
      <c r="H6635" t="s">
        <v>37491</v>
      </c>
      <c r="I6635" t="s">
        <v>28907</v>
      </c>
      <c r="J6635" t="str">
        <f t="shared" si="517"/>
        <v>E:\PropInv\MF</v>
      </c>
      <c r="K6635" s="103" t="str">
        <f>HYPERLINK("E:\PropInv\MF\Cedar Park\Cypress Creek Rd_350_Regal Canyon_Cedar Park_17620","Cypress Creek Rd_350_Regal Canyon_Cedar Park_17620" )</f>
        <v>Cypress Creek Rd_350_Regal Canyon_Cedar Park_17620</v>
      </c>
      <c r="L6635" s="104" t="s">
        <v>22253</v>
      </c>
      <c r="M6635" s="103" t="str">
        <f t="shared" si="518"/>
        <v>http://oconnordata.com/mlink/modules/profile/index.cfm?action=profile&amp;prop_id=17620</v>
      </c>
      <c r="N6635" s="1">
        <f t="shared" si="519"/>
        <v>17620</v>
      </c>
    </row>
    <row r="6636" spans="1:14" x14ac:dyDescent="0.3">
      <c r="A6636" s="1">
        <v>17621</v>
      </c>
      <c r="B6636" s="7" t="s">
        <v>9955</v>
      </c>
      <c r="C6636" s="12">
        <v>3455</v>
      </c>
      <c r="D6636" s="7" t="s">
        <v>9956</v>
      </c>
      <c r="E6636" s="13" t="s">
        <v>1763</v>
      </c>
      <c r="F6636" t="str">
        <f t="shared" si="515"/>
        <v>1960</v>
      </c>
      <c r="G6636" t="str">
        <f t="shared" si="516"/>
        <v>19603455Humble</v>
      </c>
      <c r="H6636" t="s">
        <v>37492</v>
      </c>
      <c r="I6636" t="s">
        <v>28908</v>
      </c>
      <c r="J6636" t="str">
        <f t="shared" si="517"/>
        <v>E:\PropInv\MF</v>
      </c>
      <c r="K6636" s="103" t="str">
        <f>HYPERLINK("E:\PropInv\MF\Humble\1960 FM Rd W_3455_Knightsbridge_Humble_17621","1960 FM Rd W_3455_Knightsbridge_Humble_17621" )</f>
        <v>1960 FM Rd W_3455_Knightsbridge_Humble_17621</v>
      </c>
      <c r="L6636" s="104" t="s">
        <v>22253</v>
      </c>
      <c r="M6636" s="103" t="str">
        <f t="shared" si="518"/>
        <v>http://oconnordata.com/mlink/modules/profile/index.cfm?action=profile&amp;prop_id=17621</v>
      </c>
      <c r="N6636" s="1">
        <f t="shared" si="519"/>
        <v>17621</v>
      </c>
    </row>
    <row r="6637" spans="1:14" x14ac:dyDescent="0.3">
      <c r="A6637" s="1">
        <v>17622</v>
      </c>
      <c r="B6637" s="7" t="s">
        <v>9957</v>
      </c>
      <c r="C6637" s="12">
        <v>1300</v>
      </c>
      <c r="D6637" s="7" t="s">
        <v>9958</v>
      </c>
      <c r="E6637" s="13" t="s">
        <v>8612</v>
      </c>
      <c r="F6637" t="str">
        <f t="shared" si="515"/>
        <v>Harvey</v>
      </c>
      <c r="G6637" t="str">
        <f t="shared" si="516"/>
        <v>Harvey1300College Station</v>
      </c>
      <c r="H6637" t="s">
        <v>37493</v>
      </c>
      <c r="I6637" t="s">
        <v>28909</v>
      </c>
      <c r="J6637" t="str">
        <f t="shared" si="517"/>
        <v>E:\PropInv\MF</v>
      </c>
      <c r="K6637" s="103" t="str">
        <f>HYPERLINK("E:\PropInv\MF\College Station\Harvey Mitchell Dr_1300_2818 Place_College Station_17622","Harvey Mitchell Dr_1300_2818 Place_College Station_17622" )</f>
        <v>Harvey Mitchell Dr_1300_2818 Place_College Station_17622</v>
      </c>
      <c r="L6637" s="104" t="s">
        <v>22253</v>
      </c>
      <c r="M6637" s="103" t="str">
        <f t="shared" si="518"/>
        <v>http://oconnordata.com/mlink/modules/profile/index.cfm?action=profile&amp;prop_id=17622</v>
      </c>
      <c r="N6637" s="1">
        <f t="shared" si="519"/>
        <v>17622</v>
      </c>
    </row>
    <row r="6638" spans="1:14" x14ac:dyDescent="0.3">
      <c r="A6638" s="1">
        <v>17623</v>
      </c>
      <c r="B6638" s="7" t="s">
        <v>9959</v>
      </c>
      <c r="C6638" s="12">
        <v>3505</v>
      </c>
      <c r="D6638" s="7" t="s">
        <v>9960</v>
      </c>
      <c r="E6638" s="13" t="s">
        <v>4569</v>
      </c>
      <c r="F6638" t="str">
        <f t="shared" si="515"/>
        <v>Magnolia</v>
      </c>
      <c r="G6638" t="str">
        <f t="shared" si="516"/>
        <v>Magnolia3505Texas City</v>
      </c>
      <c r="H6638" t="s">
        <v>37494</v>
      </c>
      <c r="I6638" t="s">
        <v>28910</v>
      </c>
      <c r="J6638" t="str">
        <f t="shared" si="517"/>
        <v>E:\PropInv\MF</v>
      </c>
      <c r="K6638" s="103" t="str">
        <f>HYPERLINK("E:\PropInv\MF\Texas City\Magnolia St_3505_Village at Morningstar II_Texas City_17623","Magnolia St_3505_Village at Morningstar II_Texas City_17623" )</f>
        <v>Magnolia St_3505_Village at Morningstar II_Texas City_17623</v>
      </c>
      <c r="L6638" s="104" t="s">
        <v>22253</v>
      </c>
      <c r="M6638" s="103" t="str">
        <f t="shared" si="518"/>
        <v>http://oconnordata.com/mlink/modules/profile/index.cfm?action=profile&amp;prop_id=17623</v>
      </c>
      <c r="N6638" s="1">
        <f t="shared" si="519"/>
        <v>17623</v>
      </c>
    </row>
    <row r="6639" spans="1:14" x14ac:dyDescent="0.3">
      <c r="A6639" s="1">
        <v>17624</v>
      </c>
      <c r="B6639" s="7" t="s">
        <v>889</v>
      </c>
      <c r="C6639" s="12">
        <v>8797</v>
      </c>
      <c r="D6639" s="7" t="s">
        <v>308</v>
      </c>
      <c r="E6639" s="13" t="s">
        <v>842</v>
      </c>
      <c r="F6639" t="str">
        <f t="shared" si="515"/>
        <v>Marbach</v>
      </c>
      <c r="G6639" t="str">
        <f t="shared" si="516"/>
        <v>Marbach8797San Antonio</v>
      </c>
      <c r="H6639" t="s">
        <v>37495</v>
      </c>
      <c r="I6639" t="s">
        <v>28911</v>
      </c>
      <c r="J6639" t="str">
        <f t="shared" si="517"/>
        <v>E:\PropInv\MF</v>
      </c>
      <c r="K6639" s="103" t="str">
        <f>HYPERLINK("E:\PropInv\MF\San Antonio\Marbach Rd_8797_Polo Club_San Antonio_17624","Marbach Rd_8797_Polo Club_San Antonio_17624" )</f>
        <v>Marbach Rd_8797_Polo Club_San Antonio_17624</v>
      </c>
      <c r="L6639" s="104" t="s">
        <v>22253</v>
      </c>
      <c r="M6639" s="103" t="str">
        <f t="shared" si="518"/>
        <v>http://oconnordata.com/mlink/modules/profile/index.cfm?action=profile&amp;prop_id=17624</v>
      </c>
      <c r="N6639" s="1">
        <f t="shared" si="519"/>
        <v>17624</v>
      </c>
    </row>
    <row r="6640" spans="1:14" x14ac:dyDescent="0.3">
      <c r="A6640" s="1">
        <v>17630</v>
      </c>
      <c r="B6640" s="7" t="s">
        <v>249</v>
      </c>
      <c r="C6640" s="12">
        <v>12000</v>
      </c>
      <c r="D6640" s="7" t="s">
        <v>9961</v>
      </c>
      <c r="E6640" s="13" t="s">
        <v>7</v>
      </c>
      <c r="F6640" t="str">
        <f t="shared" si="515"/>
        <v>Dessau</v>
      </c>
      <c r="G6640" t="str">
        <f t="shared" si="516"/>
        <v>Dessau12000Austin</v>
      </c>
      <c r="H6640" t="s">
        <v>37496</v>
      </c>
      <c r="I6640" t="s">
        <v>28912</v>
      </c>
      <c r="J6640" t="str">
        <f t="shared" si="517"/>
        <v>E:\PropInv\MF</v>
      </c>
      <c r="K6640" s="103" t="str">
        <f>HYPERLINK("E:\PropInv\MF\Austin\Dessau Rd_12000_Marquis at Canyon Ridge_Austin_17630","Dessau Rd_12000_Marquis at Canyon Ridge_Austin_17630" )</f>
        <v>Dessau Rd_12000_Marquis at Canyon Ridge_Austin_17630</v>
      </c>
      <c r="L6640" s="104" t="s">
        <v>22253</v>
      </c>
      <c r="M6640" s="103" t="str">
        <f t="shared" si="518"/>
        <v>http://oconnordata.com/mlink/modules/profile/index.cfm?action=profile&amp;prop_id=17630</v>
      </c>
      <c r="N6640" s="1">
        <f t="shared" si="519"/>
        <v>17630</v>
      </c>
    </row>
    <row r="6641" spans="1:14" x14ac:dyDescent="0.3">
      <c r="A6641" s="1">
        <v>17635</v>
      </c>
      <c r="B6641" s="7" t="s">
        <v>3667</v>
      </c>
      <c r="C6641" s="12">
        <v>4550</v>
      </c>
      <c r="D6641" s="7" t="s">
        <v>9962</v>
      </c>
      <c r="E6641" s="13" t="s">
        <v>1657</v>
      </c>
      <c r="F6641" t="str">
        <f t="shared" si="515"/>
        <v>Braeswood</v>
      </c>
      <c r="G6641" t="str">
        <f t="shared" si="516"/>
        <v>Braeswood4550Houston</v>
      </c>
      <c r="H6641" t="s">
        <v>37497</v>
      </c>
      <c r="I6641" t="s">
        <v>28913</v>
      </c>
      <c r="J6641" t="str">
        <f t="shared" si="517"/>
        <v>E:\PropInv\MF</v>
      </c>
      <c r="K6641" s="103" t="str">
        <f>HYPERLINK("E:\PropInv\MF\Houston\Braeswood Blvd N_4550_The Meritage_Houston_17635","Braeswood Blvd N_4550_The Meritage_Houston_17635" )</f>
        <v>Braeswood Blvd N_4550_The Meritage_Houston_17635</v>
      </c>
      <c r="L6641" s="104" t="s">
        <v>22253</v>
      </c>
      <c r="M6641" s="103" t="str">
        <f t="shared" si="518"/>
        <v>http://oconnordata.com/mlink/modules/profile/index.cfm?action=profile&amp;prop_id=17635</v>
      </c>
      <c r="N6641" s="1">
        <f t="shared" si="519"/>
        <v>17635</v>
      </c>
    </row>
    <row r="6642" spans="1:14" x14ac:dyDescent="0.3">
      <c r="A6642" s="1">
        <v>17636</v>
      </c>
      <c r="B6642" s="7" t="s">
        <v>9963</v>
      </c>
      <c r="C6642" s="12">
        <v>301</v>
      </c>
      <c r="D6642" s="7" t="s">
        <v>9964</v>
      </c>
      <c r="E6642" s="13" t="s">
        <v>842</v>
      </c>
      <c r="F6642" t="str">
        <f t="shared" si="515"/>
        <v>Cevallos</v>
      </c>
      <c r="G6642" t="str">
        <f t="shared" si="516"/>
        <v>Cevallos301San Antonio</v>
      </c>
      <c r="H6642" t="s">
        <v>37498</v>
      </c>
      <c r="I6642" t="s">
        <v>28914</v>
      </c>
      <c r="J6642" t="str">
        <f t="shared" si="517"/>
        <v>E:\PropInv\MF</v>
      </c>
      <c r="K6642" s="103" t="str">
        <f>HYPERLINK("E:\PropInv\MF\San Antonio\Cevallos St E_301_Cevallos Lofts_San Antonio_17636","Cevallos St E_301_Cevallos Lofts_San Antonio_17636" )</f>
        <v>Cevallos St E_301_Cevallos Lofts_San Antonio_17636</v>
      </c>
      <c r="L6642" s="104" t="s">
        <v>22253</v>
      </c>
      <c r="M6642" s="103" t="str">
        <f t="shared" si="518"/>
        <v>http://oconnordata.com/mlink/modules/profile/index.cfm?action=profile&amp;prop_id=17636</v>
      </c>
      <c r="N6642" s="1">
        <f t="shared" si="519"/>
        <v>17636</v>
      </c>
    </row>
    <row r="6643" spans="1:14" x14ac:dyDescent="0.3">
      <c r="A6643" s="1">
        <v>17637</v>
      </c>
      <c r="B6643" s="16" t="s">
        <v>9965</v>
      </c>
      <c r="C6643" s="15">
        <v>321</v>
      </c>
      <c r="D6643" s="16" t="s">
        <v>9966</v>
      </c>
      <c r="E6643" s="17" t="s">
        <v>842</v>
      </c>
      <c r="F6643" t="str">
        <f t="shared" si="515"/>
        <v>Ashley</v>
      </c>
      <c r="G6643" t="str">
        <f t="shared" si="516"/>
        <v>Ashley321San Antonio</v>
      </c>
      <c r="H6643" t="s">
        <v>37499</v>
      </c>
      <c r="I6643" t="s">
        <v>28915</v>
      </c>
      <c r="J6643" t="str">
        <f t="shared" si="517"/>
        <v>E:\PropInv\MF</v>
      </c>
      <c r="K6643" s="103" t="str">
        <f>HYPERLINK("E:\PropInv\MF\San Antonio\Ashley Rd E_321_Las Bougainvilleas (on hold)_San Antonio_17637","Ashley Rd E_321_Las Bougainvilleas (on hold)_San Antonio_17637" )</f>
        <v>Ashley Rd E_321_Las Bougainvilleas (on hold)_San Antonio_17637</v>
      </c>
      <c r="L6643" s="104" t="s">
        <v>22253</v>
      </c>
      <c r="M6643" s="103" t="str">
        <f t="shared" si="518"/>
        <v>http://oconnordata.com/mlink/modules/profile/index.cfm?action=profile&amp;prop_id=17637</v>
      </c>
      <c r="N6643" s="1">
        <f t="shared" si="519"/>
        <v>17637</v>
      </c>
    </row>
    <row r="6644" spans="1:14" x14ac:dyDescent="0.3">
      <c r="A6644" s="1">
        <v>17638</v>
      </c>
      <c r="B6644" s="7" t="s">
        <v>9967</v>
      </c>
      <c r="C6644" s="12">
        <v>1111</v>
      </c>
      <c r="D6644" s="7" t="s">
        <v>6728</v>
      </c>
      <c r="E6644" s="13" t="s">
        <v>5046</v>
      </c>
      <c r="F6644" t="str">
        <f t="shared" si="515"/>
        <v>O'Connor</v>
      </c>
      <c r="G6644" t="str">
        <f t="shared" si="516"/>
        <v>O'Connor1111Irving</v>
      </c>
      <c r="H6644" t="s">
        <v>37500</v>
      </c>
      <c r="I6644" t="s">
        <v>28916</v>
      </c>
      <c r="J6644" t="str">
        <f t="shared" si="517"/>
        <v>E:\PropInv\MF</v>
      </c>
      <c r="K6644" s="103" t="str">
        <f>HYPERLINK("E:\PropInv\MF\Irving\O'Connor Rd N_1111_Huntington Chase_Irving_17638","O'Connor Rd N_1111_Huntington Chase_Irving_17638" )</f>
        <v>O'Connor Rd N_1111_Huntington Chase_Irving_17638</v>
      </c>
      <c r="L6644" s="104" t="s">
        <v>22253</v>
      </c>
      <c r="M6644" s="103" t="str">
        <f t="shared" si="518"/>
        <v>http://oconnordata.com/mlink/modules/profile/index.cfm?action=profile&amp;prop_id=17638</v>
      </c>
      <c r="N6644" s="1">
        <f t="shared" si="519"/>
        <v>17638</v>
      </c>
    </row>
    <row r="6645" spans="1:14" x14ac:dyDescent="0.3">
      <c r="A6645" s="1">
        <v>17639</v>
      </c>
      <c r="B6645" s="7" t="s">
        <v>4097</v>
      </c>
      <c r="C6645" s="12">
        <v>323</v>
      </c>
      <c r="D6645" s="7" t="s">
        <v>9968</v>
      </c>
      <c r="E6645" s="13" t="s">
        <v>9012</v>
      </c>
      <c r="F6645" t="str">
        <f t="shared" si="515"/>
        <v>Chimney</v>
      </c>
      <c r="G6645" t="str">
        <f t="shared" si="516"/>
        <v>Chimney323Tyler</v>
      </c>
      <c r="H6645" t="s">
        <v>37501</v>
      </c>
      <c r="I6645" t="s">
        <v>28917</v>
      </c>
      <c r="J6645" t="str">
        <f t="shared" si="517"/>
        <v>E:\PropInv\MF</v>
      </c>
      <c r="K6645" s="103" t="str">
        <f>HYPERLINK("E:\PropInv\MF\Tyler\Chimney Rock Rd_323_The Arbors on Chimney Rock_Tyler_17639","Chimney Rock Rd_323_The Arbors on Chimney Rock_Tyler_17639" )</f>
        <v>Chimney Rock Rd_323_The Arbors on Chimney Rock_Tyler_17639</v>
      </c>
      <c r="L6645" s="104" t="s">
        <v>22253</v>
      </c>
      <c r="M6645" s="103" t="str">
        <f t="shared" si="518"/>
        <v>http://oconnordata.com/mlink/modules/profile/index.cfm?action=profile&amp;prop_id=17639</v>
      </c>
      <c r="N6645" s="1">
        <f t="shared" si="519"/>
        <v>17639</v>
      </c>
    </row>
    <row r="6646" spans="1:14" x14ac:dyDescent="0.3">
      <c r="A6646" s="1">
        <v>17640</v>
      </c>
      <c r="B6646" s="19" t="s">
        <v>817</v>
      </c>
      <c r="C6646" s="18">
        <v>15905</v>
      </c>
      <c r="D6646" s="19" t="s">
        <v>9969</v>
      </c>
      <c r="E6646" s="20" t="s">
        <v>7</v>
      </c>
      <c r="F6646" t="str">
        <f t="shared" si="515"/>
        <v>1325</v>
      </c>
      <c r="G6646" t="str">
        <f t="shared" si="516"/>
        <v>132515905Austin</v>
      </c>
      <c r="H6646" t="s">
        <v>37502</v>
      </c>
      <c r="I6646" t="s">
        <v>28918</v>
      </c>
      <c r="J6646" t="str">
        <f t="shared" si="517"/>
        <v>E:\PropInv\MF</v>
      </c>
      <c r="K6646" s="103" t="str">
        <f>HYPERLINK("E:\PropInv\MF\Austin\1325 FM_15905_Raceway Crossing Apts_Austin_17640","1325 FM_15905_Raceway Crossing Apts_Austin_17640" )</f>
        <v>1325 FM_15905_Raceway Crossing Apts_Austin_17640</v>
      </c>
      <c r="L6646" s="104" t="s">
        <v>22253</v>
      </c>
      <c r="M6646" s="103" t="str">
        <f t="shared" si="518"/>
        <v>http://oconnordata.com/mlink/modules/profile/index.cfm?action=profile&amp;prop_id=17640</v>
      </c>
      <c r="N6646" s="1">
        <f t="shared" si="519"/>
        <v>17640</v>
      </c>
    </row>
    <row r="6647" spans="1:14" x14ac:dyDescent="0.3">
      <c r="A6647" s="1">
        <v>17643</v>
      </c>
      <c r="B6647" s="7" t="s">
        <v>9970</v>
      </c>
      <c r="C6647" s="12">
        <v>510</v>
      </c>
      <c r="D6647" s="7" t="s">
        <v>5722</v>
      </c>
      <c r="E6647" s="13" t="s">
        <v>6559</v>
      </c>
      <c r="F6647" t="str">
        <f t="shared" si="515"/>
        <v>Indian</v>
      </c>
      <c r="G6647" t="str">
        <f t="shared" si="516"/>
        <v>Indian510Waxahachie</v>
      </c>
      <c r="H6647" t="s">
        <v>37503</v>
      </c>
      <c r="I6647" t="s">
        <v>28919</v>
      </c>
      <c r="J6647" t="str">
        <f t="shared" si="517"/>
        <v>E:\PropInv\MF</v>
      </c>
      <c r="K6647" s="103" t="str">
        <f>HYPERLINK("E:\PropInv\MF\Waxahachie\Indian Dr_510_Indian Creek_Waxahachie_17643","Indian Dr_510_Indian Creek_Waxahachie_17643" )</f>
        <v>Indian Dr_510_Indian Creek_Waxahachie_17643</v>
      </c>
      <c r="L6647" s="104" t="s">
        <v>22253</v>
      </c>
      <c r="M6647" s="103" t="str">
        <f t="shared" si="518"/>
        <v>http://oconnordata.com/mlink/modules/profile/index.cfm?action=profile&amp;prop_id=17643</v>
      </c>
      <c r="N6647" s="1">
        <f t="shared" si="519"/>
        <v>17643</v>
      </c>
    </row>
    <row r="6648" spans="1:14" x14ac:dyDescent="0.3">
      <c r="A6648" s="1">
        <v>17644</v>
      </c>
      <c r="B6648" s="7" t="s">
        <v>9971</v>
      </c>
      <c r="C6648" s="12">
        <v>2200</v>
      </c>
      <c r="D6648" s="7" t="s">
        <v>9972</v>
      </c>
      <c r="E6648" s="13" t="s">
        <v>6559</v>
      </c>
      <c r="F6648" t="str">
        <f t="shared" si="515"/>
        <v>Brown</v>
      </c>
      <c r="G6648" t="str">
        <f t="shared" si="516"/>
        <v>Brown2200Waxahachie</v>
      </c>
      <c r="H6648" t="s">
        <v>37504</v>
      </c>
      <c r="I6648" t="s">
        <v>28920</v>
      </c>
      <c r="J6648" t="str">
        <f t="shared" si="517"/>
        <v>E:\PropInv\MF</v>
      </c>
      <c r="K6648" s="103" t="str">
        <f>HYPERLINK("E:\PropInv\MF\Waxahachie\Brown St_2200_Bridgepoint_Waxahachie_17644","Brown St_2200_Bridgepoint_Waxahachie_17644" )</f>
        <v>Brown St_2200_Bridgepoint_Waxahachie_17644</v>
      </c>
      <c r="L6648" s="104" t="s">
        <v>22253</v>
      </c>
      <c r="M6648" s="103" t="str">
        <f t="shared" si="518"/>
        <v>http://oconnordata.com/mlink/modules/profile/index.cfm?action=profile&amp;prop_id=17644</v>
      </c>
      <c r="N6648" s="1">
        <f t="shared" si="519"/>
        <v>17644</v>
      </c>
    </row>
    <row r="6649" spans="1:14" x14ac:dyDescent="0.3">
      <c r="A6649" s="1">
        <v>17645</v>
      </c>
      <c r="B6649" s="7" t="s">
        <v>9973</v>
      </c>
      <c r="C6649" s="12">
        <v>5415</v>
      </c>
      <c r="D6649" s="7" t="s">
        <v>9974</v>
      </c>
      <c r="E6649" s="13" t="s">
        <v>9012</v>
      </c>
      <c r="F6649" t="str">
        <f t="shared" si="515"/>
        <v>Old</v>
      </c>
      <c r="G6649" t="str">
        <f t="shared" si="516"/>
        <v>Old5415Tyler</v>
      </c>
      <c r="H6649" t="s">
        <v>37505</v>
      </c>
      <c r="I6649" t="s">
        <v>28921</v>
      </c>
      <c r="J6649" t="str">
        <f t="shared" si="517"/>
        <v>E:\PropInv\MF</v>
      </c>
      <c r="K6649" s="103" t="str">
        <f>HYPERLINK("E:\PropInv\MF\Tyler\Old Bullard Rd_5415_The Establishment_Tyler_17645","Old Bullard Rd_5415_The Establishment_Tyler_17645" )</f>
        <v>Old Bullard Rd_5415_The Establishment_Tyler_17645</v>
      </c>
      <c r="L6649" s="104" t="s">
        <v>22253</v>
      </c>
      <c r="M6649" s="103" t="str">
        <f t="shared" si="518"/>
        <v>http://oconnordata.com/mlink/modules/profile/index.cfm?action=profile&amp;prop_id=17645</v>
      </c>
      <c r="N6649" s="1">
        <f t="shared" si="519"/>
        <v>17645</v>
      </c>
    </row>
    <row r="6650" spans="1:14" x14ac:dyDescent="0.3">
      <c r="A6650" s="1">
        <v>17646</v>
      </c>
      <c r="B6650" s="7" t="s">
        <v>9973</v>
      </c>
      <c r="C6650" s="12">
        <v>5105</v>
      </c>
      <c r="D6650" s="7" t="s">
        <v>9975</v>
      </c>
      <c r="E6650" s="13" t="s">
        <v>9012</v>
      </c>
      <c r="F6650" t="str">
        <f t="shared" si="515"/>
        <v>Old</v>
      </c>
      <c r="G6650" t="str">
        <f t="shared" si="516"/>
        <v>Old5105Tyler</v>
      </c>
      <c r="H6650" t="s">
        <v>37506</v>
      </c>
      <c r="I6650" t="s">
        <v>28922</v>
      </c>
      <c r="J6650" t="str">
        <f t="shared" si="517"/>
        <v>E:\PropInv\MF</v>
      </c>
      <c r="K6650" s="103" t="str">
        <f>HYPERLINK("E:\PropInv\MF\Tyler\Old Bullard Rd_5105_Bullard Crossing_Tyler_17646","Old Bullard Rd_5105_Bullard Crossing_Tyler_17646" )</f>
        <v>Old Bullard Rd_5105_Bullard Crossing_Tyler_17646</v>
      </c>
      <c r="L6650" s="104" t="s">
        <v>22253</v>
      </c>
      <c r="M6650" s="103" t="str">
        <f t="shared" si="518"/>
        <v>http://oconnordata.com/mlink/modules/profile/index.cfm?action=profile&amp;prop_id=17646</v>
      </c>
      <c r="N6650" s="1">
        <f t="shared" si="519"/>
        <v>17646</v>
      </c>
    </row>
    <row r="6651" spans="1:14" x14ac:dyDescent="0.3">
      <c r="A6651" s="1">
        <v>17647</v>
      </c>
      <c r="B6651" s="7" t="s">
        <v>9973</v>
      </c>
      <c r="C6651" s="12">
        <v>5621</v>
      </c>
      <c r="D6651" s="7" t="s">
        <v>9976</v>
      </c>
      <c r="E6651" s="13" t="s">
        <v>9012</v>
      </c>
      <c r="F6651" t="str">
        <f t="shared" si="515"/>
        <v>Old</v>
      </c>
      <c r="G6651" t="str">
        <f t="shared" si="516"/>
        <v>Old5621Tyler</v>
      </c>
      <c r="H6651" t="s">
        <v>37507</v>
      </c>
      <c r="I6651" t="s">
        <v>28923</v>
      </c>
      <c r="J6651" t="str">
        <f t="shared" si="517"/>
        <v>E:\PropInv\MF</v>
      </c>
      <c r="K6651" s="103" t="str">
        <f>HYPERLINK("E:\PropInv\MF\Tyler\Old Bullard Rd_5621_Bullard Creek_Tyler_17647","Old Bullard Rd_5621_Bullard Creek_Tyler_17647" )</f>
        <v>Old Bullard Rd_5621_Bullard Creek_Tyler_17647</v>
      </c>
      <c r="L6651" s="104" t="s">
        <v>22253</v>
      </c>
      <c r="M6651" s="103" t="str">
        <f t="shared" si="518"/>
        <v>http://oconnordata.com/mlink/modules/profile/index.cfm?action=profile&amp;prop_id=17647</v>
      </c>
      <c r="N6651" s="1">
        <f t="shared" si="519"/>
        <v>17647</v>
      </c>
    </row>
    <row r="6652" spans="1:14" x14ac:dyDescent="0.3">
      <c r="A6652" s="1">
        <v>17648</v>
      </c>
      <c r="B6652" s="7" t="s">
        <v>9429</v>
      </c>
      <c r="C6652" s="12">
        <v>2400</v>
      </c>
      <c r="D6652" s="7" t="s">
        <v>9977</v>
      </c>
      <c r="E6652" s="13" t="s">
        <v>9012</v>
      </c>
      <c r="F6652" t="str">
        <f t="shared" si="515"/>
        <v>Shiloh</v>
      </c>
      <c r="G6652" t="str">
        <f t="shared" si="516"/>
        <v>Shiloh2400Tyler</v>
      </c>
      <c r="H6652" t="s">
        <v>37508</v>
      </c>
      <c r="I6652" t="s">
        <v>28924</v>
      </c>
      <c r="J6652" t="str">
        <f t="shared" si="517"/>
        <v>E:\PropInv\MF</v>
      </c>
      <c r="K6652" s="103" t="str">
        <f>HYPERLINK("E:\PropInv\MF\Tyler\Shiloh Rd_2400_Hidden Springs Apts_Tyler_17648","Shiloh Rd_2400_Hidden Springs Apts_Tyler_17648" )</f>
        <v>Shiloh Rd_2400_Hidden Springs Apts_Tyler_17648</v>
      </c>
      <c r="L6652" s="104" t="s">
        <v>22253</v>
      </c>
      <c r="M6652" s="103" t="str">
        <f t="shared" si="518"/>
        <v>http://oconnordata.com/mlink/modules/profile/index.cfm?action=profile&amp;prop_id=17648</v>
      </c>
      <c r="N6652" s="1">
        <f t="shared" si="519"/>
        <v>17648</v>
      </c>
    </row>
    <row r="6653" spans="1:14" x14ac:dyDescent="0.3">
      <c r="A6653" s="1">
        <v>17649</v>
      </c>
      <c r="B6653" s="7" t="s">
        <v>9978</v>
      </c>
      <c r="C6653" s="12">
        <v>2713</v>
      </c>
      <c r="D6653" s="7" t="s">
        <v>9979</v>
      </c>
      <c r="E6653" s="13" t="s">
        <v>9012</v>
      </c>
      <c r="F6653" t="str">
        <f t="shared" si="515"/>
        <v>Broadway</v>
      </c>
      <c r="G6653" t="str">
        <f t="shared" si="516"/>
        <v>Broadway2713Tyler</v>
      </c>
      <c r="H6653" t="s">
        <v>37509</v>
      </c>
      <c r="I6653" t="s">
        <v>28925</v>
      </c>
      <c r="J6653" t="str">
        <f t="shared" si="517"/>
        <v>E:\PropInv\MF</v>
      </c>
      <c r="K6653" s="103" t="str">
        <f>HYPERLINK("E:\PropInv\MF\Tyler\Broadway Ave S_2713_Plantation Pines_Tyler_17649","Broadway Ave S_2713_Plantation Pines_Tyler_17649" )</f>
        <v>Broadway Ave S_2713_Plantation Pines_Tyler_17649</v>
      </c>
      <c r="L6653" s="104" t="s">
        <v>22253</v>
      </c>
      <c r="M6653" s="103" t="str">
        <f t="shared" si="518"/>
        <v>http://oconnordata.com/mlink/modules/profile/index.cfm?action=profile&amp;prop_id=17649</v>
      </c>
      <c r="N6653" s="1">
        <f t="shared" si="519"/>
        <v>17649</v>
      </c>
    </row>
    <row r="6654" spans="1:14" x14ac:dyDescent="0.3">
      <c r="A6654" s="1">
        <v>17650</v>
      </c>
      <c r="B6654" s="7" t="s">
        <v>9980</v>
      </c>
      <c r="C6654" s="12">
        <v>2202</v>
      </c>
      <c r="D6654" s="7" t="s">
        <v>9981</v>
      </c>
      <c r="E6654" s="13" t="s">
        <v>9012</v>
      </c>
      <c r="F6654" t="str">
        <f t="shared" si="515"/>
        <v>323</v>
      </c>
      <c r="G6654" t="str">
        <f t="shared" si="516"/>
        <v>3232202Tyler</v>
      </c>
      <c r="H6654" t="s">
        <v>37510</v>
      </c>
      <c r="I6654" t="s">
        <v>28926</v>
      </c>
      <c r="J6654" t="str">
        <f t="shared" si="517"/>
        <v>E:\PropInv\MF</v>
      </c>
      <c r="K6654" s="103" t="str">
        <f>HYPERLINK("E:\PropInv\MF\Tyler\323 N Loop W_2202_Town Parc at Tyler_Tyler_17650","323 N Loop W_2202_Town Parc at Tyler_Tyler_17650" )</f>
        <v>323 N Loop W_2202_Town Parc at Tyler_Tyler_17650</v>
      </c>
      <c r="L6654" s="104" t="s">
        <v>22253</v>
      </c>
      <c r="M6654" s="103" t="str">
        <f t="shared" si="518"/>
        <v>http://oconnordata.com/mlink/modules/profile/index.cfm?action=profile&amp;prop_id=17650</v>
      </c>
      <c r="N6654" s="1">
        <f t="shared" si="519"/>
        <v>17650</v>
      </c>
    </row>
    <row r="6655" spans="1:14" x14ac:dyDescent="0.3">
      <c r="A6655" s="1">
        <v>17651</v>
      </c>
      <c r="B6655" s="7" t="s">
        <v>9982</v>
      </c>
      <c r="C6655" s="12">
        <v>5207</v>
      </c>
      <c r="D6655" s="7" t="s">
        <v>9983</v>
      </c>
      <c r="E6655" s="13" t="s">
        <v>9012</v>
      </c>
      <c r="F6655" t="str">
        <f t="shared" si="515"/>
        <v>Holly</v>
      </c>
      <c r="G6655" t="str">
        <f t="shared" si="516"/>
        <v>Holly5207Tyler</v>
      </c>
      <c r="H6655" t="s">
        <v>37511</v>
      </c>
      <c r="I6655" t="s">
        <v>28927</v>
      </c>
      <c r="J6655" t="str">
        <f t="shared" si="517"/>
        <v>E:\PropInv\MF</v>
      </c>
      <c r="K6655" s="103" t="str">
        <f>HYPERLINK("E:\PropInv\MF\Tyler\Holly Tree Dr_5207_Autum Glen_Tyler_17651","Holly Tree Dr_5207_Autum Glen_Tyler_17651" )</f>
        <v>Holly Tree Dr_5207_Autum Glen_Tyler_17651</v>
      </c>
      <c r="L6655" s="104" t="s">
        <v>22253</v>
      </c>
      <c r="M6655" s="103" t="str">
        <f t="shared" si="518"/>
        <v>http://oconnordata.com/mlink/modules/profile/index.cfm?action=profile&amp;prop_id=17651</v>
      </c>
      <c r="N6655" s="1">
        <f t="shared" si="519"/>
        <v>17651</v>
      </c>
    </row>
    <row r="6656" spans="1:14" x14ac:dyDescent="0.3">
      <c r="A6656" s="1">
        <v>17652</v>
      </c>
      <c r="B6656" s="7" t="s">
        <v>9429</v>
      </c>
      <c r="C6656" s="12">
        <v>701</v>
      </c>
      <c r="D6656" s="7" t="s">
        <v>9984</v>
      </c>
      <c r="E6656" s="13" t="s">
        <v>9012</v>
      </c>
      <c r="F6656" t="str">
        <f t="shared" si="515"/>
        <v>Shiloh</v>
      </c>
      <c r="G6656" t="str">
        <f t="shared" si="516"/>
        <v>Shiloh701Tyler</v>
      </c>
      <c r="H6656" t="s">
        <v>37512</v>
      </c>
      <c r="I6656" t="s">
        <v>28928</v>
      </c>
      <c r="J6656" t="str">
        <f t="shared" si="517"/>
        <v>E:\PropInv\MF</v>
      </c>
      <c r="K6656" s="103" t="str">
        <f>HYPERLINK("E:\PropInv\MF\Tyler\Shiloh Rd_701_The Hudson_Tyler_17652","Shiloh Rd_701_The Hudson_Tyler_17652" )</f>
        <v>Shiloh Rd_701_The Hudson_Tyler_17652</v>
      </c>
      <c r="L6656" s="104" t="s">
        <v>22253</v>
      </c>
      <c r="M6656" s="103" t="str">
        <f t="shared" si="518"/>
        <v>http://oconnordata.com/mlink/modules/profile/index.cfm?action=profile&amp;prop_id=17652</v>
      </c>
      <c r="N6656" s="1">
        <f t="shared" si="519"/>
        <v>17652</v>
      </c>
    </row>
    <row r="6657" spans="1:14" x14ac:dyDescent="0.3">
      <c r="A6657" s="1">
        <v>17653</v>
      </c>
      <c r="B6657" s="7" t="s">
        <v>9985</v>
      </c>
      <c r="C6657" s="12">
        <v>1600</v>
      </c>
      <c r="D6657" s="7" t="s">
        <v>9986</v>
      </c>
      <c r="E6657" s="13" t="s">
        <v>9012</v>
      </c>
      <c r="F6657" t="str">
        <f t="shared" si="515"/>
        <v>Rice</v>
      </c>
      <c r="G6657" t="str">
        <f t="shared" si="516"/>
        <v>Rice1600Tyler</v>
      </c>
      <c r="H6657" t="s">
        <v>37513</v>
      </c>
      <c r="I6657" t="s">
        <v>28929</v>
      </c>
      <c r="J6657" t="str">
        <f t="shared" si="517"/>
        <v>E:\PropInv\MF</v>
      </c>
      <c r="K6657" s="103" t="str">
        <f>HYPERLINK("E:\PropInv\MF\Tyler\Rice Rd_1600_Dovetree_Tyler_17653","Rice Rd_1600_Dovetree_Tyler_17653" )</f>
        <v>Rice Rd_1600_Dovetree_Tyler_17653</v>
      </c>
      <c r="L6657" s="104" t="s">
        <v>22253</v>
      </c>
      <c r="M6657" s="103" t="str">
        <f t="shared" si="518"/>
        <v>http://oconnordata.com/mlink/modules/profile/index.cfm?action=profile&amp;prop_id=17653</v>
      </c>
      <c r="N6657" s="1">
        <f t="shared" si="519"/>
        <v>17653</v>
      </c>
    </row>
    <row r="6658" spans="1:14" x14ac:dyDescent="0.3">
      <c r="A6658" s="1">
        <v>17654</v>
      </c>
      <c r="B6658" s="7" t="s">
        <v>2981</v>
      </c>
      <c r="C6658" s="12">
        <v>323</v>
      </c>
      <c r="D6658" s="7" t="s">
        <v>9987</v>
      </c>
      <c r="E6658" s="13" t="s">
        <v>9012</v>
      </c>
      <c r="F6658" t="str">
        <f t="shared" ref="F6658:F6721" si="520">IFERROR(LEFT(B6658,FIND(" ",B6658)-1),B6658)</f>
        <v>Chimney</v>
      </c>
      <c r="G6658" t="str">
        <f t="shared" ref="G6658:G6721" si="521">F6658&amp;C6658&amp;E6658</f>
        <v>Chimney323Tyler</v>
      </c>
      <c r="H6658" t="s">
        <v>37514</v>
      </c>
      <c r="I6658" t="s">
        <v>28930</v>
      </c>
      <c r="J6658" t="str">
        <f t="shared" ref="J6658:J6721" si="522">IF(L6658="TX",Folder_Path,Folder_Path&amp;"\State_"&amp;L6658)</f>
        <v>E:\PropInv\MF</v>
      </c>
      <c r="K6658" s="103" t="str">
        <f>HYPERLINK("E:\PropInv\MF\Tyler\Chimney Rock_323_Cambridge Oaks Duplexes_Tyler_17654","Chimney Rock_323_Cambridge Oaks Duplexes_Tyler_17654" )</f>
        <v>Chimney Rock_323_Cambridge Oaks Duplexes_Tyler_17654</v>
      </c>
      <c r="L6658" s="104" t="s">
        <v>22253</v>
      </c>
      <c r="M6658" s="103" t="str">
        <f t="shared" ref="M6658:M6721" si="523">HYPERLINK("http://oconnordata.com/mlink/modules/profile/index.cfm?action=profile&amp;prop_id="&amp;A6658)</f>
        <v>http://oconnordata.com/mlink/modules/profile/index.cfm?action=profile&amp;prop_id=17654</v>
      </c>
      <c r="N6658" s="1">
        <f t="shared" ref="N6658:N6721" si="524">IF(LEN(A6658)=1,"0000"&amp;A6658,IF(LEN(A6658)=2,"000"&amp;A6658,IF(LEN(A6658)=3,"00"&amp;A6658,IF(LEN(A6658)=4,"0"&amp;A6658,IF(LEN(A6658)=5,IF(LEFT(A6658,1)="3",A6658+30000,A6658))))))</f>
        <v>17654</v>
      </c>
    </row>
    <row r="6659" spans="1:14" x14ac:dyDescent="0.3">
      <c r="A6659" s="1">
        <v>17655</v>
      </c>
      <c r="B6659" s="7" t="s">
        <v>9010</v>
      </c>
      <c r="C6659" s="12">
        <v>4901</v>
      </c>
      <c r="D6659" s="7" t="s">
        <v>2247</v>
      </c>
      <c r="E6659" s="13" t="s">
        <v>9012</v>
      </c>
      <c r="F6659" t="str">
        <f t="shared" si="520"/>
        <v>Kinsey</v>
      </c>
      <c r="G6659" t="str">
        <f t="shared" si="521"/>
        <v>Kinsey4901Tyler</v>
      </c>
      <c r="H6659" t="s">
        <v>37515</v>
      </c>
      <c r="I6659" t="s">
        <v>28931</v>
      </c>
      <c r="J6659" t="str">
        <f t="shared" si="522"/>
        <v>E:\PropInv\MF</v>
      </c>
      <c r="K6659" s="103" t="str">
        <f>HYPERLINK("E:\PropInv\MF\Tyler\Kinsey Dr_4901_Quail Creek_Tyler_17655","Kinsey Dr_4901_Quail Creek_Tyler_17655" )</f>
        <v>Kinsey Dr_4901_Quail Creek_Tyler_17655</v>
      </c>
      <c r="L6659" s="104" t="s">
        <v>22253</v>
      </c>
      <c r="M6659" s="103" t="str">
        <f t="shared" si="523"/>
        <v>http://oconnordata.com/mlink/modules/profile/index.cfm?action=profile&amp;prop_id=17655</v>
      </c>
      <c r="N6659" s="1">
        <f t="shared" si="524"/>
        <v>17655</v>
      </c>
    </row>
    <row r="6660" spans="1:14" x14ac:dyDescent="0.3">
      <c r="A6660" s="1">
        <v>17656</v>
      </c>
      <c r="B6660" s="7" t="s">
        <v>9988</v>
      </c>
      <c r="C6660" s="12">
        <v>1505</v>
      </c>
      <c r="D6660" s="7" t="s">
        <v>9989</v>
      </c>
      <c r="E6660" s="13" t="s">
        <v>9012</v>
      </c>
      <c r="F6660" t="str">
        <f t="shared" si="520"/>
        <v>Grande</v>
      </c>
      <c r="G6660" t="str">
        <f t="shared" si="521"/>
        <v>Grande1505Tyler</v>
      </c>
      <c r="H6660" t="s">
        <v>37516</v>
      </c>
      <c r="I6660" t="s">
        <v>28932</v>
      </c>
      <c r="J6660" t="str">
        <f t="shared" si="522"/>
        <v>E:\PropInv\MF</v>
      </c>
      <c r="K6660" s="103" t="str">
        <f>HYPERLINK("E:\PropInv\MF\Tyler\Grande Blvd_1505_Grande Hill Estates_Tyler_17656","Grande Blvd_1505_Grande Hill Estates_Tyler_17656" )</f>
        <v>Grande Blvd_1505_Grande Hill Estates_Tyler_17656</v>
      </c>
      <c r="L6660" s="104" t="s">
        <v>22253</v>
      </c>
      <c r="M6660" s="103" t="str">
        <f t="shared" si="523"/>
        <v>http://oconnordata.com/mlink/modules/profile/index.cfm?action=profile&amp;prop_id=17656</v>
      </c>
      <c r="N6660" s="1">
        <f t="shared" si="524"/>
        <v>17656</v>
      </c>
    </row>
    <row r="6661" spans="1:14" x14ac:dyDescent="0.3">
      <c r="A6661" s="1">
        <v>17657</v>
      </c>
      <c r="B6661" s="7" t="s">
        <v>9990</v>
      </c>
      <c r="C6661" s="12">
        <v>4920</v>
      </c>
      <c r="D6661" s="7" t="s">
        <v>9991</v>
      </c>
      <c r="E6661" s="13" t="s">
        <v>9012</v>
      </c>
      <c r="F6661" t="str">
        <f t="shared" si="520"/>
        <v>Thistle</v>
      </c>
      <c r="G6661" t="str">
        <f t="shared" si="521"/>
        <v>Thistle4920Tyler</v>
      </c>
      <c r="H6661" t="s">
        <v>37517</v>
      </c>
      <c r="I6661" t="s">
        <v>28933</v>
      </c>
      <c r="J6661" t="str">
        <f t="shared" si="522"/>
        <v>E:\PropInv\MF</v>
      </c>
      <c r="K6661" s="103" t="str">
        <f>HYPERLINK("E:\PropInv\MF\Tyler\Thistle Dr_4920_Chelsea Creek Apts_Tyler_17657","Thistle Dr_4920_Chelsea Creek Apts_Tyler_17657" )</f>
        <v>Thistle Dr_4920_Chelsea Creek Apts_Tyler_17657</v>
      </c>
      <c r="L6661" s="104" t="s">
        <v>22253</v>
      </c>
      <c r="M6661" s="103" t="str">
        <f t="shared" si="523"/>
        <v>http://oconnordata.com/mlink/modules/profile/index.cfm?action=profile&amp;prop_id=17657</v>
      </c>
      <c r="N6661" s="1">
        <f t="shared" si="524"/>
        <v>17657</v>
      </c>
    </row>
    <row r="6662" spans="1:14" x14ac:dyDescent="0.3">
      <c r="A6662" s="1">
        <v>17658</v>
      </c>
      <c r="B6662" s="7" t="s">
        <v>9992</v>
      </c>
      <c r="C6662" s="12">
        <v>3110</v>
      </c>
      <c r="D6662" s="7" t="s">
        <v>9993</v>
      </c>
      <c r="E6662" s="13" t="s">
        <v>9012</v>
      </c>
      <c r="F6662" t="str">
        <f t="shared" si="520"/>
        <v>Towne</v>
      </c>
      <c r="G6662" t="str">
        <f t="shared" si="521"/>
        <v>Towne3110Tyler</v>
      </c>
      <c r="H6662" t="s">
        <v>37518</v>
      </c>
      <c r="I6662" t="s">
        <v>28934</v>
      </c>
      <c r="J6662" t="str">
        <f t="shared" si="522"/>
        <v>E:\PropInv\MF</v>
      </c>
      <c r="K6662" s="103" t="str">
        <f>HYPERLINK("E:\PropInv\MF\Tyler\Towne Park Dr_3110_Villas of Pine Ridge_Tyler_17658","Towne Park Dr_3110_Villas of Pine Ridge_Tyler_17658" )</f>
        <v>Towne Park Dr_3110_Villas of Pine Ridge_Tyler_17658</v>
      </c>
      <c r="L6662" s="104" t="s">
        <v>22253</v>
      </c>
      <c r="M6662" s="103" t="str">
        <f t="shared" si="523"/>
        <v>http://oconnordata.com/mlink/modules/profile/index.cfm?action=profile&amp;prop_id=17658</v>
      </c>
      <c r="N6662" s="1">
        <f t="shared" si="524"/>
        <v>17658</v>
      </c>
    </row>
    <row r="6663" spans="1:14" x14ac:dyDescent="0.3">
      <c r="A6663" s="1">
        <v>17659</v>
      </c>
      <c r="B6663" s="7" t="s">
        <v>9994</v>
      </c>
      <c r="C6663" s="12">
        <v>4055</v>
      </c>
      <c r="D6663" s="7" t="s">
        <v>9995</v>
      </c>
      <c r="E6663" s="13" t="s">
        <v>9012</v>
      </c>
      <c r="F6663" t="str">
        <f t="shared" si="520"/>
        <v>Hogan</v>
      </c>
      <c r="G6663" t="str">
        <f t="shared" si="521"/>
        <v>Hogan4055Tyler</v>
      </c>
      <c r="H6663" t="s">
        <v>37519</v>
      </c>
      <c r="I6663" t="s">
        <v>28935</v>
      </c>
      <c r="J6663" t="str">
        <f t="shared" si="522"/>
        <v>E:\PropInv\MF</v>
      </c>
      <c r="K6663" s="103" t="str">
        <f>HYPERLINK("E:\PropInv\MF\Tyler\Hogan Dr_4055_The Mansions at the Cascades_Tyler_17659","Hogan Dr_4055_The Mansions at the Cascades_Tyler_17659" )</f>
        <v>Hogan Dr_4055_The Mansions at the Cascades_Tyler_17659</v>
      </c>
      <c r="L6663" s="104" t="s">
        <v>22253</v>
      </c>
      <c r="M6663" s="103" t="str">
        <f t="shared" si="523"/>
        <v>http://oconnordata.com/mlink/modules/profile/index.cfm?action=profile&amp;prop_id=17659</v>
      </c>
      <c r="N6663" s="1">
        <f t="shared" si="524"/>
        <v>17659</v>
      </c>
    </row>
    <row r="6664" spans="1:14" x14ac:dyDescent="0.3">
      <c r="A6664" s="1">
        <v>17660</v>
      </c>
      <c r="B6664" s="7" t="s">
        <v>2981</v>
      </c>
      <c r="C6664" s="12">
        <v>322</v>
      </c>
      <c r="D6664" s="7" t="s">
        <v>2980</v>
      </c>
      <c r="E6664" s="13" t="s">
        <v>9012</v>
      </c>
      <c r="F6664" t="str">
        <f t="shared" si="520"/>
        <v>Chimney</v>
      </c>
      <c r="G6664" t="str">
        <f t="shared" si="521"/>
        <v>Chimney322Tyler</v>
      </c>
      <c r="H6664" t="s">
        <v>37520</v>
      </c>
      <c r="I6664" t="s">
        <v>28936</v>
      </c>
      <c r="J6664" t="str">
        <f t="shared" si="522"/>
        <v>E:\PropInv\MF</v>
      </c>
      <c r="K6664" s="103" t="str">
        <f>HYPERLINK("E:\PropInv\MF\Tyler\Chimney Rock_322_Tanglewood Place_Tyler_17660","Chimney Rock_322_Tanglewood Place_Tyler_17660" )</f>
        <v>Chimney Rock_322_Tanglewood Place_Tyler_17660</v>
      </c>
      <c r="L6664" s="104" t="s">
        <v>22253</v>
      </c>
      <c r="M6664" s="103" t="str">
        <f t="shared" si="523"/>
        <v>http://oconnordata.com/mlink/modules/profile/index.cfm?action=profile&amp;prop_id=17660</v>
      </c>
      <c r="N6664" s="1">
        <f t="shared" si="524"/>
        <v>17660</v>
      </c>
    </row>
    <row r="6665" spans="1:14" x14ac:dyDescent="0.3">
      <c r="A6665" s="1">
        <v>17661</v>
      </c>
      <c r="B6665" s="10" t="s">
        <v>9996</v>
      </c>
      <c r="C6665" s="9">
        <v>5100</v>
      </c>
      <c r="D6665" s="10" t="s">
        <v>9997</v>
      </c>
      <c r="E6665" s="11" t="s">
        <v>9012</v>
      </c>
      <c r="F6665" t="str">
        <f t="shared" si="520"/>
        <v>Sweetbriar</v>
      </c>
      <c r="G6665" t="str">
        <f t="shared" si="521"/>
        <v>Sweetbriar5100Tyler</v>
      </c>
      <c r="H6665" t="s">
        <v>37521</v>
      </c>
      <c r="I6665" t="s">
        <v>28937</v>
      </c>
      <c r="J6665" t="str">
        <f t="shared" si="522"/>
        <v>E:\PropInv\MF</v>
      </c>
      <c r="K6665" s="103" t="str">
        <f>HYPERLINK("E:\PropInv\MF\Tyler\Sweetbriar Ln_5100_Hunter's Glen_Tyler_17661","Sweetbriar Ln_5100_Hunter's Glen_Tyler_17661" )</f>
        <v>Sweetbriar Ln_5100_Hunter's Glen_Tyler_17661</v>
      </c>
      <c r="L6665" s="104" t="s">
        <v>22253</v>
      </c>
      <c r="M6665" s="103" t="str">
        <f t="shared" si="523"/>
        <v>http://oconnordata.com/mlink/modules/profile/index.cfm?action=profile&amp;prop_id=17661</v>
      </c>
      <c r="N6665" s="1">
        <f t="shared" si="524"/>
        <v>17661</v>
      </c>
    </row>
    <row r="6666" spans="1:14" x14ac:dyDescent="0.3">
      <c r="A6666" s="97">
        <v>17662</v>
      </c>
      <c r="B6666" s="10" t="s">
        <v>9429</v>
      </c>
      <c r="C6666" s="9">
        <v>1909</v>
      </c>
      <c r="D6666" s="10" t="s">
        <v>9998</v>
      </c>
      <c r="E6666" s="11" t="s">
        <v>9012</v>
      </c>
      <c r="F6666" t="str">
        <f t="shared" si="520"/>
        <v>Shiloh</v>
      </c>
      <c r="G6666" t="str">
        <f t="shared" si="521"/>
        <v>Shiloh1909Tyler</v>
      </c>
      <c r="H6666" t="s">
        <v>37522</v>
      </c>
      <c r="I6666" t="s">
        <v>28938</v>
      </c>
      <c r="J6666" t="str">
        <f t="shared" si="522"/>
        <v>E:\PropInv\MF</v>
      </c>
      <c r="K6666" s="103" t="str">
        <f>HYPERLINK("E:\PropInv\MF\Tyler\Shiloh Rd_1909_Wood Trail Apts_Tyler_17662","Shiloh Rd_1909_Wood Trail Apts_Tyler_17662" )</f>
        <v>Shiloh Rd_1909_Wood Trail Apts_Tyler_17662</v>
      </c>
      <c r="L6666" s="104" t="s">
        <v>22253</v>
      </c>
      <c r="M6666" s="103" t="str">
        <f t="shared" si="523"/>
        <v>http://oconnordata.com/mlink/modules/profile/index.cfm?action=profile&amp;prop_id=17662</v>
      </c>
      <c r="N6666" s="1">
        <f t="shared" si="524"/>
        <v>17662</v>
      </c>
    </row>
    <row r="6667" spans="1:14" x14ac:dyDescent="0.3">
      <c r="A6667" s="1">
        <v>17663</v>
      </c>
      <c r="B6667" s="7" t="s">
        <v>9999</v>
      </c>
      <c r="C6667" s="12">
        <v>1909</v>
      </c>
      <c r="D6667" s="7" t="s">
        <v>10000</v>
      </c>
      <c r="E6667" s="13" t="s">
        <v>9012</v>
      </c>
      <c r="F6667" t="str">
        <f t="shared" si="520"/>
        <v>Sybil</v>
      </c>
      <c r="G6667" t="str">
        <f t="shared" si="521"/>
        <v>Sybil1909Tyler</v>
      </c>
      <c r="H6667" t="s">
        <v>37523</v>
      </c>
      <c r="I6667" t="s">
        <v>28939</v>
      </c>
      <c r="J6667" t="str">
        <f t="shared" si="522"/>
        <v>E:\PropInv\MF</v>
      </c>
      <c r="K6667" s="103" t="str">
        <f>HYPERLINK("E:\PropInv\MF\Tyler\Sybil Ln_1909_Royal Crest_Tyler_17663","Sybil Ln_1909_Royal Crest_Tyler_17663" )</f>
        <v>Sybil Ln_1909_Royal Crest_Tyler_17663</v>
      </c>
      <c r="L6667" s="104" t="s">
        <v>22253</v>
      </c>
      <c r="M6667" s="103" t="str">
        <f t="shared" si="523"/>
        <v>http://oconnordata.com/mlink/modules/profile/index.cfm?action=profile&amp;prop_id=17663</v>
      </c>
      <c r="N6667" s="1">
        <f t="shared" si="524"/>
        <v>17663</v>
      </c>
    </row>
    <row r="6668" spans="1:14" x14ac:dyDescent="0.3">
      <c r="A6668" s="1">
        <v>17664</v>
      </c>
      <c r="B6668" s="7" t="s">
        <v>9364</v>
      </c>
      <c r="C6668" s="12">
        <v>5015</v>
      </c>
      <c r="D6668" s="7" t="s">
        <v>10001</v>
      </c>
      <c r="E6668" s="13" t="s">
        <v>1657</v>
      </c>
      <c r="F6668" t="str">
        <f t="shared" si="520"/>
        <v>Aldine</v>
      </c>
      <c r="G6668" t="str">
        <f t="shared" si="521"/>
        <v>Aldine5015Houston</v>
      </c>
      <c r="H6668" t="s">
        <v>37524</v>
      </c>
      <c r="I6668" t="s">
        <v>28940</v>
      </c>
      <c r="J6668" t="str">
        <f t="shared" si="522"/>
        <v>E:\PropInv\MF</v>
      </c>
      <c r="K6668" s="103" t="str">
        <f>HYPERLINK("E:\PropInv\MF\Houston\Aldine Bender Rd_5015_Costa Rialto_Houston_17664","Aldine Bender Rd_5015_Costa Rialto_Houston_17664" )</f>
        <v>Aldine Bender Rd_5015_Costa Rialto_Houston_17664</v>
      </c>
      <c r="L6668" s="104" t="s">
        <v>22253</v>
      </c>
      <c r="M6668" s="103" t="str">
        <f t="shared" si="523"/>
        <v>http://oconnordata.com/mlink/modules/profile/index.cfm?action=profile&amp;prop_id=17664</v>
      </c>
      <c r="N6668" s="1">
        <f t="shared" si="524"/>
        <v>17664</v>
      </c>
    </row>
    <row r="6669" spans="1:14" x14ac:dyDescent="0.3">
      <c r="A6669" s="1">
        <v>17665</v>
      </c>
      <c r="B6669" s="7" t="s">
        <v>9429</v>
      </c>
      <c r="C6669" s="12">
        <v>2911</v>
      </c>
      <c r="D6669" s="7" t="s">
        <v>10002</v>
      </c>
      <c r="E6669" s="13" t="s">
        <v>9012</v>
      </c>
      <c r="F6669" t="str">
        <f t="shared" si="520"/>
        <v>Shiloh</v>
      </c>
      <c r="G6669" t="str">
        <f t="shared" si="521"/>
        <v>Shiloh2911Tyler</v>
      </c>
      <c r="H6669" t="s">
        <v>37525</v>
      </c>
      <c r="I6669" t="s">
        <v>28941</v>
      </c>
      <c r="J6669" t="str">
        <f t="shared" si="522"/>
        <v>E:\PropInv\MF</v>
      </c>
      <c r="K6669" s="103" t="str">
        <f>HYPERLINK("E:\PropInv\MF\Tyler\Shiloh Rd_2911_Park At Shiloh Apts_Tyler_17665","Shiloh Rd_2911_Park At Shiloh Apts_Tyler_17665" )</f>
        <v>Shiloh Rd_2911_Park At Shiloh Apts_Tyler_17665</v>
      </c>
      <c r="L6669" s="104" t="s">
        <v>22253</v>
      </c>
      <c r="M6669" s="103" t="str">
        <f t="shared" si="523"/>
        <v>http://oconnordata.com/mlink/modules/profile/index.cfm?action=profile&amp;prop_id=17665</v>
      </c>
      <c r="N6669" s="1">
        <f t="shared" si="524"/>
        <v>17665</v>
      </c>
    </row>
    <row r="6670" spans="1:14" x14ac:dyDescent="0.3">
      <c r="A6670" s="1">
        <v>17666</v>
      </c>
      <c r="B6670" s="7" t="s">
        <v>10003</v>
      </c>
      <c r="C6670" s="12">
        <v>15750</v>
      </c>
      <c r="D6670" s="7" t="s">
        <v>10004</v>
      </c>
      <c r="E6670" s="13" t="s">
        <v>5005</v>
      </c>
      <c r="F6670" t="str">
        <f t="shared" si="520"/>
        <v>Spectrum</v>
      </c>
      <c r="G6670" t="str">
        <f t="shared" si="521"/>
        <v>Spectrum15750Addison</v>
      </c>
      <c r="H6670" t="s">
        <v>37526</v>
      </c>
      <c r="I6670" t="s">
        <v>28942</v>
      </c>
      <c r="J6670" t="str">
        <f t="shared" si="522"/>
        <v>E:\PropInv\MF</v>
      </c>
      <c r="K6670" s="103" t="str">
        <f>HYPERLINK("E:\PropInv\MF\Addison\Spectrum Dr_15750_Allegro Addison Circle_Addison_17666","Spectrum Dr_15750_Allegro Addison Circle_Addison_17666" )</f>
        <v>Spectrum Dr_15750_Allegro Addison Circle_Addison_17666</v>
      </c>
      <c r="L6670" s="104" t="s">
        <v>22253</v>
      </c>
      <c r="M6670" s="103" t="str">
        <f t="shared" si="523"/>
        <v>http://oconnordata.com/mlink/modules/profile/index.cfm?action=profile&amp;prop_id=17666</v>
      </c>
      <c r="N6670" s="1">
        <f t="shared" si="524"/>
        <v>17666</v>
      </c>
    </row>
    <row r="6671" spans="1:14" x14ac:dyDescent="0.3">
      <c r="A6671" s="1">
        <v>17668</v>
      </c>
      <c r="B6671" s="7" t="s">
        <v>10005</v>
      </c>
      <c r="C6671" s="12">
        <v>3030</v>
      </c>
      <c r="D6671" s="7" t="s">
        <v>10006</v>
      </c>
      <c r="E6671" s="13" t="s">
        <v>5076</v>
      </c>
      <c r="F6671" t="str">
        <f t="shared" si="520"/>
        <v>Claremont</v>
      </c>
      <c r="G6671" t="str">
        <f t="shared" si="521"/>
        <v>Claremont3030Grand Prairie</v>
      </c>
      <c r="H6671" t="s">
        <v>37527</v>
      </c>
      <c r="I6671" t="s">
        <v>28943</v>
      </c>
      <c r="J6671" t="str">
        <f t="shared" si="522"/>
        <v>E:\PropInv\MF</v>
      </c>
      <c r="K6671" s="103" t="str">
        <f>HYPERLINK("E:\PropInv\MF\Grand Prairie\Claremont Dr_3030_Arioso Apts &amp; Toccata Casitas_Grand Prairie_17668","Claremont Dr_3030_Arioso Apts &amp; Toccata Casitas_Grand Prairie_17668" )</f>
        <v>Claremont Dr_3030_Arioso Apts &amp; Toccata Casitas_Grand Prairie_17668</v>
      </c>
      <c r="L6671" s="104" t="s">
        <v>22253</v>
      </c>
      <c r="M6671" s="103" t="str">
        <f t="shared" si="523"/>
        <v>http://oconnordata.com/mlink/modules/profile/index.cfm?action=profile&amp;prop_id=17668</v>
      </c>
      <c r="N6671" s="1">
        <f t="shared" si="524"/>
        <v>17668</v>
      </c>
    </row>
    <row r="6672" spans="1:14" x14ac:dyDescent="0.3">
      <c r="A6672" s="1">
        <v>17670</v>
      </c>
      <c r="B6672" s="7" t="s">
        <v>10007</v>
      </c>
      <c r="C6672" s="12">
        <v>3400</v>
      </c>
      <c r="D6672" s="7" t="s">
        <v>10008</v>
      </c>
      <c r="E6672" s="13" t="s">
        <v>9012</v>
      </c>
      <c r="F6672" t="str">
        <f t="shared" si="520"/>
        <v>Varsity</v>
      </c>
      <c r="G6672" t="str">
        <f t="shared" si="521"/>
        <v>Varsity3400Tyler</v>
      </c>
      <c r="H6672" t="s">
        <v>37528</v>
      </c>
      <c r="I6672" t="s">
        <v>28944</v>
      </c>
      <c r="J6672" t="str">
        <f t="shared" si="522"/>
        <v>E:\PropInv\MF</v>
      </c>
      <c r="K6672" s="103" t="str">
        <f>HYPERLINK("E:\PropInv\MF\Tyler\Varsity Dr_3400_Varsity Place_Tyler_17670","Varsity Dr_3400_Varsity Place_Tyler_17670" )</f>
        <v>Varsity Dr_3400_Varsity Place_Tyler_17670</v>
      </c>
      <c r="L6672" s="104" t="s">
        <v>22253</v>
      </c>
      <c r="M6672" s="103" t="str">
        <f t="shared" si="523"/>
        <v>http://oconnordata.com/mlink/modules/profile/index.cfm?action=profile&amp;prop_id=17670</v>
      </c>
      <c r="N6672" s="1">
        <f t="shared" si="524"/>
        <v>17670</v>
      </c>
    </row>
    <row r="6673" spans="1:14" x14ac:dyDescent="0.3">
      <c r="A6673" s="1">
        <v>17671</v>
      </c>
      <c r="B6673" s="7" t="s">
        <v>10009</v>
      </c>
      <c r="C6673" s="12">
        <v>3088</v>
      </c>
      <c r="D6673" s="7" t="s">
        <v>10010</v>
      </c>
      <c r="E6673" s="13" t="s">
        <v>9012</v>
      </c>
      <c r="F6673" t="str">
        <f t="shared" si="520"/>
        <v>Old</v>
      </c>
      <c r="G6673" t="str">
        <f t="shared" si="521"/>
        <v>Old3088Tyler</v>
      </c>
      <c r="H6673" t="s">
        <v>37529</v>
      </c>
      <c r="I6673" t="s">
        <v>28945</v>
      </c>
      <c r="J6673" t="str">
        <f t="shared" si="522"/>
        <v>E:\PropInv\MF</v>
      </c>
      <c r="K6673" s="103" t="str">
        <f>HYPERLINK("E:\PropInv\MF\Tyler\Old Omen Rd_3088_The Cambridge at Tyler_Tyler_17671","Old Omen Rd_3088_The Cambridge at Tyler_Tyler_17671" )</f>
        <v>Old Omen Rd_3088_The Cambridge at Tyler_Tyler_17671</v>
      </c>
      <c r="L6673" s="104" t="s">
        <v>22253</v>
      </c>
      <c r="M6673" s="103" t="str">
        <f t="shared" si="523"/>
        <v>http://oconnordata.com/mlink/modules/profile/index.cfm?action=profile&amp;prop_id=17671</v>
      </c>
      <c r="N6673" s="1">
        <f t="shared" si="524"/>
        <v>17671</v>
      </c>
    </row>
    <row r="6674" spans="1:14" x14ac:dyDescent="0.3">
      <c r="A6674" s="1">
        <v>17672</v>
      </c>
      <c r="B6674" s="7" t="s">
        <v>9973</v>
      </c>
      <c r="C6674" s="12">
        <v>6003</v>
      </c>
      <c r="D6674" s="7" t="s">
        <v>10011</v>
      </c>
      <c r="E6674" s="13" t="s">
        <v>9012</v>
      </c>
      <c r="F6674" t="str">
        <f t="shared" si="520"/>
        <v>Old</v>
      </c>
      <c r="G6674" t="str">
        <f t="shared" si="521"/>
        <v>Old6003Tyler</v>
      </c>
      <c r="H6674" t="s">
        <v>37530</v>
      </c>
      <c r="I6674" t="s">
        <v>28946</v>
      </c>
      <c r="J6674" t="str">
        <f t="shared" si="522"/>
        <v>E:\PropInv\MF</v>
      </c>
      <c r="K6674" s="103" t="str">
        <f>HYPERLINK("E:\PropInv\MF\Tyler\Old Bullard Rd_6003_Salado Apts_Tyler_17672","Old Bullard Rd_6003_Salado Apts_Tyler_17672" )</f>
        <v>Old Bullard Rd_6003_Salado Apts_Tyler_17672</v>
      </c>
      <c r="L6674" s="104" t="s">
        <v>22253</v>
      </c>
      <c r="M6674" s="103" t="str">
        <f t="shared" si="523"/>
        <v>http://oconnordata.com/mlink/modules/profile/index.cfm?action=profile&amp;prop_id=17672</v>
      </c>
      <c r="N6674" s="1">
        <f t="shared" si="524"/>
        <v>17672</v>
      </c>
    </row>
    <row r="6675" spans="1:14" x14ac:dyDescent="0.3">
      <c r="A6675" s="1">
        <v>17673</v>
      </c>
      <c r="B6675" s="7" t="s">
        <v>10007</v>
      </c>
      <c r="C6675" s="12">
        <v>3333</v>
      </c>
      <c r="D6675" s="7" t="s">
        <v>10012</v>
      </c>
      <c r="E6675" s="13" t="s">
        <v>9012</v>
      </c>
      <c r="F6675" t="str">
        <f t="shared" si="520"/>
        <v>Varsity</v>
      </c>
      <c r="G6675" t="str">
        <f t="shared" si="521"/>
        <v>Varsity3333Tyler</v>
      </c>
      <c r="H6675" t="s">
        <v>37531</v>
      </c>
      <c r="I6675" t="s">
        <v>28947</v>
      </c>
      <c r="J6675" t="str">
        <f t="shared" si="522"/>
        <v>E:\PropInv\MF</v>
      </c>
      <c r="K6675" s="103" t="str">
        <f>HYPERLINK("E:\PropInv\MF\Tyler\Varsity Dr_3333_University Pines_Tyler_17673","Varsity Dr_3333_University Pines_Tyler_17673" )</f>
        <v>Varsity Dr_3333_University Pines_Tyler_17673</v>
      </c>
      <c r="L6675" s="104" t="s">
        <v>22253</v>
      </c>
      <c r="M6675" s="103" t="str">
        <f t="shared" si="523"/>
        <v>http://oconnordata.com/mlink/modules/profile/index.cfm?action=profile&amp;prop_id=17673</v>
      </c>
      <c r="N6675" s="1">
        <f t="shared" si="524"/>
        <v>17673</v>
      </c>
    </row>
    <row r="6676" spans="1:14" x14ac:dyDescent="0.3">
      <c r="A6676" s="1">
        <v>17674</v>
      </c>
      <c r="B6676" s="7" t="s">
        <v>10013</v>
      </c>
      <c r="C6676" s="12">
        <v>400</v>
      </c>
      <c r="D6676" s="7" t="s">
        <v>1508</v>
      </c>
      <c r="E6676" s="13" t="s">
        <v>9012</v>
      </c>
      <c r="F6676" t="str">
        <f t="shared" si="520"/>
        <v>Old</v>
      </c>
      <c r="G6676" t="str">
        <f t="shared" si="521"/>
        <v>Old400Tyler</v>
      </c>
      <c r="H6676" t="s">
        <v>37532</v>
      </c>
      <c r="I6676" t="s">
        <v>28948</v>
      </c>
      <c r="J6676" t="str">
        <f t="shared" si="522"/>
        <v>E:\PropInv\MF</v>
      </c>
      <c r="K6676" s="103" t="str">
        <f>HYPERLINK("E:\PropInv\MF\Tyler\Old Grande Blvd_400_The Woodlands_Tyler_17674","Old Grande Blvd_400_The Woodlands_Tyler_17674" )</f>
        <v>Old Grande Blvd_400_The Woodlands_Tyler_17674</v>
      </c>
      <c r="L6676" s="104" t="s">
        <v>22253</v>
      </c>
      <c r="M6676" s="103" t="str">
        <f t="shared" si="523"/>
        <v>http://oconnordata.com/mlink/modules/profile/index.cfm?action=profile&amp;prop_id=17674</v>
      </c>
      <c r="N6676" s="1">
        <f t="shared" si="524"/>
        <v>17674</v>
      </c>
    </row>
    <row r="6677" spans="1:14" x14ac:dyDescent="0.3">
      <c r="A6677" s="1">
        <v>17675</v>
      </c>
      <c r="B6677" s="7" t="s">
        <v>10014</v>
      </c>
      <c r="C6677" s="12">
        <v>7139</v>
      </c>
      <c r="D6677" s="7" t="s">
        <v>10015</v>
      </c>
      <c r="E6677" s="13" t="s">
        <v>842</v>
      </c>
      <c r="F6677" t="str">
        <f t="shared" si="520"/>
        <v>New</v>
      </c>
      <c r="G6677" t="str">
        <f t="shared" si="521"/>
        <v>New7139San Antonio</v>
      </c>
      <c r="H6677" t="s">
        <v>37533</v>
      </c>
      <c r="I6677" t="s">
        <v>28949</v>
      </c>
      <c r="J6677" t="str">
        <f t="shared" si="522"/>
        <v>E:\PropInv\MF</v>
      </c>
      <c r="K6677" s="103" t="str">
        <f>HYPERLINK("E:\PropInv\MF\San Antonio\New Laredo Hwy_7139_Alhambra Senior AH_San Antonio_17675","New Laredo Hwy_7139_Alhambra Senior AH_San Antonio_17675" )</f>
        <v>New Laredo Hwy_7139_Alhambra Senior AH_San Antonio_17675</v>
      </c>
      <c r="L6677" s="104" t="s">
        <v>22253</v>
      </c>
      <c r="M6677" s="103" t="str">
        <f t="shared" si="523"/>
        <v>http://oconnordata.com/mlink/modules/profile/index.cfm?action=profile&amp;prop_id=17675</v>
      </c>
      <c r="N6677" s="1">
        <f t="shared" si="524"/>
        <v>17675</v>
      </c>
    </row>
    <row r="6678" spans="1:14" x14ac:dyDescent="0.3">
      <c r="A6678" s="1">
        <v>17678</v>
      </c>
      <c r="B6678" s="7" t="s">
        <v>5393</v>
      </c>
      <c r="C6678" s="12">
        <v>3930</v>
      </c>
      <c r="D6678" s="7" t="s">
        <v>10016</v>
      </c>
      <c r="E6678" s="13" t="s">
        <v>4996</v>
      </c>
      <c r="F6678" t="str">
        <f t="shared" si="520"/>
        <v>McKinney</v>
      </c>
      <c r="G6678" t="str">
        <f t="shared" si="521"/>
        <v>McKinney3930Dallas</v>
      </c>
      <c r="H6678" t="s">
        <v>37534</v>
      </c>
      <c r="I6678" t="s">
        <v>28950</v>
      </c>
      <c r="J6678" t="str">
        <f t="shared" si="522"/>
        <v>E:\PropInv\MF</v>
      </c>
      <c r="K6678" s="103" t="str">
        <f>HYPERLINK("E:\PropInv\MF\Dallas\McKinney Ave_3930_The Monterey Uptown_Dallas_17678","McKinney Ave_3930_The Monterey Uptown_Dallas_17678" )</f>
        <v>McKinney Ave_3930_The Monterey Uptown_Dallas_17678</v>
      </c>
      <c r="L6678" s="104" t="s">
        <v>22253</v>
      </c>
      <c r="M6678" s="103" t="str">
        <f t="shared" si="523"/>
        <v>http://oconnordata.com/mlink/modules/profile/index.cfm?action=profile&amp;prop_id=17678</v>
      </c>
      <c r="N6678" s="1">
        <f t="shared" si="524"/>
        <v>17678</v>
      </c>
    </row>
    <row r="6679" spans="1:14" x14ac:dyDescent="0.3">
      <c r="A6679" s="1">
        <v>17679</v>
      </c>
      <c r="B6679" s="7" t="s">
        <v>3132</v>
      </c>
      <c r="C6679" s="12">
        <v>605</v>
      </c>
      <c r="D6679" s="7" t="s">
        <v>10017</v>
      </c>
      <c r="E6679" s="13" t="s">
        <v>1657</v>
      </c>
      <c r="F6679" t="str">
        <f t="shared" si="520"/>
        <v>Berry</v>
      </c>
      <c r="G6679" t="str">
        <f t="shared" si="521"/>
        <v>Berry605Houston</v>
      </c>
      <c r="H6679" t="s">
        <v>37535</v>
      </c>
      <c r="I6679" t="s">
        <v>28951</v>
      </c>
      <c r="J6679" t="str">
        <f t="shared" si="522"/>
        <v>E:\PropInv\MF</v>
      </c>
      <c r="K6679" s="103" t="str">
        <f>HYPERLINK("E:\PropInv\MF\Houston\Berry_605_Oxford Place_Houston_17679","Berry_605_Oxford Place_Houston_17679" )</f>
        <v>Berry_605_Oxford Place_Houston_17679</v>
      </c>
      <c r="L6679" s="104" t="s">
        <v>22253</v>
      </c>
      <c r="M6679" s="103" t="str">
        <f t="shared" si="523"/>
        <v>http://oconnordata.com/mlink/modules/profile/index.cfm?action=profile&amp;prop_id=17679</v>
      </c>
      <c r="N6679" s="1">
        <f t="shared" si="524"/>
        <v>17679</v>
      </c>
    </row>
    <row r="6680" spans="1:14" x14ac:dyDescent="0.3">
      <c r="A6680" s="1">
        <v>17680</v>
      </c>
      <c r="B6680" s="7" t="s">
        <v>8758</v>
      </c>
      <c r="C6680" s="12">
        <v>11666</v>
      </c>
      <c r="D6680" s="7" t="s">
        <v>10018</v>
      </c>
      <c r="E6680" s="13" t="s">
        <v>1657</v>
      </c>
      <c r="F6680" t="str">
        <f t="shared" si="520"/>
        <v>Gulf</v>
      </c>
      <c r="G6680" t="str">
        <f t="shared" si="521"/>
        <v>Gulf11666Houston</v>
      </c>
      <c r="H6680" t="s">
        <v>37536</v>
      </c>
      <c r="I6680" t="s">
        <v>28952</v>
      </c>
      <c r="J6680" t="str">
        <f t="shared" si="522"/>
        <v>E:\PropInv\MF</v>
      </c>
      <c r="K6680" s="103" t="str">
        <f>HYPERLINK("E:\PropInv\MF\Houston\Gulf Pointe Dr_11666_Carrington Park at Gulf Pointe_Houston_17680","Gulf Pointe Dr_11666_Carrington Park at Gulf Pointe_Houston_17680" )</f>
        <v>Gulf Pointe Dr_11666_Carrington Park at Gulf Pointe_Houston_17680</v>
      </c>
      <c r="L6680" s="104" t="s">
        <v>22253</v>
      </c>
      <c r="M6680" s="103" t="str">
        <f t="shared" si="523"/>
        <v>http://oconnordata.com/mlink/modules/profile/index.cfm?action=profile&amp;prop_id=17680</v>
      </c>
      <c r="N6680" s="1">
        <f t="shared" si="524"/>
        <v>17680</v>
      </c>
    </row>
    <row r="6681" spans="1:14" x14ac:dyDescent="0.3">
      <c r="A6681" s="1">
        <v>17681</v>
      </c>
      <c r="B6681" s="21" t="s">
        <v>2093</v>
      </c>
      <c r="C6681" s="12">
        <v>9500</v>
      </c>
      <c r="D6681" s="7" t="s">
        <v>10019</v>
      </c>
      <c r="E6681" s="13" t="s">
        <v>1657</v>
      </c>
      <c r="F6681" t="str">
        <f t="shared" si="520"/>
        <v>W</v>
      </c>
      <c r="G6681" t="str">
        <f t="shared" si="521"/>
        <v>W9500Houston</v>
      </c>
      <c r="H6681" t="s">
        <v>37537</v>
      </c>
      <c r="I6681" t="s">
        <v>28953</v>
      </c>
      <c r="J6681" t="str">
        <f t="shared" si="522"/>
        <v>E:\PropInv\MF</v>
      </c>
      <c r="K6681" s="103" t="str">
        <f>HYPERLINK("E:\PropInv\MF\Houston\W Rd_9500_Villas at West Road_Houston_17681","W Rd_9500_Villas at West Road_Houston_17681" )</f>
        <v>W Rd_9500_Villas at West Road_Houston_17681</v>
      </c>
      <c r="L6681" s="104" t="s">
        <v>22253</v>
      </c>
      <c r="M6681" s="103" t="str">
        <f t="shared" si="523"/>
        <v>http://oconnordata.com/mlink/modules/profile/index.cfm?action=profile&amp;prop_id=17681</v>
      </c>
      <c r="N6681" s="1">
        <f t="shared" si="524"/>
        <v>17681</v>
      </c>
    </row>
    <row r="6682" spans="1:14" x14ac:dyDescent="0.3">
      <c r="A6682" s="1">
        <v>17682</v>
      </c>
      <c r="B6682" s="7" t="s">
        <v>10020</v>
      </c>
      <c r="C6682" s="12">
        <v>3950</v>
      </c>
      <c r="D6682" s="7" t="s">
        <v>10021</v>
      </c>
      <c r="E6682" s="13" t="s">
        <v>604</v>
      </c>
      <c r="F6682" t="str">
        <f t="shared" si="520"/>
        <v>71</v>
      </c>
      <c r="G6682" t="str">
        <f t="shared" si="521"/>
        <v>713950Bastrop</v>
      </c>
      <c r="H6682" t="s">
        <v>37538</v>
      </c>
      <c r="I6682" t="s">
        <v>28954</v>
      </c>
      <c r="J6682" t="str">
        <f t="shared" si="522"/>
        <v>E:\PropInv\MF</v>
      </c>
      <c r="K6682" s="103" t="str">
        <f>HYPERLINK("E:\PropInv\MF\Bastrop\71 Hwy E_3950_The Lodge at Lost Pines_Bastrop_17682","71 Hwy E_3950_The Lodge at Lost Pines_Bastrop_17682" )</f>
        <v>71 Hwy E_3950_The Lodge at Lost Pines_Bastrop_17682</v>
      </c>
      <c r="L6682" s="104" t="s">
        <v>22253</v>
      </c>
      <c r="M6682" s="103" t="str">
        <f t="shared" si="523"/>
        <v>http://oconnordata.com/mlink/modules/profile/index.cfm?action=profile&amp;prop_id=17682</v>
      </c>
      <c r="N6682" s="1">
        <f t="shared" si="524"/>
        <v>17682</v>
      </c>
    </row>
    <row r="6683" spans="1:14" x14ac:dyDescent="0.3">
      <c r="A6683" s="1">
        <v>17684</v>
      </c>
      <c r="B6683" s="7" t="s">
        <v>10022</v>
      </c>
      <c r="C6683" s="12">
        <v>7979</v>
      </c>
      <c r="D6683" s="7" t="s">
        <v>10023</v>
      </c>
      <c r="E6683" s="13" t="s">
        <v>842</v>
      </c>
      <c r="F6683" t="str">
        <f t="shared" si="520"/>
        <v>Military</v>
      </c>
      <c r="G6683" t="str">
        <f t="shared" si="521"/>
        <v>Military7979San Antonio</v>
      </c>
      <c r="H6683" t="s">
        <v>37539</v>
      </c>
      <c r="I6683" t="s">
        <v>28955</v>
      </c>
      <c r="J6683" t="str">
        <f t="shared" si="522"/>
        <v>E:\PropInv\MF</v>
      </c>
      <c r="K6683" s="103" t="str">
        <f>HYPERLINK("E:\PropInv\MF\San Antonio\Military Dr_7979_Candleridge Apts_San Antonio_17684","Military Dr_7979_Candleridge Apts_San Antonio_17684" )</f>
        <v>Military Dr_7979_Candleridge Apts_San Antonio_17684</v>
      </c>
      <c r="L6683" s="104" t="s">
        <v>22253</v>
      </c>
      <c r="M6683" s="103" t="str">
        <f t="shared" si="523"/>
        <v>http://oconnordata.com/mlink/modules/profile/index.cfm?action=profile&amp;prop_id=17684</v>
      </c>
      <c r="N6683" s="1">
        <f t="shared" si="524"/>
        <v>17684</v>
      </c>
    </row>
    <row r="6684" spans="1:14" x14ac:dyDescent="0.3">
      <c r="A6684" s="1">
        <v>17685</v>
      </c>
      <c r="B6684" s="7" t="s">
        <v>3118</v>
      </c>
      <c r="C6684" s="12">
        <v>1407</v>
      </c>
      <c r="D6684" s="7" t="s">
        <v>10024</v>
      </c>
      <c r="E6684" s="13" t="s">
        <v>4996</v>
      </c>
      <c r="F6684" t="str">
        <f t="shared" si="520"/>
        <v>Main</v>
      </c>
      <c r="G6684" t="str">
        <f t="shared" si="521"/>
        <v>Main1407Dallas</v>
      </c>
      <c r="H6684" t="s">
        <v>37540</v>
      </c>
      <c r="I6684" t="s">
        <v>28956</v>
      </c>
      <c r="J6684" t="str">
        <f t="shared" si="522"/>
        <v>E:\PropInv\MF</v>
      </c>
      <c r="K6684" s="103" t="str">
        <f>HYPERLINK("E:\PropInv\MF\Dallas\Main St_1407_Third Rail Lofts-1407 Main_Dallas_17685","Main St_1407_Third Rail Lofts-1407 Main_Dallas_17685" )</f>
        <v>Main St_1407_Third Rail Lofts-1407 Main_Dallas_17685</v>
      </c>
      <c r="L6684" s="104" t="s">
        <v>22253</v>
      </c>
      <c r="M6684" s="103" t="str">
        <f t="shared" si="523"/>
        <v>http://oconnordata.com/mlink/modules/profile/index.cfm?action=profile&amp;prop_id=17685</v>
      </c>
      <c r="N6684" s="1">
        <f t="shared" si="524"/>
        <v>17685</v>
      </c>
    </row>
    <row r="6685" spans="1:14" x14ac:dyDescent="0.3">
      <c r="A6685" s="1">
        <v>17687</v>
      </c>
      <c r="B6685" s="7" t="s">
        <v>9116</v>
      </c>
      <c r="C6685" s="12">
        <v>2345</v>
      </c>
      <c r="D6685" s="7" t="s">
        <v>10025</v>
      </c>
      <c r="E6685" s="13" t="s">
        <v>4996</v>
      </c>
      <c r="F6685" t="str">
        <f t="shared" si="520"/>
        <v>Houston</v>
      </c>
      <c r="G6685" t="str">
        <f t="shared" si="521"/>
        <v>Houston2345Dallas</v>
      </c>
      <c r="H6685" t="s">
        <v>37541</v>
      </c>
      <c r="I6685" t="s">
        <v>28957</v>
      </c>
      <c r="J6685" t="str">
        <f t="shared" si="522"/>
        <v>E:\PropInv\MF</v>
      </c>
      <c r="K6685" s="103" t="str">
        <f>HYPERLINK("E:\PropInv\MF\Dallas\Houston St N_2345_The Vista_Dallas_17687","Houston St N_2345_The Vista_Dallas_17687" )</f>
        <v>Houston St N_2345_The Vista_Dallas_17687</v>
      </c>
      <c r="L6685" s="104" t="s">
        <v>22253</v>
      </c>
      <c r="M6685" s="103" t="str">
        <f t="shared" si="523"/>
        <v>http://oconnordata.com/mlink/modules/profile/index.cfm?action=profile&amp;prop_id=17687</v>
      </c>
      <c r="N6685" s="1">
        <f t="shared" si="524"/>
        <v>17687</v>
      </c>
    </row>
    <row r="6686" spans="1:14" x14ac:dyDescent="0.3">
      <c r="A6686" s="1">
        <v>17688</v>
      </c>
      <c r="B6686" s="7" t="s">
        <v>10026</v>
      </c>
      <c r="C6686" s="12">
        <v>1403</v>
      </c>
      <c r="D6686" s="7" t="s">
        <v>10027</v>
      </c>
      <c r="E6686" s="13" t="s">
        <v>4996</v>
      </c>
      <c r="F6686" t="str">
        <f t="shared" si="520"/>
        <v>Slocum</v>
      </c>
      <c r="G6686" t="str">
        <f t="shared" si="521"/>
        <v>Slocum1403Dallas</v>
      </c>
      <c r="H6686" t="s">
        <v>37542</v>
      </c>
      <c r="I6686" t="s">
        <v>28958</v>
      </c>
      <c r="J6686" t="str">
        <f t="shared" si="522"/>
        <v>E:\PropInv\MF</v>
      </c>
      <c r="K6686" s="103" t="str">
        <f>HYPERLINK("E:\PropInv\MF\Dallas\Slocum St_1403_Trinity Lofts_Dallas_17688","Slocum St_1403_Trinity Lofts_Dallas_17688" )</f>
        <v>Slocum St_1403_Trinity Lofts_Dallas_17688</v>
      </c>
      <c r="L6686" s="104" t="s">
        <v>22253</v>
      </c>
      <c r="M6686" s="103" t="str">
        <f t="shared" si="523"/>
        <v>http://oconnordata.com/mlink/modules/profile/index.cfm?action=profile&amp;prop_id=17688</v>
      </c>
      <c r="N6686" s="1">
        <f t="shared" si="524"/>
        <v>17688</v>
      </c>
    </row>
    <row r="6687" spans="1:14" x14ac:dyDescent="0.3">
      <c r="A6687" s="1">
        <v>17689</v>
      </c>
      <c r="B6687" s="7" t="s">
        <v>7585</v>
      </c>
      <c r="C6687" s="12">
        <v>4733</v>
      </c>
      <c r="D6687" s="7" t="s">
        <v>10028</v>
      </c>
      <c r="E6687" s="13" t="s">
        <v>4996</v>
      </c>
      <c r="F6687" t="str">
        <f t="shared" si="520"/>
        <v>Bowser</v>
      </c>
      <c r="G6687" t="str">
        <f t="shared" si="521"/>
        <v>Bowser4733Dallas</v>
      </c>
      <c r="H6687" t="s">
        <v>37543</v>
      </c>
      <c r="I6687" t="s">
        <v>28959</v>
      </c>
      <c r="J6687" t="str">
        <f t="shared" si="522"/>
        <v>E:\PropInv\MF</v>
      </c>
      <c r="K6687" s="103" t="str">
        <f>HYPERLINK("E:\PropInv\MF\Dallas\Bowser Ave_4733_Gables Highland Park Brownstones_Dallas_17689","Bowser Ave_4733_Gables Highland Park Brownstones_Dallas_17689" )</f>
        <v>Bowser Ave_4733_Gables Highland Park Brownstones_Dallas_17689</v>
      </c>
      <c r="L6687" s="104" t="s">
        <v>22253</v>
      </c>
      <c r="M6687" s="103" t="str">
        <f t="shared" si="523"/>
        <v>http://oconnordata.com/mlink/modules/profile/index.cfm?action=profile&amp;prop_id=17689</v>
      </c>
      <c r="N6687" s="1">
        <f t="shared" si="524"/>
        <v>17689</v>
      </c>
    </row>
    <row r="6688" spans="1:14" x14ac:dyDescent="0.3">
      <c r="A6688" s="1">
        <v>17690</v>
      </c>
      <c r="B6688" s="7" t="s">
        <v>9574</v>
      </c>
      <c r="C6688" s="12">
        <v>2020</v>
      </c>
      <c r="D6688" s="7" t="s">
        <v>10029</v>
      </c>
      <c r="E6688" s="13" t="s">
        <v>4369</v>
      </c>
      <c r="F6688" t="str">
        <f t="shared" si="520"/>
        <v>Business</v>
      </c>
      <c r="G6688" t="str">
        <f t="shared" si="521"/>
        <v>Business2020Pearland</v>
      </c>
      <c r="H6688" t="s">
        <v>37544</v>
      </c>
      <c r="I6688" t="s">
        <v>28960</v>
      </c>
      <c r="J6688" t="str">
        <f t="shared" si="522"/>
        <v>E:\PropInv\MF</v>
      </c>
      <c r="K6688" s="103" t="str">
        <f>HYPERLINK("E:\PropInv\MF\Pearland\Business Center Dr_2020_The Villas at Shadow Creek Ranch_Pearland_17690","Business Center Dr_2020_The Villas at Shadow Creek Ranch_Pearland_17690" )</f>
        <v>Business Center Dr_2020_The Villas at Shadow Creek Ranch_Pearland_17690</v>
      </c>
      <c r="L6688" s="104" t="s">
        <v>22253</v>
      </c>
      <c r="M6688" s="103" t="str">
        <f t="shared" si="523"/>
        <v>http://oconnordata.com/mlink/modules/profile/index.cfm?action=profile&amp;prop_id=17690</v>
      </c>
      <c r="N6688" s="1">
        <f t="shared" si="524"/>
        <v>17690</v>
      </c>
    </row>
    <row r="6689" spans="1:14" x14ac:dyDescent="0.3">
      <c r="A6689" s="1">
        <v>17691</v>
      </c>
      <c r="B6689" s="7" t="s">
        <v>5049</v>
      </c>
      <c r="C6689" s="12">
        <v>3900</v>
      </c>
      <c r="D6689" s="7" t="s">
        <v>10030</v>
      </c>
      <c r="E6689" s="13" t="s">
        <v>4996</v>
      </c>
      <c r="F6689" t="str">
        <f t="shared" si="520"/>
        <v>Briargrove</v>
      </c>
      <c r="G6689" t="str">
        <f t="shared" si="521"/>
        <v>Briargrove3900Dallas</v>
      </c>
      <c r="H6689" t="s">
        <v>37545</v>
      </c>
      <c r="I6689" t="s">
        <v>28961</v>
      </c>
      <c r="J6689" t="str">
        <f t="shared" si="522"/>
        <v>E:\PropInv\MF</v>
      </c>
      <c r="K6689" s="103" t="str">
        <f>HYPERLINK("E:\PropInv\MF\Dallas\Briargrove Ln_3900_Vail Quarters_Dallas_17691","Briargrove Ln_3900_Vail Quarters_Dallas_17691" )</f>
        <v>Briargrove Ln_3900_Vail Quarters_Dallas_17691</v>
      </c>
      <c r="L6689" s="104" t="s">
        <v>22253</v>
      </c>
      <c r="M6689" s="103" t="str">
        <f t="shared" si="523"/>
        <v>http://oconnordata.com/mlink/modules/profile/index.cfm?action=profile&amp;prop_id=17691</v>
      </c>
      <c r="N6689" s="1">
        <f t="shared" si="524"/>
        <v>17691</v>
      </c>
    </row>
    <row r="6690" spans="1:14" x14ac:dyDescent="0.3">
      <c r="A6690" s="1">
        <v>17692</v>
      </c>
      <c r="B6690" s="7" t="s">
        <v>9107</v>
      </c>
      <c r="C6690" s="12">
        <v>1001</v>
      </c>
      <c r="D6690" s="7" t="s">
        <v>10031</v>
      </c>
      <c r="E6690" s="13" t="s">
        <v>5046</v>
      </c>
      <c r="F6690" t="str">
        <f t="shared" si="520"/>
        <v>Lake</v>
      </c>
      <c r="G6690" t="str">
        <f t="shared" si="521"/>
        <v>Lake1001Irving</v>
      </c>
      <c r="H6690" t="s">
        <v>37546</v>
      </c>
      <c r="I6690" t="s">
        <v>28962</v>
      </c>
      <c r="J6690" t="str">
        <f t="shared" si="522"/>
        <v>E:\PropInv\MF</v>
      </c>
      <c r="K6690" s="103" t="str">
        <f>HYPERLINK("E:\PropInv\MF\Irving\Lake Carolyn Pkwy_1001_Delante_Irving_17692","Lake Carolyn Pkwy_1001_Delante_Irving_17692" )</f>
        <v>Lake Carolyn Pkwy_1001_Delante_Irving_17692</v>
      </c>
      <c r="L6690" s="104" t="s">
        <v>22253</v>
      </c>
      <c r="M6690" s="103" t="str">
        <f t="shared" si="523"/>
        <v>http://oconnordata.com/mlink/modules/profile/index.cfm?action=profile&amp;prop_id=17692</v>
      </c>
      <c r="N6690" s="1">
        <f t="shared" si="524"/>
        <v>17692</v>
      </c>
    </row>
    <row r="6691" spans="1:14" x14ac:dyDescent="0.3">
      <c r="A6691" s="1">
        <v>17693</v>
      </c>
      <c r="B6691" s="7" t="s">
        <v>10032</v>
      </c>
      <c r="C6691" s="12">
        <v>6411</v>
      </c>
      <c r="D6691" s="7" t="s">
        <v>10033</v>
      </c>
      <c r="E6691" s="13" t="s">
        <v>5046</v>
      </c>
      <c r="F6691" t="str">
        <f t="shared" si="520"/>
        <v>Tranquilo</v>
      </c>
      <c r="G6691" t="str">
        <f t="shared" si="521"/>
        <v>Tranquilo6411Irving</v>
      </c>
      <c r="H6691" t="s">
        <v>37547</v>
      </c>
      <c r="I6691" t="s">
        <v>28963</v>
      </c>
      <c r="J6691" t="str">
        <f t="shared" si="522"/>
        <v>E:\PropInv\MF</v>
      </c>
      <c r="K6691" s="103" t="str">
        <f>HYPERLINK("E:\PropInv\MF\Irving\Tranquilo_6411_AMLI at La Villita_Irving_17693","Tranquilo_6411_AMLI at La Villita_Irving_17693" )</f>
        <v>Tranquilo_6411_AMLI at La Villita_Irving_17693</v>
      </c>
      <c r="L6691" s="104" t="s">
        <v>22253</v>
      </c>
      <c r="M6691" s="103" t="str">
        <f t="shared" si="523"/>
        <v>http://oconnordata.com/mlink/modules/profile/index.cfm?action=profile&amp;prop_id=17693</v>
      </c>
      <c r="N6691" s="1">
        <f t="shared" si="524"/>
        <v>17693</v>
      </c>
    </row>
    <row r="6692" spans="1:14" x14ac:dyDescent="0.3">
      <c r="A6692" s="1">
        <v>17694</v>
      </c>
      <c r="B6692" s="7" t="s">
        <v>3770</v>
      </c>
      <c r="C6692" s="12">
        <v>9000</v>
      </c>
      <c r="D6692" s="7" t="s">
        <v>10034</v>
      </c>
      <c r="E6692" s="13" t="s">
        <v>1657</v>
      </c>
      <c r="F6692" t="str">
        <f t="shared" si="520"/>
        <v>Almeda</v>
      </c>
      <c r="G6692" t="str">
        <f t="shared" si="521"/>
        <v>Almeda9000Houston</v>
      </c>
      <c r="H6692" t="s">
        <v>37548</v>
      </c>
      <c r="I6692" t="s">
        <v>28964</v>
      </c>
      <c r="J6692" t="str">
        <f t="shared" si="522"/>
        <v>E:\PropInv\MF</v>
      </c>
      <c r="K6692" s="103" t="str">
        <f>HYPERLINK("E:\PropInv\MF\Houston\Almeda Rd_9000_Fountains at Almeda_Houston_17694","Almeda Rd_9000_Fountains at Almeda_Houston_17694" )</f>
        <v>Almeda Rd_9000_Fountains at Almeda_Houston_17694</v>
      </c>
      <c r="L6692" s="104" t="s">
        <v>22253</v>
      </c>
      <c r="M6692" s="103" t="str">
        <f t="shared" si="523"/>
        <v>http://oconnordata.com/mlink/modules/profile/index.cfm?action=profile&amp;prop_id=17694</v>
      </c>
      <c r="N6692" s="1">
        <f t="shared" si="524"/>
        <v>17694</v>
      </c>
    </row>
    <row r="6693" spans="1:14" x14ac:dyDescent="0.3">
      <c r="A6693" s="1">
        <v>17695</v>
      </c>
      <c r="B6693" s="7" t="s">
        <v>10035</v>
      </c>
      <c r="C6693" s="12" t="s">
        <v>10036</v>
      </c>
      <c r="D6693" s="7" t="s">
        <v>10037</v>
      </c>
      <c r="E6693" s="13" t="s">
        <v>5014</v>
      </c>
      <c r="F6693" t="str">
        <f t="shared" si="520"/>
        <v>Sheridan</v>
      </c>
      <c r="G6693" t="str">
        <f t="shared" si="521"/>
        <v>Sheridan6501-6555Fort Worth</v>
      </c>
      <c r="H6693" t="s">
        <v>37549</v>
      </c>
      <c r="I6693" t="s">
        <v>28965</v>
      </c>
      <c r="J6693" t="str">
        <f t="shared" si="522"/>
        <v>E:\PropInv\MF</v>
      </c>
      <c r="K6693" s="103" t="str">
        <f>HYPERLINK("E:\PropInv\MF\Fort Worth\Sheridan Cir_6501-6555_Peppertree Acres_Fort Worth_17695","Sheridan Cir_6501-6555_Peppertree Acres_Fort Worth_17695" )</f>
        <v>Sheridan Cir_6501-6555_Peppertree Acres_Fort Worth_17695</v>
      </c>
      <c r="L6693" s="104" t="s">
        <v>22253</v>
      </c>
      <c r="M6693" s="103" t="str">
        <f t="shared" si="523"/>
        <v>http://oconnordata.com/mlink/modules/profile/index.cfm?action=profile&amp;prop_id=17695</v>
      </c>
      <c r="N6693" s="1">
        <f t="shared" si="524"/>
        <v>17695</v>
      </c>
    </row>
    <row r="6694" spans="1:14" x14ac:dyDescent="0.3">
      <c r="A6694" s="1">
        <v>17696</v>
      </c>
      <c r="B6694" s="7" t="s">
        <v>10038</v>
      </c>
      <c r="C6694" s="12">
        <v>3271</v>
      </c>
      <c r="D6694" s="7" t="s">
        <v>10039</v>
      </c>
      <c r="E6694" s="13" t="s">
        <v>3924</v>
      </c>
      <c r="F6694" t="str">
        <f t="shared" si="520"/>
        <v>Shaver</v>
      </c>
      <c r="G6694" t="str">
        <f t="shared" si="521"/>
        <v>Shaver3271Pasadena</v>
      </c>
      <c r="H6694" t="s">
        <v>37550</v>
      </c>
      <c r="I6694" t="s">
        <v>28966</v>
      </c>
      <c r="J6694" t="str">
        <f t="shared" si="522"/>
        <v>E:\PropInv\MF</v>
      </c>
      <c r="K6694" s="103" t="str">
        <f>HYPERLINK("E:\PropInv\MF\Pasadena\Shaver Rd S_3271_The Villas at Shaver_Pasadena_17696","Shaver Rd S_3271_The Villas at Shaver_Pasadena_17696" )</f>
        <v>Shaver Rd S_3271_The Villas at Shaver_Pasadena_17696</v>
      </c>
      <c r="L6694" s="104" t="s">
        <v>22253</v>
      </c>
      <c r="M6694" s="103" t="str">
        <f t="shared" si="523"/>
        <v>http://oconnordata.com/mlink/modules/profile/index.cfm?action=profile&amp;prop_id=17696</v>
      </c>
      <c r="N6694" s="1">
        <f t="shared" si="524"/>
        <v>17696</v>
      </c>
    </row>
    <row r="6695" spans="1:14" x14ac:dyDescent="0.3">
      <c r="A6695" s="1">
        <v>17697</v>
      </c>
      <c r="B6695" s="7" t="s">
        <v>10040</v>
      </c>
      <c r="C6695" s="12">
        <v>10888</v>
      </c>
      <c r="D6695" s="7" t="s">
        <v>10041</v>
      </c>
      <c r="E6695" s="13" t="s">
        <v>1657</v>
      </c>
      <c r="F6695" t="str">
        <f t="shared" si="520"/>
        <v>Huntington</v>
      </c>
      <c r="G6695" t="str">
        <f t="shared" si="521"/>
        <v>Huntington10888Houston</v>
      </c>
      <c r="H6695" t="s">
        <v>37551</v>
      </c>
      <c r="I6695" t="s">
        <v>28967</v>
      </c>
      <c r="J6695" t="str">
        <f t="shared" si="522"/>
        <v>E:\PropInv\MF</v>
      </c>
      <c r="K6695" s="103" t="str">
        <f>HYPERLINK("E:\PropInv\MF\Houston\Huntington Estates Dr_10888_HomeTowne on Bellfort_Houston_17697","Huntington Estates Dr_10888_HomeTowne on Bellfort_Houston_17697" )</f>
        <v>Huntington Estates Dr_10888_HomeTowne on Bellfort_Houston_17697</v>
      </c>
      <c r="L6695" s="104" t="s">
        <v>22253</v>
      </c>
      <c r="M6695" s="103" t="str">
        <f t="shared" si="523"/>
        <v>http://oconnordata.com/mlink/modules/profile/index.cfm?action=profile&amp;prop_id=17697</v>
      </c>
      <c r="N6695" s="1">
        <f t="shared" si="524"/>
        <v>17697</v>
      </c>
    </row>
    <row r="6696" spans="1:14" x14ac:dyDescent="0.3">
      <c r="A6696" s="1">
        <v>17698</v>
      </c>
      <c r="B6696" s="7" t="s">
        <v>9031</v>
      </c>
      <c r="C6696" s="12">
        <v>6727</v>
      </c>
      <c r="D6696" s="7" t="s">
        <v>10042</v>
      </c>
      <c r="E6696" s="13" t="s">
        <v>5046</v>
      </c>
      <c r="F6696" t="str">
        <f t="shared" si="520"/>
        <v>Deseo</v>
      </c>
      <c r="G6696" t="str">
        <f t="shared" si="521"/>
        <v>Deseo6727Irving</v>
      </c>
      <c r="H6696" t="s">
        <v>37552</v>
      </c>
      <c r="I6696" t="s">
        <v>28968</v>
      </c>
      <c r="J6696" t="str">
        <f t="shared" si="522"/>
        <v>E:\PropInv\MF</v>
      </c>
      <c r="K6696" s="103" t="str">
        <f>HYPERLINK("E:\PropInv\MF\Irving\Deseo_6727_Lincoln Lakeside_Irving_17698","Deseo_6727_Lincoln Lakeside_Irving_17698" )</f>
        <v>Deseo_6727_Lincoln Lakeside_Irving_17698</v>
      </c>
      <c r="L6696" s="104" t="s">
        <v>22253</v>
      </c>
      <c r="M6696" s="103" t="str">
        <f t="shared" si="523"/>
        <v>http://oconnordata.com/mlink/modules/profile/index.cfm?action=profile&amp;prop_id=17698</v>
      </c>
      <c r="N6696" s="1">
        <f t="shared" si="524"/>
        <v>17698</v>
      </c>
    </row>
    <row r="6697" spans="1:14" x14ac:dyDescent="0.3">
      <c r="A6697" s="1">
        <v>17699</v>
      </c>
      <c r="B6697" s="7" t="s">
        <v>9101</v>
      </c>
      <c r="C6697" s="12">
        <v>500</v>
      </c>
      <c r="D6697" s="7" t="s">
        <v>10043</v>
      </c>
      <c r="E6697" s="13" t="s">
        <v>6672</v>
      </c>
      <c r="F6697" t="str">
        <f t="shared" si="520"/>
        <v>Tarrant</v>
      </c>
      <c r="G6697" t="str">
        <f t="shared" si="521"/>
        <v>Tarrant500Keller</v>
      </c>
      <c r="H6697" t="s">
        <v>37553</v>
      </c>
      <c r="I6697" t="s">
        <v>28969</v>
      </c>
      <c r="J6697" t="str">
        <f t="shared" si="522"/>
        <v>E:\PropInv\MF</v>
      </c>
      <c r="K6697" s="103" t="str">
        <f>HYPERLINK("E:\PropInv\MF\Keller\Tarrant Pkwy N_500_Grand Estates at Keller_Keller_17699","Tarrant Pkwy N_500_Grand Estates at Keller_Keller_17699" )</f>
        <v>Tarrant Pkwy N_500_Grand Estates at Keller_Keller_17699</v>
      </c>
      <c r="L6697" s="104" t="s">
        <v>22253</v>
      </c>
      <c r="M6697" s="103" t="str">
        <f t="shared" si="523"/>
        <v>http://oconnordata.com/mlink/modules/profile/index.cfm?action=profile&amp;prop_id=17699</v>
      </c>
      <c r="N6697" s="1">
        <f t="shared" si="524"/>
        <v>17699</v>
      </c>
    </row>
    <row r="6698" spans="1:14" x14ac:dyDescent="0.3">
      <c r="A6698" s="1">
        <v>17700</v>
      </c>
      <c r="B6698" s="7" t="s">
        <v>10044</v>
      </c>
      <c r="C6698" s="12">
        <v>5001</v>
      </c>
      <c r="D6698" s="7" t="s">
        <v>10045</v>
      </c>
      <c r="E6698" s="13" t="s">
        <v>6672</v>
      </c>
      <c r="F6698" t="str">
        <f t="shared" si="520"/>
        <v>Golden</v>
      </c>
      <c r="G6698" t="str">
        <f t="shared" si="521"/>
        <v>Golden5001Keller</v>
      </c>
      <c r="H6698" t="s">
        <v>37554</v>
      </c>
      <c r="I6698" t="s">
        <v>28970</v>
      </c>
      <c r="J6698" t="str">
        <f t="shared" si="522"/>
        <v>E:\PropInv\MF</v>
      </c>
      <c r="K6698" s="103" t="str">
        <f>HYPERLINK("E:\PropInv\MF\Keller\Golden Triangle Blvd_5001_Enclave on Golden Triangle_Keller_17700","Golden Triangle Blvd_5001_Enclave on Golden Triangle_Keller_17700" )</f>
        <v>Golden Triangle Blvd_5001_Enclave on Golden Triangle_Keller_17700</v>
      </c>
      <c r="L6698" s="104" t="s">
        <v>22253</v>
      </c>
      <c r="M6698" s="103" t="str">
        <f t="shared" si="523"/>
        <v>http://oconnordata.com/mlink/modules/profile/index.cfm?action=profile&amp;prop_id=17700</v>
      </c>
      <c r="N6698" s="1">
        <f t="shared" si="524"/>
        <v>17700</v>
      </c>
    </row>
    <row r="6699" spans="1:14" x14ac:dyDescent="0.3">
      <c r="A6699" s="1">
        <v>17701</v>
      </c>
      <c r="B6699" s="7" t="s">
        <v>10046</v>
      </c>
      <c r="C6699" s="12">
        <v>2241</v>
      </c>
      <c r="D6699" s="7" t="s">
        <v>10047</v>
      </c>
      <c r="E6699" s="13" t="s">
        <v>5055</v>
      </c>
      <c r="F6699" t="str">
        <f t="shared" si="520"/>
        <v>121</v>
      </c>
      <c r="G6699" t="str">
        <f t="shared" si="521"/>
        <v>1212241Lewisville</v>
      </c>
      <c r="H6699" t="s">
        <v>37555</v>
      </c>
      <c r="I6699" t="s">
        <v>28971</v>
      </c>
      <c r="J6699" t="str">
        <f t="shared" si="522"/>
        <v>E:\PropInv\MF</v>
      </c>
      <c r="K6699" s="103" t="str">
        <f>HYPERLINK("E:\PropInv\MF\Lewisville\121 SH S_2241_Alta Vista Ridge_Lewisville_17701","121 SH S_2241_Alta Vista Ridge_Lewisville_17701" )</f>
        <v>121 SH S_2241_Alta Vista Ridge_Lewisville_17701</v>
      </c>
      <c r="L6699" s="104" t="s">
        <v>22253</v>
      </c>
      <c r="M6699" s="103" t="str">
        <f t="shared" si="523"/>
        <v>http://oconnordata.com/mlink/modules/profile/index.cfm?action=profile&amp;prop_id=17701</v>
      </c>
      <c r="N6699" s="1">
        <f t="shared" si="524"/>
        <v>17701</v>
      </c>
    </row>
    <row r="6700" spans="1:14" x14ac:dyDescent="0.3">
      <c r="A6700" s="1">
        <v>17702</v>
      </c>
      <c r="B6700" s="7" t="s">
        <v>10048</v>
      </c>
      <c r="C6700" s="12">
        <v>5620</v>
      </c>
      <c r="D6700" s="7" t="s">
        <v>10049</v>
      </c>
      <c r="E6700" s="13" t="s">
        <v>5180</v>
      </c>
      <c r="F6700" t="str">
        <f t="shared" si="520"/>
        <v>Colony</v>
      </c>
      <c r="G6700" t="str">
        <f t="shared" si="521"/>
        <v>Colony5620The Colony</v>
      </c>
      <c r="H6700" t="s">
        <v>37556</v>
      </c>
      <c r="I6700" t="s">
        <v>28972</v>
      </c>
      <c r="J6700" t="str">
        <f t="shared" si="522"/>
        <v>E:\PropInv\MF</v>
      </c>
      <c r="K6700" s="103" t="str">
        <f>HYPERLINK("E:\PropInv\MF\The Colony\Colony Blvd S_5620_Sonoma Grande at The Legends_The Colony_17702","Colony Blvd S_5620_Sonoma Grande at The Legends_The Colony_17702" )</f>
        <v>Colony Blvd S_5620_Sonoma Grande at The Legends_The Colony_17702</v>
      </c>
      <c r="L6700" s="104" t="s">
        <v>22253</v>
      </c>
      <c r="M6700" s="103" t="str">
        <f t="shared" si="523"/>
        <v>http://oconnordata.com/mlink/modules/profile/index.cfm?action=profile&amp;prop_id=17702</v>
      </c>
      <c r="N6700" s="1">
        <f t="shared" si="524"/>
        <v>17702</v>
      </c>
    </row>
    <row r="6701" spans="1:14" x14ac:dyDescent="0.3">
      <c r="A6701" s="1">
        <v>17703</v>
      </c>
      <c r="B6701" s="7" t="s">
        <v>10050</v>
      </c>
      <c r="C6701" s="12">
        <v>5760</v>
      </c>
      <c r="D6701" s="7" t="s">
        <v>10051</v>
      </c>
      <c r="E6701" s="13" t="s">
        <v>5009</v>
      </c>
      <c r="F6701" t="str">
        <f t="shared" si="520"/>
        <v>Daniel</v>
      </c>
      <c r="G6701" t="str">
        <f t="shared" si="521"/>
        <v>Daniel5760Plano</v>
      </c>
      <c r="H6701" t="s">
        <v>37557</v>
      </c>
      <c r="I6701" t="s">
        <v>28973</v>
      </c>
      <c r="J6701" t="str">
        <f t="shared" si="522"/>
        <v>E:\PropInv\MF</v>
      </c>
      <c r="K6701" s="103" t="str">
        <f>HYPERLINK("E:\PropInv\MF\Plano\Daniel Rd_5760_Acqua_Plano_17703","Daniel Rd_5760_Acqua_Plano_17703" )</f>
        <v>Daniel Rd_5760_Acqua_Plano_17703</v>
      </c>
      <c r="L6701" s="104" t="s">
        <v>22253</v>
      </c>
      <c r="M6701" s="103" t="str">
        <f t="shared" si="523"/>
        <v>http://oconnordata.com/mlink/modules/profile/index.cfm?action=profile&amp;prop_id=17703</v>
      </c>
      <c r="N6701" s="1">
        <f t="shared" si="524"/>
        <v>17703</v>
      </c>
    </row>
    <row r="6702" spans="1:14" x14ac:dyDescent="0.3">
      <c r="A6702" s="1">
        <v>17704</v>
      </c>
      <c r="B6702" s="7" t="s">
        <v>5629</v>
      </c>
      <c r="C6702" s="12">
        <v>10200</v>
      </c>
      <c r="D6702" s="7" t="s">
        <v>10052</v>
      </c>
      <c r="E6702" s="13" t="s">
        <v>5009</v>
      </c>
      <c r="F6702" t="str">
        <f t="shared" si="520"/>
        <v>Independence</v>
      </c>
      <c r="G6702" t="str">
        <f t="shared" si="521"/>
        <v>Independence10200Plano</v>
      </c>
      <c r="H6702" t="s">
        <v>37558</v>
      </c>
      <c r="I6702" t="s">
        <v>28974</v>
      </c>
      <c r="J6702" t="str">
        <f t="shared" si="522"/>
        <v>E:\PropInv\MF</v>
      </c>
      <c r="K6702" s="103" t="str">
        <f>HYPERLINK("E:\PropInv\MF\Plano\Independence Pkwy_10200_Estancia at Ridgeview Ranch II_Plano_17704","Independence Pkwy_10200_Estancia at Ridgeview Ranch II_Plano_17704" )</f>
        <v>Independence Pkwy_10200_Estancia at Ridgeview Ranch II_Plano_17704</v>
      </c>
      <c r="L6702" s="104" t="s">
        <v>22253</v>
      </c>
      <c r="M6702" s="103" t="str">
        <f t="shared" si="523"/>
        <v>http://oconnordata.com/mlink/modules/profile/index.cfm?action=profile&amp;prop_id=17704</v>
      </c>
      <c r="N6702" s="1">
        <f t="shared" si="524"/>
        <v>17704</v>
      </c>
    </row>
    <row r="6703" spans="1:14" x14ac:dyDescent="0.3">
      <c r="A6703" s="1">
        <v>17705</v>
      </c>
      <c r="B6703" s="7" t="s">
        <v>5505</v>
      </c>
      <c r="C6703" s="12">
        <v>9600</v>
      </c>
      <c r="D6703" s="7" t="s">
        <v>10053</v>
      </c>
      <c r="E6703" s="13" t="s">
        <v>5009</v>
      </c>
      <c r="F6703" t="str">
        <f t="shared" si="520"/>
        <v>Coit</v>
      </c>
      <c r="G6703" t="str">
        <f t="shared" si="521"/>
        <v>Coit9600Plano</v>
      </c>
      <c r="H6703" t="s">
        <v>37559</v>
      </c>
      <c r="I6703" t="s">
        <v>28975</v>
      </c>
      <c r="J6703" t="str">
        <f t="shared" si="522"/>
        <v>E:\PropInv\MF</v>
      </c>
      <c r="K6703" s="103" t="str">
        <f>HYPERLINK("E:\PropInv\MF\Plano\Coit Rd_9600_Riachi at One21_Plano_17705","Coit Rd_9600_Riachi at One21_Plano_17705" )</f>
        <v>Coit Rd_9600_Riachi at One21_Plano_17705</v>
      </c>
      <c r="L6703" s="104" t="s">
        <v>22253</v>
      </c>
      <c r="M6703" s="103" t="str">
        <f t="shared" si="523"/>
        <v>http://oconnordata.com/mlink/modules/profile/index.cfm?action=profile&amp;prop_id=17705</v>
      </c>
      <c r="N6703" s="1">
        <f t="shared" si="524"/>
        <v>17705</v>
      </c>
    </row>
    <row r="6704" spans="1:14" x14ac:dyDescent="0.3">
      <c r="A6704" s="1">
        <v>17706</v>
      </c>
      <c r="B6704" s="7" t="s">
        <v>10054</v>
      </c>
      <c r="C6704" s="12">
        <v>4950</v>
      </c>
      <c r="D6704" s="7" t="s">
        <v>10055</v>
      </c>
      <c r="E6704" s="13" t="s">
        <v>5076</v>
      </c>
      <c r="F6704" t="str">
        <f t="shared" si="520"/>
        <v>Prairie</v>
      </c>
      <c r="G6704" t="str">
        <f t="shared" si="521"/>
        <v>Prairie4950Grand Prairie</v>
      </c>
      <c r="H6704" t="s">
        <v>37560</v>
      </c>
      <c r="I6704" t="s">
        <v>28976</v>
      </c>
      <c r="J6704" t="str">
        <f t="shared" si="522"/>
        <v>E:\PropInv\MF</v>
      </c>
      <c r="K6704" s="103" t="str">
        <f>HYPERLINK("E:\PropInv\MF\Grand Prairie\Prairie Ranch Dr_4950_Prairie Ranch Apts_Grand Prairie_17706","Prairie Ranch Dr_4950_Prairie Ranch Apts_Grand Prairie_17706" )</f>
        <v>Prairie Ranch Dr_4950_Prairie Ranch Apts_Grand Prairie_17706</v>
      </c>
      <c r="L6704" s="104" t="s">
        <v>22253</v>
      </c>
      <c r="M6704" s="103" t="str">
        <f t="shared" si="523"/>
        <v>http://oconnordata.com/mlink/modules/profile/index.cfm?action=profile&amp;prop_id=17706</v>
      </c>
      <c r="N6704" s="1">
        <f t="shared" si="524"/>
        <v>17706</v>
      </c>
    </row>
    <row r="6705" spans="1:14" x14ac:dyDescent="0.3">
      <c r="A6705" s="1">
        <v>17707</v>
      </c>
      <c r="B6705" s="7" t="s">
        <v>10056</v>
      </c>
      <c r="C6705" s="12">
        <v>1580</v>
      </c>
      <c r="D6705" s="7" t="s">
        <v>10057</v>
      </c>
      <c r="E6705" s="13" t="s">
        <v>5198</v>
      </c>
      <c r="F6705" t="str">
        <f t="shared" si="520"/>
        <v>Mira</v>
      </c>
      <c r="G6705" t="str">
        <f t="shared" si="521"/>
        <v>Mira1580Farmers Branch</v>
      </c>
      <c r="H6705" t="s">
        <v>37561</v>
      </c>
      <c r="I6705" t="s">
        <v>28977</v>
      </c>
      <c r="J6705" t="str">
        <f t="shared" si="522"/>
        <v>E:\PropInv\MF</v>
      </c>
      <c r="K6705" s="103" t="str">
        <f>HYPERLINK("E:\PropInv\MF\Farmers Branch\Mira Lago Blvd_1580_Laguna Vista at Mercer Crossing_Farmers Branch_17707","Mira Lago Blvd_1580_Laguna Vista at Mercer Crossing_Farmers Branch_17707" )</f>
        <v>Mira Lago Blvd_1580_Laguna Vista at Mercer Crossing_Farmers Branch_17707</v>
      </c>
      <c r="L6705" s="104" t="s">
        <v>22253</v>
      </c>
      <c r="M6705" s="103" t="str">
        <f t="shared" si="523"/>
        <v>http://oconnordata.com/mlink/modules/profile/index.cfm?action=profile&amp;prop_id=17707</v>
      </c>
      <c r="N6705" s="1">
        <f t="shared" si="524"/>
        <v>17707</v>
      </c>
    </row>
    <row r="6706" spans="1:14" x14ac:dyDescent="0.3">
      <c r="A6706" s="1">
        <v>17708</v>
      </c>
      <c r="B6706" s="7" t="s">
        <v>10058</v>
      </c>
      <c r="C6706" s="12">
        <v>2925</v>
      </c>
      <c r="D6706" s="7" t="s">
        <v>10059</v>
      </c>
      <c r="E6706" s="13" t="s">
        <v>5060</v>
      </c>
      <c r="F6706" t="str">
        <f t="shared" si="520"/>
        <v>Keller</v>
      </c>
      <c r="G6706" t="str">
        <f t="shared" si="521"/>
        <v>Keller2925Carrollton</v>
      </c>
      <c r="H6706" t="s">
        <v>37562</v>
      </c>
      <c r="I6706" t="s">
        <v>28978</v>
      </c>
      <c r="J6706" t="str">
        <f t="shared" si="522"/>
        <v>E:\PropInv\MF</v>
      </c>
      <c r="K6706" s="103" t="str">
        <f>HYPERLINK("E:\PropInv\MF\Carrollton\Keller Springs Rd_2925_Spicewood Crossing_Carrollton_17708","Keller Springs Rd_2925_Spicewood Crossing_Carrollton_17708" )</f>
        <v>Keller Springs Rd_2925_Spicewood Crossing_Carrollton_17708</v>
      </c>
      <c r="L6706" s="104" t="s">
        <v>22253</v>
      </c>
      <c r="M6706" s="103" t="str">
        <f t="shared" si="523"/>
        <v>http://oconnordata.com/mlink/modules/profile/index.cfm?action=profile&amp;prop_id=17708</v>
      </c>
      <c r="N6706" s="1">
        <f t="shared" si="524"/>
        <v>17708</v>
      </c>
    </row>
    <row r="6707" spans="1:14" x14ac:dyDescent="0.3">
      <c r="A6707" s="1">
        <v>17709</v>
      </c>
      <c r="B6707" s="7" t="s">
        <v>9470</v>
      </c>
      <c r="C6707" s="12">
        <v>7008</v>
      </c>
      <c r="D6707" s="7" t="s">
        <v>10060</v>
      </c>
      <c r="E6707" s="13" t="s">
        <v>5009</v>
      </c>
      <c r="F6707" t="str">
        <f t="shared" si="520"/>
        <v>Bishop</v>
      </c>
      <c r="G6707" t="str">
        <f t="shared" si="521"/>
        <v>Bishop7008Plano</v>
      </c>
      <c r="H6707" t="s">
        <v>37563</v>
      </c>
      <c r="I6707" t="s">
        <v>28979</v>
      </c>
      <c r="J6707" t="str">
        <f t="shared" si="522"/>
        <v>E:\PropInv\MF</v>
      </c>
      <c r="K6707" s="103" t="str">
        <f>HYPERLINK("E:\PropInv\MF\Plano\Bishop Rd_7008_Lakeside at Legacy Village III_Plano_17709","Bishop Rd_7008_Lakeside at Legacy Village III_Plano_17709" )</f>
        <v>Bishop Rd_7008_Lakeside at Legacy Village III_Plano_17709</v>
      </c>
      <c r="L6707" s="104" t="s">
        <v>22253</v>
      </c>
      <c r="M6707" s="103" t="str">
        <f t="shared" si="523"/>
        <v>http://oconnordata.com/mlink/modules/profile/index.cfm?action=profile&amp;prop_id=17709</v>
      </c>
      <c r="N6707" s="1">
        <f t="shared" si="524"/>
        <v>17709</v>
      </c>
    </row>
    <row r="6708" spans="1:14" x14ac:dyDescent="0.3">
      <c r="A6708" s="1">
        <v>17710</v>
      </c>
      <c r="B6708" s="7" t="s">
        <v>9470</v>
      </c>
      <c r="C6708" s="12">
        <v>7008</v>
      </c>
      <c r="D6708" s="7" t="s">
        <v>10061</v>
      </c>
      <c r="E6708" s="13" t="s">
        <v>5009</v>
      </c>
      <c r="F6708" t="str">
        <f t="shared" si="520"/>
        <v>Bishop</v>
      </c>
      <c r="G6708" t="str">
        <f t="shared" si="521"/>
        <v>Bishop7008Plano</v>
      </c>
      <c r="H6708" t="s">
        <v>37564</v>
      </c>
      <c r="I6708" t="s">
        <v>28980</v>
      </c>
      <c r="J6708" t="str">
        <f t="shared" si="522"/>
        <v>E:\PropInv\MF</v>
      </c>
      <c r="K6708" s="103" t="str">
        <f>HYPERLINK("E:\PropInv\MF\Plano\Bishop Rd_7008_Lakeside at Legacy Village IV_Plano_17710","Bishop Rd_7008_Lakeside at Legacy Village IV_Plano_17710" )</f>
        <v>Bishop Rd_7008_Lakeside at Legacy Village IV_Plano_17710</v>
      </c>
      <c r="L6708" s="104" t="s">
        <v>22253</v>
      </c>
      <c r="M6708" s="103" t="str">
        <f t="shared" si="523"/>
        <v>http://oconnordata.com/mlink/modules/profile/index.cfm?action=profile&amp;prop_id=17710</v>
      </c>
      <c r="N6708" s="1">
        <f t="shared" si="524"/>
        <v>17710</v>
      </c>
    </row>
    <row r="6709" spans="1:14" x14ac:dyDescent="0.3">
      <c r="A6709" s="1">
        <v>17711</v>
      </c>
      <c r="B6709" s="7" t="s">
        <v>10062</v>
      </c>
      <c r="C6709" s="12">
        <v>200</v>
      </c>
      <c r="D6709" s="7" t="s">
        <v>10063</v>
      </c>
      <c r="E6709" s="13" t="s">
        <v>5862</v>
      </c>
      <c r="F6709" t="str">
        <f t="shared" si="520"/>
        <v>Ryan</v>
      </c>
      <c r="G6709" t="str">
        <f t="shared" si="521"/>
        <v>Ryan200Red Oak</v>
      </c>
      <c r="H6709" t="s">
        <v>37565</v>
      </c>
      <c r="I6709" t="s">
        <v>28981</v>
      </c>
      <c r="J6709" t="str">
        <f t="shared" si="522"/>
        <v>E:\PropInv\MF</v>
      </c>
      <c r="K6709" s="103" t="str">
        <f>HYPERLINK("E:\PropInv\MF\Red Oak\Ryan Dr S_200_Red Oak Town Village I_Red Oak_17711","Ryan Dr S_200_Red Oak Town Village I_Red Oak_17711" )</f>
        <v>Ryan Dr S_200_Red Oak Town Village I_Red Oak_17711</v>
      </c>
      <c r="L6709" s="104" t="s">
        <v>22253</v>
      </c>
      <c r="M6709" s="103" t="str">
        <f t="shared" si="523"/>
        <v>http://oconnordata.com/mlink/modules/profile/index.cfm?action=profile&amp;prop_id=17711</v>
      </c>
      <c r="N6709" s="1">
        <f t="shared" si="524"/>
        <v>17711</v>
      </c>
    </row>
    <row r="6710" spans="1:14" x14ac:dyDescent="0.3">
      <c r="A6710" s="1">
        <v>17712</v>
      </c>
      <c r="B6710" s="7" t="s">
        <v>6586</v>
      </c>
      <c r="C6710" s="12">
        <v>2650</v>
      </c>
      <c r="D6710" s="7" t="s">
        <v>10064</v>
      </c>
      <c r="E6710" s="13" t="s">
        <v>5014</v>
      </c>
      <c r="F6710" t="str">
        <f t="shared" si="520"/>
        <v>Western</v>
      </c>
      <c r="G6710" t="str">
        <f t="shared" si="521"/>
        <v>Western2650Fort Worth</v>
      </c>
      <c r="H6710" t="s">
        <v>37566</v>
      </c>
      <c r="I6710" t="s">
        <v>28982</v>
      </c>
      <c r="J6710" t="str">
        <f t="shared" si="522"/>
        <v>E:\PropInv\MF</v>
      </c>
      <c r="K6710" s="103" t="str">
        <f>HYPERLINK("E:\PropInv\MF\Fort Worth\Western Center Blvd_2650_Indigo Pointe at Western Center_Fort Worth_17712","Western Center Blvd_2650_Indigo Pointe at Western Center_Fort Worth_17712" )</f>
        <v>Western Center Blvd_2650_Indigo Pointe at Western Center_Fort Worth_17712</v>
      </c>
      <c r="L6710" s="104" t="s">
        <v>22253</v>
      </c>
      <c r="M6710" s="103" t="str">
        <f t="shared" si="523"/>
        <v>http://oconnordata.com/mlink/modules/profile/index.cfm?action=profile&amp;prop_id=17712</v>
      </c>
      <c r="N6710" s="1">
        <f t="shared" si="524"/>
        <v>17712</v>
      </c>
    </row>
    <row r="6711" spans="1:14" x14ac:dyDescent="0.3">
      <c r="A6711" s="1">
        <v>17713</v>
      </c>
      <c r="B6711" s="7" t="s">
        <v>6822</v>
      </c>
      <c r="C6711" s="12">
        <v>3900</v>
      </c>
      <c r="D6711" s="7" t="s">
        <v>10065</v>
      </c>
      <c r="E6711" s="13" t="s">
        <v>6578</v>
      </c>
      <c r="F6711" t="str">
        <f t="shared" si="520"/>
        <v>Grapevine</v>
      </c>
      <c r="G6711" t="str">
        <f t="shared" si="521"/>
        <v>Grapevine3900Grapevine</v>
      </c>
      <c r="H6711" t="s">
        <v>37567</v>
      </c>
      <c r="I6711" t="s">
        <v>28983</v>
      </c>
      <c r="J6711" t="str">
        <f t="shared" si="522"/>
        <v>E:\PropInv\MF</v>
      </c>
      <c r="K6711" s="103" t="str">
        <f>HYPERLINK("E:\PropInv\MF\Grapevine\Grapevine Mills Pkwy_3900_Camden Riverwalk I, The Vistas_Grapevine_17713","Grapevine Mills Pkwy_3900_Camden Riverwalk I, The Vistas_Grapevine_17713" )</f>
        <v>Grapevine Mills Pkwy_3900_Camden Riverwalk I, The Vistas_Grapevine_17713</v>
      </c>
      <c r="L6711" s="104" t="s">
        <v>22253</v>
      </c>
      <c r="M6711" s="103" t="str">
        <f t="shared" si="523"/>
        <v>http://oconnordata.com/mlink/modules/profile/index.cfm?action=profile&amp;prop_id=17713</v>
      </c>
      <c r="N6711" s="1">
        <f t="shared" si="524"/>
        <v>17713</v>
      </c>
    </row>
    <row r="6712" spans="1:14" x14ac:dyDescent="0.3">
      <c r="A6712" s="1">
        <v>17714</v>
      </c>
      <c r="B6712" s="7" t="s">
        <v>10066</v>
      </c>
      <c r="C6712" s="12">
        <v>15050</v>
      </c>
      <c r="D6712" s="7" t="s">
        <v>10067</v>
      </c>
      <c r="E6712" s="13" t="s">
        <v>1657</v>
      </c>
      <c r="F6712" t="str">
        <f t="shared" si="520"/>
        <v>Copper</v>
      </c>
      <c r="G6712" t="str">
        <f t="shared" si="521"/>
        <v>Copper15050Houston</v>
      </c>
      <c r="H6712" t="s">
        <v>37568</v>
      </c>
      <c r="I6712" t="s">
        <v>28984</v>
      </c>
      <c r="J6712" t="str">
        <f t="shared" si="522"/>
        <v>E:\PropInv\MF</v>
      </c>
      <c r="K6712" s="103" t="str">
        <f>HYPERLINK("E:\PropInv\MF\Houston\Copper Grove Blvd_15050_Villas at Huffmeister_Houston_17714","Copper Grove Blvd_15050_Villas at Huffmeister_Houston_17714" )</f>
        <v>Copper Grove Blvd_15050_Villas at Huffmeister_Houston_17714</v>
      </c>
      <c r="L6712" s="104" t="s">
        <v>22253</v>
      </c>
      <c r="M6712" s="103" t="str">
        <f t="shared" si="523"/>
        <v>http://oconnordata.com/mlink/modules/profile/index.cfm?action=profile&amp;prop_id=17714</v>
      </c>
      <c r="N6712" s="1">
        <f t="shared" si="524"/>
        <v>17714</v>
      </c>
    </row>
    <row r="6713" spans="1:14" x14ac:dyDescent="0.3">
      <c r="A6713" s="1">
        <v>17715</v>
      </c>
      <c r="B6713" s="7" t="s">
        <v>10068</v>
      </c>
      <c r="C6713" s="12">
        <v>5000</v>
      </c>
      <c r="D6713" s="7" t="s">
        <v>10069</v>
      </c>
      <c r="E6713" s="13" t="s">
        <v>1657</v>
      </c>
      <c r="F6713" t="str">
        <f t="shared" si="520"/>
        <v>Pease</v>
      </c>
      <c r="G6713" t="str">
        <f t="shared" si="521"/>
        <v>Pease5000Houston</v>
      </c>
      <c r="H6713" t="s">
        <v>37569</v>
      </c>
      <c r="I6713" t="s">
        <v>28985</v>
      </c>
      <c r="J6713" t="str">
        <f t="shared" si="522"/>
        <v>E:\PropInv\MF</v>
      </c>
      <c r="K6713" s="103" t="str">
        <f>HYPERLINK("E:\PropInv\MF\Houston\Pease St_5000_Jefferson Square Apts_Houston_17715","Pease St_5000_Jefferson Square Apts_Houston_17715" )</f>
        <v>Pease St_5000_Jefferson Square Apts_Houston_17715</v>
      </c>
      <c r="L6713" s="104" t="s">
        <v>22253</v>
      </c>
      <c r="M6713" s="103" t="str">
        <f t="shared" si="523"/>
        <v>http://oconnordata.com/mlink/modules/profile/index.cfm?action=profile&amp;prop_id=17715</v>
      </c>
      <c r="N6713" s="1">
        <f t="shared" si="524"/>
        <v>17715</v>
      </c>
    </row>
    <row r="6714" spans="1:14" x14ac:dyDescent="0.3">
      <c r="A6714" s="1">
        <v>17716</v>
      </c>
      <c r="B6714" s="7" t="s">
        <v>10070</v>
      </c>
      <c r="C6714" s="12">
        <v>8625</v>
      </c>
      <c r="D6714" s="7" t="s">
        <v>10071</v>
      </c>
      <c r="E6714" s="13" t="s">
        <v>5014</v>
      </c>
      <c r="F6714" t="str">
        <f t="shared" si="520"/>
        <v>Ray</v>
      </c>
      <c r="G6714" t="str">
        <f t="shared" si="521"/>
        <v>Ray8625Fort Worth</v>
      </c>
      <c r="H6714" t="s">
        <v>37570</v>
      </c>
      <c r="I6714" t="s">
        <v>28986</v>
      </c>
      <c r="J6714" t="str">
        <f t="shared" si="522"/>
        <v>E:\PropInv\MF</v>
      </c>
      <c r="K6714" s="103" t="str">
        <f>HYPERLINK("E:\PropInv\MF\Fort Worth\Ray White Rd_8625_Republic Park Vista_Fort Worth_17716","Ray White Rd_8625_Republic Park Vista_Fort Worth_17716" )</f>
        <v>Ray White Rd_8625_Republic Park Vista_Fort Worth_17716</v>
      </c>
      <c r="L6714" s="104" t="s">
        <v>22253</v>
      </c>
      <c r="M6714" s="103" t="str">
        <f t="shared" si="523"/>
        <v>http://oconnordata.com/mlink/modules/profile/index.cfm?action=profile&amp;prop_id=17716</v>
      </c>
      <c r="N6714" s="1">
        <f t="shared" si="524"/>
        <v>17716</v>
      </c>
    </row>
    <row r="6715" spans="1:14" x14ac:dyDescent="0.3">
      <c r="A6715" s="1">
        <v>17717</v>
      </c>
      <c r="B6715" s="7" t="s">
        <v>10072</v>
      </c>
      <c r="C6715" s="12">
        <v>101</v>
      </c>
      <c r="D6715" s="7" t="s">
        <v>10073</v>
      </c>
      <c r="E6715" s="13" t="s">
        <v>1657</v>
      </c>
      <c r="F6715" t="str">
        <f t="shared" si="520"/>
        <v>Hollow</v>
      </c>
      <c r="G6715" t="str">
        <f t="shared" si="521"/>
        <v>Hollow101Houston</v>
      </c>
      <c r="H6715" t="s">
        <v>37571</v>
      </c>
      <c r="I6715" t="s">
        <v>28987</v>
      </c>
      <c r="J6715" t="str">
        <f t="shared" si="522"/>
        <v>E:\PropInv\MF</v>
      </c>
      <c r="K6715" s="103" t="str">
        <f>HYPERLINK("E:\PropInv\MF\Houston\Hollow Tree Ln_101_Republic Hollow Tree_Houston_17717","Hollow Tree Ln_101_Republic Hollow Tree_Houston_17717" )</f>
        <v>Hollow Tree Ln_101_Republic Hollow Tree_Houston_17717</v>
      </c>
      <c r="L6715" s="104" t="s">
        <v>22253</v>
      </c>
      <c r="M6715" s="103" t="str">
        <f t="shared" si="523"/>
        <v>http://oconnordata.com/mlink/modules/profile/index.cfm?action=profile&amp;prop_id=17717</v>
      </c>
      <c r="N6715" s="1">
        <f t="shared" si="524"/>
        <v>17717</v>
      </c>
    </row>
    <row r="6716" spans="1:14" x14ac:dyDescent="0.3">
      <c r="A6716" s="1">
        <v>17718</v>
      </c>
      <c r="B6716" s="7" t="s">
        <v>4773</v>
      </c>
      <c r="C6716" s="12">
        <v>201</v>
      </c>
      <c r="D6716" s="7" t="s">
        <v>10074</v>
      </c>
      <c r="E6716" s="13" t="s">
        <v>4616</v>
      </c>
      <c r="F6716" t="str">
        <f t="shared" si="520"/>
        <v>River</v>
      </c>
      <c r="G6716" t="str">
        <f t="shared" si="521"/>
        <v>River201Conroe</v>
      </c>
      <c r="H6716" t="s">
        <v>37572</v>
      </c>
      <c r="I6716" t="s">
        <v>28988</v>
      </c>
      <c r="J6716" t="str">
        <f t="shared" si="522"/>
        <v>E:\PropInv\MF</v>
      </c>
      <c r="K6716" s="103" t="str">
        <f>HYPERLINK("E:\PropInv\MF\Conroe\River Pointe Dr_201_The RiverWood Apts_Conroe_17718","River Pointe Dr_201_The RiverWood Apts_Conroe_17718" )</f>
        <v>River Pointe Dr_201_The RiverWood Apts_Conroe_17718</v>
      </c>
      <c r="L6716" s="104" t="s">
        <v>22253</v>
      </c>
      <c r="M6716" s="103" t="str">
        <f t="shared" si="523"/>
        <v>http://oconnordata.com/mlink/modules/profile/index.cfm?action=profile&amp;prop_id=17718</v>
      </c>
      <c r="N6716" s="1">
        <f t="shared" si="524"/>
        <v>17718</v>
      </c>
    </row>
    <row r="6717" spans="1:14" x14ac:dyDescent="0.3">
      <c r="A6717" s="1">
        <v>17719</v>
      </c>
      <c r="B6717" s="7" t="s">
        <v>4781</v>
      </c>
      <c r="C6717" s="12">
        <v>2910</v>
      </c>
      <c r="D6717" s="7" t="s">
        <v>10075</v>
      </c>
      <c r="E6717" s="13" t="s">
        <v>1657</v>
      </c>
      <c r="F6717" t="str">
        <f t="shared" si="520"/>
        <v>Reed</v>
      </c>
      <c r="G6717" t="str">
        <f t="shared" si="521"/>
        <v>Reed2910Houston</v>
      </c>
      <c r="H6717" t="s">
        <v>37573</v>
      </c>
      <c r="I6717" t="s">
        <v>28989</v>
      </c>
      <c r="J6717" t="str">
        <f t="shared" si="522"/>
        <v>E:\PropInv\MF</v>
      </c>
      <c r="K6717" s="103" t="str">
        <f>HYPERLINK("E:\PropInv\MF\Houston\Reed Rd_2910_Cypress Creek at Reed Rd_Houston_17719","Reed Rd_2910_Cypress Creek at Reed Rd_Houston_17719" )</f>
        <v>Reed Rd_2910_Cypress Creek at Reed Rd_Houston_17719</v>
      </c>
      <c r="L6717" s="104" t="s">
        <v>22253</v>
      </c>
      <c r="M6717" s="103" t="str">
        <f t="shared" si="523"/>
        <v>http://oconnordata.com/mlink/modules/profile/index.cfm?action=profile&amp;prop_id=17719</v>
      </c>
      <c r="N6717" s="1">
        <f t="shared" si="524"/>
        <v>17719</v>
      </c>
    </row>
    <row r="6718" spans="1:14" x14ac:dyDescent="0.3">
      <c r="A6718" s="1">
        <v>17720</v>
      </c>
      <c r="B6718" s="7" t="s">
        <v>4856</v>
      </c>
      <c r="C6718" s="12">
        <v>19030</v>
      </c>
      <c r="D6718" s="7" t="s">
        <v>10076</v>
      </c>
      <c r="E6718" s="13" t="s">
        <v>1832</v>
      </c>
      <c r="F6718" t="str">
        <f t="shared" si="520"/>
        <v>Timber</v>
      </c>
      <c r="G6718" t="str">
        <f t="shared" si="521"/>
        <v>Timber19030Atascocita</v>
      </c>
      <c r="H6718" t="s">
        <v>37574</v>
      </c>
      <c r="I6718" t="s">
        <v>28990</v>
      </c>
      <c r="J6718" t="str">
        <f t="shared" si="522"/>
        <v>E:\PropInv\MF</v>
      </c>
      <c r="K6718" s="103" t="str">
        <f>HYPERLINK("E:\PropInv\MF\Atascocita\Timber Forest Dr_19030_Wentworth Senior Housing_Atascocita_17720","Timber Forest Dr_19030_Wentworth Senior Housing_Atascocita_17720" )</f>
        <v>Timber Forest Dr_19030_Wentworth Senior Housing_Atascocita_17720</v>
      </c>
      <c r="L6718" s="104" t="s">
        <v>22253</v>
      </c>
      <c r="M6718" s="103" t="str">
        <f t="shared" si="523"/>
        <v>http://oconnordata.com/mlink/modules/profile/index.cfm?action=profile&amp;prop_id=17720</v>
      </c>
      <c r="N6718" s="1">
        <f t="shared" si="524"/>
        <v>17720</v>
      </c>
    </row>
    <row r="6719" spans="1:14" x14ac:dyDescent="0.3">
      <c r="A6719" s="1">
        <v>17721</v>
      </c>
      <c r="B6719" s="7" t="s">
        <v>10077</v>
      </c>
      <c r="C6719" s="12">
        <v>2402</v>
      </c>
      <c r="D6719" s="7" t="s">
        <v>5975</v>
      </c>
      <c r="E6719" s="13" t="s">
        <v>4563</v>
      </c>
      <c r="F6719" t="str">
        <f t="shared" si="520"/>
        <v>Dickinson</v>
      </c>
      <c r="G6719" t="str">
        <f t="shared" si="521"/>
        <v>Dickinson2402League City</v>
      </c>
      <c r="H6719" t="s">
        <v>37575</v>
      </c>
      <c r="I6719" t="s">
        <v>28991</v>
      </c>
      <c r="J6719" t="str">
        <f t="shared" si="522"/>
        <v>E:\PropInv\MF</v>
      </c>
      <c r="K6719" s="103" t="str">
        <f>HYPERLINK("E:\PropInv\MF\League City\Dickinson Ave_2402_Oak Tree Village_League City_17721","Dickinson Ave_2402_Oak Tree Village_League City_17721" )</f>
        <v>Dickinson Ave_2402_Oak Tree Village_League City_17721</v>
      </c>
      <c r="L6719" s="104" t="s">
        <v>22253</v>
      </c>
      <c r="M6719" s="103" t="str">
        <f t="shared" si="523"/>
        <v>http://oconnordata.com/mlink/modules/profile/index.cfm?action=profile&amp;prop_id=17721</v>
      </c>
      <c r="N6719" s="1">
        <f t="shared" si="524"/>
        <v>17721</v>
      </c>
    </row>
    <row r="6720" spans="1:14" x14ac:dyDescent="0.3">
      <c r="A6720" s="1">
        <v>17722</v>
      </c>
      <c r="B6720" s="7" t="s">
        <v>10078</v>
      </c>
      <c r="C6720" s="12">
        <v>4305</v>
      </c>
      <c r="D6720" s="7" t="s">
        <v>10079</v>
      </c>
      <c r="E6720" s="13" t="s">
        <v>4038</v>
      </c>
      <c r="F6720" t="str">
        <f t="shared" si="520"/>
        <v>Glenwood</v>
      </c>
      <c r="G6720" t="str">
        <f t="shared" si="521"/>
        <v>Glenwood4305Deer Park</v>
      </c>
      <c r="H6720" t="s">
        <v>37576</v>
      </c>
      <c r="I6720" t="s">
        <v>28992</v>
      </c>
      <c r="J6720" t="str">
        <f t="shared" si="522"/>
        <v>E:\PropInv\MF</v>
      </c>
      <c r="K6720" s="103" t="str">
        <f>HYPERLINK("E:\PropInv\MF\Deer Park\Glenwood Dr_4305_Glenwood Trails_Deer Park_17722","Glenwood Dr_4305_Glenwood Trails_Deer Park_17722" )</f>
        <v>Glenwood Dr_4305_Glenwood Trails_Deer Park_17722</v>
      </c>
      <c r="L6720" s="104" t="s">
        <v>22253</v>
      </c>
      <c r="M6720" s="103" t="str">
        <f t="shared" si="523"/>
        <v>http://oconnordata.com/mlink/modules/profile/index.cfm?action=profile&amp;prop_id=17722</v>
      </c>
      <c r="N6720" s="1">
        <f t="shared" si="524"/>
        <v>17722</v>
      </c>
    </row>
    <row r="6721" spans="1:14" x14ac:dyDescent="0.3">
      <c r="A6721" s="1">
        <v>17723</v>
      </c>
      <c r="B6721" s="7" t="s">
        <v>4418</v>
      </c>
      <c r="C6721" s="12">
        <v>3075</v>
      </c>
      <c r="D6721" s="7" t="s">
        <v>10080</v>
      </c>
      <c r="E6721" s="13" t="s">
        <v>4402</v>
      </c>
      <c r="F6721" t="str">
        <f t="shared" si="520"/>
        <v>Mustang</v>
      </c>
      <c r="G6721" t="str">
        <f t="shared" si="521"/>
        <v>Mustang3075Alvin</v>
      </c>
      <c r="H6721" t="s">
        <v>37577</v>
      </c>
      <c r="I6721" t="s">
        <v>28993</v>
      </c>
      <c r="J6721" t="str">
        <f t="shared" si="522"/>
        <v>E:\PropInv\MF</v>
      </c>
      <c r="K6721" s="103" t="str">
        <f>HYPERLINK("E:\PropInv\MF\Alvin\Mustang Rd_3075_The Melbourne Senior Apts_Alvin_17723","Mustang Rd_3075_The Melbourne Senior Apts_Alvin_17723" )</f>
        <v>Mustang Rd_3075_The Melbourne Senior Apts_Alvin_17723</v>
      </c>
      <c r="L6721" s="104" t="s">
        <v>22253</v>
      </c>
      <c r="M6721" s="103" t="str">
        <f t="shared" si="523"/>
        <v>http://oconnordata.com/mlink/modules/profile/index.cfm?action=profile&amp;prop_id=17723</v>
      </c>
      <c r="N6721" s="1">
        <f t="shared" si="524"/>
        <v>17723</v>
      </c>
    </row>
    <row r="6722" spans="1:14" x14ac:dyDescent="0.3">
      <c r="A6722" s="1">
        <v>17724</v>
      </c>
      <c r="B6722" s="7" t="s">
        <v>10081</v>
      </c>
      <c r="C6722" s="12">
        <v>10014</v>
      </c>
      <c r="D6722" s="7" t="s">
        <v>10082</v>
      </c>
      <c r="E6722" s="13" t="s">
        <v>4532</v>
      </c>
      <c r="F6722" t="str">
        <f t="shared" ref="F6722:F6785" si="525">IFERROR(LEFT(B6722,FIND(" ",B6722)-1),B6722)</f>
        <v>Sam</v>
      </c>
      <c r="G6722" t="str">
        <f t="shared" ref="G6722:G6785" si="526">F6722&amp;C6722&amp;E6722</f>
        <v>Sam10014Missouri City</v>
      </c>
      <c r="H6722" t="s">
        <v>37578</v>
      </c>
      <c r="I6722" t="s">
        <v>28994</v>
      </c>
      <c r="J6722" t="str">
        <f t="shared" ref="J6722:J6785" si="527">IF(L6722="TX",Folder_Path,Folder_Path&amp;"\State_"&amp;L6722)</f>
        <v>E:\PropInv\MF</v>
      </c>
      <c r="K6722" s="103" t="str">
        <f>HYPERLINK("E:\PropInv\MF\Missouri City\Sam Houston Pkwy W S_10014_Hometowne at Missouri City_Missouri City_17724","Sam Houston Pkwy W S_10014_Hometowne at Missouri City_Missouri City_17724" )</f>
        <v>Sam Houston Pkwy W S_10014_Hometowne at Missouri City_Missouri City_17724</v>
      </c>
      <c r="L6722" s="104" t="s">
        <v>22253</v>
      </c>
      <c r="M6722" s="103" t="str">
        <f t="shared" ref="M6722:M6785" si="528">HYPERLINK("http://oconnordata.com/mlink/modules/profile/index.cfm?action=profile&amp;prop_id="&amp;A6722)</f>
        <v>http://oconnordata.com/mlink/modules/profile/index.cfm?action=profile&amp;prop_id=17724</v>
      </c>
      <c r="N6722" s="1">
        <f t="shared" ref="N6722:N6785" si="529">IF(LEN(A6722)=1,"0000"&amp;A6722,IF(LEN(A6722)=2,"000"&amp;A6722,IF(LEN(A6722)=3,"00"&amp;A6722,IF(LEN(A6722)=4,"0"&amp;A6722,IF(LEN(A6722)=5,IF(LEFT(A6722,1)="3",A6722+30000,A6722))))))</f>
        <v>17724</v>
      </c>
    </row>
    <row r="6723" spans="1:14" x14ac:dyDescent="0.3">
      <c r="A6723" s="1">
        <v>17725</v>
      </c>
      <c r="B6723" s="7" t="s">
        <v>10083</v>
      </c>
      <c r="C6723" s="12">
        <v>901</v>
      </c>
      <c r="D6723" s="7" t="s">
        <v>10084</v>
      </c>
      <c r="E6723" s="13" t="s">
        <v>6612</v>
      </c>
      <c r="F6723" t="str">
        <f t="shared" si="525"/>
        <v>Hurst</v>
      </c>
      <c r="G6723" t="str">
        <f t="shared" si="526"/>
        <v>Hurst901Hurst</v>
      </c>
      <c r="H6723" t="s">
        <v>37579</v>
      </c>
      <c r="I6723" t="s">
        <v>28995</v>
      </c>
      <c r="J6723" t="str">
        <f t="shared" si="527"/>
        <v>E:\PropInv\MF</v>
      </c>
      <c r="K6723" s="103" t="str">
        <f>HYPERLINK("E:\PropInv\MF\Hurst\Hurst Blvd W_901_Villas on Calloway Creek_Hurst_17725","Hurst Blvd W_901_Villas on Calloway Creek_Hurst_17725" )</f>
        <v>Hurst Blvd W_901_Villas on Calloway Creek_Hurst_17725</v>
      </c>
      <c r="L6723" s="104" t="s">
        <v>22253</v>
      </c>
      <c r="M6723" s="103" t="str">
        <f t="shared" si="528"/>
        <v>http://oconnordata.com/mlink/modules/profile/index.cfm?action=profile&amp;prop_id=17725</v>
      </c>
      <c r="N6723" s="1">
        <f t="shared" si="529"/>
        <v>17725</v>
      </c>
    </row>
    <row r="6724" spans="1:14" x14ac:dyDescent="0.3">
      <c r="A6724" s="1">
        <v>17726</v>
      </c>
      <c r="B6724" s="7" t="s">
        <v>10085</v>
      </c>
      <c r="C6724" s="12">
        <v>816</v>
      </c>
      <c r="D6724" s="29" t="s">
        <v>10086</v>
      </c>
      <c r="E6724" s="13" t="s">
        <v>5097</v>
      </c>
      <c r="F6724" t="str">
        <f t="shared" si="525"/>
        <v>Bell</v>
      </c>
      <c r="G6724" t="str">
        <f t="shared" si="526"/>
        <v>Bell816Denton</v>
      </c>
      <c r="H6724" t="s">
        <v>37580</v>
      </c>
      <c r="I6724" t="s">
        <v>28996</v>
      </c>
      <c r="J6724" t="str">
        <f t="shared" si="527"/>
        <v>E:\PropInv\MF</v>
      </c>
      <c r="K6724" s="103" t="str">
        <f>HYPERLINK("E:\PropInv\MF\Denton\Bell Ave N_816_Bellmere Apts_Denton_17726","Bell Ave N_816_Bellmere Apts_Denton_17726" )</f>
        <v>Bell Ave N_816_Bellmere Apts_Denton_17726</v>
      </c>
      <c r="L6724" s="104" t="s">
        <v>22253</v>
      </c>
      <c r="M6724" s="103" t="str">
        <f t="shared" si="528"/>
        <v>http://oconnordata.com/mlink/modules/profile/index.cfm?action=profile&amp;prop_id=17726</v>
      </c>
      <c r="N6724" s="1">
        <f t="shared" si="529"/>
        <v>17726</v>
      </c>
    </row>
    <row r="6725" spans="1:14" x14ac:dyDescent="0.3">
      <c r="A6725" s="1">
        <v>17727</v>
      </c>
      <c r="B6725" s="7" t="s">
        <v>10087</v>
      </c>
      <c r="C6725" s="12">
        <v>603</v>
      </c>
      <c r="D6725" s="7" t="s">
        <v>10088</v>
      </c>
      <c r="E6725" s="13" t="s">
        <v>5097</v>
      </c>
      <c r="F6725" t="str">
        <f t="shared" si="525"/>
        <v>Eagle</v>
      </c>
      <c r="G6725" t="str">
        <f t="shared" si="526"/>
        <v>Eagle603Denton</v>
      </c>
      <c r="H6725" t="s">
        <v>37581</v>
      </c>
      <c r="I6725" t="s">
        <v>28997</v>
      </c>
      <c r="J6725" t="str">
        <f t="shared" si="527"/>
        <v>E:\PropInv\MF</v>
      </c>
      <c r="K6725" s="103" t="str">
        <f>HYPERLINK("E:\PropInv\MF\Denton\Eagle Dr_603_Eagle's Nest_Denton_17727","Eagle Dr_603_Eagle's Nest_Denton_17727" )</f>
        <v>Eagle Dr_603_Eagle's Nest_Denton_17727</v>
      </c>
      <c r="L6725" s="104" t="s">
        <v>22253</v>
      </c>
      <c r="M6725" s="103" t="str">
        <f t="shared" si="528"/>
        <v>http://oconnordata.com/mlink/modules/profile/index.cfm?action=profile&amp;prop_id=17727</v>
      </c>
      <c r="N6725" s="1">
        <f t="shared" si="529"/>
        <v>17727</v>
      </c>
    </row>
    <row r="6726" spans="1:14" x14ac:dyDescent="0.3">
      <c r="A6726" s="1">
        <v>17729</v>
      </c>
      <c r="B6726" s="10" t="s">
        <v>10089</v>
      </c>
      <c r="C6726" s="9">
        <v>11209</v>
      </c>
      <c r="D6726" s="10" t="s">
        <v>10090</v>
      </c>
      <c r="E6726" s="11" t="s">
        <v>5012</v>
      </c>
      <c r="F6726" t="str">
        <f t="shared" si="525"/>
        <v>Ryliecrest</v>
      </c>
      <c r="G6726" t="str">
        <f t="shared" si="526"/>
        <v>Ryliecrest11209Balch Springs</v>
      </c>
      <c r="H6726" t="s">
        <v>37582</v>
      </c>
      <c r="I6726" t="s">
        <v>28998</v>
      </c>
      <c r="J6726" t="str">
        <f t="shared" si="527"/>
        <v>E:\PropInv\MF</v>
      </c>
      <c r="K6726" s="103" t="str">
        <f>HYPERLINK("E:\PropInv\MF\Balch Springs\Ryliecrest Dr_11209_Peachtree Senior Living_Balch Springs_17729","Ryliecrest Dr_11209_Peachtree Senior Living_Balch Springs_17729" )</f>
        <v>Ryliecrest Dr_11209_Peachtree Senior Living_Balch Springs_17729</v>
      </c>
      <c r="L6726" s="104" t="s">
        <v>22253</v>
      </c>
      <c r="M6726" s="103" t="str">
        <f t="shared" si="528"/>
        <v>http://oconnordata.com/mlink/modules/profile/index.cfm?action=profile&amp;prop_id=17729</v>
      </c>
      <c r="N6726" s="1">
        <f t="shared" si="529"/>
        <v>17729</v>
      </c>
    </row>
    <row r="6727" spans="1:14" x14ac:dyDescent="0.3">
      <c r="A6727" s="1">
        <v>17730</v>
      </c>
      <c r="B6727" s="10" t="s">
        <v>10056</v>
      </c>
      <c r="C6727" s="9">
        <v>11701</v>
      </c>
      <c r="D6727" s="10" t="s">
        <v>10091</v>
      </c>
      <c r="E6727" s="11" t="s">
        <v>5198</v>
      </c>
      <c r="F6727" t="str">
        <f t="shared" si="525"/>
        <v>Mira</v>
      </c>
      <c r="G6727" t="str">
        <f t="shared" si="526"/>
        <v>Mira11701Farmers Branch</v>
      </c>
      <c r="H6727" t="s">
        <v>37583</v>
      </c>
      <c r="I6727" t="s">
        <v>28999</v>
      </c>
      <c r="J6727" t="str">
        <f t="shared" si="527"/>
        <v>E:\PropInv\MF</v>
      </c>
      <c r="K6727" s="103" t="str">
        <f>HYPERLINK("E:\PropInv\MF\Farmers Branch\Mira Lago Blvd_11701_Evergreen at Farmers Branch_Farmers Branch_17730","Mira Lago Blvd_11701_Evergreen at Farmers Branch_Farmers Branch_17730" )</f>
        <v>Mira Lago Blvd_11701_Evergreen at Farmers Branch_Farmers Branch_17730</v>
      </c>
      <c r="L6727" s="104" t="s">
        <v>22253</v>
      </c>
      <c r="M6727" s="103" t="str">
        <f t="shared" si="528"/>
        <v>http://oconnordata.com/mlink/modules/profile/index.cfm?action=profile&amp;prop_id=17730</v>
      </c>
      <c r="N6727" s="1">
        <f t="shared" si="529"/>
        <v>17730</v>
      </c>
    </row>
    <row r="6728" spans="1:14" x14ac:dyDescent="0.3">
      <c r="A6728" s="1">
        <v>17731</v>
      </c>
      <c r="B6728" s="7" t="s">
        <v>10092</v>
      </c>
      <c r="C6728" s="12">
        <v>5500</v>
      </c>
      <c r="D6728" s="7" t="s">
        <v>10093</v>
      </c>
      <c r="E6728" s="13" t="s">
        <v>5014</v>
      </c>
      <c r="F6728" t="str">
        <f t="shared" si="525"/>
        <v>Eastland</v>
      </c>
      <c r="G6728" t="str">
        <f t="shared" si="526"/>
        <v>Eastland5500Fort Worth</v>
      </c>
      <c r="H6728" t="s">
        <v>37584</v>
      </c>
      <c r="I6728" t="s">
        <v>29000</v>
      </c>
      <c r="J6728" t="str">
        <f t="shared" si="527"/>
        <v>E:\PropInv\MF</v>
      </c>
      <c r="K6728" s="103" t="str">
        <f>HYPERLINK("E:\PropInv\MF\Fort Worth\Eastland St_5500_Residences at Eastland_Fort Worth_17731","Eastland St_5500_Residences at Eastland_Fort Worth_17731" )</f>
        <v>Eastland St_5500_Residences at Eastland_Fort Worth_17731</v>
      </c>
      <c r="L6728" s="104" t="s">
        <v>22253</v>
      </c>
      <c r="M6728" s="103" t="str">
        <f t="shared" si="528"/>
        <v>http://oconnordata.com/mlink/modules/profile/index.cfm?action=profile&amp;prop_id=17731</v>
      </c>
      <c r="N6728" s="1">
        <f t="shared" si="529"/>
        <v>17731</v>
      </c>
    </row>
    <row r="6729" spans="1:14" x14ac:dyDescent="0.3">
      <c r="A6729" s="1">
        <v>17732</v>
      </c>
      <c r="B6729" s="37" t="s">
        <v>4997</v>
      </c>
      <c r="C6729" s="38">
        <v>4242</v>
      </c>
      <c r="D6729" s="29" t="s">
        <v>2497</v>
      </c>
      <c r="E6729" s="39" t="s">
        <v>4996</v>
      </c>
      <c r="F6729" t="str">
        <f t="shared" si="525"/>
        <v>Cedar</v>
      </c>
      <c r="G6729" t="str">
        <f t="shared" si="526"/>
        <v>Cedar4242Dallas</v>
      </c>
      <c r="H6729" t="s">
        <v>37585</v>
      </c>
      <c r="I6729" t="s">
        <v>29001</v>
      </c>
      <c r="J6729" t="str">
        <f t="shared" si="527"/>
        <v>E:\PropInv\MF</v>
      </c>
      <c r="K6729" s="103" t="str">
        <f>HYPERLINK("E:\PropInv\MF\Dallas\Cedar Springs_4242_NF_Dallas_17732","Cedar Springs_4242_NF_Dallas_17732" )</f>
        <v>Cedar Springs_4242_NF_Dallas_17732</v>
      </c>
      <c r="L6729" s="104" t="s">
        <v>22253</v>
      </c>
      <c r="M6729" s="103" t="str">
        <f t="shared" si="528"/>
        <v>http://oconnordata.com/mlink/modules/profile/index.cfm?action=profile&amp;prop_id=17732</v>
      </c>
      <c r="N6729" s="1">
        <f t="shared" si="529"/>
        <v>17732</v>
      </c>
    </row>
    <row r="6730" spans="1:14" x14ac:dyDescent="0.3">
      <c r="A6730" s="1">
        <v>17733</v>
      </c>
      <c r="B6730" s="7" t="s">
        <v>10094</v>
      </c>
      <c r="C6730" s="12">
        <v>201</v>
      </c>
      <c r="D6730" s="7" t="s">
        <v>10095</v>
      </c>
      <c r="E6730" s="13" t="s">
        <v>4399</v>
      </c>
      <c r="F6730" t="str">
        <f t="shared" si="525"/>
        <v>Verde</v>
      </c>
      <c r="G6730" t="str">
        <f t="shared" si="526"/>
        <v>Verde201Clute</v>
      </c>
      <c r="H6730" t="s">
        <v>37586</v>
      </c>
      <c r="I6730" t="s">
        <v>29002</v>
      </c>
      <c r="J6730" t="str">
        <f t="shared" si="527"/>
        <v>E:\PropInv\MF</v>
      </c>
      <c r="K6730" s="103" t="str">
        <f>HYPERLINK("E:\PropInv\MF\Clute\Verde Dr_201_The Gibraltar_Clute_17733","Verde Dr_201_The Gibraltar_Clute_17733" )</f>
        <v>Verde Dr_201_The Gibraltar_Clute_17733</v>
      </c>
      <c r="L6730" s="104" t="s">
        <v>22253</v>
      </c>
      <c r="M6730" s="103" t="str">
        <f t="shared" si="528"/>
        <v>http://oconnordata.com/mlink/modules/profile/index.cfm?action=profile&amp;prop_id=17733</v>
      </c>
      <c r="N6730" s="1">
        <f t="shared" si="529"/>
        <v>17733</v>
      </c>
    </row>
    <row r="6731" spans="1:14" x14ac:dyDescent="0.3">
      <c r="A6731" s="1">
        <v>17734</v>
      </c>
      <c r="B6731" s="7" t="s">
        <v>10096</v>
      </c>
      <c r="C6731" s="12">
        <v>2421</v>
      </c>
      <c r="D6731" s="7" t="s">
        <v>10097</v>
      </c>
      <c r="E6731" s="13" t="s">
        <v>5097</v>
      </c>
      <c r="F6731" t="str">
        <f t="shared" si="525"/>
        <v>Bell</v>
      </c>
      <c r="G6731" t="str">
        <f t="shared" si="526"/>
        <v>Bell2421Denton</v>
      </c>
      <c r="H6731" t="s">
        <v>37587</v>
      </c>
      <c r="I6731" t="s">
        <v>29003</v>
      </c>
      <c r="J6731" t="str">
        <f t="shared" si="527"/>
        <v>E:\PropInv\MF</v>
      </c>
      <c r="K6731" s="103" t="str">
        <f>HYPERLINK("E:\PropInv\MF\Denton\Bell Ave_2421_Foxfire Apts_Denton_17734","Bell Ave_2421_Foxfire Apts_Denton_17734" )</f>
        <v>Bell Ave_2421_Foxfire Apts_Denton_17734</v>
      </c>
      <c r="L6731" s="104" t="s">
        <v>22253</v>
      </c>
      <c r="M6731" s="103" t="str">
        <f t="shared" si="528"/>
        <v>http://oconnordata.com/mlink/modules/profile/index.cfm?action=profile&amp;prop_id=17734</v>
      </c>
      <c r="N6731" s="1">
        <f t="shared" si="529"/>
        <v>17734</v>
      </c>
    </row>
    <row r="6732" spans="1:14" x14ac:dyDescent="0.3">
      <c r="A6732" s="97">
        <v>17736</v>
      </c>
      <c r="B6732" s="7" t="s">
        <v>3120</v>
      </c>
      <c r="C6732" s="12">
        <v>3154</v>
      </c>
      <c r="D6732" s="7" t="s">
        <v>10098</v>
      </c>
      <c r="E6732" s="13" t="s">
        <v>1657</v>
      </c>
      <c r="F6732" t="str">
        <f t="shared" si="525"/>
        <v>Gray</v>
      </c>
      <c r="G6732" t="str">
        <f t="shared" si="526"/>
        <v>Gray3154Houston</v>
      </c>
      <c r="H6732" t="s">
        <v>37588</v>
      </c>
      <c r="I6732" t="s">
        <v>29004</v>
      </c>
      <c r="J6732" t="str">
        <f t="shared" si="527"/>
        <v>E:\PropInv\MF</v>
      </c>
      <c r="K6732" s="103" t="str">
        <f>HYPERLINK("E:\PropInv\MF\Houston\Gray St_3154_Zion Village_Houston_17736","Gray St_3154_Zion Village_Houston_17736" )</f>
        <v>Gray St_3154_Zion Village_Houston_17736</v>
      </c>
      <c r="L6732" s="104" t="s">
        <v>22253</v>
      </c>
      <c r="M6732" s="103" t="str">
        <f t="shared" si="528"/>
        <v>http://oconnordata.com/mlink/modules/profile/index.cfm?action=profile&amp;prop_id=17736</v>
      </c>
      <c r="N6732" s="1">
        <f t="shared" si="529"/>
        <v>17736</v>
      </c>
    </row>
    <row r="6733" spans="1:14" x14ac:dyDescent="0.3">
      <c r="A6733" s="1">
        <v>17737</v>
      </c>
      <c r="B6733" s="7" t="s">
        <v>10099</v>
      </c>
      <c r="C6733" s="12">
        <v>1423</v>
      </c>
      <c r="D6733" s="7" t="s">
        <v>10100</v>
      </c>
      <c r="E6733" s="13" t="s">
        <v>4297</v>
      </c>
      <c r="F6733" t="str">
        <f t="shared" si="525"/>
        <v>Parkwood</v>
      </c>
      <c r="G6733" t="str">
        <f t="shared" si="526"/>
        <v>Parkwood1423Friendswood</v>
      </c>
      <c r="H6733" t="s">
        <v>37589</v>
      </c>
      <c r="I6733" t="s">
        <v>29005</v>
      </c>
      <c r="J6733" t="str">
        <f t="shared" si="527"/>
        <v>E:\PropInv\MF</v>
      </c>
      <c r="K6733" s="103" t="str">
        <f>HYPERLINK("E:\PropInv\MF\Friendswood\Parkwood Ave W_1423_Gardens at Friendswood Lakes_Friendswood_17737","Parkwood Ave W_1423_Gardens at Friendswood Lakes_Friendswood_17737" )</f>
        <v>Parkwood Ave W_1423_Gardens at Friendswood Lakes_Friendswood_17737</v>
      </c>
      <c r="L6733" s="104" t="s">
        <v>22253</v>
      </c>
      <c r="M6733" s="103" t="str">
        <f t="shared" si="528"/>
        <v>http://oconnordata.com/mlink/modules/profile/index.cfm?action=profile&amp;prop_id=17737</v>
      </c>
      <c r="N6733" s="1">
        <f t="shared" si="529"/>
        <v>17737</v>
      </c>
    </row>
    <row r="6734" spans="1:14" x14ac:dyDescent="0.3">
      <c r="A6734" s="1">
        <v>17738</v>
      </c>
      <c r="B6734" s="7" t="s">
        <v>10101</v>
      </c>
      <c r="C6734" s="12">
        <v>3201</v>
      </c>
      <c r="D6734" s="7" t="s">
        <v>10102</v>
      </c>
      <c r="E6734" s="13" t="s">
        <v>18</v>
      </c>
      <c r="F6734" t="str">
        <f t="shared" si="525"/>
        <v>Bluffs</v>
      </c>
      <c r="G6734" t="str">
        <f t="shared" si="526"/>
        <v>Bluffs3201Round Rock</v>
      </c>
      <c r="H6734" t="s">
        <v>37590</v>
      </c>
      <c r="I6734" t="s">
        <v>29006</v>
      </c>
      <c r="J6734" t="str">
        <f t="shared" si="527"/>
        <v>E:\PropInv\MF</v>
      </c>
      <c r="K6734" s="103" t="str">
        <f>HYPERLINK("E:\PropInv\MF\Round Rock\Bluffs Landing Way_3201_Bluffs Landing Senior Village_Round Rock_17738","Bluffs Landing Way_3201_Bluffs Landing Senior Village_Round Rock_17738" )</f>
        <v>Bluffs Landing Way_3201_Bluffs Landing Senior Village_Round Rock_17738</v>
      </c>
      <c r="L6734" s="104" t="s">
        <v>22253</v>
      </c>
      <c r="M6734" s="103" t="str">
        <f t="shared" si="528"/>
        <v>http://oconnordata.com/mlink/modules/profile/index.cfm?action=profile&amp;prop_id=17738</v>
      </c>
      <c r="N6734" s="1">
        <f t="shared" si="529"/>
        <v>17738</v>
      </c>
    </row>
    <row r="6735" spans="1:14" x14ac:dyDescent="0.3">
      <c r="A6735" s="1">
        <v>17740</v>
      </c>
      <c r="B6735" s="7" t="s">
        <v>10103</v>
      </c>
      <c r="C6735" s="12">
        <v>401</v>
      </c>
      <c r="D6735" s="7" t="s">
        <v>2782</v>
      </c>
      <c r="E6735" s="13" t="s">
        <v>10104</v>
      </c>
      <c r="F6735" t="str">
        <f t="shared" si="525"/>
        <v>2001</v>
      </c>
      <c r="G6735" t="str">
        <f t="shared" si="526"/>
        <v>2001401Buda</v>
      </c>
      <c r="H6735" t="s">
        <v>37591</v>
      </c>
      <c r="I6735" t="s">
        <v>29007</v>
      </c>
      <c r="J6735" t="str">
        <f t="shared" si="527"/>
        <v>E:\PropInv\MF</v>
      </c>
      <c r="K6735" s="103" t="str">
        <f>HYPERLINK("E:\PropInv\MF\Buda\2001 FM_401_Tuscany Park_Buda_17740","2001 FM_401_Tuscany Park_Buda_17740" )</f>
        <v>2001 FM_401_Tuscany Park_Buda_17740</v>
      </c>
      <c r="L6735" s="104" t="s">
        <v>22253</v>
      </c>
      <c r="M6735" s="103" t="str">
        <f t="shared" si="528"/>
        <v>http://oconnordata.com/mlink/modules/profile/index.cfm?action=profile&amp;prop_id=17740</v>
      </c>
      <c r="N6735" s="1">
        <f t="shared" si="529"/>
        <v>17740</v>
      </c>
    </row>
    <row r="6736" spans="1:14" x14ac:dyDescent="0.3">
      <c r="A6736" s="1">
        <v>17741</v>
      </c>
      <c r="B6736" s="7" t="s">
        <v>10105</v>
      </c>
      <c r="C6736" s="12">
        <v>901</v>
      </c>
      <c r="D6736" s="7" t="s">
        <v>10106</v>
      </c>
      <c r="E6736" s="13" t="s">
        <v>4563</v>
      </c>
      <c r="F6736" t="str">
        <f t="shared" si="525"/>
        <v>517</v>
      </c>
      <c r="G6736" t="str">
        <f t="shared" si="526"/>
        <v>517901League City</v>
      </c>
      <c r="H6736" t="s">
        <v>37592</v>
      </c>
      <c r="I6736" t="s">
        <v>29008</v>
      </c>
      <c r="J6736" t="str">
        <f t="shared" si="527"/>
        <v>E:\PropInv\MF</v>
      </c>
      <c r="K6736" s="103" t="str">
        <f>HYPERLINK("E:\PropInv\MF\League City\517 FM W_901_Jordan Cove_League City_17741","517 FM W_901_Jordan Cove_League City_17741" )</f>
        <v>517 FM W_901_Jordan Cove_League City_17741</v>
      </c>
      <c r="L6736" s="104" t="s">
        <v>22253</v>
      </c>
      <c r="M6736" s="103" t="str">
        <f t="shared" si="528"/>
        <v>http://oconnordata.com/mlink/modules/profile/index.cfm?action=profile&amp;prop_id=17741</v>
      </c>
      <c r="N6736" s="1">
        <f t="shared" si="529"/>
        <v>17741</v>
      </c>
    </row>
    <row r="6737" spans="1:14" x14ac:dyDescent="0.3">
      <c r="A6737" s="1">
        <v>17742</v>
      </c>
      <c r="B6737" s="7" t="s">
        <v>10107</v>
      </c>
      <c r="C6737" s="12">
        <v>7736</v>
      </c>
      <c r="D6737" s="7" t="s">
        <v>10108</v>
      </c>
      <c r="E6737" s="13" t="s">
        <v>4532</v>
      </c>
      <c r="F6737" t="str">
        <f t="shared" si="525"/>
        <v>Sign</v>
      </c>
      <c r="G6737" t="str">
        <f t="shared" si="526"/>
        <v>Sign7736Missouri City</v>
      </c>
      <c r="H6737" t="s">
        <v>37593</v>
      </c>
      <c r="I6737" t="s">
        <v>29009</v>
      </c>
      <c r="J6737" t="str">
        <f t="shared" si="527"/>
        <v>E:\PropInv\MF</v>
      </c>
      <c r="K6737" s="103" t="str">
        <f>HYPERLINK("E:\PropInv\MF\Missouri City\Sign St_7736_Westbury Village Homes_Missouri City_17742","Sign St_7736_Westbury Village Homes_Missouri City_17742" )</f>
        <v>Sign St_7736_Westbury Village Homes_Missouri City_17742</v>
      </c>
      <c r="L6737" s="104" t="s">
        <v>22253</v>
      </c>
      <c r="M6737" s="103" t="str">
        <f t="shared" si="528"/>
        <v>http://oconnordata.com/mlink/modules/profile/index.cfm?action=profile&amp;prop_id=17742</v>
      </c>
      <c r="N6737" s="1">
        <f t="shared" si="529"/>
        <v>17742</v>
      </c>
    </row>
    <row r="6738" spans="1:14" x14ac:dyDescent="0.3">
      <c r="A6738" s="1">
        <v>17743</v>
      </c>
      <c r="B6738" s="7" t="s">
        <v>10109</v>
      </c>
      <c r="C6738" s="12">
        <v>401</v>
      </c>
      <c r="D6738" s="7" t="s">
        <v>10110</v>
      </c>
      <c r="E6738" s="13" t="s">
        <v>1138</v>
      </c>
      <c r="F6738" t="str">
        <f t="shared" si="525"/>
        <v>Clearwater</v>
      </c>
      <c r="G6738" t="str">
        <f t="shared" si="526"/>
        <v>Clearwater401Kerrville</v>
      </c>
      <c r="H6738" t="s">
        <v>37594</v>
      </c>
      <c r="I6738" t="s">
        <v>29010</v>
      </c>
      <c r="J6738" t="str">
        <f t="shared" si="527"/>
        <v>E:\PropInv\MF</v>
      </c>
      <c r="K6738" s="103" t="str">
        <f>HYPERLINK("E:\PropInv\MF\Kerrville\Clearwater Paseo_401_Paseo de Paz_Kerrville_17743","Clearwater Paseo_401_Paseo de Paz_Kerrville_17743" )</f>
        <v>Clearwater Paseo_401_Paseo de Paz_Kerrville_17743</v>
      </c>
      <c r="L6738" s="104" t="s">
        <v>22253</v>
      </c>
      <c r="M6738" s="103" t="str">
        <f t="shared" si="528"/>
        <v>http://oconnordata.com/mlink/modules/profile/index.cfm?action=profile&amp;prop_id=17743</v>
      </c>
      <c r="N6738" s="1">
        <f t="shared" si="529"/>
        <v>17743</v>
      </c>
    </row>
    <row r="6739" spans="1:14" x14ac:dyDescent="0.3">
      <c r="A6739" s="1">
        <v>17744</v>
      </c>
      <c r="B6739" s="7" t="s">
        <v>10111</v>
      </c>
      <c r="C6739" s="12">
        <v>5635</v>
      </c>
      <c r="D6739" s="7" t="s">
        <v>10112</v>
      </c>
      <c r="E6739" s="13" t="s">
        <v>842</v>
      </c>
      <c r="F6739" t="str">
        <f t="shared" si="525"/>
        <v>Durango</v>
      </c>
      <c r="G6739" t="str">
        <f t="shared" si="526"/>
        <v>Durango5635San Antonio</v>
      </c>
      <c r="H6739" t="s">
        <v>37595</v>
      </c>
      <c r="I6739" t="s">
        <v>29011</v>
      </c>
      <c r="J6739" t="str">
        <f t="shared" si="527"/>
        <v>E:\PropInv\MF</v>
      </c>
      <c r="K6739" s="103" t="str">
        <f>HYPERLINK("E:\PropInv\MF\San Antonio\Durango W_5635_West Durango Plaza_San Antonio_17744","Durango W_5635_West Durango Plaza_San Antonio_17744" )</f>
        <v>Durango W_5635_West Durango Plaza_San Antonio_17744</v>
      </c>
      <c r="L6739" s="104" t="s">
        <v>22253</v>
      </c>
      <c r="M6739" s="103" t="str">
        <f t="shared" si="528"/>
        <v>http://oconnordata.com/mlink/modules/profile/index.cfm?action=profile&amp;prop_id=17744</v>
      </c>
      <c r="N6739" s="1">
        <f t="shared" si="529"/>
        <v>17744</v>
      </c>
    </row>
    <row r="6740" spans="1:14" x14ac:dyDescent="0.3">
      <c r="A6740" s="1">
        <v>17745</v>
      </c>
      <c r="B6740" s="7" t="s">
        <v>10113</v>
      </c>
      <c r="C6740" s="12">
        <v>934</v>
      </c>
      <c r="D6740" s="7" t="s">
        <v>10114</v>
      </c>
      <c r="E6740" s="13" t="s">
        <v>842</v>
      </c>
      <c r="F6740" t="str">
        <f t="shared" si="525"/>
        <v>35th</v>
      </c>
      <c r="G6740" t="str">
        <f t="shared" si="526"/>
        <v>35th934San Antonio</v>
      </c>
      <c r="H6740" t="s">
        <v>37596</v>
      </c>
      <c r="I6740" t="s">
        <v>29012</v>
      </c>
      <c r="J6740" t="str">
        <f t="shared" si="527"/>
        <v>E:\PropInv\MF</v>
      </c>
      <c r="K6740" s="103" t="str">
        <f>HYPERLINK("E:\PropInv\MF\San Antonio\35th St SW_934_West End Baptist Manor Apts_San Antonio_17745","35th St SW_934_West End Baptist Manor Apts_San Antonio_17745" )</f>
        <v>35th St SW_934_West End Baptist Manor Apts_San Antonio_17745</v>
      </c>
      <c r="L6740" s="104" t="s">
        <v>22253</v>
      </c>
      <c r="M6740" s="103" t="str">
        <f t="shared" si="528"/>
        <v>http://oconnordata.com/mlink/modules/profile/index.cfm?action=profile&amp;prop_id=17745</v>
      </c>
      <c r="N6740" s="1">
        <f t="shared" si="529"/>
        <v>17745</v>
      </c>
    </row>
    <row r="6741" spans="1:14" x14ac:dyDescent="0.3">
      <c r="A6741" s="1">
        <v>17746</v>
      </c>
      <c r="B6741" s="19" t="s">
        <v>10115</v>
      </c>
      <c r="C6741" s="18" t="s">
        <v>2497</v>
      </c>
      <c r="D6741" s="19" t="s">
        <v>10116</v>
      </c>
      <c r="E6741" s="20" t="s">
        <v>8774</v>
      </c>
      <c r="F6741" t="str">
        <f t="shared" si="525"/>
        <v>Nash</v>
      </c>
      <c r="G6741" t="str">
        <f t="shared" si="526"/>
        <v>NashNFBryan</v>
      </c>
      <c r="H6741" t="s">
        <v>37597</v>
      </c>
      <c r="I6741" t="s">
        <v>29013</v>
      </c>
      <c r="J6741" t="str">
        <f t="shared" si="527"/>
        <v>E:\PropInv\MF</v>
      </c>
      <c r="K6741" s="103" t="str">
        <f>HYPERLINK("E:\PropInv\MF\Bryan\Nash St_NF_Mansions at Briar Creek (on hold)_Bryan_17746","Nash St_NF_Mansions at Briar Creek (on hold)_Bryan_17746" )</f>
        <v>Nash St_NF_Mansions at Briar Creek (on hold)_Bryan_17746</v>
      </c>
      <c r="L6741" s="104" t="s">
        <v>22253</v>
      </c>
      <c r="M6741" s="103" t="str">
        <f t="shared" si="528"/>
        <v>http://oconnordata.com/mlink/modules/profile/index.cfm?action=profile&amp;prop_id=17746</v>
      </c>
      <c r="N6741" s="1">
        <f t="shared" si="529"/>
        <v>17746</v>
      </c>
    </row>
    <row r="6742" spans="1:14" x14ac:dyDescent="0.3">
      <c r="A6742" s="1">
        <v>17747</v>
      </c>
      <c r="B6742" s="7" t="s">
        <v>249</v>
      </c>
      <c r="C6742" s="12">
        <v>12435</v>
      </c>
      <c r="D6742" s="7" t="s">
        <v>10117</v>
      </c>
      <c r="E6742" s="13" t="s">
        <v>7</v>
      </c>
      <c r="F6742" t="str">
        <f t="shared" si="525"/>
        <v>Dessau</v>
      </c>
      <c r="G6742" t="str">
        <f t="shared" si="526"/>
        <v>Dessau12435Austin</v>
      </c>
      <c r="H6742" t="s">
        <v>37598</v>
      </c>
      <c r="I6742" t="s">
        <v>29014</v>
      </c>
      <c r="J6742" t="str">
        <f t="shared" si="527"/>
        <v>E:\PropInv\MF</v>
      </c>
      <c r="K6742" s="103" t="str">
        <f>HYPERLINK("E:\PropInv\MF\Austin\Dessau Rd_12435_Harris Branch AH_Austin_17747","Dessau Rd_12435_Harris Branch AH_Austin_17747" )</f>
        <v>Dessau Rd_12435_Harris Branch AH_Austin_17747</v>
      </c>
      <c r="L6742" s="104" t="s">
        <v>22253</v>
      </c>
      <c r="M6742" s="103" t="str">
        <f t="shared" si="528"/>
        <v>http://oconnordata.com/mlink/modules/profile/index.cfm?action=profile&amp;prop_id=17747</v>
      </c>
      <c r="N6742" s="1">
        <f t="shared" si="529"/>
        <v>17747</v>
      </c>
    </row>
    <row r="6743" spans="1:14" x14ac:dyDescent="0.3">
      <c r="A6743" s="1">
        <v>17748</v>
      </c>
      <c r="B6743" s="7" t="s">
        <v>10118</v>
      </c>
      <c r="C6743" s="12">
        <v>2414</v>
      </c>
      <c r="D6743" s="7" t="s">
        <v>10119</v>
      </c>
      <c r="E6743" s="13" t="s">
        <v>7</v>
      </c>
      <c r="F6743" t="str">
        <f t="shared" si="525"/>
        <v>Ventura</v>
      </c>
      <c r="G6743" t="str">
        <f t="shared" si="526"/>
        <v>Ventura2414Austin</v>
      </c>
      <c r="H6743" t="s">
        <v>37599</v>
      </c>
      <c r="I6743" t="s">
        <v>29015</v>
      </c>
      <c r="J6743" t="str">
        <f t="shared" si="527"/>
        <v>E:\PropInv\MF</v>
      </c>
      <c r="K6743" s="103" t="str">
        <f>HYPERLINK("E:\PropInv\MF\Austin\Ventura Dr_2414_Plaza Ventura_Austin_17748","Ventura Dr_2414_Plaza Ventura_Austin_17748" )</f>
        <v>Ventura Dr_2414_Plaza Ventura_Austin_17748</v>
      </c>
      <c r="L6743" s="104" t="s">
        <v>22253</v>
      </c>
      <c r="M6743" s="103" t="str">
        <f t="shared" si="528"/>
        <v>http://oconnordata.com/mlink/modules/profile/index.cfm?action=profile&amp;prop_id=17748</v>
      </c>
      <c r="N6743" s="1">
        <f t="shared" si="529"/>
        <v>17748</v>
      </c>
    </row>
    <row r="6744" spans="1:14" x14ac:dyDescent="0.3">
      <c r="A6744" s="97">
        <v>17750</v>
      </c>
      <c r="B6744" s="7" t="s">
        <v>10038</v>
      </c>
      <c r="C6744" s="12">
        <v>4415</v>
      </c>
      <c r="D6744" s="7" t="s">
        <v>10120</v>
      </c>
      <c r="E6744" s="13" t="s">
        <v>1657</v>
      </c>
      <c r="F6744" t="str">
        <f t="shared" si="525"/>
        <v>Shaver</v>
      </c>
      <c r="G6744" t="str">
        <f t="shared" si="526"/>
        <v>Shaver4415Houston</v>
      </c>
      <c r="H6744" t="s">
        <v>37600</v>
      </c>
      <c r="I6744" t="s">
        <v>29016</v>
      </c>
      <c r="J6744" t="str">
        <f t="shared" si="527"/>
        <v>E:\PropInv\MF</v>
      </c>
      <c r="K6744" s="103" t="str">
        <f>HYPERLINK("E:\PropInv\MF\Houston\Shaver Rd S_4415_Windshire Apts_Houston_17750","Shaver Rd S_4415_Windshire Apts_Houston_17750" )</f>
        <v>Shaver Rd S_4415_Windshire Apts_Houston_17750</v>
      </c>
      <c r="L6744" s="104" t="s">
        <v>22253</v>
      </c>
      <c r="M6744" s="103" t="str">
        <f t="shared" si="528"/>
        <v>http://oconnordata.com/mlink/modules/profile/index.cfm?action=profile&amp;prop_id=17750</v>
      </c>
      <c r="N6744" s="1">
        <f t="shared" si="529"/>
        <v>17750</v>
      </c>
    </row>
    <row r="6745" spans="1:14" x14ac:dyDescent="0.3">
      <c r="A6745" s="1">
        <v>17751</v>
      </c>
      <c r="B6745" s="7" t="s">
        <v>9426</v>
      </c>
      <c r="C6745" s="12">
        <v>14231</v>
      </c>
      <c r="D6745" s="7" t="s">
        <v>10121</v>
      </c>
      <c r="E6745" s="13" t="s">
        <v>4484</v>
      </c>
      <c r="F6745" t="str">
        <f t="shared" si="525"/>
        <v>1464</v>
      </c>
      <c r="G6745" t="str">
        <f t="shared" si="526"/>
        <v>146414231Sugar Land</v>
      </c>
      <c r="H6745" t="s">
        <v>37601</v>
      </c>
      <c r="I6745" t="s">
        <v>29017</v>
      </c>
      <c r="J6745" t="str">
        <f t="shared" si="527"/>
        <v>E:\PropInv\MF</v>
      </c>
      <c r="K6745" s="103" t="str">
        <f>HYPERLINK("E:\PropInv\MF\Sugar Land\1464 FM_14231_The Landmark of Sugarland II_Sugar Land_17751","1464 FM_14231_The Landmark of Sugarland II_Sugar Land_17751" )</f>
        <v>1464 FM_14231_The Landmark of Sugarland II_Sugar Land_17751</v>
      </c>
      <c r="L6745" s="104" t="s">
        <v>22253</v>
      </c>
      <c r="M6745" s="103" t="str">
        <f t="shared" si="528"/>
        <v>http://oconnordata.com/mlink/modules/profile/index.cfm?action=profile&amp;prop_id=17751</v>
      </c>
      <c r="N6745" s="1">
        <f t="shared" si="529"/>
        <v>17751</v>
      </c>
    </row>
    <row r="6746" spans="1:14" x14ac:dyDescent="0.3">
      <c r="A6746" s="1">
        <v>17752</v>
      </c>
      <c r="B6746" s="7" t="s">
        <v>2457</v>
      </c>
      <c r="C6746" s="12">
        <v>2125</v>
      </c>
      <c r="D6746" s="7" t="s">
        <v>10122</v>
      </c>
      <c r="E6746" s="13" t="s">
        <v>1657</v>
      </c>
      <c r="F6746" t="str">
        <f t="shared" si="525"/>
        <v>Yale</v>
      </c>
      <c r="G6746" t="str">
        <f t="shared" si="526"/>
        <v>Yale2125Houston</v>
      </c>
      <c r="H6746" t="s">
        <v>37602</v>
      </c>
      <c r="I6746" t="s">
        <v>29018</v>
      </c>
      <c r="J6746" t="str">
        <f t="shared" si="527"/>
        <v>E:\PropInv\MF</v>
      </c>
      <c r="K6746" s="103" t="str">
        <f>HYPERLINK("E:\PropInv\MF\Houston\Yale St_2125_2125 Yale_Houston_17752","Yale St_2125_2125 Yale_Houston_17752" )</f>
        <v>Yale St_2125_2125 Yale_Houston_17752</v>
      </c>
      <c r="L6746" s="104" t="s">
        <v>22253</v>
      </c>
      <c r="M6746" s="103" t="str">
        <f t="shared" si="528"/>
        <v>http://oconnordata.com/mlink/modules/profile/index.cfm?action=profile&amp;prop_id=17752</v>
      </c>
      <c r="N6746" s="1">
        <f t="shared" si="529"/>
        <v>17752</v>
      </c>
    </row>
    <row r="6747" spans="1:14" x14ac:dyDescent="0.3">
      <c r="A6747" s="1">
        <v>17753</v>
      </c>
      <c r="B6747" s="7" t="s">
        <v>10123</v>
      </c>
      <c r="C6747" s="12">
        <v>12020</v>
      </c>
      <c r="D6747" s="7" t="s">
        <v>10124</v>
      </c>
      <c r="E6747" s="13" t="s">
        <v>1657</v>
      </c>
      <c r="F6747" t="str">
        <f t="shared" si="525"/>
        <v>Gessner</v>
      </c>
      <c r="G6747" t="str">
        <f t="shared" si="526"/>
        <v>Gessner12020Houston</v>
      </c>
      <c r="H6747" t="s">
        <v>37603</v>
      </c>
      <c r="I6747" t="s">
        <v>29019</v>
      </c>
      <c r="J6747" t="str">
        <f t="shared" si="527"/>
        <v>E:\PropInv\MF</v>
      </c>
      <c r="K6747" s="103" t="str">
        <f>HYPERLINK("E:\PropInv\MF\Houston\Gessner Rd N_12020_Costa Vizcaya_Houston_17753","Gessner Rd N_12020_Costa Vizcaya_Houston_17753" )</f>
        <v>Gessner Rd N_12020_Costa Vizcaya_Houston_17753</v>
      </c>
      <c r="L6747" s="104" t="s">
        <v>22253</v>
      </c>
      <c r="M6747" s="103" t="str">
        <f t="shared" si="528"/>
        <v>http://oconnordata.com/mlink/modules/profile/index.cfm?action=profile&amp;prop_id=17753</v>
      </c>
      <c r="N6747" s="1">
        <f t="shared" si="529"/>
        <v>17753</v>
      </c>
    </row>
    <row r="6748" spans="1:14" x14ac:dyDescent="0.3">
      <c r="A6748" s="1">
        <v>17754</v>
      </c>
      <c r="B6748" s="7" t="s">
        <v>10125</v>
      </c>
      <c r="C6748" s="12">
        <v>3517</v>
      </c>
      <c r="D6748" s="7" t="s">
        <v>10126</v>
      </c>
      <c r="E6748" s="13" t="s">
        <v>5014</v>
      </c>
      <c r="F6748" t="str">
        <f t="shared" si="525"/>
        <v>University</v>
      </c>
      <c r="G6748" t="str">
        <f t="shared" si="526"/>
        <v>University3517Fort Worth</v>
      </c>
      <c r="H6748" t="s">
        <v>37604</v>
      </c>
      <c r="I6748" t="s">
        <v>29020</v>
      </c>
      <c r="J6748" t="str">
        <f t="shared" si="527"/>
        <v>E:\PropInv\MF</v>
      </c>
      <c r="K6748" s="103" t="str">
        <f>HYPERLINK("E:\PropInv\MF\Fort Worth\University Dr S_3517_Edge 55_Fort Worth_17754","University Dr S_3517_Edge 55_Fort Worth_17754" )</f>
        <v>University Dr S_3517_Edge 55_Fort Worth_17754</v>
      </c>
      <c r="L6748" s="104" t="s">
        <v>22253</v>
      </c>
      <c r="M6748" s="103" t="str">
        <f t="shared" si="528"/>
        <v>http://oconnordata.com/mlink/modules/profile/index.cfm?action=profile&amp;prop_id=17754</v>
      </c>
      <c r="N6748" s="1">
        <f t="shared" si="529"/>
        <v>17754</v>
      </c>
    </row>
    <row r="6749" spans="1:14" x14ac:dyDescent="0.3">
      <c r="A6749" s="1">
        <v>17757</v>
      </c>
      <c r="B6749" s="7" t="s">
        <v>10127</v>
      </c>
      <c r="C6749" s="12">
        <v>555</v>
      </c>
      <c r="D6749" s="7" t="s">
        <v>10128</v>
      </c>
      <c r="E6749" s="13" t="s">
        <v>4563</v>
      </c>
      <c r="F6749" t="str">
        <f t="shared" si="525"/>
        <v>646</v>
      </c>
      <c r="G6749" t="str">
        <f t="shared" si="526"/>
        <v>646555League City</v>
      </c>
      <c r="H6749" t="s">
        <v>37605</v>
      </c>
      <c r="I6749" t="s">
        <v>29021</v>
      </c>
      <c r="J6749" t="str">
        <f t="shared" si="527"/>
        <v>E:\PropInv\MF</v>
      </c>
      <c r="K6749" s="103" t="str">
        <f>HYPERLINK("E:\PropInv\MF\League City\646 FM_555_Greystar at Beacon Lakes_League City_17757","646 FM_555_Greystar at Beacon Lakes_League City_17757" )</f>
        <v>646 FM_555_Greystar at Beacon Lakes_League City_17757</v>
      </c>
      <c r="L6749" s="104" t="s">
        <v>22253</v>
      </c>
      <c r="M6749" s="103" t="str">
        <f t="shared" si="528"/>
        <v>http://oconnordata.com/mlink/modules/profile/index.cfm?action=profile&amp;prop_id=17757</v>
      </c>
      <c r="N6749" s="1">
        <f t="shared" si="529"/>
        <v>17757</v>
      </c>
    </row>
    <row r="6750" spans="1:14" x14ac:dyDescent="0.3">
      <c r="A6750" s="1">
        <v>17760</v>
      </c>
      <c r="B6750" s="19" t="s">
        <v>3667</v>
      </c>
      <c r="C6750" s="18">
        <v>4650</v>
      </c>
      <c r="D6750" s="19" t="s">
        <v>10129</v>
      </c>
      <c r="E6750" s="20" t="s">
        <v>1657</v>
      </c>
      <c r="F6750" t="str">
        <f t="shared" si="525"/>
        <v>Braeswood</v>
      </c>
      <c r="G6750" t="str">
        <f t="shared" si="526"/>
        <v>Braeswood4650Houston</v>
      </c>
      <c r="H6750" t="s">
        <v>37606</v>
      </c>
      <c r="I6750" t="s">
        <v>29022</v>
      </c>
      <c r="J6750" t="str">
        <f t="shared" si="527"/>
        <v>E:\PropInv\MF</v>
      </c>
      <c r="K6750" s="103" t="str">
        <f>HYPERLINK("E:\PropInv\MF\Houston\Braeswood Blvd N_4650_Sedona Apts_Houston_17760","Braeswood Blvd N_4650_Sedona Apts_Houston_17760" )</f>
        <v>Braeswood Blvd N_4650_Sedona Apts_Houston_17760</v>
      </c>
      <c r="L6750" s="104" t="s">
        <v>22253</v>
      </c>
      <c r="M6750" s="103" t="str">
        <f t="shared" si="528"/>
        <v>http://oconnordata.com/mlink/modules/profile/index.cfm?action=profile&amp;prop_id=17760</v>
      </c>
      <c r="N6750" s="1">
        <f t="shared" si="529"/>
        <v>17760</v>
      </c>
    </row>
    <row r="6751" spans="1:14" x14ac:dyDescent="0.3">
      <c r="A6751" s="1">
        <v>17764</v>
      </c>
      <c r="B6751" s="7" t="s">
        <v>10130</v>
      </c>
      <c r="C6751" s="12">
        <v>811</v>
      </c>
      <c r="D6751" s="7" t="s">
        <v>10131</v>
      </c>
      <c r="E6751" s="13" t="s">
        <v>1657</v>
      </c>
      <c r="F6751" t="str">
        <f t="shared" si="525"/>
        <v>Town</v>
      </c>
      <c r="G6751" t="str">
        <f t="shared" si="526"/>
        <v>Town811Houston</v>
      </c>
      <c r="H6751" t="s">
        <v>37607</v>
      </c>
      <c r="I6751" t="s">
        <v>29023</v>
      </c>
      <c r="J6751" t="str">
        <f t="shared" si="527"/>
        <v>E:\PropInv\MF</v>
      </c>
      <c r="K6751" s="103" t="str">
        <f>HYPERLINK("E:\PropInv\MF\Houston\Town and Country Blvd_811_Domain at City Centre_Houston_17764","Town and Country Blvd_811_Domain at City Centre_Houston_17764" )</f>
        <v>Town and Country Blvd_811_Domain at City Centre_Houston_17764</v>
      </c>
      <c r="L6751" s="104" t="s">
        <v>22253</v>
      </c>
      <c r="M6751" s="103" t="str">
        <f t="shared" si="528"/>
        <v>http://oconnordata.com/mlink/modules/profile/index.cfm?action=profile&amp;prop_id=17764</v>
      </c>
      <c r="N6751" s="1">
        <f t="shared" si="529"/>
        <v>17764</v>
      </c>
    </row>
    <row r="6752" spans="1:14" x14ac:dyDescent="0.3">
      <c r="A6752" s="1">
        <v>17766</v>
      </c>
      <c r="B6752" s="7" t="s">
        <v>224</v>
      </c>
      <c r="C6752" s="12">
        <v>4330</v>
      </c>
      <c r="D6752" s="7" t="s">
        <v>10132</v>
      </c>
      <c r="E6752" s="13" t="s">
        <v>7</v>
      </c>
      <c r="F6752" t="str">
        <f t="shared" si="525"/>
        <v>Bull</v>
      </c>
      <c r="G6752" t="str">
        <f t="shared" si="526"/>
        <v>Bull4330Austin</v>
      </c>
      <c r="H6752" t="s">
        <v>37608</v>
      </c>
      <c r="I6752" t="s">
        <v>29024</v>
      </c>
      <c r="J6752" t="str">
        <f t="shared" si="527"/>
        <v>E:\PropInv\MF</v>
      </c>
      <c r="K6752" s="103" t="str">
        <f>HYPERLINK("E:\PropInv\MF\Austin\Bull Creek Rd_4330_Post West Austin_Austin_17766","Bull Creek Rd_4330_Post West Austin_Austin_17766" )</f>
        <v>Bull Creek Rd_4330_Post West Austin_Austin_17766</v>
      </c>
      <c r="L6752" s="104" t="s">
        <v>22253</v>
      </c>
      <c r="M6752" s="103" t="str">
        <f t="shared" si="528"/>
        <v>http://oconnordata.com/mlink/modules/profile/index.cfm?action=profile&amp;prop_id=17766</v>
      </c>
      <c r="N6752" s="1">
        <f t="shared" si="529"/>
        <v>17766</v>
      </c>
    </row>
    <row r="6753" spans="1:14" x14ac:dyDescent="0.3">
      <c r="A6753" s="1">
        <v>17767</v>
      </c>
      <c r="B6753" s="7" t="s">
        <v>391</v>
      </c>
      <c r="C6753" s="12">
        <v>1500</v>
      </c>
      <c r="D6753" s="7" t="s">
        <v>10133</v>
      </c>
      <c r="E6753" s="13" t="s">
        <v>7</v>
      </c>
      <c r="F6753" t="str">
        <f t="shared" si="525"/>
        <v>Lamar</v>
      </c>
      <c r="G6753" t="str">
        <f t="shared" si="526"/>
        <v>Lamar1500Austin</v>
      </c>
      <c r="H6753" t="s">
        <v>37609</v>
      </c>
      <c r="I6753" t="s">
        <v>29025</v>
      </c>
      <c r="J6753" t="str">
        <f t="shared" si="527"/>
        <v>E:\PropInv\MF</v>
      </c>
      <c r="K6753" s="103" t="str">
        <f>HYPERLINK("E:\PropInv\MF\Austin\Lamar Blvd S_1500_Post South Lamar_Austin_17767","Lamar Blvd S_1500_Post South Lamar_Austin_17767" )</f>
        <v>Lamar Blvd S_1500_Post South Lamar_Austin_17767</v>
      </c>
      <c r="L6753" s="104" t="s">
        <v>22253</v>
      </c>
      <c r="M6753" s="103" t="str">
        <f t="shared" si="528"/>
        <v>http://oconnordata.com/mlink/modules/profile/index.cfm?action=profile&amp;prop_id=17767</v>
      </c>
      <c r="N6753" s="1">
        <f t="shared" si="529"/>
        <v>17767</v>
      </c>
    </row>
    <row r="6754" spans="1:14" x14ac:dyDescent="0.3">
      <c r="A6754" s="1">
        <v>17769</v>
      </c>
      <c r="B6754" s="7" t="s">
        <v>10134</v>
      </c>
      <c r="C6754" s="12">
        <v>400</v>
      </c>
      <c r="D6754" s="7" t="s">
        <v>10135</v>
      </c>
      <c r="E6754" s="13" t="s">
        <v>8765</v>
      </c>
      <c r="F6754" t="str">
        <f t="shared" si="525"/>
        <v>360</v>
      </c>
      <c r="G6754" t="str">
        <f t="shared" si="526"/>
        <v>360400Mansfield</v>
      </c>
      <c r="H6754" t="s">
        <v>37610</v>
      </c>
      <c r="I6754" t="s">
        <v>29026</v>
      </c>
      <c r="J6754" t="str">
        <f t="shared" si="527"/>
        <v>E:\PropInv\MF</v>
      </c>
      <c r="K6754" s="103" t="str">
        <f>HYPERLINK("E:\PropInv\MF\Mansfield\360 SH N_400_Mansions at Mansfield_Mansfield_17769","360 SH N_400_Mansions at Mansfield_Mansfield_17769" )</f>
        <v>360 SH N_400_Mansions at Mansfield_Mansfield_17769</v>
      </c>
      <c r="L6754" s="104" t="s">
        <v>22253</v>
      </c>
      <c r="M6754" s="103" t="str">
        <f t="shared" si="528"/>
        <v>http://oconnordata.com/mlink/modules/profile/index.cfm?action=profile&amp;prop_id=17769</v>
      </c>
      <c r="N6754" s="1">
        <f t="shared" si="529"/>
        <v>17769</v>
      </c>
    </row>
    <row r="6755" spans="1:14" x14ac:dyDescent="0.3">
      <c r="A6755" s="1">
        <v>17771</v>
      </c>
      <c r="B6755" s="10" t="s">
        <v>10136</v>
      </c>
      <c r="C6755" s="9">
        <v>507</v>
      </c>
      <c r="D6755" s="10" t="s">
        <v>10137</v>
      </c>
      <c r="E6755" s="11" t="s">
        <v>7</v>
      </c>
      <c r="F6755" t="str">
        <f t="shared" si="525"/>
        <v>Pressler</v>
      </c>
      <c r="G6755" t="str">
        <f t="shared" si="526"/>
        <v>Pressler507Austin</v>
      </c>
      <c r="H6755" t="s">
        <v>37611</v>
      </c>
      <c r="I6755" t="s">
        <v>29027</v>
      </c>
      <c r="J6755" t="str">
        <f t="shared" si="527"/>
        <v>E:\PropInv\MF</v>
      </c>
      <c r="K6755" s="103" t="str">
        <f>HYPERLINK("E:\PropInv\MF\Austin\Pressler St_507_Gables Pressler_Austin_17771","Pressler St_507_Gables Pressler_Austin_17771" )</f>
        <v>Pressler St_507_Gables Pressler_Austin_17771</v>
      </c>
      <c r="L6755" s="104" t="s">
        <v>22253</v>
      </c>
      <c r="M6755" s="103" t="str">
        <f t="shared" si="528"/>
        <v>http://oconnordata.com/mlink/modules/profile/index.cfm?action=profile&amp;prop_id=17771</v>
      </c>
      <c r="N6755" s="1">
        <f t="shared" si="529"/>
        <v>17771</v>
      </c>
    </row>
    <row r="6756" spans="1:14" x14ac:dyDescent="0.3">
      <c r="A6756" s="1">
        <v>17773</v>
      </c>
      <c r="B6756" s="10" t="s">
        <v>3401</v>
      </c>
      <c r="C6756" s="9">
        <v>1717</v>
      </c>
      <c r="D6756" s="10" t="s">
        <v>10138</v>
      </c>
      <c r="E6756" s="11" t="s">
        <v>1657</v>
      </c>
      <c r="F6756" t="str">
        <f t="shared" si="525"/>
        <v>Bissonnet</v>
      </c>
      <c r="G6756" t="str">
        <f t="shared" si="526"/>
        <v>Bissonnet1717Houston</v>
      </c>
      <c r="H6756" t="s">
        <v>37612</v>
      </c>
      <c r="I6756" t="s">
        <v>29028</v>
      </c>
      <c r="J6756" t="str">
        <f t="shared" si="527"/>
        <v>E:\PropInv\MF</v>
      </c>
      <c r="K6756" s="103" t="str">
        <f>HYPERLINK("E:\PropInv\MF\Houston\Bissonnet St_1717_Ashby Highrise_Houston_17773","Bissonnet St_1717_Ashby Highrise_Houston_17773" )</f>
        <v>Bissonnet St_1717_Ashby Highrise_Houston_17773</v>
      </c>
      <c r="L6756" s="104" t="s">
        <v>22253</v>
      </c>
      <c r="M6756" s="103" t="str">
        <f t="shared" si="528"/>
        <v>http://oconnordata.com/mlink/modules/profile/index.cfm?action=profile&amp;prop_id=17773</v>
      </c>
      <c r="N6756" s="1">
        <f t="shared" si="529"/>
        <v>17773</v>
      </c>
    </row>
    <row r="6757" spans="1:14" x14ac:dyDescent="0.3">
      <c r="A6757" s="1">
        <v>17774</v>
      </c>
      <c r="B6757" s="7" t="s">
        <v>310</v>
      </c>
      <c r="C6757" s="12">
        <v>9210</v>
      </c>
      <c r="D6757" s="7" t="s">
        <v>10139</v>
      </c>
      <c r="E6757" s="13" t="s">
        <v>7</v>
      </c>
      <c r="F6757" t="str">
        <f t="shared" si="525"/>
        <v>Northgate</v>
      </c>
      <c r="G6757" t="str">
        <f t="shared" si="526"/>
        <v>Northgate9210Austin</v>
      </c>
      <c r="H6757" t="s">
        <v>37613</v>
      </c>
      <c r="I6757" t="s">
        <v>29029</v>
      </c>
      <c r="J6757" t="str">
        <f t="shared" si="527"/>
        <v>E:\PropInv\MF</v>
      </c>
      <c r="K6757" s="103" t="str">
        <f>HYPERLINK("E:\PropInv\MF\Austin\Northgate Blvd_9210_Serena Park Apts_Austin_17774","Northgate Blvd_9210_Serena Park Apts_Austin_17774" )</f>
        <v>Northgate Blvd_9210_Serena Park Apts_Austin_17774</v>
      </c>
      <c r="L6757" s="104" t="s">
        <v>22253</v>
      </c>
      <c r="M6757" s="103" t="str">
        <f t="shared" si="528"/>
        <v>http://oconnordata.com/mlink/modules/profile/index.cfm?action=profile&amp;prop_id=17774</v>
      </c>
      <c r="N6757" s="1">
        <f t="shared" si="529"/>
        <v>17774</v>
      </c>
    </row>
    <row r="6758" spans="1:14" x14ac:dyDescent="0.3">
      <c r="A6758" s="1">
        <v>17777</v>
      </c>
      <c r="B6758" s="19" t="s">
        <v>9397</v>
      </c>
      <c r="C6758" s="18">
        <v>401</v>
      </c>
      <c r="D6758" s="19" t="s">
        <v>10140</v>
      </c>
      <c r="E6758" s="20" t="s">
        <v>7</v>
      </c>
      <c r="F6758" t="str">
        <f t="shared" si="525"/>
        <v>Guadalupe</v>
      </c>
      <c r="G6758" t="str">
        <f t="shared" si="526"/>
        <v>Guadalupe401Austin</v>
      </c>
      <c r="H6758" t="s">
        <v>37614</v>
      </c>
      <c r="I6758" t="s">
        <v>29030</v>
      </c>
      <c r="J6758" t="str">
        <f t="shared" si="527"/>
        <v>E:\PropInv\MF</v>
      </c>
      <c r="K6758" s="103" t="str">
        <f>HYPERLINK("E:\PropInv\MF\Austin\Guadalupe St_401_Gables Republic Park Apts_Austin_17777","Guadalupe St_401_Gables Republic Park Apts_Austin_17777" )</f>
        <v>Guadalupe St_401_Gables Republic Park Apts_Austin_17777</v>
      </c>
      <c r="L6758" s="104" t="s">
        <v>22253</v>
      </c>
      <c r="M6758" s="103" t="str">
        <f t="shared" si="528"/>
        <v>http://oconnordata.com/mlink/modules/profile/index.cfm?action=profile&amp;prop_id=17777</v>
      </c>
      <c r="N6758" s="1">
        <f t="shared" si="529"/>
        <v>17777</v>
      </c>
    </row>
    <row r="6759" spans="1:14" x14ac:dyDescent="0.3">
      <c r="A6759" s="1">
        <v>17780</v>
      </c>
      <c r="B6759" s="19" t="s">
        <v>10141</v>
      </c>
      <c r="C6759" s="18">
        <v>19615</v>
      </c>
      <c r="D6759" s="19" t="s">
        <v>10142</v>
      </c>
      <c r="E6759" s="20" t="s">
        <v>842</v>
      </c>
      <c r="F6759" t="str">
        <f t="shared" si="525"/>
        <v>Blanco</v>
      </c>
      <c r="G6759" t="str">
        <f t="shared" si="526"/>
        <v>Blanco19615San Antonio</v>
      </c>
      <c r="H6759" t="s">
        <v>37615</v>
      </c>
      <c r="I6759" t="s">
        <v>29031</v>
      </c>
      <c r="J6759" t="str">
        <f t="shared" si="527"/>
        <v>E:\PropInv\MF</v>
      </c>
      <c r="K6759" s="103" t="str">
        <f>HYPERLINK("E:\PropInv\MF\San Antonio\Blanco_19615_The Reflection Apts_San Antonio_17780","Blanco_19615_The Reflection Apts_San Antonio_17780" )</f>
        <v>Blanco_19615_The Reflection Apts_San Antonio_17780</v>
      </c>
      <c r="L6759" s="104" t="s">
        <v>22253</v>
      </c>
      <c r="M6759" s="103" t="str">
        <f t="shared" si="528"/>
        <v>http://oconnordata.com/mlink/modules/profile/index.cfm?action=profile&amp;prop_id=17780</v>
      </c>
      <c r="N6759" s="1">
        <f t="shared" si="529"/>
        <v>17780</v>
      </c>
    </row>
    <row r="6760" spans="1:14" x14ac:dyDescent="0.3">
      <c r="A6760" s="1">
        <v>17783</v>
      </c>
      <c r="B6760" s="7" t="s">
        <v>894</v>
      </c>
      <c r="C6760" s="12">
        <v>1320</v>
      </c>
      <c r="D6760" s="7" t="s">
        <v>10143</v>
      </c>
      <c r="E6760" s="13" t="s">
        <v>842</v>
      </c>
      <c r="F6760" t="str">
        <f t="shared" si="525"/>
        <v>Austin</v>
      </c>
      <c r="G6760" t="str">
        <f t="shared" si="526"/>
        <v>Austin1320San Antonio</v>
      </c>
      <c r="H6760" t="s">
        <v>37616</v>
      </c>
      <c r="I6760" t="s">
        <v>29032</v>
      </c>
      <c r="J6760" t="str">
        <f t="shared" si="527"/>
        <v>E:\PropInv\MF</v>
      </c>
      <c r="K6760" s="103" t="str">
        <f>HYPERLINK("E:\PropInv\MF\San Antonio\Austin Hwy_1320_Legacy Heights_San Antonio_17783","Austin Hwy_1320_Legacy Heights_San Antonio_17783" )</f>
        <v>Austin Hwy_1320_Legacy Heights_San Antonio_17783</v>
      </c>
      <c r="L6760" s="104" t="s">
        <v>22253</v>
      </c>
      <c r="M6760" s="103" t="str">
        <f t="shared" si="528"/>
        <v>http://oconnordata.com/mlink/modules/profile/index.cfm?action=profile&amp;prop_id=17783</v>
      </c>
      <c r="N6760" s="1">
        <f t="shared" si="529"/>
        <v>17783</v>
      </c>
    </row>
    <row r="6761" spans="1:14" x14ac:dyDescent="0.3">
      <c r="A6761" s="1">
        <v>17784</v>
      </c>
      <c r="B6761" s="7" t="s">
        <v>1051</v>
      </c>
      <c r="C6761" s="12">
        <v>14200</v>
      </c>
      <c r="D6761" s="7" t="s">
        <v>10144</v>
      </c>
      <c r="E6761" s="13" t="s">
        <v>842</v>
      </c>
      <c r="F6761" t="str">
        <f t="shared" si="525"/>
        <v>Vance</v>
      </c>
      <c r="G6761" t="str">
        <f t="shared" si="526"/>
        <v>Vance14200San Antonio</v>
      </c>
      <c r="H6761" t="s">
        <v>37617</v>
      </c>
      <c r="I6761" t="s">
        <v>29033</v>
      </c>
      <c r="J6761" t="str">
        <f t="shared" si="527"/>
        <v>E:\PropInv\MF</v>
      </c>
      <c r="K6761" s="103" t="str">
        <f>HYPERLINK("E:\PropInv\MF\San Antonio\Vance Jackson Rd_14200_Presidio at the Landmark_San Antonio_17784","Vance Jackson Rd_14200_Presidio at the Landmark_San Antonio_17784" )</f>
        <v>Vance Jackson Rd_14200_Presidio at the Landmark_San Antonio_17784</v>
      </c>
      <c r="L6761" s="104" t="s">
        <v>22253</v>
      </c>
      <c r="M6761" s="103" t="str">
        <f t="shared" si="528"/>
        <v>http://oconnordata.com/mlink/modules/profile/index.cfm?action=profile&amp;prop_id=17784</v>
      </c>
      <c r="N6761" s="1">
        <f t="shared" si="529"/>
        <v>17784</v>
      </c>
    </row>
    <row r="6762" spans="1:14" x14ac:dyDescent="0.3">
      <c r="A6762" s="1">
        <v>17785</v>
      </c>
      <c r="B6762" s="7" t="s">
        <v>1875</v>
      </c>
      <c r="C6762" s="12">
        <v>11950</v>
      </c>
      <c r="D6762" s="7" t="s">
        <v>10145</v>
      </c>
      <c r="E6762" s="13" t="s">
        <v>1657</v>
      </c>
      <c r="F6762" t="str">
        <f t="shared" si="525"/>
        <v>1960</v>
      </c>
      <c r="G6762" t="str">
        <f t="shared" si="526"/>
        <v>196011950Houston</v>
      </c>
      <c r="H6762" t="s">
        <v>37618</v>
      </c>
      <c r="I6762" t="s">
        <v>29034</v>
      </c>
      <c r="J6762" t="str">
        <f t="shared" si="527"/>
        <v>E:\PropInv\MF</v>
      </c>
      <c r="K6762" s="103" t="str">
        <f>HYPERLINK("E:\PropInv\MF\Houston\1960 FM W_11950_Mansions at Hastings Green_Houston_17785","1960 FM W_11950_Mansions at Hastings Green_Houston_17785" )</f>
        <v>1960 FM W_11950_Mansions at Hastings Green_Houston_17785</v>
      </c>
      <c r="L6762" s="104" t="s">
        <v>22253</v>
      </c>
      <c r="M6762" s="103" t="str">
        <f t="shared" si="528"/>
        <v>http://oconnordata.com/mlink/modules/profile/index.cfm?action=profile&amp;prop_id=17785</v>
      </c>
      <c r="N6762" s="1">
        <f t="shared" si="529"/>
        <v>17785</v>
      </c>
    </row>
    <row r="6763" spans="1:14" x14ac:dyDescent="0.3">
      <c r="A6763" s="1">
        <v>17786</v>
      </c>
      <c r="B6763" s="7" t="s">
        <v>387</v>
      </c>
      <c r="C6763" s="12">
        <v>625</v>
      </c>
      <c r="D6763" s="7" t="s">
        <v>10146</v>
      </c>
      <c r="E6763" s="13" t="s">
        <v>7</v>
      </c>
      <c r="F6763" t="str">
        <f t="shared" si="525"/>
        <v>Stassney</v>
      </c>
      <c r="G6763" t="str">
        <f t="shared" si="526"/>
        <v>Stassney625Austin</v>
      </c>
      <c r="H6763" t="s">
        <v>37619</v>
      </c>
      <c r="I6763" t="s">
        <v>29035</v>
      </c>
      <c r="J6763" t="str">
        <f t="shared" si="527"/>
        <v>E:\PropInv\MF</v>
      </c>
      <c r="K6763" s="103" t="str">
        <f>HYPERLINK("E:\PropInv\MF\Austin\Stassney Ln E_625_Platinum Southside_Austin_17786","Stassney Ln E_625_Platinum Southside_Austin_17786" )</f>
        <v>Stassney Ln E_625_Platinum Southside_Austin_17786</v>
      </c>
      <c r="L6763" s="104" t="s">
        <v>22253</v>
      </c>
      <c r="M6763" s="103" t="str">
        <f t="shared" si="528"/>
        <v>http://oconnordata.com/mlink/modules/profile/index.cfm?action=profile&amp;prop_id=17786</v>
      </c>
      <c r="N6763" s="1">
        <f t="shared" si="529"/>
        <v>17786</v>
      </c>
    </row>
    <row r="6764" spans="1:14" x14ac:dyDescent="0.3">
      <c r="A6764" s="1">
        <v>17788</v>
      </c>
      <c r="B6764" s="19" t="s">
        <v>144</v>
      </c>
      <c r="C6764" s="18">
        <v>3400</v>
      </c>
      <c r="D6764" s="19" t="s">
        <v>10147</v>
      </c>
      <c r="E6764" s="20" t="s">
        <v>7</v>
      </c>
      <c r="F6764" t="str">
        <f t="shared" si="525"/>
        <v>35</v>
      </c>
      <c r="G6764" t="str">
        <f t="shared" si="526"/>
        <v>353400Austin</v>
      </c>
      <c r="H6764" t="s">
        <v>37620</v>
      </c>
      <c r="I6764" t="s">
        <v>29036</v>
      </c>
      <c r="J6764" t="str">
        <f t="shared" si="527"/>
        <v>E:\PropInv\MF</v>
      </c>
      <c r="K6764" s="103" t="str">
        <f>HYPERLINK("E:\PropInv\MF\Austin\35 IH N_3400_Riverside Apts at East Avenue Town Center_Austin_17788","35 IH N_3400_Riverside Apts at East Avenue Town Center_Austin_17788" )</f>
        <v>35 IH N_3400_Riverside Apts at East Avenue Town Center_Austin_17788</v>
      </c>
      <c r="L6764" s="104" t="s">
        <v>22253</v>
      </c>
      <c r="M6764" s="103" t="str">
        <f t="shared" si="528"/>
        <v>http://oconnordata.com/mlink/modules/profile/index.cfm?action=profile&amp;prop_id=17788</v>
      </c>
      <c r="N6764" s="1">
        <f t="shared" si="529"/>
        <v>17788</v>
      </c>
    </row>
    <row r="6765" spans="1:14" x14ac:dyDescent="0.3">
      <c r="A6765" s="1">
        <v>17792</v>
      </c>
      <c r="B6765" s="10" t="s">
        <v>6882</v>
      </c>
      <c r="C6765" s="9">
        <v>1720</v>
      </c>
      <c r="D6765" s="10" t="s">
        <v>10148</v>
      </c>
      <c r="E6765" s="11" t="s">
        <v>367</v>
      </c>
      <c r="F6765" t="str">
        <f t="shared" si="525"/>
        <v>Grand</v>
      </c>
      <c r="G6765" t="str">
        <f t="shared" si="526"/>
        <v>Grand1720Pflugerville</v>
      </c>
      <c r="H6765" t="s">
        <v>37621</v>
      </c>
      <c r="I6765" t="s">
        <v>29037</v>
      </c>
      <c r="J6765" t="str">
        <f t="shared" si="527"/>
        <v>E:\PropInv\MF</v>
      </c>
      <c r="K6765" s="103" t="str">
        <f>HYPERLINK("E:\PropInv\MF\Pflugerville\Grand Ave Pkwy_1720_Broadstone Grand Avenue_Pflugerville_17792","Grand Ave Pkwy_1720_Broadstone Grand Avenue_Pflugerville_17792" )</f>
        <v>Grand Ave Pkwy_1720_Broadstone Grand Avenue_Pflugerville_17792</v>
      </c>
      <c r="L6765" s="104" t="s">
        <v>22253</v>
      </c>
      <c r="M6765" s="103" t="str">
        <f t="shared" si="528"/>
        <v>http://oconnordata.com/mlink/modules/profile/index.cfm?action=profile&amp;prop_id=17792</v>
      </c>
      <c r="N6765" s="1">
        <f t="shared" si="529"/>
        <v>17792</v>
      </c>
    </row>
    <row r="6766" spans="1:14" x14ac:dyDescent="0.3">
      <c r="A6766" s="1">
        <v>17793</v>
      </c>
      <c r="B6766" s="7" t="s">
        <v>10149</v>
      </c>
      <c r="C6766" s="12">
        <v>11900</v>
      </c>
      <c r="D6766" s="7" t="s">
        <v>10150</v>
      </c>
      <c r="E6766" s="13" t="s">
        <v>4369</v>
      </c>
      <c r="F6766" t="str">
        <f t="shared" si="525"/>
        <v>Shadow</v>
      </c>
      <c r="G6766" t="str">
        <f t="shared" si="526"/>
        <v>Shadow11900Pearland</v>
      </c>
      <c r="H6766" t="s">
        <v>37622</v>
      </c>
      <c r="I6766" t="s">
        <v>29038</v>
      </c>
      <c r="J6766" t="str">
        <f t="shared" si="527"/>
        <v>E:\PropInv\MF</v>
      </c>
      <c r="K6766" s="103" t="str">
        <f>HYPERLINK("E:\PropInv\MF\Pearland\Shadow Creek Pkwy_11900_Alexan Shadow Creek Ranch_Pearland_17793","Shadow Creek Pkwy_11900_Alexan Shadow Creek Ranch_Pearland_17793" )</f>
        <v>Shadow Creek Pkwy_11900_Alexan Shadow Creek Ranch_Pearland_17793</v>
      </c>
      <c r="L6766" s="104" t="s">
        <v>22253</v>
      </c>
      <c r="M6766" s="103" t="str">
        <f t="shared" si="528"/>
        <v>http://oconnordata.com/mlink/modules/profile/index.cfm?action=profile&amp;prop_id=17793</v>
      </c>
      <c r="N6766" s="1">
        <f t="shared" si="529"/>
        <v>17793</v>
      </c>
    </row>
    <row r="6767" spans="1:14" x14ac:dyDescent="0.3">
      <c r="A6767" s="1">
        <v>17794</v>
      </c>
      <c r="B6767" s="7" t="s">
        <v>10151</v>
      </c>
      <c r="C6767" s="12">
        <v>20919</v>
      </c>
      <c r="D6767" s="7" t="s">
        <v>10152</v>
      </c>
      <c r="E6767" s="13" t="s">
        <v>1763</v>
      </c>
      <c r="F6767" t="str">
        <f t="shared" si="525"/>
        <v>Birnamwood</v>
      </c>
      <c r="G6767" t="str">
        <f t="shared" si="526"/>
        <v>Birnamwood20919Humble</v>
      </c>
      <c r="H6767" t="s">
        <v>37623</v>
      </c>
      <c r="I6767" t="s">
        <v>29039</v>
      </c>
      <c r="J6767" t="str">
        <f t="shared" si="527"/>
        <v>E:\PropInv\MF</v>
      </c>
      <c r="K6767" s="103" t="str">
        <f>HYPERLINK("E:\PropInv\MF\Humble\Birnamwood Blvd_20919_Mansions at Turkey Creek_Humble_17794","Birnamwood Blvd_20919_Mansions at Turkey Creek_Humble_17794" )</f>
        <v>Birnamwood Blvd_20919_Mansions at Turkey Creek_Humble_17794</v>
      </c>
      <c r="L6767" s="104" t="s">
        <v>22253</v>
      </c>
      <c r="M6767" s="103" t="str">
        <f t="shared" si="528"/>
        <v>http://oconnordata.com/mlink/modules/profile/index.cfm?action=profile&amp;prop_id=17794</v>
      </c>
      <c r="N6767" s="1">
        <f t="shared" si="529"/>
        <v>17794</v>
      </c>
    </row>
    <row r="6768" spans="1:14" x14ac:dyDescent="0.3">
      <c r="A6768" s="1">
        <v>17795</v>
      </c>
      <c r="B6768" s="7" t="s">
        <v>163</v>
      </c>
      <c r="C6768" s="12">
        <v>10601</v>
      </c>
      <c r="D6768" s="7" t="s">
        <v>10153</v>
      </c>
      <c r="E6768" s="13" t="s">
        <v>7</v>
      </c>
      <c r="F6768" t="str">
        <f t="shared" si="525"/>
        <v>Manchaca</v>
      </c>
      <c r="G6768" t="str">
        <f t="shared" si="526"/>
        <v>Manchaca10601Austin</v>
      </c>
      <c r="H6768" t="s">
        <v>37624</v>
      </c>
      <c r="I6768" t="s">
        <v>29040</v>
      </c>
      <c r="J6768" t="str">
        <f t="shared" si="527"/>
        <v>E:\PropInv\MF</v>
      </c>
      <c r="K6768" s="103" t="str">
        <f>HYPERLINK("E:\PropInv\MF\Austin\Manchaca Rd_10601_Remington Hills_Austin_17795","Manchaca Rd_10601_Remington Hills_Austin_17795" )</f>
        <v>Manchaca Rd_10601_Remington Hills_Austin_17795</v>
      </c>
      <c r="L6768" s="104" t="s">
        <v>22253</v>
      </c>
      <c r="M6768" s="103" t="str">
        <f t="shared" si="528"/>
        <v>http://oconnordata.com/mlink/modules/profile/index.cfm?action=profile&amp;prop_id=17795</v>
      </c>
      <c r="N6768" s="1">
        <f t="shared" si="529"/>
        <v>17795</v>
      </c>
    </row>
    <row r="6769" spans="1:14" x14ac:dyDescent="0.3">
      <c r="A6769" s="1">
        <v>17797</v>
      </c>
      <c r="B6769" s="7" t="s">
        <v>2054</v>
      </c>
      <c r="C6769" s="12">
        <v>9702</v>
      </c>
      <c r="D6769" s="7" t="s">
        <v>10154</v>
      </c>
      <c r="E6769" s="13" t="s">
        <v>1763</v>
      </c>
      <c r="F6769" t="str">
        <f t="shared" si="525"/>
        <v>Sam</v>
      </c>
      <c r="G6769" t="str">
        <f t="shared" si="526"/>
        <v>Sam9702Humble</v>
      </c>
      <c r="H6769" t="s">
        <v>37625</v>
      </c>
      <c r="I6769" t="s">
        <v>29041</v>
      </c>
      <c r="J6769" t="str">
        <f t="shared" si="527"/>
        <v>E:\PropInv\MF</v>
      </c>
      <c r="K6769" s="103" t="str">
        <f>HYPERLINK("E:\PropInv\MF\Humble\Sam Houston Pkwy E N_9702_Alexan Eagle Creek_Humble_17797","Sam Houston Pkwy E N_9702_Alexan Eagle Creek_Humble_17797" )</f>
        <v>Sam Houston Pkwy E N_9702_Alexan Eagle Creek_Humble_17797</v>
      </c>
      <c r="L6769" s="104" t="s">
        <v>22253</v>
      </c>
      <c r="M6769" s="103" t="str">
        <f t="shared" si="528"/>
        <v>http://oconnordata.com/mlink/modules/profile/index.cfm?action=profile&amp;prop_id=17797</v>
      </c>
      <c r="N6769" s="1">
        <f t="shared" si="529"/>
        <v>17797</v>
      </c>
    </row>
    <row r="6770" spans="1:14" x14ac:dyDescent="0.3">
      <c r="A6770" s="1">
        <v>17798</v>
      </c>
      <c r="B6770" s="7" t="s">
        <v>1875</v>
      </c>
      <c r="C6770" s="12">
        <v>9915</v>
      </c>
      <c r="D6770" s="7" t="s">
        <v>10155</v>
      </c>
      <c r="E6770" s="13" t="s">
        <v>1657</v>
      </c>
      <c r="F6770" t="str">
        <f t="shared" si="525"/>
        <v>1960</v>
      </c>
      <c r="G6770" t="str">
        <f t="shared" si="526"/>
        <v>19609915Houston</v>
      </c>
      <c r="H6770" t="s">
        <v>37626</v>
      </c>
      <c r="I6770" t="s">
        <v>29042</v>
      </c>
      <c r="J6770" t="str">
        <f t="shared" si="527"/>
        <v>E:\PropInv\MF</v>
      </c>
      <c r="K6770" s="103" t="str">
        <f>HYPERLINK("E:\PropInv\MF\Houston\1960 FM W_9915_Idlewilde Apts_Houston_17798","1960 FM W_9915_Idlewilde Apts_Houston_17798" )</f>
        <v>1960 FM W_9915_Idlewilde Apts_Houston_17798</v>
      </c>
      <c r="L6770" s="104" t="s">
        <v>22253</v>
      </c>
      <c r="M6770" s="103" t="str">
        <f t="shared" si="528"/>
        <v>http://oconnordata.com/mlink/modules/profile/index.cfm?action=profile&amp;prop_id=17798</v>
      </c>
      <c r="N6770" s="1">
        <f t="shared" si="529"/>
        <v>17798</v>
      </c>
    </row>
    <row r="6771" spans="1:14" x14ac:dyDescent="0.3">
      <c r="A6771" s="1">
        <v>17799</v>
      </c>
      <c r="B6771" s="7" t="s">
        <v>1605</v>
      </c>
      <c r="C6771" s="12">
        <v>6674</v>
      </c>
      <c r="D6771" s="7" t="s">
        <v>10156</v>
      </c>
      <c r="E6771" s="13" t="s">
        <v>842</v>
      </c>
      <c r="F6771" t="str">
        <f t="shared" si="525"/>
        <v>Prue</v>
      </c>
      <c r="G6771" t="str">
        <f t="shared" si="526"/>
        <v>Prue6674San Antonio</v>
      </c>
      <c r="H6771" t="s">
        <v>37627</v>
      </c>
      <c r="I6771" t="s">
        <v>29043</v>
      </c>
      <c r="J6771" t="str">
        <f t="shared" si="527"/>
        <v>E:\PropInv\MF</v>
      </c>
      <c r="K6771" s="103" t="str">
        <f>HYPERLINK("E:\PropInv\MF\San Antonio\Prue Rd_6674_Hillstone at Prue Road_San Antonio_17799","Prue Rd_6674_Hillstone at Prue Road_San Antonio_17799" )</f>
        <v>Prue Rd_6674_Hillstone at Prue Road_San Antonio_17799</v>
      </c>
      <c r="L6771" s="104" t="s">
        <v>22253</v>
      </c>
      <c r="M6771" s="103" t="str">
        <f t="shared" si="528"/>
        <v>http://oconnordata.com/mlink/modules/profile/index.cfm?action=profile&amp;prop_id=17799</v>
      </c>
      <c r="N6771" s="1">
        <f t="shared" si="529"/>
        <v>17799</v>
      </c>
    </row>
    <row r="6772" spans="1:14" x14ac:dyDescent="0.3">
      <c r="A6772" s="1">
        <v>17800</v>
      </c>
      <c r="B6772" s="7" t="s">
        <v>5629</v>
      </c>
      <c r="C6772" s="12">
        <v>440</v>
      </c>
      <c r="D6772" s="7" t="s">
        <v>10157</v>
      </c>
      <c r="E6772" s="13" t="s">
        <v>5009</v>
      </c>
      <c r="F6772" t="str">
        <f t="shared" si="525"/>
        <v>Independence</v>
      </c>
      <c r="G6772" t="str">
        <f t="shared" si="526"/>
        <v>Independence440Plano</v>
      </c>
      <c r="H6772" t="s">
        <v>37628</v>
      </c>
      <c r="I6772" t="s">
        <v>29044</v>
      </c>
      <c r="J6772" t="str">
        <f t="shared" si="527"/>
        <v>E:\PropInv\MF</v>
      </c>
      <c r="K6772" s="103" t="str">
        <f>HYPERLINK("E:\PropInv\MF\Plano\Independence Pkwy_440_Franklin Park at Canyon Creek_Plano_17800","Independence Pkwy_440_Franklin Park at Canyon Creek_Plano_17800" )</f>
        <v>Independence Pkwy_440_Franklin Park at Canyon Creek_Plano_17800</v>
      </c>
      <c r="L6772" s="104" t="s">
        <v>22253</v>
      </c>
      <c r="M6772" s="103" t="str">
        <f t="shared" si="528"/>
        <v>http://oconnordata.com/mlink/modules/profile/index.cfm?action=profile&amp;prop_id=17800</v>
      </c>
      <c r="N6772" s="1">
        <f t="shared" si="529"/>
        <v>17800</v>
      </c>
    </row>
    <row r="6773" spans="1:14" x14ac:dyDescent="0.3">
      <c r="A6773" s="1">
        <v>17801</v>
      </c>
      <c r="B6773" s="7" t="s">
        <v>7556</v>
      </c>
      <c r="C6773" s="12">
        <v>2800</v>
      </c>
      <c r="D6773" s="7" t="s">
        <v>10158</v>
      </c>
      <c r="E6773" s="13" t="s">
        <v>18</v>
      </c>
      <c r="F6773" t="str">
        <f t="shared" si="525"/>
        <v>Sunrise</v>
      </c>
      <c r="G6773" t="str">
        <f t="shared" si="526"/>
        <v>Sunrise2800Round Rock</v>
      </c>
      <c r="H6773" t="s">
        <v>37629</v>
      </c>
      <c r="I6773" t="s">
        <v>29045</v>
      </c>
      <c r="J6773" t="str">
        <f t="shared" si="527"/>
        <v>E:\PropInv\MF</v>
      </c>
      <c r="K6773" s="103" t="str">
        <f>HYPERLINK("E:\PropInv\MF\Round Rock\Sunrise_2800_City North at Sunrise Ranch_Round Rock_17801","Sunrise_2800_City North at Sunrise Ranch_Round Rock_17801" )</f>
        <v>Sunrise_2800_City North at Sunrise Ranch_Round Rock_17801</v>
      </c>
      <c r="L6773" s="104" t="s">
        <v>22253</v>
      </c>
      <c r="M6773" s="103" t="str">
        <f t="shared" si="528"/>
        <v>http://oconnordata.com/mlink/modules/profile/index.cfm?action=profile&amp;prop_id=17801</v>
      </c>
      <c r="N6773" s="1">
        <f t="shared" si="529"/>
        <v>17801</v>
      </c>
    </row>
    <row r="6774" spans="1:14" x14ac:dyDescent="0.3">
      <c r="A6774" s="1">
        <v>17802</v>
      </c>
      <c r="B6774" s="19" t="s">
        <v>10159</v>
      </c>
      <c r="C6774" s="18" t="s">
        <v>2497</v>
      </c>
      <c r="D6774" s="19" t="s">
        <v>10160</v>
      </c>
      <c r="E6774" s="20" t="s">
        <v>16</v>
      </c>
      <c r="F6774" t="str">
        <f t="shared" si="525"/>
        <v>Washam</v>
      </c>
      <c r="G6774" t="str">
        <f t="shared" si="526"/>
        <v>WashamNFGeorgetown</v>
      </c>
      <c r="H6774" t="s">
        <v>37630</v>
      </c>
      <c r="I6774" t="s">
        <v>29046</v>
      </c>
      <c r="J6774" t="str">
        <f t="shared" si="527"/>
        <v>E:\PropInv\MF</v>
      </c>
      <c r="K6774" s="103" t="str">
        <f>HYPERLINK("E:\PropInv\MF\Georgetown\Washam Dr_NF_Sierra Ridge Apts_Georgetown_17802","Washam Dr_NF_Sierra Ridge Apts_Georgetown_17802" )</f>
        <v>Washam Dr_NF_Sierra Ridge Apts_Georgetown_17802</v>
      </c>
      <c r="L6774" s="104" t="s">
        <v>22253</v>
      </c>
      <c r="M6774" s="103" t="str">
        <f t="shared" si="528"/>
        <v>http://oconnordata.com/mlink/modules/profile/index.cfm?action=profile&amp;prop_id=17802</v>
      </c>
      <c r="N6774" s="1">
        <f t="shared" si="529"/>
        <v>17802</v>
      </c>
    </row>
    <row r="6775" spans="1:14" x14ac:dyDescent="0.3">
      <c r="A6775" s="1">
        <v>17803</v>
      </c>
      <c r="B6775" s="7" t="s">
        <v>10161</v>
      </c>
      <c r="C6775" s="12">
        <v>501</v>
      </c>
      <c r="D6775" s="7" t="s">
        <v>10162</v>
      </c>
      <c r="E6775" s="13" t="s">
        <v>1399</v>
      </c>
      <c r="F6775" t="str">
        <f t="shared" si="525"/>
        <v>3009</v>
      </c>
      <c r="G6775" t="str">
        <f t="shared" si="526"/>
        <v>3009501Schertz</v>
      </c>
      <c r="H6775" t="s">
        <v>37631</v>
      </c>
      <c r="I6775" t="s">
        <v>29047</v>
      </c>
      <c r="J6775" t="str">
        <f t="shared" si="527"/>
        <v>E:\PropInv\MF</v>
      </c>
      <c r="K6775" s="103" t="str">
        <f>HYPERLINK("E:\PropInv\MF\Schertz\3009 FM_501_Waterford Ridge_Schertz_17803","3009 FM_501_Waterford Ridge_Schertz_17803" )</f>
        <v>3009 FM_501_Waterford Ridge_Schertz_17803</v>
      </c>
      <c r="L6775" s="104" t="s">
        <v>22253</v>
      </c>
      <c r="M6775" s="103" t="str">
        <f t="shared" si="528"/>
        <v>http://oconnordata.com/mlink/modules/profile/index.cfm?action=profile&amp;prop_id=17803</v>
      </c>
      <c r="N6775" s="1">
        <f t="shared" si="529"/>
        <v>17803</v>
      </c>
    </row>
    <row r="6776" spans="1:14" x14ac:dyDescent="0.3">
      <c r="A6776" s="1">
        <v>17805</v>
      </c>
      <c r="B6776" s="7" t="s">
        <v>10163</v>
      </c>
      <c r="C6776" s="12">
        <v>101</v>
      </c>
      <c r="D6776" s="7" t="s">
        <v>10164</v>
      </c>
      <c r="E6776" s="13" t="s">
        <v>4442</v>
      </c>
      <c r="F6776" t="str">
        <f t="shared" si="525"/>
        <v>Eucalyptus</v>
      </c>
      <c r="G6776" t="str">
        <f t="shared" si="526"/>
        <v>Eucalyptus101Lake Jackson</v>
      </c>
      <c r="H6776" t="s">
        <v>37632</v>
      </c>
      <c r="I6776" t="s">
        <v>29048</v>
      </c>
      <c r="J6776" t="str">
        <f t="shared" si="527"/>
        <v>E:\PropInv\MF</v>
      </c>
      <c r="K6776" s="103" t="str">
        <f>HYPERLINK("E:\PropInv\MF\Lake Jackson\Eucalyptus St_101_The Residence at Lake Jackson_Lake Jackson_17805","Eucalyptus St_101_The Residence at Lake Jackson_Lake Jackson_17805" )</f>
        <v>Eucalyptus St_101_The Residence at Lake Jackson_Lake Jackson_17805</v>
      </c>
      <c r="L6776" s="104" t="s">
        <v>22253</v>
      </c>
      <c r="M6776" s="103" t="str">
        <f t="shared" si="528"/>
        <v>http://oconnordata.com/mlink/modules/profile/index.cfm?action=profile&amp;prop_id=17805</v>
      </c>
      <c r="N6776" s="1">
        <f t="shared" si="529"/>
        <v>17805</v>
      </c>
    </row>
    <row r="6777" spans="1:14" x14ac:dyDescent="0.3">
      <c r="A6777" s="1">
        <v>17806</v>
      </c>
      <c r="B6777" s="7" t="s">
        <v>10165</v>
      </c>
      <c r="C6777" s="12">
        <v>12330</v>
      </c>
      <c r="D6777" s="7" t="s">
        <v>10166</v>
      </c>
      <c r="E6777" s="13" t="s">
        <v>842</v>
      </c>
      <c r="F6777" t="str">
        <f t="shared" si="525"/>
        <v>Vance</v>
      </c>
      <c r="G6777" t="str">
        <f t="shared" si="526"/>
        <v>Vance12330San Antonio</v>
      </c>
      <c r="H6777" t="s">
        <v>37633</v>
      </c>
      <c r="I6777" t="s">
        <v>29049</v>
      </c>
      <c r="J6777" t="str">
        <f t="shared" si="527"/>
        <v>E:\PropInv\MF</v>
      </c>
      <c r="K6777" s="103" t="str">
        <f>HYPERLINK("E:\PropInv\MF\San Antonio\Vance Jackson St_12330_Boulder Creek_San Antonio_17806","Vance Jackson St_12330_Boulder Creek_San Antonio_17806" )</f>
        <v>Vance Jackson St_12330_Boulder Creek_San Antonio_17806</v>
      </c>
      <c r="L6777" s="104" t="s">
        <v>22253</v>
      </c>
      <c r="M6777" s="103" t="str">
        <f t="shared" si="528"/>
        <v>http://oconnordata.com/mlink/modules/profile/index.cfm?action=profile&amp;prop_id=17806</v>
      </c>
      <c r="N6777" s="1">
        <f t="shared" si="529"/>
        <v>17806</v>
      </c>
    </row>
    <row r="6778" spans="1:14" x14ac:dyDescent="0.3">
      <c r="A6778" s="1">
        <v>17807</v>
      </c>
      <c r="B6778" s="16" t="s">
        <v>10167</v>
      </c>
      <c r="C6778" s="15" t="s">
        <v>2497</v>
      </c>
      <c r="D6778" s="16" t="s">
        <v>10168</v>
      </c>
      <c r="E6778" s="17" t="s">
        <v>4616</v>
      </c>
      <c r="F6778" t="str">
        <f t="shared" si="525"/>
        <v>Frazer</v>
      </c>
      <c r="G6778" t="str">
        <f t="shared" si="526"/>
        <v>FrazerNFConroe</v>
      </c>
      <c r="H6778" t="s">
        <v>37634</v>
      </c>
      <c r="I6778" t="s">
        <v>29050</v>
      </c>
      <c r="J6778" t="str">
        <f t="shared" si="527"/>
        <v>E:\PropInv\MF</v>
      </c>
      <c r="K6778" s="103" t="str">
        <f>HYPERLINK("E:\PropInv\MF\Conroe\Frazer St N @ Dallas St W_NF_West Fork Apts_Conroe_17807","Frazer St N @ Dallas St W_NF_West Fork Apts_Conroe_17807" )</f>
        <v>Frazer St N @ Dallas St W_NF_West Fork Apts_Conroe_17807</v>
      </c>
      <c r="L6778" s="104" t="s">
        <v>22253</v>
      </c>
      <c r="M6778" s="103" t="str">
        <f t="shared" si="528"/>
        <v>http://oconnordata.com/mlink/modules/profile/index.cfm?action=profile&amp;prop_id=17807</v>
      </c>
      <c r="N6778" s="1">
        <f t="shared" si="529"/>
        <v>17807</v>
      </c>
    </row>
    <row r="6779" spans="1:14" x14ac:dyDescent="0.3">
      <c r="A6779" s="1">
        <v>17809</v>
      </c>
      <c r="B6779" s="7" t="s">
        <v>10169</v>
      </c>
      <c r="C6779" s="12">
        <v>6101</v>
      </c>
      <c r="D6779" s="7" t="s">
        <v>10170</v>
      </c>
      <c r="E6779" s="13" t="s">
        <v>5014</v>
      </c>
      <c r="F6779" t="str">
        <f t="shared" si="525"/>
        <v>Riverside</v>
      </c>
      <c r="G6779" t="str">
        <f t="shared" si="526"/>
        <v>Riverside6101Fort Worth</v>
      </c>
      <c r="H6779" t="s">
        <v>37635</v>
      </c>
      <c r="I6779" t="s">
        <v>29051</v>
      </c>
      <c r="J6779" t="str">
        <f t="shared" si="527"/>
        <v>E:\PropInv\MF</v>
      </c>
      <c r="K6779" s="103" t="str">
        <f>HYPERLINK("E:\PropInv\MF\Fort Worth\Riverside Dr N_6101_Avington Park Apts_Fort Worth_17809","Riverside Dr N_6101_Avington Park Apts_Fort Worth_17809" )</f>
        <v>Riverside Dr N_6101_Avington Park Apts_Fort Worth_17809</v>
      </c>
      <c r="L6779" s="104" t="s">
        <v>22253</v>
      </c>
      <c r="M6779" s="103" t="str">
        <f t="shared" si="528"/>
        <v>http://oconnordata.com/mlink/modules/profile/index.cfm?action=profile&amp;prop_id=17809</v>
      </c>
      <c r="N6779" s="1">
        <f t="shared" si="529"/>
        <v>17809</v>
      </c>
    </row>
    <row r="6780" spans="1:14" x14ac:dyDescent="0.3">
      <c r="A6780" s="1">
        <v>17810</v>
      </c>
      <c r="B6780" s="7" t="s">
        <v>1941</v>
      </c>
      <c r="C6780" s="12">
        <v>24215</v>
      </c>
      <c r="D6780" s="7" t="s">
        <v>10171</v>
      </c>
      <c r="E6780" s="13" t="s">
        <v>1646</v>
      </c>
      <c r="F6780" t="str">
        <f t="shared" si="525"/>
        <v>Kuykendahl</v>
      </c>
      <c r="G6780" t="str">
        <f t="shared" si="526"/>
        <v>Kuykendahl24215Tomball</v>
      </c>
      <c r="H6780" t="s">
        <v>37636</v>
      </c>
      <c r="I6780" t="s">
        <v>29052</v>
      </c>
      <c r="J6780" t="str">
        <f t="shared" si="527"/>
        <v>E:\PropInv\MF</v>
      </c>
      <c r="K6780" s="103" t="str">
        <f>HYPERLINK("E:\PropInv\MF\Tomball\Kuykendahl Rd_24215_Augusta Meadows_Tomball_17810","Kuykendahl Rd_24215_Augusta Meadows_Tomball_17810" )</f>
        <v>Kuykendahl Rd_24215_Augusta Meadows_Tomball_17810</v>
      </c>
      <c r="L6780" s="104" t="s">
        <v>22253</v>
      </c>
      <c r="M6780" s="103" t="str">
        <f t="shared" si="528"/>
        <v>http://oconnordata.com/mlink/modules/profile/index.cfm?action=profile&amp;prop_id=17810</v>
      </c>
      <c r="N6780" s="1">
        <f t="shared" si="529"/>
        <v>17810</v>
      </c>
    </row>
    <row r="6781" spans="1:14" x14ac:dyDescent="0.3">
      <c r="A6781" s="1">
        <v>17811</v>
      </c>
      <c r="B6781" s="7" t="s">
        <v>1562</v>
      </c>
      <c r="C6781" s="12">
        <v>9531</v>
      </c>
      <c r="D6781" s="7" t="s">
        <v>10172</v>
      </c>
      <c r="E6781" s="13" t="s">
        <v>842</v>
      </c>
      <c r="F6781" t="str">
        <f t="shared" si="525"/>
        <v>151</v>
      </c>
      <c r="G6781" t="str">
        <f t="shared" si="526"/>
        <v>1519531San Antonio</v>
      </c>
      <c r="H6781" t="s">
        <v>37637</v>
      </c>
      <c r="I6781" t="s">
        <v>29053</v>
      </c>
      <c r="J6781" t="str">
        <f t="shared" si="527"/>
        <v>E:\PropInv\MF</v>
      </c>
      <c r="K6781" s="103" t="str">
        <f>HYPERLINK("E:\PropInv\MF\San Antonio\151 Hwy_9531_Stone Ranch at Westover Hills_San Antonio_17811","151 Hwy_9531_Stone Ranch at Westover Hills_San Antonio_17811" )</f>
        <v>151 Hwy_9531_Stone Ranch at Westover Hills_San Antonio_17811</v>
      </c>
      <c r="L6781" s="104" t="s">
        <v>22253</v>
      </c>
      <c r="M6781" s="103" t="str">
        <f t="shared" si="528"/>
        <v>http://oconnordata.com/mlink/modules/profile/index.cfm?action=profile&amp;prop_id=17811</v>
      </c>
      <c r="N6781" s="1">
        <f t="shared" si="529"/>
        <v>17811</v>
      </c>
    </row>
    <row r="6782" spans="1:14" x14ac:dyDescent="0.3">
      <c r="A6782" s="1">
        <v>17813</v>
      </c>
      <c r="B6782" s="7" t="s">
        <v>10173</v>
      </c>
      <c r="C6782" s="12">
        <v>14144</v>
      </c>
      <c r="D6782" s="7" t="s">
        <v>1078</v>
      </c>
      <c r="E6782" s="13" t="s">
        <v>1818</v>
      </c>
      <c r="F6782" t="str">
        <f t="shared" si="525"/>
        <v>Mueschke</v>
      </c>
      <c r="G6782" t="str">
        <f t="shared" si="526"/>
        <v>Mueschke14144Cypress</v>
      </c>
      <c r="H6782" t="s">
        <v>37638</v>
      </c>
      <c r="I6782" t="s">
        <v>29054</v>
      </c>
      <c r="J6782" t="str">
        <f t="shared" si="527"/>
        <v>E:\PropInv\MF</v>
      </c>
      <c r="K6782" s="103" t="str">
        <f>HYPERLINK("E:\PropInv\MF\Cypress\Mueschke Rd_14144_Grand Cypress_Cypress_17813","Mueschke Rd_14144_Grand Cypress_Cypress_17813" )</f>
        <v>Mueschke Rd_14144_Grand Cypress_Cypress_17813</v>
      </c>
      <c r="L6782" s="104" t="s">
        <v>22253</v>
      </c>
      <c r="M6782" s="103" t="str">
        <f t="shared" si="528"/>
        <v>http://oconnordata.com/mlink/modules/profile/index.cfm?action=profile&amp;prop_id=17813</v>
      </c>
      <c r="N6782" s="1">
        <f t="shared" si="529"/>
        <v>17813</v>
      </c>
    </row>
    <row r="6783" spans="1:14" x14ac:dyDescent="0.3">
      <c r="A6783" s="1">
        <v>17815</v>
      </c>
      <c r="B6783" s="7" t="s">
        <v>10174</v>
      </c>
      <c r="C6783" s="12">
        <v>10600</v>
      </c>
      <c r="D6783" s="7" t="s">
        <v>8248</v>
      </c>
      <c r="E6783" s="13" t="s">
        <v>1657</v>
      </c>
      <c r="F6783" t="str">
        <f t="shared" si="525"/>
        <v>Southdown</v>
      </c>
      <c r="G6783" t="str">
        <f t="shared" si="526"/>
        <v>Southdown10600Houston</v>
      </c>
      <c r="H6783" t="s">
        <v>37639</v>
      </c>
      <c r="I6783" t="s">
        <v>29055</v>
      </c>
      <c r="J6783" t="str">
        <f t="shared" si="527"/>
        <v>E:\PropInv\MF</v>
      </c>
      <c r="K6783" s="103" t="str">
        <f>HYPERLINK("E:\PropInv\MF\Houston\Southdown Trace Trl_10600_Regency Park_Houston_17815","Southdown Trace Trl_10600_Regency Park_Houston_17815" )</f>
        <v>Southdown Trace Trl_10600_Regency Park_Houston_17815</v>
      </c>
      <c r="L6783" s="104" t="s">
        <v>22253</v>
      </c>
      <c r="M6783" s="103" t="str">
        <f t="shared" si="528"/>
        <v>http://oconnordata.com/mlink/modules/profile/index.cfm?action=profile&amp;prop_id=17815</v>
      </c>
      <c r="N6783" s="1">
        <f t="shared" si="529"/>
        <v>17815</v>
      </c>
    </row>
    <row r="6784" spans="1:14" x14ac:dyDescent="0.3">
      <c r="A6784" s="1">
        <v>17818</v>
      </c>
      <c r="B6784" s="7" t="s">
        <v>10175</v>
      </c>
      <c r="C6784" s="12">
        <v>2056</v>
      </c>
      <c r="D6784" s="7" t="s">
        <v>10176</v>
      </c>
      <c r="E6784" s="13" t="s">
        <v>912</v>
      </c>
      <c r="F6784" t="str">
        <f t="shared" si="525"/>
        <v>Sundance</v>
      </c>
      <c r="G6784" t="str">
        <f t="shared" si="526"/>
        <v>Sundance2056New Braunfels</v>
      </c>
      <c r="H6784" t="s">
        <v>37640</v>
      </c>
      <c r="I6784" t="s">
        <v>29056</v>
      </c>
      <c r="J6784" t="str">
        <f t="shared" si="527"/>
        <v>E:\PropInv\MF</v>
      </c>
      <c r="K6784" s="103" t="str">
        <f>HYPERLINK("E:\PropInv\MF\New Braunfels\Sundance Pkwy_2056_Villas at Sundance_New Braunfels_17818","Sundance Pkwy_2056_Villas at Sundance_New Braunfels_17818" )</f>
        <v>Sundance Pkwy_2056_Villas at Sundance_New Braunfels_17818</v>
      </c>
      <c r="L6784" s="104" t="s">
        <v>22253</v>
      </c>
      <c r="M6784" s="103" t="str">
        <f t="shared" si="528"/>
        <v>http://oconnordata.com/mlink/modules/profile/index.cfm?action=profile&amp;prop_id=17818</v>
      </c>
      <c r="N6784" s="1">
        <f t="shared" si="529"/>
        <v>17818</v>
      </c>
    </row>
    <row r="6785" spans="1:14" x14ac:dyDescent="0.3">
      <c r="A6785" s="1">
        <v>17819</v>
      </c>
      <c r="B6785" s="7" t="s">
        <v>171</v>
      </c>
      <c r="C6785" s="12">
        <v>2101</v>
      </c>
      <c r="D6785" s="7" t="s">
        <v>10177</v>
      </c>
      <c r="E6785" s="13" t="s">
        <v>7</v>
      </c>
      <c r="F6785" t="str">
        <f t="shared" si="525"/>
        <v>Rio</v>
      </c>
      <c r="G6785" t="str">
        <f t="shared" si="526"/>
        <v>Rio2101Austin</v>
      </c>
      <c r="H6785" t="s">
        <v>37641</v>
      </c>
      <c r="I6785" t="s">
        <v>29057</v>
      </c>
      <c r="J6785" t="str">
        <f t="shared" si="527"/>
        <v>E:\PropInv\MF</v>
      </c>
      <c r="K6785" s="103" t="str">
        <f>HYPERLINK("E:\PropInv\MF\Austin\Rio Grande St_2101_21 Rio_Austin_17819","Rio Grande St_2101_21 Rio_Austin_17819" )</f>
        <v>Rio Grande St_2101_21 Rio_Austin_17819</v>
      </c>
      <c r="L6785" s="104" t="s">
        <v>22253</v>
      </c>
      <c r="M6785" s="103" t="str">
        <f t="shared" si="528"/>
        <v>http://oconnordata.com/mlink/modules/profile/index.cfm?action=profile&amp;prop_id=17819</v>
      </c>
      <c r="N6785" s="1">
        <f t="shared" si="529"/>
        <v>17819</v>
      </c>
    </row>
    <row r="6786" spans="1:14" x14ac:dyDescent="0.3">
      <c r="A6786" s="1">
        <v>17821</v>
      </c>
      <c r="B6786" s="19" t="s">
        <v>41</v>
      </c>
      <c r="C6786" s="18">
        <v>222</v>
      </c>
      <c r="D6786" s="19" t="s">
        <v>10178</v>
      </c>
      <c r="E6786" s="20" t="s">
        <v>7</v>
      </c>
      <c r="F6786" t="str">
        <f t="shared" ref="F6786:F6849" si="530">IFERROR(LEFT(B6786,FIND(" ",B6786)-1),B6786)</f>
        <v>Riverside</v>
      </c>
      <c r="G6786" t="str">
        <f t="shared" ref="G6786:G6849" si="531">F6786&amp;C6786&amp;E6786</f>
        <v>Riverside222Austin</v>
      </c>
      <c r="H6786" t="s">
        <v>37642</v>
      </c>
      <c r="I6786" t="s">
        <v>29058</v>
      </c>
      <c r="J6786" t="str">
        <f t="shared" ref="J6786:J6849" si="532">IF(L6786="TX",Folder_Path,Folder_Path&amp;"\State_"&amp;L6786)</f>
        <v>E:\PropInv\MF</v>
      </c>
      <c r="K6786" s="103" t="str">
        <f>HYPERLINK("E:\PropInv\MF\Austin\Riverside Dr E_222_Riverside Square Apts_Austin_17821","Riverside Dr E_222_Riverside Square Apts_Austin_17821" )</f>
        <v>Riverside Dr E_222_Riverside Square Apts_Austin_17821</v>
      </c>
      <c r="L6786" s="104" t="s">
        <v>22253</v>
      </c>
      <c r="M6786" s="103" t="str">
        <f t="shared" ref="M6786:M6849" si="533">HYPERLINK("http://oconnordata.com/mlink/modules/profile/index.cfm?action=profile&amp;prop_id="&amp;A6786)</f>
        <v>http://oconnordata.com/mlink/modules/profile/index.cfm?action=profile&amp;prop_id=17821</v>
      </c>
      <c r="N6786" s="1">
        <f t="shared" ref="N6786:N6849" si="534">IF(LEN(A6786)=1,"0000"&amp;A6786,IF(LEN(A6786)=2,"000"&amp;A6786,IF(LEN(A6786)=3,"00"&amp;A6786,IF(LEN(A6786)=4,"0"&amp;A6786,IF(LEN(A6786)=5,IF(LEFT(A6786,1)="3",A6786+30000,A6786))))))</f>
        <v>17821</v>
      </c>
    </row>
    <row r="6787" spans="1:14" x14ac:dyDescent="0.3">
      <c r="A6787" s="1">
        <v>17823</v>
      </c>
      <c r="B6787" s="7" t="s">
        <v>4763</v>
      </c>
      <c r="C6787" s="12">
        <v>2495</v>
      </c>
      <c r="D6787" s="7" t="s">
        <v>10179</v>
      </c>
      <c r="E6787" s="13" t="s">
        <v>1508</v>
      </c>
      <c r="F6787" t="str">
        <f t="shared" si="530"/>
        <v>Sawdust</v>
      </c>
      <c r="G6787" t="str">
        <f t="shared" si="531"/>
        <v>Sawdust2495The Woodlands</v>
      </c>
      <c r="H6787" t="s">
        <v>37643</v>
      </c>
      <c r="I6787" t="s">
        <v>29059</v>
      </c>
      <c r="J6787" t="str">
        <f t="shared" si="532"/>
        <v>E:\PropInv\MF</v>
      </c>
      <c r="K6787" s="103" t="str">
        <f>HYPERLINK("E:\PropInv\MF\The Woodlands\Sawdust Rd_2495_The Abbey on Lake Wyndemere_The Woodlands_17823","Sawdust Rd_2495_The Abbey on Lake Wyndemere_The Woodlands_17823" )</f>
        <v>Sawdust Rd_2495_The Abbey on Lake Wyndemere_The Woodlands_17823</v>
      </c>
      <c r="L6787" s="104" t="s">
        <v>22253</v>
      </c>
      <c r="M6787" s="103" t="str">
        <f t="shared" si="533"/>
        <v>http://oconnordata.com/mlink/modules/profile/index.cfm?action=profile&amp;prop_id=17823</v>
      </c>
      <c r="N6787" s="1">
        <f t="shared" si="534"/>
        <v>17823</v>
      </c>
    </row>
    <row r="6788" spans="1:14" x14ac:dyDescent="0.3">
      <c r="A6788" s="1">
        <v>17825</v>
      </c>
      <c r="B6788" s="7" t="s">
        <v>10180</v>
      </c>
      <c r="C6788" s="12">
        <v>9001</v>
      </c>
      <c r="D6788" s="7" t="s">
        <v>10181</v>
      </c>
      <c r="E6788" s="13" t="s">
        <v>7</v>
      </c>
      <c r="F6788" t="str">
        <f t="shared" si="530"/>
        <v>Amberglen</v>
      </c>
      <c r="G6788" t="str">
        <f t="shared" si="531"/>
        <v>Amberglen9001Austin</v>
      </c>
      <c r="H6788" t="s">
        <v>37644</v>
      </c>
      <c r="I6788" t="s">
        <v>29060</v>
      </c>
      <c r="J6788" t="str">
        <f t="shared" si="532"/>
        <v>E:\PropInv\MF</v>
      </c>
      <c r="K6788" s="103" t="str">
        <f>HYPERLINK("E:\PropInv\MF\Austin\Amberglen Blvd_9001_Camden Amber Oaks I_Austin_17825","Amberglen Blvd_9001_Camden Amber Oaks I_Austin_17825" )</f>
        <v>Amberglen Blvd_9001_Camden Amber Oaks I_Austin_17825</v>
      </c>
      <c r="L6788" s="104" t="s">
        <v>22253</v>
      </c>
      <c r="M6788" s="103" t="str">
        <f t="shared" si="533"/>
        <v>http://oconnordata.com/mlink/modules/profile/index.cfm?action=profile&amp;prop_id=17825</v>
      </c>
      <c r="N6788" s="1">
        <f t="shared" si="534"/>
        <v>17825</v>
      </c>
    </row>
    <row r="6789" spans="1:14" x14ac:dyDescent="0.3">
      <c r="A6789" s="1">
        <v>17828</v>
      </c>
      <c r="B6789" s="7" t="s">
        <v>8606</v>
      </c>
      <c r="C6789" s="12">
        <v>9140</v>
      </c>
      <c r="D6789" s="7" t="s">
        <v>10182</v>
      </c>
      <c r="E6789" s="13" t="s">
        <v>1657</v>
      </c>
      <c r="F6789" t="str">
        <f t="shared" si="530"/>
        <v>6</v>
      </c>
      <c r="G6789" t="str">
        <f t="shared" si="531"/>
        <v>69140Houston</v>
      </c>
      <c r="H6789" t="s">
        <v>37645</v>
      </c>
      <c r="I6789" t="s">
        <v>29061</v>
      </c>
      <c r="J6789" t="str">
        <f t="shared" si="532"/>
        <v>E:\PropInv\MF</v>
      </c>
      <c r="K6789" s="103" t="str">
        <f>HYPERLINK("E:\PropInv\MF\Houston\6 Hwy N_9140_The Falls at Copper Lake_Houston_17828","6 Hwy N_9140_The Falls at Copper Lake_Houston_17828" )</f>
        <v>6 Hwy N_9140_The Falls at Copper Lake_Houston_17828</v>
      </c>
      <c r="L6789" s="104" t="s">
        <v>22253</v>
      </c>
      <c r="M6789" s="103" t="str">
        <f t="shared" si="533"/>
        <v>http://oconnordata.com/mlink/modules/profile/index.cfm?action=profile&amp;prop_id=17828</v>
      </c>
      <c r="N6789" s="1">
        <f t="shared" si="534"/>
        <v>17828</v>
      </c>
    </row>
    <row r="6790" spans="1:14" x14ac:dyDescent="0.3">
      <c r="A6790" s="1">
        <v>17831</v>
      </c>
      <c r="B6790" s="7" t="s">
        <v>10183</v>
      </c>
      <c r="C6790" s="12">
        <v>3001</v>
      </c>
      <c r="D6790" s="7" t="s">
        <v>10184</v>
      </c>
      <c r="E6790" s="13" t="s">
        <v>7</v>
      </c>
      <c r="F6790" t="str">
        <f t="shared" si="530"/>
        <v>Esperanza</v>
      </c>
      <c r="G6790" t="str">
        <f t="shared" si="531"/>
        <v>Esperanza3001Austin</v>
      </c>
      <c r="H6790" t="s">
        <v>37646</v>
      </c>
      <c r="I6790" t="s">
        <v>29062</v>
      </c>
      <c r="J6790" t="str">
        <f t="shared" si="532"/>
        <v>E:\PropInv\MF</v>
      </c>
      <c r="K6790" s="103" t="str">
        <f>HYPERLINK("E:\PropInv\MF\Austin\Esperanza Crossing_3001_Domain Parkside_Austin_17831","Esperanza Crossing_3001_Domain Parkside_Austin_17831" )</f>
        <v>Esperanza Crossing_3001_Domain Parkside_Austin_17831</v>
      </c>
      <c r="L6790" s="104" t="s">
        <v>22253</v>
      </c>
      <c r="M6790" s="103" t="str">
        <f t="shared" si="533"/>
        <v>http://oconnordata.com/mlink/modules/profile/index.cfm?action=profile&amp;prop_id=17831</v>
      </c>
      <c r="N6790" s="1">
        <f t="shared" si="534"/>
        <v>17831</v>
      </c>
    </row>
    <row r="6791" spans="1:14" x14ac:dyDescent="0.3">
      <c r="A6791" s="1">
        <v>17832</v>
      </c>
      <c r="B6791" s="7" t="s">
        <v>8944</v>
      </c>
      <c r="C6791" s="12">
        <v>120</v>
      </c>
      <c r="D6791" s="7" t="s">
        <v>10185</v>
      </c>
      <c r="E6791" s="13" t="s">
        <v>16</v>
      </c>
      <c r="F6791" t="str">
        <f t="shared" si="530"/>
        <v>River</v>
      </c>
      <c r="G6791" t="str">
        <f t="shared" si="531"/>
        <v>River120Georgetown</v>
      </c>
      <c r="H6791" t="s">
        <v>37647</v>
      </c>
      <c r="I6791" t="s">
        <v>29063</v>
      </c>
      <c r="J6791" t="str">
        <f t="shared" si="532"/>
        <v>E:\PropInv\MF</v>
      </c>
      <c r="K6791" s="103" t="str">
        <f>HYPERLINK("E:\PropInv\MF\Georgetown\River Bend Dr_120_Cypress Creek at River Bend_Georgetown_17832","River Bend Dr_120_Cypress Creek at River Bend_Georgetown_17832" )</f>
        <v>River Bend Dr_120_Cypress Creek at River Bend_Georgetown_17832</v>
      </c>
      <c r="L6791" s="104" t="s">
        <v>22253</v>
      </c>
      <c r="M6791" s="103" t="str">
        <f t="shared" si="533"/>
        <v>http://oconnordata.com/mlink/modules/profile/index.cfm?action=profile&amp;prop_id=17832</v>
      </c>
      <c r="N6791" s="1">
        <f t="shared" si="534"/>
        <v>17832</v>
      </c>
    </row>
    <row r="6792" spans="1:14" x14ac:dyDescent="0.3">
      <c r="A6792" s="1">
        <v>17833</v>
      </c>
      <c r="B6792" s="7" t="s">
        <v>10186</v>
      </c>
      <c r="C6792" s="12">
        <v>1751</v>
      </c>
      <c r="D6792" s="7" t="s">
        <v>10187</v>
      </c>
      <c r="E6792" s="13" t="s">
        <v>4563</v>
      </c>
      <c r="F6792" t="str">
        <f t="shared" si="530"/>
        <v>Walker</v>
      </c>
      <c r="G6792" t="str">
        <f t="shared" si="531"/>
        <v>Walker1751League City</v>
      </c>
      <c r="H6792" t="s">
        <v>37648</v>
      </c>
      <c r="I6792" t="s">
        <v>29064</v>
      </c>
      <c r="J6792" t="str">
        <f t="shared" si="532"/>
        <v>E:\PropInv\MF</v>
      </c>
      <c r="K6792" s="103" t="str">
        <f>HYPERLINK("E:\PropInv\MF\League City\Walker St W_1751_Broadstone Walker Commons_League City_17833","Walker St W_1751_Broadstone Walker Commons_League City_17833" )</f>
        <v>Walker St W_1751_Broadstone Walker Commons_League City_17833</v>
      </c>
      <c r="L6792" s="104" t="s">
        <v>22253</v>
      </c>
      <c r="M6792" s="103" t="str">
        <f t="shared" si="533"/>
        <v>http://oconnordata.com/mlink/modules/profile/index.cfm?action=profile&amp;prop_id=17833</v>
      </c>
      <c r="N6792" s="1">
        <f t="shared" si="534"/>
        <v>17833</v>
      </c>
    </row>
    <row r="6793" spans="1:14" x14ac:dyDescent="0.3">
      <c r="A6793" s="1">
        <v>17834</v>
      </c>
      <c r="B6793" s="7" t="s">
        <v>10188</v>
      </c>
      <c r="C6793" s="12">
        <v>7510</v>
      </c>
      <c r="D6793" s="7" t="s">
        <v>10189</v>
      </c>
      <c r="E6793" s="13" t="s">
        <v>2609</v>
      </c>
      <c r="F6793" t="str">
        <f t="shared" si="530"/>
        <v>Decker</v>
      </c>
      <c r="G6793" t="str">
        <f t="shared" si="531"/>
        <v>Decker7510Baytown</v>
      </c>
      <c r="H6793" t="s">
        <v>37649</v>
      </c>
      <c r="I6793" t="s">
        <v>29065</v>
      </c>
      <c r="J6793" t="str">
        <f t="shared" si="532"/>
        <v>E:\PropInv\MF</v>
      </c>
      <c r="K6793" s="103" t="str">
        <f>HYPERLINK("E:\PropInv\MF\Baytown\Decker Rd_7510_Piedmont Apts_Baytown_17834","Decker Rd_7510_Piedmont Apts_Baytown_17834" )</f>
        <v>Decker Rd_7510_Piedmont Apts_Baytown_17834</v>
      </c>
      <c r="L6793" s="104" t="s">
        <v>22253</v>
      </c>
      <c r="M6793" s="103" t="str">
        <f t="shared" si="533"/>
        <v>http://oconnordata.com/mlink/modules/profile/index.cfm?action=profile&amp;prop_id=17834</v>
      </c>
      <c r="N6793" s="1">
        <f t="shared" si="534"/>
        <v>17834</v>
      </c>
    </row>
    <row r="6794" spans="1:14" x14ac:dyDescent="0.3">
      <c r="A6794" s="1">
        <v>17835</v>
      </c>
      <c r="B6794" s="7" t="s">
        <v>4921</v>
      </c>
      <c r="C6794" s="12">
        <v>2929</v>
      </c>
      <c r="D6794" s="7" t="s">
        <v>10190</v>
      </c>
      <c r="E6794" s="13" t="s">
        <v>1657</v>
      </c>
      <c r="F6794" t="str">
        <f t="shared" si="530"/>
        <v>Post</v>
      </c>
      <c r="G6794" t="str">
        <f t="shared" si="531"/>
        <v>Post2929Houston</v>
      </c>
      <c r="H6794" t="s">
        <v>37650</v>
      </c>
      <c r="I6794" t="s">
        <v>29066</v>
      </c>
      <c r="J6794" t="str">
        <f t="shared" si="532"/>
        <v>E:\PropInv\MF</v>
      </c>
      <c r="K6794" s="103" t="str">
        <f>HYPERLINK("E:\PropInv\MF\Houston\Post Oak Blvd_2929_The Hampton at Post Oak_Houston_17835","Post Oak Blvd_2929_The Hampton at Post Oak_Houston_17835" )</f>
        <v>Post Oak Blvd_2929_The Hampton at Post Oak_Houston_17835</v>
      </c>
      <c r="L6794" s="104" t="s">
        <v>22253</v>
      </c>
      <c r="M6794" s="103" t="str">
        <f t="shared" si="533"/>
        <v>http://oconnordata.com/mlink/modules/profile/index.cfm?action=profile&amp;prop_id=17835</v>
      </c>
      <c r="N6794" s="1">
        <f t="shared" si="534"/>
        <v>17835</v>
      </c>
    </row>
    <row r="6795" spans="1:14" x14ac:dyDescent="0.3">
      <c r="A6795" s="97">
        <v>17836</v>
      </c>
      <c r="B6795" s="7" t="s">
        <v>2767</v>
      </c>
      <c r="C6795" s="12">
        <v>14906</v>
      </c>
      <c r="D6795" s="7" t="s">
        <v>10191</v>
      </c>
      <c r="E6795" s="13" t="s">
        <v>1657</v>
      </c>
      <c r="F6795" t="str">
        <f t="shared" si="530"/>
        <v>Westpark</v>
      </c>
      <c r="G6795" t="str">
        <f t="shared" si="531"/>
        <v>Westpark14906Houston</v>
      </c>
      <c r="H6795" t="s">
        <v>37651</v>
      </c>
      <c r="I6795" t="s">
        <v>29067</v>
      </c>
      <c r="J6795" t="str">
        <f t="shared" si="532"/>
        <v>E:\PropInv\MF</v>
      </c>
      <c r="K6795" s="103" t="str">
        <f>HYPERLINK("E:\PropInv\MF\Houston\Westpark Dr_14906_Wynhaven at Towne West_Houston_17836","Westpark Dr_14906_Wynhaven at Towne West_Houston_17836" )</f>
        <v>Westpark Dr_14906_Wynhaven at Towne West_Houston_17836</v>
      </c>
      <c r="L6795" s="104" t="s">
        <v>22253</v>
      </c>
      <c r="M6795" s="103" t="str">
        <f t="shared" si="533"/>
        <v>http://oconnordata.com/mlink/modules/profile/index.cfm?action=profile&amp;prop_id=17836</v>
      </c>
      <c r="N6795" s="1">
        <f t="shared" si="534"/>
        <v>17836</v>
      </c>
    </row>
    <row r="6796" spans="1:14" x14ac:dyDescent="0.3">
      <c r="A6796" s="1">
        <v>17839</v>
      </c>
      <c r="B6796" s="19" t="s">
        <v>10192</v>
      </c>
      <c r="C6796" s="18" t="s">
        <v>2497</v>
      </c>
      <c r="D6796" s="19" t="s">
        <v>10193</v>
      </c>
      <c r="E6796" s="20" t="s">
        <v>7</v>
      </c>
      <c r="F6796" t="str">
        <f t="shared" si="530"/>
        <v>9th</v>
      </c>
      <c r="G6796" t="str">
        <f t="shared" si="531"/>
        <v>9thNFAustin</v>
      </c>
      <c r="H6796" t="s">
        <v>37652</v>
      </c>
      <c r="I6796" t="s">
        <v>29068</v>
      </c>
      <c r="J6796" t="str">
        <f t="shared" si="532"/>
        <v>E:\PropInv\MF</v>
      </c>
      <c r="K6796" s="103" t="str">
        <f>HYPERLINK("E:\PropInv\MF\Austin\9th St E_NF_Skyline Lofts (on hold)_Austin_17839","9th St E_NF_Skyline Lofts (on hold)_Austin_17839" )</f>
        <v>9th St E_NF_Skyline Lofts (on hold)_Austin_17839</v>
      </c>
      <c r="L6796" s="104" t="s">
        <v>22253</v>
      </c>
      <c r="M6796" s="103" t="str">
        <f t="shared" si="533"/>
        <v>http://oconnordata.com/mlink/modules/profile/index.cfm?action=profile&amp;prop_id=17839</v>
      </c>
      <c r="N6796" s="1">
        <f t="shared" si="534"/>
        <v>17839</v>
      </c>
    </row>
    <row r="6797" spans="1:14" x14ac:dyDescent="0.3">
      <c r="A6797" s="1">
        <v>17840</v>
      </c>
      <c r="B6797" s="16" t="s">
        <v>10194</v>
      </c>
      <c r="C6797" s="15" t="s">
        <v>2497</v>
      </c>
      <c r="D6797" s="16" t="s">
        <v>10195</v>
      </c>
      <c r="E6797" s="17" t="s">
        <v>986</v>
      </c>
      <c r="F6797" t="str">
        <f t="shared" si="530"/>
        <v>78</v>
      </c>
      <c r="G6797" t="str">
        <f t="shared" si="531"/>
        <v>78NFSeguin</v>
      </c>
      <c r="H6797" t="s">
        <v>37653</v>
      </c>
      <c r="I6797" t="s">
        <v>29069</v>
      </c>
      <c r="J6797" t="str">
        <f t="shared" si="532"/>
        <v>E:\PropInv\MF</v>
      </c>
      <c r="K6797" s="103" t="str">
        <f>HYPERLINK("E:\PropInv\MF\Seguin\78 Hwy_NF_Seguin Town Center_Seguin_17840","78 Hwy_NF_Seguin Town Center_Seguin_17840" )</f>
        <v>78 Hwy_NF_Seguin Town Center_Seguin_17840</v>
      </c>
      <c r="L6797" s="104" t="s">
        <v>22253</v>
      </c>
      <c r="M6797" s="103" t="str">
        <f t="shared" si="533"/>
        <v>http://oconnordata.com/mlink/modules/profile/index.cfm?action=profile&amp;prop_id=17840</v>
      </c>
      <c r="N6797" s="1">
        <f t="shared" si="534"/>
        <v>17840</v>
      </c>
    </row>
    <row r="6798" spans="1:14" x14ac:dyDescent="0.3">
      <c r="A6798" s="1">
        <v>17842</v>
      </c>
      <c r="B6798" s="16" t="s">
        <v>610</v>
      </c>
      <c r="C6798" s="15">
        <v>10011</v>
      </c>
      <c r="D6798" s="16" t="s">
        <v>10196</v>
      </c>
      <c r="E6798" s="17" t="s">
        <v>7</v>
      </c>
      <c r="F6798" t="str">
        <f t="shared" si="530"/>
        <v>Stonelake</v>
      </c>
      <c r="G6798" t="str">
        <f t="shared" si="531"/>
        <v>Stonelake10011Austin</v>
      </c>
      <c r="H6798" t="s">
        <v>37654</v>
      </c>
      <c r="I6798" t="s">
        <v>29070</v>
      </c>
      <c r="J6798" t="str">
        <f t="shared" si="532"/>
        <v>E:\PropInv\MF</v>
      </c>
      <c r="K6798" s="103" t="str">
        <f>HYPERLINK("E:\PropInv\MF\Austin\Stonelake Blvd_10011_Circle at Stonelake_Austin_17842","Stonelake Blvd_10011_Circle at Stonelake_Austin_17842" )</f>
        <v>Stonelake Blvd_10011_Circle at Stonelake_Austin_17842</v>
      </c>
      <c r="L6798" s="104" t="s">
        <v>22253</v>
      </c>
      <c r="M6798" s="103" t="str">
        <f t="shared" si="533"/>
        <v>http://oconnordata.com/mlink/modules/profile/index.cfm?action=profile&amp;prop_id=17842</v>
      </c>
      <c r="N6798" s="1">
        <f t="shared" si="534"/>
        <v>17842</v>
      </c>
    </row>
    <row r="6799" spans="1:14" x14ac:dyDescent="0.3">
      <c r="A6799" s="1">
        <v>17843</v>
      </c>
      <c r="B6799" s="19" t="s">
        <v>1058</v>
      </c>
      <c r="C6799" s="18">
        <v>8727</v>
      </c>
      <c r="D6799" s="19" t="s">
        <v>10197</v>
      </c>
      <c r="E6799" s="20" t="s">
        <v>842</v>
      </c>
      <c r="F6799" t="str">
        <f t="shared" si="530"/>
        <v>Fairhaven</v>
      </c>
      <c r="G6799" t="str">
        <f t="shared" si="531"/>
        <v>Fairhaven8727San Antonio</v>
      </c>
      <c r="H6799" t="s">
        <v>37655</v>
      </c>
      <c r="I6799" t="s">
        <v>29071</v>
      </c>
      <c r="J6799" t="str">
        <f t="shared" si="532"/>
        <v>E:\PropInv\MF</v>
      </c>
      <c r="K6799" s="103" t="str">
        <f>HYPERLINK("E:\PropInv\MF\San Antonio\Fairhaven_8727_Highland Park Senior Living Apts_San Antonio_17843","Fairhaven_8727_Highland Park Senior Living Apts_San Antonio_17843" )</f>
        <v>Fairhaven_8727_Highland Park Senior Living Apts_San Antonio_17843</v>
      </c>
      <c r="L6799" s="104" t="s">
        <v>22253</v>
      </c>
      <c r="M6799" s="103" t="str">
        <f t="shared" si="533"/>
        <v>http://oconnordata.com/mlink/modules/profile/index.cfm?action=profile&amp;prop_id=17843</v>
      </c>
      <c r="N6799" s="1">
        <f t="shared" si="534"/>
        <v>17843</v>
      </c>
    </row>
    <row r="6800" spans="1:14" x14ac:dyDescent="0.3">
      <c r="A6800" s="1">
        <v>17844</v>
      </c>
      <c r="B6800" s="7" t="s">
        <v>10198</v>
      </c>
      <c r="C6800" s="12">
        <v>2121</v>
      </c>
      <c r="D6800" s="7" t="s">
        <v>10199</v>
      </c>
      <c r="E6800" s="13" t="s">
        <v>1657</v>
      </c>
      <c r="F6800" t="str">
        <f t="shared" si="530"/>
        <v>MidLn</v>
      </c>
      <c r="G6800" t="str">
        <f t="shared" si="531"/>
        <v>MidLn2121Houston</v>
      </c>
      <c r="H6800" t="s">
        <v>37656</v>
      </c>
      <c r="I6800" t="s">
        <v>29072</v>
      </c>
      <c r="J6800" t="str">
        <f t="shared" si="532"/>
        <v>E:\PropInv\MF</v>
      </c>
      <c r="K6800" s="103" t="str">
        <f>HYPERLINK("E:\PropInv\MF\Houston\MidLn St_2121_2121 Midlane_Houston_17844","MidLn St_2121_2121 Midlane_Houston_17844" )</f>
        <v>MidLn St_2121_2121 Midlane_Houston_17844</v>
      </c>
      <c r="L6800" s="104" t="s">
        <v>22253</v>
      </c>
      <c r="M6800" s="103" t="str">
        <f t="shared" si="533"/>
        <v>http://oconnordata.com/mlink/modules/profile/index.cfm?action=profile&amp;prop_id=17844</v>
      </c>
      <c r="N6800" s="1">
        <f t="shared" si="534"/>
        <v>17844</v>
      </c>
    </row>
    <row r="6801" spans="1:14" x14ac:dyDescent="0.3">
      <c r="A6801" s="1">
        <v>17845</v>
      </c>
      <c r="B6801" s="7" t="s">
        <v>8857</v>
      </c>
      <c r="C6801" s="12">
        <v>2113</v>
      </c>
      <c r="D6801" s="7" t="s">
        <v>10200</v>
      </c>
      <c r="E6801" s="13" t="s">
        <v>7522</v>
      </c>
      <c r="F6801" t="str">
        <f t="shared" si="530"/>
        <v>Holly</v>
      </c>
      <c r="G6801" t="str">
        <f t="shared" si="531"/>
        <v>Holly2113Weatherford</v>
      </c>
      <c r="H6801" t="s">
        <v>37657</v>
      </c>
      <c r="I6801" t="s">
        <v>29073</v>
      </c>
      <c r="J6801" t="str">
        <f t="shared" si="532"/>
        <v>E:\PropInv\MF</v>
      </c>
      <c r="K6801" s="103" t="str">
        <f>HYPERLINK("E:\PropInv\MF\Weatherford\Holly Oaks Ln_2113_Residences at Holly Oaks II_Weatherford_17845","Holly Oaks Ln_2113_Residences at Holly Oaks II_Weatherford_17845" )</f>
        <v>Holly Oaks Ln_2113_Residences at Holly Oaks II_Weatherford_17845</v>
      </c>
      <c r="L6801" s="104" t="s">
        <v>22253</v>
      </c>
      <c r="M6801" s="103" t="str">
        <f t="shared" si="533"/>
        <v>http://oconnordata.com/mlink/modules/profile/index.cfm?action=profile&amp;prop_id=17845</v>
      </c>
      <c r="N6801" s="1">
        <f t="shared" si="534"/>
        <v>17845</v>
      </c>
    </row>
    <row r="6802" spans="1:14" x14ac:dyDescent="0.3">
      <c r="A6802" s="1">
        <v>17846</v>
      </c>
      <c r="B6802" s="7" t="s">
        <v>1699</v>
      </c>
      <c r="C6802" s="12">
        <v>9844</v>
      </c>
      <c r="D6802" s="7" t="s">
        <v>10201</v>
      </c>
      <c r="E6802" s="13" t="s">
        <v>1657</v>
      </c>
      <c r="F6802" t="str">
        <f t="shared" si="530"/>
        <v>Cypresswood</v>
      </c>
      <c r="G6802" t="str">
        <f t="shared" si="531"/>
        <v>Cypresswood9844Houston</v>
      </c>
      <c r="H6802" t="s">
        <v>37658</v>
      </c>
      <c r="I6802" t="s">
        <v>29074</v>
      </c>
      <c r="J6802" t="str">
        <f t="shared" si="532"/>
        <v>E:\PropInv\MF</v>
      </c>
      <c r="K6802" s="103" t="str">
        <f>HYPERLINK("E:\PropInv\MF\Houston\Cypresswood Dr_9844_Villas at Cypresswood_Houston_17846","Cypresswood Dr_9844_Villas at Cypresswood_Houston_17846" )</f>
        <v>Cypresswood Dr_9844_Villas at Cypresswood_Houston_17846</v>
      </c>
      <c r="L6802" s="104" t="s">
        <v>22253</v>
      </c>
      <c r="M6802" s="103" t="str">
        <f t="shared" si="533"/>
        <v>http://oconnordata.com/mlink/modules/profile/index.cfm?action=profile&amp;prop_id=17846</v>
      </c>
      <c r="N6802" s="1">
        <f t="shared" si="534"/>
        <v>17846</v>
      </c>
    </row>
    <row r="6803" spans="1:14" x14ac:dyDescent="0.3">
      <c r="A6803" s="1">
        <v>17847</v>
      </c>
      <c r="B6803" s="7" t="s">
        <v>10202</v>
      </c>
      <c r="C6803" s="12">
        <v>2377</v>
      </c>
      <c r="D6803" s="7" t="s">
        <v>10203</v>
      </c>
      <c r="E6803" s="13" t="s">
        <v>5076</v>
      </c>
      <c r="F6803" t="str">
        <f t="shared" si="530"/>
        <v>Dalworth</v>
      </c>
      <c r="G6803" t="str">
        <f t="shared" si="531"/>
        <v>Dalworth2377Grand Prairie</v>
      </c>
      <c r="H6803" t="s">
        <v>37659</v>
      </c>
      <c r="I6803" t="s">
        <v>29075</v>
      </c>
      <c r="J6803" t="str">
        <f t="shared" si="532"/>
        <v>E:\PropInv\MF</v>
      </c>
      <c r="K6803" s="103" t="str">
        <f>HYPERLINK("E:\PropInv\MF\Grand Prairie\Dalworth St_2377_Vista Verde_Grand Prairie_17847","Dalworth St_2377_Vista Verde_Grand Prairie_17847" )</f>
        <v>Dalworth St_2377_Vista Verde_Grand Prairie_17847</v>
      </c>
      <c r="L6803" s="104" t="s">
        <v>22253</v>
      </c>
      <c r="M6803" s="103" t="str">
        <f t="shared" si="533"/>
        <v>http://oconnordata.com/mlink/modules/profile/index.cfm?action=profile&amp;prop_id=17847</v>
      </c>
      <c r="N6803" s="1">
        <f t="shared" si="534"/>
        <v>17847</v>
      </c>
    </row>
    <row r="6804" spans="1:14" x14ac:dyDescent="0.3">
      <c r="A6804" s="1">
        <v>17848</v>
      </c>
      <c r="B6804" s="7" t="s">
        <v>10204</v>
      </c>
      <c r="C6804" s="12">
        <v>300</v>
      </c>
      <c r="D6804" s="7" t="s">
        <v>10205</v>
      </c>
      <c r="E6804" s="13" t="s">
        <v>7</v>
      </c>
      <c r="F6804" t="str">
        <f t="shared" si="530"/>
        <v>Ferguson</v>
      </c>
      <c r="G6804" t="str">
        <f t="shared" si="531"/>
        <v>Ferguson300Austin</v>
      </c>
      <c r="H6804" t="s">
        <v>37660</v>
      </c>
      <c r="I6804" t="s">
        <v>29076</v>
      </c>
      <c r="J6804" t="str">
        <f t="shared" si="532"/>
        <v>E:\PropInv\MF</v>
      </c>
      <c r="K6804" s="103" t="str">
        <f>HYPERLINK("E:\PropInv\MF\Austin\Ferguson Dr_300_Lotus Village_Austin_17848","Ferguson Dr_300_Lotus Village_Austin_17848" )</f>
        <v>Ferguson Dr_300_Lotus Village_Austin_17848</v>
      </c>
      <c r="L6804" s="104" t="s">
        <v>22253</v>
      </c>
      <c r="M6804" s="103" t="str">
        <f t="shared" si="533"/>
        <v>http://oconnordata.com/mlink/modules/profile/index.cfm?action=profile&amp;prop_id=17848</v>
      </c>
      <c r="N6804" s="1">
        <f t="shared" si="534"/>
        <v>17848</v>
      </c>
    </row>
    <row r="6805" spans="1:14" x14ac:dyDescent="0.3">
      <c r="A6805" s="1">
        <v>17850</v>
      </c>
      <c r="B6805" s="19" t="s">
        <v>2497</v>
      </c>
      <c r="C6805" s="18" t="s">
        <v>2497</v>
      </c>
      <c r="D6805" s="19" t="s">
        <v>10206</v>
      </c>
      <c r="E6805" s="20" t="s">
        <v>721</v>
      </c>
      <c r="F6805" t="str">
        <f t="shared" si="530"/>
        <v>NF</v>
      </c>
      <c r="G6805" t="str">
        <f t="shared" si="531"/>
        <v>NFNFLeander</v>
      </c>
      <c r="H6805" t="s">
        <v>37661</v>
      </c>
      <c r="I6805" t="s">
        <v>29077</v>
      </c>
      <c r="J6805" t="str">
        <f t="shared" si="532"/>
        <v>E:\PropInv\MF</v>
      </c>
      <c r="K6805" s="103" t="str">
        <f>HYPERLINK("E:\PropInv\MF\Leander\NF_NF_Leander Apt Complex (On Hold)_Leander_17850","NF_NF_Leander Apt Complex (On Hold)_Leander_17850" )</f>
        <v>NF_NF_Leander Apt Complex (On Hold)_Leander_17850</v>
      </c>
      <c r="L6805" s="104" t="s">
        <v>22253</v>
      </c>
      <c r="M6805" s="103" t="str">
        <f t="shared" si="533"/>
        <v>http://oconnordata.com/mlink/modules/profile/index.cfm?action=profile&amp;prop_id=17850</v>
      </c>
      <c r="N6805" s="1">
        <f t="shared" si="534"/>
        <v>17850</v>
      </c>
    </row>
    <row r="6806" spans="1:14" x14ac:dyDescent="0.3">
      <c r="A6806" s="1">
        <v>17853</v>
      </c>
      <c r="B6806" s="7" t="s">
        <v>10207</v>
      </c>
      <c r="C6806" s="12">
        <v>19002</v>
      </c>
      <c r="D6806" s="7" t="s">
        <v>10208</v>
      </c>
      <c r="E6806" s="13" t="s">
        <v>2675</v>
      </c>
      <c r="F6806" t="str">
        <f t="shared" si="530"/>
        <v>Mission</v>
      </c>
      <c r="G6806" t="str">
        <f t="shared" si="531"/>
        <v>Mission19002Richmond</v>
      </c>
      <c r="H6806" t="s">
        <v>37662</v>
      </c>
      <c r="I6806" t="s">
        <v>29078</v>
      </c>
      <c r="J6806" t="str">
        <f t="shared" si="532"/>
        <v>E:\PropInv\MF</v>
      </c>
      <c r="K6806" s="103" t="str">
        <f>HYPERLINK("E:\PropInv\MF\Richmond\Mission Park Dr_19002_Deseo at Grand Mission_Richmond_17853","Mission Park Dr_19002_Deseo at Grand Mission_Richmond_17853" )</f>
        <v>Mission Park Dr_19002_Deseo at Grand Mission_Richmond_17853</v>
      </c>
      <c r="L6806" s="104" t="s">
        <v>22253</v>
      </c>
      <c r="M6806" s="103" t="str">
        <f t="shared" si="533"/>
        <v>http://oconnordata.com/mlink/modules/profile/index.cfm?action=profile&amp;prop_id=17853</v>
      </c>
      <c r="N6806" s="1">
        <f t="shared" si="534"/>
        <v>17853</v>
      </c>
    </row>
    <row r="6807" spans="1:14" x14ac:dyDescent="0.3">
      <c r="A6807" s="1">
        <v>17854</v>
      </c>
      <c r="B6807" s="7" t="s">
        <v>10209</v>
      </c>
      <c r="C6807" s="12">
        <v>9323</v>
      </c>
      <c r="D6807" s="7" t="s">
        <v>10210</v>
      </c>
      <c r="E6807" s="13" t="s">
        <v>842</v>
      </c>
      <c r="F6807" t="str">
        <f t="shared" si="530"/>
        <v>Somerset</v>
      </c>
      <c r="G6807" t="str">
        <f t="shared" si="531"/>
        <v>Somerset9323San Antonio</v>
      </c>
      <c r="H6807" t="s">
        <v>37663</v>
      </c>
      <c r="I6807" t="s">
        <v>29079</v>
      </c>
      <c r="J6807" t="str">
        <f t="shared" si="532"/>
        <v>E:\PropInv\MF</v>
      </c>
      <c r="K6807" s="103" t="str">
        <f>HYPERLINK("E:\PropInv\MF\San Antonio\Somerset Rd_9323_Costa Mirada_San Antonio_17854","Somerset Rd_9323_Costa Mirada_San Antonio_17854" )</f>
        <v>Somerset Rd_9323_Costa Mirada_San Antonio_17854</v>
      </c>
      <c r="L6807" s="104" t="s">
        <v>22253</v>
      </c>
      <c r="M6807" s="103" t="str">
        <f t="shared" si="533"/>
        <v>http://oconnordata.com/mlink/modules/profile/index.cfm?action=profile&amp;prop_id=17854</v>
      </c>
      <c r="N6807" s="1">
        <f t="shared" si="534"/>
        <v>17854</v>
      </c>
    </row>
    <row r="6808" spans="1:14" x14ac:dyDescent="0.3">
      <c r="A6808" s="1">
        <v>17855</v>
      </c>
      <c r="B6808" s="7" t="s">
        <v>1032</v>
      </c>
      <c r="C6808" s="12">
        <v>6222</v>
      </c>
      <c r="D6808" s="7" t="s">
        <v>10211</v>
      </c>
      <c r="E6808" s="13" t="s">
        <v>842</v>
      </c>
      <c r="F6808" t="str">
        <f t="shared" si="530"/>
        <v>New</v>
      </c>
      <c r="G6808" t="str">
        <f t="shared" si="531"/>
        <v>New6222San Antonio</v>
      </c>
      <c r="H6808" t="s">
        <v>37664</v>
      </c>
      <c r="I6808" t="s">
        <v>29080</v>
      </c>
      <c r="J6808" t="str">
        <f t="shared" si="532"/>
        <v>E:\PropInv\MF</v>
      </c>
      <c r="K6808" s="103" t="str">
        <f>HYPERLINK("E:\PropInv\MF\San Antonio\New Braunfels Ave S_6222_Costa Almadena_San Antonio_17855","New Braunfels Ave S_6222_Costa Almadena_San Antonio_17855" )</f>
        <v>New Braunfels Ave S_6222_Costa Almadena_San Antonio_17855</v>
      </c>
      <c r="L6808" s="104" t="s">
        <v>22253</v>
      </c>
      <c r="M6808" s="103" t="str">
        <f t="shared" si="533"/>
        <v>http://oconnordata.com/mlink/modules/profile/index.cfm?action=profile&amp;prop_id=17855</v>
      </c>
      <c r="N6808" s="1">
        <f t="shared" si="534"/>
        <v>17855</v>
      </c>
    </row>
    <row r="6809" spans="1:14" x14ac:dyDescent="0.3">
      <c r="A6809" s="1">
        <v>17857</v>
      </c>
      <c r="B6809" s="7" t="s">
        <v>1283</v>
      </c>
      <c r="C6809" s="12">
        <v>1707</v>
      </c>
      <c r="D6809" s="7" t="s">
        <v>10212</v>
      </c>
      <c r="E6809" s="13" t="s">
        <v>842</v>
      </c>
      <c r="F6809" t="str">
        <f t="shared" si="530"/>
        <v>Pleasanton</v>
      </c>
      <c r="G6809" t="str">
        <f t="shared" si="531"/>
        <v>Pleasanton1707San Antonio</v>
      </c>
      <c r="H6809" t="s">
        <v>37665</v>
      </c>
      <c r="I6809" t="s">
        <v>29081</v>
      </c>
      <c r="J6809" t="str">
        <f t="shared" si="532"/>
        <v>E:\PropInv\MF</v>
      </c>
      <c r="K6809" s="103" t="str">
        <f>HYPERLINK("E:\PropInv\MF\San Antonio\Pleasanton Rd_1707_Union Pines Apts_San Antonio_17857","Pleasanton Rd_1707_Union Pines Apts_San Antonio_17857" )</f>
        <v>Pleasanton Rd_1707_Union Pines Apts_San Antonio_17857</v>
      </c>
      <c r="L6809" s="104" t="s">
        <v>22253</v>
      </c>
      <c r="M6809" s="103" t="str">
        <f t="shared" si="533"/>
        <v>http://oconnordata.com/mlink/modules/profile/index.cfm?action=profile&amp;prop_id=17857</v>
      </c>
      <c r="N6809" s="1">
        <f t="shared" si="534"/>
        <v>17857</v>
      </c>
    </row>
    <row r="6810" spans="1:14" x14ac:dyDescent="0.3">
      <c r="A6810" s="1">
        <v>17858</v>
      </c>
      <c r="B6810" s="7" t="s">
        <v>10213</v>
      </c>
      <c r="C6810" s="12">
        <v>4622</v>
      </c>
      <c r="D6810" s="7" t="s">
        <v>10214</v>
      </c>
      <c r="E6810" s="13" t="s">
        <v>842</v>
      </c>
      <c r="F6810" t="str">
        <f t="shared" si="530"/>
        <v>Hackberry</v>
      </c>
      <c r="G6810" t="str">
        <f t="shared" si="531"/>
        <v>Hackberry4622San Antonio</v>
      </c>
      <c r="H6810" t="s">
        <v>37666</v>
      </c>
      <c r="I6810" t="s">
        <v>29082</v>
      </c>
      <c r="J6810" t="str">
        <f t="shared" si="532"/>
        <v>E:\PropInv\MF</v>
      </c>
      <c r="K6810" s="103" t="str">
        <f>HYPERLINK("E:\PropInv\MF\San Antonio\Hackberry_4622_SA Union Park Apts_San Antonio_17858","Hackberry_4622_SA Union Park Apts_San Antonio_17858" )</f>
        <v>Hackberry_4622_SA Union Park Apts_San Antonio_17858</v>
      </c>
      <c r="L6810" s="104" t="s">
        <v>22253</v>
      </c>
      <c r="M6810" s="103" t="str">
        <f t="shared" si="533"/>
        <v>http://oconnordata.com/mlink/modules/profile/index.cfm?action=profile&amp;prop_id=17858</v>
      </c>
      <c r="N6810" s="1">
        <f t="shared" si="534"/>
        <v>17858</v>
      </c>
    </row>
    <row r="6811" spans="1:14" x14ac:dyDescent="0.3">
      <c r="A6811" s="97">
        <v>17859</v>
      </c>
      <c r="B6811" s="7" t="s">
        <v>10215</v>
      </c>
      <c r="C6811" s="12">
        <v>4363</v>
      </c>
      <c r="D6811" s="7" t="s">
        <v>10216</v>
      </c>
      <c r="E6811" s="13" t="s">
        <v>842</v>
      </c>
      <c r="F6811" t="str">
        <f t="shared" si="530"/>
        <v>Dean</v>
      </c>
      <c r="G6811" t="str">
        <f t="shared" si="531"/>
        <v>Dean4363San Antonio</v>
      </c>
      <c r="H6811" t="s">
        <v>37667</v>
      </c>
      <c r="I6811" t="s">
        <v>29083</v>
      </c>
      <c r="J6811" t="str">
        <f t="shared" si="532"/>
        <v>E:\PropInv\MF</v>
      </c>
      <c r="K6811" s="103" t="str">
        <f>HYPERLINK("E:\PropInv\MF\San Antonio\Dean Panill Dr W_4363_Wurzbach Manor_San Antonio_17859","Dean Panill Dr W_4363_Wurzbach Manor_San Antonio_17859" )</f>
        <v>Dean Panill Dr W_4363_Wurzbach Manor_San Antonio_17859</v>
      </c>
      <c r="L6811" s="104" t="s">
        <v>22253</v>
      </c>
      <c r="M6811" s="103" t="str">
        <f t="shared" si="533"/>
        <v>http://oconnordata.com/mlink/modules/profile/index.cfm?action=profile&amp;prop_id=17859</v>
      </c>
      <c r="N6811" s="1">
        <f t="shared" si="534"/>
        <v>17859</v>
      </c>
    </row>
    <row r="6812" spans="1:14" x14ac:dyDescent="0.3">
      <c r="A6812" s="1">
        <v>17860</v>
      </c>
      <c r="B6812" s="7" t="s">
        <v>10217</v>
      </c>
      <c r="C6812" s="12">
        <v>3644</v>
      </c>
      <c r="D6812" s="7" t="s">
        <v>10218</v>
      </c>
      <c r="E6812" s="13" t="s">
        <v>842</v>
      </c>
      <c r="F6812" t="str">
        <f t="shared" si="530"/>
        <v>Binz</v>
      </c>
      <c r="G6812" t="str">
        <f t="shared" si="531"/>
        <v>Binz3644San Antonio</v>
      </c>
      <c r="H6812" t="s">
        <v>37668</v>
      </c>
      <c r="I6812" t="s">
        <v>29084</v>
      </c>
      <c r="J6812" t="str">
        <f t="shared" si="532"/>
        <v>E:\PropInv\MF</v>
      </c>
      <c r="K6812" s="103" t="str">
        <f>HYPERLINK("E:\PropInv\MF\San Antonio\Binz Engleman Rd_3644_Artisan at Salado Creek_San Antonio_17860","Binz Engleman Rd_3644_Artisan at Salado Creek_San Antonio_17860" )</f>
        <v>Binz Engleman Rd_3644_Artisan at Salado Creek_San Antonio_17860</v>
      </c>
      <c r="L6812" s="104" t="s">
        <v>22253</v>
      </c>
      <c r="M6812" s="103" t="str">
        <f t="shared" si="533"/>
        <v>http://oconnordata.com/mlink/modules/profile/index.cfm?action=profile&amp;prop_id=17860</v>
      </c>
      <c r="N6812" s="1">
        <f t="shared" si="534"/>
        <v>17860</v>
      </c>
    </row>
    <row r="6813" spans="1:14" x14ac:dyDescent="0.3">
      <c r="A6813" s="1">
        <v>17861</v>
      </c>
      <c r="B6813" s="7" t="s">
        <v>1333</v>
      </c>
      <c r="C6813" s="12">
        <v>1938</v>
      </c>
      <c r="D6813" s="7" t="s">
        <v>10219</v>
      </c>
      <c r="E6813" s="13" t="s">
        <v>842</v>
      </c>
      <c r="F6813" t="str">
        <f t="shared" si="530"/>
        <v>Zarzamora</v>
      </c>
      <c r="G6813" t="str">
        <f t="shared" si="531"/>
        <v>Zarzamora1938San Antonio</v>
      </c>
      <c r="H6813" t="s">
        <v>37669</v>
      </c>
      <c r="I6813" t="s">
        <v>29085</v>
      </c>
      <c r="J6813" t="str">
        <f t="shared" si="532"/>
        <v>E:\PropInv\MF</v>
      </c>
      <c r="K6813" s="103" t="str">
        <f>HYPERLINK("E:\PropInv\MF\San Antonio\Zarzamora St S_1938_San Juan Square_San Antonio_17861","Zarzamora St S_1938_San Juan Square_San Antonio_17861" )</f>
        <v>Zarzamora St S_1938_San Juan Square_San Antonio_17861</v>
      </c>
      <c r="L6813" s="104" t="s">
        <v>22253</v>
      </c>
      <c r="M6813" s="103" t="str">
        <f t="shared" si="533"/>
        <v>http://oconnordata.com/mlink/modules/profile/index.cfm?action=profile&amp;prop_id=17861</v>
      </c>
      <c r="N6813" s="1">
        <f t="shared" si="534"/>
        <v>17861</v>
      </c>
    </row>
    <row r="6814" spans="1:14" x14ac:dyDescent="0.3">
      <c r="A6814" s="1">
        <v>17862</v>
      </c>
      <c r="B6814" s="7" t="s">
        <v>10220</v>
      </c>
      <c r="C6814" s="12">
        <v>3714</v>
      </c>
      <c r="D6814" s="7" t="s">
        <v>10221</v>
      </c>
      <c r="E6814" s="13" t="s">
        <v>842</v>
      </c>
      <c r="F6814" t="str">
        <f t="shared" si="530"/>
        <v>Binz</v>
      </c>
      <c r="G6814" t="str">
        <f t="shared" si="531"/>
        <v>Binz3714San Antonio</v>
      </c>
      <c r="H6814" t="s">
        <v>37670</v>
      </c>
      <c r="I6814" t="s">
        <v>29086</v>
      </c>
      <c r="J6814" t="str">
        <f t="shared" si="532"/>
        <v>E:\PropInv\MF</v>
      </c>
      <c r="K6814" s="103" t="str">
        <f>HYPERLINK("E:\PropInv\MF\San Antonio\Binz Engelman_3714_Artisan at Salado Falls_San Antonio_17862","Binz Engelman_3714_Artisan at Salado Falls_San Antonio_17862" )</f>
        <v>Binz Engelman_3714_Artisan at Salado Falls_San Antonio_17862</v>
      </c>
      <c r="L6814" s="104" t="s">
        <v>22253</v>
      </c>
      <c r="M6814" s="103" t="str">
        <f t="shared" si="533"/>
        <v>http://oconnordata.com/mlink/modules/profile/index.cfm?action=profile&amp;prop_id=17862</v>
      </c>
      <c r="N6814" s="1">
        <f t="shared" si="534"/>
        <v>17862</v>
      </c>
    </row>
    <row r="6815" spans="1:14" x14ac:dyDescent="0.3">
      <c r="A6815" s="1">
        <v>17863</v>
      </c>
      <c r="B6815" s="7" t="s">
        <v>10222</v>
      </c>
      <c r="C6815" s="12">
        <v>5800</v>
      </c>
      <c r="D6815" s="7" t="s">
        <v>2537</v>
      </c>
      <c r="E6815" s="13" t="s">
        <v>842</v>
      </c>
      <c r="F6815" t="str">
        <f t="shared" si="530"/>
        <v>Medina</v>
      </c>
      <c r="G6815" t="str">
        <f t="shared" si="531"/>
        <v>Medina5800San Antonio</v>
      </c>
      <c r="H6815" t="s">
        <v>37671</v>
      </c>
      <c r="I6815" t="s">
        <v>29087</v>
      </c>
      <c r="J6815" t="str">
        <f t="shared" si="532"/>
        <v>E:\PropInv\MF</v>
      </c>
      <c r="K6815" s="103" t="str">
        <f>HYPERLINK("E:\PropInv\MF\San Antonio\Medina Base Dr_5800_Homestead_San Antonio_17863","Medina Base Dr_5800_Homestead_San Antonio_17863" )</f>
        <v>Medina Base Dr_5800_Homestead_San Antonio_17863</v>
      </c>
      <c r="L6815" s="104" t="s">
        <v>22253</v>
      </c>
      <c r="M6815" s="103" t="str">
        <f t="shared" si="533"/>
        <v>http://oconnordata.com/mlink/modules/profile/index.cfm?action=profile&amp;prop_id=17863</v>
      </c>
      <c r="N6815" s="1">
        <f t="shared" si="534"/>
        <v>17863</v>
      </c>
    </row>
    <row r="6816" spans="1:14" x14ac:dyDescent="0.3">
      <c r="A6816" s="1">
        <v>17864</v>
      </c>
      <c r="B6816" s="7" t="s">
        <v>8677</v>
      </c>
      <c r="C6816" s="12">
        <v>2101</v>
      </c>
      <c r="D6816" s="7" t="s">
        <v>10223</v>
      </c>
      <c r="E6816" s="13" t="s">
        <v>842</v>
      </c>
      <c r="F6816" t="str">
        <f t="shared" si="530"/>
        <v>Vera</v>
      </c>
      <c r="G6816" t="str">
        <f t="shared" si="531"/>
        <v>Vera2101San Antonio</v>
      </c>
      <c r="H6816" t="s">
        <v>37672</v>
      </c>
      <c r="I6816" t="s">
        <v>29088</v>
      </c>
      <c r="J6816" t="str">
        <f t="shared" si="532"/>
        <v>E:\PropInv\MF</v>
      </c>
      <c r="K6816" s="103" t="str">
        <f>HYPERLINK("E:\PropInv\MF\San Antonio\Vera Cruz_2101_Villa de San Alfonso_San Antonio_17864","Vera Cruz_2101_Villa de San Alfonso_San Antonio_17864" )</f>
        <v>Vera Cruz_2101_Villa de San Alfonso_San Antonio_17864</v>
      </c>
      <c r="L6816" s="104" t="s">
        <v>22253</v>
      </c>
      <c r="M6816" s="103" t="str">
        <f t="shared" si="533"/>
        <v>http://oconnordata.com/mlink/modules/profile/index.cfm?action=profile&amp;prop_id=17864</v>
      </c>
      <c r="N6816" s="1">
        <f t="shared" si="534"/>
        <v>17864</v>
      </c>
    </row>
    <row r="6817" spans="1:14" x14ac:dyDescent="0.3">
      <c r="A6817" s="1">
        <v>17865</v>
      </c>
      <c r="B6817" s="7" t="s">
        <v>10224</v>
      </c>
      <c r="C6817" s="12">
        <v>4243</v>
      </c>
      <c r="D6817" s="7" t="s">
        <v>10225</v>
      </c>
      <c r="E6817" s="13" t="s">
        <v>842</v>
      </c>
      <c r="F6817" t="str">
        <f t="shared" si="530"/>
        <v>Commerce</v>
      </c>
      <c r="G6817" t="str">
        <f t="shared" si="531"/>
        <v>Commerce4243San Antonio</v>
      </c>
      <c r="H6817" t="s">
        <v>37673</v>
      </c>
      <c r="I6817" t="s">
        <v>29089</v>
      </c>
      <c r="J6817" t="str">
        <f t="shared" si="532"/>
        <v>E:\PropInv\MF</v>
      </c>
      <c r="K6817" s="103" t="str">
        <f>HYPERLINK("E:\PropInv\MF\San Antonio\Commerce W_4243_Lago Vista Village_San Antonio_17865","Commerce W_4243_Lago Vista Village_San Antonio_17865" )</f>
        <v>Commerce W_4243_Lago Vista Village_San Antonio_17865</v>
      </c>
      <c r="L6817" s="104" t="s">
        <v>22253</v>
      </c>
      <c r="M6817" s="103" t="str">
        <f t="shared" si="533"/>
        <v>http://oconnordata.com/mlink/modules/profile/index.cfm?action=profile&amp;prop_id=17865</v>
      </c>
      <c r="N6817" s="1">
        <f t="shared" si="534"/>
        <v>17865</v>
      </c>
    </row>
    <row r="6818" spans="1:14" x14ac:dyDescent="0.3">
      <c r="A6818" s="1">
        <v>17866</v>
      </c>
      <c r="B6818" s="7" t="s">
        <v>10226</v>
      </c>
      <c r="C6818" s="12">
        <v>4848</v>
      </c>
      <c r="D6818" s="7" t="s">
        <v>10227</v>
      </c>
      <c r="E6818" s="13" t="s">
        <v>842</v>
      </c>
      <c r="F6818" t="str">
        <f t="shared" si="530"/>
        <v>Goldfield</v>
      </c>
      <c r="G6818" t="str">
        <f t="shared" si="531"/>
        <v>Goldfield4848San Antonio</v>
      </c>
      <c r="H6818" t="s">
        <v>37674</v>
      </c>
      <c r="I6818" t="s">
        <v>29090</v>
      </c>
      <c r="J6818" t="str">
        <f t="shared" si="532"/>
        <v>E:\PropInv\MF</v>
      </c>
      <c r="K6818" s="103" t="str">
        <f>HYPERLINK("E:\PropInv\MF\San Antonio\Goldfield_4848_Park on Goldfield_San Antonio_17866","Goldfield_4848_Park on Goldfield_San Antonio_17866" )</f>
        <v>Goldfield_4848_Park on Goldfield_San Antonio_17866</v>
      </c>
      <c r="L6818" s="104" t="s">
        <v>22253</v>
      </c>
      <c r="M6818" s="103" t="str">
        <f t="shared" si="533"/>
        <v>http://oconnordata.com/mlink/modules/profile/index.cfm?action=profile&amp;prop_id=17866</v>
      </c>
      <c r="N6818" s="1">
        <f t="shared" si="534"/>
        <v>17866</v>
      </c>
    </row>
    <row r="6819" spans="1:14" x14ac:dyDescent="0.3">
      <c r="A6819" s="1">
        <v>17867</v>
      </c>
      <c r="B6819" s="7" t="s">
        <v>942</v>
      </c>
      <c r="C6819" s="12">
        <v>140</v>
      </c>
      <c r="D6819" s="7" t="s">
        <v>10228</v>
      </c>
      <c r="E6819" s="13" t="s">
        <v>842</v>
      </c>
      <c r="F6819" t="str">
        <f t="shared" si="530"/>
        <v>Babcock</v>
      </c>
      <c r="G6819" t="str">
        <f t="shared" si="531"/>
        <v>Babcock140San Antonio</v>
      </c>
      <c r="H6819" t="s">
        <v>37675</v>
      </c>
      <c r="I6819" t="s">
        <v>29091</v>
      </c>
      <c r="J6819" t="str">
        <f t="shared" si="532"/>
        <v>E:\PropInv\MF</v>
      </c>
      <c r="K6819" s="103" t="str">
        <f>HYPERLINK("E:\PropInv\MF\San Antonio\Babcock Rd_140_Babcock Villa Apts_San Antonio_17867","Babcock Rd_140_Babcock Villa Apts_San Antonio_17867" )</f>
        <v>Babcock Rd_140_Babcock Villa Apts_San Antonio_17867</v>
      </c>
      <c r="L6819" s="104" t="s">
        <v>22253</v>
      </c>
      <c r="M6819" s="103" t="str">
        <f t="shared" si="533"/>
        <v>http://oconnordata.com/mlink/modules/profile/index.cfm?action=profile&amp;prop_id=17867</v>
      </c>
      <c r="N6819" s="1">
        <f t="shared" si="534"/>
        <v>17867</v>
      </c>
    </row>
    <row r="6820" spans="1:14" x14ac:dyDescent="0.3">
      <c r="A6820" s="1">
        <v>17868</v>
      </c>
      <c r="B6820" s="7" t="s">
        <v>85</v>
      </c>
      <c r="C6820" s="12">
        <v>3503</v>
      </c>
      <c r="D6820" s="7" t="s">
        <v>10229</v>
      </c>
      <c r="E6820" s="13" t="s">
        <v>842</v>
      </c>
      <c r="F6820" t="str">
        <f t="shared" si="530"/>
        <v>Camino</v>
      </c>
      <c r="G6820" t="str">
        <f t="shared" si="531"/>
        <v>Camino3503San Antonio</v>
      </c>
      <c r="H6820" t="s">
        <v>37676</v>
      </c>
      <c r="I6820" t="s">
        <v>29092</v>
      </c>
      <c r="J6820" t="str">
        <f t="shared" si="532"/>
        <v>E:\PropInv\MF</v>
      </c>
      <c r="K6820" s="103" t="str">
        <f>HYPERLINK("E:\PropInv\MF\San Antonio\Camino Real_3503_Nueces Bend and Frio Crossing_San Antonio_17868","Camino Real_3503_Nueces Bend and Frio Crossing_San Antonio_17868" )</f>
        <v>Camino Real_3503_Nueces Bend and Frio Crossing_San Antonio_17868</v>
      </c>
      <c r="L6820" s="104" t="s">
        <v>22253</v>
      </c>
      <c r="M6820" s="103" t="str">
        <f t="shared" si="533"/>
        <v>http://oconnordata.com/mlink/modules/profile/index.cfm?action=profile&amp;prop_id=17868</v>
      </c>
      <c r="N6820" s="1">
        <f t="shared" si="534"/>
        <v>17868</v>
      </c>
    </row>
    <row r="6821" spans="1:14" x14ac:dyDescent="0.3">
      <c r="A6821" s="1">
        <v>17869</v>
      </c>
      <c r="B6821" s="7" t="s">
        <v>10230</v>
      </c>
      <c r="C6821" s="12">
        <v>1297</v>
      </c>
      <c r="D6821" s="7" t="s">
        <v>10231</v>
      </c>
      <c r="E6821" s="13" t="s">
        <v>842</v>
      </c>
      <c r="F6821" t="str">
        <f t="shared" si="530"/>
        <v>1604</v>
      </c>
      <c r="G6821" t="str">
        <f t="shared" si="531"/>
        <v>16041297San Antonio</v>
      </c>
      <c r="H6821" t="s">
        <v>37677</v>
      </c>
      <c r="I6821" t="s">
        <v>29093</v>
      </c>
      <c r="J6821" t="str">
        <f t="shared" si="532"/>
        <v>E:\PropInv\MF</v>
      </c>
      <c r="K6821" s="103" t="str">
        <f>HYPERLINK("E:\PropInv\MF\San Antonio\1604 Loop N W_1297_Westcreek TH_San Antonio_17869","1604 Loop N W_1297_Westcreek TH_San Antonio_17869" )</f>
        <v>1604 Loop N W_1297_Westcreek TH_San Antonio_17869</v>
      </c>
      <c r="L6821" s="104" t="s">
        <v>22253</v>
      </c>
      <c r="M6821" s="103" t="str">
        <f t="shared" si="533"/>
        <v>http://oconnordata.com/mlink/modules/profile/index.cfm?action=profile&amp;prop_id=17869</v>
      </c>
      <c r="N6821" s="1">
        <f t="shared" si="534"/>
        <v>17869</v>
      </c>
    </row>
    <row r="6822" spans="1:14" x14ac:dyDescent="0.3">
      <c r="A6822" s="1">
        <v>17871</v>
      </c>
      <c r="B6822" s="7" t="s">
        <v>10232</v>
      </c>
      <c r="C6822" s="12">
        <v>537</v>
      </c>
      <c r="D6822" s="7" t="s">
        <v>10233</v>
      </c>
      <c r="E6822" s="13" t="s">
        <v>842</v>
      </c>
      <c r="F6822" t="str">
        <f t="shared" si="530"/>
        <v>General</v>
      </c>
      <c r="G6822" t="str">
        <f t="shared" si="531"/>
        <v>General537San Antonio</v>
      </c>
      <c r="H6822" t="s">
        <v>37678</v>
      </c>
      <c r="I6822" t="s">
        <v>29094</v>
      </c>
      <c r="J6822" t="str">
        <f t="shared" si="532"/>
        <v>E:\PropInv\MF</v>
      </c>
      <c r="K6822" s="103" t="str">
        <f>HYPERLINK("E:\PropInv\MF\San Antonio\General McMullen Dr N_537_McMullen Square_San Antonio_17871","General McMullen Dr N_537_McMullen Square_San Antonio_17871" )</f>
        <v>General McMullen Dr N_537_McMullen Square_San Antonio_17871</v>
      </c>
      <c r="L6822" s="104" t="s">
        <v>22253</v>
      </c>
      <c r="M6822" s="103" t="str">
        <f t="shared" si="533"/>
        <v>http://oconnordata.com/mlink/modules/profile/index.cfm?action=profile&amp;prop_id=17871</v>
      </c>
      <c r="N6822" s="1">
        <f t="shared" si="534"/>
        <v>17871</v>
      </c>
    </row>
    <row r="6823" spans="1:14" x14ac:dyDescent="0.3">
      <c r="A6823" s="1">
        <v>17872</v>
      </c>
      <c r="B6823" s="7" t="s">
        <v>10234</v>
      </c>
      <c r="C6823" s="12">
        <v>1212</v>
      </c>
      <c r="D6823" s="7" t="s">
        <v>10235</v>
      </c>
      <c r="E6823" s="13" t="s">
        <v>7</v>
      </c>
      <c r="F6823" t="str">
        <f t="shared" si="530"/>
        <v>Ben</v>
      </c>
      <c r="G6823" t="str">
        <f t="shared" si="531"/>
        <v>Ben1212Austin</v>
      </c>
      <c r="H6823" t="s">
        <v>37679</v>
      </c>
      <c r="I6823" t="s">
        <v>29095</v>
      </c>
      <c r="J6823" t="str">
        <f t="shared" si="532"/>
        <v>E:\PropInv\MF</v>
      </c>
      <c r="K6823" s="103" t="str">
        <f>HYPERLINK("E:\PropInv\MF\Austin\Ben White Blvd W_1212_Skyline Terrace_Austin_17872","Ben White Blvd W_1212_Skyline Terrace_Austin_17872" )</f>
        <v>Ben White Blvd W_1212_Skyline Terrace_Austin_17872</v>
      </c>
      <c r="L6823" s="104" t="s">
        <v>22253</v>
      </c>
      <c r="M6823" s="103" t="str">
        <f t="shared" si="533"/>
        <v>http://oconnordata.com/mlink/modules/profile/index.cfm?action=profile&amp;prop_id=17872</v>
      </c>
      <c r="N6823" s="1">
        <f t="shared" si="534"/>
        <v>17872</v>
      </c>
    </row>
    <row r="6824" spans="1:14" x14ac:dyDescent="0.3">
      <c r="A6824" s="1">
        <v>17873</v>
      </c>
      <c r="B6824" s="7" t="s">
        <v>10236</v>
      </c>
      <c r="C6824" s="12">
        <v>1805</v>
      </c>
      <c r="D6824" s="7" t="s">
        <v>10237</v>
      </c>
      <c r="E6824" s="13" t="s">
        <v>7</v>
      </c>
      <c r="F6824" t="str">
        <f t="shared" si="530"/>
        <v>Frontier</v>
      </c>
      <c r="G6824" t="str">
        <f t="shared" si="531"/>
        <v>Frontier1805Austin</v>
      </c>
      <c r="H6824" t="s">
        <v>37680</v>
      </c>
      <c r="I6824" t="s">
        <v>29096</v>
      </c>
      <c r="J6824" t="str">
        <f t="shared" si="532"/>
        <v>E:\PropInv\MF</v>
      </c>
      <c r="K6824" s="103" t="str">
        <f>HYPERLINK("E:\PropInv\MF\Austin\Frontier Valley Dr_1805_Santora Villas_Austin_17873","Frontier Valley Dr_1805_Santora Villas_Austin_17873" )</f>
        <v>Frontier Valley Dr_1805_Santora Villas_Austin_17873</v>
      </c>
      <c r="L6824" s="104" t="s">
        <v>22253</v>
      </c>
      <c r="M6824" s="103" t="str">
        <f t="shared" si="533"/>
        <v>http://oconnordata.com/mlink/modules/profile/index.cfm?action=profile&amp;prop_id=17873</v>
      </c>
      <c r="N6824" s="1">
        <f t="shared" si="534"/>
        <v>17873</v>
      </c>
    </row>
    <row r="6825" spans="1:14" x14ac:dyDescent="0.3">
      <c r="A6825" s="1">
        <v>17874</v>
      </c>
      <c r="B6825" s="7" t="s">
        <v>10238</v>
      </c>
      <c r="C6825" s="12">
        <v>501</v>
      </c>
      <c r="D6825" s="7" t="s">
        <v>10239</v>
      </c>
      <c r="E6825" s="13" t="s">
        <v>16</v>
      </c>
      <c r="F6825" t="str">
        <f t="shared" si="530"/>
        <v>Janis</v>
      </c>
      <c r="G6825" t="str">
        <f t="shared" si="531"/>
        <v>Janis501Georgetown</v>
      </c>
      <c r="H6825" t="s">
        <v>37681</v>
      </c>
      <c r="I6825" t="s">
        <v>29097</v>
      </c>
      <c r="J6825" t="str">
        <f t="shared" si="532"/>
        <v>E:\PropInv\MF</v>
      </c>
      <c r="K6825" s="103" t="str">
        <f>HYPERLINK("E:\PropInv\MF\Georgetown\Janis Dr E_501_Shady Oaks Apts_Georgetown_17874","Janis Dr E_501_Shady Oaks Apts_Georgetown_17874" )</f>
        <v>Janis Dr E_501_Shady Oaks Apts_Georgetown_17874</v>
      </c>
      <c r="L6825" s="104" t="s">
        <v>22253</v>
      </c>
      <c r="M6825" s="103" t="str">
        <f t="shared" si="533"/>
        <v>http://oconnordata.com/mlink/modules/profile/index.cfm?action=profile&amp;prop_id=17874</v>
      </c>
      <c r="N6825" s="1">
        <f t="shared" si="534"/>
        <v>17874</v>
      </c>
    </row>
    <row r="6826" spans="1:14" x14ac:dyDescent="0.3">
      <c r="A6826" s="1">
        <v>17875</v>
      </c>
      <c r="B6826" s="7" t="s">
        <v>249</v>
      </c>
      <c r="C6826" s="12">
        <v>15711</v>
      </c>
      <c r="D6826" s="7" t="s">
        <v>10240</v>
      </c>
      <c r="E6826" s="13" t="s">
        <v>367</v>
      </c>
      <c r="F6826" t="str">
        <f t="shared" si="530"/>
        <v>Dessau</v>
      </c>
      <c r="G6826" t="str">
        <f t="shared" si="531"/>
        <v>Dessau15711Pflugerville</v>
      </c>
      <c r="H6826" t="s">
        <v>37682</v>
      </c>
      <c r="I6826" t="s">
        <v>29098</v>
      </c>
      <c r="J6826" t="str">
        <f t="shared" si="532"/>
        <v>E:\PropInv\MF</v>
      </c>
      <c r="K6826" s="103" t="str">
        <f>HYPERLINK("E:\PropInv\MF\Pflugerville\Dessau Rd_15711_Cambridge Villas Apts_Pflugerville_17875","Dessau Rd_15711_Cambridge Villas Apts_Pflugerville_17875" )</f>
        <v>Dessau Rd_15711_Cambridge Villas Apts_Pflugerville_17875</v>
      </c>
      <c r="L6826" s="104" t="s">
        <v>22253</v>
      </c>
      <c r="M6826" s="103" t="str">
        <f t="shared" si="533"/>
        <v>http://oconnordata.com/mlink/modules/profile/index.cfm?action=profile&amp;prop_id=17875</v>
      </c>
      <c r="N6826" s="1">
        <f t="shared" si="534"/>
        <v>17875</v>
      </c>
    </row>
    <row r="6827" spans="1:14" x14ac:dyDescent="0.3">
      <c r="A6827" s="1">
        <v>17876</v>
      </c>
      <c r="B6827" s="7" t="s">
        <v>6882</v>
      </c>
      <c r="C6827" s="12">
        <v>500</v>
      </c>
      <c r="D6827" s="7" t="s">
        <v>10241</v>
      </c>
      <c r="E6827" s="13" t="s">
        <v>367</v>
      </c>
      <c r="F6827" t="str">
        <f t="shared" si="530"/>
        <v>Grand</v>
      </c>
      <c r="G6827" t="str">
        <f t="shared" si="531"/>
        <v>Grand500Pflugerville</v>
      </c>
      <c r="H6827" t="s">
        <v>37683</v>
      </c>
      <c r="I6827" t="s">
        <v>29099</v>
      </c>
      <c r="J6827" t="str">
        <f t="shared" si="532"/>
        <v>E:\PropInv\MF</v>
      </c>
      <c r="K6827" s="103" t="str">
        <f>HYPERLINK("E:\PropInv\MF\Pflugerville\Grand Ave Pkwy_500_HomeTowne at Picadilly_Pflugerville_17876","Grand Ave Pkwy_500_HomeTowne at Picadilly_Pflugerville_17876" )</f>
        <v>Grand Ave Pkwy_500_HomeTowne at Picadilly_Pflugerville_17876</v>
      </c>
      <c r="L6827" s="104" t="s">
        <v>22253</v>
      </c>
      <c r="M6827" s="103" t="str">
        <f t="shared" si="533"/>
        <v>http://oconnordata.com/mlink/modules/profile/index.cfm?action=profile&amp;prop_id=17876</v>
      </c>
      <c r="N6827" s="1">
        <f t="shared" si="534"/>
        <v>17876</v>
      </c>
    </row>
    <row r="6828" spans="1:14" x14ac:dyDescent="0.3">
      <c r="A6828" s="1">
        <v>17877</v>
      </c>
      <c r="B6828" s="7" t="s">
        <v>10242</v>
      </c>
      <c r="C6828" s="12">
        <v>24011</v>
      </c>
      <c r="D6828" s="7" t="s">
        <v>10243</v>
      </c>
      <c r="E6828" s="13" t="s">
        <v>1671</v>
      </c>
      <c r="F6828" t="str">
        <f t="shared" si="530"/>
        <v>Richard</v>
      </c>
      <c r="G6828" t="str">
        <f t="shared" si="531"/>
        <v>Richard24011Spring</v>
      </c>
      <c r="H6828" t="s">
        <v>37684</v>
      </c>
      <c r="I6828" t="s">
        <v>29100</v>
      </c>
      <c r="J6828" t="str">
        <f t="shared" si="532"/>
        <v>E:\PropInv\MF</v>
      </c>
      <c r="K6828" s="103" t="str">
        <f>HYPERLINK("E:\PropInv\MF\Spring\Richard Rd_24011_Park at Woodland Springs_Spring_17877","Richard Rd_24011_Park at Woodland Springs_Spring_17877" )</f>
        <v>Richard Rd_24011_Park at Woodland Springs_Spring_17877</v>
      </c>
      <c r="L6828" s="104" t="s">
        <v>22253</v>
      </c>
      <c r="M6828" s="103" t="str">
        <f t="shared" si="533"/>
        <v>http://oconnordata.com/mlink/modules/profile/index.cfm?action=profile&amp;prop_id=17877</v>
      </c>
      <c r="N6828" s="1">
        <f t="shared" si="534"/>
        <v>17877</v>
      </c>
    </row>
    <row r="6829" spans="1:14" x14ac:dyDescent="0.3">
      <c r="A6829" s="1">
        <v>17878</v>
      </c>
      <c r="B6829" s="7" t="s">
        <v>9085</v>
      </c>
      <c r="C6829" s="12">
        <v>4640</v>
      </c>
      <c r="D6829" s="7" t="s">
        <v>10244</v>
      </c>
      <c r="E6829" s="13" t="s">
        <v>7</v>
      </c>
      <c r="F6829" t="str">
        <f t="shared" si="530"/>
        <v>Mueller</v>
      </c>
      <c r="G6829" t="str">
        <f t="shared" si="531"/>
        <v>Mueller4640Austin</v>
      </c>
      <c r="H6829" t="s">
        <v>37685</v>
      </c>
      <c r="I6829" t="s">
        <v>29101</v>
      </c>
      <c r="J6829" t="str">
        <f t="shared" si="532"/>
        <v>E:\PropInv\MF</v>
      </c>
      <c r="K6829" s="103" t="str">
        <f>HYPERLINK("E:\PropInv\MF\Austin\Mueller Blvd_4640_Mosaic at Mueller II_Austin_17878","Mueller Blvd_4640_Mosaic at Mueller II_Austin_17878" )</f>
        <v>Mueller Blvd_4640_Mosaic at Mueller II_Austin_17878</v>
      </c>
      <c r="L6829" s="104" t="s">
        <v>22253</v>
      </c>
      <c r="M6829" s="103" t="str">
        <f t="shared" si="533"/>
        <v>http://oconnordata.com/mlink/modules/profile/index.cfm?action=profile&amp;prop_id=17878</v>
      </c>
      <c r="N6829" s="1">
        <f t="shared" si="534"/>
        <v>17878</v>
      </c>
    </row>
    <row r="6830" spans="1:14" x14ac:dyDescent="0.3">
      <c r="A6830" s="1">
        <v>17882</v>
      </c>
      <c r="B6830" s="7" t="s">
        <v>10245</v>
      </c>
      <c r="C6830" s="12">
        <v>1350</v>
      </c>
      <c r="D6830" s="7" t="s">
        <v>10246</v>
      </c>
      <c r="E6830" s="13" t="s">
        <v>4996</v>
      </c>
      <c r="F6830" t="str">
        <f t="shared" si="530"/>
        <v>Skyline</v>
      </c>
      <c r="G6830" t="str">
        <f t="shared" si="531"/>
        <v>Skyline1350Dallas</v>
      </c>
      <c r="H6830" t="s">
        <v>37686</v>
      </c>
      <c r="I6830" t="s">
        <v>29102</v>
      </c>
      <c r="J6830" t="str">
        <f t="shared" si="532"/>
        <v>E:\PropInv\MF</v>
      </c>
      <c r="K6830" s="103" t="str">
        <f>HYPERLINK("E:\PropInv\MF\Dallas\Skyline Rd_1350_The Homes of Mountain Creek_Dallas_17882","Skyline Rd_1350_The Homes of Mountain Creek_Dallas_17882" )</f>
        <v>Skyline Rd_1350_The Homes of Mountain Creek_Dallas_17882</v>
      </c>
      <c r="L6830" s="104" t="s">
        <v>22253</v>
      </c>
      <c r="M6830" s="103" t="str">
        <f t="shared" si="533"/>
        <v>http://oconnordata.com/mlink/modules/profile/index.cfm?action=profile&amp;prop_id=17882</v>
      </c>
      <c r="N6830" s="1">
        <f t="shared" si="534"/>
        <v>17882</v>
      </c>
    </row>
    <row r="6831" spans="1:14" x14ac:dyDescent="0.3">
      <c r="A6831" s="1">
        <v>17883</v>
      </c>
      <c r="B6831" s="7" t="s">
        <v>10247</v>
      </c>
      <c r="C6831" s="12">
        <v>316</v>
      </c>
      <c r="D6831" s="7" t="s">
        <v>10248</v>
      </c>
      <c r="E6831" s="13" t="s">
        <v>5236</v>
      </c>
      <c r="F6831" t="str">
        <f t="shared" si="530"/>
        <v>Goliad</v>
      </c>
      <c r="G6831" t="str">
        <f t="shared" si="531"/>
        <v>Goliad316Rockwall</v>
      </c>
      <c r="H6831" t="s">
        <v>37687</v>
      </c>
      <c r="I6831" t="s">
        <v>29103</v>
      </c>
      <c r="J6831" t="str">
        <f t="shared" si="532"/>
        <v>E:\PropInv\MF</v>
      </c>
      <c r="K6831" s="103" t="str">
        <f>HYPERLINK("E:\PropInv\MF\Rockwall\Goliad St S_316_Evergreen at Rockwall_Rockwall_17883","Goliad St S_316_Evergreen at Rockwall_Rockwall_17883" )</f>
        <v>Goliad St S_316_Evergreen at Rockwall_Rockwall_17883</v>
      </c>
      <c r="L6831" s="104" t="s">
        <v>22253</v>
      </c>
      <c r="M6831" s="103" t="str">
        <f t="shared" si="533"/>
        <v>http://oconnordata.com/mlink/modules/profile/index.cfm?action=profile&amp;prop_id=17883</v>
      </c>
      <c r="N6831" s="1">
        <f t="shared" si="534"/>
        <v>17883</v>
      </c>
    </row>
    <row r="6832" spans="1:14" x14ac:dyDescent="0.3">
      <c r="A6832" s="1">
        <v>17884</v>
      </c>
      <c r="B6832" s="7" t="s">
        <v>10249</v>
      </c>
      <c r="C6832" s="12">
        <v>321</v>
      </c>
      <c r="D6832" s="7" t="s">
        <v>10250</v>
      </c>
      <c r="E6832" s="13" t="s">
        <v>6898</v>
      </c>
      <c r="F6832" t="str">
        <f t="shared" si="530"/>
        <v>Thomas</v>
      </c>
      <c r="G6832" t="str">
        <f t="shared" si="531"/>
        <v>Thomas321Burleson</v>
      </c>
      <c r="H6832" t="s">
        <v>37688</v>
      </c>
      <c r="I6832" t="s">
        <v>29104</v>
      </c>
      <c r="J6832" t="str">
        <f t="shared" si="532"/>
        <v>E:\PropInv\MF</v>
      </c>
      <c r="K6832" s="103" t="str">
        <f>HYPERLINK("E:\PropInv\MF\Burleson\Thomas St SW_321_Crestmoor Park West_Burleson_17884","Thomas St SW_321_Crestmoor Park West_Burleson_17884" )</f>
        <v>Thomas St SW_321_Crestmoor Park West_Burleson_17884</v>
      </c>
      <c r="L6832" s="104" t="s">
        <v>22253</v>
      </c>
      <c r="M6832" s="103" t="str">
        <f t="shared" si="533"/>
        <v>http://oconnordata.com/mlink/modules/profile/index.cfm?action=profile&amp;prop_id=17884</v>
      </c>
      <c r="N6832" s="1">
        <f t="shared" si="534"/>
        <v>17884</v>
      </c>
    </row>
    <row r="6833" spans="1:14" x14ac:dyDescent="0.3">
      <c r="A6833" s="1">
        <v>17885</v>
      </c>
      <c r="B6833" s="7" t="s">
        <v>10251</v>
      </c>
      <c r="C6833" s="12">
        <v>755</v>
      </c>
      <c r="D6833" s="7" t="s">
        <v>10252</v>
      </c>
      <c r="E6833" s="13" t="s">
        <v>6898</v>
      </c>
      <c r="F6833" t="str">
        <f t="shared" si="530"/>
        <v>Alsbury</v>
      </c>
      <c r="G6833" t="str">
        <f t="shared" si="531"/>
        <v>Alsbury755Burleson</v>
      </c>
      <c r="H6833" t="s">
        <v>37689</v>
      </c>
      <c r="I6833" t="s">
        <v>29105</v>
      </c>
      <c r="J6833" t="str">
        <f t="shared" si="532"/>
        <v>E:\PropInv\MF</v>
      </c>
      <c r="K6833" s="103" t="str">
        <f>HYPERLINK("E:\PropInv\MF\Burleson\Alsbury NE_755_Alsbury Villas_Burleson_17885","Alsbury NE_755_Alsbury Villas_Burleson_17885" )</f>
        <v>Alsbury NE_755_Alsbury Villas_Burleson_17885</v>
      </c>
      <c r="L6833" s="104" t="s">
        <v>22253</v>
      </c>
      <c r="M6833" s="103" t="str">
        <f t="shared" si="533"/>
        <v>http://oconnordata.com/mlink/modules/profile/index.cfm?action=profile&amp;prop_id=17885</v>
      </c>
      <c r="N6833" s="1">
        <f t="shared" si="534"/>
        <v>17885</v>
      </c>
    </row>
    <row r="6834" spans="1:14" x14ac:dyDescent="0.3">
      <c r="A6834" s="1">
        <v>17886</v>
      </c>
      <c r="B6834" s="7" t="s">
        <v>10253</v>
      </c>
      <c r="C6834" s="12">
        <v>1120</v>
      </c>
      <c r="D6834" s="7" t="s">
        <v>10254</v>
      </c>
      <c r="E6834" s="13" t="s">
        <v>5014</v>
      </c>
      <c r="F6834" t="str">
        <f t="shared" si="530"/>
        <v>Samuels</v>
      </c>
      <c r="G6834" t="str">
        <f t="shared" si="531"/>
        <v>Samuels1120Fort Worth</v>
      </c>
      <c r="H6834" t="s">
        <v>37690</v>
      </c>
      <c r="I6834" t="s">
        <v>29106</v>
      </c>
      <c r="J6834" t="str">
        <f t="shared" si="532"/>
        <v>E:\PropInv\MF</v>
      </c>
      <c r="K6834" s="103" t="str">
        <f>HYPERLINK("E:\PropInv\MF\Fort Worth\Samuels Ave_1120_Pavilion at Samuels_Fort Worth_17886","Samuels Ave_1120_Pavilion at Samuels_Fort Worth_17886" )</f>
        <v>Samuels Ave_1120_Pavilion at Samuels_Fort Worth_17886</v>
      </c>
      <c r="L6834" s="104" t="s">
        <v>22253</v>
      </c>
      <c r="M6834" s="103" t="str">
        <f t="shared" si="533"/>
        <v>http://oconnordata.com/mlink/modules/profile/index.cfm?action=profile&amp;prop_id=17886</v>
      </c>
      <c r="N6834" s="1">
        <f t="shared" si="534"/>
        <v>17886</v>
      </c>
    </row>
    <row r="6835" spans="1:14" x14ac:dyDescent="0.3">
      <c r="A6835" s="1">
        <v>17887</v>
      </c>
      <c r="B6835" s="7" t="s">
        <v>10255</v>
      </c>
      <c r="C6835" s="12">
        <v>7201</v>
      </c>
      <c r="D6835" s="7" t="s">
        <v>10256</v>
      </c>
      <c r="E6835" s="13" t="s">
        <v>5014</v>
      </c>
      <c r="F6835" t="str">
        <f t="shared" si="530"/>
        <v>Old</v>
      </c>
      <c r="G6835" t="str">
        <f t="shared" si="531"/>
        <v>Old7201Fort Worth</v>
      </c>
      <c r="H6835" t="s">
        <v>37691</v>
      </c>
      <c r="I6835" t="s">
        <v>29107</v>
      </c>
      <c r="J6835" t="str">
        <f t="shared" si="532"/>
        <v>E:\PropInv\MF</v>
      </c>
      <c r="K6835" s="103" t="str">
        <f>HYPERLINK("E:\PropInv\MF\Fort Worth\Old Decator Rd_7201_Enclave at Parkview Apts_Fort Worth_17887","Old Decator Rd_7201_Enclave at Parkview Apts_Fort Worth_17887" )</f>
        <v>Old Decator Rd_7201_Enclave at Parkview Apts_Fort Worth_17887</v>
      </c>
      <c r="L6835" s="104" t="s">
        <v>22253</v>
      </c>
      <c r="M6835" s="103" t="str">
        <f t="shared" si="533"/>
        <v>http://oconnordata.com/mlink/modules/profile/index.cfm?action=profile&amp;prop_id=17887</v>
      </c>
      <c r="N6835" s="1">
        <f t="shared" si="534"/>
        <v>17887</v>
      </c>
    </row>
    <row r="6836" spans="1:14" x14ac:dyDescent="0.3">
      <c r="A6836" s="1">
        <v>17890</v>
      </c>
      <c r="B6836" s="7" t="s">
        <v>10094</v>
      </c>
      <c r="C6836" s="12">
        <v>101</v>
      </c>
      <c r="D6836" s="7" t="s">
        <v>10257</v>
      </c>
      <c r="E6836" s="13" t="s">
        <v>4399</v>
      </c>
      <c r="F6836" t="str">
        <f t="shared" si="530"/>
        <v>Verde</v>
      </c>
      <c r="G6836" t="str">
        <f t="shared" si="531"/>
        <v>Verde101Clute</v>
      </c>
      <c r="H6836" t="s">
        <v>37692</v>
      </c>
      <c r="I6836" t="s">
        <v>29108</v>
      </c>
      <c r="J6836" t="str">
        <f t="shared" si="532"/>
        <v>E:\PropInv\MF</v>
      </c>
      <c r="K6836" s="103" t="str">
        <f>HYPERLINK("E:\PropInv\MF\Clute\Verde Dr_101_Costa Verde_Clute_17890","Verde Dr_101_Costa Verde_Clute_17890" )</f>
        <v>Verde Dr_101_Costa Verde_Clute_17890</v>
      </c>
      <c r="L6836" s="104" t="s">
        <v>22253</v>
      </c>
      <c r="M6836" s="103" t="str">
        <f t="shared" si="533"/>
        <v>http://oconnordata.com/mlink/modules/profile/index.cfm?action=profile&amp;prop_id=17890</v>
      </c>
      <c r="N6836" s="1">
        <f t="shared" si="534"/>
        <v>17890</v>
      </c>
    </row>
    <row r="6837" spans="1:14" x14ac:dyDescent="0.3">
      <c r="A6837" s="1">
        <v>17891</v>
      </c>
      <c r="B6837" s="7" t="s">
        <v>10258</v>
      </c>
      <c r="C6837" s="12">
        <v>1300</v>
      </c>
      <c r="D6837" s="7" t="s">
        <v>10259</v>
      </c>
      <c r="E6837" s="13" t="s">
        <v>4616</v>
      </c>
      <c r="F6837" t="str">
        <f t="shared" si="530"/>
        <v>Silverdale</v>
      </c>
      <c r="G6837" t="str">
        <f t="shared" si="531"/>
        <v>Silverdale1300Conroe</v>
      </c>
      <c r="H6837" t="s">
        <v>37693</v>
      </c>
      <c r="I6837" t="s">
        <v>29109</v>
      </c>
      <c r="J6837" t="str">
        <f t="shared" si="532"/>
        <v>E:\PropInv\MF</v>
      </c>
      <c r="K6837" s="103" t="str">
        <f>HYPERLINK("E:\PropInv\MF\Conroe\Silverdale Dr_1300_Lodge at Silverdale_Conroe_17891","Silverdale Dr_1300_Lodge at Silverdale_Conroe_17891" )</f>
        <v>Silverdale Dr_1300_Lodge at Silverdale_Conroe_17891</v>
      </c>
      <c r="L6837" s="104" t="s">
        <v>22253</v>
      </c>
      <c r="M6837" s="103" t="str">
        <f t="shared" si="533"/>
        <v>http://oconnordata.com/mlink/modules/profile/index.cfm?action=profile&amp;prop_id=17891</v>
      </c>
      <c r="N6837" s="1">
        <f t="shared" si="534"/>
        <v>17891</v>
      </c>
    </row>
    <row r="6838" spans="1:14" x14ac:dyDescent="0.3">
      <c r="A6838" s="97">
        <v>17892</v>
      </c>
      <c r="B6838" s="7" t="s">
        <v>10260</v>
      </c>
      <c r="C6838" s="12">
        <v>219</v>
      </c>
      <c r="D6838" s="7" t="s">
        <v>10261</v>
      </c>
      <c r="E6838" s="13" t="s">
        <v>4616</v>
      </c>
      <c r="F6838" t="str">
        <f t="shared" si="530"/>
        <v>336</v>
      </c>
      <c r="G6838" t="str">
        <f t="shared" si="531"/>
        <v>336219Conroe</v>
      </c>
      <c r="H6838" t="s">
        <v>37694</v>
      </c>
      <c r="I6838" t="s">
        <v>29110</v>
      </c>
      <c r="J6838" t="str">
        <f t="shared" si="532"/>
        <v>E:\PropInv\MF</v>
      </c>
      <c r="K6838" s="103" t="str">
        <f>HYPERLINK("E:\PropInv\MF\Conroe\336 Loop E N_219_Woodside Manor_Conroe_17892","336 Loop E N_219_Woodside Manor_Conroe_17892" )</f>
        <v>336 Loop E N_219_Woodside Manor_Conroe_17892</v>
      </c>
      <c r="L6838" s="104" t="s">
        <v>22253</v>
      </c>
      <c r="M6838" s="103" t="str">
        <f t="shared" si="533"/>
        <v>http://oconnordata.com/mlink/modules/profile/index.cfm?action=profile&amp;prop_id=17892</v>
      </c>
      <c r="N6838" s="1">
        <f t="shared" si="534"/>
        <v>17892</v>
      </c>
    </row>
    <row r="6839" spans="1:14" x14ac:dyDescent="0.3">
      <c r="A6839" s="1">
        <v>17893</v>
      </c>
      <c r="B6839" s="7" t="s">
        <v>10262</v>
      </c>
      <c r="C6839" s="12">
        <v>2627</v>
      </c>
      <c r="D6839" s="7" t="s">
        <v>10263</v>
      </c>
      <c r="E6839" s="13" t="s">
        <v>1646</v>
      </c>
      <c r="F6839" t="str">
        <f t="shared" si="530"/>
        <v>Cherry</v>
      </c>
      <c r="G6839" t="str">
        <f t="shared" si="531"/>
        <v>Cherry2627Tomball</v>
      </c>
      <c r="H6839" t="s">
        <v>37695</v>
      </c>
      <c r="I6839" t="s">
        <v>29111</v>
      </c>
      <c r="J6839" t="str">
        <f t="shared" si="532"/>
        <v>E:\PropInv\MF</v>
      </c>
      <c r="K6839" s="103" t="str">
        <f>HYPERLINK("E:\PropInv\MF\Tomball\Cherry St S_2627_HomeTowne at Tomball_Tomball_17893","Cherry St S_2627_HomeTowne at Tomball_Tomball_17893" )</f>
        <v>Cherry St S_2627_HomeTowne at Tomball_Tomball_17893</v>
      </c>
      <c r="L6839" s="104" t="s">
        <v>22253</v>
      </c>
      <c r="M6839" s="103" t="str">
        <f t="shared" si="533"/>
        <v>http://oconnordata.com/mlink/modules/profile/index.cfm?action=profile&amp;prop_id=17893</v>
      </c>
      <c r="N6839" s="1">
        <f t="shared" si="534"/>
        <v>17893</v>
      </c>
    </row>
    <row r="6840" spans="1:14" x14ac:dyDescent="0.3">
      <c r="A6840" s="1">
        <v>17894</v>
      </c>
      <c r="B6840" s="7" t="s">
        <v>3830</v>
      </c>
      <c r="C6840" s="12">
        <v>6311</v>
      </c>
      <c r="D6840" s="7" t="s">
        <v>10264</v>
      </c>
      <c r="E6840" s="13" t="s">
        <v>1657</v>
      </c>
      <c r="F6840" t="str">
        <f t="shared" si="530"/>
        <v>Gulf</v>
      </c>
      <c r="G6840" t="str">
        <f t="shared" si="531"/>
        <v>Gulf6311Houston</v>
      </c>
      <c r="H6840" t="s">
        <v>37696</v>
      </c>
      <c r="I6840" t="s">
        <v>29112</v>
      </c>
      <c r="J6840" t="str">
        <f t="shared" si="532"/>
        <v>E:\PropInv\MF</v>
      </c>
      <c r="K6840" s="103" t="str">
        <f>HYPERLINK("E:\PropInv\MF\Houston\Gulf Fwy_6311_Brays Crossing_Houston_17894","Gulf Fwy_6311_Brays Crossing_Houston_17894" )</f>
        <v>Gulf Fwy_6311_Brays Crossing_Houston_17894</v>
      </c>
      <c r="L6840" s="104" t="s">
        <v>22253</v>
      </c>
      <c r="M6840" s="103" t="str">
        <f t="shared" si="533"/>
        <v>http://oconnordata.com/mlink/modules/profile/index.cfm?action=profile&amp;prop_id=17894</v>
      </c>
      <c r="N6840" s="1">
        <f t="shared" si="534"/>
        <v>17894</v>
      </c>
    </row>
    <row r="6841" spans="1:14" x14ac:dyDescent="0.3">
      <c r="A6841" s="1">
        <v>17896</v>
      </c>
      <c r="B6841" s="7" t="s">
        <v>4434</v>
      </c>
      <c r="C6841" s="12">
        <v>17217</v>
      </c>
      <c r="D6841" s="7" t="s">
        <v>10265</v>
      </c>
      <c r="E6841" s="13" t="s">
        <v>1657</v>
      </c>
      <c r="F6841" t="str">
        <f t="shared" si="530"/>
        <v>Hafer</v>
      </c>
      <c r="G6841" t="str">
        <f t="shared" si="531"/>
        <v>Hafer17217Houston</v>
      </c>
      <c r="H6841" t="s">
        <v>37697</v>
      </c>
      <c r="I6841" t="s">
        <v>29113</v>
      </c>
      <c r="J6841" t="str">
        <f t="shared" si="532"/>
        <v>E:\PropInv\MF</v>
      </c>
      <c r="K6841" s="103" t="str">
        <f>HYPERLINK("E:\PropInv\MF\Houston\Hafer Rd_17217_Costa Ibiza_Houston_17896","Hafer Rd_17217_Costa Ibiza_Houston_17896" )</f>
        <v>Hafer Rd_17217_Costa Ibiza_Houston_17896</v>
      </c>
      <c r="L6841" s="104" t="s">
        <v>22253</v>
      </c>
      <c r="M6841" s="103" t="str">
        <f t="shared" si="533"/>
        <v>http://oconnordata.com/mlink/modules/profile/index.cfm?action=profile&amp;prop_id=17896</v>
      </c>
      <c r="N6841" s="1">
        <f t="shared" si="534"/>
        <v>17896</v>
      </c>
    </row>
    <row r="6842" spans="1:14" x14ac:dyDescent="0.3">
      <c r="A6842" s="1">
        <v>17899</v>
      </c>
      <c r="B6842" s="10" t="s">
        <v>10266</v>
      </c>
      <c r="C6842" s="9">
        <v>23473</v>
      </c>
      <c r="D6842" s="10" t="s">
        <v>10267</v>
      </c>
      <c r="E6842" s="11" t="s">
        <v>4688</v>
      </c>
      <c r="F6842" t="str">
        <f t="shared" si="530"/>
        <v>Partners</v>
      </c>
      <c r="G6842" t="str">
        <f t="shared" si="531"/>
        <v>Partners23473Porter</v>
      </c>
      <c r="H6842" t="s">
        <v>37698</v>
      </c>
      <c r="I6842" t="s">
        <v>29114</v>
      </c>
      <c r="J6842" t="str">
        <f t="shared" si="532"/>
        <v>E:\PropInv\MF</v>
      </c>
      <c r="K6842" s="103" t="str">
        <f>HYPERLINK("E:\PropInv\MF\Porter\Partners Way_23473_Porter Plaza Apts_Porter_17899","Partners Way_23473_Porter Plaza Apts_Porter_17899" )</f>
        <v>Partners Way_23473_Porter Plaza Apts_Porter_17899</v>
      </c>
      <c r="L6842" s="104" t="s">
        <v>22253</v>
      </c>
      <c r="M6842" s="103" t="str">
        <f t="shared" si="533"/>
        <v>http://oconnordata.com/mlink/modules/profile/index.cfm?action=profile&amp;prop_id=17899</v>
      </c>
      <c r="N6842" s="1">
        <f t="shared" si="534"/>
        <v>17899</v>
      </c>
    </row>
    <row r="6843" spans="1:14" x14ac:dyDescent="0.3">
      <c r="A6843" s="1">
        <v>17900</v>
      </c>
      <c r="B6843" s="7" t="s">
        <v>10268</v>
      </c>
      <c r="C6843" s="12">
        <v>200</v>
      </c>
      <c r="D6843" s="7" t="s">
        <v>10269</v>
      </c>
      <c r="E6843" s="13" t="s">
        <v>8774</v>
      </c>
      <c r="F6843" t="str">
        <f t="shared" si="530"/>
        <v>Rebecca</v>
      </c>
      <c r="G6843" t="str">
        <f t="shared" si="531"/>
        <v>Rebecca200Bryan</v>
      </c>
      <c r="H6843" t="s">
        <v>37699</v>
      </c>
      <c r="I6843" t="s">
        <v>29115</v>
      </c>
      <c r="J6843" t="str">
        <f t="shared" si="532"/>
        <v>E:\PropInv\MF</v>
      </c>
      <c r="K6843" s="103" t="str">
        <f>HYPERLINK("E:\PropInv\MF\Bryan\Rebecca Ln_200_Emerald Park Apts_Bryan_17900","Rebecca Ln_200_Emerald Park Apts_Bryan_17900" )</f>
        <v>Rebecca Ln_200_Emerald Park Apts_Bryan_17900</v>
      </c>
      <c r="L6843" s="104" t="s">
        <v>22253</v>
      </c>
      <c r="M6843" s="103" t="str">
        <f t="shared" si="533"/>
        <v>http://oconnordata.com/mlink/modules/profile/index.cfm?action=profile&amp;prop_id=17900</v>
      </c>
      <c r="N6843" s="1">
        <f t="shared" si="534"/>
        <v>17900</v>
      </c>
    </row>
    <row r="6844" spans="1:14" x14ac:dyDescent="0.3">
      <c r="A6844" s="1">
        <v>17901</v>
      </c>
      <c r="B6844" s="7" t="s">
        <v>10270</v>
      </c>
      <c r="C6844" s="12">
        <v>6522</v>
      </c>
      <c r="D6844" s="7" t="s">
        <v>374</v>
      </c>
      <c r="E6844" s="13" t="s">
        <v>842</v>
      </c>
      <c r="F6844" t="str">
        <f t="shared" si="530"/>
        <v>Camp</v>
      </c>
      <c r="G6844" t="str">
        <f t="shared" si="531"/>
        <v>Camp6522San Antonio</v>
      </c>
      <c r="H6844" t="s">
        <v>37700</v>
      </c>
      <c r="I6844" t="s">
        <v>29116</v>
      </c>
      <c r="J6844" t="str">
        <f t="shared" si="532"/>
        <v>E:\PropInv\MF</v>
      </c>
      <c r="K6844" s="103" t="str">
        <f>HYPERLINK("E:\PropInv\MF\San Antonio\Camp Bullis Rd_6522_Vista Ridge_San Antonio_17901","Camp Bullis Rd_6522_Vista Ridge_San Antonio_17901" )</f>
        <v>Camp Bullis Rd_6522_Vista Ridge_San Antonio_17901</v>
      </c>
      <c r="L6844" s="104" t="s">
        <v>22253</v>
      </c>
      <c r="M6844" s="103" t="str">
        <f t="shared" si="533"/>
        <v>http://oconnordata.com/mlink/modules/profile/index.cfm?action=profile&amp;prop_id=17901</v>
      </c>
      <c r="N6844" s="1">
        <f t="shared" si="534"/>
        <v>17901</v>
      </c>
    </row>
    <row r="6845" spans="1:14" x14ac:dyDescent="0.3">
      <c r="A6845" s="1">
        <v>17902</v>
      </c>
      <c r="B6845" s="7" t="s">
        <v>10271</v>
      </c>
      <c r="C6845" s="12">
        <v>1901</v>
      </c>
      <c r="D6845" s="7" t="s">
        <v>10272</v>
      </c>
      <c r="E6845" s="13" t="s">
        <v>842</v>
      </c>
      <c r="F6845" t="str">
        <f t="shared" si="530"/>
        <v>San</v>
      </c>
      <c r="G6845" t="str">
        <f t="shared" si="531"/>
        <v>San1901San Antonio</v>
      </c>
      <c r="H6845" t="s">
        <v>37701</v>
      </c>
      <c r="I6845" t="s">
        <v>29117</v>
      </c>
      <c r="J6845" t="str">
        <f t="shared" si="532"/>
        <v>E:\PropInv\MF</v>
      </c>
      <c r="K6845" s="103" t="str">
        <f>HYPERLINK("E:\PropInv\MF\San Antonio\San Marcos St S_1901_Artisan at Creekside_San Antonio_17902","San Marcos St S_1901_Artisan at Creekside_San Antonio_17902" )</f>
        <v>San Marcos St S_1901_Artisan at Creekside_San Antonio_17902</v>
      </c>
      <c r="L6845" s="104" t="s">
        <v>22253</v>
      </c>
      <c r="M6845" s="103" t="str">
        <f t="shared" si="533"/>
        <v>http://oconnordata.com/mlink/modules/profile/index.cfm?action=profile&amp;prop_id=17902</v>
      </c>
      <c r="N6845" s="1">
        <f t="shared" si="534"/>
        <v>17902</v>
      </c>
    </row>
    <row r="6846" spans="1:14" x14ac:dyDescent="0.3">
      <c r="A6846" s="1">
        <v>17903</v>
      </c>
      <c r="B6846" s="7" t="s">
        <v>3916</v>
      </c>
      <c r="C6846" s="12">
        <v>1800</v>
      </c>
      <c r="D6846" s="7" t="s">
        <v>10273</v>
      </c>
      <c r="E6846" s="13" t="s">
        <v>842</v>
      </c>
      <c r="F6846" t="str">
        <f t="shared" si="530"/>
        <v>Broadway</v>
      </c>
      <c r="G6846" t="str">
        <f t="shared" si="531"/>
        <v>Broadway1800San Antonio</v>
      </c>
      <c r="H6846" t="s">
        <v>37702</v>
      </c>
      <c r="I6846" t="s">
        <v>29118</v>
      </c>
      <c r="J6846" t="str">
        <f t="shared" si="532"/>
        <v>E:\PropInv\MF</v>
      </c>
      <c r="K6846" s="103" t="str">
        <f>HYPERLINK("E:\PropInv\MF\San Antonio\Broadway St_1800_The 1800_San Antonio_17903","Broadway St_1800_The 1800_San Antonio_17903" )</f>
        <v>Broadway St_1800_The 1800_San Antonio_17903</v>
      </c>
      <c r="L6846" s="104" t="s">
        <v>22253</v>
      </c>
      <c r="M6846" s="103" t="str">
        <f t="shared" si="533"/>
        <v>http://oconnordata.com/mlink/modules/profile/index.cfm?action=profile&amp;prop_id=17903</v>
      </c>
      <c r="N6846" s="1">
        <f t="shared" si="534"/>
        <v>17903</v>
      </c>
    </row>
    <row r="6847" spans="1:14" x14ac:dyDescent="0.3">
      <c r="A6847" s="1">
        <v>17904</v>
      </c>
      <c r="B6847" s="7" t="s">
        <v>1442</v>
      </c>
      <c r="C6847" s="12">
        <v>14111</v>
      </c>
      <c r="D6847" s="7" t="s">
        <v>10274</v>
      </c>
      <c r="E6847" s="13" t="s">
        <v>842</v>
      </c>
      <c r="F6847" t="str">
        <f t="shared" si="530"/>
        <v>Vance</v>
      </c>
      <c r="G6847" t="str">
        <f t="shared" si="531"/>
        <v>Vance14111San Antonio</v>
      </c>
      <c r="H6847" t="s">
        <v>37703</v>
      </c>
      <c r="I6847" t="s">
        <v>29119</v>
      </c>
      <c r="J6847" t="str">
        <f t="shared" si="532"/>
        <v>E:\PropInv\MF</v>
      </c>
      <c r="K6847" s="103" t="str">
        <f>HYPERLINK("E:\PropInv\MF\San Antonio\Vance Jackson_14111_Palomino_San Antonio_17904","Vance Jackson_14111_Palomino_San Antonio_17904" )</f>
        <v>Vance Jackson_14111_Palomino_San Antonio_17904</v>
      </c>
      <c r="L6847" s="104" t="s">
        <v>22253</v>
      </c>
      <c r="M6847" s="103" t="str">
        <f t="shared" si="533"/>
        <v>http://oconnordata.com/mlink/modules/profile/index.cfm?action=profile&amp;prop_id=17904</v>
      </c>
      <c r="N6847" s="1">
        <f t="shared" si="534"/>
        <v>17904</v>
      </c>
    </row>
    <row r="6848" spans="1:14" x14ac:dyDescent="0.3">
      <c r="A6848" s="1">
        <v>17905</v>
      </c>
      <c r="B6848" s="7" t="s">
        <v>10275</v>
      </c>
      <c r="C6848" s="12">
        <v>4100</v>
      </c>
      <c r="D6848" s="7" t="s">
        <v>10276</v>
      </c>
      <c r="E6848" s="13" t="s">
        <v>7317</v>
      </c>
      <c r="F6848" t="str">
        <f t="shared" si="530"/>
        <v>Vista</v>
      </c>
      <c r="G6848" t="str">
        <f t="shared" si="531"/>
        <v>Vista4100Kaufman</v>
      </c>
      <c r="H6848" t="s">
        <v>37704</v>
      </c>
      <c r="I6848" t="s">
        <v>29120</v>
      </c>
      <c r="J6848" t="str">
        <f t="shared" si="532"/>
        <v>E:\PropInv\MF</v>
      </c>
      <c r="K6848" s="103" t="str">
        <f>HYPERLINK("E:\PropInv\MF\Kaufman\Vista Ln_4100_Bridgewood Ranch I_Kaufman_17905","Vista Ln_4100_Bridgewood Ranch I_Kaufman_17905" )</f>
        <v>Vista Ln_4100_Bridgewood Ranch I_Kaufman_17905</v>
      </c>
      <c r="L6848" s="104" t="s">
        <v>22253</v>
      </c>
      <c r="M6848" s="103" t="str">
        <f t="shared" si="533"/>
        <v>http://oconnordata.com/mlink/modules/profile/index.cfm?action=profile&amp;prop_id=17905</v>
      </c>
      <c r="N6848" s="1">
        <f t="shared" si="534"/>
        <v>17905</v>
      </c>
    </row>
    <row r="6849" spans="1:14" x14ac:dyDescent="0.3">
      <c r="A6849" s="1">
        <v>17907</v>
      </c>
      <c r="B6849" s="7" t="s">
        <v>8385</v>
      </c>
      <c r="C6849" s="12">
        <v>810</v>
      </c>
      <c r="D6849" s="7" t="s">
        <v>10277</v>
      </c>
      <c r="E6849" s="13" t="s">
        <v>7</v>
      </c>
      <c r="F6849" t="str">
        <f t="shared" si="530"/>
        <v>Slaughter</v>
      </c>
      <c r="G6849" t="str">
        <f t="shared" si="531"/>
        <v>Slaughter810Austin</v>
      </c>
      <c r="H6849" t="s">
        <v>37705</v>
      </c>
      <c r="I6849" t="s">
        <v>29121</v>
      </c>
      <c r="J6849" t="str">
        <f t="shared" si="532"/>
        <v>E:\PropInv\MF</v>
      </c>
      <c r="K6849" s="103" t="str">
        <f>HYPERLINK("E:\PropInv\MF\Austin\Slaughter Ln E_810_Residences at Onion Creek_Austin_17907","Slaughter Ln E_810_Residences at Onion Creek_Austin_17907" )</f>
        <v>Slaughter Ln E_810_Residences at Onion Creek_Austin_17907</v>
      </c>
      <c r="L6849" s="104" t="s">
        <v>22253</v>
      </c>
      <c r="M6849" s="103" t="str">
        <f t="shared" si="533"/>
        <v>http://oconnordata.com/mlink/modules/profile/index.cfm?action=profile&amp;prop_id=17907</v>
      </c>
      <c r="N6849" s="1">
        <f t="shared" si="534"/>
        <v>17907</v>
      </c>
    </row>
    <row r="6850" spans="1:14" x14ac:dyDescent="0.3">
      <c r="A6850" s="1">
        <v>17908</v>
      </c>
      <c r="B6850" s="7" t="s">
        <v>9460</v>
      </c>
      <c r="C6850" s="12">
        <v>1350</v>
      </c>
      <c r="D6850" s="7" t="s">
        <v>10278</v>
      </c>
      <c r="E6850" s="13" t="s">
        <v>498</v>
      </c>
      <c r="F6850" t="str">
        <f t="shared" ref="F6850:F6913" si="535">IFERROR(LEFT(B6850,FIND(" ",B6850)-1),B6850)</f>
        <v>Sadler</v>
      </c>
      <c r="G6850" t="str">
        <f t="shared" ref="G6850:G6913" si="536">F6850&amp;C6850&amp;E6850</f>
        <v>Sadler1350San Marcos</v>
      </c>
      <c r="H6850" t="s">
        <v>37706</v>
      </c>
      <c r="I6850" t="s">
        <v>29122</v>
      </c>
      <c r="J6850" t="str">
        <f t="shared" ref="J6850:J6913" si="537">IF(L6850="TX",Folder_Path,Folder_Path&amp;"\State_"&amp;L6850)</f>
        <v>E:\PropInv\MF</v>
      </c>
      <c r="K6850" s="103" t="str">
        <f>HYPERLINK("E:\PropInv\MF\San Marcos\Sadler Dr_1350_Vantage at San Marcos_San Marcos_17908","Sadler Dr_1350_Vantage at San Marcos_San Marcos_17908" )</f>
        <v>Sadler Dr_1350_Vantage at San Marcos_San Marcos_17908</v>
      </c>
      <c r="L6850" s="104" t="s">
        <v>22253</v>
      </c>
      <c r="M6850" s="103" t="str">
        <f t="shared" ref="M6850:M6913" si="538">HYPERLINK("http://oconnordata.com/mlink/modules/profile/index.cfm?action=profile&amp;prop_id="&amp;A6850)</f>
        <v>http://oconnordata.com/mlink/modules/profile/index.cfm?action=profile&amp;prop_id=17908</v>
      </c>
      <c r="N6850" s="1">
        <f t="shared" ref="N6850:N6913" si="539">IF(LEN(A6850)=1,"0000"&amp;A6850,IF(LEN(A6850)=2,"000"&amp;A6850,IF(LEN(A6850)=3,"00"&amp;A6850,IF(LEN(A6850)=4,"0"&amp;A6850,IF(LEN(A6850)=5,IF(LEFT(A6850,1)="3",A6850+30000,A6850))))))</f>
        <v>17908</v>
      </c>
    </row>
    <row r="6851" spans="1:14" x14ac:dyDescent="0.3">
      <c r="A6851" s="1">
        <v>17909</v>
      </c>
      <c r="B6851" s="7" t="s">
        <v>10279</v>
      </c>
      <c r="C6851" s="12">
        <v>201</v>
      </c>
      <c r="D6851" s="7" t="s">
        <v>10280</v>
      </c>
      <c r="E6851" s="13" t="s">
        <v>4038</v>
      </c>
      <c r="F6851" t="str">
        <f t="shared" si="535"/>
        <v>McDermott</v>
      </c>
      <c r="G6851" t="str">
        <f t="shared" si="536"/>
        <v>McDermott201Deer Park</v>
      </c>
      <c r="H6851" t="s">
        <v>37707</v>
      </c>
      <c r="I6851" t="s">
        <v>29123</v>
      </c>
      <c r="J6851" t="str">
        <f t="shared" si="537"/>
        <v>E:\PropInv\MF</v>
      </c>
      <c r="K6851" s="103" t="str">
        <f>HYPERLINK("E:\PropInv\MF\Deer Park\McDermott St_201_The Waterfront at Deer Park_Deer Park_17909","McDermott St_201_The Waterfront at Deer Park_Deer Park_17909" )</f>
        <v>McDermott St_201_The Waterfront at Deer Park_Deer Park_17909</v>
      </c>
      <c r="L6851" s="104" t="s">
        <v>22253</v>
      </c>
      <c r="M6851" s="103" t="str">
        <f t="shared" si="538"/>
        <v>http://oconnordata.com/mlink/modules/profile/index.cfm?action=profile&amp;prop_id=17909</v>
      </c>
      <c r="N6851" s="1">
        <f t="shared" si="539"/>
        <v>17909</v>
      </c>
    </row>
    <row r="6852" spans="1:14" x14ac:dyDescent="0.3">
      <c r="A6852" s="1">
        <v>17911</v>
      </c>
      <c r="B6852" s="7" t="s">
        <v>2713</v>
      </c>
      <c r="C6852" s="12">
        <v>7777</v>
      </c>
      <c r="D6852" s="7" t="s">
        <v>10281</v>
      </c>
      <c r="E6852" s="13" t="s">
        <v>1657</v>
      </c>
      <c r="F6852" t="str">
        <f t="shared" si="535"/>
        <v>Katy</v>
      </c>
      <c r="G6852" t="str">
        <f t="shared" si="536"/>
        <v>Katy7777Houston</v>
      </c>
      <c r="H6852" t="s">
        <v>37708</v>
      </c>
      <c r="I6852" t="s">
        <v>29124</v>
      </c>
      <c r="J6852" t="str">
        <f t="shared" si="537"/>
        <v>E:\PropInv\MF</v>
      </c>
      <c r="K6852" s="103" t="str">
        <f>HYPERLINK("E:\PropInv\MF\Houston\Katy Fwy_7777_Alexan Silber_Houston_17911","Katy Fwy_7777_Alexan Silber_Houston_17911" )</f>
        <v>Katy Fwy_7777_Alexan Silber_Houston_17911</v>
      </c>
      <c r="L6852" s="104" t="s">
        <v>22253</v>
      </c>
      <c r="M6852" s="103" t="str">
        <f t="shared" si="538"/>
        <v>http://oconnordata.com/mlink/modules/profile/index.cfm?action=profile&amp;prop_id=17911</v>
      </c>
      <c r="N6852" s="1">
        <f t="shared" si="539"/>
        <v>17911</v>
      </c>
    </row>
    <row r="6853" spans="1:14" x14ac:dyDescent="0.3">
      <c r="A6853" s="1">
        <v>17912</v>
      </c>
      <c r="B6853" s="7" t="s">
        <v>614</v>
      </c>
      <c r="C6853" s="12">
        <v>9900</v>
      </c>
      <c r="D6853" s="7" t="s">
        <v>10282</v>
      </c>
      <c r="E6853" s="13" t="s">
        <v>7</v>
      </c>
      <c r="F6853" t="str">
        <f t="shared" si="535"/>
        <v>McNeil</v>
      </c>
      <c r="G6853" t="str">
        <f t="shared" si="536"/>
        <v>McNeil9900Austin</v>
      </c>
      <c r="H6853" t="s">
        <v>37709</v>
      </c>
      <c r="I6853" t="s">
        <v>29125</v>
      </c>
      <c r="J6853" t="str">
        <f t="shared" si="537"/>
        <v>E:\PropInv\MF</v>
      </c>
      <c r="K6853" s="103" t="str">
        <f>HYPERLINK("E:\PropInv\MF\Austin\McNeil Dr_9900_Alexan Ribelin Ranch_Austin_17912","McNeil Dr_9900_Alexan Ribelin Ranch_Austin_17912" )</f>
        <v>McNeil Dr_9900_Alexan Ribelin Ranch_Austin_17912</v>
      </c>
      <c r="L6853" s="104" t="s">
        <v>22253</v>
      </c>
      <c r="M6853" s="103" t="str">
        <f t="shared" si="538"/>
        <v>http://oconnordata.com/mlink/modules/profile/index.cfm?action=profile&amp;prop_id=17912</v>
      </c>
      <c r="N6853" s="1">
        <f t="shared" si="539"/>
        <v>17912</v>
      </c>
    </row>
    <row r="6854" spans="1:14" x14ac:dyDescent="0.3">
      <c r="A6854" s="1">
        <v>17913</v>
      </c>
      <c r="B6854" s="7" t="s">
        <v>10283</v>
      </c>
      <c r="C6854" s="12">
        <v>1250</v>
      </c>
      <c r="D6854" s="7" t="s">
        <v>10284</v>
      </c>
      <c r="E6854" s="13" t="s">
        <v>10104</v>
      </c>
      <c r="F6854" t="str">
        <f t="shared" si="535"/>
        <v>Trimble</v>
      </c>
      <c r="G6854" t="str">
        <f t="shared" si="536"/>
        <v>Trimble1250Buda</v>
      </c>
      <c r="H6854" t="s">
        <v>37710</v>
      </c>
      <c r="I6854" t="s">
        <v>29126</v>
      </c>
      <c r="J6854" t="str">
        <f t="shared" si="537"/>
        <v>E:\PropInv\MF</v>
      </c>
      <c r="K6854" s="103" t="str">
        <f>HYPERLINK("E:\PropInv\MF\Buda\Trimble Ave - Robert S. Light Blvd_1250_Vantage at Buda_Buda_17913","Trimble Ave - Robert S. Light Blvd_1250_Vantage at Buda_Buda_17913" )</f>
        <v>Trimble Ave - Robert S. Light Blvd_1250_Vantage at Buda_Buda_17913</v>
      </c>
      <c r="L6854" s="104" t="s">
        <v>22253</v>
      </c>
      <c r="M6854" s="103" t="str">
        <f t="shared" si="538"/>
        <v>http://oconnordata.com/mlink/modules/profile/index.cfm?action=profile&amp;prop_id=17913</v>
      </c>
      <c r="N6854" s="1">
        <f t="shared" si="539"/>
        <v>17913</v>
      </c>
    </row>
    <row r="6855" spans="1:14" x14ac:dyDescent="0.3">
      <c r="A6855" s="1">
        <v>17915</v>
      </c>
      <c r="B6855" s="7" t="s">
        <v>5721</v>
      </c>
      <c r="C6855" s="12">
        <v>8100</v>
      </c>
      <c r="D6855" s="7" t="s">
        <v>7344</v>
      </c>
      <c r="E6855" s="13" t="s">
        <v>5014</v>
      </c>
      <c r="F6855" t="str">
        <f t="shared" si="535"/>
        <v>Old</v>
      </c>
      <c r="G6855" t="str">
        <f t="shared" si="536"/>
        <v>Old8100Fort Worth</v>
      </c>
      <c r="H6855" t="s">
        <v>37711</v>
      </c>
      <c r="I6855" t="s">
        <v>29127</v>
      </c>
      <c r="J6855" t="str">
        <f t="shared" si="537"/>
        <v>E:\PropInv\MF</v>
      </c>
      <c r="K6855" s="103" t="str">
        <f>HYPERLINK("E:\PropInv\MF\Fort Worth\Old Denton Rd_8100_Bella Vista_Fort Worth_17915","Old Denton Rd_8100_Bella Vista_Fort Worth_17915" )</f>
        <v>Old Denton Rd_8100_Bella Vista_Fort Worth_17915</v>
      </c>
      <c r="L6855" s="104" t="s">
        <v>22253</v>
      </c>
      <c r="M6855" s="103" t="str">
        <f t="shared" si="538"/>
        <v>http://oconnordata.com/mlink/modules/profile/index.cfm?action=profile&amp;prop_id=17915</v>
      </c>
      <c r="N6855" s="1">
        <f t="shared" si="539"/>
        <v>17915</v>
      </c>
    </row>
    <row r="6856" spans="1:14" x14ac:dyDescent="0.3">
      <c r="A6856" s="1">
        <v>17917</v>
      </c>
      <c r="B6856" s="7" t="s">
        <v>7375</v>
      </c>
      <c r="C6856" s="12" t="s">
        <v>10285</v>
      </c>
      <c r="D6856" s="7" t="s">
        <v>10286</v>
      </c>
      <c r="E6856" s="13" t="s">
        <v>5014</v>
      </c>
      <c r="F6856" t="str">
        <f t="shared" si="535"/>
        <v>Rogers</v>
      </c>
      <c r="G6856" t="str">
        <f t="shared" si="536"/>
        <v>Rogers1700-1800Fort Worth</v>
      </c>
      <c r="H6856" t="s">
        <v>37712</v>
      </c>
      <c r="I6856" t="s">
        <v>29128</v>
      </c>
      <c r="J6856" t="str">
        <f t="shared" si="537"/>
        <v>E:\PropInv\MF</v>
      </c>
      <c r="K6856" s="103" t="str">
        <f>HYPERLINK("E:\PropInv\MF\Fort Worth\Rogers Rd_1700-1800_Colonial Park Apts_Fort Worth_17917","Rogers Rd_1700-1800_Colonial Park Apts_Fort Worth_17917" )</f>
        <v>Rogers Rd_1700-1800_Colonial Park Apts_Fort Worth_17917</v>
      </c>
      <c r="L6856" s="104" t="s">
        <v>22253</v>
      </c>
      <c r="M6856" s="103" t="str">
        <f t="shared" si="538"/>
        <v>http://oconnordata.com/mlink/modules/profile/index.cfm?action=profile&amp;prop_id=17917</v>
      </c>
      <c r="N6856" s="1">
        <f t="shared" si="539"/>
        <v>17917</v>
      </c>
    </row>
    <row r="6857" spans="1:14" x14ac:dyDescent="0.3">
      <c r="A6857" s="1">
        <v>17918</v>
      </c>
      <c r="B6857" s="10" t="s">
        <v>9057</v>
      </c>
      <c r="C6857" s="9">
        <v>207</v>
      </c>
      <c r="D6857" s="10" t="s">
        <v>10287</v>
      </c>
      <c r="E6857" s="11" t="s">
        <v>5195</v>
      </c>
      <c r="F6857" t="str">
        <f t="shared" si="535"/>
        <v>Pleasant</v>
      </c>
      <c r="G6857" t="str">
        <f t="shared" si="536"/>
        <v>Pleasant207Desoto</v>
      </c>
      <c r="H6857" t="s">
        <v>37713</v>
      </c>
      <c r="I6857" t="s">
        <v>29129</v>
      </c>
      <c r="J6857" t="str">
        <f t="shared" si="537"/>
        <v>E:\PropInv\MF</v>
      </c>
      <c r="K6857" s="103" t="str">
        <f>HYPERLINK("E:\PropInv\MF\Desoto\Pleasant Run Rd E_207_DeSoto Town Center Apts_Desoto_17918","Pleasant Run Rd E_207_DeSoto Town Center Apts_Desoto_17918" )</f>
        <v>Pleasant Run Rd E_207_DeSoto Town Center Apts_Desoto_17918</v>
      </c>
      <c r="L6857" s="104" t="s">
        <v>22253</v>
      </c>
      <c r="M6857" s="103" t="str">
        <f t="shared" si="538"/>
        <v>http://oconnordata.com/mlink/modules/profile/index.cfm?action=profile&amp;prop_id=17918</v>
      </c>
      <c r="N6857" s="1">
        <f t="shared" si="539"/>
        <v>17918</v>
      </c>
    </row>
    <row r="6858" spans="1:14" x14ac:dyDescent="0.3">
      <c r="A6858" s="1">
        <v>17922</v>
      </c>
      <c r="B6858" s="7" t="s">
        <v>10288</v>
      </c>
      <c r="C6858" s="12">
        <v>690</v>
      </c>
      <c r="D6858" s="7" t="s">
        <v>10289</v>
      </c>
      <c r="E6858" s="13" t="s">
        <v>6559</v>
      </c>
      <c r="F6858" t="str">
        <f t="shared" si="535"/>
        <v>Cornell</v>
      </c>
      <c r="G6858" t="str">
        <f t="shared" si="536"/>
        <v>Cornell690Waxahachie</v>
      </c>
      <c r="H6858" t="s">
        <v>37714</v>
      </c>
      <c r="I6858" t="s">
        <v>29130</v>
      </c>
      <c r="J6858" t="str">
        <f t="shared" si="537"/>
        <v>E:\PropInv\MF</v>
      </c>
      <c r="K6858" s="103" t="str">
        <f>HYPERLINK("E:\PropInv\MF\Waxahachie\Cornell Ln_690_Colony Townhouse Apts II_Waxahachie_17922","Cornell Ln_690_Colony Townhouse Apts II_Waxahachie_17922" )</f>
        <v>Cornell Ln_690_Colony Townhouse Apts II_Waxahachie_17922</v>
      </c>
      <c r="L6858" s="104" t="s">
        <v>22253</v>
      </c>
      <c r="M6858" s="103" t="str">
        <f t="shared" si="538"/>
        <v>http://oconnordata.com/mlink/modules/profile/index.cfm?action=profile&amp;prop_id=17922</v>
      </c>
      <c r="N6858" s="1">
        <f t="shared" si="539"/>
        <v>17922</v>
      </c>
    </row>
    <row r="6859" spans="1:14" x14ac:dyDescent="0.3">
      <c r="A6859" s="1">
        <v>17923</v>
      </c>
      <c r="B6859" s="7" t="s">
        <v>3795</v>
      </c>
      <c r="C6859" s="12">
        <v>3198</v>
      </c>
      <c r="D6859" s="7" t="s">
        <v>10290</v>
      </c>
      <c r="E6859" s="13" t="s">
        <v>5488</v>
      </c>
      <c r="F6859" t="str">
        <f t="shared" si="535"/>
        <v>Parkwood</v>
      </c>
      <c r="G6859" t="str">
        <f t="shared" si="536"/>
        <v>Parkwood3198Frisco</v>
      </c>
      <c r="H6859" t="s">
        <v>37715</v>
      </c>
      <c r="I6859" t="s">
        <v>29131</v>
      </c>
      <c r="J6859" t="str">
        <f t="shared" si="537"/>
        <v>E:\PropInv\MF</v>
      </c>
      <c r="K6859" s="103" t="str">
        <f>HYPERLINK("E:\PropInv\MF\Frisco\Parkwood_3198_Cool Springs at Frisco Bridges_Frisco_17923","Parkwood_3198_Cool Springs at Frisco Bridges_Frisco_17923" )</f>
        <v>Parkwood_3198_Cool Springs at Frisco Bridges_Frisco_17923</v>
      </c>
      <c r="L6859" s="104" t="s">
        <v>22253</v>
      </c>
      <c r="M6859" s="103" t="str">
        <f t="shared" si="538"/>
        <v>http://oconnordata.com/mlink/modules/profile/index.cfm?action=profile&amp;prop_id=17923</v>
      </c>
      <c r="N6859" s="1">
        <f t="shared" si="539"/>
        <v>17923</v>
      </c>
    </row>
    <row r="6860" spans="1:14" x14ac:dyDescent="0.3">
      <c r="A6860" s="1">
        <v>17924</v>
      </c>
      <c r="B6860" s="7" t="s">
        <v>4432</v>
      </c>
      <c r="C6860" s="12">
        <v>11575</v>
      </c>
      <c r="D6860" s="7" t="s">
        <v>10291</v>
      </c>
      <c r="E6860" s="13" t="s">
        <v>1657</v>
      </c>
      <c r="F6860" t="str">
        <f t="shared" si="535"/>
        <v>Pearland</v>
      </c>
      <c r="G6860" t="str">
        <f t="shared" si="536"/>
        <v>Pearland11575Houston</v>
      </c>
      <c r="H6860" t="s">
        <v>37716</v>
      </c>
      <c r="I6860" t="s">
        <v>29132</v>
      </c>
      <c r="J6860" t="str">
        <f t="shared" si="537"/>
        <v>E:\PropInv\MF</v>
      </c>
      <c r="K6860" s="103" t="str">
        <f>HYPERLINK("E:\PropInv\MF\Houston\Pearland Pkwy_11575_Park Avenue at Boulder Creek_Houston_17924","Pearland Pkwy_11575_Park Avenue at Boulder Creek_Houston_17924" )</f>
        <v>Pearland Pkwy_11575_Park Avenue at Boulder Creek_Houston_17924</v>
      </c>
      <c r="L6860" s="104" t="s">
        <v>22253</v>
      </c>
      <c r="M6860" s="103" t="str">
        <f t="shared" si="538"/>
        <v>http://oconnordata.com/mlink/modules/profile/index.cfm?action=profile&amp;prop_id=17924</v>
      </c>
      <c r="N6860" s="1">
        <f t="shared" si="539"/>
        <v>17924</v>
      </c>
    </row>
    <row r="6861" spans="1:14" x14ac:dyDescent="0.3">
      <c r="A6861" s="1">
        <v>17926</v>
      </c>
      <c r="B6861" s="7" t="s">
        <v>9094</v>
      </c>
      <c r="C6861" s="12">
        <v>2502</v>
      </c>
      <c r="D6861" s="7" t="s">
        <v>10292</v>
      </c>
      <c r="E6861" s="13" t="s">
        <v>5076</v>
      </c>
      <c r="F6861" t="str">
        <f t="shared" si="535"/>
        <v>Riverside</v>
      </c>
      <c r="G6861" t="str">
        <f t="shared" si="536"/>
        <v>Riverside2502Grand Prairie</v>
      </c>
      <c r="H6861" t="s">
        <v>37717</v>
      </c>
      <c r="I6861" t="s">
        <v>29133</v>
      </c>
      <c r="J6861" t="str">
        <f t="shared" si="537"/>
        <v>E:\PropInv\MF</v>
      </c>
      <c r="K6861" s="103" t="str">
        <f>HYPERLINK("E:\PropInv\MF\Grand Prairie\Riverside Dr_2502_Lakeside Villas of Grand Prairie_Grand Prairie_17926","Riverside Dr_2502_Lakeside Villas of Grand Prairie_Grand Prairie_17926" )</f>
        <v>Riverside Dr_2502_Lakeside Villas of Grand Prairie_Grand Prairie_17926</v>
      </c>
      <c r="L6861" s="104" t="s">
        <v>22253</v>
      </c>
      <c r="M6861" s="103" t="str">
        <f t="shared" si="538"/>
        <v>http://oconnordata.com/mlink/modules/profile/index.cfm?action=profile&amp;prop_id=17926</v>
      </c>
      <c r="N6861" s="1">
        <f t="shared" si="539"/>
        <v>17926</v>
      </c>
    </row>
    <row r="6862" spans="1:14" x14ac:dyDescent="0.3">
      <c r="A6862" s="1">
        <v>17927</v>
      </c>
      <c r="B6862" s="7" t="s">
        <v>6582</v>
      </c>
      <c r="C6862" s="12">
        <v>8660</v>
      </c>
      <c r="D6862" s="7" t="s">
        <v>10293</v>
      </c>
      <c r="E6862" s="13" t="s">
        <v>5014</v>
      </c>
      <c r="F6862" t="str">
        <f t="shared" si="535"/>
        <v>Beach</v>
      </c>
      <c r="G6862" t="str">
        <f t="shared" si="536"/>
        <v>Beach8660Fort Worth</v>
      </c>
      <c r="H6862" t="s">
        <v>37718</v>
      </c>
      <c r="I6862" t="s">
        <v>29134</v>
      </c>
      <c r="J6862" t="str">
        <f t="shared" si="537"/>
        <v>E:\PropInv\MF</v>
      </c>
      <c r="K6862" s="103" t="str">
        <f>HYPERLINK("E:\PropInv\MF\Fort Worth\Beach St N_8660_Watervue AH_Fort Worth_17927","Beach St N_8660_Watervue AH_Fort Worth_17927" )</f>
        <v>Beach St N_8660_Watervue AH_Fort Worth_17927</v>
      </c>
      <c r="L6862" s="104" t="s">
        <v>22253</v>
      </c>
      <c r="M6862" s="103" t="str">
        <f t="shared" si="538"/>
        <v>http://oconnordata.com/mlink/modules/profile/index.cfm?action=profile&amp;prop_id=17927</v>
      </c>
      <c r="N6862" s="1">
        <f t="shared" si="539"/>
        <v>17927</v>
      </c>
    </row>
    <row r="6863" spans="1:14" x14ac:dyDescent="0.3">
      <c r="A6863" s="1">
        <v>17928</v>
      </c>
      <c r="B6863" s="7" t="s">
        <v>10294</v>
      </c>
      <c r="C6863" s="12">
        <v>600</v>
      </c>
      <c r="D6863" s="7" t="s">
        <v>10295</v>
      </c>
      <c r="E6863" s="13" t="s">
        <v>6215</v>
      </c>
      <c r="F6863" t="str">
        <f t="shared" si="535"/>
        <v>Woodbridge</v>
      </c>
      <c r="G6863" t="str">
        <f t="shared" si="536"/>
        <v>Woodbridge600Wylie</v>
      </c>
      <c r="H6863" t="s">
        <v>37719</v>
      </c>
      <c r="I6863" t="s">
        <v>29135</v>
      </c>
      <c r="J6863" t="str">
        <f t="shared" si="537"/>
        <v>E:\PropInv\MF</v>
      </c>
      <c r="K6863" s="103" t="str">
        <f>HYPERLINK("E:\PropInv\MF\Wylie\Woodbridge Pkwy_600_Broadstone Woodbridge_Wylie_17928","Woodbridge Pkwy_600_Broadstone Woodbridge_Wylie_17928" )</f>
        <v>Woodbridge Pkwy_600_Broadstone Woodbridge_Wylie_17928</v>
      </c>
      <c r="L6863" s="104" t="s">
        <v>22253</v>
      </c>
      <c r="M6863" s="103" t="str">
        <f t="shared" si="538"/>
        <v>http://oconnordata.com/mlink/modules/profile/index.cfm?action=profile&amp;prop_id=17928</v>
      </c>
      <c r="N6863" s="1">
        <f t="shared" si="539"/>
        <v>17928</v>
      </c>
    </row>
    <row r="6864" spans="1:14" x14ac:dyDescent="0.3">
      <c r="A6864" s="1">
        <v>17930</v>
      </c>
      <c r="B6864" s="19" t="s">
        <v>10296</v>
      </c>
      <c r="C6864" s="18" t="s">
        <v>2497</v>
      </c>
      <c r="D6864" s="19" t="s">
        <v>10297</v>
      </c>
      <c r="E6864" s="20" t="s">
        <v>842</v>
      </c>
      <c r="F6864" t="str">
        <f t="shared" si="535"/>
        <v>10</v>
      </c>
      <c r="G6864" t="str">
        <f t="shared" si="536"/>
        <v>10NFSan Antonio</v>
      </c>
      <c r="H6864" t="s">
        <v>37720</v>
      </c>
      <c r="I6864" t="s">
        <v>29136</v>
      </c>
      <c r="J6864" t="str">
        <f t="shared" si="537"/>
        <v>E:\PropInv\MF</v>
      </c>
      <c r="K6864" s="103" t="str">
        <f>HYPERLINK("E:\PropInv\MF\San Antonio\10 IH &amp; 1604 Loop_NF_Landmark Mixed-Use Development_San Antonio_17930","10 IH &amp; 1604 Loop_NF_Landmark Mixed-Use Development_San Antonio_17930" )</f>
        <v>10 IH &amp; 1604 Loop_NF_Landmark Mixed-Use Development_San Antonio_17930</v>
      </c>
      <c r="L6864" s="104" t="s">
        <v>22253</v>
      </c>
      <c r="M6864" s="103" t="str">
        <f t="shared" si="538"/>
        <v>http://oconnordata.com/mlink/modules/profile/index.cfm?action=profile&amp;prop_id=17930</v>
      </c>
      <c r="N6864" s="1">
        <f t="shared" si="539"/>
        <v>17930</v>
      </c>
    </row>
    <row r="6865" spans="1:14" x14ac:dyDescent="0.3">
      <c r="A6865" s="1">
        <v>17931</v>
      </c>
      <c r="B6865" s="19" t="s">
        <v>10298</v>
      </c>
      <c r="C6865" s="18" t="s">
        <v>2497</v>
      </c>
      <c r="D6865" s="19" t="s">
        <v>22260</v>
      </c>
      <c r="E6865" s="20" t="s">
        <v>7</v>
      </c>
      <c r="F6865" t="str">
        <f t="shared" si="535"/>
        <v>45</v>
      </c>
      <c r="G6865" t="str">
        <f t="shared" si="536"/>
        <v>45NFAustin</v>
      </c>
      <c r="H6865" t="s">
        <v>37721</v>
      </c>
      <c r="I6865" t="s">
        <v>29137</v>
      </c>
      <c r="J6865" t="str">
        <f t="shared" si="537"/>
        <v>E:\PropInv\MF</v>
      </c>
      <c r="K6865" s="103" t="str">
        <f>HYPERLINK("E:\PropInv\MF\Austin\45 Hwy_NF_Wildflower Commons Apts_Austin_17931","45 Hwy_NF_Wildflower Commons Apts_Austin_17931" )</f>
        <v>45 Hwy_NF_Wildflower Commons Apts_Austin_17931</v>
      </c>
      <c r="L6865" s="104" t="s">
        <v>22253</v>
      </c>
      <c r="M6865" s="103" t="str">
        <f t="shared" si="538"/>
        <v>http://oconnordata.com/mlink/modules/profile/index.cfm?action=profile&amp;prop_id=17931</v>
      </c>
      <c r="N6865" s="1">
        <f t="shared" si="539"/>
        <v>17931</v>
      </c>
    </row>
    <row r="6866" spans="1:14" x14ac:dyDescent="0.3">
      <c r="A6866" s="1">
        <v>17932</v>
      </c>
      <c r="B6866" s="19" t="s">
        <v>10299</v>
      </c>
      <c r="C6866" s="18" t="s">
        <v>2497</v>
      </c>
      <c r="D6866" s="19" t="s">
        <v>22261</v>
      </c>
      <c r="E6866" s="20" t="s">
        <v>7</v>
      </c>
      <c r="F6866" t="str">
        <f t="shared" si="535"/>
        <v>Blanco</v>
      </c>
      <c r="G6866" t="str">
        <f t="shared" si="536"/>
        <v>BlancoNFAustin</v>
      </c>
      <c r="H6866" t="s">
        <v>37722</v>
      </c>
      <c r="I6866" t="s">
        <v>29138</v>
      </c>
      <c r="J6866" t="str">
        <f t="shared" si="537"/>
        <v>E:\PropInv\MF</v>
      </c>
      <c r="K6866" s="103" t="str">
        <f>HYPERLINK("E:\PropInv\MF\Austin\Blanco St - Baylor St_NF_Baylor Condos and The Castle (On Hold)_Austin_17932","Blanco St - Baylor St_NF_Baylor Condos and The Castle (On Hold)_Austin_17932" )</f>
        <v>Blanco St - Baylor St_NF_Baylor Condos and The Castle (On Hold)_Austin_17932</v>
      </c>
      <c r="L6866" s="104" t="s">
        <v>22253</v>
      </c>
      <c r="M6866" s="103" t="str">
        <f t="shared" si="538"/>
        <v>http://oconnordata.com/mlink/modules/profile/index.cfm?action=profile&amp;prop_id=17932</v>
      </c>
      <c r="N6866" s="1">
        <f t="shared" si="539"/>
        <v>17932</v>
      </c>
    </row>
    <row r="6867" spans="1:14" x14ac:dyDescent="0.3">
      <c r="A6867" s="1">
        <v>17935</v>
      </c>
      <c r="B6867" s="7" t="s">
        <v>1588</v>
      </c>
      <c r="C6867" s="12">
        <v>5803</v>
      </c>
      <c r="D6867" s="7" t="s">
        <v>10300</v>
      </c>
      <c r="E6867" s="13" t="s">
        <v>842</v>
      </c>
      <c r="F6867" t="str">
        <f t="shared" si="535"/>
        <v>UTSA</v>
      </c>
      <c r="G6867" t="str">
        <f t="shared" si="536"/>
        <v>UTSA5803San Antonio</v>
      </c>
      <c r="H6867" t="s">
        <v>37723</v>
      </c>
      <c r="I6867" t="s">
        <v>29139</v>
      </c>
      <c r="J6867" t="str">
        <f t="shared" si="537"/>
        <v>E:\PropInv\MF</v>
      </c>
      <c r="K6867" s="103" t="str">
        <f>HYPERLINK("E:\PropInv\MF\San Antonio\UTSA Blvd_5803_Broadstone Ranch_San Antonio_17935","UTSA Blvd_5803_Broadstone Ranch_San Antonio_17935" )</f>
        <v>UTSA Blvd_5803_Broadstone Ranch_San Antonio_17935</v>
      </c>
      <c r="L6867" s="104" t="s">
        <v>22253</v>
      </c>
      <c r="M6867" s="103" t="str">
        <f t="shared" si="538"/>
        <v>http://oconnordata.com/mlink/modules/profile/index.cfm?action=profile&amp;prop_id=17935</v>
      </c>
      <c r="N6867" s="1">
        <f t="shared" si="539"/>
        <v>17935</v>
      </c>
    </row>
    <row r="6868" spans="1:14" x14ac:dyDescent="0.3">
      <c r="A6868" s="1">
        <v>17937</v>
      </c>
      <c r="B6868" s="7" t="s">
        <v>8954</v>
      </c>
      <c r="C6868" s="12">
        <v>1703</v>
      </c>
      <c r="D6868" s="7" t="s">
        <v>10301</v>
      </c>
      <c r="E6868" s="13" t="s">
        <v>842</v>
      </c>
      <c r="F6868" t="str">
        <f t="shared" si="535"/>
        <v>1604</v>
      </c>
      <c r="G6868" t="str">
        <f t="shared" si="536"/>
        <v>16041703San Antonio</v>
      </c>
      <c r="H6868" t="s">
        <v>37724</v>
      </c>
      <c r="I6868" t="s">
        <v>29140</v>
      </c>
      <c r="J6868" t="str">
        <f t="shared" si="537"/>
        <v>E:\PropInv\MF</v>
      </c>
      <c r="K6868" s="103" t="str">
        <f>HYPERLINK("E:\PropInv\MF\San Antonio\1604 Loop W N_1703_Costa Bella_San Antonio_17937","1604 Loop W N_1703_Costa Bella_San Antonio_17937" )</f>
        <v>1604 Loop W N_1703_Costa Bella_San Antonio_17937</v>
      </c>
      <c r="L6868" s="104" t="s">
        <v>22253</v>
      </c>
      <c r="M6868" s="103" t="str">
        <f t="shared" si="538"/>
        <v>http://oconnordata.com/mlink/modules/profile/index.cfm?action=profile&amp;prop_id=17937</v>
      </c>
      <c r="N6868" s="1">
        <f t="shared" si="539"/>
        <v>17937</v>
      </c>
    </row>
    <row r="6869" spans="1:14" x14ac:dyDescent="0.3">
      <c r="A6869" s="1">
        <v>17938</v>
      </c>
      <c r="B6869" s="19" t="s">
        <v>10302</v>
      </c>
      <c r="C6869" s="18">
        <v>120</v>
      </c>
      <c r="D6869" s="19" t="s">
        <v>10303</v>
      </c>
      <c r="E6869" s="20" t="s">
        <v>842</v>
      </c>
      <c r="F6869" t="str">
        <f t="shared" si="535"/>
        <v>Villita</v>
      </c>
      <c r="G6869" t="str">
        <f t="shared" si="536"/>
        <v>Villita120San Antonio</v>
      </c>
      <c r="H6869" t="s">
        <v>37725</v>
      </c>
      <c r="I6869" t="s">
        <v>29141</v>
      </c>
      <c r="J6869" t="str">
        <f t="shared" si="537"/>
        <v>E:\PropInv\MF</v>
      </c>
      <c r="K6869" s="103" t="str">
        <f>HYPERLINK("E:\PropInv\MF\San Antonio\Villita St_120_Hollyhills Condo Development_San Antonio_17938","Villita St_120_Hollyhills Condo Development_San Antonio_17938" )</f>
        <v>Villita St_120_Hollyhills Condo Development_San Antonio_17938</v>
      </c>
      <c r="L6869" s="104" t="s">
        <v>22253</v>
      </c>
      <c r="M6869" s="103" t="str">
        <f t="shared" si="538"/>
        <v>http://oconnordata.com/mlink/modules/profile/index.cfm?action=profile&amp;prop_id=17938</v>
      </c>
      <c r="N6869" s="1">
        <f t="shared" si="539"/>
        <v>17938</v>
      </c>
    </row>
    <row r="6870" spans="1:14" x14ac:dyDescent="0.3">
      <c r="A6870" s="1">
        <v>17941</v>
      </c>
      <c r="B6870" s="10" t="s">
        <v>1579</v>
      </c>
      <c r="C6870" s="9">
        <v>17101</v>
      </c>
      <c r="D6870" s="10" t="s">
        <v>10304</v>
      </c>
      <c r="E6870" s="11" t="s">
        <v>842</v>
      </c>
      <c r="F6870" t="str">
        <f t="shared" si="535"/>
        <v>La</v>
      </c>
      <c r="G6870" t="str">
        <f t="shared" si="536"/>
        <v>La17101San Antonio</v>
      </c>
      <c r="H6870" t="s">
        <v>37726</v>
      </c>
      <c r="I6870" t="s">
        <v>29142</v>
      </c>
      <c r="J6870" t="str">
        <f t="shared" si="537"/>
        <v>E:\PropInv\MF</v>
      </c>
      <c r="K6870" s="103" t="str">
        <f>HYPERLINK("E:\PropInv\MF\San Antonio\La Cantera Pkwy_17101_The Residences at Eilan_San Antonio_17941","La Cantera Pkwy_17101_The Residences at Eilan_San Antonio_17941" )</f>
        <v>La Cantera Pkwy_17101_The Residences at Eilan_San Antonio_17941</v>
      </c>
      <c r="L6870" s="104" t="s">
        <v>22253</v>
      </c>
      <c r="M6870" s="103" t="str">
        <f t="shared" si="538"/>
        <v>http://oconnordata.com/mlink/modules/profile/index.cfm?action=profile&amp;prop_id=17941</v>
      </c>
      <c r="N6870" s="1">
        <f t="shared" si="539"/>
        <v>17941</v>
      </c>
    </row>
    <row r="6871" spans="1:14" x14ac:dyDescent="0.3">
      <c r="A6871" s="1">
        <v>17942</v>
      </c>
      <c r="B6871" s="7" t="s">
        <v>10253</v>
      </c>
      <c r="C6871" s="12">
        <v>520</v>
      </c>
      <c r="D6871" s="7" t="s">
        <v>10305</v>
      </c>
      <c r="E6871" s="13" t="s">
        <v>5014</v>
      </c>
      <c r="F6871" t="str">
        <f t="shared" si="535"/>
        <v>Samuels</v>
      </c>
      <c r="G6871" t="str">
        <f t="shared" si="536"/>
        <v>Samuels520Fort Worth</v>
      </c>
      <c r="H6871" t="s">
        <v>37727</v>
      </c>
      <c r="I6871" t="s">
        <v>29143</v>
      </c>
      <c r="J6871" t="str">
        <f t="shared" si="537"/>
        <v>E:\PropInv\MF</v>
      </c>
      <c r="K6871" s="103" t="str">
        <f>HYPERLINK("E:\PropInv\MF\Fort Worth\Samuels Ave_520_Lincoln Park at Trinity Bluff Midrise_Fort Worth_17942","Samuels Ave_520_Lincoln Park at Trinity Bluff Midrise_Fort Worth_17942" )</f>
        <v>Samuels Ave_520_Lincoln Park at Trinity Bluff Midrise_Fort Worth_17942</v>
      </c>
      <c r="L6871" s="104" t="s">
        <v>22253</v>
      </c>
      <c r="M6871" s="103" t="str">
        <f t="shared" si="538"/>
        <v>http://oconnordata.com/mlink/modules/profile/index.cfm?action=profile&amp;prop_id=17942</v>
      </c>
      <c r="N6871" s="1">
        <f t="shared" si="539"/>
        <v>17942</v>
      </c>
    </row>
    <row r="6872" spans="1:14" x14ac:dyDescent="0.3">
      <c r="A6872" s="1">
        <v>17945</v>
      </c>
      <c r="B6872" s="7" t="s">
        <v>1949</v>
      </c>
      <c r="C6872" s="12">
        <v>200</v>
      </c>
      <c r="D6872" s="7" t="s">
        <v>10306</v>
      </c>
      <c r="E6872" s="13" t="s">
        <v>1657</v>
      </c>
      <c r="F6872" t="str">
        <f t="shared" si="535"/>
        <v>Dominion</v>
      </c>
      <c r="G6872" t="str">
        <f t="shared" si="536"/>
        <v>Dominion200Houston</v>
      </c>
      <c r="H6872" t="s">
        <v>37728</v>
      </c>
      <c r="I6872" t="s">
        <v>29144</v>
      </c>
      <c r="J6872" t="str">
        <f t="shared" si="537"/>
        <v>E:\PropInv\MF</v>
      </c>
      <c r="K6872" s="103" t="str">
        <f>HYPERLINK("E:\PropInv\MF\Houston\Dominion Park Dr_200_The Trails at Dominion Park_Houston_17945","Dominion Park Dr_200_The Trails at Dominion Park_Houston_17945" )</f>
        <v>Dominion Park Dr_200_The Trails at Dominion Park_Houston_17945</v>
      </c>
      <c r="L6872" s="104" t="s">
        <v>22253</v>
      </c>
      <c r="M6872" s="103" t="str">
        <f t="shared" si="538"/>
        <v>http://oconnordata.com/mlink/modules/profile/index.cfm?action=profile&amp;prop_id=17945</v>
      </c>
      <c r="N6872" s="1">
        <f t="shared" si="539"/>
        <v>17945</v>
      </c>
    </row>
    <row r="6873" spans="1:14" x14ac:dyDescent="0.3">
      <c r="A6873" s="1">
        <v>17946</v>
      </c>
      <c r="B6873" s="7" t="s">
        <v>1949</v>
      </c>
      <c r="C6873" s="12">
        <v>211</v>
      </c>
      <c r="D6873" s="7" t="s">
        <v>164</v>
      </c>
      <c r="E6873" s="13" t="s">
        <v>1657</v>
      </c>
      <c r="F6873" t="str">
        <f t="shared" si="535"/>
        <v>Dominion</v>
      </c>
      <c r="G6873" t="str">
        <f t="shared" si="536"/>
        <v>Dominion211Houston</v>
      </c>
      <c r="H6873" t="s">
        <v>37729</v>
      </c>
      <c r="I6873" t="s">
        <v>29145</v>
      </c>
      <c r="J6873" t="str">
        <f t="shared" si="537"/>
        <v>E:\PropInv\MF</v>
      </c>
      <c r="K6873" s="103" t="str">
        <f>HYPERLINK("E:\PropInv\MF\Houston\Dominion Park Dr_211_The Grove_Houston_17946","Dominion Park Dr_211_The Grove_Houston_17946" )</f>
        <v>Dominion Park Dr_211_The Grove_Houston_17946</v>
      </c>
      <c r="L6873" s="104" t="s">
        <v>22253</v>
      </c>
      <c r="M6873" s="103" t="str">
        <f t="shared" si="538"/>
        <v>http://oconnordata.com/mlink/modules/profile/index.cfm?action=profile&amp;prop_id=17946</v>
      </c>
      <c r="N6873" s="1">
        <f t="shared" si="539"/>
        <v>17946</v>
      </c>
    </row>
    <row r="6874" spans="1:14" x14ac:dyDescent="0.3">
      <c r="A6874" s="1">
        <v>17947</v>
      </c>
      <c r="B6874" s="7" t="s">
        <v>1824</v>
      </c>
      <c r="C6874" s="12">
        <v>2727</v>
      </c>
      <c r="D6874" s="7" t="s">
        <v>10307</v>
      </c>
      <c r="E6874" s="13" t="s">
        <v>1662</v>
      </c>
      <c r="F6874" t="str">
        <f t="shared" si="535"/>
        <v>Bens</v>
      </c>
      <c r="G6874" t="str">
        <f t="shared" si="536"/>
        <v>Bens2727Kingwood</v>
      </c>
      <c r="H6874" t="s">
        <v>37730</v>
      </c>
      <c r="I6874" t="s">
        <v>29146</v>
      </c>
      <c r="J6874" t="str">
        <f t="shared" si="537"/>
        <v>E:\PropInv\MF</v>
      </c>
      <c r="K6874" s="103" t="str">
        <f>HYPERLINK("E:\PropInv\MF\Kingwood\Bens Branch Dr_2727_Town Center II_Kingwood_17947","Bens Branch Dr_2727_Town Center II_Kingwood_17947" )</f>
        <v>Bens Branch Dr_2727_Town Center II_Kingwood_17947</v>
      </c>
      <c r="L6874" s="104" t="s">
        <v>22253</v>
      </c>
      <c r="M6874" s="103" t="str">
        <f t="shared" si="538"/>
        <v>http://oconnordata.com/mlink/modules/profile/index.cfm?action=profile&amp;prop_id=17947</v>
      </c>
      <c r="N6874" s="1">
        <f t="shared" si="539"/>
        <v>17947</v>
      </c>
    </row>
    <row r="6875" spans="1:14" x14ac:dyDescent="0.3">
      <c r="A6875" s="1">
        <v>17948</v>
      </c>
      <c r="B6875" s="7" t="s">
        <v>775</v>
      </c>
      <c r="C6875" s="12">
        <v>811</v>
      </c>
      <c r="D6875" s="7" t="s">
        <v>10308</v>
      </c>
      <c r="E6875" s="13" t="s">
        <v>7</v>
      </c>
      <c r="F6875" t="str">
        <f t="shared" si="535"/>
        <v>Slaughter</v>
      </c>
      <c r="G6875" t="str">
        <f t="shared" si="536"/>
        <v>Slaughter811Austin</v>
      </c>
      <c r="H6875" t="s">
        <v>37731</v>
      </c>
      <c r="I6875" t="s">
        <v>29147</v>
      </c>
      <c r="J6875" t="str">
        <f t="shared" si="537"/>
        <v>E:\PropInv\MF</v>
      </c>
      <c r="K6875" s="103" t="str">
        <f>HYPERLINK("E:\PropInv\MF\Austin\Slaughter Ln W_811_Camden Shadow Brook I_Austin_17948","Slaughter Ln W_811_Camden Shadow Brook I_Austin_17948" )</f>
        <v>Slaughter Ln W_811_Camden Shadow Brook I_Austin_17948</v>
      </c>
      <c r="L6875" s="104" t="s">
        <v>22253</v>
      </c>
      <c r="M6875" s="103" t="str">
        <f t="shared" si="538"/>
        <v>http://oconnordata.com/mlink/modules/profile/index.cfm?action=profile&amp;prop_id=17948</v>
      </c>
      <c r="N6875" s="1">
        <f t="shared" si="539"/>
        <v>17948</v>
      </c>
    </row>
    <row r="6876" spans="1:14" x14ac:dyDescent="0.3">
      <c r="A6876" s="1">
        <v>17949</v>
      </c>
      <c r="B6876" s="7" t="s">
        <v>8616</v>
      </c>
      <c r="C6876" s="12">
        <v>2518</v>
      </c>
      <c r="D6876" s="7" t="s">
        <v>10309</v>
      </c>
      <c r="E6876" s="13" t="s">
        <v>8612</v>
      </c>
      <c r="F6876" t="str">
        <f t="shared" si="535"/>
        <v>Dartmouth</v>
      </c>
      <c r="G6876" t="str">
        <f t="shared" si="536"/>
        <v>Dartmouth2518College Station</v>
      </c>
      <c r="H6876" t="s">
        <v>37732</v>
      </c>
      <c r="I6876" t="s">
        <v>29148</v>
      </c>
      <c r="J6876" t="str">
        <f t="shared" si="537"/>
        <v>E:\PropInv\MF</v>
      </c>
      <c r="K6876" s="103" t="str">
        <f>HYPERLINK("E:\PropInv\MF\College Station\Dartmouth St_2518_Heritage at Dartmouth_College Station_17949","Dartmouth St_2518_Heritage at Dartmouth_College Station_17949" )</f>
        <v>Dartmouth St_2518_Heritage at Dartmouth_College Station_17949</v>
      </c>
      <c r="L6876" s="104" t="s">
        <v>22253</v>
      </c>
      <c r="M6876" s="103" t="str">
        <f t="shared" si="538"/>
        <v>http://oconnordata.com/mlink/modules/profile/index.cfm?action=profile&amp;prop_id=17949</v>
      </c>
      <c r="N6876" s="1">
        <f t="shared" si="539"/>
        <v>17949</v>
      </c>
    </row>
    <row r="6877" spans="1:14" x14ac:dyDescent="0.3">
      <c r="A6877" s="1">
        <v>17950</v>
      </c>
      <c r="B6877" s="7" t="s">
        <v>10310</v>
      </c>
      <c r="C6877" s="12">
        <v>1212</v>
      </c>
      <c r="D6877" s="7" t="s">
        <v>10311</v>
      </c>
      <c r="E6877" s="13" t="s">
        <v>6570</v>
      </c>
      <c r="F6877" t="str">
        <f t="shared" si="535"/>
        <v>Grace</v>
      </c>
      <c r="G6877" t="str">
        <f t="shared" si="536"/>
        <v>Grace1212Ennis</v>
      </c>
      <c r="H6877" t="s">
        <v>37733</v>
      </c>
      <c r="I6877" t="s">
        <v>29149</v>
      </c>
      <c r="J6877" t="str">
        <f t="shared" si="537"/>
        <v>E:\PropInv\MF</v>
      </c>
      <c r="K6877" s="103" t="str">
        <f>HYPERLINK("E:\PropInv\MF\Ennis\Grace Cir_1212_Grace TH_Ennis_17950","Grace Cir_1212_Grace TH_Ennis_17950" )</f>
        <v>Grace Cir_1212_Grace TH_Ennis_17950</v>
      </c>
      <c r="L6877" s="104" t="s">
        <v>22253</v>
      </c>
      <c r="M6877" s="103" t="str">
        <f t="shared" si="538"/>
        <v>http://oconnordata.com/mlink/modules/profile/index.cfm?action=profile&amp;prop_id=17950</v>
      </c>
      <c r="N6877" s="1">
        <f t="shared" si="539"/>
        <v>17950</v>
      </c>
    </row>
    <row r="6878" spans="1:14" x14ac:dyDescent="0.3">
      <c r="A6878" s="1">
        <v>17951</v>
      </c>
      <c r="B6878" s="7" t="s">
        <v>10312</v>
      </c>
      <c r="C6878" s="12">
        <v>1000</v>
      </c>
      <c r="D6878" s="7" t="s">
        <v>10313</v>
      </c>
      <c r="E6878" s="13" t="s">
        <v>6570</v>
      </c>
      <c r="F6878" t="str">
        <f t="shared" si="535"/>
        <v>Burnett</v>
      </c>
      <c r="G6878" t="str">
        <f t="shared" si="536"/>
        <v>Burnett1000Ennis</v>
      </c>
      <c r="H6878" t="s">
        <v>37734</v>
      </c>
      <c r="I6878" t="s">
        <v>29150</v>
      </c>
      <c r="J6878" t="str">
        <f t="shared" si="537"/>
        <v>E:\PropInv\MF</v>
      </c>
      <c r="K6878" s="103" t="str">
        <f>HYPERLINK("E:\PropInv\MF\Ennis\Burnett E_1000_Creekside Terrace_Ennis_17951","Burnett E_1000_Creekside Terrace_Ennis_17951" )</f>
        <v>Burnett E_1000_Creekside Terrace_Ennis_17951</v>
      </c>
      <c r="L6878" s="104" t="s">
        <v>22253</v>
      </c>
      <c r="M6878" s="103" t="str">
        <f t="shared" si="538"/>
        <v>http://oconnordata.com/mlink/modules/profile/index.cfm?action=profile&amp;prop_id=17951</v>
      </c>
      <c r="N6878" s="1">
        <f t="shared" si="539"/>
        <v>17951</v>
      </c>
    </row>
    <row r="6879" spans="1:14" x14ac:dyDescent="0.3">
      <c r="A6879" s="1">
        <v>17952</v>
      </c>
      <c r="B6879" s="7" t="s">
        <v>10314</v>
      </c>
      <c r="C6879" s="12">
        <v>2001</v>
      </c>
      <c r="D6879" s="7" t="s">
        <v>10315</v>
      </c>
      <c r="E6879" s="13" t="s">
        <v>6570</v>
      </c>
      <c r="F6879" t="str">
        <f t="shared" si="535"/>
        <v>Floyd</v>
      </c>
      <c r="G6879" t="str">
        <f t="shared" si="536"/>
        <v>Floyd2001Ennis</v>
      </c>
      <c r="H6879" t="s">
        <v>37735</v>
      </c>
      <c r="I6879" t="s">
        <v>29151</v>
      </c>
      <c r="J6879" t="str">
        <f t="shared" si="537"/>
        <v>E:\PropInv\MF</v>
      </c>
      <c r="K6879" s="103" t="str">
        <f>HYPERLINK("E:\PropInv\MF\Ennis\Floyd St_2001_Breckenridge Village_Ennis_17952","Floyd St_2001_Breckenridge Village_Ennis_17952" )</f>
        <v>Floyd St_2001_Breckenridge Village_Ennis_17952</v>
      </c>
      <c r="L6879" s="104" t="s">
        <v>22253</v>
      </c>
      <c r="M6879" s="103" t="str">
        <f t="shared" si="538"/>
        <v>http://oconnordata.com/mlink/modules/profile/index.cfm?action=profile&amp;prop_id=17952</v>
      </c>
      <c r="N6879" s="1">
        <f t="shared" si="539"/>
        <v>17952</v>
      </c>
    </row>
    <row r="6880" spans="1:14" x14ac:dyDescent="0.3">
      <c r="A6880" s="1">
        <v>17955</v>
      </c>
      <c r="B6880" s="7" t="s">
        <v>7517</v>
      </c>
      <c r="C6880" s="12">
        <v>2836</v>
      </c>
      <c r="D6880" s="7" t="s">
        <v>10316</v>
      </c>
      <c r="E6880" s="13" t="s">
        <v>4996</v>
      </c>
      <c r="F6880" t="str">
        <f t="shared" si="535"/>
        <v>Overton</v>
      </c>
      <c r="G6880" t="str">
        <f t="shared" si="536"/>
        <v>Overton2836Dallas</v>
      </c>
      <c r="H6880" t="s">
        <v>37736</v>
      </c>
      <c r="I6880" t="s">
        <v>29152</v>
      </c>
      <c r="J6880" t="str">
        <f t="shared" si="537"/>
        <v>E:\PropInv\MF</v>
      </c>
      <c r="K6880" s="103" t="str">
        <f>HYPERLINK("E:\PropInv\MF\Dallas\Overton Rd E_2836_People El Shaddai Village_Dallas_17955","Overton Rd E_2836_People El Shaddai Village_Dallas_17955" )</f>
        <v>Overton Rd E_2836_People El Shaddai Village_Dallas_17955</v>
      </c>
      <c r="L6880" s="104" t="s">
        <v>22253</v>
      </c>
      <c r="M6880" s="103" t="str">
        <f t="shared" si="538"/>
        <v>http://oconnordata.com/mlink/modules/profile/index.cfm?action=profile&amp;prop_id=17955</v>
      </c>
      <c r="N6880" s="1">
        <f t="shared" si="539"/>
        <v>17955</v>
      </c>
    </row>
    <row r="6881" spans="1:14" x14ac:dyDescent="0.3">
      <c r="A6881" s="1">
        <v>17957</v>
      </c>
      <c r="B6881" s="7" t="s">
        <v>10317</v>
      </c>
      <c r="C6881" s="12">
        <v>3119</v>
      </c>
      <c r="D6881" s="7" t="s">
        <v>10318</v>
      </c>
      <c r="E6881" s="13" t="s">
        <v>4996</v>
      </c>
      <c r="F6881" t="str">
        <f t="shared" si="535"/>
        <v>Easter</v>
      </c>
      <c r="G6881" t="str">
        <f t="shared" si="536"/>
        <v>Easter3119Dallas</v>
      </c>
      <c r="H6881" t="s">
        <v>37737</v>
      </c>
      <c r="I6881" t="s">
        <v>29153</v>
      </c>
      <c r="J6881" t="str">
        <f t="shared" si="537"/>
        <v>E:\PropInv\MF</v>
      </c>
      <c r="K6881" s="103" t="str">
        <f>HYPERLINK("E:\PropInv\MF\Dallas\Easter St_3119_St. James Manor_Dallas_17957","Easter St_3119_St. James Manor_Dallas_17957" )</f>
        <v>Easter St_3119_St. James Manor_Dallas_17957</v>
      </c>
      <c r="L6881" s="104" t="s">
        <v>22253</v>
      </c>
      <c r="M6881" s="103" t="str">
        <f t="shared" si="538"/>
        <v>http://oconnordata.com/mlink/modules/profile/index.cfm?action=profile&amp;prop_id=17957</v>
      </c>
      <c r="N6881" s="1">
        <f t="shared" si="539"/>
        <v>17957</v>
      </c>
    </row>
    <row r="6882" spans="1:14" x14ac:dyDescent="0.3">
      <c r="A6882" s="1">
        <v>17958</v>
      </c>
      <c r="B6882" s="7" t="s">
        <v>10319</v>
      </c>
      <c r="C6882" s="12">
        <v>20900</v>
      </c>
      <c r="D6882" s="7" t="s">
        <v>10320</v>
      </c>
      <c r="E6882" s="13" t="s">
        <v>2675</v>
      </c>
      <c r="F6882" t="str">
        <f t="shared" si="535"/>
        <v>1093</v>
      </c>
      <c r="G6882" t="str">
        <f t="shared" si="536"/>
        <v>109320900Richmond</v>
      </c>
      <c r="H6882" t="s">
        <v>37738</v>
      </c>
      <c r="I6882" t="s">
        <v>29154</v>
      </c>
      <c r="J6882" t="str">
        <f t="shared" si="537"/>
        <v>E:\PropInv\MF</v>
      </c>
      <c r="K6882" s="103" t="str">
        <f>HYPERLINK("E:\PropInv\MF\Richmond\1093 FM_20900_The Residences at Cinco Ranch_Richmond_17958","1093 FM_20900_The Residences at Cinco Ranch_Richmond_17958" )</f>
        <v>1093 FM_20900_The Residences at Cinco Ranch_Richmond_17958</v>
      </c>
      <c r="L6882" s="104" t="s">
        <v>22253</v>
      </c>
      <c r="M6882" s="103" t="str">
        <f t="shared" si="538"/>
        <v>http://oconnordata.com/mlink/modules/profile/index.cfm?action=profile&amp;prop_id=17958</v>
      </c>
      <c r="N6882" s="1">
        <f t="shared" si="539"/>
        <v>17958</v>
      </c>
    </row>
    <row r="6883" spans="1:14" x14ac:dyDescent="0.3">
      <c r="A6883" s="1">
        <v>17959</v>
      </c>
      <c r="B6883" s="19" t="s">
        <v>10321</v>
      </c>
      <c r="C6883" s="18" t="s">
        <v>2497</v>
      </c>
      <c r="D6883" s="19" t="s">
        <v>10322</v>
      </c>
      <c r="E6883" s="20" t="s">
        <v>1763</v>
      </c>
      <c r="F6883" t="str">
        <f t="shared" si="535"/>
        <v>Woodland</v>
      </c>
      <c r="G6883" t="str">
        <f t="shared" si="536"/>
        <v>WoodlandNFHumble</v>
      </c>
      <c r="H6883" t="s">
        <v>37739</v>
      </c>
      <c r="I6883" t="s">
        <v>29155</v>
      </c>
      <c r="J6883" t="str">
        <f t="shared" si="537"/>
        <v>E:\PropInv\MF</v>
      </c>
      <c r="K6883" s="103" t="str">
        <f>HYPERLINK("E:\PropInv\MF\Humble\Woodland Hills Dr-Lockwood_NF_Residences at Woodland Hills_Humble_17959","Woodland Hills Dr-Lockwood_NF_Residences at Woodland Hills_Humble_17959" )</f>
        <v>Woodland Hills Dr-Lockwood_NF_Residences at Woodland Hills_Humble_17959</v>
      </c>
      <c r="L6883" s="104" t="s">
        <v>22253</v>
      </c>
      <c r="M6883" s="103" t="str">
        <f t="shared" si="538"/>
        <v>http://oconnordata.com/mlink/modules/profile/index.cfm?action=profile&amp;prop_id=17959</v>
      </c>
      <c r="N6883" s="1">
        <f t="shared" si="539"/>
        <v>17959</v>
      </c>
    </row>
    <row r="6884" spans="1:14" x14ac:dyDescent="0.3">
      <c r="A6884" s="1">
        <v>17960</v>
      </c>
      <c r="B6884" s="7" t="s">
        <v>9141</v>
      </c>
      <c r="C6884" s="12">
        <v>200</v>
      </c>
      <c r="D6884" s="7" t="s">
        <v>10323</v>
      </c>
      <c r="E6884" s="13" t="s">
        <v>1662</v>
      </c>
      <c r="F6884" t="str">
        <f t="shared" si="535"/>
        <v>Northpines</v>
      </c>
      <c r="G6884" t="str">
        <f t="shared" si="536"/>
        <v>Northpines200Kingwood</v>
      </c>
      <c r="H6884" t="s">
        <v>37740</v>
      </c>
      <c r="I6884" t="s">
        <v>29156</v>
      </c>
      <c r="J6884" t="str">
        <f t="shared" si="537"/>
        <v>E:\PropInv\MF</v>
      </c>
      <c r="K6884" s="103" t="str">
        <f>HYPERLINK("E:\PropInv\MF\Kingwood\Northpines Dr_200_Alta Kingwood_Kingwood_17960","Northpines Dr_200_Alta Kingwood_Kingwood_17960" )</f>
        <v>Northpines Dr_200_Alta Kingwood_Kingwood_17960</v>
      </c>
      <c r="L6884" s="104" t="s">
        <v>22253</v>
      </c>
      <c r="M6884" s="103" t="str">
        <f t="shared" si="538"/>
        <v>http://oconnordata.com/mlink/modules/profile/index.cfm?action=profile&amp;prop_id=17960</v>
      </c>
      <c r="N6884" s="1">
        <f t="shared" si="539"/>
        <v>17960</v>
      </c>
    </row>
    <row r="6885" spans="1:14" x14ac:dyDescent="0.3">
      <c r="A6885" s="1">
        <v>17962</v>
      </c>
      <c r="B6885" s="7" t="s">
        <v>10324</v>
      </c>
      <c r="C6885" s="12">
        <v>13801</v>
      </c>
      <c r="D6885" s="7" t="s">
        <v>10325</v>
      </c>
      <c r="E6885" s="13" t="s">
        <v>1657</v>
      </c>
      <c r="F6885" t="str">
        <f t="shared" si="535"/>
        <v>Napoli</v>
      </c>
      <c r="G6885" t="str">
        <f t="shared" si="536"/>
        <v>Napoli13801Houston</v>
      </c>
      <c r="H6885" t="s">
        <v>37741</v>
      </c>
      <c r="I6885" t="s">
        <v>29157</v>
      </c>
      <c r="J6885" t="str">
        <f t="shared" si="537"/>
        <v>E:\PropInv\MF</v>
      </c>
      <c r="K6885" s="103" t="str">
        <f>HYPERLINK("E:\PropInv\MF\Houston\Napoli Dr_13801_Palazzo at Cypresswood_Houston_17962","Napoli Dr_13801_Palazzo at Cypresswood_Houston_17962" )</f>
        <v>Napoli Dr_13801_Palazzo at Cypresswood_Houston_17962</v>
      </c>
      <c r="L6885" s="104" t="s">
        <v>22253</v>
      </c>
      <c r="M6885" s="103" t="str">
        <f t="shared" si="538"/>
        <v>http://oconnordata.com/mlink/modules/profile/index.cfm?action=profile&amp;prop_id=17962</v>
      </c>
      <c r="N6885" s="1">
        <f t="shared" si="539"/>
        <v>17962</v>
      </c>
    </row>
    <row r="6886" spans="1:14" x14ac:dyDescent="0.3">
      <c r="A6886" s="1">
        <v>17963</v>
      </c>
      <c r="B6886" s="7" t="s">
        <v>9107</v>
      </c>
      <c r="C6886" s="12">
        <v>800</v>
      </c>
      <c r="D6886" s="7" t="s">
        <v>10326</v>
      </c>
      <c r="E6886" s="13" t="s">
        <v>5046</v>
      </c>
      <c r="F6886" t="str">
        <f t="shared" si="535"/>
        <v>Lake</v>
      </c>
      <c r="G6886" t="str">
        <f t="shared" si="536"/>
        <v>Lake800Irving</v>
      </c>
      <c r="H6886" t="s">
        <v>37742</v>
      </c>
      <c r="I6886" t="s">
        <v>29158</v>
      </c>
      <c r="J6886" t="str">
        <f t="shared" si="537"/>
        <v>E:\PropInv\MF</v>
      </c>
      <c r="K6886" s="103" t="str">
        <f>HYPERLINK("E:\PropInv\MF\Irving\Lake Carolyn Pkwy_800_Alta Lakeshore Lofts I &amp; II_Irving_17963","Lake Carolyn Pkwy_800_Alta Lakeshore Lofts I &amp; II_Irving_17963" )</f>
        <v>Lake Carolyn Pkwy_800_Alta Lakeshore Lofts I &amp; II_Irving_17963</v>
      </c>
      <c r="L6886" s="104" t="s">
        <v>22253</v>
      </c>
      <c r="M6886" s="103" t="str">
        <f t="shared" si="538"/>
        <v>http://oconnordata.com/mlink/modules/profile/index.cfm?action=profile&amp;prop_id=17963</v>
      </c>
      <c r="N6886" s="1">
        <f t="shared" si="539"/>
        <v>17963</v>
      </c>
    </row>
    <row r="6887" spans="1:14" x14ac:dyDescent="0.3">
      <c r="A6887" s="1">
        <v>17966</v>
      </c>
      <c r="B6887" s="7" t="s">
        <v>1699</v>
      </c>
      <c r="C6887" s="12">
        <v>8215</v>
      </c>
      <c r="D6887" s="7" t="s">
        <v>10327</v>
      </c>
      <c r="E6887" s="13" t="s">
        <v>1671</v>
      </c>
      <c r="F6887" t="str">
        <f t="shared" si="535"/>
        <v>Cypresswood</v>
      </c>
      <c r="G6887" t="str">
        <f t="shared" si="536"/>
        <v>Cypresswood8215Spring</v>
      </c>
      <c r="H6887" t="s">
        <v>37743</v>
      </c>
      <c r="I6887" t="s">
        <v>29159</v>
      </c>
      <c r="J6887" t="str">
        <f t="shared" si="537"/>
        <v>E:\PropInv\MF</v>
      </c>
      <c r="K6887" s="103" t="str">
        <f>HYPERLINK("E:\PropInv\MF\Spring\Cypresswood Dr_8215_Conservatory at Champion Forest_Spring_17966","Cypresswood Dr_8215_Conservatory at Champion Forest_Spring_17966" )</f>
        <v>Cypresswood Dr_8215_Conservatory at Champion Forest_Spring_17966</v>
      </c>
      <c r="L6887" s="104" t="s">
        <v>22253</v>
      </c>
      <c r="M6887" s="103" t="str">
        <f t="shared" si="538"/>
        <v>http://oconnordata.com/mlink/modules/profile/index.cfm?action=profile&amp;prop_id=17966</v>
      </c>
      <c r="N6887" s="1">
        <f t="shared" si="539"/>
        <v>17966</v>
      </c>
    </row>
    <row r="6888" spans="1:14" x14ac:dyDescent="0.3">
      <c r="A6888" s="1">
        <v>17968</v>
      </c>
      <c r="B6888" s="19" t="s">
        <v>10328</v>
      </c>
      <c r="C6888" s="18" t="s">
        <v>2497</v>
      </c>
      <c r="D6888" s="19" t="s">
        <v>10329</v>
      </c>
      <c r="E6888" s="20" t="s">
        <v>842</v>
      </c>
      <c r="F6888" t="str">
        <f t="shared" si="535"/>
        <v>Clay</v>
      </c>
      <c r="G6888" t="str">
        <f t="shared" si="536"/>
        <v>ClayNFSan Antonio</v>
      </c>
      <c r="H6888" t="s">
        <v>37744</v>
      </c>
      <c r="I6888" t="s">
        <v>29160</v>
      </c>
      <c r="J6888" t="str">
        <f t="shared" si="537"/>
        <v>E:\PropInv\MF</v>
      </c>
      <c r="K6888" s="103" t="str">
        <f>HYPERLINK("E:\PropInv\MF\San Antonio\Clay St_NF_Clay Street Lofts (on hold)_San Antonio_17968","Clay St_NF_Clay Street Lofts (on hold)_San Antonio_17968" )</f>
        <v>Clay St_NF_Clay Street Lofts (on hold)_San Antonio_17968</v>
      </c>
      <c r="L6888" s="104" t="s">
        <v>22253</v>
      </c>
      <c r="M6888" s="103" t="str">
        <f t="shared" si="538"/>
        <v>http://oconnordata.com/mlink/modules/profile/index.cfm?action=profile&amp;prop_id=17968</v>
      </c>
      <c r="N6888" s="1">
        <f t="shared" si="539"/>
        <v>17968</v>
      </c>
    </row>
    <row r="6889" spans="1:14" x14ac:dyDescent="0.3">
      <c r="A6889" s="1">
        <v>17970</v>
      </c>
      <c r="B6889" s="7" t="s">
        <v>9326</v>
      </c>
      <c r="C6889" s="12">
        <v>6200</v>
      </c>
      <c r="D6889" s="7" t="s">
        <v>10330</v>
      </c>
      <c r="E6889" s="13" t="s">
        <v>1657</v>
      </c>
      <c r="F6889" t="str">
        <f t="shared" si="535"/>
        <v>Sam</v>
      </c>
      <c r="G6889" t="str">
        <f t="shared" si="536"/>
        <v>Sam6200Houston</v>
      </c>
      <c r="H6889" t="s">
        <v>37745</v>
      </c>
      <c r="I6889" t="s">
        <v>29161</v>
      </c>
      <c r="J6889" t="str">
        <f t="shared" si="537"/>
        <v>E:\PropInv\MF</v>
      </c>
      <c r="K6889" s="103" t="str">
        <f>HYPERLINK("E:\PropInv\MF\Houston\Sam Houston Pkwy N E_6200_Stone Park II_Houston_17970","Sam Houston Pkwy N E_6200_Stone Park II_Houston_17970" )</f>
        <v>Sam Houston Pkwy N E_6200_Stone Park II_Houston_17970</v>
      </c>
      <c r="L6889" s="104" t="s">
        <v>22253</v>
      </c>
      <c r="M6889" s="103" t="str">
        <f t="shared" si="538"/>
        <v>http://oconnordata.com/mlink/modules/profile/index.cfm?action=profile&amp;prop_id=17970</v>
      </c>
      <c r="N6889" s="1">
        <f t="shared" si="539"/>
        <v>17970</v>
      </c>
    </row>
    <row r="6890" spans="1:14" x14ac:dyDescent="0.3">
      <c r="A6890" s="1">
        <v>17971</v>
      </c>
      <c r="B6890" s="7" t="s">
        <v>2868</v>
      </c>
      <c r="C6890" s="12">
        <v>13960</v>
      </c>
      <c r="D6890" s="7" t="s">
        <v>10331</v>
      </c>
      <c r="E6890" s="13" t="s">
        <v>1657</v>
      </c>
      <c r="F6890" t="str">
        <f t="shared" si="535"/>
        <v>Hillcroft</v>
      </c>
      <c r="G6890" t="str">
        <f t="shared" si="536"/>
        <v>Hillcroft13960Houston</v>
      </c>
      <c r="H6890" t="s">
        <v>37746</v>
      </c>
      <c r="I6890" t="s">
        <v>29162</v>
      </c>
      <c r="J6890" t="str">
        <f t="shared" si="537"/>
        <v>E:\PropInv\MF</v>
      </c>
      <c r="K6890" s="103" t="str">
        <f>HYPERLINK("E:\PropInv\MF\Houston\Hillcroft St_13960_The Crossings at Hillcroft_Houston_17971","Hillcroft St_13960_The Crossings at Hillcroft_Houston_17971" )</f>
        <v>Hillcroft St_13960_The Crossings at Hillcroft_Houston_17971</v>
      </c>
      <c r="L6890" s="104" t="s">
        <v>22253</v>
      </c>
      <c r="M6890" s="103" t="str">
        <f t="shared" si="538"/>
        <v>http://oconnordata.com/mlink/modules/profile/index.cfm?action=profile&amp;prop_id=17971</v>
      </c>
      <c r="N6890" s="1">
        <f t="shared" si="539"/>
        <v>17971</v>
      </c>
    </row>
    <row r="6891" spans="1:14" x14ac:dyDescent="0.3">
      <c r="A6891" s="1">
        <v>17972</v>
      </c>
      <c r="B6891" s="7" t="s">
        <v>9500</v>
      </c>
      <c r="C6891" s="12">
        <v>3720</v>
      </c>
      <c r="D6891" s="7" t="s">
        <v>10332</v>
      </c>
      <c r="E6891" s="13" t="s">
        <v>1508</v>
      </c>
      <c r="F6891" t="str">
        <f t="shared" si="535"/>
        <v>College</v>
      </c>
      <c r="G6891" t="str">
        <f t="shared" si="536"/>
        <v>College3720The Woodlands</v>
      </c>
      <c r="H6891" t="s">
        <v>37747</v>
      </c>
      <c r="I6891" t="s">
        <v>29163</v>
      </c>
      <c r="J6891" t="str">
        <f t="shared" si="537"/>
        <v>E:\PropInv\MF</v>
      </c>
      <c r="K6891" s="103" t="str">
        <f>HYPERLINK("E:\PropInv\MF\The Woodlands\College Park Dr_3720_Plantation Apts at The Woodlands I_The Woodlands_17972","College Park Dr_3720_Plantation Apts at The Woodlands I_The Woodlands_17972" )</f>
        <v>College Park Dr_3720_Plantation Apts at The Woodlands I_The Woodlands_17972</v>
      </c>
      <c r="L6891" s="104" t="s">
        <v>22253</v>
      </c>
      <c r="M6891" s="103" t="str">
        <f t="shared" si="538"/>
        <v>http://oconnordata.com/mlink/modules/profile/index.cfm?action=profile&amp;prop_id=17972</v>
      </c>
      <c r="N6891" s="1">
        <f t="shared" si="539"/>
        <v>17972</v>
      </c>
    </row>
    <row r="6892" spans="1:14" x14ac:dyDescent="0.3">
      <c r="A6892" s="1">
        <v>17973</v>
      </c>
      <c r="B6892" s="7" t="s">
        <v>10123</v>
      </c>
      <c r="C6892" s="12">
        <v>12331</v>
      </c>
      <c r="D6892" s="7" t="s">
        <v>10333</v>
      </c>
      <c r="E6892" s="13" t="s">
        <v>1657</v>
      </c>
      <c r="F6892" t="str">
        <f t="shared" si="535"/>
        <v>Gessner</v>
      </c>
      <c r="G6892" t="str">
        <f t="shared" si="536"/>
        <v>Gessner12331Houston</v>
      </c>
      <c r="H6892" t="s">
        <v>37748</v>
      </c>
      <c r="I6892" t="s">
        <v>29164</v>
      </c>
      <c r="J6892" t="str">
        <f t="shared" si="537"/>
        <v>E:\PropInv\MF</v>
      </c>
      <c r="K6892" s="103" t="str">
        <f>HYPERLINK("E:\PropInv\MF\Houston\Gessner Rd N_12331_The Tradewinds at Willowbrook_Houston_17973","Gessner Rd N_12331_The Tradewinds at Willowbrook_Houston_17973" )</f>
        <v>Gessner Rd N_12331_The Tradewinds at Willowbrook_Houston_17973</v>
      </c>
      <c r="L6892" s="104" t="s">
        <v>22253</v>
      </c>
      <c r="M6892" s="103" t="str">
        <f t="shared" si="538"/>
        <v>http://oconnordata.com/mlink/modules/profile/index.cfm?action=profile&amp;prop_id=17973</v>
      </c>
      <c r="N6892" s="1">
        <f t="shared" si="539"/>
        <v>17973</v>
      </c>
    </row>
    <row r="6893" spans="1:14" x14ac:dyDescent="0.3">
      <c r="A6893" s="1">
        <v>17974</v>
      </c>
      <c r="B6893" s="7" t="s">
        <v>10334</v>
      </c>
      <c r="C6893" s="12">
        <v>24757</v>
      </c>
      <c r="D6893" s="7" t="s">
        <v>10335</v>
      </c>
      <c r="E6893" s="13" t="s">
        <v>2198</v>
      </c>
      <c r="F6893" t="str">
        <f t="shared" si="535"/>
        <v>Grand</v>
      </c>
      <c r="G6893" t="str">
        <f t="shared" si="536"/>
        <v>Grand24757Katy</v>
      </c>
      <c r="H6893" t="s">
        <v>37749</v>
      </c>
      <c r="I6893" t="s">
        <v>29165</v>
      </c>
      <c r="J6893" t="str">
        <f t="shared" si="537"/>
        <v>E:\PropInv\MF</v>
      </c>
      <c r="K6893" s="103" t="str">
        <f>HYPERLINK("E:\PropInv\MF\Katy\Grand Harbor Dr_24757_Camden Grand Harbor_Katy_17974","Grand Harbor Dr_24757_Camden Grand Harbor_Katy_17974" )</f>
        <v>Grand Harbor Dr_24757_Camden Grand Harbor_Katy_17974</v>
      </c>
      <c r="L6893" s="104" t="s">
        <v>22253</v>
      </c>
      <c r="M6893" s="103" t="str">
        <f t="shared" si="538"/>
        <v>http://oconnordata.com/mlink/modules/profile/index.cfm?action=profile&amp;prop_id=17974</v>
      </c>
      <c r="N6893" s="1">
        <f t="shared" si="539"/>
        <v>17974</v>
      </c>
    </row>
    <row r="6894" spans="1:14" x14ac:dyDescent="0.3">
      <c r="A6894" s="1">
        <v>17975</v>
      </c>
      <c r="B6894" s="7" t="s">
        <v>10336</v>
      </c>
      <c r="C6894" s="12">
        <v>11743</v>
      </c>
      <c r="D6894" s="7" t="s">
        <v>10337</v>
      </c>
      <c r="E6894" s="13" t="s">
        <v>1646</v>
      </c>
      <c r="F6894" t="str">
        <f t="shared" si="535"/>
        <v>Northpointe</v>
      </c>
      <c r="G6894" t="str">
        <f t="shared" si="536"/>
        <v>Northpointe11743Tomball</v>
      </c>
      <c r="H6894" t="s">
        <v>37750</v>
      </c>
      <c r="I6894" t="s">
        <v>29166</v>
      </c>
      <c r="J6894" t="str">
        <f t="shared" si="537"/>
        <v>E:\PropInv\MF</v>
      </c>
      <c r="K6894" s="103" t="str">
        <f>HYPERLINK("E:\PropInv\MF\Tomball\Northpointe Blvd_11743_Camden Northpointe_Tomball_17975","Northpointe Blvd_11743_Camden Northpointe_Tomball_17975" )</f>
        <v>Northpointe Blvd_11743_Camden Northpointe_Tomball_17975</v>
      </c>
      <c r="L6894" s="104" t="s">
        <v>22253</v>
      </c>
      <c r="M6894" s="103" t="str">
        <f t="shared" si="538"/>
        <v>http://oconnordata.com/mlink/modules/profile/index.cfm?action=profile&amp;prop_id=17975</v>
      </c>
      <c r="N6894" s="1">
        <f t="shared" si="539"/>
        <v>17975</v>
      </c>
    </row>
    <row r="6895" spans="1:14" x14ac:dyDescent="0.3">
      <c r="A6895" s="1">
        <v>17976</v>
      </c>
      <c r="B6895" s="7" t="s">
        <v>1567</v>
      </c>
      <c r="C6895" s="12">
        <v>130</v>
      </c>
      <c r="D6895" s="7" t="s">
        <v>10338</v>
      </c>
      <c r="E6895" s="13" t="s">
        <v>842</v>
      </c>
      <c r="F6895" t="str">
        <f t="shared" si="535"/>
        <v>Talavera</v>
      </c>
      <c r="G6895" t="str">
        <f t="shared" si="536"/>
        <v>Talavera130San Antonio</v>
      </c>
      <c r="H6895" t="s">
        <v>37751</v>
      </c>
      <c r="I6895" t="s">
        <v>29167</v>
      </c>
      <c r="J6895" t="str">
        <f t="shared" si="537"/>
        <v>E:\PropInv\MF</v>
      </c>
      <c r="K6895" s="103" t="str">
        <f>HYPERLINK("E:\PropInv\MF\San Antonio\Talavera Pkwy_130_Legends on the Green_San Antonio_17976","Talavera Pkwy_130_Legends on the Green_San Antonio_17976" )</f>
        <v>Talavera Pkwy_130_Legends on the Green_San Antonio_17976</v>
      </c>
      <c r="L6895" s="104" t="s">
        <v>22253</v>
      </c>
      <c r="M6895" s="103" t="str">
        <f t="shared" si="538"/>
        <v>http://oconnordata.com/mlink/modules/profile/index.cfm?action=profile&amp;prop_id=17976</v>
      </c>
      <c r="N6895" s="1">
        <f t="shared" si="539"/>
        <v>17976</v>
      </c>
    </row>
    <row r="6896" spans="1:14" x14ac:dyDescent="0.3">
      <c r="A6896" s="1">
        <v>17977</v>
      </c>
      <c r="B6896" s="7" t="s">
        <v>10339</v>
      </c>
      <c r="C6896" s="12">
        <v>17239</v>
      </c>
      <c r="D6896" s="7" t="s">
        <v>10340</v>
      </c>
      <c r="E6896" s="13" t="s">
        <v>842</v>
      </c>
      <c r="F6896" t="str">
        <f t="shared" si="535"/>
        <v>Shavano</v>
      </c>
      <c r="G6896" t="str">
        <f t="shared" si="536"/>
        <v>Shavano17239San Antonio</v>
      </c>
      <c r="H6896" t="s">
        <v>37752</v>
      </c>
      <c r="I6896" t="s">
        <v>29168</v>
      </c>
      <c r="J6896" t="str">
        <f t="shared" si="537"/>
        <v>E:\PropInv\MF</v>
      </c>
      <c r="K6896" s="103" t="str">
        <f>HYPERLINK("E:\PropInv\MF\San Antonio\Shavano Ranch Dr_17239_Ranch at Shavano Park_San Antonio_17977","Shavano Ranch Dr_17239_Ranch at Shavano Park_San Antonio_17977" )</f>
        <v>Shavano Ranch Dr_17239_Ranch at Shavano Park_San Antonio_17977</v>
      </c>
      <c r="L6896" s="104" t="s">
        <v>22253</v>
      </c>
      <c r="M6896" s="103" t="str">
        <f t="shared" si="538"/>
        <v>http://oconnordata.com/mlink/modules/profile/index.cfm?action=profile&amp;prop_id=17977</v>
      </c>
      <c r="N6896" s="1">
        <f t="shared" si="539"/>
        <v>17977</v>
      </c>
    </row>
    <row r="6897" spans="1:14" x14ac:dyDescent="0.3">
      <c r="A6897" s="1">
        <v>17978</v>
      </c>
      <c r="B6897" s="7" t="s">
        <v>1482</v>
      </c>
      <c r="C6897" s="12">
        <v>5623</v>
      </c>
      <c r="D6897" s="7" t="s">
        <v>10341</v>
      </c>
      <c r="E6897" s="13" t="s">
        <v>842</v>
      </c>
      <c r="F6897" t="str">
        <f t="shared" si="535"/>
        <v>Hamilton</v>
      </c>
      <c r="G6897" t="str">
        <f t="shared" si="536"/>
        <v>Hamilton5623San Antonio</v>
      </c>
      <c r="H6897" t="s">
        <v>37753</v>
      </c>
      <c r="I6897" t="s">
        <v>29169</v>
      </c>
      <c r="J6897" t="str">
        <f t="shared" si="537"/>
        <v>E:\PropInv\MF</v>
      </c>
      <c r="K6897" s="103" t="str">
        <f>HYPERLINK("E:\PropInv\MF\San Antonio\Hamilton Wolfe_5623_Villas at Medical Center_San Antonio_17978","Hamilton Wolfe_5623_Villas at Medical Center_San Antonio_17978" )</f>
        <v>Hamilton Wolfe_5623_Villas at Medical Center_San Antonio_17978</v>
      </c>
      <c r="L6897" s="104" t="s">
        <v>22253</v>
      </c>
      <c r="M6897" s="103" t="str">
        <f t="shared" si="538"/>
        <v>http://oconnordata.com/mlink/modules/profile/index.cfm?action=profile&amp;prop_id=17978</v>
      </c>
      <c r="N6897" s="1">
        <f t="shared" si="539"/>
        <v>17978</v>
      </c>
    </row>
    <row r="6898" spans="1:14" x14ac:dyDescent="0.3">
      <c r="A6898" s="1">
        <v>17980</v>
      </c>
      <c r="B6898" s="19" t="s">
        <v>2199</v>
      </c>
      <c r="C6898" s="18" t="s">
        <v>2497</v>
      </c>
      <c r="D6898" s="19" t="s">
        <v>10342</v>
      </c>
      <c r="E6898" s="20" t="s">
        <v>7</v>
      </c>
      <c r="F6898" t="str">
        <f t="shared" si="535"/>
        <v>5th</v>
      </c>
      <c r="G6898" t="str">
        <f t="shared" si="536"/>
        <v>5thNFAustin</v>
      </c>
      <c r="H6898" t="s">
        <v>37754</v>
      </c>
      <c r="I6898" t="s">
        <v>29170</v>
      </c>
      <c r="J6898" t="str">
        <f t="shared" si="537"/>
        <v>E:\PropInv\MF</v>
      </c>
      <c r="K6898" s="103" t="str">
        <f>HYPERLINK("E:\PropInv\MF\Austin\5th St E_NF_Block One Condos (on hold)_Austin_17980","5th St E_NF_Block One Condos (on hold)_Austin_17980" )</f>
        <v>5th St E_NF_Block One Condos (on hold)_Austin_17980</v>
      </c>
      <c r="L6898" s="104" t="s">
        <v>22253</v>
      </c>
      <c r="M6898" s="103" t="str">
        <f t="shared" si="538"/>
        <v>http://oconnordata.com/mlink/modules/profile/index.cfm?action=profile&amp;prop_id=17980</v>
      </c>
      <c r="N6898" s="1">
        <f t="shared" si="539"/>
        <v>17980</v>
      </c>
    </row>
    <row r="6899" spans="1:14" x14ac:dyDescent="0.3">
      <c r="A6899" s="1">
        <v>17981</v>
      </c>
      <c r="B6899" s="19" t="s">
        <v>10343</v>
      </c>
      <c r="C6899" s="18" t="s">
        <v>2497</v>
      </c>
      <c r="D6899" s="19" t="s">
        <v>10344</v>
      </c>
      <c r="E6899" s="20" t="s">
        <v>16</v>
      </c>
      <c r="F6899" t="str">
        <f t="shared" si="535"/>
        <v>Westinghouse</v>
      </c>
      <c r="G6899" t="str">
        <f t="shared" si="536"/>
        <v>WestinghouseNFGeorgetown</v>
      </c>
      <c r="H6899" t="s">
        <v>37755</v>
      </c>
      <c r="I6899" t="s">
        <v>29171</v>
      </c>
      <c r="J6899" t="str">
        <f t="shared" si="537"/>
        <v>E:\PropInv\MF</v>
      </c>
      <c r="K6899" s="103" t="str">
        <f>HYPERLINK("E:\PropInv\MF\Georgetown\Westinghouse Rd_NF_Westinghouse Pointe_Georgetown_17981","Westinghouse Rd_NF_Westinghouse Pointe_Georgetown_17981" )</f>
        <v>Westinghouse Rd_NF_Westinghouse Pointe_Georgetown_17981</v>
      </c>
      <c r="L6899" s="104" t="s">
        <v>22253</v>
      </c>
      <c r="M6899" s="103" t="str">
        <f t="shared" si="538"/>
        <v>http://oconnordata.com/mlink/modules/profile/index.cfm?action=profile&amp;prop_id=17981</v>
      </c>
      <c r="N6899" s="1">
        <f t="shared" si="539"/>
        <v>17981</v>
      </c>
    </row>
    <row r="6900" spans="1:14" x14ac:dyDescent="0.3">
      <c r="A6900" s="1">
        <v>17982</v>
      </c>
      <c r="B6900" s="19" t="s">
        <v>10345</v>
      </c>
      <c r="C6900" s="18" t="s">
        <v>2497</v>
      </c>
      <c r="D6900" s="19" t="s">
        <v>10346</v>
      </c>
      <c r="E6900" s="20" t="s">
        <v>842</v>
      </c>
      <c r="F6900" t="str">
        <f t="shared" si="535"/>
        <v>35</v>
      </c>
      <c r="G6900" t="str">
        <f t="shared" si="536"/>
        <v>35NFSan Antonio</v>
      </c>
      <c r="H6900" t="s">
        <v>37756</v>
      </c>
      <c r="I6900" t="s">
        <v>29172</v>
      </c>
      <c r="J6900" t="str">
        <f t="shared" si="537"/>
        <v>E:\PropInv\MF</v>
      </c>
      <c r="K6900" s="103" t="str">
        <f>HYPERLINK("E:\PropInv\MF\San Antonio\35 IH_NF_Rhya Mixed-Use _San Antonio_17982","35 IH_NF_Rhya Mixed-Use _San Antonio_17982" )</f>
        <v>35 IH_NF_Rhya Mixed-Use _San Antonio_17982</v>
      </c>
      <c r="L6900" s="104" t="s">
        <v>22253</v>
      </c>
      <c r="M6900" s="103" t="str">
        <f t="shared" si="538"/>
        <v>http://oconnordata.com/mlink/modules/profile/index.cfm?action=profile&amp;prop_id=17982</v>
      </c>
      <c r="N6900" s="1">
        <f t="shared" si="539"/>
        <v>17982</v>
      </c>
    </row>
    <row r="6901" spans="1:14" x14ac:dyDescent="0.3">
      <c r="A6901" s="97">
        <v>17986</v>
      </c>
      <c r="B6901" s="7" t="s">
        <v>4953</v>
      </c>
      <c r="C6901" s="12">
        <v>2700</v>
      </c>
      <c r="D6901" s="7" t="s">
        <v>10347</v>
      </c>
      <c r="E6901" s="13" t="s">
        <v>2609</v>
      </c>
      <c r="F6901" t="str">
        <f t="shared" si="535"/>
        <v>Rollingbrook</v>
      </c>
      <c r="G6901" t="str">
        <f t="shared" si="536"/>
        <v>Rollingbrook2700Baytown</v>
      </c>
      <c r="H6901" t="s">
        <v>37757</v>
      </c>
      <c r="I6901" t="s">
        <v>29173</v>
      </c>
      <c r="J6901" t="str">
        <f t="shared" si="537"/>
        <v>E:\PropInv\MF</v>
      </c>
      <c r="K6901" s="103" t="str">
        <f>HYPERLINK("E:\PropInv\MF\Baytown\Rollingbrook Dr_2700_Wyndham Park_Baytown_17986","Rollingbrook Dr_2700_Wyndham Park_Baytown_17986" )</f>
        <v>Rollingbrook Dr_2700_Wyndham Park_Baytown_17986</v>
      </c>
      <c r="L6901" s="104" t="s">
        <v>22253</v>
      </c>
      <c r="M6901" s="103" t="str">
        <f t="shared" si="538"/>
        <v>http://oconnordata.com/mlink/modules/profile/index.cfm?action=profile&amp;prop_id=17986</v>
      </c>
      <c r="N6901" s="1">
        <f t="shared" si="539"/>
        <v>17986</v>
      </c>
    </row>
    <row r="6902" spans="1:14" x14ac:dyDescent="0.3">
      <c r="A6902" s="1">
        <v>17987</v>
      </c>
      <c r="B6902" s="7" t="s">
        <v>10348</v>
      </c>
      <c r="C6902" s="12">
        <v>12601</v>
      </c>
      <c r="D6902" s="7" t="s">
        <v>10349</v>
      </c>
      <c r="E6902" s="13" t="s">
        <v>7</v>
      </c>
      <c r="F6902" t="str">
        <f t="shared" si="535"/>
        <v>Bee</v>
      </c>
      <c r="G6902" t="str">
        <f t="shared" si="536"/>
        <v>Bee12601Austin</v>
      </c>
      <c r="H6902" t="s">
        <v>37758</v>
      </c>
      <c r="I6902" t="s">
        <v>29174</v>
      </c>
      <c r="J6902" t="str">
        <f t="shared" si="537"/>
        <v>E:\PropInv\MF</v>
      </c>
      <c r="K6902" s="103" t="str">
        <f>HYPERLINK("E:\PropInv\MF\Austin\Bee Caves Pkwy_12601_Galleria_Austin_17987","Bee Caves Pkwy_12601_Galleria_Austin_17987" )</f>
        <v>Bee Caves Pkwy_12601_Galleria_Austin_17987</v>
      </c>
      <c r="L6902" s="104" t="s">
        <v>22253</v>
      </c>
      <c r="M6902" s="103" t="str">
        <f t="shared" si="538"/>
        <v>http://oconnordata.com/mlink/modules/profile/index.cfm?action=profile&amp;prop_id=17987</v>
      </c>
      <c r="N6902" s="1">
        <f t="shared" si="539"/>
        <v>17987</v>
      </c>
    </row>
    <row r="6903" spans="1:14" x14ac:dyDescent="0.3">
      <c r="A6903" s="1">
        <v>17988</v>
      </c>
      <c r="B6903" s="7" t="s">
        <v>10350</v>
      </c>
      <c r="C6903" s="12">
        <v>5222</v>
      </c>
      <c r="D6903" s="7" t="s">
        <v>10351</v>
      </c>
      <c r="E6903" s="13" t="s">
        <v>4996</v>
      </c>
      <c r="F6903" t="str">
        <f t="shared" si="535"/>
        <v>Belmont</v>
      </c>
      <c r="G6903" t="str">
        <f t="shared" si="536"/>
        <v>Belmont5222Dallas</v>
      </c>
      <c r="H6903" t="s">
        <v>37759</v>
      </c>
      <c r="I6903" t="s">
        <v>29175</v>
      </c>
      <c r="J6903" t="str">
        <f t="shared" si="537"/>
        <v>E:\PropInv\MF</v>
      </c>
      <c r="K6903" s="103" t="str">
        <f>HYPERLINK("E:\PropInv\MF\Dallas\Belmont Ave_5222_Alta Henderson_Dallas_17988","Belmont Ave_5222_Alta Henderson_Dallas_17988" )</f>
        <v>Belmont Ave_5222_Alta Henderson_Dallas_17988</v>
      </c>
      <c r="L6903" s="104" t="s">
        <v>22253</v>
      </c>
      <c r="M6903" s="103" t="str">
        <f t="shared" si="538"/>
        <v>http://oconnordata.com/mlink/modules/profile/index.cfm?action=profile&amp;prop_id=17988</v>
      </c>
      <c r="N6903" s="1">
        <f t="shared" si="539"/>
        <v>17988</v>
      </c>
    </row>
    <row r="6904" spans="1:14" x14ac:dyDescent="0.3">
      <c r="A6904" s="1">
        <v>17990</v>
      </c>
      <c r="B6904" s="7" t="s">
        <v>10352</v>
      </c>
      <c r="C6904" s="12">
        <v>520</v>
      </c>
      <c r="D6904" s="7" t="s">
        <v>10353</v>
      </c>
      <c r="E6904" s="13" t="s">
        <v>4569</v>
      </c>
      <c r="F6904" t="str">
        <f t="shared" si="535"/>
        <v>3rd</v>
      </c>
      <c r="G6904" t="str">
        <f t="shared" si="536"/>
        <v>3rd520Texas City</v>
      </c>
      <c r="H6904" t="s">
        <v>37760</v>
      </c>
      <c r="I6904" t="s">
        <v>29176</v>
      </c>
      <c r="J6904" t="str">
        <f t="shared" si="537"/>
        <v>E:\PropInv\MF</v>
      </c>
      <c r="K6904" s="103" t="str">
        <f>HYPERLINK("E:\PropInv\MF\Texas City\3rd Ave N_520_Heritage Square Apts_Texas City_17990","3rd Ave N_520_Heritage Square Apts_Texas City_17990" )</f>
        <v>3rd Ave N_520_Heritage Square Apts_Texas City_17990</v>
      </c>
      <c r="L6904" s="104" t="s">
        <v>22253</v>
      </c>
      <c r="M6904" s="103" t="str">
        <f t="shared" si="538"/>
        <v>http://oconnordata.com/mlink/modules/profile/index.cfm?action=profile&amp;prop_id=17990</v>
      </c>
      <c r="N6904" s="1">
        <f t="shared" si="539"/>
        <v>17990</v>
      </c>
    </row>
    <row r="6905" spans="1:14" x14ac:dyDescent="0.3">
      <c r="A6905" s="1">
        <v>17991</v>
      </c>
      <c r="B6905" s="7" t="s">
        <v>10354</v>
      </c>
      <c r="C6905" s="12">
        <v>2727</v>
      </c>
      <c r="D6905" s="7" t="s">
        <v>10355</v>
      </c>
      <c r="E6905" s="13" t="s">
        <v>1657</v>
      </c>
      <c r="F6905" t="str">
        <f t="shared" si="535"/>
        <v>Revere</v>
      </c>
      <c r="G6905" t="str">
        <f t="shared" si="536"/>
        <v>Revere2727Houston</v>
      </c>
      <c r="H6905" t="s">
        <v>37761</v>
      </c>
      <c r="I6905" t="s">
        <v>29177</v>
      </c>
      <c r="J6905" t="str">
        <f t="shared" si="537"/>
        <v>E:\PropInv\MF</v>
      </c>
      <c r="K6905" s="103" t="str">
        <f>HYPERLINK("E:\PropInv\MF\Houston\Revere St_2727_La Maison at River Oaks_Houston_17991","Revere St_2727_La Maison at River Oaks_Houston_17991" )</f>
        <v>Revere St_2727_La Maison at River Oaks_Houston_17991</v>
      </c>
      <c r="L6905" s="104" t="s">
        <v>22253</v>
      </c>
      <c r="M6905" s="103" t="str">
        <f t="shared" si="538"/>
        <v>http://oconnordata.com/mlink/modules/profile/index.cfm?action=profile&amp;prop_id=17991</v>
      </c>
      <c r="N6905" s="1">
        <f t="shared" si="539"/>
        <v>17991</v>
      </c>
    </row>
    <row r="6906" spans="1:14" x14ac:dyDescent="0.3">
      <c r="A6906" s="1">
        <v>17993</v>
      </c>
      <c r="B6906" s="37" t="s">
        <v>9678</v>
      </c>
      <c r="C6906" s="38">
        <v>5201</v>
      </c>
      <c r="D6906" s="29" t="s">
        <v>10356</v>
      </c>
      <c r="E6906" s="39" t="s">
        <v>5043</v>
      </c>
      <c r="F6906" t="str">
        <f t="shared" si="535"/>
        <v>Collin</v>
      </c>
      <c r="G6906" t="str">
        <f t="shared" si="536"/>
        <v>Collin5201McKinney</v>
      </c>
      <c r="H6906" t="s">
        <v>37762</v>
      </c>
      <c r="I6906" t="s">
        <v>29178</v>
      </c>
      <c r="J6906" t="str">
        <f t="shared" si="537"/>
        <v>E:\PropInv\MF</v>
      </c>
      <c r="K6906" s="103" t="str">
        <f>HYPERLINK("E:\PropInv\MF\McKinney\Collin McKinney Pkwy_5201_Heights at Lake Forest (On Hold)_McKinney_17993","Collin McKinney Pkwy_5201_Heights at Lake Forest (On Hold)_McKinney_17993" )</f>
        <v>Collin McKinney Pkwy_5201_Heights at Lake Forest (On Hold)_McKinney_17993</v>
      </c>
      <c r="L6906" s="104" t="s">
        <v>22253</v>
      </c>
      <c r="M6906" s="103" t="str">
        <f t="shared" si="538"/>
        <v>http://oconnordata.com/mlink/modules/profile/index.cfm?action=profile&amp;prop_id=17993</v>
      </c>
      <c r="N6906" s="1">
        <f t="shared" si="539"/>
        <v>17993</v>
      </c>
    </row>
    <row r="6907" spans="1:14" x14ac:dyDescent="0.3">
      <c r="A6907" s="1">
        <v>17998</v>
      </c>
      <c r="B6907" s="7" t="s">
        <v>7737</v>
      </c>
      <c r="C6907" s="12">
        <v>930</v>
      </c>
      <c r="D6907" s="7" t="s">
        <v>10357</v>
      </c>
      <c r="E6907" s="13" t="s">
        <v>6555</v>
      </c>
      <c r="F6907" t="str">
        <f t="shared" si="535"/>
        <v>Benge</v>
      </c>
      <c r="G6907" t="str">
        <f t="shared" si="536"/>
        <v>Benge930Arlington</v>
      </c>
      <c r="H6907" t="s">
        <v>37763</v>
      </c>
      <c r="I6907" t="s">
        <v>29179</v>
      </c>
      <c r="J6907" t="str">
        <f t="shared" si="537"/>
        <v>E:\PropInv\MF</v>
      </c>
      <c r="K6907" s="103" t="str">
        <f>HYPERLINK("E:\PropInv\MF\Arlington\Benge Dr_930_Maverick Place_Arlington_17998","Benge Dr_930_Maverick Place_Arlington_17998" )</f>
        <v>Benge Dr_930_Maverick Place_Arlington_17998</v>
      </c>
      <c r="L6907" s="104" t="s">
        <v>22253</v>
      </c>
      <c r="M6907" s="103" t="str">
        <f t="shared" si="538"/>
        <v>http://oconnordata.com/mlink/modules/profile/index.cfm?action=profile&amp;prop_id=17998</v>
      </c>
      <c r="N6907" s="1">
        <f t="shared" si="539"/>
        <v>17998</v>
      </c>
    </row>
    <row r="6908" spans="1:14" x14ac:dyDescent="0.3">
      <c r="A6908" s="1">
        <v>17999</v>
      </c>
      <c r="B6908" s="7" t="s">
        <v>10358</v>
      </c>
      <c r="C6908" s="12" t="s">
        <v>2497</v>
      </c>
      <c r="D6908" s="7" t="s">
        <v>10359</v>
      </c>
      <c r="E6908" s="25" t="s">
        <v>6555</v>
      </c>
      <c r="F6908" t="str">
        <f t="shared" si="535"/>
        <v>Collins</v>
      </c>
      <c r="G6908" t="str">
        <f t="shared" si="536"/>
        <v>CollinsNFArlington</v>
      </c>
      <c r="H6908" t="s">
        <v>37764</v>
      </c>
      <c r="I6908" t="s">
        <v>29180</v>
      </c>
      <c r="J6908" t="str">
        <f t="shared" si="537"/>
        <v>E:\PropInv\MF</v>
      </c>
      <c r="K6908" s="103" t="str">
        <f>HYPERLINK("E:\PropInv\MF\Arlington\Collins St N_NF_The Viridian Apts (all phases)_Arlington_17999","Collins St N_NF_The Viridian Apts (all phases)_Arlington_17999" )</f>
        <v>Collins St N_NF_The Viridian Apts (all phases)_Arlington_17999</v>
      </c>
      <c r="L6908" s="104" t="s">
        <v>22253</v>
      </c>
      <c r="M6908" s="103" t="str">
        <f t="shared" si="538"/>
        <v>http://oconnordata.com/mlink/modules/profile/index.cfm?action=profile&amp;prop_id=17999</v>
      </c>
      <c r="N6908" s="1">
        <f t="shared" si="539"/>
        <v>17999</v>
      </c>
    </row>
    <row r="6909" spans="1:14" x14ac:dyDescent="0.3">
      <c r="A6909" s="1">
        <v>18003</v>
      </c>
      <c r="B6909" s="7" t="s">
        <v>10134</v>
      </c>
      <c r="C6909" s="12">
        <v>370</v>
      </c>
      <c r="D6909" s="7" t="s">
        <v>10360</v>
      </c>
      <c r="E6909" s="13" t="s">
        <v>8765</v>
      </c>
      <c r="F6909" t="str">
        <f t="shared" si="535"/>
        <v>360</v>
      </c>
      <c r="G6909" t="str">
        <f t="shared" si="536"/>
        <v>360370Mansfield</v>
      </c>
      <c r="H6909" t="s">
        <v>37765</v>
      </c>
      <c r="I6909" t="s">
        <v>29181</v>
      </c>
      <c r="J6909" t="str">
        <f t="shared" si="537"/>
        <v>E:\PropInv\MF</v>
      </c>
      <c r="K6909" s="103" t="str">
        <f>HYPERLINK("E:\PropInv\MF\Mansfield\360 SH N_370_Dolce Living at Mansfield I_Mansfield_18003","360 SH N_370_Dolce Living at Mansfield I_Mansfield_18003" )</f>
        <v>360 SH N_370_Dolce Living at Mansfield I_Mansfield_18003</v>
      </c>
      <c r="L6909" s="104" t="s">
        <v>22253</v>
      </c>
      <c r="M6909" s="103" t="str">
        <f t="shared" si="538"/>
        <v>http://oconnordata.com/mlink/modules/profile/index.cfm?action=profile&amp;prop_id=18003</v>
      </c>
      <c r="N6909" s="1">
        <f t="shared" si="539"/>
        <v>18003</v>
      </c>
    </row>
    <row r="6910" spans="1:14" x14ac:dyDescent="0.3">
      <c r="A6910" s="1">
        <v>18004</v>
      </c>
      <c r="B6910" s="7" t="s">
        <v>10134</v>
      </c>
      <c r="C6910" s="12">
        <v>370</v>
      </c>
      <c r="D6910" s="7" t="s">
        <v>10361</v>
      </c>
      <c r="E6910" s="13" t="s">
        <v>8765</v>
      </c>
      <c r="F6910" t="str">
        <f t="shared" si="535"/>
        <v>360</v>
      </c>
      <c r="G6910" t="str">
        <f t="shared" si="536"/>
        <v>360370Mansfield</v>
      </c>
      <c r="H6910" t="s">
        <v>37766</v>
      </c>
      <c r="I6910" t="s">
        <v>29182</v>
      </c>
      <c r="J6910" t="str">
        <f t="shared" si="537"/>
        <v>E:\PropInv\MF</v>
      </c>
      <c r="K6910" s="103" t="str">
        <f>HYPERLINK("E:\PropInv\MF\Mansfield\360 SH N_370_Dolce Living at Mansfield II_Mansfield_18004","360 SH N_370_Dolce Living at Mansfield II_Mansfield_18004" )</f>
        <v>360 SH N_370_Dolce Living at Mansfield II_Mansfield_18004</v>
      </c>
      <c r="L6910" s="104" t="s">
        <v>22253</v>
      </c>
      <c r="M6910" s="103" t="str">
        <f t="shared" si="538"/>
        <v>http://oconnordata.com/mlink/modules/profile/index.cfm?action=profile&amp;prop_id=18004</v>
      </c>
      <c r="N6910" s="1">
        <f t="shared" si="539"/>
        <v>18004</v>
      </c>
    </row>
    <row r="6911" spans="1:14" x14ac:dyDescent="0.3">
      <c r="A6911" s="1">
        <v>18005</v>
      </c>
      <c r="B6911" s="36" t="s">
        <v>10362</v>
      </c>
      <c r="C6911" s="40" t="s">
        <v>2497</v>
      </c>
      <c r="D6911" s="36" t="s">
        <v>10363</v>
      </c>
      <c r="E6911" s="41" t="s">
        <v>8765</v>
      </c>
      <c r="F6911" t="str">
        <f t="shared" si="535"/>
        <v>Heritage</v>
      </c>
      <c r="G6911" t="str">
        <f t="shared" si="536"/>
        <v>HeritageNFMansfield</v>
      </c>
      <c r="H6911" t="s">
        <v>37767</v>
      </c>
      <c r="I6911" t="s">
        <v>29183</v>
      </c>
      <c r="J6911" t="str">
        <f t="shared" si="537"/>
        <v>E:\PropInv\MF</v>
      </c>
      <c r="K6911" s="103" t="str">
        <f>HYPERLINK("E:\PropInv\MF\Mansfield\Heritage Pkwy S_NF_Dolce Living at Mansfield III_Mansfield_18005","Heritage Pkwy S_NF_Dolce Living at Mansfield III_Mansfield_18005" )</f>
        <v>Heritage Pkwy S_NF_Dolce Living at Mansfield III_Mansfield_18005</v>
      </c>
      <c r="L6911" s="104" t="s">
        <v>22253</v>
      </c>
      <c r="M6911" s="103" t="str">
        <f t="shared" si="538"/>
        <v>http://oconnordata.com/mlink/modules/profile/index.cfm?action=profile&amp;prop_id=18005</v>
      </c>
      <c r="N6911" s="1">
        <f t="shared" si="539"/>
        <v>18005</v>
      </c>
    </row>
    <row r="6912" spans="1:14" x14ac:dyDescent="0.3">
      <c r="A6912" s="1">
        <v>18006</v>
      </c>
      <c r="B6912" s="7" t="s">
        <v>942</v>
      </c>
      <c r="C6912" s="12">
        <v>6710</v>
      </c>
      <c r="D6912" s="7" t="s">
        <v>10364</v>
      </c>
      <c r="E6912" s="13" t="s">
        <v>842</v>
      </c>
      <c r="F6912" t="str">
        <f t="shared" si="535"/>
        <v>Babcock</v>
      </c>
      <c r="G6912" t="str">
        <f t="shared" si="536"/>
        <v>Babcock6710San Antonio</v>
      </c>
      <c r="H6912" t="s">
        <v>37768</v>
      </c>
      <c r="I6912" t="s">
        <v>29184</v>
      </c>
      <c r="J6912" t="str">
        <f t="shared" si="537"/>
        <v>E:\PropInv\MF</v>
      </c>
      <c r="K6912" s="103" t="str">
        <f>HYPERLINK("E:\PropInv\MF\San Antonio\Babcock Rd_6710_Hacienda del Sol_San Antonio_18006","Babcock Rd_6710_Hacienda del Sol_San Antonio_18006" )</f>
        <v>Babcock Rd_6710_Hacienda del Sol_San Antonio_18006</v>
      </c>
      <c r="L6912" s="104" t="s">
        <v>22253</v>
      </c>
      <c r="M6912" s="103" t="str">
        <f t="shared" si="538"/>
        <v>http://oconnordata.com/mlink/modules/profile/index.cfm?action=profile&amp;prop_id=18006</v>
      </c>
      <c r="N6912" s="1">
        <f t="shared" si="539"/>
        <v>18006</v>
      </c>
    </row>
    <row r="6913" spans="1:14" x14ac:dyDescent="0.3">
      <c r="A6913" s="1">
        <v>18007</v>
      </c>
      <c r="B6913" s="7" t="s">
        <v>1427</v>
      </c>
      <c r="C6913" s="12">
        <v>9205</v>
      </c>
      <c r="D6913" s="7" t="s">
        <v>10365</v>
      </c>
      <c r="E6913" s="13" t="s">
        <v>1087</v>
      </c>
      <c r="F6913" t="str">
        <f t="shared" si="535"/>
        <v>78</v>
      </c>
      <c r="G6913" t="str">
        <f t="shared" si="536"/>
        <v>789205Converse</v>
      </c>
      <c r="H6913" t="s">
        <v>37769</v>
      </c>
      <c r="I6913" t="s">
        <v>29185</v>
      </c>
      <c r="J6913" t="str">
        <f t="shared" si="537"/>
        <v>E:\PropInv\MF</v>
      </c>
      <c r="K6913" s="103" t="str">
        <f>HYPERLINK("E:\PropInv\MF\Converse\78 FM_9205_Waterford Park_Converse_18007","78 FM_9205_Waterford Park_Converse_18007" )</f>
        <v>78 FM_9205_Waterford Park_Converse_18007</v>
      </c>
      <c r="L6913" s="104" t="s">
        <v>22253</v>
      </c>
      <c r="M6913" s="103" t="str">
        <f t="shared" si="538"/>
        <v>http://oconnordata.com/mlink/modules/profile/index.cfm?action=profile&amp;prop_id=18007</v>
      </c>
      <c r="N6913" s="1">
        <f t="shared" si="539"/>
        <v>18007</v>
      </c>
    </row>
    <row r="6914" spans="1:14" x14ac:dyDescent="0.3">
      <c r="A6914" s="1">
        <v>18008</v>
      </c>
      <c r="B6914" s="7" t="s">
        <v>10366</v>
      </c>
      <c r="C6914" s="12">
        <v>1360</v>
      </c>
      <c r="D6914" s="7" t="s">
        <v>2279</v>
      </c>
      <c r="E6914" s="13" t="s">
        <v>912</v>
      </c>
      <c r="F6914" t="str">
        <f t="shared" ref="F6914:F6977" si="540">IFERROR(LEFT(B6914,FIND(" ",B6914)-1),B6914)</f>
        <v>County</v>
      </c>
      <c r="G6914" t="str">
        <f t="shared" ref="G6914:G6977" si="541">F6914&amp;C6914&amp;E6914</f>
        <v>County1360New Braunfels</v>
      </c>
      <c r="H6914" t="s">
        <v>37770</v>
      </c>
      <c r="I6914" t="s">
        <v>29186</v>
      </c>
      <c r="J6914" t="str">
        <f t="shared" ref="J6914:J6977" si="542">IF(L6914="TX",Folder_Path,Folder_Path&amp;"\State_"&amp;L6914)</f>
        <v>E:\PropInv\MF</v>
      </c>
      <c r="K6914" s="103" t="str">
        <f>HYPERLINK("E:\PropInv\MF\New Braunfels\County Line Rd W_1360_Waterford Place_New Braunfels_18008","County Line Rd W_1360_Waterford Place_New Braunfels_18008" )</f>
        <v>County Line Rd W_1360_Waterford Place_New Braunfels_18008</v>
      </c>
      <c r="L6914" s="104" t="s">
        <v>22253</v>
      </c>
      <c r="M6914" s="103" t="str">
        <f t="shared" ref="M6914:M6977" si="543">HYPERLINK("http://oconnordata.com/mlink/modules/profile/index.cfm?action=profile&amp;prop_id="&amp;A6914)</f>
        <v>http://oconnordata.com/mlink/modules/profile/index.cfm?action=profile&amp;prop_id=18008</v>
      </c>
      <c r="N6914" s="1">
        <f t="shared" ref="N6914:N6977" si="544">IF(LEN(A6914)=1,"0000"&amp;A6914,IF(LEN(A6914)=2,"000"&amp;A6914,IF(LEN(A6914)=3,"00"&amp;A6914,IF(LEN(A6914)=4,"0"&amp;A6914,IF(LEN(A6914)=5,IF(LEFT(A6914,1)="3",A6914+30000,A6914))))))</f>
        <v>18008</v>
      </c>
    </row>
    <row r="6915" spans="1:14" x14ac:dyDescent="0.3">
      <c r="A6915" s="1">
        <v>18010</v>
      </c>
      <c r="B6915" s="7" t="s">
        <v>10367</v>
      </c>
      <c r="C6915" s="12">
        <v>2800</v>
      </c>
      <c r="D6915" s="7" t="s">
        <v>10368</v>
      </c>
      <c r="E6915" s="13" t="s">
        <v>4996</v>
      </c>
      <c r="F6915" t="str">
        <f t="shared" si="540"/>
        <v>Northaven</v>
      </c>
      <c r="G6915" t="str">
        <f t="shared" si="541"/>
        <v>Northaven2800Dallas</v>
      </c>
      <c r="H6915" t="s">
        <v>37771</v>
      </c>
      <c r="I6915" t="s">
        <v>29187</v>
      </c>
      <c r="J6915" t="str">
        <f t="shared" si="542"/>
        <v>E:\PropInv\MF</v>
      </c>
      <c r="K6915" s="103" t="str">
        <f>HYPERLINK("E:\PropInv\MF\Dallas\Northaven Rd_2800_Northaven Terrace_Dallas_18010","Northaven Rd_2800_Northaven Terrace_Dallas_18010" )</f>
        <v>Northaven Rd_2800_Northaven Terrace_Dallas_18010</v>
      </c>
      <c r="L6915" s="104" t="s">
        <v>22253</v>
      </c>
      <c r="M6915" s="103" t="str">
        <f t="shared" si="543"/>
        <v>http://oconnordata.com/mlink/modules/profile/index.cfm?action=profile&amp;prop_id=18010</v>
      </c>
      <c r="N6915" s="1">
        <f t="shared" si="544"/>
        <v>18010</v>
      </c>
    </row>
    <row r="6916" spans="1:14" x14ac:dyDescent="0.3">
      <c r="A6916" s="1">
        <v>18011</v>
      </c>
      <c r="B6916" s="7" t="s">
        <v>2965</v>
      </c>
      <c r="C6916" s="12">
        <v>2000</v>
      </c>
      <c r="D6916" s="7" t="s">
        <v>10369</v>
      </c>
      <c r="E6916" s="13" t="s">
        <v>5043</v>
      </c>
      <c r="F6916" t="str">
        <f t="shared" si="540"/>
        <v>Skyline</v>
      </c>
      <c r="G6916" t="str">
        <f t="shared" si="541"/>
        <v>Skyline2000McKinney</v>
      </c>
      <c r="H6916" t="s">
        <v>37772</v>
      </c>
      <c r="I6916" t="s">
        <v>29188</v>
      </c>
      <c r="J6916" t="str">
        <f t="shared" si="542"/>
        <v>E:\PropInv\MF</v>
      </c>
      <c r="K6916" s="103" t="str">
        <f>HYPERLINK("E:\PropInv\MF\McKinney\Skyline Dr_2000_Skyway Villas_McKinney_18011","Skyline Dr_2000_Skyway Villas_McKinney_18011" )</f>
        <v>Skyline Dr_2000_Skyway Villas_McKinney_18011</v>
      </c>
      <c r="L6916" s="104" t="s">
        <v>22253</v>
      </c>
      <c r="M6916" s="103" t="str">
        <f t="shared" si="543"/>
        <v>http://oconnordata.com/mlink/modules/profile/index.cfm?action=profile&amp;prop_id=18011</v>
      </c>
      <c r="N6916" s="1">
        <f t="shared" si="544"/>
        <v>18011</v>
      </c>
    </row>
    <row r="6917" spans="1:14" x14ac:dyDescent="0.3">
      <c r="A6917" s="1">
        <v>18013</v>
      </c>
      <c r="B6917" s="7" t="s">
        <v>10370</v>
      </c>
      <c r="C6917" s="12">
        <v>1705</v>
      </c>
      <c r="D6917" s="7" t="s">
        <v>10371</v>
      </c>
      <c r="E6917" s="13" t="s">
        <v>6604</v>
      </c>
      <c r="F6917" t="str">
        <f t="shared" si="540"/>
        <v>Pearl</v>
      </c>
      <c r="G6917" t="str">
        <f t="shared" si="541"/>
        <v>Pearl1705Granbury</v>
      </c>
      <c r="H6917" t="s">
        <v>37773</v>
      </c>
      <c r="I6917" t="s">
        <v>29189</v>
      </c>
      <c r="J6917" t="str">
        <f t="shared" si="542"/>
        <v>E:\PropInv\MF</v>
      </c>
      <c r="K6917" s="103" t="str">
        <f>HYPERLINK("E:\PropInv\MF\Granbury\Pearl W_1705_Granbury Heights Apt_Granbury_18013","Pearl W_1705_Granbury Heights Apt_Granbury_18013" )</f>
        <v>Pearl W_1705_Granbury Heights Apt_Granbury_18013</v>
      </c>
      <c r="L6917" s="104" t="s">
        <v>22253</v>
      </c>
      <c r="M6917" s="103" t="str">
        <f t="shared" si="543"/>
        <v>http://oconnordata.com/mlink/modules/profile/index.cfm?action=profile&amp;prop_id=18013</v>
      </c>
      <c r="N6917" s="1">
        <f t="shared" si="544"/>
        <v>18013</v>
      </c>
    </row>
    <row r="6918" spans="1:14" x14ac:dyDescent="0.3">
      <c r="A6918" s="1">
        <v>18014</v>
      </c>
      <c r="B6918" s="7" t="s">
        <v>10372</v>
      </c>
      <c r="C6918" s="12">
        <v>916</v>
      </c>
      <c r="D6918" s="7" t="s">
        <v>10373</v>
      </c>
      <c r="E6918" s="13" t="s">
        <v>6604</v>
      </c>
      <c r="F6918" t="str">
        <f t="shared" si="540"/>
        <v>377</v>
      </c>
      <c r="G6918" t="str">
        <f t="shared" si="541"/>
        <v>377916Granbury</v>
      </c>
      <c r="H6918" t="s">
        <v>37774</v>
      </c>
      <c r="I6918" t="s">
        <v>29190</v>
      </c>
      <c r="J6918" t="str">
        <f t="shared" si="542"/>
        <v>E:\PropInv\MF</v>
      </c>
      <c r="K6918" s="103" t="str">
        <f>HYPERLINK("E:\PropInv\MF\Granbury\377 Hwy E_916_The Estates on Lake Granbury_Granbury_18014","377 Hwy E_916_The Estates on Lake Granbury_Granbury_18014" )</f>
        <v>377 Hwy E_916_The Estates on Lake Granbury_Granbury_18014</v>
      </c>
      <c r="L6918" s="104" t="s">
        <v>22253</v>
      </c>
      <c r="M6918" s="103" t="str">
        <f t="shared" si="543"/>
        <v>http://oconnordata.com/mlink/modules/profile/index.cfm?action=profile&amp;prop_id=18014</v>
      </c>
      <c r="N6918" s="1">
        <f t="shared" si="544"/>
        <v>18014</v>
      </c>
    </row>
    <row r="6919" spans="1:14" x14ac:dyDescent="0.3">
      <c r="A6919" s="1">
        <v>18016</v>
      </c>
      <c r="B6919" s="7" t="s">
        <v>10374</v>
      </c>
      <c r="C6919" s="12">
        <v>800</v>
      </c>
      <c r="D6919" s="7" t="s">
        <v>10375</v>
      </c>
      <c r="E6919" s="13" t="s">
        <v>6604</v>
      </c>
      <c r="F6919" t="str">
        <f t="shared" si="540"/>
        <v>Panama</v>
      </c>
      <c r="G6919" t="str">
        <f t="shared" si="541"/>
        <v>Panama800Granbury</v>
      </c>
      <c r="H6919" t="s">
        <v>37775</v>
      </c>
      <c r="I6919" t="s">
        <v>29191</v>
      </c>
      <c r="J6919" t="str">
        <f t="shared" si="542"/>
        <v>E:\PropInv\MF</v>
      </c>
      <c r="K6919" s="103" t="str">
        <f>HYPERLINK("E:\PropInv\MF\Granbury\Panama Ct_800_Lakeshore Apts_Granbury_18016","Panama Ct_800_Lakeshore Apts_Granbury_18016" )</f>
        <v>Panama Ct_800_Lakeshore Apts_Granbury_18016</v>
      </c>
      <c r="L6919" s="104" t="s">
        <v>22253</v>
      </c>
      <c r="M6919" s="103" t="str">
        <f t="shared" si="543"/>
        <v>http://oconnordata.com/mlink/modules/profile/index.cfm?action=profile&amp;prop_id=18016</v>
      </c>
      <c r="N6919" s="1">
        <f t="shared" si="544"/>
        <v>18016</v>
      </c>
    </row>
    <row r="6920" spans="1:14" x14ac:dyDescent="0.3">
      <c r="A6920" s="1">
        <v>18017</v>
      </c>
      <c r="B6920" s="19" t="s">
        <v>10376</v>
      </c>
      <c r="C6920" s="18">
        <v>550</v>
      </c>
      <c r="D6920" s="19" t="s">
        <v>10377</v>
      </c>
      <c r="E6920" s="20" t="s">
        <v>842</v>
      </c>
      <c r="F6920" t="str">
        <f t="shared" si="540"/>
        <v>Brooklyn</v>
      </c>
      <c r="G6920" t="str">
        <f t="shared" si="541"/>
        <v>Brooklyn550San Antonio</v>
      </c>
      <c r="H6920" t="s">
        <v>37776</v>
      </c>
      <c r="I6920" t="s">
        <v>29192</v>
      </c>
      <c r="J6920" t="str">
        <f t="shared" si="542"/>
        <v>E:\PropInv\MF</v>
      </c>
      <c r="K6920" s="103" t="str">
        <f>HYPERLINK("E:\PropInv\MF\San Antonio\Brooklyn Ave_550_Rex Apts (Redevelopment-on hold)_San Antonio_18017","Brooklyn Ave_550_Rex Apts (Redevelopment-on hold)_San Antonio_18017" )</f>
        <v>Brooklyn Ave_550_Rex Apts (Redevelopment-on hold)_San Antonio_18017</v>
      </c>
      <c r="L6920" s="104" t="s">
        <v>22253</v>
      </c>
      <c r="M6920" s="103" t="str">
        <f t="shared" si="543"/>
        <v>http://oconnordata.com/mlink/modules/profile/index.cfm?action=profile&amp;prop_id=18017</v>
      </c>
      <c r="N6920" s="1">
        <f t="shared" si="544"/>
        <v>18017</v>
      </c>
    </row>
    <row r="6921" spans="1:14" x14ac:dyDescent="0.3">
      <c r="A6921" s="1">
        <v>18018</v>
      </c>
      <c r="B6921" s="7" t="s">
        <v>10378</v>
      </c>
      <c r="C6921" s="12">
        <v>1201</v>
      </c>
      <c r="D6921" s="7" t="s">
        <v>10379</v>
      </c>
      <c r="E6921" s="13" t="s">
        <v>6604</v>
      </c>
      <c r="F6921" t="str">
        <f t="shared" si="540"/>
        <v>Meadows</v>
      </c>
      <c r="G6921" t="str">
        <f t="shared" si="541"/>
        <v>Meadows1201Granbury</v>
      </c>
      <c r="H6921" t="s">
        <v>37777</v>
      </c>
      <c r="I6921" t="s">
        <v>29193</v>
      </c>
      <c r="J6921" t="str">
        <f t="shared" si="542"/>
        <v>E:\PropInv\MF</v>
      </c>
      <c r="K6921" s="103" t="str">
        <f>HYPERLINK("E:\PropInv\MF\Granbury\Meadows Dr N_1201_Granbury Meadows_Granbury_18018","Meadows Dr N_1201_Granbury Meadows_Granbury_18018" )</f>
        <v>Meadows Dr N_1201_Granbury Meadows_Granbury_18018</v>
      </c>
      <c r="L6921" s="104" t="s">
        <v>22253</v>
      </c>
      <c r="M6921" s="103" t="str">
        <f t="shared" si="543"/>
        <v>http://oconnordata.com/mlink/modules/profile/index.cfm?action=profile&amp;prop_id=18018</v>
      </c>
      <c r="N6921" s="1">
        <f t="shared" si="544"/>
        <v>18018</v>
      </c>
    </row>
    <row r="6922" spans="1:14" x14ac:dyDescent="0.3">
      <c r="A6922" s="1">
        <v>18019</v>
      </c>
      <c r="B6922" s="7" t="s">
        <v>10380</v>
      </c>
      <c r="C6922" s="12">
        <v>959</v>
      </c>
      <c r="D6922" s="7" t="s">
        <v>10381</v>
      </c>
      <c r="E6922" s="13" t="s">
        <v>6604</v>
      </c>
      <c r="F6922" t="str">
        <f t="shared" si="540"/>
        <v>Charterhouse</v>
      </c>
      <c r="G6922" t="str">
        <f t="shared" si="541"/>
        <v>Charterhouse959Granbury</v>
      </c>
      <c r="H6922" t="s">
        <v>37778</v>
      </c>
      <c r="I6922" t="s">
        <v>29194</v>
      </c>
      <c r="J6922" t="str">
        <f t="shared" si="542"/>
        <v>E:\PropInv\MF</v>
      </c>
      <c r="K6922" s="103" t="str">
        <f>HYPERLINK("E:\PropInv\MF\Granbury\Charterhouse Cir_959_Charterhouse at Lake Pointe_Granbury_18019","Charterhouse Cir_959_Charterhouse at Lake Pointe_Granbury_18019" )</f>
        <v>Charterhouse Cir_959_Charterhouse at Lake Pointe_Granbury_18019</v>
      </c>
      <c r="L6922" s="104" t="s">
        <v>22253</v>
      </c>
      <c r="M6922" s="103" t="str">
        <f t="shared" si="543"/>
        <v>http://oconnordata.com/mlink/modules/profile/index.cfm?action=profile&amp;prop_id=18019</v>
      </c>
      <c r="N6922" s="1">
        <f t="shared" si="544"/>
        <v>18019</v>
      </c>
    </row>
    <row r="6923" spans="1:14" x14ac:dyDescent="0.3">
      <c r="A6923" s="1">
        <v>18020</v>
      </c>
      <c r="B6923" s="7" t="s">
        <v>10382</v>
      </c>
      <c r="C6923" s="12">
        <v>1525</v>
      </c>
      <c r="D6923" s="7" t="s">
        <v>10383</v>
      </c>
      <c r="E6923" s="13" t="s">
        <v>6604</v>
      </c>
      <c r="F6923" t="str">
        <f t="shared" si="540"/>
        <v>2nd</v>
      </c>
      <c r="G6923" t="str">
        <f t="shared" si="541"/>
        <v>2nd1525Granbury</v>
      </c>
      <c r="H6923" t="s">
        <v>37779</v>
      </c>
      <c r="I6923" t="s">
        <v>29195</v>
      </c>
      <c r="J6923" t="str">
        <f t="shared" si="542"/>
        <v>E:\PropInv\MF</v>
      </c>
      <c r="K6923" s="103" t="str">
        <f>HYPERLINK("E:\PropInv\MF\Granbury\2nd St E_1525_Bromley Apts_Granbury_18020","2nd St E_1525_Bromley Apts_Granbury_18020" )</f>
        <v>2nd St E_1525_Bromley Apts_Granbury_18020</v>
      </c>
      <c r="L6923" s="104" t="s">
        <v>22253</v>
      </c>
      <c r="M6923" s="103" t="str">
        <f t="shared" si="543"/>
        <v>http://oconnordata.com/mlink/modules/profile/index.cfm?action=profile&amp;prop_id=18020</v>
      </c>
      <c r="N6923" s="1">
        <f t="shared" si="544"/>
        <v>18020</v>
      </c>
    </row>
    <row r="6924" spans="1:14" x14ac:dyDescent="0.3">
      <c r="A6924" s="1">
        <v>18021</v>
      </c>
      <c r="B6924" s="7" t="s">
        <v>10384</v>
      </c>
      <c r="C6924" s="12">
        <v>1017</v>
      </c>
      <c r="D6924" s="7" t="s">
        <v>10385</v>
      </c>
      <c r="E6924" s="13" t="s">
        <v>6604</v>
      </c>
      <c r="F6924" t="str">
        <f t="shared" si="540"/>
        <v>Lipan</v>
      </c>
      <c r="G6924" t="str">
        <f t="shared" si="541"/>
        <v>Lipan1017Granbury</v>
      </c>
      <c r="H6924" t="s">
        <v>37780</v>
      </c>
      <c r="I6924" t="s">
        <v>29196</v>
      </c>
      <c r="J6924" t="str">
        <f t="shared" si="542"/>
        <v>E:\PropInv\MF</v>
      </c>
      <c r="K6924" s="103" t="str">
        <f>HYPERLINK("E:\PropInv\MF\Granbury\Lipan Dr_1017_Oaks of Granbury_Granbury_18021","Lipan Dr_1017_Oaks of Granbury_Granbury_18021" )</f>
        <v>Lipan Dr_1017_Oaks of Granbury_Granbury_18021</v>
      </c>
      <c r="L6924" s="104" t="s">
        <v>22253</v>
      </c>
      <c r="M6924" s="103" t="str">
        <f t="shared" si="543"/>
        <v>http://oconnordata.com/mlink/modules/profile/index.cfm?action=profile&amp;prop_id=18021</v>
      </c>
      <c r="N6924" s="1">
        <f t="shared" si="544"/>
        <v>18021</v>
      </c>
    </row>
    <row r="6925" spans="1:14" x14ac:dyDescent="0.3">
      <c r="A6925" s="1">
        <v>18022</v>
      </c>
      <c r="B6925" s="37" t="s">
        <v>6965</v>
      </c>
      <c r="C6925" s="38" t="s">
        <v>2497</v>
      </c>
      <c r="D6925" s="29" t="s">
        <v>10386</v>
      </c>
      <c r="E6925" s="39" t="s">
        <v>4996</v>
      </c>
      <c r="F6925" t="str">
        <f t="shared" si="540"/>
        <v>Walnut</v>
      </c>
      <c r="G6925" t="str">
        <f t="shared" si="541"/>
        <v>WalnutNFDallas</v>
      </c>
      <c r="H6925" t="s">
        <v>37781</v>
      </c>
      <c r="I6925" t="s">
        <v>29197</v>
      </c>
      <c r="J6925" t="str">
        <f t="shared" si="542"/>
        <v>E:\PropInv\MF</v>
      </c>
      <c r="K6925" s="103" t="str">
        <f>HYPERLINK("E:\PropInv\MF\Dallas\Walnut Hill Ln_NF_Lake Highlands Town Center Apts_Dallas_18022","Walnut Hill Ln_NF_Lake Highlands Town Center Apts_Dallas_18022" )</f>
        <v>Walnut Hill Ln_NF_Lake Highlands Town Center Apts_Dallas_18022</v>
      </c>
      <c r="L6925" s="104" t="s">
        <v>22253</v>
      </c>
      <c r="M6925" s="103" t="str">
        <f t="shared" si="543"/>
        <v>http://oconnordata.com/mlink/modules/profile/index.cfm?action=profile&amp;prop_id=18022</v>
      </c>
      <c r="N6925" s="1">
        <f t="shared" si="544"/>
        <v>18022</v>
      </c>
    </row>
    <row r="6926" spans="1:14" x14ac:dyDescent="0.3">
      <c r="A6926" s="1">
        <v>18023</v>
      </c>
      <c r="B6926" s="7" t="s">
        <v>5923</v>
      </c>
      <c r="C6926" s="12">
        <v>4025</v>
      </c>
      <c r="D6926" s="7" t="s">
        <v>10387</v>
      </c>
      <c r="E6926" s="13" t="s">
        <v>5060</v>
      </c>
      <c r="F6926" t="str">
        <f t="shared" si="540"/>
        <v>Huffines</v>
      </c>
      <c r="G6926" t="str">
        <f t="shared" si="541"/>
        <v>Huffines4025Carrollton</v>
      </c>
      <c r="H6926" t="s">
        <v>37782</v>
      </c>
      <c r="I6926" t="s">
        <v>29198</v>
      </c>
      <c r="J6926" t="str">
        <f t="shared" si="542"/>
        <v>E:\PropInv\MF</v>
      </c>
      <c r="K6926" s="103" t="str">
        <f>HYPERLINK("E:\PropInv\MF\Carrollton\Huffines Blvd_4025_The Residences at the Collection_Carrollton_18023","Huffines Blvd_4025_The Residences at the Collection_Carrollton_18023" )</f>
        <v>Huffines Blvd_4025_The Residences at the Collection_Carrollton_18023</v>
      </c>
      <c r="L6926" s="104" t="s">
        <v>22253</v>
      </c>
      <c r="M6926" s="103" t="str">
        <f t="shared" si="543"/>
        <v>http://oconnordata.com/mlink/modules/profile/index.cfm?action=profile&amp;prop_id=18023</v>
      </c>
      <c r="N6926" s="1">
        <f t="shared" si="544"/>
        <v>18023</v>
      </c>
    </row>
    <row r="6927" spans="1:14" x14ac:dyDescent="0.3">
      <c r="A6927" s="1">
        <v>18025</v>
      </c>
      <c r="B6927" s="7" t="s">
        <v>5610</v>
      </c>
      <c r="C6927" s="12">
        <v>6118</v>
      </c>
      <c r="D6927" s="7" t="s">
        <v>10388</v>
      </c>
      <c r="E6927" s="13" t="s">
        <v>7</v>
      </c>
      <c r="F6927" t="str">
        <f t="shared" si="540"/>
        <v>Fairway</v>
      </c>
      <c r="G6927" t="str">
        <f t="shared" si="541"/>
        <v>Fairway6118Austin</v>
      </c>
      <c r="H6927" t="s">
        <v>37783</v>
      </c>
      <c r="I6927" t="s">
        <v>29199</v>
      </c>
      <c r="J6927" t="str">
        <f t="shared" si="542"/>
        <v>E:\PropInv\MF</v>
      </c>
      <c r="K6927" s="103" t="str">
        <f>HYPERLINK("E:\PropInv\MF\Austin\Fairway Dr_6118_Fairway Village_Austin_18025","Fairway Dr_6118_Fairway Village_Austin_18025" )</f>
        <v>Fairway Dr_6118_Fairway Village_Austin_18025</v>
      </c>
      <c r="L6927" s="104" t="s">
        <v>22253</v>
      </c>
      <c r="M6927" s="103" t="str">
        <f t="shared" si="543"/>
        <v>http://oconnordata.com/mlink/modules/profile/index.cfm?action=profile&amp;prop_id=18025</v>
      </c>
      <c r="N6927" s="1">
        <f t="shared" si="544"/>
        <v>18025</v>
      </c>
    </row>
    <row r="6928" spans="1:14" x14ac:dyDescent="0.3">
      <c r="A6928" s="1">
        <v>18027</v>
      </c>
      <c r="B6928" s="7" t="s">
        <v>10389</v>
      </c>
      <c r="C6928" s="12">
        <v>1301</v>
      </c>
      <c r="D6928" s="7" t="s">
        <v>9601</v>
      </c>
      <c r="E6928" s="13" t="s">
        <v>6559</v>
      </c>
      <c r="F6928" t="str">
        <f t="shared" si="540"/>
        <v>287</v>
      </c>
      <c r="G6928" t="str">
        <f t="shared" si="541"/>
        <v>2871301Waxahachie</v>
      </c>
      <c r="H6928" t="s">
        <v>37784</v>
      </c>
      <c r="I6928" t="s">
        <v>29200</v>
      </c>
      <c r="J6928" t="str">
        <f t="shared" si="542"/>
        <v>E:\PropInv\MF</v>
      </c>
      <c r="K6928" s="103" t="str">
        <f>HYPERLINK("E:\PropInv\MF\Waxahachie\287 Hwy Bypass W_1301_Cambridge Court_Waxahachie_18027","287 Hwy Bypass W_1301_Cambridge Court_Waxahachie_18027" )</f>
        <v>287 Hwy Bypass W_1301_Cambridge Court_Waxahachie_18027</v>
      </c>
      <c r="L6928" s="104" t="s">
        <v>22253</v>
      </c>
      <c r="M6928" s="103" t="str">
        <f t="shared" si="543"/>
        <v>http://oconnordata.com/mlink/modules/profile/index.cfm?action=profile&amp;prop_id=18027</v>
      </c>
      <c r="N6928" s="1">
        <f t="shared" si="544"/>
        <v>18027</v>
      </c>
    </row>
    <row r="6929" spans="1:14" x14ac:dyDescent="0.3">
      <c r="A6929" s="1">
        <v>18028</v>
      </c>
      <c r="B6929" s="19" t="s">
        <v>10390</v>
      </c>
      <c r="C6929" s="18">
        <v>706</v>
      </c>
      <c r="D6929" s="19" t="s">
        <v>10391</v>
      </c>
      <c r="E6929" s="20" t="s">
        <v>7</v>
      </c>
      <c r="F6929" t="str">
        <f t="shared" si="540"/>
        <v>Martin</v>
      </c>
      <c r="G6929" t="str">
        <f t="shared" si="541"/>
        <v>Martin706Austin</v>
      </c>
      <c r="H6929" t="s">
        <v>37785</v>
      </c>
      <c r="I6929" t="s">
        <v>29201</v>
      </c>
      <c r="J6929" t="str">
        <f t="shared" si="542"/>
        <v>E:\PropInv\MF</v>
      </c>
      <c r="K6929" s="103" t="str">
        <f>HYPERLINK("E:\PropInv\MF\Austin\Martin Luther King Blvd W_706_Cityville at Pearl_Austin_18028","Martin Luther King Blvd W_706_Cityville at Pearl_Austin_18028" )</f>
        <v>Martin Luther King Blvd W_706_Cityville at Pearl_Austin_18028</v>
      </c>
      <c r="L6929" s="104" t="s">
        <v>22253</v>
      </c>
      <c r="M6929" s="103" t="str">
        <f t="shared" si="543"/>
        <v>http://oconnordata.com/mlink/modules/profile/index.cfm?action=profile&amp;prop_id=18028</v>
      </c>
      <c r="N6929" s="1">
        <f t="shared" si="544"/>
        <v>18028</v>
      </c>
    </row>
    <row r="6930" spans="1:14" x14ac:dyDescent="0.3">
      <c r="A6930" s="1">
        <v>18029</v>
      </c>
      <c r="B6930" s="19" t="s">
        <v>12</v>
      </c>
      <c r="C6930" s="18" t="s">
        <v>2497</v>
      </c>
      <c r="D6930" s="19" t="s">
        <v>10392</v>
      </c>
      <c r="E6930" s="20" t="s">
        <v>7</v>
      </c>
      <c r="F6930" t="str">
        <f t="shared" si="540"/>
        <v>Anderson</v>
      </c>
      <c r="G6930" t="str">
        <f t="shared" si="541"/>
        <v>AndersonNFAustin</v>
      </c>
      <c r="H6930" t="s">
        <v>37786</v>
      </c>
      <c r="I6930" t="s">
        <v>29202</v>
      </c>
      <c r="J6930" t="str">
        <f t="shared" si="542"/>
        <v>E:\PropInv\MF</v>
      </c>
      <c r="K6930" s="103" t="str">
        <f>HYPERLINK("E:\PropInv\MF\Austin\Anderson Mill Rd_NF_Villagio Mixed-Use_Austin_18029","Anderson Mill Rd_NF_Villagio Mixed-Use_Austin_18029" )</f>
        <v>Anderson Mill Rd_NF_Villagio Mixed-Use_Austin_18029</v>
      </c>
      <c r="L6930" s="104" t="s">
        <v>22253</v>
      </c>
      <c r="M6930" s="103" t="str">
        <f t="shared" si="543"/>
        <v>http://oconnordata.com/mlink/modules/profile/index.cfm?action=profile&amp;prop_id=18029</v>
      </c>
      <c r="N6930" s="1">
        <f t="shared" si="544"/>
        <v>18029</v>
      </c>
    </row>
    <row r="6931" spans="1:14" x14ac:dyDescent="0.3">
      <c r="A6931" s="1">
        <v>18030</v>
      </c>
      <c r="B6931" s="19" t="s">
        <v>10393</v>
      </c>
      <c r="C6931" s="18" t="s">
        <v>2497</v>
      </c>
      <c r="D6931" s="19" t="s">
        <v>10394</v>
      </c>
      <c r="E6931" s="20" t="s">
        <v>7</v>
      </c>
      <c r="F6931" t="str">
        <f t="shared" si="540"/>
        <v>969</v>
      </c>
      <c r="G6931" t="str">
        <f t="shared" si="541"/>
        <v>969NFAustin</v>
      </c>
      <c r="H6931" t="s">
        <v>37787</v>
      </c>
      <c r="I6931" t="s">
        <v>29203</v>
      </c>
      <c r="J6931" t="str">
        <f t="shared" si="542"/>
        <v>E:\PropInv\MF</v>
      </c>
      <c r="K6931" s="103" t="str">
        <f>HYPERLINK("E:\PropInv\MF\Austin\969 FM_NF_Villa Muse Mixed-Use (On Hold)_Austin_18030","969 FM_NF_Villa Muse Mixed-Use (On Hold)_Austin_18030" )</f>
        <v>969 FM_NF_Villa Muse Mixed-Use (On Hold)_Austin_18030</v>
      </c>
      <c r="L6931" s="104" t="s">
        <v>22253</v>
      </c>
      <c r="M6931" s="103" t="str">
        <f t="shared" si="543"/>
        <v>http://oconnordata.com/mlink/modules/profile/index.cfm?action=profile&amp;prop_id=18030</v>
      </c>
      <c r="N6931" s="1">
        <f t="shared" si="544"/>
        <v>18030</v>
      </c>
    </row>
    <row r="6932" spans="1:14" x14ac:dyDescent="0.3">
      <c r="A6932" s="1">
        <v>18032</v>
      </c>
      <c r="B6932" s="7" t="s">
        <v>10395</v>
      </c>
      <c r="C6932" s="12">
        <v>15059</v>
      </c>
      <c r="D6932" s="7" t="s">
        <v>10396</v>
      </c>
      <c r="E6932" s="13" t="s">
        <v>1657</v>
      </c>
      <c r="F6932" t="str">
        <f t="shared" si="540"/>
        <v>Caseta</v>
      </c>
      <c r="G6932" t="str">
        <f t="shared" si="541"/>
        <v>Caseta15059Houston</v>
      </c>
      <c r="H6932" t="s">
        <v>37788</v>
      </c>
      <c r="I6932" t="s">
        <v>29204</v>
      </c>
      <c r="J6932" t="str">
        <f t="shared" si="542"/>
        <v>E:\PropInv\MF</v>
      </c>
      <c r="K6932" s="103" t="str">
        <f>HYPERLINK("E:\PropInv\MF\Houston\Caseta Dr_15059_West Oaks Seniors_Houston_18032","Caseta Dr_15059_West Oaks Seniors_Houston_18032" )</f>
        <v>Caseta Dr_15059_West Oaks Seniors_Houston_18032</v>
      </c>
      <c r="L6932" s="104" t="s">
        <v>22253</v>
      </c>
      <c r="M6932" s="103" t="str">
        <f t="shared" si="543"/>
        <v>http://oconnordata.com/mlink/modules/profile/index.cfm?action=profile&amp;prop_id=18032</v>
      </c>
      <c r="N6932" s="1">
        <f t="shared" si="544"/>
        <v>18032</v>
      </c>
    </row>
    <row r="6933" spans="1:14" x14ac:dyDescent="0.3">
      <c r="A6933" s="1">
        <v>18034</v>
      </c>
      <c r="B6933" s="19" t="s">
        <v>2426</v>
      </c>
      <c r="C6933" s="18">
        <v>910</v>
      </c>
      <c r="D6933" s="19" t="s">
        <v>10397</v>
      </c>
      <c r="E6933" s="20" t="s">
        <v>7</v>
      </c>
      <c r="F6933" t="str">
        <f t="shared" si="540"/>
        <v>25th</v>
      </c>
      <c r="G6933" t="str">
        <f t="shared" si="541"/>
        <v>25th910Austin</v>
      </c>
      <c r="H6933" t="s">
        <v>37789</v>
      </c>
      <c r="I6933" t="s">
        <v>29205</v>
      </c>
      <c r="J6933" t="str">
        <f t="shared" si="542"/>
        <v>E:\PropInv\MF</v>
      </c>
      <c r="K6933" s="103" t="str">
        <f>HYPERLINK("E:\PropInv\MF\Austin\25th St W_910_Galileo at 25th Condominiums_Austin_18034","25th St W_910_Galileo at 25th Condominiums_Austin_18034" )</f>
        <v>25th St W_910_Galileo at 25th Condominiums_Austin_18034</v>
      </c>
      <c r="L6933" s="104" t="s">
        <v>22253</v>
      </c>
      <c r="M6933" s="103" t="str">
        <f t="shared" si="543"/>
        <v>http://oconnordata.com/mlink/modules/profile/index.cfm?action=profile&amp;prop_id=18034</v>
      </c>
      <c r="N6933" s="1">
        <f t="shared" si="544"/>
        <v>18034</v>
      </c>
    </row>
    <row r="6934" spans="1:14" x14ac:dyDescent="0.3">
      <c r="A6934" s="1">
        <v>18035</v>
      </c>
      <c r="B6934" s="7" t="s">
        <v>10398</v>
      </c>
      <c r="C6934" s="12">
        <v>8600</v>
      </c>
      <c r="D6934" s="7" t="s">
        <v>10399</v>
      </c>
      <c r="E6934" s="13" t="s">
        <v>7</v>
      </c>
      <c r="F6934" t="str">
        <f t="shared" si="540"/>
        <v>71</v>
      </c>
      <c r="G6934" t="str">
        <f t="shared" si="541"/>
        <v>718600Austin</v>
      </c>
      <c r="H6934" t="s">
        <v>37790</v>
      </c>
      <c r="I6934" t="s">
        <v>29206</v>
      </c>
      <c r="J6934" t="str">
        <f t="shared" si="542"/>
        <v>E:\PropInv\MF</v>
      </c>
      <c r="K6934" s="103" t="str">
        <f>HYPERLINK("E:\PropInv\MF\Austin\71 SH W_8600_Estancia Apts_Austin_18035","71 SH W_8600_Estancia Apts_Austin_18035" )</f>
        <v>71 SH W_8600_Estancia Apts_Austin_18035</v>
      </c>
      <c r="L6934" s="104" t="s">
        <v>22253</v>
      </c>
      <c r="M6934" s="103" t="str">
        <f t="shared" si="543"/>
        <v>http://oconnordata.com/mlink/modules/profile/index.cfm?action=profile&amp;prop_id=18035</v>
      </c>
      <c r="N6934" s="1">
        <f t="shared" si="544"/>
        <v>18035</v>
      </c>
    </row>
    <row r="6935" spans="1:14" x14ac:dyDescent="0.3">
      <c r="A6935" s="1">
        <v>18036</v>
      </c>
      <c r="B6935" s="19" t="s">
        <v>93</v>
      </c>
      <c r="C6935" s="18">
        <v>4276</v>
      </c>
      <c r="D6935" s="19" t="s">
        <v>10400</v>
      </c>
      <c r="E6935" s="20" t="s">
        <v>7</v>
      </c>
      <c r="F6935" t="str">
        <f t="shared" si="540"/>
        <v>Congress</v>
      </c>
      <c r="G6935" t="str">
        <f t="shared" si="541"/>
        <v>Congress4276Austin</v>
      </c>
      <c r="H6935" t="s">
        <v>37791</v>
      </c>
      <c r="I6935" t="s">
        <v>29207</v>
      </c>
      <c r="J6935" t="str">
        <f t="shared" si="542"/>
        <v>E:\PropInv\MF</v>
      </c>
      <c r="K6935" s="103" t="str">
        <f>HYPERLINK("E:\PropInv\MF\Austin\Congress Ave S_4276_South Urban Lofts_Austin_18036","Congress Ave S_4276_South Urban Lofts_Austin_18036" )</f>
        <v>Congress Ave S_4276_South Urban Lofts_Austin_18036</v>
      </c>
      <c r="L6935" s="104" t="s">
        <v>22253</v>
      </c>
      <c r="M6935" s="103" t="str">
        <f t="shared" si="543"/>
        <v>http://oconnordata.com/mlink/modules/profile/index.cfm?action=profile&amp;prop_id=18036</v>
      </c>
      <c r="N6935" s="1">
        <f t="shared" si="544"/>
        <v>18036</v>
      </c>
    </row>
    <row r="6936" spans="1:14" x14ac:dyDescent="0.3">
      <c r="A6936" s="1">
        <v>18037</v>
      </c>
      <c r="B6936" s="19" t="s">
        <v>41</v>
      </c>
      <c r="C6936" s="18">
        <v>6201</v>
      </c>
      <c r="D6936" s="19" t="s">
        <v>10401</v>
      </c>
      <c r="E6936" s="20" t="s">
        <v>7</v>
      </c>
      <c r="F6936" t="str">
        <f t="shared" si="540"/>
        <v>Riverside</v>
      </c>
      <c r="G6936" t="str">
        <f t="shared" si="541"/>
        <v>Riverside6201Austin</v>
      </c>
      <c r="H6936" t="s">
        <v>37792</v>
      </c>
      <c r="I6936" t="s">
        <v>29208</v>
      </c>
      <c r="J6936" t="str">
        <f t="shared" si="542"/>
        <v>E:\PropInv\MF</v>
      </c>
      <c r="K6936" s="103" t="str">
        <f>HYPERLINK("E:\PropInv\MF\Austin\Riverside Dr E_6201_Rivermont Place Apts_Austin_18037","Riverside Dr E_6201_Rivermont Place Apts_Austin_18037" )</f>
        <v>Riverside Dr E_6201_Rivermont Place Apts_Austin_18037</v>
      </c>
      <c r="L6936" s="104" t="s">
        <v>22253</v>
      </c>
      <c r="M6936" s="103" t="str">
        <f t="shared" si="543"/>
        <v>http://oconnordata.com/mlink/modules/profile/index.cfm?action=profile&amp;prop_id=18037</v>
      </c>
      <c r="N6936" s="1">
        <f t="shared" si="544"/>
        <v>18037</v>
      </c>
    </row>
    <row r="6937" spans="1:14" x14ac:dyDescent="0.3">
      <c r="A6937" s="1">
        <v>18038</v>
      </c>
      <c r="B6937" s="21" t="s">
        <v>235</v>
      </c>
      <c r="C6937" s="12">
        <v>3822</v>
      </c>
      <c r="D6937" s="7" t="s">
        <v>10402</v>
      </c>
      <c r="E6937" s="13" t="s">
        <v>842</v>
      </c>
      <c r="F6937" t="str">
        <f t="shared" si="540"/>
        <v>W</v>
      </c>
      <c r="G6937" t="str">
        <f t="shared" si="541"/>
        <v>W3822San Antonio</v>
      </c>
      <c r="H6937" t="s">
        <v>37793</v>
      </c>
      <c r="I6937" t="s">
        <v>29209</v>
      </c>
      <c r="J6937" t="str">
        <f t="shared" si="542"/>
        <v>E:\PropInv\MF</v>
      </c>
      <c r="K6937" s="103" t="str">
        <f>HYPERLINK("E:\PropInv\MF\San Antonio\W Ave_3822_Walnut Manor_San Antonio_18038","W Ave_3822_Walnut Manor_San Antonio_18038" )</f>
        <v>W Ave_3822_Walnut Manor_San Antonio_18038</v>
      </c>
      <c r="L6937" s="104" t="s">
        <v>22253</v>
      </c>
      <c r="M6937" s="103" t="str">
        <f t="shared" si="543"/>
        <v>http://oconnordata.com/mlink/modules/profile/index.cfm?action=profile&amp;prop_id=18038</v>
      </c>
      <c r="N6937" s="1">
        <f t="shared" si="544"/>
        <v>18038</v>
      </c>
    </row>
    <row r="6938" spans="1:14" x14ac:dyDescent="0.3">
      <c r="A6938" s="97">
        <v>18039</v>
      </c>
      <c r="B6938" s="7" t="s">
        <v>10403</v>
      </c>
      <c r="C6938" s="12">
        <v>3753</v>
      </c>
      <c r="D6938" s="7" t="s">
        <v>10404</v>
      </c>
      <c r="E6938" s="13" t="s">
        <v>5046</v>
      </c>
      <c r="F6938" t="str">
        <f t="shared" si="540"/>
        <v>William</v>
      </c>
      <c r="G6938" t="str">
        <f t="shared" si="541"/>
        <v>William3753Irving</v>
      </c>
      <c r="H6938" t="s">
        <v>37794</v>
      </c>
      <c r="I6938" t="s">
        <v>29210</v>
      </c>
      <c r="J6938" t="str">
        <f t="shared" si="542"/>
        <v>E:\PropInv\MF</v>
      </c>
      <c r="K6938" s="103" t="str">
        <f>HYPERLINK("E:\PropInv\MF\Irving\William DeHaes_3753_Woodland Ridge II_Irving_18039","William DeHaes_3753_Woodland Ridge II_Irving_18039" )</f>
        <v>William DeHaes_3753_Woodland Ridge II_Irving_18039</v>
      </c>
      <c r="L6938" s="104" t="s">
        <v>22253</v>
      </c>
      <c r="M6938" s="103" t="str">
        <f t="shared" si="543"/>
        <v>http://oconnordata.com/mlink/modules/profile/index.cfm?action=profile&amp;prop_id=18039</v>
      </c>
      <c r="N6938" s="1">
        <f t="shared" si="544"/>
        <v>18039</v>
      </c>
    </row>
    <row r="6939" spans="1:14" x14ac:dyDescent="0.3">
      <c r="A6939" s="1">
        <v>18040</v>
      </c>
      <c r="B6939" s="21" t="s">
        <v>235</v>
      </c>
      <c r="C6939" s="12">
        <v>3747</v>
      </c>
      <c r="D6939" s="7" t="s">
        <v>10405</v>
      </c>
      <c r="E6939" s="13" t="s">
        <v>842</v>
      </c>
      <c r="F6939" t="str">
        <f t="shared" si="540"/>
        <v>W</v>
      </c>
      <c r="G6939" t="str">
        <f t="shared" si="541"/>
        <v>W3747San Antonio</v>
      </c>
      <c r="H6939" t="s">
        <v>37795</v>
      </c>
      <c r="I6939" t="s">
        <v>29211</v>
      </c>
      <c r="J6939" t="str">
        <f t="shared" si="542"/>
        <v>E:\PropInv\MF</v>
      </c>
      <c r="K6939" s="103" t="str">
        <f>HYPERLINK("E:\PropInv\MF\San Antonio\W Ave_3747_West Avenue Apts_San Antonio_18040","W Ave_3747_West Avenue Apts_San Antonio_18040" )</f>
        <v>W Ave_3747_West Avenue Apts_San Antonio_18040</v>
      </c>
      <c r="L6939" s="104" t="s">
        <v>22253</v>
      </c>
      <c r="M6939" s="103" t="str">
        <f t="shared" si="543"/>
        <v>http://oconnordata.com/mlink/modules/profile/index.cfm?action=profile&amp;prop_id=18040</v>
      </c>
      <c r="N6939" s="1">
        <f t="shared" si="544"/>
        <v>18040</v>
      </c>
    </row>
    <row r="6940" spans="1:14" x14ac:dyDescent="0.3">
      <c r="A6940" s="1">
        <v>18041</v>
      </c>
      <c r="B6940" s="7" t="s">
        <v>10406</v>
      </c>
      <c r="C6940" s="12">
        <v>8222</v>
      </c>
      <c r="D6940" s="7" t="s">
        <v>10407</v>
      </c>
      <c r="E6940" s="13" t="s">
        <v>842</v>
      </c>
      <c r="F6940" t="str">
        <f t="shared" si="540"/>
        <v>Gault</v>
      </c>
      <c r="G6940" t="str">
        <f t="shared" si="541"/>
        <v>Gault8222San Antonio</v>
      </c>
      <c r="H6940" t="s">
        <v>37796</v>
      </c>
      <c r="I6940" t="s">
        <v>29212</v>
      </c>
      <c r="J6940" t="str">
        <f t="shared" si="542"/>
        <v>E:\PropInv\MF</v>
      </c>
      <c r="K6940" s="103" t="str">
        <f>HYPERLINK("E:\PropInv\MF\San Antonio\Gault Ln_8222_Ridgecrest Apts_San Antonio_18041","Gault Ln_8222_Ridgecrest Apts_San Antonio_18041" )</f>
        <v>Gault Ln_8222_Ridgecrest Apts_San Antonio_18041</v>
      </c>
      <c r="L6940" s="104" t="s">
        <v>22253</v>
      </c>
      <c r="M6940" s="103" t="str">
        <f t="shared" si="543"/>
        <v>http://oconnordata.com/mlink/modules/profile/index.cfm?action=profile&amp;prop_id=18041</v>
      </c>
      <c r="N6940" s="1">
        <f t="shared" si="544"/>
        <v>18041</v>
      </c>
    </row>
    <row r="6941" spans="1:14" x14ac:dyDescent="0.3">
      <c r="A6941" s="1">
        <v>18042</v>
      </c>
      <c r="B6941" s="7" t="s">
        <v>1336</v>
      </c>
      <c r="C6941" s="12">
        <v>6201</v>
      </c>
      <c r="D6941" s="7" t="s">
        <v>10408</v>
      </c>
      <c r="E6941" s="13" t="s">
        <v>842</v>
      </c>
      <c r="F6941" t="str">
        <f t="shared" si="540"/>
        <v>Grissom</v>
      </c>
      <c r="G6941" t="str">
        <f t="shared" si="541"/>
        <v>Grissom6201San Antonio</v>
      </c>
      <c r="H6941" t="s">
        <v>37797</v>
      </c>
      <c r="I6941" t="s">
        <v>29213</v>
      </c>
      <c r="J6941" t="str">
        <f t="shared" si="542"/>
        <v>E:\PropInv\MF</v>
      </c>
      <c r="K6941" s="103" t="str">
        <f>HYPERLINK("E:\PropInv\MF\San Antonio\Grissom Rd_6201_The Barcelona Lofts I_San Antonio_18042","Grissom Rd_6201_The Barcelona Lofts I_San Antonio_18042" )</f>
        <v>Grissom Rd_6201_The Barcelona Lofts I_San Antonio_18042</v>
      </c>
      <c r="L6941" s="104" t="s">
        <v>22253</v>
      </c>
      <c r="M6941" s="103" t="str">
        <f t="shared" si="543"/>
        <v>http://oconnordata.com/mlink/modules/profile/index.cfm?action=profile&amp;prop_id=18042</v>
      </c>
      <c r="N6941" s="1">
        <f t="shared" si="544"/>
        <v>18042</v>
      </c>
    </row>
    <row r="6942" spans="1:14" x14ac:dyDescent="0.3">
      <c r="A6942" s="1">
        <v>18043</v>
      </c>
      <c r="B6942" s="7" t="s">
        <v>4815</v>
      </c>
      <c r="C6942" s="12">
        <v>3131</v>
      </c>
      <c r="D6942" s="7" t="s">
        <v>10409</v>
      </c>
      <c r="E6942" s="13" t="s">
        <v>1657</v>
      </c>
      <c r="F6942" t="str">
        <f t="shared" si="540"/>
        <v>Memorial</v>
      </c>
      <c r="G6942" t="str">
        <f t="shared" si="541"/>
        <v>Memorial3131Houston</v>
      </c>
      <c r="H6942" t="s">
        <v>37798</v>
      </c>
      <c r="I6942" t="s">
        <v>29214</v>
      </c>
      <c r="J6942" t="str">
        <f t="shared" si="542"/>
        <v>E:\PropInv\MF</v>
      </c>
      <c r="K6942" s="103" t="str">
        <f>HYPERLINK("E:\PropInv\MF\Houston\Memorial Ct_3131_Memorial by Windsor_Houston_18043","Memorial Ct_3131_Memorial by Windsor_Houston_18043" )</f>
        <v>Memorial Ct_3131_Memorial by Windsor_Houston_18043</v>
      </c>
      <c r="L6942" s="104" t="s">
        <v>22253</v>
      </c>
      <c r="M6942" s="103" t="str">
        <f t="shared" si="543"/>
        <v>http://oconnordata.com/mlink/modules/profile/index.cfm?action=profile&amp;prop_id=18043</v>
      </c>
      <c r="N6942" s="1">
        <f t="shared" si="544"/>
        <v>18043</v>
      </c>
    </row>
    <row r="6943" spans="1:14" x14ac:dyDescent="0.3">
      <c r="A6943" s="1">
        <v>18044</v>
      </c>
      <c r="B6943" s="7" t="s">
        <v>10410</v>
      </c>
      <c r="C6943" s="12">
        <v>8018</v>
      </c>
      <c r="D6943" s="7" t="s">
        <v>10411</v>
      </c>
      <c r="E6943" s="13" t="s">
        <v>1657</v>
      </c>
      <c r="F6943" t="str">
        <f t="shared" si="540"/>
        <v>Kimble</v>
      </c>
      <c r="G6943" t="str">
        <f t="shared" si="541"/>
        <v>Kimble8018Houston</v>
      </c>
      <c r="H6943" t="s">
        <v>37799</v>
      </c>
      <c r="I6943" t="s">
        <v>29215</v>
      </c>
      <c r="J6943" t="str">
        <f t="shared" si="542"/>
        <v>E:\PropInv\MF</v>
      </c>
      <c r="K6943" s="103" t="str">
        <f>HYPERLINK("E:\PropInv\MF\Houston\Kimble St_8018_Nueva Vida_Houston_18044","Kimble St_8018_Nueva Vida_Houston_18044" )</f>
        <v>Kimble St_8018_Nueva Vida_Houston_18044</v>
      </c>
      <c r="L6943" s="104" t="s">
        <v>22253</v>
      </c>
      <c r="M6943" s="103" t="str">
        <f t="shared" si="543"/>
        <v>http://oconnordata.com/mlink/modules/profile/index.cfm?action=profile&amp;prop_id=18044</v>
      </c>
      <c r="N6943" s="1">
        <f t="shared" si="544"/>
        <v>18044</v>
      </c>
    </row>
    <row r="6944" spans="1:14" x14ac:dyDescent="0.3">
      <c r="A6944" s="1">
        <v>18045</v>
      </c>
      <c r="B6944" s="10" t="s">
        <v>10412</v>
      </c>
      <c r="C6944" s="9">
        <v>301</v>
      </c>
      <c r="D6944" s="10" t="s">
        <v>5660</v>
      </c>
      <c r="E6944" s="11" t="s">
        <v>4673</v>
      </c>
      <c r="F6944" t="str">
        <f t="shared" si="540"/>
        <v>Newman</v>
      </c>
      <c r="G6944" t="str">
        <f t="shared" si="541"/>
        <v>Newman301La Marque</v>
      </c>
      <c r="H6944" t="s">
        <v>37800</v>
      </c>
      <c r="I6944" t="s">
        <v>29216</v>
      </c>
      <c r="J6944" t="str">
        <f t="shared" si="542"/>
        <v>E:\PropInv\MF</v>
      </c>
      <c r="K6944" s="103" t="str">
        <f>HYPERLINK("E:\PropInv\MF\La Marque\Newman Rd_301_Highland Manor_La Marque_18045","Newman Rd_301_Highland Manor_La Marque_18045" )</f>
        <v>Newman Rd_301_Highland Manor_La Marque_18045</v>
      </c>
      <c r="L6944" s="104" t="s">
        <v>22253</v>
      </c>
      <c r="M6944" s="103" t="str">
        <f t="shared" si="543"/>
        <v>http://oconnordata.com/mlink/modules/profile/index.cfm?action=profile&amp;prop_id=18045</v>
      </c>
      <c r="N6944" s="1">
        <f t="shared" si="544"/>
        <v>18045</v>
      </c>
    </row>
    <row r="6945" spans="1:14" x14ac:dyDescent="0.3">
      <c r="A6945" s="1">
        <v>18046</v>
      </c>
      <c r="B6945" s="16" t="s">
        <v>10413</v>
      </c>
      <c r="C6945" s="15" t="s">
        <v>10414</v>
      </c>
      <c r="D6945" s="16" t="s">
        <v>10415</v>
      </c>
      <c r="E6945" s="17" t="s">
        <v>842</v>
      </c>
      <c r="F6945" t="str">
        <f t="shared" si="540"/>
        <v>Blue</v>
      </c>
      <c r="G6945" t="str">
        <f t="shared" si="541"/>
        <v>Blue300-400San Antonio</v>
      </c>
      <c r="H6945" t="s">
        <v>37801</v>
      </c>
      <c r="I6945" t="s">
        <v>29217</v>
      </c>
      <c r="J6945" t="str">
        <f t="shared" si="542"/>
        <v>E:\PropInv\MF</v>
      </c>
      <c r="K6945" s="103" t="str">
        <f>HYPERLINK("E:\PropInv\MF\San Antonio\Blue Star St_300-400_Big Tex Grain Redevelopment_San Antonio_18046","Blue Star St_300-400_Big Tex Grain Redevelopment_San Antonio_18046" )</f>
        <v>Blue Star St_300-400_Big Tex Grain Redevelopment_San Antonio_18046</v>
      </c>
      <c r="L6945" s="104" t="s">
        <v>22253</v>
      </c>
      <c r="M6945" s="103" t="str">
        <f t="shared" si="543"/>
        <v>http://oconnordata.com/mlink/modules/profile/index.cfm?action=profile&amp;prop_id=18046</v>
      </c>
      <c r="N6945" s="1">
        <f t="shared" si="544"/>
        <v>18046</v>
      </c>
    </row>
    <row r="6946" spans="1:14" x14ac:dyDescent="0.3">
      <c r="A6946" s="1">
        <v>18048</v>
      </c>
      <c r="B6946" s="10" t="s">
        <v>123</v>
      </c>
      <c r="C6946" s="9">
        <v>7000</v>
      </c>
      <c r="D6946" s="10" t="s">
        <v>10416</v>
      </c>
      <c r="E6946" s="11" t="s">
        <v>7</v>
      </c>
      <c r="F6946" t="str">
        <f t="shared" si="540"/>
        <v>Convict</v>
      </c>
      <c r="G6946" t="str">
        <f t="shared" si="541"/>
        <v>Convict7000Austin</v>
      </c>
      <c r="H6946" t="s">
        <v>37802</v>
      </c>
      <c r="I6946" t="s">
        <v>29218</v>
      </c>
      <c r="J6946" t="str">
        <f t="shared" si="542"/>
        <v>E:\PropInv\MF</v>
      </c>
      <c r="K6946" s="103" t="str">
        <f>HYPERLINK("E:\PropInv\MF\Austin\Convict Hill Rd_7000_Quarry Hill_Austin_18048","Convict Hill Rd_7000_Quarry Hill_Austin_18048" )</f>
        <v>Convict Hill Rd_7000_Quarry Hill_Austin_18048</v>
      </c>
      <c r="L6946" s="104" t="s">
        <v>22253</v>
      </c>
      <c r="M6946" s="103" t="str">
        <f t="shared" si="543"/>
        <v>http://oconnordata.com/mlink/modules/profile/index.cfm?action=profile&amp;prop_id=18048</v>
      </c>
      <c r="N6946" s="1">
        <f t="shared" si="544"/>
        <v>18048</v>
      </c>
    </row>
    <row r="6947" spans="1:14" x14ac:dyDescent="0.3">
      <c r="A6947" s="1">
        <v>18049</v>
      </c>
      <c r="B6947" s="7" t="s">
        <v>5813</v>
      </c>
      <c r="C6947" s="12">
        <v>4731</v>
      </c>
      <c r="D6947" s="7" t="s">
        <v>10417</v>
      </c>
      <c r="E6947" s="13" t="s">
        <v>5088</v>
      </c>
      <c r="F6947" t="str">
        <f t="shared" si="540"/>
        <v>Galloway</v>
      </c>
      <c r="G6947" t="str">
        <f t="shared" si="541"/>
        <v>Galloway4731Mesquite</v>
      </c>
      <c r="H6947" t="s">
        <v>37803</v>
      </c>
      <c r="I6947" t="s">
        <v>29219</v>
      </c>
      <c r="J6947" t="str">
        <f t="shared" si="542"/>
        <v>E:\PropInv\MF</v>
      </c>
      <c r="K6947" s="103" t="str">
        <f>HYPERLINK("E:\PropInv\MF\Mesquite\Galloway Ave N_4731_Cedars Apts_Mesquite_18049","Galloway Ave N_4731_Cedars Apts_Mesquite_18049" )</f>
        <v>Galloway Ave N_4731_Cedars Apts_Mesquite_18049</v>
      </c>
      <c r="L6947" s="104" t="s">
        <v>22253</v>
      </c>
      <c r="M6947" s="103" t="str">
        <f t="shared" si="543"/>
        <v>http://oconnordata.com/mlink/modules/profile/index.cfm?action=profile&amp;prop_id=18049</v>
      </c>
      <c r="N6947" s="1">
        <f t="shared" si="544"/>
        <v>18049</v>
      </c>
    </row>
    <row r="6948" spans="1:14" x14ac:dyDescent="0.3">
      <c r="A6948" s="1">
        <v>18050</v>
      </c>
      <c r="B6948" s="7" t="s">
        <v>10418</v>
      </c>
      <c r="C6948" s="12">
        <v>1201</v>
      </c>
      <c r="D6948" s="7" t="s">
        <v>10419</v>
      </c>
      <c r="E6948" s="13" t="s">
        <v>5076</v>
      </c>
      <c r="F6948" t="str">
        <f t="shared" si="540"/>
        <v>Marshall</v>
      </c>
      <c r="G6948" t="str">
        <f t="shared" si="541"/>
        <v>Marshall1201Grand Prairie</v>
      </c>
      <c r="H6948" t="s">
        <v>37804</v>
      </c>
      <c r="I6948" t="s">
        <v>29220</v>
      </c>
      <c r="J6948" t="str">
        <f t="shared" si="542"/>
        <v>E:\PropInv\MF</v>
      </c>
      <c r="K6948" s="103" t="str">
        <f>HYPERLINK("E:\PropInv\MF\Grand Prairie\Marshall Dr E_1201_Donna Lynn Apts_Grand Prairie_18050","Marshall Dr E_1201_Donna Lynn Apts_Grand Prairie_18050" )</f>
        <v>Marshall Dr E_1201_Donna Lynn Apts_Grand Prairie_18050</v>
      </c>
      <c r="L6948" s="104" t="s">
        <v>22253</v>
      </c>
      <c r="M6948" s="103" t="str">
        <f t="shared" si="543"/>
        <v>http://oconnordata.com/mlink/modules/profile/index.cfm?action=profile&amp;prop_id=18050</v>
      </c>
      <c r="N6948" s="1">
        <f t="shared" si="544"/>
        <v>18050</v>
      </c>
    </row>
    <row r="6949" spans="1:14" x14ac:dyDescent="0.3">
      <c r="A6949" s="1">
        <v>18051</v>
      </c>
      <c r="B6949" s="7" t="s">
        <v>10420</v>
      </c>
      <c r="C6949" s="12">
        <v>1820</v>
      </c>
      <c r="D6949" s="7" t="s">
        <v>10421</v>
      </c>
      <c r="E6949" s="13" t="s">
        <v>4996</v>
      </c>
      <c r="F6949" t="str">
        <f t="shared" si="540"/>
        <v>Garrett</v>
      </c>
      <c r="G6949" t="str">
        <f t="shared" si="541"/>
        <v>Garrett1820Dallas</v>
      </c>
      <c r="H6949" t="s">
        <v>37805</v>
      </c>
      <c r="I6949" t="s">
        <v>29221</v>
      </c>
      <c r="J6949" t="str">
        <f t="shared" si="542"/>
        <v>E:\PropInv\MF</v>
      </c>
      <c r="K6949" s="103" t="str">
        <f>HYPERLINK("E:\PropInv\MF\Dallas\Garrett Ave N_1820_Garrett Gables_Dallas_18051","Garrett Ave N_1820_Garrett Gables_Dallas_18051" )</f>
        <v>Garrett Ave N_1820_Garrett Gables_Dallas_18051</v>
      </c>
      <c r="L6949" s="104" t="s">
        <v>22253</v>
      </c>
      <c r="M6949" s="103" t="str">
        <f t="shared" si="543"/>
        <v>http://oconnordata.com/mlink/modules/profile/index.cfm?action=profile&amp;prop_id=18051</v>
      </c>
      <c r="N6949" s="1">
        <f t="shared" si="544"/>
        <v>18051</v>
      </c>
    </row>
    <row r="6950" spans="1:14" x14ac:dyDescent="0.3">
      <c r="A6950" s="1">
        <v>18054</v>
      </c>
      <c r="B6950" s="7" t="s">
        <v>8861</v>
      </c>
      <c r="C6950" s="12">
        <v>8502</v>
      </c>
      <c r="D6950" s="7" t="s">
        <v>10422</v>
      </c>
      <c r="E6950" s="13" t="s">
        <v>4996</v>
      </c>
      <c r="F6950" t="str">
        <f t="shared" si="540"/>
        <v>Willoughby</v>
      </c>
      <c r="G6950" t="str">
        <f t="shared" si="541"/>
        <v>Willoughby8502Dallas</v>
      </c>
      <c r="H6950" t="s">
        <v>37806</v>
      </c>
      <c r="I6950" t="s">
        <v>29222</v>
      </c>
      <c r="J6950" t="str">
        <f t="shared" si="542"/>
        <v>E:\PropInv\MF</v>
      </c>
      <c r="K6950" s="103" t="str">
        <f>HYPERLINK("E:\PropInv\MF\Dallas\Willoughby Blvd_8502_South Port II_Dallas_18054","Willoughby Blvd_8502_South Port II_Dallas_18054" )</f>
        <v>Willoughby Blvd_8502_South Port II_Dallas_18054</v>
      </c>
      <c r="L6950" s="104" t="s">
        <v>22253</v>
      </c>
      <c r="M6950" s="103" t="str">
        <f t="shared" si="543"/>
        <v>http://oconnordata.com/mlink/modules/profile/index.cfm?action=profile&amp;prop_id=18054</v>
      </c>
      <c r="N6950" s="1">
        <f t="shared" si="544"/>
        <v>18054</v>
      </c>
    </row>
    <row r="6951" spans="1:14" x14ac:dyDescent="0.3">
      <c r="A6951" s="1">
        <v>18080</v>
      </c>
      <c r="B6951" s="7" t="s">
        <v>10423</v>
      </c>
      <c r="C6951" s="12">
        <v>6855</v>
      </c>
      <c r="D6951" s="7" t="s">
        <v>10424</v>
      </c>
      <c r="E6951" s="13" t="s">
        <v>4996</v>
      </c>
      <c r="F6951" t="str">
        <f t="shared" si="540"/>
        <v>Clarkwood</v>
      </c>
      <c r="G6951" t="str">
        <f t="shared" si="541"/>
        <v>Clarkwood6855Dallas</v>
      </c>
      <c r="H6951" t="s">
        <v>37807</v>
      </c>
      <c r="I6951" t="s">
        <v>29223</v>
      </c>
      <c r="J6951" t="str">
        <f t="shared" si="542"/>
        <v>E:\PropInv\MF</v>
      </c>
      <c r="K6951" s="103" t="str">
        <f>HYPERLINK("E:\PropInv\MF\Dallas\Clarkwood Rd_6855_Ridge Parc II_Dallas_18080","Clarkwood Rd_6855_Ridge Parc II_Dallas_18080" )</f>
        <v>Clarkwood Rd_6855_Ridge Parc II_Dallas_18080</v>
      </c>
      <c r="L6951" s="104" t="s">
        <v>22253</v>
      </c>
      <c r="M6951" s="103" t="str">
        <f t="shared" si="543"/>
        <v>http://oconnordata.com/mlink/modules/profile/index.cfm?action=profile&amp;prop_id=18080</v>
      </c>
      <c r="N6951" s="1">
        <f t="shared" si="544"/>
        <v>18080</v>
      </c>
    </row>
    <row r="6952" spans="1:14" x14ac:dyDescent="0.3">
      <c r="A6952" s="1">
        <v>18082</v>
      </c>
      <c r="B6952" s="7" t="s">
        <v>9242</v>
      </c>
      <c r="C6952" s="12">
        <v>12700</v>
      </c>
      <c r="D6952" s="7" t="s">
        <v>10425</v>
      </c>
      <c r="E6952" s="13" t="s">
        <v>3428</v>
      </c>
      <c r="F6952" t="str">
        <f t="shared" si="540"/>
        <v>Stafford</v>
      </c>
      <c r="G6952" t="str">
        <f t="shared" si="541"/>
        <v>Stafford12700Stafford</v>
      </c>
      <c r="H6952" t="s">
        <v>37808</v>
      </c>
      <c r="I6952" t="s">
        <v>29224</v>
      </c>
      <c r="J6952" t="str">
        <f t="shared" si="542"/>
        <v>E:\PropInv\MF</v>
      </c>
      <c r="K6952" s="103" t="str">
        <f>HYPERLINK("E:\PropInv\MF\Stafford\Stafford Rd_12700_The Retreat at Stafford_Stafford_18082","Stafford Rd_12700_The Retreat at Stafford_Stafford_18082" )</f>
        <v>Stafford Rd_12700_The Retreat at Stafford_Stafford_18082</v>
      </c>
      <c r="L6952" s="104" t="s">
        <v>22253</v>
      </c>
      <c r="M6952" s="103" t="str">
        <f t="shared" si="543"/>
        <v>http://oconnordata.com/mlink/modules/profile/index.cfm?action=profile&amp;prop_id=18082</v>
      </c>
      <c r="N6952" s="1">
        <f t="shared" si="544"/>
        <v>18082</v>
      </c>
    </row>
    <row r="6953" spans="1:14" x14ac:dyDescent="0.3">
      <c r="A6953" s="1">
        <v>18086</v>
      </c>
      <c r="B6953" s="7" t="s">
        <v>1244</v>
      </c>
      <c r="C6953" s="12">
        <v>1838</v>
      </c>
      <c r="D6953" s="7" t="s">
        <v>10426</v>
      </c>
      <c r="E6953" s="13" t="s">
        <v>842</v>
      </c>
      <c r="F6953" t="str">
        <f t="shared" si="540"/>
        <v>Basse</v>
      </c>
      <c r="G6953" t="str">
        <f t="shared" si="541"/>
        <v>Basse1838San Antonio</v>
      </c>
      <c r="H6953" t="s">
        <v>37809</v>
      </c>
      <c r="I6953" t="s">
        <v>29225</v>
      </c>
      <c r="J6953" t="str">
        <f t="shared" si="542"/>
        <v>E:\PropInv\MF</v>
      </c>
      <c r="K6953" s="103" t="str">
        <f>HYPERLINK("E:\PropInv\MF\San Antonio\Basse Rd_1838_Westminster Square_San Antonio_18086","Basse Rd_1838_Westminster Square_San Antonio_18086" )</f>
        <v>Basse Rd_1838_Westminster Square_San Antonio_18086</v>
      </c>
      <c r="L6953" s="104" t="s">
        <v>22253</v>
      </c>
      <c r="M6953" s="103" t="str">
        <f t="shared" si="543"/>
        <v>http://oconnordata.com/mlink/modules/profile/index.cfm?action=profile&amp;prop_id=18086</v>
      </c>
      <c r="N6953" s="1">
        <f t="shared" si="544"/>
        <v>18086</v>
      </c>
    </row>
    <row r="6954" spans="1:14" x14ac:dyDescent="0.3">
      <c r="A6954" s="1">
        <v>18087</v>
      </c>
      <c r="B6954" s="7" t="s">
        <v>930</v>
      </c>
      <c r="C6954" s="12">
        <v>5800</v>
      </c>
      <c r="D6954" s="7" t="s">
        <v>10427</v>
      </c>
      <c r="E6954" s="13" t="s">
        <v>842</v>
      </c>
      <c r="F6954" t="str">
        <f t="shared" si="540"/>
        <v>Wurzbach</v>
      </c>
      <c r="G6954" t="str">
        <f t="shared" si="541"/>
        <v>Wurzbach5800San Antonio</v>
      </c>
      <c r="H6954" t="s">
        <v>37810</v>
      </c>
      <c r="I6954" t="s">
        <v>29226</v>
      </c>
      <c r="J6954" t="str">
        <f t="shared" si="542"/>
        <v>E:\PropInv\MF</v>
      </c>
      <c r="K6954" s="103" t="str">
        <f>HYPERLINK("E:\PropInv\MF\San Antonio\Wurzbach Rd_5800_Christian Village Retirement_San Antonio_18087","Wurzbach Rd_5800_Christian Village Retirement_San Antonio_18087" )</f>
        <v>Wurzbach Rd_5800_Christian Village Retirement_San Antonio_18087</v>
      </c>
      <c r="L6954" s="104" t="s">
        <v>22253</v>
      </c>
      <c r="M6954" s="103" t="str">
        <f t="shared" si="543"/>
        <v>http://oconnordata.com/mlink/modules/profile/index.cfm?action=profile&amp;prop_id=18087</v>
      </c>
      <c r="N6954" s="1">
        <f t="shared" si="544"/>
        <v>18087</v>
      </c>
    </row>
    <row r="6955" spans="1:14" x14ac:dyDescent="0.3">
      <c r="A6955" s="1">
        <v>18088</v>
      </c>
      <c r="B6955" s="7" t="s">
        <v>10428</v>
      </c>
      <c r="C6955" s="12">
        <v>8911</v>
      </c>
      <c r="D6955" s="7" t="s">
        <v>10429</v>
      </c>
      <c r="E6955" s="13" t="s">
        <v>842</v>
      </c>
      <c r="F6955" t="str">
        <f t="shared" si="540"/>
        <v>Timberwilde</v>
      </c>
      <c r="G6955" t="str">
        <f t="shared" si="541"/>
        <v>Timberwilde8911San Antonio</v>
      </c>
      <c r="H6955" t="s">
        <v>37811</v>
      </c>
      <c r="I6955" t="s">
        <v>29227</v>
      </c>
      <c r="J6955" t="str">
        <f t="shared" si="542"/>
        <v>E:\PropInv\MF</v>
      </c>
      <c r="K6955" s="103" t="str">
        <f>HYPERLINK("E:\PropInv\MF\San Antonio\Timberwilde_8911_Hereford Apts_San Antonio_18088","Timberwilde_8911_Hereford Apts_San Antonio_18088" )</f>
        <v>Timberwilde_8911_Hereford Apts_San Antonio_18088</v>
      </c>
      <c r="L6955" s="104" t="s">
        <v>22253</v>
      </c>
      <c r="M6955" s="103" t="str">
        <f t="shared" si="543"/>
        <v>http://oconnordata.com/mlink/modules/profile/index.cfm?action=profile&amp;prop_id=18088</v>
      </c>
      <c r="N6955" s="1">
        <f t="shared" si="544"/>
        <v>18088</v>
      </c>
    </row>
    <row r="6956" spans="1:14" x14ac:dyDescent="0.3">
      <c r="A6956" s="1">
        <v>18090</v>
      </c>
      <c r="B6956" s="7" t="s">
        <v>10430</v>
      </c>
      <c r="C6956" s="12">
        <v>120</v>
      </c>
      <c r="D6956" s="7" t="s">
        <v>10431</v>
      </c>
      <c r="E6956" s="13" t="s">
        <v>842</v>
      </c>
      <c r="F6956" t="str">
        <f t="shared" si="540"/>
        <v>Trinity</v>
      </c>
      <c r="G6956" t="str">
        <f t="shared" si="541"/>
        <v>Trinity120San Antonio</v>
      </c>
      <c r="H6956" t="s">
        <v>37812</v>
      </c>
      <c r="I6956" t="s">
        <v>29228</v>
      </c>
      <c r="J6956" t="str">
        <f t="shared" si="542"/>
        <v>E:\PropInv\MF</v>
      </c>
      <c r="K6956" s="103" t="str">
        <f>HYPERLINK("E:\PropInv\MF\San Antonio\Trinity St S_120_Sacred Heart Villa_San Antonio_18090","Trinity St S_120_Sacred Heart Villa_San Antonio_18090" )</f>
        <v>Trinity St S_120_Sacred Heart Villa_San Antonio_18090</v>
      </c>
      <c r="L6956" s="104" t="s">
        <v>22253</v>
      </c>
      <c r="M6956" s="103" t="str">
        <f t="shared" si="543"/>
        <v>http://oconnordata.com/mlink/modules/profile/index.cfm?action=profile&amp;prop_id=18090</v>
      </c>
      <c r="N6956" s="1">
        <f t="shared" si="544"/>
        <v>18090</v>
      </c>
    </row>
    <row r="6957" spans="1:14" x14ac:dyDescent="0.3">
      <c r="A6957" s="1">
        <v>18093</v>
      </c>
      <c r="B6957" s="19" t="s">
        <v>10432</v>
      </c>
      <c r="C6957" s="18">
        <v>2410</v>
      </c>
      <c r="D6957" s="19" t="s">
        <v>10433</v>
      </c>
      <c r="E6957" s="20" t="s">
        <v>1657</v>
      </c>
      <c r="F6957" t="str">
        <f t="shared" si="540"/>
        <v>Shakespeare</v>
      </c>
      <c r="G6957" t="str">
        <f t="shared" si="541"/>
        <v>Shakespeare2410Houston</v>
      </c>
      <c r="H6957" t="s">
        <v>37813</v>
      </c>
      <c r="I6957" t="s">
        <v>29229</v>
      </c>
      <c r="J6957" t="str">
        <f t="shared" si="542"/>
        <v>E:\PropInv\MF</v>
      </c>
      <c r="K6957" s="103" t="str">
        <f>HYPERLINK("E:\PropInv\MF\Houston\Shakespeare St_2410_Rice Village Apts (on hold)_Houston_18093","Shakespeare St_2410_Rice Village Apts (on hold)_Houston_18093" )</f>
        <v>Shakespeare St_2410_Rice Village Apts (on hold)_Houston_18093</v>
      </c>
      <c r="L6957" s="104" t="s">
        <v>22253</v>
      </c>
      <c r="M6957" s="103" t="str">
        <f t="shared" si="543"/>
        <v>http://oconnordata.com/mlink/modules/profile/index.cfm?action=profile&amp;prop_id=18093</v>
      </c>
      <c r="N6957" s="1">
        <f t="shared" si="544"/>
        <v>18093</v>
      </c>
    </row>
    <row r="6958" spans="1:14" x14ac:dyDescent="0.3">
      <c r="A6958" s="1">
        <v>18094</v>
      </c>
      <c r="B6958" s="7" t="s">
        <v>10434</v>
      </c>
      <c r="C6958" s="12">
        <v>3701</v>
      </c>
      <c r="D6958" s="7" t="s">
        <v>10435</v>
      </c>
      <c r="E6958" s="13" t="s">
        <v>18</v>
      </c>
      <c r="F6958" t="str">
        <f t="shared" si="540"/>
        <v>Quick</v>
      </c>
      <c r="G6958" t="str">
        <f t="shared" si="541"/>
        <v>Quick3701Round Rock</v>
      </c>
      <c r="H6958" t="s">
        <v>37814</v>
      </c>
      <c r="I6958" t="s">
        <v>29230</v>
      </c>
      <c r="J6958" t="str">
        <f t="shared" si="542"/>
        <v>E:\PropInv\MF</v>
      </c>
      <c r="K6958" s="103" t="str">
        <f>HYPERLINK("E:\PropInv\MF\Round Rock\Quick Hill Rd_3701_Broadstone Travesia_Round Rock_18094","Quick Hill Rd_3701_Broadstone Travesia_Round Rock_18094" )</f>
        <v>Quick Hill Rd_3701_Broadstone Travesia_Round Rock_18094</v>
      </c>
      <c r="L6958" s="104" t="s">
        <v>22253</v>
      </c>
      <c r="M6958" s="103" t="str">
        <f t="shared" si="543"/>
        <v>http://oconnordata.com/mlink/modules/profile/index.cfm?action=profile&amp;prop_id=18094</v>
      </c>
      <c r="N6958" s="1">
        <f t="shared" si="544"/>
        <v>18094</v>
      </c>
    </row>
    <row r="6959" spans="1:14" x14ac:dyDescent="0.3">
      <c r="A6959" s="1">
        <v>18098</v>
      </c>
      <c r="B6959" s="7" t="s">
        <v>5068</v>
      </c>
      <c r="C6959" s="12">
        <v>1707</v>
      </c>
      <c r="D6959" s="7" t="s">
        <v>10436</v>
      </c>
      <c r="E6959" s="13" t="s">
        <v>4996</v>
      </c>
      <c r="F6959" t="str">
        <f t="shared" si="540"/>
        <v>Hall</v>
      </c>
      <c r="G6959" t="str">
        <f t="shared" si="541"/>
        <v>Hall1707Dallas</v>
      </c>
      <c r="H6959" t="s">
        <v>37815</v>
      </c>
      <c r="I6959" t="s">
        <v>29231</v>
      </c>
      <c r="J6959" t="str">
        <f t="shared" si="542"/>
        <v>E:\PropInv\MF</v>
      </c>
      <c r="K6959" s="103" t="str">
        <f>HYPERLINK("E:\PropInv\MF\Dallas\Hall St N_1707_The ICON at Ross_Dallas_18098","Hall St N_1707_The ICON at Ross_Dallas_18098" )</f>
        <v>Hall St N_1707_The ICON at Ross_Dallas_18098</v>
      </c>
      <c r="L6959" s="104" t="s">
        <v>22253</v>
      </c>
      <c r="M6959" s="103" t="str">
        <f t="shared" si="543"/>
        <v>http://oconnordata.com/mlink/modules/profile/index.cfm?action=profile&amp;prop_id=18098</v>
      </c>
      <c r="N6959" s="1">
        <f t="shared" si="544"/>
        <v>18098</v>
      </c>
    </row>
    <row r="6960" spans="1:14" x14ac:dyDescent="0.3">
      <c r="A6960" s="1">
        <v>18099</v>
      </c>
      <c r="B6960" s="7" t="s">
        <v>10437</v>
      </c>
      <c r="C6960" s="12">
        <v>11601</v>
      </c>
      <c r="D6960" s="7" t="s">
        <v>10438</v>
      </c>
      <c r="E6960" s="13" t="s">
        <v>5198</v>
      </c>
      <c r="F6960" t="str">
        <f t="shared" si="540"/>
        <v>Lago</v>
      </c>
      <c r="G6960" t="str">
        <f t="shared" si="541"/>
        <v>Lago11601Farmers Branch</v>
      </c>
      <c r="H6960" t="s">
        <v>37816</v>
      </c>
      <c r="I6960" t="s">
        <v>29232</v>
      </c>
      <c r="J6960" t="str">
        <f t="shared" si="542"/>
        <v>E:\PropInv\MF</v>
      </c>
      <c r="K6960" s="103" t="str">
        <f>HYPERLINK("E:\PropInv\MF\Farmers Branch\Lago Vista W_11601_Portofino at Mercer Crossing_Farmers Branch_18099","Lago Vista W_11601_Portofino at Mercer Crossing_Farmers Branch_18099" )</f>
        <v>Lago Vista W_11601_Portofino at Mercer Crossing_Farmers Branch_18099</v>
      </c>
      <c r="L6960" s="104" t="s">
        <v>22253</v>
      </c>
      <c r="M6960" s="103" t="str">
        <f t="shared" si="543"/>
        <v>http://oconnordata.com/mlink/modules/profile/index.cfm?action=profile&amp;prop_id=18099</v>
      </c>
      <c r="N6960" s="1">
        <f t="shared" si="544"/>
        <v>18099</v>
      </c>
    </row>
    <row r="6961" spans="1:14" x14ac:dyDescent="0.3">
      <c r="A6961" s="1">
        <v>18100</v>
      </c>
      <c r="B6961" s="7" t="s">
        <v>7591</v>
      </c>
      <c r="C6961" s="12">
        <v>455</v>
      </c>
      <c r="D6961" s="7" t="s">
        <v>10439</v>
      </c>
      <c r="E6961" s="13" t="s">
        <v>5055</v>
      </c>
      <c r="F6961" t="str">
        <f t="shared" si="540"/>
        <v>Highland</v>
      </c>
      <c r="G6961" t="str">
        <f t="shared" si="541"/>
        <v>Highland455Lewisville</v>
      </c>
      <c r="H6961" t="s">
        <v>37817</v>
      </c>
      <c r="I6961" t="s">
        <v>29233</v>
      </c>
      <c r="J6961" t="str">
        <f t="shared" si="542"/>
        <v>E:\PropInv\MF</v>
      </c>
      <c r="K6961" s="103" t="str">
        <f>HYPERLINK("E:\PropInv\MF\Lewisville\Highland Dr_455_Evergreen at Vista Ridge_Lewisville_18100","Highland Dr_455_Evergreen at Vista Ridge_Lewisville_18100" )</f>
        <v>Highland Dr_455_Evergreen at Vista Ridge_Lewisville_18100</v>
      </c>
      <c r="L6961" s="104" t="s">
        <v>22253</v>
      </c>
      <c r="M6961" s="103" t="str">
        <f t="shared" si="543"/>
        <v>http://oconnordata.com/mlink/modules/profile/index.cfm?action=profile&amp;prop_id=18100</v>
      </c>
      <c r="N6961" s="1">
        <f t="shared" si="544"/>
        <v>18100</v>
      </c>
    </row>
    <row r="6962" spans="1:14" x14ac:dyDescent="0.3">
      <c r="A6962" s="1">
        <v>18102</v>
      </c>
      <c r="B6962" s="7" t="s">
        <v>5334</v>
      </c>
      <c r="C6962" s="12">
        <v>6000</v>
      </c>
      <c r="D6962" s="7" t="s">
        <v>10440</v>
      </c>
      <c r="E6962" s="13" t="s">
        <v>5488</v>
      </c>
      <c r="F6962" t="str">
        <f t="shared" si="540"/>
        <v>Eldorado</v>
      </c>
      <c r="G6962" t="str">
        <f t="shared" si="541"/>
        <v>Eldorado6000Frisco</v>
      </c>
      <c r="H6962" t="s">
        <v>37818</v>
      </c>
      <c r="I6962" t="s">
        <v>29234</v>
      </c>
      <c r="J6962" t="str">
        <f t="shared" si="542"/>
        <v>E:\PropInv\MF</v>
      </c>
      <c r="K6962" s="103" t="str">
        <f>HYPERLINK("E:\PropInv\MF\Frisco\Eldorado Pkwy_6000_Alta Cobb Hill_Frisco_18102","Eldorado Pkwy_6000_Alta Cobb Hill_Frisco_18102" )</f>
        <v>Eldorado Pkwy_6000_Alta Cobb Hill_Frisco_18102</v>
      </c>
      <c r="L6962" s="104" t="s">
        <v>22253</v>
      </c>
      <c r="M6962" s="103" t="str">
        <f t="shared" si="543"/>
        <v>http://oconnordata.com/mlink/modules/profile/index.cfm?action=profile&amp;prop_id=18102</v>
      </c>
      <c r="N6962" s="1">
        <f t="shared" si="544"/>
        <v>18102</v>
      </c>
    </row>
    <row r="6963" spans="1:14" x14ac:dyDescent="0.3">
      <c r="A6963" s="1">
        <v>18104</v>
      </c>
      <c r="B6963" s="7" t="s">
        <v>5970</v>
      </c>
      <c r="C6963" s="12">
        <v>13259</v>
      </c>
      <c r="D6963" s="7" t="s">
        <v>1265</v>
      </c>
      <c r="E6963" s="13" t="s">
        <v>4996</v>
      </c>
      <c r="F6963" t="str">
        <f t="shared" si="540"/>
        <v>Emily</v>
      </c>
      <c r="G6963" t="str">
        <f t="shared" si="541"/>
        <v>Emily13259Dallas</v>
      </c>
      <c r="H6963" t="s">
        <v>37819</v>
      </c>
      <c r="I6963" t="s">
        <v>29235</v>
      </c>
      <c r="J6963" t="str">
        <f t="shared" si="542"/>
        <v>E:\PropInv\MF</v>
      </c>
      <c r="K6963" s="103" t="str">
        <f>HYPERLINK("E:\PropInv\MF\Dallas\Emily Rd_13259_Autumn Brook_Dallas_18104","Emily Rd_13259_Autumn Brook_Dallas_18104" )</f>
        <v>Emily Rd_13259_Autumn Brook_Dallas_18104</v>
      </c>
      <c r="L6963" s="104" t="s">
        <v>22253</v>
      </c>
      <c r="M6963" s="103" t="str">
        <f t="shared" si="543"/>
        <v>http://oconnordata.com/mlink/modules/profile/index.cfm?action=profile&amp;prop_id=18104</v>
      </c>
      <c r="N6963" s="1">
        <f t="shared" si="544"/>
        <v>18104</v>
      </c>
    </row>
    <row r="6964" spans="1:14" x14ac:dyDescent="0.3">
      <c r="A6964" s="1">
        <v>18106</v>
      </c>
      <c r="B6964" s="7" t="s">
        <v>5880</v>
      </c>
      <c r="C6964" s="12">
        <v>1700</v>
      </c>
      <c r="D6964" s="7" t="s">
        <v>10441</v>
      </c>
      <c r="E6964" s="13" t="s">
        <v>4996</v>
      </c>
      <c r="F6964" t="str">
        <f t="shared" si="540"/>
        <v>Cedar</v>
      </c>
      <c r="G6964" t="str">
        <f t="shared" si="541"/>
        <v>Cedar1700Dallas</v>
      </c>
      <c r="H6964" t="s">
        <v>37820</v>
      </c>
      <c r="I6964" t="s">
        <v>29236</v>
      </c>
      <c r="J6964" t="str">
        <f t="shared" si="542"/>
        <v>E:\PropInv\MF</v>
      </c>
      <c r="K6964" s="103" t="str">
        <f>HYPERLINK("E:\PropInv\MF\Dallas\Cedar Springs Rd_1700_Gables Park 17_Dallas_18106","Cedar Springs Rd_1700_Gables Park 17_Dallas_18106" )</f>
        <v>Cedar Springs Rd_1700_Gables Park 17_Dallas_18106</v>
      </c>
      <c r="L6964" s="104" t="s">
        <v>22253</v>
      </c>
      <c r="M6964" s="103" t="str">
        <f t="shared" si="543"/>
        <v>http://oconnordata.com/mlink/modules/profile/index.cfm?action=profile&amp;prop_id=18106</v>
      </c>
      <c r="N6964" s="1">
        <f t="shared" si="544"/>
        <v>18106</v>
      </c>
    </row>
    <row r="6965" spans="1:14" x14ac:dyDescent="0.3">
      <c r="A6965" s="1">
        <v>18107</v>
      </c>
      <c r="B6965" s="7" t="s">
        <v>10442</v>
      </c>
      <c r="C6965" s="12">
        <v>2305</v>
      </c>
      <c r="D6965" s="7" t="s">
        <v>10443</v>
      </c>
      <c r="E6965" s="13" t="s">
        <v>1657</v>
      </c>
      <c r="F6965" t="str">
        <f t="shared" si="540"/>
        <v>Alabama</v>
      </c>
      <c r="G6965" t="str">
        <f t="shared" si="541"/>
        <v>Alabama2305Houston</v>
      </c>
      <c r="H6965" t="s">
        <v>37821</v>
      </c>
      <c r="I6965" t="s">
        <v>29237</v>
      </c>
      <c r="J6965" t="str">
        <f t="shared" si="542"/>
        <v>E:\PropInv\MF</v>
      </c>
      <c r="K6965" s="103" t="str">
        <f>HYPERLINK("E:\PropInv\MF\Houston\Alabama St_2305_Gables Upper Kirby III_Houston_18107","Alabama St_2305_Gables Upper Kirby III_Houston_18107" )</f>
        <v>Alabama St_2305_Gables Upper Kirby III_Houston_18107</v>
      </c>
      <c r="L6965" s="104" t="s">
        <v>22253</v>
      </c>
      <c r="M6965" s="103" t="str">
        <f t="shared" si="543"/>
        <v>http://oconnordata.com/mlink/modules/profile/index.cfm?action=profile&amp;prop_id=18107</v>
      </c>
      <c r="N6965" s="1">
        <f t="shared" si="544"/>
        <v>18107</v>
      </c>
    </row>
    <row r="6966" spans="1:14" x14ac:dyDescent="0.3">
      <c r="A6966" s="1">
        <v>18108</v>
      </c>
      <c r="B6966" s="7" t="s">
        <v>10444</v>
      </c>
      <c r="C6966" s="12">
        <v>1111</v>
      </c>
      <c r="D6966" s="7" t="s">
        <v>10445</v>
      </c>
      <c r="E6966" s="13" t="s">
        <v>2198</v>
      </c>
      <c r="F6966" t="str">
        <f t="shared" si="540"/>
        <v>Falcon</v>
      </c>
      <c r="G6966" t="str">
        <f t="shared" si="541"/>
        <v>Falcon1111Katy</v>
      </c>
      <c r="H6966" t="s">
        <v>37822</v>
      </c>
      <c r="I6966" t="s">
        <v>29238</v>
      </c>
      <c r="J6966" t="str">
        <f t="shared" si="542"/>
        <v>E:\PropInv\MF</v>
      </c>
      <c r="K6966" s="103" t="str">
        <f>HYPERLINK("E:\PropInv\MF\Katy\Falcon Park Dr_1111_Broadstone Grand Parkway_Katy_18108","Falcon Park Dr_1111_Broadstone Grand Parkway_Katy_18108" )</f>
        <v>Falcon Park Dr_1111_Broadstone Grand Parkway_Katy_18108</v>
      </c>
      <c r="L6966" s="104" t="s">
        <v>22253</v>
      </c>
      <c r="M6966" s="103" t="str">
        <f t="shared" si="543"/>
        <v>http://oconnordata.com/mlink/modules/profile/index.cfm?action=profile&amp;prop_id=18108</v>
      </c>
      <c r="N6966" s="1">
        <f t="shared" si="544"/>
        <v>18108</v>
      </c>
    </row>
    <row r="6967" spans="1:14" x14ac:dyDescent="0.3">
      <c r="A6967" s="1">
        <v>18109</v>
      </c>
      <c r="B6967" s="7" t="s">
        <v>10446</v>
      </c>
      <c r="C6967" s="12">
        <v>2728</v>
      </c>
      <c r="D6967" s="7" t="s">
        <v>10447</v>
      </c>
      <c r="E6967" s="13" t="s">
        <v>8774</v>
      </c>
      <c r="F6967" t="str">
        <f t="shared" si="540"/>
        <v>Osborn</v>
      </c>
      <c r="G6967" t="str">
        <f t="shared" si="541"/>
        <v>Osborn2728Bryan</v>
      </c>
      <c r="H6967" t="s">
        <v>37823</v>
      </c>
      <c r="I6967" t="s">
        <v>29239</v>
      </c>
      <c r="J6967" t="str">
        <f t="shared" si="542"/>
        <v>E:\PropInv\MF</v>
      </c>
      <c r="K6967" s="103" t="str">
        <f>HYPERLINK("E:\PropInv\MF\Bryan\Osborn Ln_2728_Mid Towne_Bryan_18109","Osborn Ln_2728_Mid Towne_Bryan_18109" )</f>
        <v>Osborn Ln_2728_Mid Towne_Bryan_18109</v>
      </c>
      <c r="L6967" s="104" t="s">
        <v>22253</v>
      </c>
      <c r="M6967" s="103" t="str">
        <f t="shared" si="543"/>
        <v>http://oconnordata.com/mlink/modules/profile/index.cfm?action=profile&amp;prop_id=18109</v>
      </c>
      <c r="N6967" s="1">
        <f t="shared" si="544"/>
        <v>18109</v>
      </c>
    </row>
    <row r="6968" spans="1:14" x14ac:dyDescent="0.3">
      <c r="A6968" s="1">
        <v>18110</v>
      </c>
      <c r="B6968" s="19" t="s">
        <v>1084</v>
      </c>
      <c r="C6968" s="18">
        <v>10402</v>
      </c>
      <c r="D6968" s="19" t="s">
        <v>10448</v>
      </c>
      <c r="E6968" s="20" t="s">
        <v>842</v>
      </c>
      <c r="F6968" t="str">
        <f t="shared" si="540"/>
        <v>Ingram</v>
      </c>
      <c r="G6968" t="str">
        <f t="shared" si="541"/>
        <v>Ingram10402San Antonio</v>
      </c>
      <c r="H6968" t="s">
        <v>37824</v>
      </c>
      <c r="I6968" t="s">
        <v>29240</v>
      </c>
      <c r="J6968" t="str">
        <f t="shared" si="542"/>
        <v>E:\PropInv\MF</v>
      </c>
      <c r="K6968" s="103" t="str">
        <f>HYPERLINK("E:\PropInv\MF\San Antonio\Ingram Rd_10402_Monterrey Village_San Antonio_18110","Ingram Rd_10402_Monterrey Village_San Antonio_18110" )</f>
        <v>Ingram Rd_10402_Monterrey Village_San Antonio_18110</v>
      </c>
      <c r="L6968" s="104" t="s">
        <v>22253</v>
      </c>
      <c r="M6968" s="103" t="str">
        <f t="shared" si="543"/>
        <v>http://oconnordata.com/mlink/modules/profile/index.cfm?action=profile&amp;prop_id=18110</v>
      </c>
      <c r="N6968" s="1">
        <f t="shared" si="544"/>
        <v>18110</v>
      </c>
    </row>
    <row r="6969" spans="1:14" x14ac:dyDescent="0.3">
      <c r="A6969" s="97">
        <v>18112</v>
      </c>
      <c r="B6969" s="37" t="s">
        <v>10449</v>
      </c>
      <c r="C6969" s="38">
        <v>2100</v>
      </c>
      <c r="D6969" s="29" t="s">
        <v>10450</v>
      </c>
      <c r="E6969" s="39" t="s">
        <v>8626</v>
      </c>
      <c r="F6969" t="str">
        <f t="shared" si="540"/>
        <v>Traders</v>
      </c>
      <c r="G6969" t="str">
        <f t="shared" si="541"/>
        <v>Traders2100Greenville</v>
      </c>
      <c r="H6969" t="s">
        <v>37825</v>
      </c>
      <c r="I6969" t="s">
        <v>29241</v>
      </c>
      <c r="J6969" t="str">
        <f t="shared" si="542"/>
        <v>E:\PropInv\MF</v>
      </c>
      <c r="K6969" s="103" t="str">
        <f>HYPERLINK("E:\PropInv\MF\Greenville\Traders Rd_2100_Woodland Park at Greenville_Greenville_18112","Traders Rd_2100_Woodland Park at Greenville_Greenville_18112" )</f>
        <v>Traders Rd_2100_Woodland Park at Greenville_Greenville_18112</v>
      </c>
      <c r="L6969" s="104" t="s">
        <v>22253</v>
      </c>
      <c r="M6969" s="103" t="str">
        <f t="shared" si="543"/>
        <v>http://oconnordata.com/mlink/modules/profile/index.cfm?action=profile&amp;prop_id=18112</v>
      </c>
      <c r="N6969" s="1">
        <f t="shared" si="544"/>
        <v>18112</v>
      </c>
    </row>
    <row r="6970" spans="1:14" x14ac:dyDescent="0.3">
      <c r="A6970" s="1">
        <v>18113</v>
      </c>
      <c r="B6970" s="7" t="s">
        <v>10451</v>
      </c>
      <c r="C6970" s="12">
        <v>929</v>
      </c>
      <c r="D6970" s="7" t="s">
        <v>10452</v>
      </c>
      <c r="E6970" s="13" t="s">
        <v>5014</v>
      </c>
      <c r="F6970" t="str">
        <f t="shared" si="540"/>
        <v>Norwood</v>
      </c>
      <c r="G6970" t="str">
        <f t="shared" si="541"/>
        <v>Norwood929Fort Worth</v>
      </c>
      <c r="H6970" t="s">
        <v>37826</v>
      </c>
      <c r="I6970" t="s">
        <v>29242</v>
      </c>
      <c r="J6970" t="str">
        <f t="shared" si="542"/>
        <v>E:\PropInv\MF</v>
      </c>
      <c r="K6970" s="103" t="str">
        <f>HYPERLINK("E:\PropInv\MF\Fort Worth\Norwood St_929_The Lofts at West 7th_Fort Worth_18113","Norwood St_929_The Lofts at West 7th_Fort Worth_18113" )</f>
        <v>Norwood St_929_The Lofts at West 7th_Fort Worth_18113</v>
      </c>
      <c r="L6970" s="104" t="s">
        <v>22253</v>
      </c>
      <c r="M6970" s="103" t="str">
        <f t="shared" si="543"/>
        <v>http://oconnordata.com/mlink/modules/profile/index.cfm?action=profile&amp;prop_id=18113</v>
      </c>
      <c r="N6970" s="1">
        <f t="shared" si="544"/>
        <v>18113</v>
      </c>
    </row>
    <row r="6971" spans="1:14" x14ac:dyDescent="0.3">
      <c r="A6971" s="1">
        <v>18117</v>
      </c>
      <c r="B6971" s="19" t="s">
        <v>10453</v>
      </c>
      <c r="C6971" s="18" t="s">
        <v>2497</v>
      </c>
      <c r="D6971" s="19" t="s">
        <v>10454</v>
      </c>
      <c r="E6971" s="20" t="s">
        <v>7</v>
      </c>
      <c r="F6971" t="str">
        <f t="shared" si="540"/>
        <v>Amarra</v>
      </c>
      <c r="G6971" t="str">
        <f t="shared" si="541"/>
        <v>AmarraNFAustin</v>
      </c>
      <c r="H6971" t="s">
        <v>37827</v>
      </c>
      <c r="I6971" t="s">
        <v>29243</v>
      </c>
      <c r="J6971" t="str">
        <f t="shared" si="542"/>
        <v>E:\PropInv\MF</v>
      </c>
      <c r="K6971" s="103" t="str">
        <f>HYPERLINK("E:\PropInv\MF\Austin\Amarra Dr_NF_Stratus Amarra_Austin_18117","Amarra Dr_NF_Stratus Amarra_Austin_18117" )</f>
        <v>Amarra Dr_NF_Stratus Amarra_Austin_18117</v>
      </c>
      <c r="L6971" s="104" t="s">
        <v>22253</v>
      </c>
      <c r="M6971" s="103" t="str">
        <f t="shared" si="543"/>
        <v>http://oconnordata.com/mlink/modules/profile/index.cfm?action=profile&amp;prop_id=18117</v>
      </c>
      <c r="N6971" s="1">
        <f t="shared" si="544"/>
        <v>18117</v>
      </c>
    </row>
    <row r="6972" spans="1:14" x14ac:dyDescent="0.3">
      <c r="A6972" s="1">
        <v>18118</v>
      </c>
      <c r="B6972" s="10" t="s">
        <v>10455</v>
      </c>
      <c r="C6972" s="9">
        <v>810</v>
      </c>
      <c r="D6972" s="10" t="s">
        <v>10456</v>
      </c>
      <c r="E6972" s="11" t="s">
        <v>7</v>
      </c>
      <c r="F6972" t="str">
        <f t="shared" si="540"/>
        <v>Saint</v>
      </c>
      <c r="G6972" t="str">
        <f t="shared" si="541"/>
        <v>Saint810Austin</v>
      </c>
      <c r="H6972" t="s">
        <v>37828</v>
      </c>
      <c r="I6972" t="s">
        <v>29244</v>
      </c>
      <c r="J6972" t="str">
        <f t="shared" si="542"/>
        <v>E:\PropInv\MF</v>
      </c>
      <c r="K6972" s="103" t="str">
        <f>HYPERLINK("E:\PropInv\MF\Austin\Saint Johns W_810_Midtown Commons at Crestview Station_Austin_18118","Saint Johns W_810_Midtown Commons at Crestview Station_Austin_18118" )</f>
        <v>Saint Johns W_810_Midtown Commons at Crestview Station_Austin_18118</v>
      </c>
      <c r="L6972" s="104" t="s">
        <v>22253</v>
      </c>
      <c r="M6972" s="103" t="str">
        <f t="shared" si="543"/>
        <v>http://oconnordata.com/mlink/modules/profile/index.cfm?action=profile&amp;prop_id=18118</v>
      </c>
      <c r="N6972" s="1">
        <f t="shared" si="544"/>
        <v>18118</v>
      </c>
    </row>
    <row r="6973" spans="1:14" x14ac:dyDescent="0.3">
      <c r="A6973" s="1">
        <v>18119</v>
      </c>
      <c r="B6973" s="16" t="s">
        <v>10457</v>
      </c>
      <c r="C6973" s="15">
        <v>1200</v>
      </c>
      <c r="D6973" s="16" t="s">
        <v>10458</v>
      </c>
      <c r="E6973" s="17" t="s">
        <v>1763</v>
      </c>
      <c r="F6973" t="str">
        <f t="shared" si="540"/>
        <v>Hunters</v>
      </c>
      <c r="G6973" t="str">
        <f t="shared" si="541"/>
        <v>Hunters1200Humble</v>
      </c>
      <c r="H6973" t="s">
        <v>37829</v>
      </c>
      <c r="I6973" t="s">
        <v>29245</v>
      </c>
      <c r="J6973" t="str">
        <f t="shared" si="542"/>
        <v>E:\PropInv\MF</v>
      </c>
      <c r="K6973" s="103" t="str">
        <f>HYPERLINK("E:\PropInv\MF\Humble\Hunters Terrace_1200_Lakes of Tour 18 (on hold)_Humble_18119","Hunters Terrace_1200_Lakes of Tour 18 (on hold)_Humble_18119" )</f>
        <v>Hunters Terrace_1200_Lakes of Tour 18 (on hold)_Humble_18119</v>
      </c>
      <c r="L6973" s="104" t="s">
        <v>22253</v>
      </c>
      <c r="M6973" s="103" t="str">
        <f t="shared" si="543"/>
        <v>http://oconnordata.com/mlink/modules/profile/index.cfm?action=profile&amp;prop_id=18119</v>
      </c>
      <c r="N6973" s="1">
        <f t="shared" si="544"/>
        <v>18119</v>
      </c>
    </row>
    <row r="6974" spans="1:14" x14ac:dyDescent="0.3">
      <c r="A6974" s="1">
        <v>18120</v>
      </c>
      <c r="B6974" s="7" t="s">
        <v>4921</v>
      </c>
      <c r="C6974" s="12" t="s">
        <v>2497</v>
      </c>
      <c r="D6974" s="7" t="s">
        <v>10459</v>
      </c>
      <c r="E6974" s="25" t="s">
        <v>1657</v>
      </c>
      <c r="F6974" t="str">
        <f t="shared" si="540"/>
        <v>Post</v>
      </c>
      <c r="G6974" t="str">
        <f t="shared" si="541"/>
        <v>PostNFHouston</v>
      </c>
      <c r="H6974" t="s">
        <v>37830</v>
      </c>
      <c r="I6974" t="s">
        <v>29246</v>
      </c>
      <c r="J6974" t="str">
        <f t="shared" si="542"/>
        <v>E:\PropInv\MF</v>
      </c>
      <c r="K6974" s="103" t="str">
        <f>HYPERLINK("E:\PropInv\MF\Houston\Post Oak Blvd_NF_Hanover BLVD Place_Houston_18120","Post Oak Blvd_NF_Hanover BLVD Place_Houston_18120" )</f>
        <v>Post Oak Blvd_NF_Hanover BLVD Place_Houston_18120</v>
      </c>
      <c r="L6974" s="104" t="s">
        <v>22253</v>
      </c>
      <c r="M6974" s="103" t="str">
        <f t="shared" si="543"/>
        <v>http://oconnordata.com/mlink/modules/profile/index.cfm?action=profile&amp;prop_id=18120</v>
      </c>
      <c r="N6974" s="1">
        <f t="shared" si="544"/>
        <v>18120</v>
      </c>
    </row>
    <row r="6975" spans="1:14" x14ac:dyDescent="0.3">
      <c r="A6975" s="1">
        <v>18121</v>
      </c>
      <c r="B6975" s="19" t="s">
        <v>10460</v>
      </c>
      <c r="C6975" s="18" t="s">
        <v>2497</v>
      </c>
      <c r="D6975" s="19" t="s">
        <v>10461</v>
      </c>
      <c r="E6975" s="20" t="s">
        <v>705</v>
      </c>
      <c r="F6975" t="str">
        <f t="shared" si="540"/>
        <v>1431</v>
      </c>
      <c r="G6975" t="str">
        <f t="shared" si="541"/>
        <v>1431NFCedar Park</v>
      </c>
      <c r="H6975" t="s">
        <v>37831</v>
      </c>
      <c r="I6975" t="s">
        <v>29247</v>
      </c>
      <c r="J6975" t="str">
        <f t="shared" si="542"/>
        <v>E:\PropInv\MF</v>
      </c>
      <c r="K6975" s="103" t="str">
        <f>HYPERLINK("E:\PropInv\MF\Cedar Park\1431 FM_NF_Cedar Park Town Center Mixed-Use_Cedar Park_18121","1431 FM_NF_Cedar Park Town Center Mixed-Use_Cedar Park_18121" )</f>
        <v>1431 FM_NF_Cedar Park Town Center Mixed-Use_Cedar Park_18121</v>
      </c>
      <c r="L6975" s="104" t="s">
        <v>22253</v>
      </c>
      <c r="M6975" s="103" t="str">
        <f t="shared" si="543"/>
        <v>http://oconnordata.com/mlink/modules/profile/index.cfm?action=profile&amp;prop_id=18121</v>
      </c>
      <c r="N6975" s="1">
        <f t="shared" si="544"/>
        <v>18121</v>
      </c>
    </row>
    <row r="6976" spans="1:14" x14ac:dyDescent="0.3">
      <c r="A6976" s="1">
        <v>18128</v>
      </c>
      <c r="B6976" s="7" t="s">
        <v>10462</v>
      </c>
      <c r="C6976" s="12">
        <v>3223</v>
      </c>
      <c r="D6976" s="7" t="s">
        <v>10463</v>
      </c>
      <c r="E6976" s="13" t="s">
        <v>4996</v>
      </c>
      <c r="F6976" t="str">
        <f t="shared" si="540"/>
        <v>Lemmon</v>
      </c>
      <c r="G6976" t="str">
        <f t="shared" si="541"/>
        <v>Lemmon3223Dallas</v>
      </c>
      <c r="H6976" t="s">
        <v>37832</v>
      </c>
      <c r="I6976" t="s">
        <v>29248</v>
      </c>
      <c r="J6976" t="str">
        <f t="shared" si="542"/>
        <v>E:\PropInv\MF</v>
      </c>
      <c r="K6976" s="103" t="str">
        <f>HYPERLINK("E:\PropInv\MF\Dallas\Lemmon Ave_3223_Cityville Katy Trail_Dallas_18128","Lemmon Ave_3223_Cityville Katy Trail_Dallas_18128" )</f>
        <v>Lemmon Ave_3223_Cityville Katy Trail_Dallas_18128</v>
      </c>
      <c r="L6976" s="104" t="s">
        <v>22253</v>
      </c>
      <c r="M6976" s="103" t="str">
        <f t="shared" si="543"/>
        <v>http://oconnordata.com/mlink/modules/profile/index.cfm?action=profile&amp;prop_id=18128</v>
      </c>
      <c r="N6976" s="1">
        <f t="shared" si="544"/>
        <v>18128</v>
      </c>
    </row>
    <row r="6977" spans="1:14" x14ac:dyDescent="0.3">
      <c r="A6977" s="1">
        <v>18129</v>
      </c>
      <c r="B6977" s="7" t="s">
        <v>10464</v>
      </c>
      <c r="C6977" s="12">
        <v>3600</v>
      </c>
      <c r="D6977" s="7" t="s">
        <v>10465</v>
      </c>
      <c r="E6977" s="13" t="s">
        <v>4996</v>
      </c>
      <c r="F6977" t="str">
        <f t="shared" si="540"/>
        <v>Wheeler</v>
      </c>
      <c r="G6977" t="str">
        <f t="shared" si="541"/>
        <v>Wheeler3600Dallas</v>
      </c>
      <c r="H6977" t="s">
        <v>37833</v>
      </c>
      <c r="I6977" t="s">
        <v>29249</v>
      </c>
      <c r="J6977" t="str">
        <f t="shared" si="542"/>
        <v>E:\PropInv\MF</v>
      </c>
      <c r="K6977" s="103" t="str">
        <f>HYPERLINK("E:\PropInv\MF\Dallas\Wheeler St_3600_Cityville Oak Park I_Dallas_18129","Wheeler St_3600_Cityville Oak Park I_Dallas_18129" )</f>
        <v>Wheeler St_3600_Cityville Oak Park I_Dallas_18129</v>
      </c>
      <c r="L6977" s="104" t="s">
        <v>22253</v>
      </c>
      <c r="M6977" s="103" t="str">
        <f t="shared" si="543"/>
        <v>http://oconnordata.com/mlink/modules/profile/index.cfm?action=profile&amp;prop_id=18129</v>
      </c>
      <c r="N6977" s="1">
        <f t="shared" si="544"/>
        <v>18129</v>
      </c>
    </row>
    <row r="6978" spans="1:14" x14ac:dyDescent="0.3">
      <c r="A6978" s="1">
        <v>18130</v>
      </c>
      <c r="B6978" s="7" t="s">
        <v>10466</v>
      </c>
      <c r="C6978" s="12">
        <v>5960</v>
      </c>
      <c r="D6978" s="7" t="s">
        <v>10467</v>
      </c>
      <c r="E6978" s="13" t="s">
        <v>5014</v>
      </c>
      <c r="F6978" t="str">
        <f t="shared" ref="F6978:F7041" si="545">IFERROR(LEFT(B6978,FIND(" ",B6978)-1),B6978)</f>
        <v>Travertine</v>
      </c>
      <c r="G6978" t="str">
        <f t="shared" ref="G6978:G7041" si="546">F6978&amp;C6978&amp;E6978</f>
        <v>Travertine5960Fort Worth</v>
      </c>
      <c r="H6978" t="s">
        <v>37834</v>
      </c>
      <c r="I6978" t="s">
        <v>29250</v>
      </c>
      <c r="J6978" t="str">
        <f t="shared" ref="J6978:J7041" si="547">IF(L6978="TX",Folder_Path,Folder_Path&amp;"\State_"&amp;L6978)</f>
        <v>E:\PropInv\MF</v>
      </c>
      <c r="K6978" s="103" t="str">
        <f>HYPERLINK("E:\PropInv\MF\Fort Worth\Travertine Ln_5960_AMLI at Fossil Lake_Fort Worth_18130","Travertine Ln_5960_AMLI at Fossil Lake_Fort Worth_18130" )</f>
        <v>Travertine Ln_5960_AMLI at Fossil Lake_Fort Worth_18130</v>
      </c>
      <c r="L6978" s="104" t="s">
        <v>22253</v>
      </c>
      <c r="M6978" s="103" t="str">
        <f t="shared" ref="M6978:M7041" si="548">HYPERLINK("http://oconnordata.com/mlink/modules/profile/index.cfm?action=profile&amp;prop_id="&amp;A6978)</f>
        <v>http://oconnordata.com/mlink/modules/profile/index.cfm?action=profile&amp;prop_id=18130</v>
      </c>
      <c r="N6978" s="1">
        <f t="shared" ref="N6978:N7041" si="549">IF(LEN(A6978)=1,"0000"&amp;A6978,IF(LEN(A6978)=2,"000"&amp;A6978,IF(LEN(A6978)=3,"00"&amp;A6978,IF(LEN(A6978)=4,"0"&amp;A6978,IF(LEN(A6978)=5,IF(LEFT(A6978,1)="3",A6978+30000,A6978))))))</f>
        <v>18130</v>
      </c>
    </row>
    <row r="6979" spans="1:14" x14ac:dyDescent="0.3">
      <c r="A6979" s="1">
        <v>18131</v>
      </c>
      <c r="B6979" s="7" t="s">
        <v>10468</v>
      </c>
      <c r="C6979" s="12">
        <v>2706</v>
      </c>
      <c r="D6979" s="7" t="s">
        <v>10469</v>
      </c>
      <c r="E6979" s="13" t="s">
        <v>5198</v>
      </c>
      <c r="F6979" t="str">
        <f t="shared" si="545"/>
        <v>Cookscreek</v>
      </c>
      <c r="G6979" t="str">
        <f t="shared" si="546"/>
        <v>Cookscreek2706Farmers Branch</v>
      </c>
      <c r="H6979" t="s">
        <v>37835</v>
      </c>
      <c r="I6979" t="s">
        <v>29251</v>
      </c>
      <c r="J6979" t="str">
        <f t="shared" si="547"/>
        <v>E:\PropInv\MF</v>
      </c>
      <c r="K6979" s="103" t="str">
        <f>HYPERLINK("E:\PropInv\MF\Farmers Branch\Cookscreek Place_2706_Cooks Creek Place Apts_Farmers Branch_18131","Cookscreek Place_2706_Cooks Creek Place Apts_Farmers Branch_18131" )</f>
        <v>Cookscreek Place_2706_Cooks Creek Place Apts_Farmers Branch_18131</v>
      </c>
      <c r="L6979" s="104" t="s">
        <v>22253</v>
      </c>
      <c r="M6979" s="103" t="str">
        <f t="shared" si="548"/>
        <v>http://oconnordata.com/mlink/modules/profile/index.cfm?action=profile&amp;prop_id=18131</v>
      </c>
      <c r="N6979" s="1">
        <f t="shared" si="549"/>
        <v>18131</v>
      </c>
    </row>
    <row r="6980" spans="1:14" x14ac:dyDescent="0.3">
      <c r="A6980" s="1">
        <v>18132</v>
      </c>
      <c r="B6980" s="10" t="s">
        <v>8582</v>
      </c>
      <c r="C6980" s="9">
        <v>1220</v>
      </c>
      <c r="D6980" s="10" t="s">
        <v>10470</v>
      </c>
      <c r="E6980" s="11" t="s">
        <v>5060</v>
      </c>
      <c r="F6980" t="str">
        <f t="shared" si="545"/>
        <v>Indian</v>
      </c>
      <c r="G6980" t="str">
        <f t="shared" si="546"/>
        <v>Indian1220Carrollton</v>
      </c>
      <c r="H6980" t="s">
        <v>37836</v>
      </c>
      <c r="I6980" t="s">
        <v>29252</v>
      </c>
      <c r="J6980" t="str">
        <f t="shared" si="547"/>
        <v>E:\PropInv\MF</v>
      </c>
      <c r="K6980" s="103" t="str">
        <f>HYPERLINK("E:\PropInv\MF\Carrollton\Indian Run Dr_1220_Wind Dance Apts_Carrollton_18132","Indian Run Dr_1220_Wind Dance Apts_Carrollton_18132" )</f>
        <v>Indian Run Dr_1220_Wind Dance Apts_Carrollton_18132</v>
      </c>
      <c r="L6980" s="104" t="s">
        <v>22253</v>
      </c>
      <c r="M6980" s="103" t="str">
        <f t="shared" si="548"/>
        <v>http://oconnordata.com/mlink/modules/profile/index.cfm?action=profile&amp;prop_id=18132</v>
      </c>
      <c r="N6980" s="1">
        <f t="shared" si="549"/>
        <v>18132</v>
      </c>
    </row>
    <row r="6981" spans="1:14" x14ac:dyDescent="0.3">
      <c r="A6981" s="1">
        <v>18133</v>
      </c>
      <c r="B6981" s="7" t="s">
        <v>10471</v>
      </c>
      <c r="C6981" s="12">
        <v>1901</v>
      </c>
      <c r="D6981" s="7" t="s">
        <v>10472</v>
      </c>
      <c r="E6981" s="13" t="s">
        <v>4987</v>
      </c>
      <c r="F6981" t="str">
        <f t="shared" si="545"/>
        <v>Palm</v>
      </c>
      <c r="G6981" t="str">
        <f t="shared" si="546"/>
        <v>Palm1901Bay City</v>
      </c>
      <c r="H6981" t="s">
        <v>37837</v>
      </c>
      <c r="I6981" t="s">
        <v>29253</v>
      </c>
      <c r="J6981" t="str">
        <f t="shared" si="547"/>
        <v>E:\PropInv\MF</v>
      </c>
      <c r="K6981" s="103" t="str">
        <f>HYPERLINK("E:\PropInv\MF\Bay City\Palm Village Blvd_1901_Hunter's Cove (I, II &amp; II)_Bay City_18133","Palm Village Blvd_1901_Hunter's Cove (I, II &amp; II)_Bay City_18133" )</f>
        <v>Palm Village Blvd_1901_Hunter's Cove (I, II &amp; II)_Bay City_18133</v>
      </c>
      <c r="L6981" s="104" t="s">
        <v>22253</v>
      </c>
      <c r="M6981" s="103" t="str">
        <f t="shared" si="548"/>
        <v>http://oconnordata.com/mlink/modules/profile/index.cfm?action=profile&amp;prop_id=18133</v>
      </c>
      <c r="N6981" s="1">
        <f t="shared" si="549"/>
        <v>18133</v>
      </c>
    </row>
    <row r="6982" spans="1:14" x14ac:dyDescent="0.3">
      <c r="A6982" s="1">
        <v>18134</v>
      </c>
      <c r="B6982" s="7" t="s">
        <v>6899</v>
      </c>
      <c r="C6982" s="12">
        <v>2322</v>
      </c>
      <c r="D6982" s="7" t="s">
        <v>10473</v>
      </c>
      <c r="E6982" s="13" t="s">
        <v>1657</v>
      </c>
      <c r="F6982" t="str">
        <f t="shared" si="545"/>
        <v>Bernard</v>
      </c>
      <c r="G6982" t="str">
        <f t="shared" si="546"/>
        <v>Bernard2322Houston</v>
      </c>
      <c r="H6982" t="s">
        <v>37838</v>
      </c>
      <c r="I6982" t="s">
        <v>29254</v>
      </c>
      <c r="J6982" t="str">
        <f t="shared" si="547"/>
        <v>E:\PropInv\MF</v>
      </c>
      <c r="K6982" s="103" t="str">
        <f>HYPERLINK("E:\PropInv\MF\Houston\Bernard St_2322_Gables Upper Kirby II_Houston_18134","Bernard St_2322_Gables Upper Kirby II_Houston_18134" )</f>
        <v>Bernard St_2322_Gables Upper Kirby II_Houston_18134</v>
      </c>
      <c r="L6982" s="104" t="s">
        <v>22253</v>
      </c>
      <c r="M6982" s="103" t="str">
        <f t="shared" si="548"/>
        <v>http://oconnordata.com/mlink/modules/profile/index.cfm?action=profile&amp;prop_id=18134</v>
      </c>
      <c r="N6982" s="1">
        <f t="shared" si="549"/>
        <v>18134</v>
      </c>
    </row>
    <row r="6983" spans="1:14" x14ac:dyDescent="0.3">
      <c r="A6983" s="1">
        <v>18135</v>
      </c>
      <c r="B6983" s="7" t="s">
        <v>7591</v>
      </c>
      <c r="C6983" s="12">
        <v>201</v>
      </c>
      <c r="D6983" s="7" t="s">
        <v>10474</v>
      </c>
      <c r="E6983" s="13" t="s">
        <v>10475</v>
      </c>
      <c r="F6983" t="str">
        <f t="shared" si="545"/>
        <v>Highland</v>
      </c>
      <c r="G6983" t="str">
        <f t="shared" si="546"/>
        <v>Highland201Taylor</v>
      </c>
      <c r="H6983" t="s">
        <v>37839</v>
      </c>
      <c r="I6983" t="s">
        <v>29255</v>
      </c>
      <c r="J6983" t="str">
        <f t="shared" si="547"/>
        <v>E:\PropInv\MF</v>
      </c>
      <c r="K6983" s="103" t="str">
        <f>HYPERLINK("E:\PropInv\MF\Taylor\Highland Dr_201_Arbors of Taylor Apts_Taylor_18135","Highland Dr_201_Arbors of Taylor Apts_Taylor_18135" )</f>
        <v>Highland Dr_201_Arbors of Taylor Apts_Taylor_18135</v>
      </c>
      <c r="L6983" s="104" t="s">
        <v>22253</v>
      </c>
      <c r="M6983" s="103" t="str">
        <f t="shared" si="548"/>
        <v>http://oconnordata.com/mlink/modules/profile/index.cfm?action=profile&amp;prop_id=18135</v>
      </c>
      <c r="N6983" s="1">
        <f t="shared" si="549"/>
        <v>18135</v>
      </c>
    </row>
    <row r="6984" spans="1:14" x14ac:dyDescent="0.3">
      <c r="A6984" s="1">
        <v>18136</v>
      </c>
      <c r="B6984" s="7" t="s">
        <v>10476</v>
      </c>
      <c r="C6984" s="12">
        <v>405</v>
      </c>
      <c r="D6984" s="7" t="s">
        <v>10477</v>
      </c>
      <c r="E6984" s="13" t="s">
        <v>10475</v>
      </c>
      <c r="F6984" t="str">
        <f t="shared" si="545"/>
        <v>Sloan</v>
      </c>
      <c r="G6984" t="str">
        <f t="shared" si="546"/>
        <v>Sloan405Taylor</v>
      </c>
      <c r="H6984" t="s">
        <v>37840</v>
      </c>
      <c r="I6984" t="s">
        <v>29256</v>
      </c>
      <c r="J6984" t="str">
        <f t="shared" si="547"/>
        <v>E:\PropInv\MF</v>
      </c>
      <c r="K6984" s="103" t="str">
        <f>HYPERLINK("E:\PropInv\MF\Taylor\Sloan St_405_Burnett Place_Taylor_18136","Sloan St_405_Burnett Place_Taylor_18136" )</f>
        <v>Sloan St_405_Burnett Place_Taylor_18136</v>
      </c>
      <c r="L6984" s="104" t="s">
        <v>22253</v>
      </c>
      <c r="M6984" s="103" t="str">
        <f t="shared" si="548"/>
        <v>http://oconnordata.com/mlink/modules/profile/index.cfm?action=profile&amp;prop_id=18136</v>
      </c>
      <c r="N6984" s="1">
        <f t="shared" si="549"/>
        <v>18136</v>
      </c>
    </row>
    <row r="6985" spans="1:14" x14ac:dyDescent="0.3">
      <c r="A6985" s="1">
        <v>18137</v>
      </c>
      <c r="B6985" s="7" t="s">
        <v>416</v>
      </c>
      <c r="C6985" s="12">
        <v>609</v>
      </c>
      <c r="D6985" s="7" t="s">
        <v>10478</v>
      </c>
      <c r="E6985" s="13" t="s">
        <v>7</v>
      </c>
      <c r="F6985" t="str">
        <f t="shared" si="545"/>
        <v>45th</v>
      </c>
      <c r="G6985" t="str">
        <f t="shared" si="546"/>
        <v>45th609Austin</v>
      </c>
      <c r="H6985" t="s">
        <v>37841</v>
      </c>
      <c r="I6985" t="s">
        <v>29257</v>
      </c>
      <c r="J6985" t="str">
        <f t="shared" si="547"/>
        <v>E:\PropInv\MF</v>
      </c>
      <c r="K6985" s="103" t="str">
        <f>HYPERLINK("E:\PropInv\MF\Austin\45th St E_609_Siesta Place_Austin_18137","45th St E_609_Siesta Place_Austin_18137" )</f>
        <v>45th St E_609_Siesta Place_Austin_18137</v>
      </c>
      <c r="L6985" s="104" t="s">
        <v>22253</v>
      </c>
      <c r="M6985" s="103" t="str">
        <f t="shared" si="548"/>
        <v>http://oconnordata.com/mlink/modules/profile/index.cfm?action=profile&amp;prop_id=18137</v>
      </c>
      <c r="N6985" s="1">
        <f t="shared" si="549"/>
        <v>18137</v>
      </c>
    </row>
    <row r="6986" spans="1:14" x14ac:dyDescent="0.3">
      <c r="A6986" s="1">
        <v>18138</v>
      </c>
      <c r="B6986" s="7" t="s">
        <v>10479</v>
      </c>
      <c r="C6986" s="12">
        <v>6010</v>
      </c>
      <c r="D6986" s="7" t="s">
        <v>10480</v>
      </c>
      <c r="E6986" s="13" t="s">
        <v>7</v>
      </c>
      <c r="F6986" t="str">
        <f t="shared" si="545"/>
        <v>Lamar</v>
      </c>
      <c r="G6986" t="str">
        <f t="shared" si="546"/>
        <v>Lamar6010Austin</v>
      </c>
      <c r="H6986" t="s">
        <v>37842</v>
      </c>
      <c r="I6986" t="s">
        <v>29258</v>
      </c>
      <c r="J6986" t="str">
        <f t="shared" si="547"/>
        <v>E:\PropInv\MF</v>
      </c>
      <c r="K6986" s="103" t="str">
        <f>HYPERLINK("E:\PropInv\MF\Austin\Lamar Ave N_6010_Central Park II_Austin_18138","Lamar Ave N_6010_Central Park II_Austin_18138" )</f>
        <v>Lamar Ave N_6010_Central Park II_Austin_18138</v>
      </c>
      <c r="L6986" s="104" t="s">
        <v>22253</v>
      </c>
      <c r="M6986" s="103" t="str">
        <f t="shared" si="548"/>
        <v>http://oconnordata.com/mlink/modules/profile/index.cfm?action=profile&amp;prop_id=18138</v>
      </c>
      <c r="N6986" s="1">
        <f t="shared" si="549"/>
        <v>18138</v>
      </c>
    </row>
    <row r="6987" spans="1:14" x14ac:dyDescent="0.3">
      <c r="A6987" s="1">
        <v>18139</v>
      </c>
      <c r="B6987" s="7" t="s">
        <v>10481</v>
      </c>
      <c r="C6987" s="12">
        <v>5501</v>
      </c>
      <c r="D6987" s="7" t="s">
        <v>10482</v>
      </c>
      <c r="E6987" s="13" t="s">
        <v>1399</v>
      </c>
      <c r="F6987" t="str">
        <f t="shared" si="545"/>
        <v>Legacy</v>
      </c>
      <c r="G6987" t="str">
        <f t="shared" si="546"/>
        <v>Legacy5501Schertz</v>
      </c>
      <c r="H6987" t="s">
        <v>37843</v>
      </c>
      <c r="I6987" t="s">
        <v>29259</v>
      </c>
      <c r="J6987" t="str">
        <f t="shared" si="547"/>
        <v>E:\PropInv\MF</v>
      </c>
      <c r="K6987" s="103" t="str">
        <f>HYPERLINK("E:\PropInv\MF\Schertz\Legacy Oaks Pkwy_5501_Legacy Oaks_Schertz_18139","Legacy Oaks Pkwy_5501_Legacy Oaks_Schertz_18139" )</f>
        <v>Legacy Oaks Pkwy_5501_Legacy Oaks_Schertz_18139</v>
      </c>
      <c r="L6987" s="104" t="s">
        <v>22253</v>
      </c>
      <c r="M6987" s="103" t="str">
        <f t="shared" si="548"/>
        <v>http://oconnordata.com/mlink/modules/profile/index.cfm?action=profile&amp;prop_id=18139</v>
      </c>
      <c r="N6987" s="1">
        <f t="shared" si="549"/>
        <v>18139</v>
      </c>
    </row>
    <row r="6988" spans="1:14" x14ac:dyDescent="0.3">
      <c r="A6988" s="1">
        <v>18140</v>
      </c>
      <c r="B6988" s="7" t="s">
        <v>1075</v>
      </c>
      <c r="C6988" s="12">
        <v>3903</v>
      </c>
      <c r="D6988" s="7" t="s">
        <v>3602</v>
      </c>
      <c r="E6988" s="13" t="s">
        <v>842</v>
      </c>
      <c r="F6988" t="str">
        <f t="shared" si="545"/>
        <v>Military</v>
      </c>
      <c r="G6988" t="str">
        <f t="shared" si="546"/>
        <v>Military3903San Antonio</v>
      </c>
      <c r="H6988" t="s">
        <v>37844</v>
      </c>
      <c r="I6988" t="s">
        <v>29260</v>
      </c>
      <c r="J6988" t="str">
        <f t="shared" si="547"/>
        <v>E:\PropInv\MF</v>
      </c>
      <c r="K6988" s="103" t="str">
        <f>HYPERLINK("E:\PropInv\MF\San Antonio\Military Dr SE_3903_La Hacienda_San Antonio_18140","Military Dr SE_3903_La Hacienda_San Antonio_18140" )</f>
        <v>Military Dr SE_3903_La Hacienda_San Antonio_18140</v>
      </c>
      <c r="L6988" s="104" t="s">
        <v>22253</v>
      </c>
      <c r="M6988" s="103" t="str">
        <f t="shared" si="548"/>
        <v>http://oconnordata.com/mlink/modules/profile/index.cfm?action=profile&amp;prop_id=18140</v>
      </c>
      <c r="N6988" s="1">
        <f t="shared" si="549"/>
        <v>18140</v>
      </c>
    </row>
    <row r="6989" spans="1:14" x14ac:dyDescent="0.3">
      <c r="A6989" s="1">
        <v>18141</v>
      </c>
      <c r="B6989" s="7" t="s">
        <v>894</v>
      </c>
      <c r="C6989" s="12">
        <v>1111</v>
      </c>
      <c r="D6989" s="7" t="s">
        <v>10483</v>
      </c>
      <c r="E6989" s="13" t="s">
        <v>842</v>
      </c>
      <c r="F6989" t="str">
        <f t="shared" si="545"/>
        <v>Austin</v>
      </c>
      <c r="G6989" t="str">
        <f t="shared" si="546"/>
        <v>Austin1111San Antonio</v>
      </c>
      <c r="H6989" t="s">
        <v>37845</v>
      </c>
      <c r="I6989" t="s">
        <v>29261</v>
      </c>
      <c r="J6989" t="str">
        <f t="shared" si="547"/>
        <v>E:\PropInv\MF</v>
      </c>
      <c r="K6989" s="103" t="str">
        <f>HYPERLINK("E:\PropInv\MF\San Antonio\Austin Hwy_1111_The 1111_San Antonio_18141","Austin Hwy_1111_The 1111_San Antonio_18141" )</f>
        <v>Austin Hwy_1111_The 1111_San Antonio_18141</v>
      </c>
      <c r="L6989" s="104" t="s">
        <v>22253</v>
      </c>
      <c r="M6989" s="103" t="str">
        <f t="shared" si="548"/>
        <v>http://oconnordata.com/mlink/modules/profile/index.cfm?action=profile&amp;prop_id=18141</v>
      </c>
      <c r="N6989" s="1">
        <f t="shared" si="549"/>
        <v>18141</v>
      </c>
    </row>
    <row r="6990" spans="1:14" x14ac:dyDescent="0.3">
      <c r="A6990" s="1">
        <v>18142</v>
      </c>
      <c r="B6990" s="7" t="s">
        <v>1772</v>
      </c>
      <c r="C6990" s="12">
        <v>16350</v>
      </c>
      <c r="D6990" s="7" t="s">
        <v>10484</v>
      </c>
      <c r="E6990" s="13" t="s">
        <v>1657</v>
      </c>
      <c r="F6990" t="str">
        <f t="shared" si="545"/>
        <v>Ella</v>
      </c>
      <c r="G6990" t="str">
        <f t="shared" si="546"/>
        <v>Ella16350Houston</v>
      </c>
      <c r="H6990" t="s">
        <v>37846</v>
      </c>
      <c r="I6990" t="s">
        <v>29262</v>
      </c>
      <c r="J6990" t="str">
        <f t="shared" si="547"/>
        <v>E:\PropInv\MF</v>
      </c>
      <c r="K6990" s="103" t="str">
        <f>HYPERLINK("E:\PropInv\MF\Houston\Ella Blvd_16350_Stoneleigh Ella Crossing_Houston_18142","Ella Blvd_16350_Stoneleigh Ella Crossing_Houston_18142" )</f>
        <v>Ella Blvd_16350_Stoneleigh Ella Crossing_Houston_18142</v>
      </c>
      <c r="L6990" s="104" t="s">
        <v>22253</v>
      </c>
      <c r="M6990" s="103" t="str">
        <f t="shared" si="548"/>
        <v>http://oconnordata.com/mlink/modules/profile/index.cfm?action=profile&amp;prop_id=18142</v>
      </c>
      <c r="N6990" s="1">
        <f t="shared" si="549"/>
        <v>18142</v>
      </c>
    </row>
    <row r="6991" spans="1:14" x14ac:dyDescent="0.3">
      <c r="A6991" s="1">
        <v>18144</v>
      </c>
      <c r="B6991" s="7" t="s">
        <v>10485</v>
      </c>
      <c r="C6991" s="12">
        <v>19800</v>
      </c>
      <c r="D6991" s="7" t="s">
        <v>10486</v>
      </c>
      <c r="E6991" s="13" t="s">
        <v>1763</v>
      </c>
      <c r="F6991" t="str">
        <f t="shared" si="545"/>
        <v>Kenswick</v>
      </c>
      <c r="G6991" t="str">
        <f t="shared" si="546"/>
        <v>Kenswick19800Humble</v>
      </c>
      <c r="H6991" t="s">
        <v>37847</v>
      </c>
      <c r="I6991" t="s">
        <v>29263</v>
      </c>
      <c r="J6991" t="str">
        <f t="shared" si="547"/>
        <v>E:\PropInv\MF</v>
      </c>
      <c r="K6991" s="103" t="str">
        <f>HYPERLINK("E:\PropInv\MF\Humble\Kenswick Dr_19800_Stoneleigh on Kenswick_Humble_18144","Kenswick Dr_19800_Stoneleigh on Kenswick_Humble_18144" )</f>
        <v>Kenswick Dr_19800_Stoneleigh on Kenswick_Humble_18144</v>
      </c>
      <c r="L6991" s="104" t="s">
        <v>22253</v>
      </c>
      <c r="M6991" s="103" t="str">
        <f t="shared" si="548"/>
        <v>http://oconnordata.com/mlink/modules/profile/index.cfm?action=profile&amp;prop_id=18144</v>
      </c>
      <c r="N6991" s="1">
        <f t="shared" si="549"/>
        <v>18144</v>
      </c>
    </row>
    <row r="6992" spans="1:14" x14ac:dyDescent="0.3">
      <c r="A6992" s="1">
        <v>18145</v>
      </c>
      <c r="B6992" s="7" t="s">
        <v>865</v>
      </c>
      <c r="C6992" s="12">
        <v>15150</v>
      </c>
      <c r="D6992" s="7" t="s">
        <v>10487</v>
      </c>
      <c r="E6992" s="13" t="s">
        <v>842</v>
      </c>
      <c r="F6992" t="str">
        <f t="shared" si="545"/>
        <v>Blanco</v>
      </c>
      <c r="G6992" t="str">
        <f t="shared" si="546"/>
        <v>Blanco15150San Antonio</v>
      </c>
      <c r="H6992" t="s">
        <v>37848</v>
      </c>
      <c r="I6992" t="s">
        <v>29264</v>
      </c>
      <c r="J6992" t="str">
        <f t="shared" si="547"/>
        <v>E:\PropInv\MF</v>
      </c>
      <c r="K6992" s="103" t="str">
        <f>HYPERLINK("E:\PropInv\MF\San Antonio\Blanco Rd_15150_Haven at Blanco_San Antonio_18145","Blanco Rd_15150_Haven at Blanco_San Antonio_18145" )</f>
        <v>Blanco Rd_15150_Haven at Blanco_San Antonio_18145</v>
      </c>
      <c r="L6992" s="104" t="s">
        <v>22253</v>
      </c>
      <c r="M6992" s="103" t="str">
        <f t="shared" si="548"/>
        <v>http://oconnordata.com/mlink/modules/profile/index.cfm?action=profile&amp;prop_id=18145</v>
      </c>
      <c r="N6992" s="1">
        <f t="shared" si="549"/>
        <v>18145</v>
      </c>
    </row>
    <row r="6993" spans="1:14" x14ac:dyDescent="0.3">
      <c r="A6993" s="1">
        <v>18146</v>
      </c>
      <c r="B6993" s="7" t="s">
        <v>10488</v>
      </c>
      <c r="C6993" s="12">
        <v>14633</v>
      </c>
      <c r="D6993" s="7" t="s">
        <v>10489</v>
      </c>
      <c r="E6993" s="13" t="s">
        <v>1657</v>
      </c>
      <c r="F6993" t="str">
        <f t="shared" si="545"/>
        <v>Woodson</v>
      </c>
      <c r="G6993" t="str">
        <f t="shared" si="546"/>
        <v>Woodson14633Houston</v>
      </c>
      <c r="H6993" t="s">
        <v>37849</v>
      </c>
      <c r="I6993" t="s">
        <v>29265</v>
      </c>
      <c r="J6993" t="str">
        <f t="shared" si="547"/>
        <v>E:\PropInv\MF</v>
      </c>
      <c r="K6993" s="103" t="str">
        <f>HYPERLINK("E:\PropInv\MF\Houston\Woodson Park Dr_14633_Camden Woodson Park_Houston_18146","Woodson Park Dr_14633_Camden Woodson Park_Houston_18146" )</f>
        <v>Woodson Park Dr_14633_Camden Woodson Park_Houston_18146</v>
      </c>
      <c r="L6993" s="104" t="s">
        <v>22253</v>
      </c>
      <c r="M6993" s="103" t="str">
        <f t="shared" si="548"/>
        <v>http://oconnordata.com/mlink/modules/profile/index.cfm?action=profile&amp;prop_id=18146</v>
      </c>
      <c r="N6993" s="1">
        <f t="shared" si="549"/>
        <v>18146</v>
      </c>
    </row>
    <row r="6994" spans="1:14" x14ac:dyDescent="0.3">
      <c r="A6994" s="1">
        <v>18147</v>
      </c>
      <c r="B6994" s="19" t="s">
        <v>9450</v>
      </c>
      <c r="C6994" s="18">
        <v>2950</v>
      </c>
      <c r="D6994" s="19" t="s">
        <v>10490</v>
      </c>
      <c r="E6994" s="20" t="s">
        <v>1657</v>
      </c>
      <c r="F6994" t="str">
        <f t="shared" si="545"/>
        <v>Old</v>
      </c>
      <c r="G6994" t="str">
        <f t="shared" si="546"/>
        <v>Old2950Houston</v>
      </c>
      <c r="H6994" t="s">
        <v>37850</v>
      </c>
      <c r="I6994" t="s">
        <v>29266</v>
      </c>
      <c r="J6994" t="str">
        <f t="shared" si="547"/>
        <v>E:\PropInv\MF</v>
      </c>
      <c r="K6994" s="103" t="str">
        <f>HYPERLINK("E:\PropInv\MF\Houston\Old Spanish Trl_2950_Equinox II_Houston_18147","Old Spanish Trl_2950_Equinox II_Houston_18147" )</f>
        <v>Old Spanish Trl_2950_Equinox II_Houston_18147</v>
      </c>
      <c r="L6994" s="104" t="s">
        <v>22253</v>
      </c>
      <c r="M6994" s="103" t="str">
        <f t="shared" si="548"/>
        <v>http://oconnordata.com/mlink/modules/profile/index.cfm?action=profile&amp;prop_id=18147</v>
      </c>
      <c r="N6994" s="1">
        <f t="shared" si="549"/>
        <v>18147</v>
      </c>
    </row>
    <row r="6995" spans="1:14" x14ac:dyDescent="0.3">
      <c r="A6995" s="1">
        <v>18149</v>
      </c>
      <c r="B6995" s="19" t="s">
        <v>3770</v>
      </c>
      <c r="C6995" s="18" t="s">
        <v>2497</v>
      </c>
      <c r="D6995" s="19" t="s">
        <v>10491</v>
      </c>
      <c r="E6995" s="20" t="s">
        <v>1657</v>
      </c>
      <c r="F6995" t="str">
        <f t="shared" si="545"/>
        <v>Almeda</v>
      </c>
      <c r="G6995" t="str">
        <f t="shared" si="546"/>
        <v>AlmedaNFHouston</v>
      </c>
      <c r="H6995" t="s">
        <v>37851</v>
      </c>
      <c r="I6995" t="s">
        <v>29267</v>
      </c>
      <c r="J6995" t="str">
        <f t="shared" si="547"/>
        <v>E:\PropInv\MF</v>
      </c>
      <c r="K6995" s="103" t="str">
        <f>HYPERLINK("E:\PropInv\MF\Houston\Almeda Rd_NF_Chenevert (on hold)_Houston_18149","Almeda Rd_NF_Chenevert (on hold)_Houston_18149" )</f>
        <v>Almeda Rd_NF_Chenevert (on hold)_Houston_18149</v>
      </c>
      <c r="L6995" s="104" t="s">
        <v>22253</v>
      </c>
      <c r="M6995" s="103" t="str">
        <f t="shared" si="548"/>
        <v>http://oconnordata.com/mlink/modules/profile/index.cfm?action=profile&amp;prop_id=18149</v>
      </c>
      <c r="N6995" s="1">
        <f t="shared" si="549"/>
        <v>18149</v>
      </c>
    </row>
    <row r="6996" spans="1:14" x14ac:dyDescent="0.3">
      <c r="A6996" s="1">
        <v>18150</v>
      </c>
      <c r="B6996" s="19" t="s">
        <v>10492</v>
      </c>
      <c r="C6996" s="18" t="s">
        <v>2497</v>
      </c>
      <c r="D6996" s="19" t="s">
        <v>10493</v>
      </c>
      <c r="E6996" s="20" t="s">
        <v>1657</v>
      </c>
      <c r="F6996" t="str">
        <f t="shared" si="545"/>
        <v>Hunter</v>
      </c>
      <c r="G6996" t="str">
        <f t="shared" si="546"/>
        <v>HunterNFHouston</v>
      </c>
      <c r="H6996" t="s">
        <v>37852</v>
      </c>
      <c r="I6996" t="s">
        <v>29268</v>
      </c>
      <c r="J6996" t="str">
        <f t="shared" si="547"/>
        <v>E:\PropInv\MF</v>
      </c>
      <c r="K6996" s="103" t="str">
        <f>HYPERLINK("E:\PropInv\MF\Houston\Hunter Terrace_NF_Hunter Terrace Apts (delayed)_Houston_18150","Hunter Terrace_NF_Hunter Terrace Apts (delayed)_Houston_18150" )</f>
        <v>Hunter Terrace_NF_Hunter Terrace Apts (delayed)_Houston_18150</v>
      </c>
      <c r="L6996" s="104" t="s">
        <v>22253</v>
      </c>
      <c r="M6996" s="103" t="str">
        <f t="shared" si="548"/>
        <v>http://oconnordata.com/mlink/modules/profile/index.cfm?action=profile&amp;prop_id=18150</v>
      </c>
      <c r="N6996" s="1">
        <f t="shared" si="549"/>
        <v>18150</v>
      </c>
    </row>
    <row r="6997" spans="1:14" x14ac:dyDescent="0.3">
      <c r="A6997" s="1">
        <v>18151</v>
      </c>
      <c r="B6997" s="7" t="s">
        <v>2722</v>
      </c>
      <c r="C6997" s="18">
        <v>8018</v>
      </c>
      <c r="D6997" s="19" t="s">
        <v>10494</v>
      </c>
      <c r="E6997" s="20" t="s">
        <v>1657</v>
      </c>
      <c r="F6997" t="str">
        <f t="shared" si="545"/>
        <v>Sam</v>
      </c>
      <c r="G6997" t="str">
        <f t="shared" si="546"/>
        <v>Sam8018Houston</v>
      </c>
      <c r="H6997" t="s">
        <v>37853</v>
      </c>
      <c r="I6997" t="s">
        <v>29269</v>
      </c>
      <c r="J6997" t="str">
        <f t="shared" si="547"/>
        <v>E:\PropInv\MF</v>
      </c>
      <c r="K6997" s="103" t="str">
        <f>HYPERLINK("E:\PropInv\MF\Houston\Sam Houston Pkwy S W_8018_Park 8 Residential Tower I_Houston_18151","Sam Houston Pkwy S W_8018_Park 8 Residential Tower I_Houston_18151" )</f>
        <v>Sam Houston Pkwy S W_8018_Park 8 Residential Tower I_Houston_18151</v>
      </c>
      <c r="L6997" s="104" t="s">
        <v>22253</v>
      </c>
      <c r="M6997" s="103" t="str">
        <f t="shared" si="548"/>
        <v>http://oconnordata.com/mlink/modules/profile/index.cfm?action=profile&amp;prop_id=18151</v>
      </c>
      <c r="N6997" s="1">
        <f t="shared" si="549"/>
        <v>18151</v>
      </c>
    </row>
    <row r="6998" spans="1:14" x14ac:dyDescent="0.3">
      <c r="A6998" s="1">
        <v>18152</v>
      </c>
      <c r="B6998" s="7" t="s">
        <v>4760</v>
      </c>
      <c r="C6998" s="12">
        <v>3300</v>
      </c>
      <c r="D6998" s="7" t="s">
        <v>10495</v>
      </c>
      <c r="E6998" s="13" t="s">
        <v>4616</v>
      </c>
      <c r="F6998" t="str">
        <f t="shared" si="545"/>
        <v>336</v>
      </c>
      <c r="G6998" t="str">
        <f t="shared" si="546"/>
        <v>3363300Conroe</v>
      </c>
      <c r="H6998" t="s">
        <v>37854</v>
      </c>
      <c r="I6998" t="s">
        <v>29270</v>
      </c>
      <c r="J6998" t="str">
        <f t="shared" si="547"/>
        <v>E:\PropInv\MF</v>
      </c>
      <c r="K6998" s="103" t="str">
        <f>HYPERLINK("E:\PropInv\MF\Conroe\336 Loop W N_3300_Hawthorne Ridge_Conroe_18152","336 Loop W N_3300_Hawthorne Ridge_Conroe_18152" )</f>
        <v>336 Loop W N_3300_Hawthorne Ridge_Conroe_18152</v>
      </c>
      <c r="L6998" s="104" t="s">
        <v>22253</v>
      </c>
      <c r="M6998" s="103" t="str">
        <f t="shared" si="548"/>
        <v>http://oconnordata.com/mlink/modules/profile/index.cfm?action=profile&amp;prop_id=18152</v>
      </c>
      <c r="N6998" s="1">
        <f t="shared" si="549"/>
        <v>18152</v>
      </c>
    </row>
    <row r="6999" spans="1:14" x14ac:dyDescent="0.3">
      <c r="A6999" s="1">
        <v>18153</v>
      </c>
      <c r="B6999" s="7" t="s">
        <v>4760</v>
      </c>
      <c r="C6999" s="12">
        <v>2951</v>
      </c>
      <c r="D6999" s="7" t="s">
        <v>10496</v>
      </c>
      <c r="E6999" s="13" t="s">
        <v>4616</v>
      </c>
      <c r="F6999" t="str">
        <f t="shared" si="545"/>
        <v>336</v>
      </c>
      <c r="G6999" t="str">
        <f t="shared" si="546"/>
        <v>3362951Conroe</v>
      </c>
      <c r="H6999" t="s">
        <v>37855</v>
      </c>
      <c r="I6999" t="s">
        <v>29271</v>
      </c>
      <c r="J6999" t="str">
        <f t="shared" si="547"/>
        <v>E:\PropInv\MF</v>
      </c>
      <c r="K6999" s="103" t="str">
        <f>HYPERLINK("E:\PropInv\MF\Conroe\336 Loop W N_2951_The Retreat at Country Club_Conroe_18153","336 Loop W N_2951_The Retreat at Country Club_Conroe_18153" )</f>
        <v>336 Loop W N_2951_The Retreat at Country Club_Conroe_18153</v>
      </c>
      <c r="L6999" s="104" t="s">
        <v>22253</v>
      </c>
      <c r="M6999" s="103" t="str">
        <f t="shared" si="548"/>
        <v>http://oconnordata.com/mlink/modules/profile/index.cfm?action=profile&amp;prop_id=18153</v>
      </c>
      <c r="N6999" s="1">
        <f t="shared" si="549"/>
        <v>18153</v>
      </c>
    </row>
    <row r="7000" spans="1:14" x14ac:dyDescent="0.3">
      <c r="A7000" s="1">
        <v>18154</v>
      </c>
      <c r="B7000" s="7" t="s">
        <v>3425</v>
      </c>
      <c r="C7000" s="12">
        <v>14402</v>
      </c>
      <c r="D7000" s="7" t="s">
        <v>10497</v>
      </c>
      <c r="E7000" s="13" t="s">
        <v>4484</v>
      </c>
      <c r="F7000" t="str">
        <f t="shared" si="545"/>
        <v>Bellfort</v>
      </c>
      <c r="G7000" t="str">
        <f t="shared" si="546"/>
        <v>Bellfort14402Sugar Land</v>
      </c>
      <c r="H7000" t="s">
        <v>37856</v>
      </c>
      <c r="I7000" t="s">
        <v>29272</v>
      </c>
      <c r="J7000" t="str">
        <f t="shared" si="547"/>
        <v>E:\PropInv\MF</v>
      </c>
      <c r="K7000" s="103" t="str">
        <f>HYPERLINK("E:\PropInv\MF\Sugar Land\Bellfort W_14402_West End Ranch_Sugar Land_18154","Bellfort W_14402_West End Ranch_Sugar Land_18154" )</f>
        <v>Bellfort W_14402_West End Ranch_Sugar Land_18154</v>
      </c>
      <c r="L7000" s="104" t="s">
        <v>22253</v>
      </c>
      <c r="M7000" s="103" t="str">
        <f t="shared" si="548"/>
        <v>http://oconnordata.com/mlink/modules/profile/index.cfm?action=profile&amp;prop_id=18154</v>
      </c>
      <c r="N7000" s="1">
        <f t="shared" si="549"/>
        <v>18154</v>
      </c>
    </row>
    <row r="7001" spans="1:14" x14ac:dyDescent="0.3">
      <c r="A7001" s="1">
        <v>18155</v>
      </c>
      <c r="B7001" s="7" t="s">
        <v>10498</v>
      </c>
      <c r="C7001" s="12">
        <v>2211</v>
      </c>
      <c r="D7001" s="7" t="s">
        <v>10499</v>
      </c>
      <c r="E7001" s="13" t="s">
        <v>4569</v>
      </c>
      <c r="F7001" t="str">
        <f t="shared" si="545"/>
        <v>34th</v>
      </c>
      <c r="G7001" t="str">
        <f t="shared" si="546"/>
        <v>34th2211Texas City</v>
      </c>
      <c r="H7001" t="s">
        <v>37857</v>
      </c>
      <c r="I7001" t="s">
        <v>29273</v>
      </c>
      <c r="J7001" t="str">
        <f t="shared" si="547"/>
        <v>E:\PropInv\MF</v>
      </c>
      <c r="K7001" s="103" t="str">
        <f>HYPERLINK("E:\PropInv\MF\Texas City\34th St N_2211_Mansions at Moses Lake_Texas City_18155","34th St N_2211_Mansions at Moses Lake_Texas City_18155" )</f>
        <v>34th St N_2211_Mansions at Moses Lake_Texas City_18155</v>
      </c>
      <c r="L7001" s="104" t="s">
        <v>22253</v>
      </c>
      <c r="M7001" s="103" t="str">
        <f t="shared" si="548"/>
        <v>http://oconnordata.com/mlink/modules/profile/index.cfm?action=profile&amp;prop_id=18155</v>
      </c>
      <c r="N7001" s="1">
        <f t="shared" si="549"/>
        <v>18155</v>
      </c>
    </row>
    <row r="7002" spans="1:14" x14ac:dyDescent="0.3">
      <c r="A7002" s="1">
        <v>18156</v>
      </c>
      <c r="B7002" s="7" t="s">
        <v>10500</v>
      </c>
      <c r="C7002" s="12">
        <v>1650</v>
      </c>
      <c r="D7002" s="7" t="s">
        <v>10501</v>
      </c>
      <c r="E7002" s="13" t="s">
        <v>5236</v>
      </c>
      <c r="F7002" t="str">
        <f t="shared" si="545"/>
        <v>John</v>
      </c>
      <c r="G7002" t="str">
        <f t="shared" si="546"/>
        <v>John1650Rockwall</v>
      </c>
      <c r="H7002" t="s">
        <v>37858</v>
      </c>
      <c r="I7002" t="s">
        <v>29274</v>
      </c>
      <c r="J7002" t="str">
        <f t="shared" si="547"/>
        <v>E:\PropInv\MF</v>
      </c>
      <c r="K7002" s="103" t="str">
        <f>HYPERLINK("E:\PropInv\MF\Rockwall\John King Blvd S_1650_The Mansions of Rockwall_Rockwall_18156","John King Blvd S_1650_The Mansions of Rockwall_Rockwall_18156" )</f>
        <v>John King Blvd S_1650_The Mansions of Rockwall_Rockwall_18156</v>
      </c>
      <c r="L7002" s="104" t="s">
        <v>22253</v>
      </c>
      <c r="M7002" s="103" t="str">
        <f t="shared" si="548"/>
        <v>http://oconnordata.com/mlink/modules/profile/index.cfm?action=profile&amp;prop_id=18156</v>
      </c>
      <c r="N7002" s="1">
        <f t="shared" si="549"/>
        <v>18156</v>
      </c>
    </row>
    <row r="7003" spans="1:14" x14ac:dyDescent="0.3">
      <c r="A7003" s="1">
        <v>18158</v>
      </c>
      <c r="B7003" s="7" t="s">
        <v>5958</v>
      </c>
      <c r="C7003" s="12">
        <v>8910</v>
      </c>
      <c r="D7003" s="7" t="s">
        <v>10502</v>
      </c>
      <c r="E7003" s="13" t="s">
        <v>4996</v>
      </c>
      <c r="F7003" t="str">
        <f t="shared" si="545"/>
        <v>Southwestern</v>
      </c>
      <c r="G7003" t="str">
        <f t="shared" si="546"/>
        <v>Southwestern8910Dallas</v>
      </c>
      <c r="H7003" t="s">
        <v>37859</v>
      </c>
      <c r="I7003" t="s">
        <v>29275</v>
      </c>
      <c r="J7003" t="str">
        <f t="shared" si="547"/>
        <v>E:\PropInv\MF</v>
      </c>
      <c r="K7003" s="103" t="str">
        <f>HYPERLINK("E:\PropInv\MF\Dallas\Southwestern Blvd_8910_The Avery on Southwestern_Dallas_18158","Southwestern Blvd_8910_The Avery on Southwestern_Dallas_18158" )</f>
        <v>Southwestern Blvd_8910_The Avery on Southwestern_Dallas_18158</v>
      </c>
      <c r="L7003" s="104" t="s">
        <v>22253</v>
      </c>
      <c r="M7003" s="103" t="str">
        <f t="shared" si="548"/>
        <v>http://oconnordata.com/mlink/modules/profile/index.cfm?action=profile&amp;prop_id=18158</v>
      </c>
      <c r="N7003" s="1">
        <f t="shared" si="549"/>
        <v>18158</v>
      </c>
    </row>
    <row r="7004" spans="1:14" x14ac:dyDescent="0.3">
      <c r="A7004" s="1">
        <v>18159</v>
      </c>
      <c r="B7004" s="7" t="s">
        <v>10503</v>
      </c>
      <c r="C7004" s="12">
        <v>744</v>
      </c>
      <c r="D7004" s="7" t="s">
        <v>10504</v>
      </c>
      <c r="E7004" s="13" t="s">
        <v>3328</v>
      </c>
      <c r="F7004" t="str">
        <f t="shared" si="545"/>
        <v>Brick</v>
      </c>
      <c r="G7004" t="str">
        <f t="shared" si="546"/>
        <v>Brick744Richardson</v>
      </c>
      <c r="H7004" t="s">
        <v>37860</v>
      </c>
      <c r="I7004" t="s">
        <v>29276</v>
      </c>
      <c r="J7004" t="str">
        <f t="shared" si="547"/>
        <v>E:\PropInv\MF</v>
      </c>
      <c r="K7004" s="103" t="str">
        <f>HYPERLINK("E:\PropInv\MF\Richardson\Brick Row_744_Brick Row Urban Village_Richardson_18159","Brick Row_744_Brick Row Urban Village_Richardson_18159" )</f>
        <v>Brick Row_744_Brick Row Urban Village_Richardson_18159</v>
      </c>
      <c r="L7004" s="104" t="s">
        <v>22253</v>
      </c>
      <c r="M7004" s="103" t="str">
        <f t="shared" si="548"/>
        <v>http://oconnordata.com/mlink/modules/profile/index.cfm?action=profile&amp;prop_id=18159</v>
      </c>
      <c r="N7004" s="1">
        <f t="shared" si="549"/>
        <v>18159</v>
      </c>
    </row>
    <row r="7005" spans="1:14" x14ac:dyDescent="0.3">
      <c r="A7005" s="97">
        <v>18160</v>
      </c>
      <c r="B7005" s="19" t="s">
        <v>347</v>
      </c>
      <c r="C7005" s="18">
        <v>5908</v>
      </c>
      <c r="D7005" s="19" t="s">
        <v>10505</v>
      </c>
      <c r="E7005" s="20" t="s">
        <v>7</v>
      </c>
      <c r="F7005" t="str">
        <f t="shared" si="545"/>
        <v>Manor</v>
      </c>
      <c r="G7005" t="str">
        <f t="shared" si="546"/>
        <v>Manor5908Austin</v>
      </c>
      <c r="H7005" t="s">
        <v>37861</v>
      </c>
      <c r="I7005" t="s">
        <v>29277</v>
      </c>
      <c r="J7005" t="str">
        <f t="shared" si="547"/>
        <v>E:\PropInv\MF</v>
      </c>
      <c r="K7005" s="103" t="str">
        <f>HYPERLINK("E:\PropInv\MF\Austin\Manor Rd_5908_Windsor Park Low-Income Housing_Austin_18160","Manor Rd_5908_Windsor Park Low-Income Housing_Austin_18160" )</f>
        <v>Manor Rd_5908_Windsor Park Low-Income Housing_Austin_18160</v>
      </c>
      <c r="L7005" s="104" t="s">
        <v>22253</v>
      </c>
      <c r="M7005" s="103" t="str">
        <f t="shared" si="548"/>
        <v>http://oconnordata.com/mlink/modules/profile/index.cfm?action=profile&amp;prop_id=18160</v>
      </c>
      <c r="N7005" s="1">
        <f t="shared" si="549"/>
        <v>18160</v>
      </c>
    </row>
    <row r="7006" spans="1:14" x14ac:dyDescent="0.3">
      <c r="A7006" s="1">
        <v>18162</v>
      </c>
      <c r="B7006" s="7" t="s">
        <v>5655</v>
      </c>
      <c r="C7006" s="12">
        <v>1611</v>
      </c>
      <c r="D7006" s="7" t="s">
        <v>10506</v>
      </c>
      <c r="E7006" s="13" t="s">
        <v>7</v>
      </c>
      <c r="F7006" t="str">
        <f t="shared" si="545"/>
        <v>5th</v>
      </c>
      <c r="G7006" t="str">
        <f t="shared" si="546"/>
        <v>5th1611Austin</v>
      </c>
      <c r="H7006" t="s">
        <v>37862</v>
      </c>
      <c r="I7006" t="s">
        <v>29278</v>
      </c>
      <c r="J7006" t="str">
        <f t="shared" si="547"/>
        <v>E:\PropInv\MF</v>
      </c>
      <c r="K7006" s="103" t="str">
        <f>HYPERLINK("E:\PropInv\MF\Austin\5th St W_1611_Gables 5th Street Commons_Austin_18162","5th St W_1611_Gables 5th Street Commons_Austin_18162" )</f>
        <v>5th St W_1611_Gables 5th Street Commons_Austin_18162</v>
      </c>
      <c r="L7006" s="104" t="s">
        <v>22253</v>
      </c>
      <c r="M7006" s="103" t="str">
        <f t="shared" si="548"/>
        <v>http://oconnordata.com/mlink/modules/profile/index.cfm?action=profile&amp;prop_id=18162</v>
      </c>
      <c r="N7006" s="1">
        <f t="shared" si="549"/>
        <v>18162</v>
      </c>
    </row>
    <row r="7007" spans="1:14" x14ac:dyDescent="0.3">
      <c r="A7007" s="1">
        <v>18163</v>
      </c>
      <c r="B7007" s="7" t="s">
        <v>10180</v>
      </c>
      <c r="C7007" s="12">
        <v>8901</v>
      </c>
      <c r="D7007" s="7" t="s">
        <v>10507</v>
      </c>
      <c r="E7007" s="13" t="s">
        <v>7</v>
      </c>
      <c r="F7007" t="str">
        <f t="shared" si="545"/>
        <v>Amberglen</v>
      </c>
      <c r="G7007" t="str">
        <f t="shared" si="546"/>
        <v>Amberglen8901Austin</v>
      </c>
      <c r="H7007" t="s">
        <v>37863</v>
      </c>
      <c r="I7007" t="s">
        <v>29279</v>
      </c>
      <c r="J7007" t="str">
        <f t="shared" si="547"/>
        <v>E:\PropInv\MF</v>
      </c>
      <c r="K7007" s="103" t="str">
        <f>HYPERLINK("E:\PropInv\MF\Austin\Amberglen Blvd_8901_Camden Amber Oaks II_Austin_18163","Amberglen Blvd_8901_Camden Amber Oaks II_Austin_18163" )</f>
        <v>Amberglen Blvd_8901_Camden Amber Oaks II_Austin_18163</v>
      </c>
      <c r="L7007" s="104" t="s">
        <v>22253</v>
      </c>
      <c r="M7007" s="103" t="str">
        <f t="shared" si="548"/>
        <v>http://oconnordata.com/mlink/modules/profile/index.cfm?action=profile&amp;prop_id=18163</v>
      </c>
      <c r="N7007" s="1">
        <f t="shared" si="549"/>
        <v>18163</v>
      </c>
    </row>
    <row r="7008" spans="1:14" x14ac:dyDescent="0.3">
      <c r="A7008" s="1">
        <v>18167</v>
      </c>
      <c r="B7008" s="19" t="s">
        <v>10508</v>
      </c>
      <c r="C7008" s="18">
        <v>6215</v>
      </c>
      <c r="D7008" s="19" t="s">
        <v>10509</v>
      </c>
      <c r="E7008" s="20" t="s">
        <v>842</v>
      </c>
      <c r="F7008" t="str">
        <f t="shared" si="545"/>
        <v>Via</v>
      </c>
      <c r="G7008" t="str">
        <f t="shared" si="546"/>
        <v>Via6215San Antonio</v>
      </c>
      <c r="H7008" t="s">
        <v>37864</v>
      </c>
      <c r="I7008" t="s">
        <v>29280</v>
      </c>
      <c r="J7008" t="str">
        <f t="shared" si="547"/>
        <v>E:\PropInv\MF</v>
      </c>
      <c r="K7008" s="103" t="str">
        <f>HYPERLINK("E:\PropInv\MF\San Antonio\Via La Cantera_6215_The Residences at La Cantera_San Antonio_18167","Via La Cantera_6215_The Residences at La Cantera_San Antonio_18167" )</f>
        <v>Via La Cantera_6215_The Residences at La Cantera_San Antonio_18167</v>
      </c>
      <c r="L7008" s="104" t="s">
        <v>22253</v>
      </c>
      <c r="M7008" s="103" t="str">
        <f t="shared" si="548"/>
        <v>http://oconnordata.com/mlink/modules/profile/index.cfm?action=profile&amp;prop_id=18167</v>
      </c>
      <c r="N7008" s="1">
        <f t="shared" si="549"/>
        <v>18167</v>
      </c>
    </row>
    <row r="7009" spans="1:14" x14ac:dyDescent="0.3">
      <c r="A7009" s="1">
        <v>18168</v>
      </c>
      <c r="B7009" s="7" t="s">
        <v>954</v>
      </c>
      <c r="C7009" s="12">
        <v>15949</v>
      </c>
      <c r="D7009" s="7" t="s">
        <v>10510</v>
      </c>
      <c r="E7009" s="13" t="s">
        <v>842</v>
      </c>
      <c r="F7009" t="str">
        <f t="shared" si="545"/>
        <v>Chase</v>
      </c>
      <c r="G7009" t="str">
        <f t="shared" si="546"/>
        <v>Chase15949San Antonio</v>
      </c>
      <c r="H7009" t="s">
        <v>37865</v>
      </c>
      <c r="I7009" t="s">
        <v>29281</v>
      </c>
      <c r="J7009" t="str">
        <f t="shared" si="547"/>
        <v>E:\PropInv\MF</v>
      </c>
      <c r="K7009" s="103" t="str">
        <f>HYPERLINK("E:\PropInv\MF\San Antonio\Chase Hill Blvd_15949_High View Place_San Antonio_18168","Chase Hill Blvd_15949_High View Place_San Antonio_18168" )</f>
        <v>Chase Hill Blvd_15949_High View Place_San Antonio_18168</v>
      </c>
      <c r="L7009" s="104" t="s">
        <v>22253</v>
      </c>
      <c r="M7009" s="103" t="str">
        <f t="shared" si="548"/>
        <v>http://oconnordata.com/mlink/modules/profile/index.cfm?action=profile&amp;prop_id=18168</v>
      </c>
      <c r="N7009" s="1">
        <f t="shared" si="549"/>
        <v>18168</v>
      </c>
    </row>
    <row r="7010" spans="1:14" x14ac:dyDescent="0.3">
      <c r="A7010" s="1">
        <v>18169</v>
      </c>
      <c r="B7010" s="7" t="s">
        <v>9794</v>
      </c>
      <c r="C7010" s="12">
        <v>2525</v>
      </c>
      <c r="D7010" s="7" t="s">
        <v>10511</v>
      </c>
      <c r="E7010" s="13" t="s">
        <v>1657</v>
      </c>
      <c r="F7010" t="str">
        <f t="shared" si="545"/>
        <v>Voss</v>
      </c>
      <c r="G7010" t="str">
        <f t="shared" si="546"/>
        <v>Voss2525Houston</v>
      </c>
      <c r="H7010" t="s">
        <v>37866</v>
      </c>
      <c r="I7010" t="s">
        <v>29282</v>
      </c>
      <c r="J7010" t="str">
        <f t="shared" si="547"/>
        <v>E:\PropInv\MF</v>
      </c>
      <c r="K7010" s="103" t="str">
        <f>HYPERLINK("E:\PropInv\MF\Houston\Voss Rd S_2525_Broadstone 2525_Houston_18169","Voss Rd S_2525_Broadstone 2525_Houston_18169" )</f>
        <v>Voss Rd S_2525_Broadstone 2525_Houston_18169</v>
      </c>
      <c r="L7010" s="104" t="s">
        <v>22253</v>
      </c>
      <c r="M7010" s="103" t="str">
        <f t="shared" si="548"/>
        <v>http://oconnordata.com/mlink/modules/profile/index.cfm?action=profile&amp;prop_id=18169</v>
      </c>
      <c r="N7010" s="1">
        <f t="shared" si="549"/>
        <v>18169</v>
      </c>
    </row>
    <row r="7011" spans="1:14" x14ac:dyDescent="0.3">
      <c r="A7011" s="1">
        <v>18170</v>
      </c>
      <c r="B7011" s="7" t="s">
        <v>10512</v>
      </c>
      <c r="C7011" s="12">
        <v>1875</v>
      </c>
      <c r="D7011" s="7" t="s">
        <v>10513</v>
      </c>
      <c r="E7011" s="13" t="s">
        <v>1657</v>
      </c>
      <c r="F7011" t="str">
        <f t="shared" si="545"/>
        <v>Post</v>
      </c>
      <c r="G7011" t="str">
        <f t="shared" si="546"/>
        <v>Post1875Houston</v>
      </c>
      <c r="H7011" t="s">
        <v>37867</v>
      </c>
      <c r="I7011" t="s">
        <v>29283</v>
      </c>
      <c r="J7011" t="str">
        <f t="shared" si="547"/>
        <v>E:\PropInv\MF</v>
      </c>
      <c r="K7011" s="103" t="str">
        <f>HYPERLINK("E:\PropInv\MF\Houston\Post Oak Park Dr_1875_Gables Post Oak_Houston_18170","Post Oak Park Dr_1875_Gables Post Oak_Houston_18170" )</f>
        <v>Post Oak Park Dr_1875_Gables Post Oak_Houston_18170</v>
      </c>
      <c r="L7011" s="104" t="s">
        <v>22253</v>
      </c>
      <c r="M7011" s="103" t="str">
        <f t="shared" si="548"/>
        <v>http://oconnordata.com/mlink/modules/profile/index.cfm?action=profile&amp;prop_id=18170</v>
      </c>
      <c r="N7011" s="1">
        <f t="shared" si="549"/>
        <v>18170</v>
      </c>
    </row>
    <row r="7012" spans="1:14" x14ac:dyDescent="0.3">
      <c r="A7012" s="1">
        <v>18171</v>
      </c>
      <c r="B7012" s="19" t="s">
        <v>10514</v>
      </c>
      <c r="C7012" s="18">
        <v>15911</v>
      </c>
      <c r="D7012" s="19" t="s">
        <v>10515</v>
      </c>
      <c r="E7012" s="20" t="s">
        <v>1657</v>
      </c>
      <c r="F7012" t="str">
        <f t="shared" si="545"/>
        <v>Kings</v>
      </c>
      <c r="G7012" t="str">
        <f t="shared" si="546"/>
        <v>Kings15911Houston</v>
      </c>
      <c r="H7012" t="s">
        <v>37868</v>
      </c>
      <c r="I7012" t="s">
        <v>29284</v>
      </c>
      <c r="J7012" t="str">
        <f t="shared" si="547"/>
        <v>E:\PropInv\MF</v>
      </c>
      <c r="K7012" s="103" t="str">
        <f>HYPERLINK("E:\PropInv\MF\Houston\Kings Park_15911_Regatta III_Houston_18171","Kings Park_15911_Regatta III_Houston_18171" )</f>
        <v>Kings Park_15911_Regatta III_Houston_18171</v>
      </c>
      <c r="L7012" s="104" t="s">
        <v>22253</v>
      </c>
      <c r="M7012" s="103" t="str">
        <f t="shared" si="548"/>
        <v>http://oconnordata.com/mlink/modules/profile/index.cfm?action=profile&amp;prop_id=18171</v>
      </c>
      <c r="N7012" s="1">
        <f t="shared" si="549"/>
        <v>18171</v>
      </c>
    </row>
    <row r="7013" spans="1:14" x14ac:dyDescent="0.3">
      <c r="A7013" s="1">
        <v>18173</v>
      </c>
      <c r="B7013" s="7" t="s">
        <v>1433</v>
      </c>
      <c r="C7013" s="12">
        <v>1538</v>
      </c>
      <c r="D7013" s="7" t="s">
        <v>10516</v>
      </c>
      <c r="E7013" s="13" t="s">
        <v>842</v>
      </c>
      <c r="F7013" t="str">
        <f t="shared" si="545"/>
        <v>Cable</v>
      </c>
      <c r="G7013" t="str">
        <f t="shared" si="546"/>
        <v>Cable1538San Antonio</v>
      </c>
      <c r="H7013" t="s">
        <v>37869</v>
      </c>
      <c r="I7013" t="s">
        <v>29285</v>
      </c>
      <c r="J7013" t="str">
        <f t="shared" si="547"/>
        <v>E:\PropInv\MF</v>
      </c>
      <c r="K7013" s="103" t="str">
        <f>HYPERLINK("E:\PropInv\MF\San Antonio\Cable Ranch Rd_1538_Sequoia Cable Ranch_San Antonio_18173","Cable Ranch Rd_1538_Sequoia Cable Ranch_San Antonio_18173" )</f>
        <v>Cable Ranch Rd_1538_Sequoia Cable Ranch_San Antonio_18173</v>
      </c>
      <c r="L7013" s="104" t="s">
        <v>22253</v>
      </c>
      <c r="M7013" s="103" t="str">
        <f t="shared" si="548"/>
        <v>http://oconnordata.com/mlink/modules/profile/index.cfm?action=profile&amp;prop_id=18173</v>
      </c>
      <c r="N7013" s="1">
        <f t="shared" si="549"/>
        <v>18173</v>
      </c>
    </row>
    <row r="7014" spans="1:14" x14ac:dyDescent="0.3">
      <c r="A7014" s="1">
        <v>18175</v>
      </c>
      <c r="B7014" s="7" t="s">
        <v>10517</v>
      </c>
      <c r="C7014" s="12">
        <v>8401</v>
      </c>
      <c r="D7014" s="7" t="s">
        <v>10518</v>
      </c>
      <c r="E7014" s="13" t="s">
        <v>5009</v>
      </c>
      <c r="F7014" t="str">
        <f t="shared" si="545"/>
        <v>Memorial</v>
      </c>
      <c r="G7014" t="str">
        <f t="shared" si="546"/>
        <v>Memorial8401Plano</v>
      </c>
      <c r="H7014" t="s">
        <v>37870</v>
      </c>
      <c r="I7014" t="s">
        <v>29286</v>
      </c>
      <c r="J7014" t="str">
        <f t="shared" si="547"/>
        <v>E:\PropInv\MF</v>
      </c>
      <c r="K7014" s="103" t="str">
        <f>HYPERLINK("E:\PropInv\MF\Plano\Memorial Ln_8401_Tribeca_Plano_18175","Memorial Ln_8401_Tribeca_Plano_18175" )</f>
        <v>Memorial Ln_8401_Tribeca_Plano_18175</v>
      </c>
      <c r="L7014" s="104" t="s">
        <v>22253</v>
      </c>
      <c r="M7014" s="103" t="str">
        <f t="shared" si="548"/>
        <v>http://oconnordata.com/mlink/modules/profile/index.cfm?action=profile&amp;prop_id=18175</v>
      </c>
      <c r="N7014" s="1">
        <f t="shared" si="549"/>
        <v>18175</v>
      </c>
    </row>
    <row r="7015" spans="1:14" x14ac:dyDescent="0.3">
      <c r="A7015" s="1">
        <v>18177</v>
      </c>
      <c r="B7015" s="7" t="s">
        <v>8705</v>
      </c>
      <c r="C7015" s="12">
        <v>201</v>
      </c>
      <c r="D7015" s="7" t="s">
        <v>10519</v>
      </c>
      <c r="E7015" s="13" t="s">
        <v>1671</v>
      </c>
      <c r="F7015" t="str">
        <f t="shared" si="545"/>
        <v>Pruitt</v>
      </c>
      <c r="G7015" t="str">
        <f t="shared" si="546"/>
        <v>Pruitt201Spring</v>
      </c>
      <c r="H7015" t="s">
        <v>37871</v>
      </c>
      <c r="I7015" t="s">
        <v>29287</v>
      </c>
      <c r="J7015" t="str">
        <f t="shared" si="547"/>
        <v>E:\PropInv\MF</v>
      </c>
      <c r="K7015" s="103" t="str">
        <f>HYPERLINK("E:\PropInv\MF\Spring\Pruitt Rd_201_Alexan Woods_Spring_18177","Pruitt Rd_201_Alexan Woods_Spring_18177" )</f>
        <v>Pruitt Rd_201_Alexan Woods_Spring_18177</v>
      </c>
      <c r="L7015" s="104" t="s">
        <v>22253</v>
      </c>
      <c r="M7015" s="103" t="str">
        <f t="shared" si="548"/>
        <v>http://oconnordata.com/mlink/modules/profile/index.cfm?action=profile&amp;prop_id=18177</v>
      </c>
      <c r="N7015" s="1">
        <f t="shared" si="549"/>
        <v>18177</v>
      </c>
    </row>
    <row r="7016" spans="1:14" x14ac:dyDescent="0.3">
      <c r="A7016" s="1">
        <v>18178</v>
      </c>
      <c r="B7016" s="10" t="s">
        <v>10520</v>
      </c>
      <c r="C7016" s="9">
        <v>12511</v>
      </c>
      <c r="D7016" s="10" t="s">
        <v>10521</v>
      </c>
      <c r="E7016" s="11" t="s">
        <v>842</v>
      </c>
      <c r="F7016" t="str">
        <f t="shared" si="545"/>
        <v>Jones</v>
      </c>
      <c r="G7016" t="str">
        <f t="shared" si="546"/>
        <v>Jones12511San Antonio</v>
      </c>
      <c r="H7016" t="s">
        <v>37872</v>
      </c>
      <c r="I7016" t="s">
        <v>29288</v>
      </c>
      <c r="J7016" t="str">
        <f t="shared" si="547"/>
        <v>E:\PropInv\MF</v>
      </c>
      <c r="K7016" s="103" t="str">
        <f>HYPERLINK("E:\PropInv\MF\San Antonio\Jones Maltsberger Rd_12511_Remington Ranch_San Antonio_18178","Jones Maltsberger Rd_12511_Remington Ranch_San Antonio_18178" )</f>
        <v>Jones Maltsberger Rd_12511_Remington Ranch_San Antonio_18178</v>
      </c>
      <c r="L7016" s="104" t="s">
        <v>22253</v>
      </c>
      <c r="M7016" s="103" t="str">
        <f t="shared" si="548"/>
        <v>http://oconnordata.com/mlink/modules/profile/index.cfm?action=profile&amp;prop_id=18178</v>
      </c>
      <c r="N7016" s="1">
        <f t="shared" si="549"/>
        <v>18178</v>
      </c>
    </row>
    <row r="7017" spans="1:14" x14ac:dyDescent="0.3">
      <c r="A7017" s="1">
        <v>18179</v>
      </c>
      <c r="B7017" s="7" t="s">
        <v>9348</v>
      </c>
      <c r="C7017" s="12">
        <v>20400</v>
      </c>
      <c r="D7017" s="7" t="s">
        <v>8947</v>
      </c>
      <c r="E7017" s="13" t="s">
        <v>2198</v>
      </c>
      <c r="F7017" t="str">
        <f t="shared" si="545"/>
        <v>Saums</v>
      </c>
      <c r="G7017" t="str">
        <f t="shared" si="546"/>
        <v>Saums20400Katy</v>
      </c>
      <c r="H7017" t="s">
        <v>37873</v>
      </c>
      <c r="I7017" t="s">
        <v>29289</v>
      </c>
      <c r="J7017" t="str">
        <f t="shared" si="547"/>
        <v>E:\PropInv\MF</v>
      </c>
      <c r="K7017" s="103" t="str">
        <f>HYPERLINK("E:\PropInv\MF\Katy\Saums Rd_20400_Providence Place II_Katy_18179","Saums Rd_20400_Providence Place II_Katy_18179" )</f>
        <v>Saums Rd_20400_Providence Place II_Katy_18179</v>
      </c>
      <c r="L7017" s="104" t="s">
        <v>22253</v>
      </c>
      <c r="M7017" s="103" t="str">
        <f t="shared" si="548"/>
        <v>http://oconnordata.com/mlink/modules/profile/index.cfm?action=profile&amp;prop_id=18179</v>
      </c>
      <c r="N7017" s="1">
        <f t="shared" si="549"/>
        <v>18179</v>
      </c>
    </row>
    <row r="7018" spans="1:14" x14ac:dyDescent="0.3">
      <c r="A7018" s="1">
        <v>18180</v>
      </c>
      <c r="B7018" s="7" t="s">
        <v>10522</v>
      </c>
      <c r="C7018" s="12">
        <v>1930</v>
      </c>
      <c r="D7018" s="7" t="s">
        <v>10523</v>
      </c>
      <c r="E7018" s="13" t="s">
        <v>2675</v>
      </c>
      <c r="F7018" t="str">
        <f t="shared" si="545"/>
        <v>Rocky</v>
      </c>
      <c r="G7018" t="str">
        <f t="shared" si="546"/>
        <v>Rocky1930Richmond</v>
      </c>
      <c r="H7018" t="s">
        <v>37874</v>
      </c>
      <c r="I7018" t="s">
        <v>29290</v>
      </c>
      <c r="J7018" t="str">
        <f t="shared" si="547"/>
        <v>E:\PropInv\MF</v>
      </c>
      <c r="K7018" s="103" t="str">
        <f>HYPERLINK("E:\PropInv\MF\Richmond\Rocky Falls Rd_1930_Rocky Falls Apts_Richmond_18180","Rocky Falls Rd_1930_Rocky Falls Apts_Richmond_18180" )</f>
        <v>Rocky Falls Rd_1930_Rocky Falls Apts_Richmond_18180</v>
      </c>
      <c r="L7018" s="104" t="s">
        <v>22253</v>
      </c>
      <c r="M7018" s="103" t="str">
        <f t="shared" si="548"/>
        <v>http://oconnordata.com/mlink/modules/profile/index.cfm?action=profile&amp;prop_id=18180</v>
      </c>
      <c r="N7018" s="1">
        <f t="shared" si="549"/>
        <v>18180</v>
      </c>
    </row>
    <row r="7019" spans="1:14" x14ac:dyDescent="0.3">
      <c r="A7019" s="1">
        <v>18181</v>
      </c>
      <c r="B7019" s="7" t="s">
        <v>10524</v>
      </c>
      <c r="C7019" s="12">
        <v>9417</v>
      </c>
      <c r="D7019" s="7" t="s">
        <v>10525</v>
      </c>
      <c r="E7019" s="13" t="s">
        <v>5014</v>
      </c>
      <c r="F7019" t="str">
        <f t="shared" si="545"/>
        <v>Michael</v>
      </c>
      <c r="G7019" t="str">
        <f t="shared" si="546"/>
        <v>Michael9417Fort Worth</v>
      </c>
      <c r="H7019" t="s">
        <v>37875</v>
      </c>
      <c r="I7019" t="s">
        <v>29291</v>
      </c>
      <c r="J7019" t="str">
        <f t="shared" si="547"/>
        <v>E:\PropInv\MF</v>
      </c>
      <c r="K7019" s="103" t="str">
        <f>HYPERLINK("E:\PropInv\MF\Fort Worth\Michael Dr_9417_Veraison Village_Fort Worth_18181","Michael Dr_9417_Veraison Village_Fort Worth_18181" )</f>
        <v>Michael Dr_9417_Veraison Village_Fort Worth_18181</v>
      </c>
      <c r="L7019" s="104" t="s">
        <v>22253</v>
      </c>
      <c r="M7019" s="103" t="str">
        <f t="shared" si="548"/>
        <v>http://oconnordata.com/mlink/modules/profile/index.cfm?action=profile&amp;prop_id=18181</v>
      </c>
      <c r="N7019" s="1">
        <f t="shared" si="549"/>
        <v>18181</v>
      </c>
    </row>
    <row r="7020" spans="1:14" x14ac:dyDescent="0.3">
      <c r="A7020" s="1">
        <v>18183</v>
      </c>
      <c r="B7020" s="7" t="s">
        <v>6015</v>
      </c>
      <c r="C7020" s="12">
        <v>11911</v>
      </c>
      <c r="D7020" s="7" t="s">
        <v>10526</v>
      </c>
      <c r="E7020" s="13" t="s">
        <v>4996</v>
      </c>
      <c r="F7020" t="str">
        <f t="shared" si="545"/>
        <v>Greenville</v>
      </c>
      <c r="G7020" t="str">
        <f t="shared" si="546"/>
        <v>Greenville11911Dallas</v>
      </c>
      <c r="H7020" t="s">
        <v>37876</v>
      </c>
      <c r="I7020" t="s">
        <v>29292</v>
      </c>
      <c r="J7020" t="str">
        <f t="shared" si="547"/>
        <v>E:\PropInv\MF</v>
      </c>
      <c r="K7020" s="103" t="str">
        <f>HYPERLINK("E:\PropInv\MF\Dallas\Greenville Ave_11911_The District at Greenville_Dallas_18183","Greenville Ave_11911_The District at Greenville_Dallas_18183" )</f>
        <v>Greenville Ave_11911_The District at Greenville_Dallas_18183</v>
      </c>
      <c r="L7020" s="104" t="s">
        <v>22253</v>
      </c>
      <c r="M7020" s="103" t="str">
        <f t="shared" si="548"/>
        <v>http://oconnordata.com/mlink/modules/profile/index.cfm?action=profile&amp;prop_id=18183</v>
      </c>
      <c r="N7020" s="1">
        <f t="shared" si="549"/>
        <v>18183</v>
      </c>
    </row>
    <row r="7021" spans="1:14" x14ac:dyDescent="0.3">
      <c r="A7021" s="1">
        <v>18184</v>
      </c>
      <c r="B7021" s="7" t="s">
        <v>10527</v>
      </c>
      <c r="C7021" s="12">
        <v>8501</v>
      </c>
      <c r="D7021" s="7" t="s">
        <v>10528</v>
      </c>
      <c r="E7021" s="13" t="s">
        <v>4996</v>
      </c>
      <c r="F7021" t="str">
        <f t="shared" si="545"/>
        <v>Lullwater</v>
      </c>
      <c r="G7021" t="str">
        <f t="shared" si="546"/>
        <v>Lullwater8501Dallas</v>
      </c>
      <c r="H7021" t="s">
        <v>37877</v>
      </c>
      <c r="I7021" t="s">
        <v>29293</v>
      </c>
      <c r="J7021" t="str">
        <f t="shared" si="547"/>
        <v>E:\PropInv\MF</v>
      </c>
      <c r="K7021" s="103" t="str">
        <f>HYPERLINK("E:\PropInv\MF\Dallas\Lullwater Dr_8501_Churchill Estates at Lake Highlands_Dallas_18184","Lullwater Dr_8501_Churchill Estates at Lake Highlands_Dallas_18184" )</f>
        <v>Lullwater Dr_8501_Churchill Estates at Lake Highlands_Dallas_18184</v>
      </c>
      <c r="L7021" s="104" t="s">
        <v>22253</v>
      </c>
      <c r="M7021" s="103" t="str">
        <f t="shared" si="548"/>
        <v>http://oconnordata.com/mlink/modules/profile/index.cfm?action=profile&amp;prop_id=18184</v>
      </c>
      <c r="N7021" s="1">
        <f t="shared" si="549"/>
        <v>18184</v>
      </c>
    </row>
    <row r="7022" spans="1:14" x14ac:dyDescent="0.3">
      <c r="A7022" s="1">
        <v>18185</v>
      </c>
      <c r="B7022" s="7" t="s">
        <v>10529</v>
      </c>
      <c r="C7022" s="12">
        <v>880</v>
      </c>
      <c r="D7022" s="7" t="s">
        <v>10530</v>
      </c>
      <c r="E7022" s="13" t="s">
        <v>5055</v>
      </c>
      <c r="F7022" t="str">
        <f t="shared" si="545"/>
        <v>Union</v>
      </c>
      <c r="G7022" t="str">
        <f t="shared" si="546"/>
        <v>Union880Lewisville</v>
      </c>
      <c r="H7022" t="s">
        <v>37878</v>
      </c>
      <c r="I7022" t="s">
        <v>29294</v>
      </c>
      <c r="J7022" t="str">
        <f t="shared" si="547"/>
        <v>E:\PropInv\MF</v>
      </c>
      <c r="K7022" s="103" t="str">
        <f>HYPERLINK("E:\PropInv\MF\Lewisville\Union Station Pkwy_880_Hebron 121 Station IA-West Indies Village_Lewisville_18185","Union Station Pkwy_880_Hebron 121 Station IA-West Indies Village_Lewisville_18185" )</f>
        <v>Union Station Pkwy_880_Hebron 121 Station IA-West Indies Village_Lewisville_18185</v>
      </c>
      <c r="L7022" s="104" t="s">
        <v>22253</v>
      </c>
      <c r="M7022" s="103" t="str">
        <f t="shared" si="548"/>
        <v>http://oconnordata.com/mlink/modules/profile/index.cfm?action=profile&amp;prop_id=18185</v>
      </c>
      <c r="N7022" s="1">
        <f t="shared" si="549"/>
        <v>18185</v>
      </c>
    </row>
    <row r="7023" spans="1:14" x14ac:dyDescent="0.3">
      <c r="A7023" s="1">
        <v>18186</v>
      </c>
      <c r="B7023" s="7" t="s">
        <v>4997</v>
      </c>
      <c r="C7023" s="12">
        <v>5128</v>
      </c>
      <c r="D7023" s="7" t="s">
        <v>10531</v>
      </c>
      <c r="E7023" s="13" t="s">
        <v>4996</v>
      </c>
      <c r="F7023" t="str">
        <f t="shared" si="545"/>
        <v>Cedar</v>
      </c>
      <c r="G7023" t="str">
        <f t="shared" si="546"/>
        <v>Cedar5128Dallas</v>
      </c>
      <c r="H7023" t="s">
        <v>37879</v>
      </c>
      <c r="I7023" t="s">
        <v>29295</v>
      </c>
      <c r="J7023" t="str">
        <f t="shared" si="547"/>
        <v>E:\PropInv\MF</v>
      </c>
      <c r="K7023" s="103" t="str">
        <f>HYPERLINK("E:\PropInv\MF\Dallas\Cedar Springs_5128_Miramonte Villas_Dallas_18186","Cedar Springs_5128_Miramonte Villas_Dallas_18186" )</f>
        <v>Cedar Springs_5128_Miramonte Villas_Dallas_18186</v>
      </c>
      <c r="L7023" s="104" t="s">
        <v>22253</v>
      </c>
      <c r="M7023" s="103" t="str">
        <f t="shared" si="548"/>
        <v>http://oconnordata.com/mlink/modules/profile/index.cfm?action=profile&amp;prop_id=18186</v>
      </c>
      <c r="N7023" s="1">
        <f t="shared" si="549"/>
        <v>18186</v>
      </c>
    </row>
    <row r="7024" spans="1:14" x14ac:dyDescent="0.3">
      <c r="A7024" s="1">
        <v>18187</v>
      </c>
      <c r="B7024" s="7" t="s">
        <v>942</v>
      </c>
      <c r="C7024" s="12">
        <v>13903</v>
      </c>
      <c r="D7024" s="7" t="s">
        <v>10532</v>
      </c>
      <c r="E7024" s="13" t="s">
        <v>842</v>
      </c>
      <c r="F7024" t="str">
        <f t="shared" si="545"/>
        <v>Babcock</v>
      </c>
      <c r="G7024" t="str">
        <f t="shared" si="546"/>
        <v>Babcock13903San Antonio</v>
      </c>
      <c r="H7024" t="s">
        <v>37880</v>
      </c>
      <c r="I7024" t="s">
        <v>29296</v>
      </c>
      <c r="J7024" t="str">
        <f t="shared" si="547"/>
        <v>E:\PropInv\MF</v>
      </c>
      <c r="K7024" s="103" t="str">
        <f>HYPERLINK("E:\PropInv\MF\San Antonio\Babcock Rd_13903_The Reserve at UTSA_San Antonio_18187","Babcock Rd_13903_The Reserve at UTSA_San Antonio_18187" )</f>
        <v>Babcock Rd_13903_The Reserve at UTSA_San Antonio_18187</v>
      </c>
      <c r="L7024" s="104" t="s">
        <v>22253</v>
      </c>
      <c r="M7024" s="103" t="str">
        <f t="shared" si="548"/>
        <v>http://oconnordata.com/mlink/modules/profile/index.cfm?action=profile&amp;prop_id=18187</v>
      </c>
      <c r="N7024" s="1">
        <f t="shared" si="549"/>
        <v>18187</v>
      </c>
    </row>
    <row r="7025" spans="1:14" x14ac:dyDescent="0.3">
      <c r="A7025" s="1">
        <v>18188</v>
      </c>
      <c r="B7025" s="19" t="s">
        <v>10533</v>
      </c>
      <c r="C7025" s="18">
        <v>2900</v>
      </c>
      <c r="D7025" s="19" t="s">
        <v>10534</v>
      </c>
      <c r="E7025" s="20" t="s">
        <v>4532</v>
      </c>
      <c r="F7025" t="str">
        <f t="shared" si="545"/>
        <v>Colonial</v>
      </c>
      <c r="G7025" t="str">
        <f t="shared" si="546"/>
        <v>Colonial2900Missouri City</v>
      </c>
      <c r="H7025" t="s">
        <v>37881</v>
      </c>
      <c r="I7025" t="s">
        <v>29297</v>
      </c>
      <c r="J7025" t="str">
        <f t="shared" si="547"/>
        <v>E:\PropInv\MF</v>
      </c>
      <c r="K7025" s="103" t="str">
        <f>HYPERLINK("E:\PropInv\MF\Missouri City\Colonial Lakes Dr_2900_The Reserve at Colonial Lakes_Missouri City_18188","Colonial Lakes Dr_2900_The Reserve at Colonial Lakes_Missouri City_18188" )</f>
        <v>Colonial Lakes Dr_2900_The Reserve at Colonial Lakes_Missouri City_18188</v>
      </c>
      <c r="L7025" s="104" t="s">
        <v>22253</v>
      </c>
      <c r="M7025" s="103" t="str">
        <f t="shared" si="548"/>
        <v>http://oconnordata.com/mlink/modules/profile/index.cfm?action=profile&amp;prop_id=18188</v>
      </c>
      <c r="N7025" s="1">
        <f t="shared" si="549"/>
        <v>18188</v>
      </c>
    </row>
    <row r="7026" spans="1:14" x14ac:dyDescent="0.3">
      <c r="A7026" s="1">
        <v>18189</v>
      </c>
      <c r="B7026" s="7" t="s">
        <v>3015</v>
      </c>
      <c r="C7026" s="12">
        <v>4200</v>
      </c>
      <c r="D7026" s="7" t="s">
        <v>10535</v>
      </c>
      <c r="E7026" s="13" t="s">
        <v>1657</v>
      </c>
      <c r="F7026" t="str">
        <f t="shared" si="545"/>
        <v>Scotland</v>
      </c>
      <c r="G7026" t="str">
        <f t="shared" si="546"/>
        <v>Scotland4200Houston</v>
      </c>
      <c r="H7026" t="s">
        <v>37882</v>
      </c>
      <c r="I7026" t="s">
        <v>29298</v>
      </c>
      <c r="J7026" t="str">
        <f t="shared" si="547"/>
        <v>E:\PropInv\MF</v>
      </c>
      <c r="K7026" s="103" t="str">
        <f>HYPERLINK("E:\PropInv\MF\Houston\Scotland_4200_Gables Memorial Hills_Houston_18189","Scotland_4200_Gables Memorial Hills_Houston_18189" )</f>
        <v>Scotland_4200_Gables Memorial Hills_Houston_18189</v>
      </c>
      <c r="L7026" s="104" t="s">
        <v>22253</v>
      </c>
      <c r="M7026" s="103" t="str">
        <f t="shared" si="548"/>
        <v>http://oconnordata.com/mlink/modules/profile/index.cfm?action=profile&amp;prop_id=18189</v>
      </c>
      <c r="N7026" s="1">
        <f t="shared" si="549"/>
        <v>18189</v>
      </c>
    </row>
    <row r="7027" spans="1:14" x14ac:dyDescent="0.3">
      <c r="A7027" s="1">
        <v>18190</v>
      </c>
      <c r="B7027" s="10" t="s">
        <v>10536</v>
      </c>
      <c r="C7027" s="9">
        <v>630</v>
      </c>
      <c r="D7027" s="10" t="s">
        <v>10537</v>
      </c>
      <c r="E7027" s="11" t="s">
        <v>3428</v>
      </c>
      <c r="F7027" t="str">
        <f t="shared" si="545"/>
        <v>Colony</v>
      </c>
      <c r="G7027" t="str">
        <f t="shared" si="546"/>
        <v>Colony630Stafford</v>
      </c>
      <c r="H7027" t="s">
        <v>37883</v>
      </c>
      <c r="I7027" t="s">
        <v>29299</v>
      </c>
      <c r="J7027" t="str">
        <f t="shared" si="547"/>
        <v>E:\PropInv\MF</v>
      </c>
      <c r="K7027" s="103" t="str">
        <f>HYPERLINK("E:\PropInv\MF\Stafford\Colony Lake Estates Dr_630_Lakeland Estates_Stafford_18190","Colony Lake Estates Dr_630_Lakeland Estates_Stafford_18190" )</f>
        <v>Colony Lake Estates Dr_630_Lakeland Estates_Stafford_18190</v>
      </c>
      <c r="L7027" s="104" t="s">
        <v>22253</v>
      </c>
      <c r="M7027" s="103" t="str">
        <f t="shared" si="548"/>
        <v>http://oconnordata.com/mlink/modules/profile/index.cfm?action=profile&amp;prop_id=18190</v>
      </c>
      <c r="N7027" s="1">
        <f t="shared" si="549"/>
        <v>18190</v>
      </c>
    </row>
    <row r="7028" spans="1:14" x14ac:dyDescent="0.3">
      <c r="A7028" s="1">
        <v>18191</v>
      </c>
      <c r="B7028" s="7" t="s">
        <v>8459</v>
      </c>
      <c r="C7028" s="12">
        <v>10221</v>
      </c>
      <c r="D7028" s="7" t="s">
        <v>10538</v>
      </c>
      <c r="E7028" s="13" t="s">
        <v>1657</v>
      </c>
      <c r="F7028" t="str">
        <f t="shared" si="545"/>
        <v>Centrepark</v>
      </c>
      <c r="G7028" t="str">
        <f t="shared" si="546"/>
        <v>Centrepark10221Houston</v>
      </c>
      <c r="H7028" t="s">
        <v>37884</v>
      </c>
      <c r="I7028" t="s">
        <v>29300</v>
      </c>
      <c r="J7028" t="str">
        <f t="shared" si="547"/>
        <v>E:\PropInv\MF</v>
      </c>
      <c r="K7028" s="103" t="str">
        <f>HYPERLINK("E:\PropInv\MF\Houston\Centrepark Dr_10221_The Lodge at Spring Shadows II_Houston_18191","Centrepark Dr_10221_The Lodge at Spring Shadows II_Houston_18191" )</f>
        <v>Centrepark Dr_10221_The Lodge at Spring Shadows II_Houston_18191</v>
      </c>
      <c r="L7028" s="104" t="s">
        <v>22253</v>
      </c>
      <c r="M7028" s="103" t="str">
        <f t="shared" si="548"/>
        <v>http://oconnordata.com/mlink/modules/profile/index.cfm?action=profile&amp;prop_id=18191</v>
      </c>
      <c r="N7028" s="1">
        <f t="shared" si="549"/>
        <v>18191</v>
      </c>
    </row>
    <row r="7029" spans="1:14" x14ac:dyDescent="0.3">
      <c r="A7029" s="1">
        <v>18192</v>
      </c>
      <c r="B7029" s="7" t="s">
        <v>10539</v>
      </c>
      <c r="C7029" s="12">
        <v>200</v>
      </c>
      <c r="D7029" s="7" t="s">
        <v>10540</v>
      </c>
      <c r="E7029" s="13" t="s">
        <v>4249</v>
      </c>
      <c r="F7029" t="str">
        <f t="shared" si="545"/>
        <v>Water</v>
      </c>
      <c r="G7029" t="str">
        <f t="shared" si="546"/>
        <v>Water200Webster</v>
      </c>
      <c r="H7029" t="s">
        <v>37885</v>
      </c>
      <c r="I7029" t="s">
        <v>29301</v>
      </c>
      <c r="J7029" t="str">
        <f t="shared" si="547"/>
        <v>E:\PropInv\MF</v>
      </c>
      <c r="K7029" s="103" t="str">
        <f>HYPERLINK("E:\PropInv\MF\Webster\Water St_200_ARIUM Edgewater_Webster_18192","Water St_200_ARIUM Edgewater_Webster_18192" )</f>
        <v>Water St_200_ARIUM Edgewater_Webster_18192</v>
      </c>
      <c r="L7029" s="104" t="s">
        <v>22253</v>
      </c>
      <c r="M7029" s="103" t="str">
        <f t="shared" si="548"/>
        <v>http://oconnordata.com/mlink/modules/profile/index.cfm?action=profile&amp;prop_id=18192</v>
      </c>
      <c r="N7029" s="1">
        <f t="shared" si="549"/>
        <v>18192</v>
      </c>
    </row>
    <row r="7030" spans="1:14" x14ac:dyDescent="0.3">
      <c r="A7030" s="1">
        <v>18193</v>
      </c>
      <c r="B7030" s="7" t="s">
        <v>2625</v>
      </c>
      <c r="C7030" s="12">
        <v>13130</v>
      </c>
      <c r="D7030" s="7" t="s">
        <v>10541</v>
      </c>
      <c r="E7030" s="13" t="s">
        <v>1818</v>
      </c>
      <c r="F7030" t="str">
        <f t="shared" si="545"/>
        <v>Fry</v>
      </c>
      <c r="G7030" t="str">
        <f t="shared" si="546"/>
        <v>Fry13130Cypress</v>
      </c>
      <c r="H7030" t="s">
        <v>37886</v>
      </c>
      <c r="I7030" t="s">
        <v>29302</v>
      </c>
      <c r="J7030" t="str">
        <f t="shared" si="547"/>
        <v>E:\PropInv\MF</v>
      </c>
      <c r="K7030" s="103" t="str">
        <f>HYPERLINK("E:\PropInv\MF\Cypress\Fry Rd_13130_Camden Cypress Creek_Cypress_18193","Fry Rd_13130_Camden Cypress Creek_Cypress_18193" )</f>
        <v>Fry Rd_13130_Camden Cypress Creek_Cypress_18193</v>
      </c>
      <c r="L7030" s="104" t="s">
        <v>22253</v>
      </c>
      <c r="M7030" s="103" t="str">
        <f t="shared" si="548"/>
        <v>http://oconnordata.com/mlink/modules/profile/index.cfm?action=profile&amp;prop_id=18193</v>
      </c>
      <c r="N7030" s="1">
        <f t="shared" si="549"/>
        <v>18193</v>
      </c>
    </row>
    <row r="7031" spans="1:14" x14ac:dyDescent="0.3">
      <c r="A7031" s="1">
        <v>18194</v>
      </c>
      <c r="B7031" s="7" t="s">
        <v>9198</v>
      </c>
      <c r="C7031" s="12">
        <v>3800</v>
      </c>
      <c r="D7031" s="7" t="s">
        <v>10542</v>
      </c>
      <c r="E7031" s="13" t="s">
        <v>9200</v>
      </c>
      <c r="F7031" t="str">
        <f t="shared" si="545"/>
        <v>County</v>
      </c>
      <c r="G7031" t="str">
        <f t="shared" si="546"/>
        <v>County3800Manvel</v>
      </c>
      <c r="H7031" t="s">
        <v>37887</v>
      </c>
      <c r="I7031" t="s">
        <v>29303</v>
      </c>
      <c r="J7031" t="str">
        <f t="shared" si="547"/>
        <v>E:\PropInv\MF</v>
      </c>
      <c r="K7031" s="103" t="str">
        <f>HYPERLINK("E:\PropInv\MF\Manvel\County Rd 94_3800_Cobblestone Park II_Manvel_18194","County Rd 94_3800_Cobblestone Park II_Manvel_18194" )</f>
        <v>County Rd 94_3800_Cobblestone Park II_Manvel_18194</v>
      </c>
      <c r="L7031" s="104" t="s">
        <v>22253</v>
      </c>
      <c r="M7031" s="103" t="str">
        <f t="shared" si="548"/>
        <v>http://oconnordata.com/mlink/modules/profile/index.cfm?action=profile&amp;prop_id=18194</v>
      </c>
      <c r="N7031" s="1">
        <f t="shared" si="549"/>
        <v>18194</v>
      </c>
    </row>
    <row r="7032" spans="1:14" x14ac:dyDescent="0.3">
      <c r="A7032" s="1">
        <v>18195</v>
      </c>
      <c r="B7032" s="10" t="s">
        <v>10543</v>
      </c>
      <c r="C7032" s="9">
        <v>200</v>
      </c>
      <c r="D7032" s="10" t="s">
        <v>10544</v>
      </c>
      <c r="E7032" s="11" t="s">
        <v>4616</v>
      </c>
      <c r="F7032" t="str">
        <f t="shared" si="545"/>
        <v>Fountains</v>
      </c>
      <c r="G7032" t="str">
        <f t="shared" si="546"/>
        <v>Fountains200Conroe</v>
      </c>
      <c r="H7032" t="s">
        <v>37888</v>
      </c>
      <c r="I7032" t="s">
        <v>29304</v>
      </c>
      <c r="J7032" t="str">
        <f t="shared" si="547"/>
        <v>E:\PropInv\MF</v>
      </c>
      <c r="K7032" s="103" t="str">
        <f>HYPERLINK("E:\PropInv\MF\Conroe\Fountains Ln_200_The Fountains of Conroe_Conroe_18195","Fountains Ln_200_The Fountains of Conroe_Conroe_18195" )</f>
        <v>Fountains Ln_200_The Fountains of Conroe_Conroe_18195</v>
      </c>
      <c r="L7032" s="104" t="s">
        <v>22253</v>
      </c>
      <c r="M7032" s="103" t="str">
        <f t="shared" si="548"/>
        <v>http://oconnordata.com/mlink/modules/profile/index.cfm?action=profile&amp;prop_id=18195</v>
      </c>
      <c r="N7032" s="1">
        <f t="shared" si="549"/>
        <v>18195</v>
      </c>
    </row>
    <row r="7033" spans="1:14" x14ac:dyDescent="0.3">
      <c r="A7033" s="1">
        <v>18196</v>
      </c>
      <c r="B7033" s="7" t="s">
        <v>10545</v>
      </c>
      <c r="C7033" s="12">
        <v>1799</v>
      </c>
      <c r="D7033" s="7" t="s">
        <v>10546</v>
      </c>
      <c r="E7033" s="13" t="s">
        <v>4249</v>
      </c>
      <c r="F7033" t="str">
        <f t="shared" si="545"/>
        <v>528</v>
      </c>
      <c r="G7033" t="str">
        <f t="shared" si="546"/>
        <v>5281799Webster</v>
      </c>
      <c r="H7033" t="s">
        <v>37889</v>
      </c>
      <c r="I7033" t="s">
        <v>29305</v>
      </c>
      <c r="J7033" t="str">
        <f t="shared" si="547"/>
        <v>E:\PropInv\MF</v>
      </c>
      <c r="K7033" s="103" t="str">
        <f>HYPERLINK("E:\PropInv\MF\Webster\528 FM_1799_The Gardens at Challenger Park_Webster_18196","528 FM_1799_The Gardens at Challenger Park_Webster_18196" )</f>
        <v>528 FM_1799_The Gardens at Challenger Park_Webster_18196</v>
      </c>
      <c r="L7033" s="104" t="s">
        <v>22253</v>
      </c>
      <c r="M7033" s="103" t="str">
        <f t="shared" si="548"/>
        <v>http://oconnordata.com/mlink/modules/profile/index.cfm?action=profile&amp;prop_id=18196</v>
      </c>
      <c r="N7033" s="1">
        <f t="shared" si="549"/>
        <v>18196</v>
      </c>
    </row>
    <row r="7034" spans="1:14" x14ac:dyDescent="0.3">
      <c r="A7034" s="1">
        <v>18197</v>
      </c>
      <c r="B7034" s="7" t="s">
        <v>10547</v>
      </c>
      <c r="C7034" s="12">
        <v>300</v>
      </c>
      <c r="D7034" s="7" t="s">
        <v>10548</v>
      </c>
      <c r="E7034" s="13" t="s">
        <v>4688</v>
      </c>
      <c r="F7034" t="str">
        <f t="shared" si="545"/>
        <v>Forest</v>
      </c>
      <c r="G7034" t="str">
        <f t="shared" si="546"/>
        <v>Forest300Porter</v>
      </c>
      <c r="H7034" t="s">
        <v>37890</v>
      </c>
      <c r="I7034" t="s">
        <v>29306</v>
      </c>
      <c r="J7034" t="str">
        <f t="shared" si="547"/>
        <v>E:\PropInv\MF</v>
      </c>
      <c r="K7034" s="103" t="str">
        <f>HYPERLINK("E:\PropInv\MF\Porter\Forest Center Dr_300_Villas of Kingwood_Porter_18197","Forest Center Dr_300_Villas of Kingwood_Porter_18197" )</f>
        <v>Forest Center Dr_300_Villas of Kingwood_Porter_18197</v>
      </c>
      <c r="L7034" s="104" t="s">
        <v>22253</v>
      </c>
      <c r="M7034" s="103" t="str">
        <f t="shared" si="548"/>
        <v>http://oconnordata.com/mlink/modules/profile/index.cfm?action=profile&amp;prop_id=18197</v>
      </c>
      <c r="N7034" s="1">
        <f t="shared" si="549"/>
        <v>18197</v>
      </c>
    </row>
    <row r="7035" spans="1:14" x14ac:dyDescent="0.3">
      <c r="A7035" s="1">
        <v>18199</v>
      </c>
      <c r="B7035" s="7" t="s">
        <v>8133</v>
      </c>
      <c r="C7035" s="12">
        <v>1225</v>
      </c>
      <c r="D7035" s="7" t="s">
        <v>10549</v>
      </c>
      <c r="E7035" s="13" t="s">
        <v>4654</v>
      </c>
      <c r="F7035" t="str">
        <f t="shared" si="545"/>
        <v>Lawrence</v>
      </c>
      <c r="G7035" t="str">
        <f t="shared" si="546"/>
        <v>Lawrence1225Kemah</v>
      </c>
      <c r="H7035" t="s">
        <v>37891</v>
      </c>
      <c r="I7035" t="s">
        <v>29307</v>
      </c>
      <c r="J7035" t="str">
        <f t="shared" si="547"/>
        <v>E:\PropInv\MF</v>
      </c>
      <c r="K7035" s="103" t="str">
        <f>HYPERLINK("E:\PropInv\MF\Kemah\Lawrence Rd_1225_Summer Brooke_Kemah_18199","Lawrence Rd_1225_Summer Brooke_Kemah_18199" )</f>
        <v>Lawrence Rd_1225_Summer Brooke_Kemah_18199</v>
      </c>
      <c r="L7035" s="104" t="s">
        <v>22253</v>
      </c>
      <c r="M7035" s="103" t="str">
        <f t="shared" si="548"/>
        <v>http://oconnordata.com/mlink/modules/profile/index.cfm?action=profile&amp;prop_id=18199</v>
      </c>
      <c r="N7035" s="1">
        <f t="shared" si="549"/>
        <v>18199</v>
      </c>
    </row>
    <row r="7036" spans="1:14" x14ac:dyDescent="0.3">
      <c r="A7036" s="1">
        <v>18200</v>
      </c>
      <c r="B7036" s="7" t="s">
        <v>1679</v>
      </c>
      <c r="C7036" s="12">
        <v>13313</v>
      </c>
      <c r="D7036" s="7" t="s">
        <v>10550</v>
      </c>
      <c r="E7036" s="13" t="s">
        <v>1657</v>
      </c>
      <c r="F7036" t="str">
        <f t="shared" si="545"/>
        <v>Cutten</v>
      </c>
      <c r="G7036" t="str">
        <f t="shared" si="546"/>
        <v>Cutten13313Houston</v>
      </c>
      <c r="H7036" t="s">
        <v>37892</v>
      </c>
      <c r="I7036" t="s">
        <v>29308</v>
      </c>
      <c r="J7036" t="str">
        <f t="shared" si="547"/>
        <v>E:\PropInv\MF</v>
      </c>
      <c r="K7036" s="103" t="str">
        <f>HYPERLINK("E:\PropInv\MF\Houston\Cutten Rd_13313_Carrington at Champion Forest_Houston_18200","Cutten Rd_13313_Carrington at Champion Forest_Houston_18200" )</f>
        <v>Cutten Rd_13313_Carrington at Champion Forest_Houston_18200</v>
      </c>
      <c r="L7036" s="104" t="s">
        <v>22253</v>
      </c>
      <c r="M7036" s="103" t="str">
        <f t="shared" si="548"/>
        <v>http://oconnordata.com/mlink/modules/profile/index.cfm?action=profile&amp;prop_id=18200</v>
      </c>
      <c r="N7036" s="1">
        <f t="shared" si="549"/>
        <v>18200</v>
      </c>
    </row>
    <row r="7037" spans="1:14" x14ac:dyDescent="0.3">
      <c r="A7037" s="97">
        <v>18201</v>
      </c>
      <c r="B7037" s="21" t="s">
        <v>2473</v>
      </c>
      <c r="C7037" s="12">
        <v>16112</v>
      </c>
      <c r="D7037" s="7" t="s">
        <v>10551</v>
      </c>
      <c r="E7037" s="13" t="s">
        <v>1657</v>
      </c>
      <c r="F7037" t="str">
        <f t="shared" si="545"/>
        <v>N</v>
      </c>
      <c r="G7037" t="str">
        <f t="shared" si="546"/>
        <v>N16112Houston</v>
      </c>
      <c r="H7037" t="s">
        <v>37893</v>
      </c>
      <c r="I7037" t="s">
        <v>29309</v>
      </c>
      <c r="J7037" t="str">
        <f t="shared" si="547"/>
        <v>E:\PropInv\MF</v>
      </c>
      <c r="K7037" s="103" t="str">
        <f>HYPERLINK("E:\PropInv\MF\Houston\N Fwy_16112_Wynhaven at Cypress Station_Houston_18201","N Fwy_16112_Wynhaven at Cypress Station_Houston_18201" )</f>
        <v>N Fwy_16112_Wynhaven at Cypress Station_Houston_18201</v>
      </c>
      <c r="L7037" s="104" t="s">
        <v>22253</v>
      </c>
      <c r="M7037" s="103" t="str">
        <f t="shared" si="548"/>
        <v>http://oconnordata.com/mlink/modules/profile/index.cfm?action=profile&amp;prop_id=18201</v>
      </c>
      <c r="N7037" s="1">
        <f t="shared" si="549"/>
        <v>18201</v>
      </c>
    </row>
    <row r="7038" spans="1:14" x14ac:dyDescent="0.3">
      <c r="A7038" s="1">
        <v>18202</v>
      </c>
      <c r="B7038" s="7" t="s">
        <v>8389</v>
      </c>
      <c r="C7038" s="12">
        <v>10333</v>
      </c>
      <c r="D7038" s="7" t="s">
        <v>10552</v>
      </c>
      <c r="E7038" s="13" t="s">
        <v>4462</v>
      </c>
      <c r="F7038" t="str">
        <f t="shared" si="545"/>
        <v>Research</v>
      </c>
      <c r="G7038" t="str">
        <f t="shared" si="546"/>
        <v>Research10333Magnolia</v>
      </c>
      <c r="H7038" t="s">
        <v>37894</v>
      </c>
      <c r="I7038" t="s">
        <v>29310</v>
      </c>
      <c r="J7038" t="str">
        <f t="shared" si="547"/>
        <v>E:\PropInv\MF</v>
      </c>
      <c r="K7038" s="103" t="str">
        <f>HYPERLINK("E:\PropInv\MF\Magnolia\Research Forest Dr_10333_Laurelwoode_Magnolia_18202","Research Forest Dr_10333_Laurelwoode_Magnolia_18202" )</f>
        <v>Research Forest Dr_10333_Laurelwoode_Magnolia_18202</v>
      </c>
      <c r="L7038" s="104" t="s">
        <v>22253</v>
      </c>
      <c r="M7038" s="103" t="str">
        <f t="shared" si="548"/>
        <v>http://oconnordata.com/mlink/modules/profile/index.cfm?action=profile&amp;prop_id=18202</v>
      </c>
      <c r="N7038" s="1">
        <f t="shared" si="549"/>
        <v>18202</v>
      </c>
    </row>
    <row r="7039" spans="1:14" x14ac:dyDescent="0.3">
      <c r="A7039" s="1">
        <v>18203</v>
      </c>
      <c r="B7039" s="7" t="s">
        <v>10553</v>
      </c>
      <c r="C7039" s="12">
        <v>9415</v>
      </c>
      <c r="D7039" s="7" t="s">
        <v>10554</v>
      </c>
      <c r="E7039" s="13" t="s">
        <v>5488</v>
      </c>
      <c r="F7039" t="str">
        <f t="shared" si="545"/>
        <v>Panther</v>
      </c>
      <c r="G7039" t="str">
        <f t="shared" si="546"/>
        <v>Panther9415Frisco</v>
      </c>
      <c r="H7039" t="s">
        <v>37895</v>
      </c>
      <c r="I7039" t="s">
        <v>29311</v>
      </c>
      <c r="J7039" t="str">
        <f t="shared" si="547"/>
        <v>E:\PropInv\MF</v>
      </c>
      <c r="K7039" s="103" t="str">
        <f>HYPERLINK("E:\PropInv\MF\Frisco\Panther Creek Pkwy_9415_Camden Panther Creek_Frisco_18203","Panther Creek Pkwy_9415_Camden Panther Creek_Frisco_18203" )</f>
        <v>Panther Creek Pkwy_9415_Camden Panther Creek_Frisco_18203</v>
      </c>
      <c r="L7039" s="104" t="s">
        <v>22253</v>
      </c>
      <c r="M7039" s="103" t="str">
        <f t="shared" si="548"/>
        <v>http://oconnordata.com/mlink/modules/profile/index.cfm?action=profile&amp;prop_id=18203</v>
      </c>
      <c r="N7039" s="1">
        <f t="shared" si="549"/>
        <v>18203</v>
      </c>
    </row>
    <row r="7040" spans="1:14" x14ac:dyDescent="0.3">
      <c r="A7040" s="1">
        <v>18204</v>
      </c>
      <c r="B7040" s="7" t="s">
        <v>775</v>
      </c>
      <c r="C7040" s="12">
        <v>751</v>
      </c>
      <c r="D7040" s="7" t="s">
        <v>10555</v>
      </c>
      <c r="E7040" s="13" t="s">
        <v>7</v>
      </c>
      <c r="F7040" t="str">
        <f t="shared" si="545"/>
        <v>Slaughter</v>
      </c>
      <c r="G7040" t="str">
        <f t="shared" si="546"/>
        <v>Slaughter751Austin</v>
      </c>
      <c r="H7040" t="s">
        <v>37896</v>
      </c>
      <c r="I7040" t="s">
        <v>29312</v>
      </c>
      <c r="J7040" t="str">
        <f t="shared" si="547"/>
        <v>E:\PropInv\MF</v>
      </c>
      <c r="K7040" s="103" t="str">
        <f>HYPERLINK("E:\PropInv\MF\Austin\Slaughter Ln W_751_Camden Shadow Brook II_Austin_18204","Slaughter Ln W_751_Camden Shadow Brook II_Austin_18204" )</f>
        <v>Slaughter Ln W_751_Camden Shadow Brook II_Austin_18204</v>
      </c>
      <c r="L7040" s="104" t="s">
        <v>22253</v>
      </c>
      <c r="M7040" s="103" t="str">
        <f t="shared" si="548"/>
        <v>http://oconnordata.com/mlink/modules/profile/index.cfm?action=profile&amp;prop_id=18204</v>
      </c>
      <c r="N7040" s="1">
        <f t="shared" si="549"/>
        <v>18204</v>
      </c>
    </row>
    <row r="7041" spans="1:14" x14ac:dyDescent="0.3">
      <c r="A7041" s="1">
        <v>18205</v>
      </c>
      <c r="B7041" s="7" t="s">
        <v>21</v>
      </c>
      <c r="C7041" s="12">
        <v>1630</v>
      </c>
      <c r="D7041" s="7" t="s">
        <v>10556</v>
      </c>
      <c r="E7041" s="13" t="s">
        <v>7</v>
      </c>
      <c r="F7041" t="str">
        <f t="shared" si="545"/>
        <v>Wells</v>
      </c>
      <c r="G7041" t="str">
        <f t="shared" si="546"/>
        <v>Wells1630Austin</v>
      </c>
      <c r="H7041" t="s">
        <v>37897</v>
      </c>
      <c r="I7041" t="s">
        <v>29313</v>
      </c>
      <c r="J7041" t="str">
        <f t="shared" si="547"/>
        <v>E:\PropInv\MF</v>
      </c>
      <c r="K7041" s="103" t="str">
        <f>HYPERLINK("E:\PropInv\MF\Austin\Wells Branch Pkwy_1630_Colonial Grand at Wells Branch_Austin_18205","Wells Branch Pkwy_1630_Colonial Grand at Wells Branch_Austin_18205" )</f>
        <v>Wells Branch Pkwy_1630_Colonial Grand at Wells Branch_Austin_18205</v>
      </c>
      <c r="L7041" s="104" t="s">
        <v>22253</v>
      </c>
      <c r="M7041" s="103" t="str">
        <f t="shared" si="548"/>
        <v>http://oconnordata.com/mlink/modules/profile/index.cfm?action=profile&amp;prop_id=18205</v>
      </c>
      <c r="N7041" s="1">
        <f t="shared" si="549"/>
        <v>18205</v>
      </c>
    </row>
    <row r="7042" spans="1:14" x14ac:dyDescent="0.3">
      <c r="A7042" s="1">
        <v>18206</v>
      </c>
      <c r="B7042" s="7" t="s">
        <v>10557</v>
      </c>
      <c r="C7042" s="12">
        <v>1101</v>
      </c>
      <c r="D7042" s="7" t="s">
        <v>10558</v>
      </c>
      <c r="E7042" s="13" t="s">
        <v>705</v>
      </c>
      <c r="F7042" t="str">
        <f t="shared" ref="F7042:F7105" si="550">IFERROR(LEFT(B7042,FIND(" ",B7042)-1),B7042)</f>
        <v>Brushy</v>
      </c>
      <c r="G7042" t="str">
        <f t="shared" ref="G7042:G7105" si="551">F7042&amp;C7042&amp;E7042</f>
        <v>Brushy1101Cedar Park</v>
      </c>
      <c r="H7042" t="s">
        <v>37898</v>
      </c>
      <c r="I7042" t="s">
        <v>29314</v>
      </c>
      <c r="J7042" t="str">
        <f t="shared" ref="J7042:J7105" si="552">IF(L7042="TX",Folder_Path,Folder_Path&amp;"\State_"&amp;L7042)</f>
        <v>E:\PropInv\MF</v>
      </c>
      <c r="K7042" s="103" t="str">
        <f>HYPERLINK("E:\PropInv\MF\Cedar Park\Brushy Creek Rd_1101_Camden Brushy Creek_Cedar Park_18206","Brushy Creek Rd_1101_Camden Brushy Creek_Cedar Park_18206" )</f>
        <v>Brushy Creek Rd_1101_Camden Brushy Creek_Cedar Park_18206</v>
      </c>
      <c r="L7042" s="104" t="s">
        <v>22253</v>
      </c>
      <c r="M7042" s="103" t="str">
        <f t="shared" ref="M7042:M7105" si="553">HYPERLINK("http://oconnordata.com/mlink/modules/profile/index.cfm?action=profile&amp;prop_id="&amp;A7042)</f>
        <v>http://oconnordata.com/mlink/modules/profile/index.cfm?action=profile&amp;prop_id=18206</v>
      </c>
      <c r="N7042" s="1">
        <f t="shared" ref="N7042:N7105" si="554">IF(LEN(A7042)=1,"0000"&amp;A7042,IF(LEN(A7042)=2,"000"&amp;A7042,IF(LEN(A7042)=3,"00"&amp;A7042,IF(LEN(A7042)=4,"0"&amp;A7042,IF(LEN(A7042)=5,IF(LEFT(A7042,1)="3",A7042+30000,A7042))))))</f>
        <v>18206</v>
      </c>
    </row>
    <row r="7043" spans="1:14" x14ac:dyDescent="0.3">
      <c r="A7043" s="1">
        <v>18207</v>
      </c>
      <c r="B7043" s="7" t="s">
        <v>10559</v>
      </c>
      <c r="C7043" s="12">
        <v>201</v>
      </c>
      <c r="D7043" s="7" t="s">
        <v>10560</v>
      </c>
      <c r="E7043" s="13" t="s">
        <v>5097</v>
      </c>
      <c r="F7043" t="str">
        <f t="shared" si="550"/>
        <v>Inman</v>
      </c>
      <c r="G7043" t="str">
        <f t="shared" si="551"/>
        <v>Inman201Denton</v>
      </c>
      <c r="H7043" t="s">
        <v>37899</v>
      </c>
      <c r="I7043" t="s">
        <v>29315</v>
      </c>
      <c r="J7043" t="str">
        <f t="shared" si="552"/>
        <v>E:\PropInv\MF</v>
      </c>
      <c r="K7043" s="103" t="str">
        <f>HYPERLINK("E:\PropInv\MF\Denton\Inman Dr_201_Forum at Denton Station_Denton_18207","Inman Dr_201_Forum at Denton Station_Denton_18207" )</f>
        <v>Inman Dr_201_Forum at Denton Station_Denton_18207</v>
      </c>
      <c r="L7043" s="104" t="s">
        <v>22253</v>
      </c>
      <c r="M7043" s="103" t="str">
        <f t="shared" si="553"/>
        <v>http://oconnordata.com/mlink/modules/profile/index.cfm?action=profile&amp;prop_id=18207</v>
      </c>
      <c r="N7043" s="1">
        <f t="shared" si="554"/>
        <v>18207</v>
      </c>
    </row>
    <row r="7044" spans="1:14" x14ac:dyDescent="0.3">
      <c r="A7044" s="1">
        <v>18208</v>
      </c>
      <c r="B7044" s="19" t="s">
        <v>10561</v>
      </c>
      <c r="C7044" s="18">
        <v>711</v>
      </c>
      <c r="D7044" s="19" t="s">
        <v>10562</v>
      </c>
      <c r="E7044" s="20" t="s">
        <v>4047</v>
      </c>
      <c r="F7044" t="str">
        <f t="shared" si="550"/>
        <v>McCabe</v>
      </c>
      <c r="G7044" t="str">
        <f t="shared" si="551"/>
        <v>McCabe711La Porte</v>
      </c>
      <c r="H7044" t="s">
        <v>37900</v>
      </c>
      <c r="I7044" t="s">
        <v>29316</v>
      </c>
      <c r="J7044" t="str">
        <f t="shared" si="552"/>
        <v>E:\PropInv\MF</v>
      </c>
      <c r="K7044" s="103" t="str">
        <f>HYPERLINK("E:\PropInv\MF\La Porte\McCabe Rd_711_Preserve at Taylor Bayou_La Porte_18208","McCabe Rd_711_Preserve at Taylor Bayou_La Porte_18208" )</f>
        <v>McCabe Rd_711_Preserve at Taylor Bayou_La Porte_18208</v>
      </c>
      <c r="L7044" s="104" t="s">
        <v>22253</v>
      </c>
      <c r="M7044" s="103" t="str">
        <f t="shared" si="553"/>
        <v>http://oconnordata.com/mlink/modules/profile/index.cfm?action=profile&amp;prop_id=18208</v>
      </c>
      <c r="N7044" s="1">
        <f t="shared" si="554"/>
        <v>18208</v>
      </c>
    </row>
    <row r="7045" spans="1:14" x14ac:dyDescent="0.3">
      <c r="A7045" s="1">
        <v>18210</v>
      </c>
      <c r="B7045" s="7" t="s">
        <v>10563</v>
      </c>
      <c r="C7045" s="12">
        <v>18101</v>
      </c>
      <c r="D7045" s="7" t="s">
        <v>10564</v>
      </c>
      <c r="E7045" s="13" t="s">
        <v>1657</v>
      </c>
      <c r="F7045" t="str">
        <f t="shared" si="550"/>
        <v>Point</v>
      </c>
      <c r="G7045" t="str">
        <f t="shared" si="551"/>
        <v>Point18101Houston</v>
      </c>
      <c r="H7045" t="s">
        <v>37901</v>
      </c>
      <c r="I7045" t="s">
        <v>29317</v>
      </c>
      <c r="J7045" t="str">
        <f t="shared" si="552"/>
        <v>E:\PropInv\MF</v>
      </c>
      <c r="K7045" s="103" t="str">
        <f>HYPERLINK("E:\PropInv\MF\Houston\Point Lookout Dr_18101_Voyager at the Space Center_Houston_18210","Point Lookout Dr_18101_Voyager at the Space Center_Houston_18210" )</f>
        <v>Point Lookout Dr_18101_Voyager at the Space Center_Houston_18210</v>
      </c>
      <c r="L7045" s="104" t="s">
        <v>22253</v>
      </c>
      <c r="M7045" s="103" t="str">
        <f t="shared" si="553"/>
        <v>http://oconnordata.com/mlink/modules/profile/index.cfm?action=profile&amp;prop_id=18210</v>
      </c>
      <c r="N7045" s="1">
        <f t="shared" si="554"/>
        <v>18210</v>
      </c>
    </row>
    <row r="7046" spans="1:14" x14ac:dyDescent="0.3">
      <c r="A7046" s="1">
        <v>18211</v>
      </c>
      <c r="B7046" s="7" t="s">
        <v>10565</v>
      </c>
      <c r="C7046" s="12">
        <v>6202</v>
      </c>
      <c r="D7046" s="7" t="s">
        <v>10566</v>
      </c>
      <c r="E7046" s="13" t="s">
        <v>842</v>
      </c>
      <c r="F7046" t="str">
        <f t="shared" si="550"/>
        <v>Roxbury</v>
      </c>
      <c r="G7046" t="str">
        <f t="shared" si="551"/>
        <v>Roxbury6202San Antonio</v>
      </c>
      <c r="H7046" t="s">
        <v>37902</v>
      </c>
      <c r="I7046" t="s">
        <v>29318</v>
      </c>
      <c r="J7046" t="str">
        <f t="shared" si="552"/>
        <v>E:\PropInv\MF</v>
      </c>
      <c r="K7046" s="103" t="str">
        <f>HYPERLINK("E:\PropInv\MF\San Antonio\Roxbury Dr_6202_Alta Roxbury_San Antonio_18211","Roxbury Dr_6202_Alta Roxbury_San Antonio_18211" )</f>
        <v>Roxbury Dr_6202_Alta Roxbury_San Antonio_18211</v>
      </c>
      <c r="L7046" s="104" t="s">
        <v>22253</v>
      </c>
      <c r="M7046" s="103" t="str">
        <f t="shared" si="553"/>
        <v>http://oconnordata.com/mlink/modules/profile/index.cfm?action=profile&amp;prop_id=18211</v>
      </c>
      <c r="N7046" s="1">
        <f t="shared" si="554"/>
        <v>18211</v>
      </c>
    </row>
    <row r="7047" spans="1:14" x14ac:dyDescent="0.3">
      <c r="A7047" s="1">
        <v>18212</v>
      </c>
      <c r="B7047" s="7" t="s">
        <v>6293</v>
      </c>
      <c r="C7047" s="12">
        <v>2355</v>
      </c>
      <c r="D7047" s="7" t="s">
        <v>10567</v>
      </c>
      <c r="E7047" s="13" t="s">
        <v>5488</v>
      </c>
      <c r="F7047" t="str">
        <f t="shared" si="550"/>
        <v>Lebanon</v>
      </c>
      <c r="G7047" t="str">
        <f t="shared" si="551"/>
        <v>Lebanon2355Frisco</v>
      </c>
      <c r="H7047" t="s">
        <v>37903</v>
      </c>
      <c r="I7047" t="s">
        <v>29319</v>
      </c>
      <c r="J7047" t="str">
        <f t="shared" si="552"/>
        <v>E:\PropInv\MF</v>
      </c>
      <c r="K7047" s="103" t="str">
        <f>HYPERLINK("E:\PropInv\MF\Frisco\Lebanon Rd_2355_Lebanon Ridge_Frisco_18212","Lebanon Rd_2355_Lebanon Ridge_Frisco_18212" )</f>
        <v>Lebanon Rd_2355_Lebanon Ridge_Frisco_18212</v>
      </c>
      <c r="L7047" s="104" t="s">
        <v>22253</v>
      </c>
      <c r="M7047" s="103" t="str">
        <f t="shared" si="553"/>
        <v>http://oconnordata.com/mlink/modules/profile/index.cfm?action=profile&amp;prop_id=18212</v>
      </c>
      <c r="N7047" s="1">
        <f t="shared" si="554"/>
        <v>18212</v>
      </c>
    </row>
    <row r="7048" spans="1:14" x14ac:dyDescent="0.3">
      <c r="A7048" s="1">
        <v>18214</v>
      </c>
      <c r="B7048" s="7" t="s">
        <v>10568</v>
      </c>
      <c r="C7048" s="12">
        <v>340</v>
      </c>
      <c r="D7048" s="7" t="s">
        <v>10569</v>
      </c>
      <c r="E7048" s="13" t="s">
        <v>5046</v>
      </c>
      <c r="F7048" t="str">
        <f t="shared" si="550"/>
        <v>Gran</v>
      </c>
      <c r="G7048" t="str">
        <f t="shared" si="551"/>
        <v>Gran340Irving</v>
      </c>
      <c r="H7048" t="s">
        <v>37904</v>
      </c>
      <c r="I7048" t="s">
        <v>29320</v>
      </c>
      <c r="J7048" t="str">
        <f t="shared" si="552"/>
        <v>E:\PropInv\MF</v>
      </c>
      <c r="K7048" s="103" t="str">
        <f>HYPERLINK("E:\PropInv\MF\Irving\Gran Via_340_Escena Las Colinas_Irving_18214","Gran Via_340_Escena Las Colinas_Irving_18214" )</f>
        <v>Gran Via_340_Escena Las Colinas_Irving_18214</v>
      </c>
      <c r="L7048" s="104" t="s">
        <v>22253</v>
      </c>
      <c r="M7048" s="103" t="str">
        <f t="shared" si="553"/>
        <v>http://oconnordata.com/mlink/modules/profile/index.cfm?action=profile&amp;prop_id=18214</v>
      </c>
      <c r="N7048" s="1">
        <f t="shared" si="554"/>
        <v>18214</v>
      </c>
    </row>
    <row r="7049" spans="1:14" x14ac:dyDescent="0.3">
      <c r="A7049" s="1">
        <v>18216</v>
      </c>
      <c r="B7049" s="7" t="s">
        <v>10570</v>
      </c>
      <c r="C7049" s="12">
        <v>1101</v>
      </c>
      <c r="D7049" s="7" t="s">
        <v>10571</v>
      </c>
      <c r="E7049" s="13" t="s">
        <v>498</v>
      </c>
      <c r="F7049" t="str">
        <f t="shared" si="550"/>
        <v>River</v>
      </c>
      <c r="G7049" t="str">
        <f t="shared" si="551"/>
        <v>River1101San Marcos</v>
      </c>
      <c r="H7049" t="s">
        <v>37905</v>
      </c>
      <c r="I7049" t="s">
        <v>29321</v>
      </c>
      <c r="J7049" t="str">
        <f t="shared" si="552"/>
        <v>E:\PropInv\MF</v>
      </c>
      <c r="K7049" s="103" t="str">
        <f>HYPERLINK("E:\PropInv\MF\San Marcos\River Ridge Pkwy E_1101_University Heights San Marcos II_San Marcos_18216","River Ridge Pkwy E_1101_University Heights San Marcos II_San Marcos_18216" )</f>
        <v>River Ridge Pkwy E_1101_University Heights San Marcos II_San Marcos_18216</v>
      </c>
      <c r="L7049" s="104" t="s">
        <v>22253</v>
      </c>
      <c r="M7049" s="103" t="str">
        <f t="shared" si="553"/>
        <v>http://oconnordata.com/mlink/modules/profile/index.cfm?action=profile&amp;prop_id=18216</v>
      </c>
      <c r="N7049" s="1">
        <f t="shared" si="554"/>
        <v>18216</v>
      </c>
    </row>
    <row r="7050" spans="1:14" x14ac:dyDescent="0.3">
      <c r="A7050" s="1">
        <v>18217</v>
      </c>
      <c r="B7050" s="7" t="s">
        <v>5843</v>
      </c>
      <c r="C7050" s="12">
        <v>720</v>
      </c>
      <c r="D7050" s="7" t="s">
        <v>10572</v>
      </c>
      <c r="E7050" s="13" t="s">
        <v>5407</v>
      </c>
      <c r="F7050" t="str">
        <f t="shared" si="550"/>
        <v>Joe</v>
      </c>
      <c r="G7050" t="str">
        <f t="shared" si="551"/>
        <v>Joe720Cedar Hill</v>
      </c>
      <c r="H7050" t="s">
        <v>37906</v>
      </c>
      <c r="I7050" t="s">
        <v>29322</v>
      </c>
      <c r="J7050" t="str">
        <f t="shared" si="552"/>
        <v>E:\PropInv\MF</v>
      </c>
      <c r="K7050" s="103" t="str">
        <f>HYPERLINK("E:\PropInv\MF\Cedar Hill\Joe Wilson Rd N_720_Legacy of Cedar Hill III_Cedar Hill_18217","Joe Wilson Rd N_720_Legacy of Cedar Hill III_Cedar Hill_18217" )</f>
        <v>Joe Wilson Rd N_720_Legacy of Cedar Hill III_Cedar Hill_18217</v>
      </c>
      <c r="L7050" s="104" t="s">
        <v>22253</v>
      </c>
      <c r="M7050" s="103" t="str">
        <f t="shared" si="553"/>
        <v>http://oconnordata.com/mlink/modules/profile/index.cfm?action=profile&amp;prop_id=18217</v>
      </c>
      <c r="N7050" s="1">
        <f t="shared" si="554"/>
        <v>18217</v>
      </c>
    </row>
    <row r="7051" spans="1:14" x14ac:dyDescent="0.3">
      <c r="A7051" s="1">
        <v>18218</v>
      </c>
      <c r="B7051" s="7" t="s">
        <v>10573</v>
      </c>
      <c r="C7051" s="12">
        <v>4101</v>
      </c>
      <c r="D7051" s="7" t="s">
        <v>10574</v>
      </c>
      <c r="E7051" s="13" t="s">
        <v>8626</v>
      </c>
      <c r="F7051" t="str">
        <f t="shared" si="550"/>
        <v>Sayle</v>
      </c>
      <c r="G7051" t="str">
        <f t="shared" si="551"/>
        <v>Sayle4101Greenville</v>
      </c>
      <c r="H7051" t="s">
        <v>37907</v>
      </c>
      <c r="I7051" t="s">
        <v>29323</v>
      </c>
      <c r="J7051" t="str">
        <f t="shared" si="552"/>
        <v>E:\PropInv\MF</v>
      </c>
      <c r="K7051" s="103" t="str">
        <f>HYPERLINK("E:\PropInv\MF\Greenville\Sayle St_4101_Sayle Village_Greenville_18218","Sayle St_4101_Sayle Village_Greenville_18218" )</f>
        <v>Sayle St_4101_Sayle Village_Greenville_18218</v>
      </c>
      <c r="L7051" s="104" t="s">
        <v>22253</v>
      </c>
      <c r="M7051" s="103" t="str">
        <f t="shared" si="553"/>
        <v>http://oconnordata.com/mlink/modules/profile/index.cfm?action=profile&amp;prop_id=18218</v>
      </c>
      <c r="N7051" s="1">
        <f t="shared" si="554"/>
        <v>18218</v>
      </c>
    </row>
    <row r="7052" spans="1:14" x14ac:dyDescent="0.3">
      <c r="A7052" s="1">
        <v>18219</v>
      </c>
      <c r="B7052" s="19" t="s">
        <v>4432</v>
      </c>
      <c r="C7052" s="18" t="s">
        <v>2497</v>
      </c>
      <c r="D7052" s="19" t="s">
        <v>10575</v>
      </c>
      <c r="E7052" s="20" t="s">
        <v>1657</v>
      </c>
      <c r="F7052" t="str">
        <f t="shared" si="550"/>
        <v>Pearland</v>
      </c>
      <c r="G7052" t="str">
        <f t="shared" si="551"/>
        <v>PearlandNFHouston</v>
      </c>
      <c r="H7052" t="s">
        <v>37908</v>
      </c>
      <c r="I7052" t="s">
        <v>29324</v>
      </c>
      <c r="J7052" t="str">
        <f t="shared" si="552"/>
        <v>E:\PropInv\MF</v>
      </c>
      <c r="K7052" s="103" t="str">
        <f>HYPERLINK("E:\PropInv\MF\Houston\Pearland Pkwy_NF_Park Avenue at Boulder Creek II_Houston_18219","Pearland Pkwy_NF_Park Avenue at Boulder Creek II_Houston_18219" )</f>
        <v>Pearland Pkwy_NF_Park Avenue at Boulder Creek II_Houston_18219</v>
      </c>
      <c r="L7052" s="104" t="s">
        <v>22253</v>
      </c>
      <c r="M7052" s="103" t="str">
        <f t="shared" si="553"/>
        <v>http://oconnordata.com/mlink/modules/profile/index.cfm?action=profile&amp;prop_id=18219</v>
      </c>
      <c r="N7052" s="1">
        <f t="shared" si="554"/>
        <v>18219</v>
      </c>
    </row>
    <row r="7053" spans="1:14" x14ac:dyDescent="0.3">
      <c r="A7053" s="1">
        <v>18220</v>
      </c>
      <c r="B7053" s="7" t="s">
        <v>8048</v>
      </c>
      <c r="C7053" s="12">
        <v>15777</v>
      </c>
      <c r="D7053" s="7" t="s">
        <v>10576</v>
      </c>
      <c r="E7053" s="13" t="s">
        <v>5005</v>
      </c>
      <c r="F7053" t="str">
        <f t="shared" si="550"/>
        <v>Quorum</v>
      </c>
      <c r="G7053" t="str">
        <f t="shared" si="551"/>
        <v>Quorum15777Addison</v>
      </c>
      <c r="H7053" t="s">
        <v>37909</v>
      </c>
      <c r="I7053" t="s">
        <v>29325</v>
      </c>
      <c r="J7053" t="str">
        <f t="shared" si="552"/>
        <v>E:\PropInv\MF</v>
      </c>
      <c r="K7053" s="103" t="str">
        <f>HYPERLINK("E:\PropInv\MF\Addison\Quorum Dr_15777_15777 Quorum_Addison_18220","Quorum Dr_15777_15777 Quorum_Addison_18220" )</f>
        <v>Quorum Dr_15777_15777 Quorum_Addison_18220</v>
      </c>
      <c r="L7053" s="104" t="s">
        <v>22253</v>
      </c>
      <c r="M7053" s="103" t="str">
        <f t="shared" si="553"/>
        <v>http://oconnordata.com/mlink/modules/profile/index.cfm?action=profile&amp;prop_id=18220</v>
      </c>
      <c r="N7053" s="1">
        <f t="shared" si="554"/>
        <v>18220</v>
      </c>
    </row>
    <row r="7054" spans="1:14" x14ac:dyDescent="0.3">
      <c r="A7054" s="1">
        <v>18221</v>
      </c>
      <c r="B7054" s="7" t="s">
        <v>152</v>
      </c>
      <c r="C7054" s="12">
        <v>10001</v>
      </c>
      <c r="D7054" s="7" t="s">
        <v>10577</v>
      </c>
      <c r="E7054" s="13" t="s">
        <v>7</v>
      </c>
      <c r="F7054" t="str">
        <f t="shared" si="550"/>
        <v>1st</v>
      </c>
      <c r="G7054" t="str">
        <f t="shared" si="551"/>
        <v>1st10001Austin</v>
      </c>
      <c r="H7054" t="s">
        <v>37910</v>
      </c>
      <c r="I7054" t="s">
        <v>29326</v>
      </c>
      <c r="J7054" t="str">
        <f t="shared" si="552"/>
        <v>E:\PropInv\MF</v>
      </c>
      <c r="K7054" s="103" t="str">
        <f>HYPERLINK("E:\PropInv\MF\Austin\1st St S_10001_The Estates at Southpark Meadows_Austin_18221","1st St S_10001_The Estates at Southpark Meadows_Austin_18221" )</f>
        <v>1st St S_10001_The Estates at Southpark Meadows_Austin_18221</v>
      </c>
      <c r="L7054" s="104" t="s">
        <v>22253</v>
      </c>
      <c r="M7054" s="103" t="str">
        <f t="shared" si="553"/>
        <v>http://oconnordata.com/mlink/modules/profile/index.cfm?action=profile&amp;prop_id=18221</v>
      </c>
      <c r="N7054" s="1">
        <f t="shared" si="554"/>
        <v>18221</v>
      </c>
    </row>
    <row r="7055" spans="1:14" x14ac:dyDescent="0.3">
      <c r="A7055" s="1">
        <v>18222</v>
      </c>
      <c r="B7055" s="7" t="s">
        <v>152</v>
      </c>
      <c r="C7055" s="12">
        <v>10101</v>
      </c>
      <c r="D7055" s="7" t="s">
        <v>10578</v>
      </c>
      <c r="E7055" s="13" t="s">
        <v>7</v>
      </c>
      <c r="F7055" t="str">
        <f t="shared" si="550"/>
        <v>1st</v>
      </c>
      <c r="G7055" t="str">
        <f t="shared" si="551"/>
        <v>1st10101Austin</v>
      </c>
      <c r="H7055" t="s">
        <v>37911</v>
      </c>
      <c r="I7055" t="s">
        <v>29327</v>
      </c>
      <c r="J7055" t="str">
        <f t="shared" si="552"/>
        <v>E:\PropInv\MF</v>
      </c>
      <c r="K7055" s="103" t="str">
        <f>HYPERLINK("E:\PropInv\MF\Austin\1st St S_10101_The Terraces at Southpark Meadows_Austin_18222","1st St S_10101_The Terraces at Southpark Meadows_Austin_18222" )</f>
        <v>1st St S_10101_The Terraces at Southpark Meadows_Austin_18222</v>
      </c>
      <c r="L7055" s="104" t="s">
        <v>22253</v>
      </c>
      <c r="M7055" s="103" t="str">
        <f t="shared" si="553"/>
        <v>http://oconnordata.com/mlink/modules/profile/index.cfm?action=profile&amp;prop_id=18222</v>
      </c>
      <c r="N7055" s="1">
        <f t="shared" si="554"/>
        <v>18222</v>
      </c>
    </row>
    <row r="7056" spans="1:14" x14ac:dyDescent="0.3">
      <c r="A7056" s="1">
        <v>18223</v>
      </c>
      <c r="B7056" s="7" t="s">
        <v>3118</v>
      </c>
      <c r="C7056" s="12">
        <v>1808</v>
      </c>
      <c r="D7056" s="7" t="s">
        <v>10579</v>
      </c>
      <c r="E7056" s="13" t="s">
        <v>4996</v>
      </c>
      <c r="F7056" t="str">
        <f t="shared" si="550"/>
        <v>Main</v>
      </c>
      <c r="G7056" t="str">
        <f t="shared" si="551"/>
        <v>Main1808Dallas</v>
      </c>
      <c r="H7056" t="s">
        <v>37912</v>
      </c>
      <c r="I7056" t="s">
        <v>29328</v>
      </c>
      <c r="J7056" t="str">
        <f t="shared" si="552"/>
        <v>E:\PropInv\MF</v>
      </c>
      <c r="K7056" s="103" t="str">
        <f>HYPERLINK("E:\PropInv\MF\Dallas\Main St_1808_Mercantile Place-The Element_Dallas_18223","Main St_1808_Mercantile Place-The Element_Dallas_18223" )</f>
        <v>Main St_1808_Mercantile Place-The Element_Dallas_18223</v>
      </c>
      <c r="L7056" s="104" t="s">
        <v>22253</v>
      </c>
      <c r="M7056" s="103" t="str">
        <f t="shared" si="553"/>
        <v>http://oconnordata.com/mlink/modules/profile/index.cfm?action=profile&amp;prop_id=18223</v>
      </c>
      <c r="N7056" s="1">
        <f t="shared" si="554"/>
        <v>18223</v>
      </c>
    </row>
    <row r="7057" spans="1:14" x14ac:dyDescent="0.3">
      <c r="A7057" s="1">
        <v>18224</v>
      </c>
      <c r="B7057" s="7" t="s">
        <v>249</v>
      </c>
      <c r="C7057" s="12">
        <v>12101</v>
      </c>
      <c r="D7057" s="7" t="s">
        <v>10580</v>
      </c>
      <c r="E7057" s="13" t="s">
        <v>7</v>
      </c>
      <c r="F7057" t="str">
        <f t="shared" si="550"/>
        <v>Dessau</v>
      </c>
      <c r="G7057" t="str">
        <f t="shared" si="551"/>
        <v>Dessau12101Austin</v>
      </c>
      <c r="H7057" t="s">
        <v>37913</v>
      </c>
      <c r="I7057" t="s">
        <v>29329</v>
      </c>
      <c r="J7057" t="str">
        <f t="shared" si="552"/>
        <v>E:\PropInv\MF</v>
      </c>
      <c r="K7057" s="103" t="str">
        <f>HYPERLINK("E:\PropInv\MF\Austin\Dessau Rd_12101_Century Parmer Place_Austin_18224","Dessau Rd_12101_Century Parmer Place_Austin_18224" )</f>
        <v>Dessau Rd_12101_Century Parmer Place_Austin_18224</v>
      </c>
      <c r="L7057" s="104" t="s">
        <v>22253</v>
      </c>
      <c r="M7057" s="103" t="str">
        <f t="shared" si="553"/>
        <v>http://oconnordata.com/mlink/modules/profile/index.cfm?action=profile&amp;prop_id=18224</v>
      </c>
      <c r="N7057" s="1">
        <f t="shared" si="554"/>
        <v>18224</v>
      </c>
    </row>
    <row r="7058" spans="1:14" x14ac:dyDescent="0.3">
      <c r="A7058" s="1">
        <v>18225</v>
      </c>
      <c r="B7058" s="7" t="s">
        <v>10581</v>
      </c>
      <c r="C7058" s="12">
        <v>3801</v>
      </c>
      <c r="D7058" s="7" t="s">
        <v>10582</v>
      </c>
      <c r="E7058" s="13" t="s">
        <v>4038</v>
      </c>
      <c r="F7058" t="str">
        <f t="shared" si="550"/>
        <v>Center</v>
      </c>
      <c r="G7058" t="str">
        <f t="shared" si="551"/>
        <v>Center3801Deer Park</v>
      </c>
      <c r="H7058" t="s">
        <v>37914</v>
      </c>
      <c r="I7058" t="s">
        <v>29330</v>
      </c>
      <c r="J7058" t="str">
        <f t="shared" si="552"/>
        <v>E:\PropInv\MF</v>
      </c>
      <c r="K7058" s="103" t="str">
        <f>HYPERLINK("E:\PropInv\MF\Deer Park\Center St_3801_Providence Town Square_Deer Park_18225","Center St_3801_Providence Town Square_Deer Park_18225" )</f>
        <v>Center St_3801_Providence Town Square_Deer Park_18225</v>
      </c>
      <c r="L7058" s="104" t="s">
        <v>22253</v>
      </c>
      <c r="M7058" s="103" t="str">
        <f t="shared" si="553"/>
        <v>http://oconnordata.com/mlink/modules/profile/index.cfm?action=profile&amp;prop_id=18225</v>
      </c>
      <c r="N7058" s="1">
        <f t="shared" si="554"/>
        <v>18225</v>
      </c>
    </row>
    <row r="7059" spans="1:14" x14ac:dyDescent="0.3">
      <c r="A7059" s="1">
        <v>18226</v>
      </c>
      <c r="B7059" s="7" t="s">
        <v>10583</v>
      </c>
      <c r="C7059" s="12">
        <v>24001</v>
      </c>
      <c r="D7059" s="7" t="s">
        <v>10584</v>
      </c>
      <c r="E7059" s="13" t="s">
        <v>2198</v>
      </c>
      <c r="F7059" t="str">
        <f t="shared" si="550"/>
        <v>Cinco</v>
      </c>
      <c r="G7059" t="str">
        <f t="shared" si="551"/>
        <v>Cinco24001Katy</v>
      </c>
      <c r="H7059" t="s">
        <v>37915</v>
      </c>
      <c r="I7059" t="s">
        <v>29331</v>
      </c>
      <c r="J7059" t="str">
        <f t="shared" si="552"/>
        <v>E:\PropInv\MF</v>
      </c>
      <c r="K7059" s="103" t="str">
        <f>HYPERLINK("E:\PropInv\MF\Katy\Cinco Village Center Blvd_24001_The Solana at Cinco Ranch_Katy_18226","Cinco Village Center Blvd_24001_The Solana at Cinco Ranch_Katy_18226" )</f>
        <v>Cinco Village Center Blvd_24001_The Solana at Cinco Ranch_Katy_18226</v>
      </c>
      <c r="L7059" s="104" t="s">
        <v>22253</v>
      </c>
      <c r="M7059" s="103" t="str">
        <f t="shared" si="553"/>
        <v>http://oconnordata.com/mlink/modules/profile/index.cfm?action=profile&amp;prop_id=18226</v>
      </c>
      <c r="N7059" s="1">
        <f t="shared" si="554"/>
        <v>18226</v>
      </c>
    </row>
    <row r="7060" spans="1:14" x14ac:dyDescent="0.3">
      <c r="A7060" s="1">
        <v>18230</v>
      </c>
      <c r="B7060" s="7" t="s">
        <v>10585</v>
      </c>
      <c r="C7060" s="12">
        <v>902</v>
      </c>
      <c r="D7060" s="7" t="s">
        <v>10586</v>
      </c>
      <c r="E7060" s="13" t="s">
        <v>10587</v>
      </c>
      <c r="F7060" t="str">
        <f t="shared" si="550"/>
        <v>Eldorado</v>
      </c>
      <c r="G7060" t="str">
        <f t="shared" si="551"/>
        <v>Eldorado902Little Elm</v>
      </c>
      <c r="H7060" t="s">
        <v>37916</v>
      </c>
      <c r="I7060" t="s">
        <v>29332</v>
      </c>
      <c r="J7060" t="str">
        <f t="shared" si="552"/>
        <v>E:\PropInv\MF</v>
      </c>
      <c r="K7060" s="103" t="str">
        <f>HYPERLINK("E:\PropInv\MF\Little Elm\Eldorado W_902_Lakeside Manor_Little Elm_18230","Eldorado W_902_Lakeside Manor_Little Elm_18230" )</f>
        <v>Eldorado W_902_Lakeside Manor_Little Elm_18230</v>
      </c>
      <c r="L7060" s="104" t="s">
        <v>22253</v>
      </c>
      <c r="M7060" s="103" t="str">
        <f t="shared" si="553"/>
        <v>http://oconnordata.com/mlink/modules/profile/index.cfm?action=profile&amp;prop_id=18230</v>
      </c>
      <c r="N7060" s="1">
        <f t="shared" si="554"/>
        <v>18230</v>
      </c>
    </row>
    <row r="7061" spans="1:14" x14ac:dyDescent="0.3">
      <c r="A7061" s="1">
        <v>18231</v>
      </c>
      <c r="B7061" s="7" t="s">
        <v>10588</v>
      </c>
      <c r="C7061" s="12">
        <v>5454</v>
      </c>
      <c r="D7061" s="7" t="s">
        <v>10589</v>
      </c>
      <c r="E7061" s="13" t="s">
        <v>1657</v>
      </c>
      <c r="F7061" t="str">
        <f t="shared" si="550"/>
        <v>Newcastle</v>
      </c>
      <c r="G7061" t="str">
        <f t="shared" si="551"/>
        <v>Newcastle5454Houston</v>
      </c>
      <c r="H7061" t="s">
        <v>37917</v>
      </c>
      <c r="I7061" t="s">
        <v>29333</v>
      </c>
      <c r="J7061" t="str">
        <f t="shared" si="552"/>
        <v>E:\PropInv\MF</v>
      </c>
      <c r="K7061" s="103" t="str">
        <f>HYPERLINK("E:\PropInv\MF\Houston\Newcastle Dr_5454_The Marquis at Bellaire_Houston_18231","Newcastle Dr_5454_The Marquis at Bellaire_Houston_18231" )</f>
        <v>Newcastle Dr_5454_The Marquis at Bellaire_Houston_18231</v>
      </c>
      <c r="L7061" s="104" t="s">
        <v>22253</v>
      </c>
      <c r="M7061" s="103" t="str">
        <f t="shared" si="553"/>
        <v>http://oconnordata.com/mlink/modules/profile/index.cfm?action=profile&amp;prop_id=18231</v>
      </c>
      <c r="N7061" s="1">
        <f t="shared" si="554"/>
        <v>18231</v>
      </c>
    </row>
    <row r="7062" spans="1:14" x14ac:dyDescent="0.3">
      <c r="A7062" s="1">
        <v>18232</v>
      </c>
      <c r="B7062" s="7" t="s">
        <v>5166</v>
      </c>
      <c r="C7062" s="12">
        <v>2222</v>
      </c>
      <c r="D7062" s="7" t="s">
        <v>10590</v>
      </c>
      <c r="E7062" s="13" t="s">
        <v>7</v>
      </c>
      <c r="F7062" t="str">
        <f t="shared" si="550"/>
        <v>Rio</v>
      </c>
      <c r="G7062" t="str">
        <f t="shared" si="551"/>
        <v>Rio2222Austin</v>
      </c>
      <c r="H7062" t="s">
        <v>37918</v>
      </c>
      <c r="I7062" t="s">
        <v>29334</v>
      </c>
      <c r="J7062" t="str">
        <f t="shared" si="552"/>
        <v>E:\PropInv\MF</v>
      </c>
      <c r="K7062" s="103" t="str">
        <f>HYPERLINK("E:\PropInv\MF\Austin\Rio Grande_2222_The Quarters at Karnes House_Austin_18232","Rio Grande_2222_The Quarters at Karnes House_Austin_18232" )</f>
        <v>Rio Grande_2222_The Quarters at Karnes House_Austin_18232</v>
      </c>
      <c r="L7062" s="104" t="s">
        <v>22253</v>
      </c>
      <c r="M7062" s="103" t="str">
        <f t="shared" si="553"/>
        <v>http://oconnordata.com/mlink/modules/profile/index.cfm?action=profile&amp;prop_id=18232</v>
      </c>
      <c r="N7062" s="1">
        <f t="shared" si="554"/>
        <v>18232</v>
      </c>
    </row>
    <row r="7063" spans="1:14" x14ac:dyDescent="0.3">
      <c r="A7063" s="1">
        <v>18233</v>
      </c>
      <c r="B7063" s="7" t="s">
        <v>10591</v>
      </c>
      <c r="C7063" s="12" t="s">
        <v>2497</v>
      </c>
      <c r="D7063" s="7" t="s">
        <v>10592</v>
      </c>
      <c r="E7063" s="25" t="s">
        <v>7</v>
      </c>
      <c r="F7063" t="str">
        <f t="shared" si="550"/>
        <v>Cesar</v>
      </c>
      <c r="G7063" t="str">
        <f t="shared" si="551"/>
        <v>CesarNFAustin</v>
      </c>
      <c r="H7063" t="s">
        <v>37919</v>
      </c>
      <c r="I7063" t="s">
        <v>29335</v>
      </c>
      <c r="J7063" t="str">
        <f t="shared" si="552"/>
        <v>E:\PropInv\MF</v>
      </c>
      <c r="K7063" s="103" t="str">
        <f>HYPERLINK("E:\PropInv\MF\Austin\Cesar Chavez W_NF_Gables Park Plaza II_Austin_18233","Cesar Chavez W_NF_Gables Park Plaza II_Austin_18233" )</f>
        <v>Cesar Chavez W_NF_Gables Park Plaza II_Austin_18233</v>
      </c>
      <c r="L7063" s="104" t="s">
        <v>22253</v>
      </c>
      <c r="M7063" s="103" t="str">
        <f t="shared" si="553"/>
        <v>http://oconnordata.com/mlink/modules/profile/index.cfm?action=profile&amp;prop_id=18233</v>
      </c>
      <c r="N7063" s="1">
        <f t="shared" si="554"/>
        <v>18233</v>
      </c>
    </row>
    <row r="7064" spans="1:14" x14ac:dyDescent="0.3">
      <c r="A7064" s="1">
        <v>18234</v>
      </c>
      <c r="B7064" s="7" t="s">
        <v>1336</v>
      </c>
      <c r="C7064" s="12">
        <v>6201</v>
      </c>
      <c r="D7064" s="7" t="s">
        <v>10593</v>
      </c>
      <c r="E7064" s="13" t="s">
        <v>842</v>
      </c>
      <c r="F7064" t="str">
        <f t="shared" si="550"/>
        <v>Grissom</v>
      </c>
      <c r="G7064" t="str">
        <f t="shared" si="551"/>
        <v>Grissom6201San Antonio</v>
      </c>
      <c r="H7064" t="s">
        <v>37920</v>
      </c>
      <c r="I7064" t="s">
        <v>29336</v>
      </c>
      <c r="J7064" t="str">
        <f t="shared" si="552"/>
        <v>E:\PropInv\MF</v>
      </c>
      <c r="K7064" s="103" t="str">
        <f>HYPERLINK("E:\PropInv\MF\San Antonio\Grissom Rd_6201_The Barcelona Lofts II_San Antonio_18234","Grissom Rd_6201_The Barcelona Lofts II_San Antonio_18234" )</f>
        <v>Grissom Rd_6201_The Barcelona Lofts II_San Antonio_18234</v>
      </c>
      <c r="L7064" s="104" t="s">
        <v>22253</v>
      </c>
      <c r="M7064" s="103" t="str">
        <f t="shared" si="553"/>
        <v>http://oconnordata.com/mlink/modules/profile/index.cfm?action=profile&amp;prop_id=18234</v>
      </c>
      <c r="N7064" s="1">
        <f t="shared" si="554"/>
        <v>18234</v>
      </c>
    </row>
    <row r="7065" spans="1:14" x14ac:dyDescent="0.3">
      <c r="A7065" s="1">
        <v>18235</v>
      </c>
      <c r="B7065" s="7" t="s">
        <v>7529</v>
      </c>
      <c r="C7065" s="12">
        <v>3783</v>
      </c>
      <c r="D7065" s="7" t="s">
        <v>10594</v>
      </c>
      <c r="E7065" s="13" t="s">
        <v>4996</v>
      </c>
      <c r="F7065" t="str">
        <f t="shared" si="550"/>
        <v>Legendary</v>
      </c>
      <c r="G7065" t="str">
        <f t="shared" si="551"/>
        <v>Legendary3783Dallas</v>
      </c>
      <c r="H7065" t="s">
        <v>37921</v>
      </c>
      <c r="I7065" t="s">
        <v>29337</v>
      </c>
      <c r="J7065" t="str">
        <f t="shared" si="552"/>
        <v>E:\PropInv\MF</v>
      </c>
      <c r="K7065" s="103" t="str">
        <f>HYPERLINK("E:\PropInv\MF\Dallas\Legendary Ln_3783_Rosa Vista Apts_Dallas_18235","Legendary Ln_3783_Rosa Vista Apts_Dallas_18235" )</f>
        <v>Legendary Ln_3783_Rosa Vista Apts_Dallas_18235</v>
      </c>
      <c r="L7065" s="104" t="s">
        <v>22253</v>
      </c>
      <c r="M7065" s="103" t="str">
        <f t="shared" si="553"/>
        <v>http://oconnordata.com/mlink/modules/profile/index.cfm?action=profile&amp;prop_id=18235</v>
      </c>
      <c r="N7065" s="1">
        <f t="shared" si="554"/>
        <v>18235</v>
      </c>
    </row>
    <row r="7066" spans="1:14" s="114" customFormat="1" x14ac:dyDescent="0.3">
      <c r="A7066" s="111">
        <v>18236</v>
      </c>
      <c r="B7066" s="127" t="s">
        <v>10595</v>
      </c>
      <c r="C7066" s="128">
        <v>119</v>
      </c>
      <c r="D7066" s="127" t="s">
        <v>10596</v>
      </c>
      <c r="E7066" s="127" t="s">
        <v>5046</v>
      </c>
      <c r="F7066" s="114" t="str">
        <f t="shared" si="550"/>
        <v>Macarthur</v>
      </c>
      <c r="G7066" s="114" t="str">
        <f t="shared" si="551"/>
        <v>Macarthur119Irving</v>
      </c>
      <c r="H7066" s="114" t="s">
        <v>37922</v>
      </c>
      <c r="I7066" s="114" t="s">
        <v>29338</v>
      </c>
      <c r="J7066" s="114" t="str">
        <f t="shared" si="552"/>
        <v>E:\PropInv\MF</v>
      </c>
      <c r="K7066" s="115" t="str">
        <f>HYPERLINK("E:\PropInv\MF\Irving\Macarthur Blvd S_119_MacArthur Square_Irving_18236","Macarthur Blvd S_119_MacArthur Square_Irving_18236" )</f>
        <v>Macarthur Blvd S_119_MacArthur Square_Irving_18236</v>
      </c>
      <c r="L7066" s="116" t="s">
        <v>22253</v>
      </c>
      <c r="M7066" s="115" t="str">
        <f t="shared" si="553"/>
        <v>http://oconnordata.com/mlink/modules/profile/index.cfm?action=profile&amp;prop_id=18236</v>
      </c>
      <c r="N7066" s="111">
        <f t="shared" si="554"/>
        <v>18236</v>
      </c>
    </row>
    <row r="7067" spans="1:14" x14ac:dyDescent="0.3">
      <c r="A7067" s="1">
        <v>18239</v>
      </c>
      <c r="B7067" s="7" t="s">
        <v>10597</v>
      </c>
      <c r="C7067" s="12">
        <v>22777</v>
      </c>
      <c r="D7067" s="7" t="s">
        <v>10598</v>
      </c>
      <c r="E7067" s="13" t="s">
        <v>2198</v>
      </c>
      <c r="F7067" t="str">
        <f t="shared" si="550"/>
        <v>Franz</v>
      </c>
      <c r="G7067" t="str">
        <f t="shared" si="551"/>
        <v>Franz22777Katy</v>
      </c>
      <c r="H7067" t="s">
        <v>37923</v>
      </c>
      <c r="I7067" t="s">
        <v>29339</v>
      </c>
      <c r="J7067" t="str">
        <f t="shared" si="552"/>
        <v>E:\PropInv\MF</v>
      </c>
      <c r="K7067" s="103" t="str">
        <f>HYPERLINK("E:\PropInv\MF\Katy\Franz Rd_22777_The Grand Parkway_Katy_18239","Franz Rd_22777_The Grand Parkway_Katy_18239" )</f>
        <v>Franz Rd_22777_The Grand Parkway_Katy_18239</v>
      </c>
      <c r="L7067" s="104" t="s">
        <v>22253</v>
      </c>
      <c r="M7067" s="103" t="str">
        <f t="shared" si="553"/>
        <v>http://oconnordata.com/mlink/modules/profile/index.cfm?action=profile&amp;prop_id=18239</v>
      </c>
      <c r="N7067" s="1">
        <f t="shared" si="554"/>
        <v>18239</v>
      </c>
    </row>
    <row r="7068" spans="1:14" x14ac:dyDescent="0.3">
      <c r="A7068" s="1">
        <v>18240</v>
      </c>
      <c r="B7068" s="7" t="s">
        <v>8780</v>
      </c>
      <c r="C7068" s="12">
        <v>614</v>
      </c>
      <c r="D7068" s="7" t="s">
        <v>10599</v>
      </c>
      <c r="E7068" s="13" t="s">
        <v>8612</v>
      </c>
      <c r="F7068" t="str">
        <f t="shared" si="550"/>
        <v>Holleman</v>
      </c>
      <c r="G7068" t="str">
        <f t="shared" si="551"/>
        <v>Holleman614College Station</v>
      </c>
      <c r="H7068" t="s">
        <v>37924</v>
      </c>
      <c r="I7068" t="s">
        <v>29340</v>
      </c>
      <c r="J7068" t="str">
        <f t="shared" si="552"/>
        <v>E:\PropInv\MF</v>
      </c>
      <c r="K7068" s="103" t="str">
        <f>HYPERLINK("E:\PropInv\MF\College Station\Holleman Dr E_614_The Lofts at Wolf Pen Creek_College Station_18240","Holleman Dr E_614_The Lofts at Wolf Pen Creek_College Station_18240" )</f>
        <v>Holleman Dr E_614_The Lofts at Wolf Pen Creek_College Station_18240</v>
      </c>
      <c r="L7068" s="104" t="s">
        <v>22253</v>
      </c>
      <c r="M7068" s="103" t="str">
        <f t="shared" si="553"/>
        <v>http://oconnordata.com/mlink/modules/profile/index.cfm?action=profile&amp;prop_id=18240</v>
      </c>
      <c r="N7068" s="1">
        <f t="shared" si="554"/>
        <v>18240</v>
      </c>
    </row>
    <row r="7069" spans="1:14" x14ac:dyDescent="0.3">
      <c r="A7069" s="1">
        <v>18241</v>
      </c>
      <c r="B7069" s="19" t="s">
        <v>10222</v>
      </c>
      <c r="C7069" s="18" t="s">
        <v>10600</v>
      </c>
      <c r="D7069" s="19" t="s">
        <v>10601</v>
      </c>
      <c r="E7069" s="20" t="s">
        <v>842</v>
      </c>
      <c r="F7069" t="str">
        <f t="shared" si="550"/>
        <v>Medina</v>
      </c>
      <c r="G7069" t="str">
        <f t="shared" si="551"/>
        <v>Medina7714-1San Antonio</v>
      </c>
      <c r="H7069" t="s">
        <v>37925</v>
      </c>
      <c r="I7069" t="s">
        <v>29341</v>
      </c>
      <c r="J7069" t="str">
        <f t="shared" si="552"/>
        <v>E:\PropInv\MF</v>
      </c>
      <c r="K7069" s="103" t="str">
        <f>HYPERLINK("E:\PropInv\MF\San Antonio\Medina Base Dr_7714-1_Lackland City Apts_San Antonio_18241","Medina Base Dr_7714-1_Lackland City Apts_San Antonio_18241" )</f>
        <v>Medina Base Dr_7714-1_Lackland City Apts_San Antonio_18241</v>
      </c>
      <c r="L7069" s="104" t="s">
        <v>22253</v>
      </c>
      <c r="M7069" s="103" t="str">
        <f t="shared" si="553"/>
        <v>http://oconnordata.com/mlink/modules/profile/index.cfm?action=profile&amp;prop_id=18241</v>
      </c>
      <c r="N7069" s="1">
        <f t="shared" si="554"/>
        <v>18241</v>
      </c>
    </row>
    <row r="7070" spans="1:14" x14ac:dyDescent="0.3">
      <c r="A7070" s="1">
        <v>18242</v>
      </c>
      <c r="B7070" s="7" t="s">
        <v>10591</v>
      </c>
      <c r="C7070" s="12">
        <v>600</v>
      </c>
      <c r="D7070" s="7" t="s">
        <v>10602</v>
      </c>
      <c r="E7070" s="13" t="s">
        <v>7</v>
      </c>
      <c r="F7070" t="str">
        <f t="shared" si="550"/>
        <v>Cesar</v>
      </c>
      <c r="G7070" t="str">
        <f t="shared" si="551"/>
        <v>Cesar600Austin</v>
      </c>
      <c r="H7070" t="s">
        <v>37926</v>
      </c>
      <c r="I7070" t="s">
        <v>29342</v>
      </c>
      <c r="J7070" t="str">
        <f t="shared" si="552"/>
        <v>E:\PropInv\MF</v>
      </c>
      <c r="K7070" s="103" t="str">
        <f>HYPERLINK("E:\PropInv\MF\Austin\Cesar Chavez W_600_Project Green Senior Living_Austin_18242","Cesar Chavez W_600_Project Green Senior Living_Austin_18242" )</f>
        <v>Cesar Chavez W_600_Project Green Senior Living_Austin_18242</v>
      </c>
      <c r="L7070" s="104" t="s">
        <v>22253</v>
      </c>
      <c r="M7070" s="103" t="str">
        <f t="shared" si="553"/>
        <v>http://oconnordata.com/mlink/modules/profile/index.cfm?action=profile&amp;prop_id=18242</v>
      </c>
      <c r="N7070" s="1">
        <f t="shared" si="554"/>
        <v>18242</v>
      </c>
    </row>
    <row r="7071" spans="1:14" x14ac:dyDescent="0.3">
      <c r="A7071" s="1">
        <v>18243</v>
      </c>
      <c r="B7071" s="7" t="s">
        <v>10591</v>
      </c>
      <c r="C7071" s="12">
        <v>600</v>
      </c>
      <c r="D7071" s="7" t="s">
        <v>10603</v>
      </c>
      <c r="E7071" s="13" t="s">
        <v>7</v>
      </c>
      <c r="F7071" t="str">
        <f t="shared" si="550"/>
        <v>Cesar</v>
      </c>
      <c r="G7071" t="str">
        <f t="shared" si="551"/>
        <v>Cesar600Austin</v>
      </c>
      <c r="H7071" t="s">
        <v>37927</v>
      </c>
      <c r="I7071" t="s">
        <v>29343</v>
      </c>
      <c r="J7071" t="str">
        <f t="shared" si="552"/>
        <v>E:\PropInv\MF</v>
      </c>
      <c r="K7071" s="103" t="str">
        <f>HYPERLINK("E:\PropInv\MF\Austin\Cesar Chavez W_600_Project Green Apt Towers_Austin_18243","Cesar Chavez W_600_Project Green Apt Towers_Austin_18243" )</f>
        <v>Cesar Chavez W_600_Project Green Apt Towers_Austin_18243</v>
      </c>
      <c r="L7071" s="104" t="s">
        <v>22253</v>
      </c>
      <c r="M7071" s="103" t="str">
        <f t="shared" si="553"/>
        <v>http://oconnordata.com/mlink/modules/profile/index.cfm?action=profile&amp;prop_id=18243</v>
      </c>
      <c r="N7071" s="1">
        <f t="shared" si="554"/>
        <v>18243</v>
      </c>
    </row>
    <row r="7072" spans="1:14" x14ac:dyDescent="0.3">
      <c r="A7072" s="1">
        <v>18244</v>
      </c>
      <c r="B7072" s="7" t="s">
        <v>10591</v>
      </c>
      <c r="C7072" s="12">
        <v>600</v>
      </c>
      <c r="D7072" s="7" t="s">
        <v>10604</v>
      </c>
      <c r="E7072" s="13" t="s">
        <v>7</v>
      </c>
      <c r="F7072" t="str">
        <f t="shared" si="550"/>
        <v>Cesar</v>
      </c>
      <c r="G7072" t="str">
        <f t="shared" si="551"/>
        <v>Cesar600Austin</v>
      </c>
      <c r="H7072" t="s">
        <v>37928</v>
      </c>
      <c r="I7072" t="s">
        <v>29344</v>
      </c>
      <c r="J7072" t="str">
        <f t="shared" si="552"/>
        <v>E:\PropInv\MF</v>
      </c>
      <c r="K7072" s="103" t="str">
        <f>HYPERLINK("E:\PropInv\MF\Austin\Cesar Chavez W_600_Project Green Condo Towers_Austin_18244","Cesar Chavez W_600_Project Green Condo Towers_Austin_18244" )</f>
        <v>Cesar Chavez W_600_Project Green Condo Towers_Austin_18244</v>
      </c>
      <c r="L7072" s="104" t="s">
        <v>22253</v>
      </c>
      <c r="M7072" s="103" t="str">
        <f t="shared" si="553"/>
        <v>http://oconnordata.com/mlink/modules/profile/index.cfm?action=profile&amp;prop_id=18244</v>
      </c>
      <c r="N7072" s="1">
        <f t="shared" si="554"/>
        <v>18244</v>
      </c>
    </row>
    <row r="7073" spans="1:14" x14ac:dyDescent="0.3">
      <c r="A7073" s="1">
        <v>18245</v>
      </c>
      <c r="B7073" s="7" t="s">
        <v>10605</v>
      </c>
      <c r="C7073" s="12">
        <v>1001</v>
      </c>
      <c r="D7073" s="7" t="s">
        <v>10606</v>
      </c>
      <c r="E7073" s="13" t="s">
        <v>599</v>
      </c>
      <c r="F7073" t="str">
        <f t="shared" si="550"/>
        <v>Guadalupe</v>
      </c>
      <c r="G7073" t="str">
        <f t="shared" si="551"/>
        <v>Guadalupe1001Lockhart</v>
      </c>
      <c r="H7073" t="s">
        <v>37929</v>
      </c>
      <c r="I7073" t="s">
        <v>29345</v>
      </c>
      <c r="J7073" t="str">
        <f t="shared" si="552"/>
        <v>E:\PropInv\MF</v>
      </c>
      <c r="K7073" s="103" t="str">
        <f>HYPERLINK("E:\PropInv\MF\Lockhart\Guadalupe St S_1001_Sundance Square_Lockhart_18245","Guadalupe St S_1001_Sundance Square_Lockhart_18245" )</f>
        <v>Guadalupe St S_1001_Sundance Square_Lockhart_18245</v>
      </c>
      <c r="L7073" s="104" t="s">
        <v>22253</v>
      </c>
      <c r="M7073" s="103" t="str">
        <f t="shared" si="553"/>
        <v>http://oconnordata.com/mlink/modules/profile/index.cfm?action=profile&amp;prop_id=18245</v>
      </c>
      <c r="N7073" s="1">
        <f t="shared" si="554"/>
        <v>18245</v>
      </c>
    </row>
    <row r="7074" spans="1:14" x14ac:dyDescent="0.3">
      <c r="A7074" s="1">
        <v>18249</v>
      </c>
      <c r="B7074" s="7" t="s">
        <v>10607</v>
      </c>
      <c r="C7074" s="12">
        <v>2500</v>
      </c>
      <c r="D7074" s="7" t="s">
        <v>10608</v>
      </c>
      <c r="E7074" s="13" t="s">
        <v>4996</v>
      </c>
      <c r="F7074" t="str">
        <f t="shared" si="550"/>
        <v>Bennet</v>
      </c>
      <c r="G7074" t="str">
        <f t="shared" si="551"/>
        <v>Bennet2500Dallas</v>
      </c>
      <c r="H7074" t="s">
        <v>37930</v>
      </c>
      <c r="I7074" t="s">
        <v>29346</v>
      </c>
      <c r="J7074" t="str">
        <f t="shared" si="552"/>
        <v>E:\PropInv\MF</v>
      </c>
      <c r="K7074" s="103" t="str">
        <f>HYPERLINK("E:\PropInv\MF\Dallas\Bennet Ave_2500_The Belmont Apts_Dallas_18249","Bennet Ave_2500_The Belmont Apts_Dallas_18249" )</f>
        <v>Bennet Ave_2500_The Belmont Apts_Dallas_18249</v>
      </c>
      <c r="L7074" s="104" t="s">
        <v>22253</v>
      </c>
      <c r="M7074" s="103" t="str">
        <f t="shared" si="553"/>
        <v>http://oconnordata.com/mlink/modules/profile/index.cfm?action=profile&amp;prop_id=18249</v>
      </c>
      <c r="N7074" s="1">
        <f t="shared" si="554"/>
        <v>18249</v>
      </c>
    </row>
    <row r="7075" spans="1:14" x14ac:dyDescent="0.3">
      <c r="A7075" s="1">
        <v>18250</v>
      </c>
      <c r="B7075" s="7" t="s">
        <v>8997</v>
      </c>
      <c r="C7075" s="12">
        <v>4700</v>
      </c>
      <c r="D7075" s="7" t="s">
        <v>10609</v>
      </c>
      <c r="E7075" s="13" t="s">
        <v>5043</v>
      </c>
      <c r="F7075" t="str">
        <f t="shared" si="550"/>
        <v>Ridge</v>
      </c>
      <c r="G7075" t="str">
        <f t="shared" si="551"/>
        <v>Ridge4700McKinney</v>
      </c>
      <c r="H7075" t="s">
        <v>37931</v>
      </c>
      <c r="I7075" t="s">
        <v>29347</v>
      </c>
      <c r="J7075" t="str">
        <f t="shared" si="552"/>
        <v>E:\PropInv\MF</v>
      </c>
      <c r="K7075" s="103" t="str">
        <f>HYPERLINK("E:\PropInv\MF\McKinney\Ridge Rd_4700_Phillips at Mckinney Ranch_McKinney_18250","Ridge Rd_4700_Phillips at Mckinney Ranch_McKinney_18250" )</f>
        <v>Ridge Rd_4700_Phillips at Mckinney Ranch_McKinney_18250</v>
      </c>
      <c r="L7075" s="104" t="s">
        <v>22253</v>
      </c>
      <c r="M7075" s="103" t="str">
        <f t="shared" si="553"/>
        <v>http://oconnordata.com/mlink/modules/profile/index.cfm?action=profile&amp;prop_id=18250</v>
      </c>
      <c r="N7075" s="1">
        <f t="shared" si="554"/>
        <v>18250</v>
      </c>
    </row>
    <row r="7076" spans="1:14" x14ac:dyDescent="0.3">
      <c r="A7076" s="1">
        <v>18251</v>
      </c>
      <c r="B7076" s="7" t="s">
        <v>10610</v>
      </c>
      <c r="C7076" s="12">
        <v>351</v>
      </c>
      <c r="D7076" s="7" t="s">
        <v>10611</v>
      </c>
      <c r="E7076" s="13" t="s">
        <v>5019</v>
      </c>
      <c r="F7076" t="str">
        <f t="shared" si="550"/>
        <v>5th</v>
      </c>
      <c r="G7076" t="str">
        <f t="shared" si="551"/>
        <v>5th351Garland</v>
      </c>
      <c r="H7076" t="s">
        <v>37932</v>
      </c>
      <c r="I7076" t="s">
        <v>29348</v>
      </c>
      <c r="J7076" t="str">
        <f t="shared" si="552"/>
        <v>E:\PropInv\MF</v>
      </c>
      <c r="K7076" s="103" t="str">
        <f>HYPERLINK("E:\PropInv\MF\Garland\5th St N_351_Oaks 5th Street Crossing_Garland_18251","5th St N_351_Oaks 5th Street Crossing_Garland_18251" )</f>
        <v>5th St N_351_Oaks 5th Street Crossing_Garland_18251</v>
      </c>
      <c r="L7076" s="104" t="s">
        <v>22253</v>
      </c>
      <c r="M7076" s="103" t="str">
        <f t="shared" si="553"/>
        <v>http://oconnordata.com/mlink/modules/profile/index.cfm?action=profile&amp;prop_id=18251</v>
      </c>
      <c r="N7076" s="1">
        <f t="shared" si="554"/>
        <v>18251</v>
      </c>
    </row>
    <row r="7077" spans="1:14" x14ac:dyDescent="0.3">
      <c r="A7077" s="1">
        <v>18252</v>
      </c>
      <c r="B7077" s="7" t="s">
        <v>5358</v>
      </c>
      <c r="C7077" s="12">
        <v>2525</v>
      </c>
      <c r="D7077" s="7" t="s">
        <v>10612</v>
      </c>
      <c r="E7077" s="13" t="s">
        <v>4996</v>
      </c>
      <c r="F7077" t="str">
        <f t="shared" si="550"/>
        <v>Carlisle</v>
      </c>
      <c r="G7077" t="str">
        <f t="shared" si="551"/>
        <v>Carlisle2525Dallas</v>
      </c>
      <c r="H7077" t="s">
        <v>37933</v>
      </c>
      <c r="I7077" t="s">
        <v>29349</v>
      </c>
      <c r="J7077" t="str">
        <f t="shared" si="552"/>
        <v>E:\PropInv\MF</v>
      </c>
      <c r="K7077" s="103" t="str">
        <f>HYPERLINK("E:\PropInv\MF\Dallas\Carlisle St_2525_Gables Uptown Trail_Dallas_18252","Carlisle St_2525_Gables Uptown Trail_Dallas_18252" )</f>
        <v>Carlisle St_2525_Gables Uptown Trail_Dallas_18252</v>
      </c>
      <c r="L7077" s="104" t="s">
        <v>22253</v>
      </c>
      <c r="M7077" s="103" t="str">
        <f t="shared" si="553"/>
        <v>http://oconnordata.com/mlink/modules/profile/index.cfm?action=profile&amp;prop_id=18252</v>
      </c>
      <c r="N7077" s="1">
        <f t="shared" si="554"/>
        <v>18252</v>
      </c>
    </row>
    <row r="7078" spans="1:14" x14ac:dyDescent="0.3">
      <c r="A7078" s="1">
        <v>18253</v>
      </c>
      <c r="B7078" s="37" t="s">
        <v>10613</v>
      </c>
      <c r="C7078" s="38">
        <v>1013</v>
      </c>
      <c r="D7078" s="7" t="s">
        <v>10614</v>
      </c>
      <c r="E7078" s="25" t="s">
        <v>5009</v>
      </c>
      <c r="F7078" t="str">
        <f t="shared" si="550"/>
        <v>15th</v>
      </c>
      <c r="G7078" t="str">
        <f t="shared" si="551"/>
        <v>15th1013Plano</v>
      </c>
      <c r="H7078" t="s">
        <v>37934</v>
      </c>
      <c r="I7078" t="s">
        <v>29350</v>
      </c>
      <c r="J7078" t="str">
        <f t="shared" si="552"/>
        <v>E:\PropInv\MF</v>
      </c>
      <c r="K7078" s="103" t="str">
        <f>HYPERLINK("E:\PropInv\MF\Plano\15th St_1013_15th &amp; I_Plano_18253","15th St_1013_15th &amp; I_Plano_18253" )</f>
        <v>15th St_1013_15th &amp; I_Plano_18253</v>
      </c>
      <c r="L7078" s="104" t="s">
        <v>22253</v>
      </c>
      <c r="M7078" s="103" t="str">
        <f t="shared" si="553"/>
        <v>http://oconnordata.com/mlink/modules/profile/index.cfm?action=profile&amp;prop_id=18253</v>
      </c>
      <c r="N7078" s="1">
        <f t="shared" si="554"/>
        <v>18253</v>
      </c>
    </row>
    <row r="7079" spans="1:14" x14ac:dyDescent="0.3">
      <c r="A7079" s="1">
        <v>18255</v>
      </c>
      <c r="B7079" s="19" t="s">
        <v>75</v>
      </c>
      <c r="C7079" s="18">
        <v>8000</v>
      </c>
      <c r="D7079" s="19" t="s">
        <v>10615</v>
      </c>
      <c r="E7079" s="20" t="s">
        <v>7</v>
      </c>
      <c r="F7079" t="str">
        <f t="shared" si="550"/>
        <v>35</v>
      </c>
      <c r="G7079" t="str">
        <f t="shared" si="551"/>
        <v>358000Austin</v>
      </c>
      <c r="H7079" t="s">
        <v>37935</v>
      </c>
      <c r="I7079" t="s">
        <v>29351</v>
      </c>
      <c r="J7079" t="str">
        <f t="shared" si="552"/>
        <v>E:\PropInv\MF</v>
      </c>
      <c r="K7079" s="103" t="str">
        <f>HYPERLINK("E:\PropInv\MF\Austin\35 IH S_8000_Alexan Legacy Oaks_Austin_18255","35 IH S_8000_Alexan Legacy Oaks_Austin_18255" )</f>
        <v>35 IH S_8000_Alexan Legacy Oaks_Austin_18255</v>
      </c>
      <c r="L7079" s="104" t="s">
        <v>22253</v>
      </c>
      <c r="M7079" s="103" t="str">
        <f t="shared" si="553"/>
        <v>http://oconnordata.com/mlink/modules/profile/index.cfm?action=profile&amp;prop_id=18255</v>
      </c>
      <c r="N7079" s="1">
        <f t="shared" si="554"/>
        <v>18255</v>
      </c>
    </row>
    <row r="7080" spans="1:14" x14ac:dyDescent="0.3">
      <c r="A7080" s="1">
        <v>18256</v>
      </c>
      <c r="B7080" s="7" t="s">
        <v>8954</v>
      </c>
      <c r="C7080" s="18">
        <v>403</v>
      </c>
      <c r="D7080" s="19" t="s">
        <v>10616</v>
      </c>
      <c r="E7080" s="20" t="s">
        <v>842</v>
      </c>
      <c r="F7080" t="str">
        <f t="shared" si="550"/>
        <v>1604</v>
      </c>
      <c r="G7080" t="str">
        <f t="shared" si="551"/>
        <v>1604403San Antonio</v>
      </c>
      <c r="H7080" t="s">
        <v>37936</v>
      </c>
      <c r="I7080" t="s">
        <v>29352</v>
      </c>
      <c r="J7080" t="str">
        <f t="shared" si="552"/>
        <v>E:\PropInv\MF</v>
      </c>
      <c r="K7080" s="103" t="str">
        <f>HYPERLINK("E:\PropInv\MF\San Antonio\1604 Loop W N_403_Franklin Park at Sonterra_San Antonio_18256","1604 Loop W N_403_Franklin Park at Sonterra_San Antonio_18256" )</f>
        <v>1604 Loop W N_403_Franklin Park at Sonterra_San Antonio_18256</v>
      </c>
      <c r="L7080" s="104" t="s">
        <v>22253</v>
      </c>
      <c r="M7080" s="103" t="str">
        <f t="shared" si="553"/>
        <v>http://oconnordata.com/mlink/modules/profile/index.cfm?action=profile&amp;prop_id=18256</v>
      </c>
      <c r="N7080" s="1">
        <f t="shared" si="554"/>
        <v>18256</v>
      </c>
    </row>
    <row r="7081" spans="1:14" x14ac:dyDescent="0.3">
      <c r="A7081" s="1">
        <v>18257</v>
      </c>
      <c r="B7081" s="7" t="s">
        <v>919</v>
      </c>
      <c r="C7081" s="12" t="s">
        <v>2497</v>
      </c>
      <c r="D7081" s="7" t="s">
        <v>10617</v>
      </c>
      <c r="E7081" s="25" t="s">
        <v>842</v>
      </c>
      <c r="F7081" t="str">
        <f t="shared" si="550"/>
        <v>Broadway</v>
      </c>
      <c r="G7081" t="str">
        <f t="shared" si="551"/>
        <v>BroadwayNFSan Antonio</v>
      </c>
      <c r="H7081" t="s">
        <v>37937</v>
      </c>
      <c r="I7081" t="s">
        <v>29353</v>
      </c>
      <c r="J7081" t="str">
        <f t="shared" si="552"/>
        <v>E:\PropInv\MF</v>
      </c>
      <c r="K7081" s="103" t="str">
        <f>HYPERLINK("E:\PropInv\MF\San Antonio\Broadway_NF_Franklin Park at Alamo Heights_San Antonio_18257","Broadway_NF_Franklin Park at Alamo Heights_San Antonio_18257" )</f>
        <v>Broadway_NF_Franklin Park at Alamo Heights_San Antonio_18257</v>
      </c>
      <c r="L7081" s="104" t="s">
        <v>22253</v>
      </c>
      <c r="M7081" s="103" t="str">
        <f t="shared" si="553"/>
        <v>http://oconnordata.com/mlink/modules/profile/index.cfm?action=profile&amp;prop_id=18257</v>
      </c>
      <c r="N7081" s="1">
        <f t="shared" si="554"/>
        <v>18257</v>
      </c>
    </row>
    <row r="7082" spans="1:14" x14ac:dyDescent="0.3">
      <c r="A7082" s="1">
        <v>18258</v>
      </c>
      <c r="B7082" s="7" t="s">
        <v>10618</v>
      </c>
      <c r="C7082" s="12">
        <v>501</v>
      </c>
      <c r="D7082" s="7" t="s">
        <v>10619</v>
      </c>
      <c r="E7082" s="13" t="s">
        <v>7</v>
      </c>
      <c r="F7082" t="str">
        <f t="shared" si="550"/>
        <v>Oltorf</v>
      </c>
      <c r="G7082" t="str">
        <f t="shared" si="551"/>
        <v>Oltorf501Austin</v>
      </c>
      <c r="H7082" t="s">
        <v>37938</v>
      </c>
      <c r="I7082" t="s">
        <v>29354</v>
      </c>
      <c r="J7082" t="str">
        <f t="shared" si="552"/>
        <v>E:\PropInv\MF</v>
      </c>
      <c r="K7082" s="103" t="str">
        <f>HYPERLINK("E:\PropInv\MF\Austin\Oltorf E_501_District at SoCo_Austin_18258","Oltorf E_501_District at SoCo_Austin_18258" )</f>
        <v>Oltorf E_501_District at SoCo_Austin_18258</v>
      </c>
      <c r="L7082" s="104" t="s">
        <v>22253</v>
      </c>
      <c r="M7082" s="103" t="str">
        <f t="shared" si="553"/>
        <v>http://oconnordata.com/mlink/modules/profile/index.cfm?action=profile&amp;prop_id=18258</v>
      </c>
      <c r="N7082" s="1">
        <f t="shared" si="554"/>
        <v>18258</v>
      </c>
    </row>
    <row r="7083" spans="1:14" x14ac:dyDescent="0.3">
      <c r="A7083" s="1">
        <v>18259</v>
      </c>
      <c r="B7083" s="7" t="s">
        <v>10500</v>
      </c>
      <c r="C7083" s="12">
        <v>1470</v>
      </c>
      <c r="D7083" s="7" t="s">
        <v>10620</v>
      </c>
      <c r="E7083" s="13" t="s">
        <v>5236</v>
      </c>
      <c r="F7083" t="str">
        <f t="shared" si="550"/>
        <v>John</v>
      </c>
      <c r="G7083" t="str">
        <f t="shared" si="551"/>
        <v>John1470Rockwall</v>
      </c>
      <c r="H7083" t="s">
        <v>37939</v>
      </c>
      <c r="I7083" t="s">
        <v>29355</v>
      </c>
      <c r="J7083" t="str">
        <f t="shared" si="552"/>
        <v>E:\PropInv\MF</v>
      </c>
      <c r="K7083" s="103" t="str">
        <f>HYPERLINK("E:\PropInv\MF\Rockwall\John King Blvd S_1470_The Mansions of Rockwall Active Adult Living_Rockwall_18259","John King Blvd S_1470_The Mansions of Rockwall Active Adult Living_Rockwall_18259" )</f>
        <v>John King Blvd S_1470_The Mansions of Rockwall Active Adult Living_Rockwall_18259</v>
      </c>
      <c r="L7083" s="104" t="s">
        <v>22253</v>
      </c>
      <c r="M7083" s="103" t="str">
        <f t="shared" si="553"/>
        <v>http://oconnordata.com/mlink/modules/profile/index.cfm?action=profile&amp;prop_id=18259</v>
      </c>
      <c r="N7083" s="1">
        <f t="shared" si="554"/>
        <v>18259</v>
      </c>
    </row>
    <row r="7084" spans="1:14" x14ac:dyDescent="0.3">
      <c r="A7084" s="1">
        <v>18260</v>
      </c>
      <c r="B7084" s="7" t="s">
        <v>10621</v>
      </c>
      <c r="C7084" s="12">
        <v>4700</v>
      </c>
      <c r="D7084" s="7" t="s">
        <v>10622</v>
      </c>
      <c r="E7084" s="25" t="s">
        <v>5009</v>
      </c>
      <c r="F7084" t="str">
        <f t="shared" si="550"/>
        <v>Tribeca</v>
      </c>
      <c r="G7084" t="str">
        <f t="shared" si="551"/>
        <v>Tribeca4700Plano</v>
      </c>
      <c r="H7084" t="s">
        <v>37940</v>
      </c>
      <c r="I7084" t="s">
        <v>29356</v>
      </c>
      <c r="J7084" t="str">
        <f t="shared" si="552"/>
        <v>E:\PropInv\MF</v>
      </c>
      <c r="K7084" s="103" t="str">
        <f>HYPERLINK("E:\PropInv\MF\Plano\Tribeca Ln_4700_The Encore_Plano_18260","Tribeca Ln_4700_The Encore_Plano_18260" )</f>
        <v>Tribeca Ln_4700_The Encore_Plano_18260</v>
      </c>
      <c r="L7084" s="104" t="s">
        <v>22253</v>
      </c>
      <c r="M7084" s="103" t="str">
        <f t="shared" si="553"/>
        <v>http://oconnordata.com/mlink/modules/profile/index.cfm?action=profile&amp;prop_id=18260</v>
      </c>
      <c r="N7084" s="1">
        <f t="shared" si="554"/>
        <v>18260</v>
      </c>
    </row>
    <row r="7085" spans="1:14" x14ac:dyDescent="0.3">
      <c r="A7085" s="1">
        <v>18261</v>
      </c>
      <c r="B7085" s="7" t="s">
        <v>10288</v>
      </c>
      <c r="C7085" s="12">
        <v>691</v>
      </c>
      <c r="D7085" s="7" t="s">
        <v>10623</v>
      </c>
      <c r="E7085" s="13" t="s">
        <v>6559</v>
      </c>
      <c r="F7085" t="str">
        <f t="shared" si="550"/>
        <v>Cornell</v>
      </c>
      <c r="G7085" t="str">
        <f t="shared" si="551"/>
        <v>Cornell691Waxahachie</v>
      </c>
      <c r="H7085" t="s">
        <v>37941</v>
      </c>
      <c r="I7085" t="s">
        <v>29357</v>
      </c>
      <c r="J7085" t="str">
        <f t="shared" si="552"/>
        <v>E:\PropInv\MF</v>
      </c>
      <c r="K7085" s="103" t="str">
        <f>HYPERLINK("E:\PropInv\MF\Waxahachie\Cornell Ln_691_Colony Townhouse Apts I_Waxahachie_18261","Cornell Ln_691_Colony Townhouse Apts I_Waxahachie_18261" )</f>
        <v>Cornell Ln_691_Colony Townhouse Apts I_Waxahachie_18261</v>
      </c>
      <c r="L7085" s="104" t="s">
        <v>22253</v>
      </c>
      <c r="M7085" s="103" t="str">
        <f t="shared" si="553"/>
        <v>http://oconnordata.com/mlink/modules/profile/index.cfm?action=profile&amp;prop_id=18261</v>
      </c>
      <c r="N7085" s="1">
        <f t="shared" si="554"/>
        <v>18261</v>
      </c>
    </row>
    <row r="7086" spans="1:14" x14ac:dyDescent="0.3">
      <c r="A7086" s="1">
        <v>18262</v>
      </c>
      <c r="B7086" s="7" t="s">
        <v>10624</v>
      </c>
      <c r="C7086" s="12">
        <v>1551</v>
      </c>
      <c r="D7086" s="7" t="s">
        <v>10625</v>
      </c>
      <c r="E7086" s="13" t="s">
        <v>4996</v>
      </c>
      <c r="F7086" t="str">
        <f t="shared" si="550"/>
        <v>Oak</v>
      </c>
      <c r="G7086" t="str">
        <f t="shared" si="551"/>
        <v>Oak1551Dallas</v>
      </c>
      <c r="H7086" t="s">
        <v>37942</v>
      </c>
      <c r="I7086" t="s">
        <v>29358</v>
      </c>
      <c r="J7086" t="str">
        <f t="shared" si="552"/>
        <v>E:\PropInv\MF</v>
      </c>
      <c r="K7086" s="103" t="str">
        <f>HYPERLINK("E:\PropInv\MF\Dallas\Oak Lawn Ave_1551_Camden Design District_Dallas_18262","Oak Lawn Ave_1551_Camden Design District_Dallas_18262" )</f>
        <v>Oak Lawn Ave_1551_Camden Design District_Dallas_18262</v>
      </c>
      <c r="L7086" s="104" t="s">
        <v>22253</v>
      </c>
      <c r="M7086" s="103" t="str">
        <f t="shared" si="553"/>
        <v>http://oconnordata.com/mlink/modules/profile/index.cfm?action=profile&amp;prop_id=18262</v>
      </c>
      <c r="N7086" s="1">
        <f t="shared" si="554"/>
        <v>18262</v>
      </c>
    </row>
    <row r="7087" spans="1:14" x14ac:dyDescent="0.3">
      <c r="A7087" s="1">
        <v>18263</v>
      </c>
      <c r="B7087" s="7" t="s">
        <v>10626</v>
      </c>
      <c r="C7087" s="12">
        <v>13861</v>
      </c>
      <c r="D7087" s="7" t="s">
        <v>10627</v>
      </c>
      <c r="E7087" s="13" t="s">
        <v>6663</v>
      </c>
      <c r="F7087" t="str">
        <f t="shared" si="550"/>
        <v>Raceway</v>
      </c>
      <c r="G7087" t="str">
        <f t="shared" si="551"/>
        <v>Raceway13861Northlake</v>
      </c>
      <c r="H7087" t="s">
        <v>37943</v>
      </c>
      <c r="I7087" t="s">
        <v>29359</v>
      </c>
      <c r="J7087" t="str">
        <f t="shared" si="552"/>
        <v>E:\PropInv\MF</v>
      </c>
      <c r="K7087" s="103" t="str">
        <f>HYPERLINK("E:\PropInv\MF\Northlake\Raceway Dr_13861_Dry Creek Ranch_Northlake_18263","Raceway Dr_13861_Dry Creek Ranch_Northlake_18263" )</f>
        <v>Raceway Dr_13861_Dry Creek Ranch_Northlake_18263</v>
      </c>
      <c r="L7087" s="104" t="s">
        <v>22253</v>
      </c>
      <c r="M7087" s="103" t="str">
        <f t="shared" si="553"/>
        <v>http://oconnordata.com/mlink/modules/profile/index.cfm?action=profile&amp;prop_id=18263</v>
      </c>
      <c r="N7087" s="1">
        <f t="shared" si="554"/>
        <v>18263</v>
      </c>
    </row>
    <row r="7088" spans="1:14" x14ac:dyDescent="0.3">
      <c r="A7088" s="1">
        <v>18264</v>
      </c>
      <c r="B7088" s="7" t="s">
        <v>3916</v>
      </c>
      <c r="C7088" s="12">
        <v>11200</v>
      </c>
      <c r="D7088" s="7" t="s">
        <v>10628</v>
      </c>
      <c r="E7088" s="13" t="s">
        <v>4369</v>
      </c>
      <c r="F7088" t="str">
        <f t="shared" si="550"/>
        <v>Broadway</v>
      </c>
      <c r="G7088" t="str">
        <f t="shared" si="551"/>
        <v>Broadway11200Pearland</v>
      </c>
      <c r="H7088" t="s">
        <v>37944</v>
      </c>
      <c r="I7088" t="s">
        <v>29360</v>
      </c>
      <c r="J7088" t="str">
        <f t="shared" si="552"/>
        <v>E:\PropInv\MF</v>
      </c>
      <c r="K7088" s="103" t="str">
        <f>HYPERLINK("E:\PropInv\MF\Pearland\Broadway St_11200_The Residences at Pearland Town Center II_Pearland_18264","Broadway St_11200_The Residences at Pearland Town Center II_Pearland_18264" )</f>
        <v>Broadway St_11200_The Residences at Pearland Town Center II_Pearland_18264</v>
      </c>
      <c r="L7088" s="104" t="s">
        <v>22253</v>
      </c>
      <c r="M7088" s="103" t="str">
        <f t="shared" si="553"/>
        <v>http://oconnordata.com/mlink/modules/profile/index.cfm?action=profile&amp;prop_id=18264</v>
      </c>
      <c r="N7088" s="1">
        <f t="shared" si="554"/>
        <v>18264</v>
      </c>
    </row>
    <row r="7089" spans="1:14" x14ac:dyDescent="0.3">
      <c r="A7089" s="1">
        <v>18266</v>
      </c>
      <c r="B7089" s="7" t="s">
        <v>3916</v>
      </c>
      <c r="C7089" s="12">
        <v>11200</v>
      </c>
      <c r="D7089" s="7" t="s">
        <v>10629</v>
      </c>
      <c r="E7089" s="13" t="s">
        <v>4369</v>
      </c>
      <c r="F7089" t="str">
        <f t="shared" si="550"/>
        <v>Broadway</v>
      </c>
      <c r="G7089" t="str">
        <f t="shared" si="551"/>
        <v>Broadway11200Pearland</v>
      </c>
      <c r="H7089" t="s">
        <v>37945</v>
      </c>
      <c r="I7089" t="s">
        <v>29361</v>
      </c>
      <c r="J7089" t="str">
        <f t="shared" si="552"/>
        <v>E:\PropInv\MF</v>
      </c>
      <c r="K7089" s="103" t="str">
        <f>HYPERLINK("E:\PropInv\MF\Pearland\Broadway St_11200_The Residences at Pearland Town Center I_Pearland_18266","Broadway St_11200_The Residences at Pearland Town Center I_Pearland_18266" )</f>
        <v>Broadway St_11200_The Residences at Pearland Town Center I_Pearland_18266</v>
      </c>
      <c r="L7089" s="104" t="s">
        <v>22253</v>
      </c>
      <c r="M7089" s="103" t="str">
        <f t="shared" si="553"/>
        <v>http://oconnordata.com/mlink/modules/profile/index.cfm?action=profile&amp;prop_id=18266</v>
      </c>
      <c r="N7089" s="1">
        <f t="shared" si="554"/>
        <v>18266</v>
      </c>
    </row>
    <row r="7090" spans="1:14" x14ac:dyDescent="0.3">
      <c r="A7090" s="1">
        <v>18267</v>
      </c>
      <c r="B7090" s="19" t="s">
        <v>10630</v>
      </c>
      <c r="C7090" s="18">
        <v>3819</v>
      </c>
      <c r="D7090" s="19" t="s">
        <v>10631</v>
      </c>
      <c r="E7090" s="20" t="s">
        <v>842</v>
      </c>
      <c r="F7090" t="str">
        <f t="shared" si="550"/>
        <v>Harry</v>
      </c>
      <c r="G7090" t="str">
        <f t="shared" si="551"/>
        <v>Harry3819San Antonio</v>
      </c>
      <c r="H7090" t="s">
        <v>37946</v>
      </c>
      <c r="I7090" t="s">
        <v>29362</v>
      </c>
      <c r="J7090" t="str">
        <f t="shared" si="552"/>
        <v>E:\PropInv\MF</v>
      </c>
      <c r="K7090" s="103" t="str">
        <f>HYPERLINK("E:\PropInv\MF\San Antonio\Harry Wurzbach Rd_3819_Village at Oakwell Farms_San Antonio_18267","Harry Wurzbach Rd_3819_Village at Oakwell Farms_San Antonio_18267" )</f>
        <v>Harry Wurzbach Rd_3819_Village at Oakwell Farms_San Antonio_18267</v>
      </c>
      <c r="L7090" s="104" t="s">
        <v>22253</v>
      </c>
      <c r="M7090" s="103" t="str">
        <f t="shared" si="553"/>
        <v>http://oconnordata.com/mlink/modules/profile/index.cfm?action=profile&amp;prop_id=18267</v>
      </c>
      <c r="N7090" s="1">
        <f t="shared" si="554"/>
        <v>18267</v>
      </c>
    </row>
    <row r="7091" spans="1:14" x14ac:dyDescent="0.3">
      <c r="A7091" s="1">
        <v>18268</v>
      </c>
      <c r="B7091" s="7" t="s">
        <v>9111</v>
      </c>
      <c r="C7091" s="12">
        <v>935</v>
      </c>
      <c r="D7091" s="7" t="s">
        <v>10632</v>
      </c>
      <c r="E7091" s="13" t="s">
        <v>5140</v>
      </c>
      <c r="F7091" t="str">
        <f t="shared" si="550"/>
        <v>Garden</v>
      </c>
      <c r="G7091" t="str">
        <f t="shared" si="551"/>
        <v>Garden935Allen</v>
      </c>
      <c r="H7091" t="s">
        <v>37947</v>
      </c>
      <c r="I7091" t="s">
        <v>29363</v>
      </c>
      <c r="J7091" t="str">
        <f t="shared" si="552"/>
        <v>E:\PropInv\MF</v>
      </c>
      <c r="K7091" s="103" t="str">
        <f>HYPERLINK("E:\PropInv\MF\Allen\Garden Park Dr_935_The Lofts at Watters Creek II_Allen_18268","Garden Park Dr_935_The Lofts at Watters Creek II_Allen_18268" )</f>
        <v>Garden Park Dr_935_The Lofts at Watters Creek II_Allen_18268</v>
      </c>
      <c r="L7091" s="104" t="s">
        <v>22253</v>
      </c>
      <c r="M7091" s="103" t="str">
        <f t="shared" si="553"/>
        <v>http://oconnordata.com/mlink/modules/profile/index.cfm?action=profile&amp;prop_id=18268</v>
      </c>
      <c r="N7091" s="1">
        <f t="shared" si="554"/>
        <v>18268</v>
      </c>
    </row>
    <row r="7092" spans="1:14" x14ac:dyDescent="0.3">
      <c r="A7092" s="97">
        <v>18269</v>
      </c>
      <c r="B7092" s="7" t="s">
        <v>10633</v>
      </c>
      <c r="C7092" s="12">
        <v>1021</v>
      </c>
      <c r="D7092" s="7" t="s">
        <v>10634</v>
      </c>
      <c r="E7092" s="13" t="s">
        <v>5014</v>
      </c>
      <c r="F7092" t="str">
        <f t="shared" si="550"/>
        <v>Oak</v>
      </c>
      <c r="G7092" t="str">
        <f t="shared" si="551"/>
        <v>Oak1021Fort Worth</v>
      </c>
      <c r="H7092" t="s">
        <v>37948</v>
      </c>
      <c r="I7092" t="s">
        <v>29364</v>
      </c>
      <c r="J7092" t="str">
        <f t="shared" si="552"/>
        <v>E:\PropInv\MF</v>
      </c>
      <c r="K7092" s="103" t="str">
        <f>HYPERLINK("E:\PropInv\MF\Fort Worth\Oak Grove Rd_1021_Woodmont AH_Fort Worth_18269","Oak Grove Rd_1021_Woodmont AH_Fort Worth_18269" )</f>
        <v>Oak Grove Rd_1021_Woodmont AH_Fort Worth_18269</v>
      </c>
      <c r="L7092" s="104" t="s">
        <v>22253</v>
      </c>
      <c r="M7092" s="103" t="str">
        <f t="shared" si="553"/>
        <v>http://oconnordata.com/mlink/modules/profile/index.cfm?action=profile&amp;prop_id=18269</v>
      </c>
      <c r="N7092" s="1">
        <f t="shared" si="554"/>
        <v>18269</v>
      </c>
    </row>
    <row r="7093" spans="1:14" x14ac:dyDescent="0.3">
      <c r="A7093" s="1">
        <v>18270</v>
      </c>
      <c r="B7093" s="7" t="s">
        <v>9978</v>
      </c>
      <c r="C7093" s="12">
        <v>2720</v>
      </c>
      <c r="D7093" s="7" t="s">
        <v>10635</v>
      </c>
      <c r="E7093" s="13" t="s">
        <v>9012</v>
      </c>
      <c r="F7093" t="str">
        <f t="shared" si="550"/>
        <v>Broadway</v>
      </c>
      <c r="G7093" t="str">
        <f t="shared" si="551"/>
        <v>Broadway2720Tyler</v>
      </c>
      <c r="H7093" t="s">
        <v>37949</v>
      </c>
      <c r="I7093" t="s">
        <v>29365</v>
      </c>
      <c r="J7093" t="str">
        <f t="shared" si="552"/>
        <v>E:\PropInv\MF</v>
      </c>
      <c r="K7093" s="103" t="str">
        <f>HYPERLINK("E:\PropInv\MF\Tyler\Broadway Ave S_2720_The Timbers on Broadway_Tyler_18270","Broadway Ave S_2720_The Timbers on Broadway_Tyler_18270" )</f>
        <v>Broadway Ave S_2720_The Timbers on Broadway_Tyler_18270</v>
      </c>
      <c r="L7093" s="104" t="s">
        <v>22253</v>
      </c>
      <c r="M7093" s="103" t="str">
        <f t="shared" si="553"/>
        <v>http://oconnordata.com/mlink/modules/profile/index.cfm?action=profile&amp;prop_id=18270</v>
      </c>
      <c r="N7093" s="1">
        <f t="shared" si="554"/>
        <v>18270</v>
      </c>
    </row>
    <row r="7094" spans="1:14" x14ac:dyDescent="0.3">
      <c r="A7094" s="1">
        <v>18271</v>
      </c>
      <c r="B7094" s="7" t="s">
        <v>3688</v>
      </c>
      <c r="C7094" s="12">
        <v>2900</v>
      </c>
      <c r="D7094" s="7" t="s">
        <v>10636</v>
      </c>
      <c r="E7094" s="13" t="s">
        <v>1657</v>
      </c>
      <c r="F7094" t="str">
        <f t="shared" si="550"/>
        <v>Braeswood</v>
      </c>
      <c r="G7094" t="str">
        <f t="shared" si="551"/>
        <v>Braeswood2900Houston</v>
      </c>
      <c r="H7094" t="s">
        <v>37950</v>
      </c>
      <c r="I7094" t="s">
        <v>29366</v>
      </c>
      <c r="J7094" t="str">
        <f t="shared" si="552"/>
        <v>E:\PropInv\MF</v>
      </c>
      <c r="K7094" s="103" t="str">
        <f>HYPERLINK("E:\PropInv\MF\Houston\Braeswood N_2900_Archstone Toscano West University_Houston_18271","Braeswood N_2900_Archstone Toscano West University_Houston_18271" )</f>
        <v>Braeswood N_2900_Archstone Toscano West University_Houston_18271</v>
      </c>
      <c r="L7094" s="104" t="s">
        <v>22253</v>
      </c>
      <c r="M7094" s="103" t="str">
        <f t="shared" si="553"/>
        <v>http://oconnordata.com/mlink/modules/profile/index.cfm?action=profile&amp;prop_id=18271</v>
      </c>
      <c r="N7094" s="1">
        <f t="shared" si="554"/>
        <v>18271</v>
      </c>
    </row>
    <row r="7095" spans="1:14" x14ac:dyDescent="0.3">
      <c r="A7095" s="1">
        <v>18272</v>
      </c>
      <c r="B7095" s="7" t="s">
        <v>10637</v>
      </c>
      <c r="C7095" s="12">
        <v>8406</v>
      </c>
      <c r="D7095" s="7" t="s">
        <v>10638</v>
      </c>
      <c r="E7095" s="13" t="s">
        <v>1657</v>
      </c>
      <c r="F7095" t="str">
        <f t="shared" si="550"/>
        <v>Detroit</v>
      </c>
      <c r="G7095" t="str">
        <f t="shared" si="551"/>
        <v>Detroit8406Houston</v>
      </c>
      <c r="H7095" t="s">
        <v>37951</v>
      </c>
      <c r="I7095" t="s">
        <v>29367</v>
      </c>
      <c r="J7095" t="str">
        <f t="shared" si="552"/>
        <v>E:\PropInv\MF</v>
      </c>
      <c r="K7095" s="103" t="str">
        <f>HYPERLINK("E:\PropInv\MF\Houston\Detroit St_8406_Sterling Square_Houston_18272","Detroit St_8406_Sterling Square_Houston_18272" )</f>
        <v>Detroit St_8406_Sterling Square_Houston_18272</v>
      </c>
      <c r="L7095" s="104" t="s">
        <v>22253</v>
      </c>
      <c r="M7095" s="103" t="str">
        <f t="shared" si="553"/>
        <v>http://oconnordata.com/mlink/modules/profile/index.cfm?action=profile&amp;prop_id=18272</v>
      </c>
      <c r="N7095" s="1">
        <f t="shared" si="554"/>
        <v>18272</v>
      </c>
    </row>
    <row r="7096" spans="1:14" x14ac:dyDescent="0.3">
      <c r="A7096" s="1">
        <v>18274</v>
      </c>
      <c r="B7096" s="7" t="s">
        <v>9388</v>
      </c>
      <c r="C7096" s="12">
        <v>2500</v>
      </c>
      <c r="D7096" s="7" t="s">
        <v>10639</v>
      </c>
      <c r="E7096" s="13" t="s">
        <v>7</v>
      </c>
      <c r="F7096" t="str">
        <f t="shared" si="550"/>
        <v>22nd</v>
      </c>
      <c r="G7096" t="str">
        <f t="shared" si="551"/>
        <v>22nd2500Austin</v>
      </c>
      <c r="H7096" t="s">
        <v>37952</v>
      </c>
      <c r="I7096" t="s">
        <v>29368</v>
      </c>
      <c r="J7096" t="str">
        <f t="shared" si="552"/>
        <v>E:\PropInv\MF</v>
      </c>
      <c r="K7096" s="103" t="str">
        <f>HYPERLINK("E:\PropInv\MF\Austin\22nd St_2500_House 2500_Austin_18274","22nd St_2500_House 2500_Austin_18274" )</f>
        <v>22nd St_2500_House 2500_Austin_18274</v>
      </c>
      <c r="L7096" s="104" t="s">
        <v>22253</v>
      </c>
      <c r="M7096" s="103" t="str">
        <f t="shared" si="553"/>
        <v>http://oconnordata.com/mlink/modules/profile/index.cfm?action=profile&amp;prop_id=18274</v>
      </c>
      <c r="N7096" s="1">
        <f t="shared" si="554"/>
        <v>18274</v>
      </c>
    </row>
    <row r="7097" spans="1:14" x14ac:dyDescent="0.3">
      <c r="A7097" s="1">
        <v>18275</v>
      </c>
      <c r="B7097" s="7" t="s">
        <v>10640</v>
      </c>
      <c r="C7097" s="12">
        <v>4050</v>
      </c>
      <c r="D7097" s="7" t="s">
        <v>10641</v>
      </c>
      <c r="E7097" s="13" t="s">
        <v>8774</v>
      </c>
      <c r="F7097" t="str">
        <f t="shared" si="550"/>
        <v>Pendleton</v>
      </c>
      <c r="G7097" t="str">
        <f t="shared" si="551"/>
        <v>Pendleton4050Bryan</v>
      </c>
      <c r="H7097" t="s">
        <v>37953</v>
      </c>
      <c r="I7097" t="s">
        <v>29369</v>
      </c>
      <c r="J7097" t="str">
        <f t="shared" si="552"/>
        <v>E:\PropInv\MF</v>
      </c>
      <c r="K7097" s="103" t="str">
        <f>HYPERLINK("E:\PropInv\MF\Bryan\Pendleton_4050_Park Hudson Place_Bryan_18275","Pendleton_4050_Park Hudson Place_Bryan_18275" )</f>
        <v>Pendleton_4050_Park Hudson Place_Bryan_18275</v>
      </c>
      <c r="L7097" s="104" t="s">
        <v>22253</v>
      </c>
      <c r="M7097" s="103" t="str">
        <f t="shared" si="553"/>
        <v>http://oconnordata.com/mlink/modules/profile/index.cfm?action=profile&amp;prop_id=18275</v>
      </c>
      <c r="N7097" s="1">
        <f t="shared" si="554"/>
        <v>18275</v>
      </c>
    </row>
    <row r="7098" spans="1:14" x14ac:dyDescent="0.3">
      <c r="A7098" s="1">
        <v>18276</v>
      </c>
      <c r="B7098" s="19" t="s">
        <v>10640</v>
      </c>
      <c r="C7098" s="18">
        <v>4150</v>
      </c>
      <c r="D7098" s="19" t="s">
        <v>10642</v>
      </c>
      <c r="E7098" s="20" t="s">
        <v>8774</v>
      </c>
      <c r="F7098" t="str">
        <f t="shared" si="550"/>
        <v>Pendleton</v>
      </c>
      <c r="G7098" t="str">
        <f t="shared" si="551"/>
        <v>Pendleton4150Bryan</v>
      </c>
      <c r="H7098" t="s">
        <v>37954</v>
      </c>
      <c r="I7098" t="s">
        <v>29370</v>
      </c>
      <c r="J7098" t="str">
        <f t="shared" si="552"/>
        <v>E:\PropInv\MF</v>
      </c>
      <c r="K7098" s="103" t="str">
        <f>HYPERLINK("E:\PropInv\MF\Bryan\Pendleton_4150_Park Hudson Place II_Bryan_18276","Pendleton_4150_Park Hudson Place II_Bryan_18276" )</f>
        <v>Pendleton_4150_Park Hudson Place II_Bryan_18276</v>
      </c>
      <c r="L7098" s="104" t="s">
        <v>22253</v>
      </c>
      <c r="M7098" s="103" t="str">
        <f t="shared" si="553"/>
        <v>http://oconnordata.com/mlink/modules/profile/index.cfm?action=profile&amp;prop_id=18276</v>
      </c>
      <c r="N7098" s="1">
        <f t="shared" si="554"/>
        <v>18276</v>
      </c>
    </row>
    <row r="7099" spans="1:14" x14ac:dyDescent="0.3">
      <c r="A7099" s="1">
        <v>18277</v>
      </c>
      <c r="B7099" s="7" t="s">
        <v>9500</v>
      </c>
      <c r="C7099" s="12">
        <v>3720</v>
      </c>
      <c r="D7099" s="7" t="s">
        <v>10643</v>
      </c>
      <c r="E7099" s="13" t="s">
        <v>1508</v>
      </c>
      <c r="F7099" t="str">
        <f t="shared" si="550"/>
        <v>College</v>
      </c>
      <c r="G7099" t="str">
        <f t="shared" si="551"/>
        <v>College3720The Woodlands</v>
      </c>
      <c r="H7099" t="s">
        <v>37955</v>
      </c>
      <c r="I7099" t="s">
        <v>29371</v>
      </c>
      <c r="J7099" t="str">
        <f t="shared" si="552"/>
        <v>E:\PropInv\MF</v>
      </c>
      <c r="K7099" s="103" t="str">
        <f>HYPERLINK("E:\PropInv\MF\The Woodlands\College Park Dr_3720_Plantation Apts at The Woodlands II_The Woodlands_18277","College Park Dr_3720_Plantation Apts at The Woodlands II_The Woodlands_18277" )</f>
        <v>College Park Dr_3720_Plantation Apts at The Woodlands II_The Woodlands_18277</v>
      </c>
      <c r="L7099" s="104" t="s">
        <v>22253</v>
      </c>
      <c r="M7099" s="103" t="str">
        <f t="shared" si="553"/>
        <v>http://oconnordata.com/mlink/modules/profile/index.cfm?action=profile&amp;prop_id=18277</v>
      </c>
      <c r="N7099" s="1">
        <f t="shared" si="554"/>
        <v>18277</v>
      </c>
    </row>
    <row r="7100" spans="1:14" x14ac:dyDescent="0.3">
      <c r="A7100" s="1">
        <v>18278</v>
      </c>
      <c r="B7100" s="7" t="s">
        <v>775</v>
      </c>
      <c r="C7100" s="12">
        <v>3621</v>
      </c>
      <c r="D7100" s="7" t="s">
        <v>10644</v>
      </c>
      <c r="E7100" s="13" t="s">
        <v>7</v>
      </c>
      <c r="F7100" t="str">
        <f t="shared" si="550"/>
        <v>Slaughter</v>
      </c>
      <c r="G7100" t="str">
        <f t="shared" si="551"/>
        <v>Slaughter3621Austin</v>
      </c>
      <c r="H7100" t="s">
        <v>37956</v>
      </c>
      <c r="I7100" t="s">
        <v>29372</v>
      </c>
      <c r="J7100" t="str">
        <f t="shared" si="552"/>
        <v>E:\PropInv\MF</v>
      </c>
      <c r="K7100" s="103" t="str">
        <f>HYPERLINK("E:\PropInv\MF\Austin\Slaughter Ln W_3621_Ranch House_Austin_18278","Slaughter Ln W_3621_Ranch House_Austin_18278" )</f>
        <v>Slaughter Ln W_3621_Ranch House_Austin_18278</v>
      </c>
      <c r="L7100" s="104" t="s">
        <v>22253</v>
      </c>
      <c r="M7100" s="103" t="str">
        <f t="shared" si="553"/>
        <v>http://oconnordata.com/mlink/modules/profile/index.cfm?action=profile&amp;prop_id=18278</v>
      </c>
      <c r="N7100" s="1">
        <f t="shared" si="554"/>
        <v>18278</v>
      </c>
    </row>
    <row r="7101" spans="1:14" x14ac:dyDescent="0.3">
      <c r="A7101" s="1">
        <v>18279</v>
      </c>
      <c r="B7101" s="7" t="s">
        <v>10645</v>
      </c>
      <c r="C7101" s="12">
        <v>1225</v>
      </c>
      <c r="D7101" s="7" t="s">
        <v>10646</v>
      </c>
      <c r="E7101" s="13" t="s">
        <v>367</v>
      </c>
      <c r="F7101" t="str">
        <f t="shared" si="550"/>
        <v>Town</v>
      </c>
      <c r="G7101" t="str">
        <f t="shared" si="551"/>
        <v>Town1225Pflugerville</v>
      </c>
      <c r="H7101" t="s">
        <v>37957</v>
      </c>
      <c r="I7101" t="s">
        <v>29373</v>
      </c>
      <c r="J7101" t="str">
        <f t="shared" si="552"/>
        <v>E:\PropInv\MF</v>
      </c>
      <c r="K7101" s="103" t="str">
        <f>HYPERLINK("E:\PropInv\MF\Pflugerville\Town Center Dr_1225_Mansions at Stone Hill_Pflugerville_18279","Town Center Dr_1225_Mansions at Stone Hill_Pflugerville_18279" )</f>
        <v>Town Center Dr_1225_Mansions at Stone Hill_Pflugerville_18279</v>
      </c>
      <c r="L7101" s="104" t="s">
        <v>22253</v>
      </c>
      <c r="M7101" s="103" t="str">
        <f t="shared" si="553"/>
        <v>http://oconnordata.com/mlink/modules/profile/index.cfm?action=profile&amp;prop_id=18279</v>
      </c>
      <c r="N7101" s="1">
        <f t="shared" si="554"/>
        <v>18279</v>
      </c>
    </row>
    <row r="7102" spans="1:14" x14ac:dyDescent="0.3">
      <c r="A7102" s="1">
        <v>18280</v>
      </c>
      <c r="B7102" s="19" t="s">
        <v>10647</v>
      </c>
      <c r="C7102" s="18" t="s">
        <v>2497</v>
      </c>
      <c r="D7102" s="19" t="s">
        <v>10648</v>
      </c>
      <c r="E7102" s="20" t="s">
        <v>367</v>
      </c>
      <c r="F7102" t="str">
        <f t="shared" si="550"/>
        <v>Pecan</v>
      </c>
      <c r="G7102" t="str">
        <f t="shared" si="551"/>
        <v>PecanNFPflugerville</v>
      </c>
      <c r="H7102" t="s">
        <v>37958</v>
      </c>
      <c r="I7102" t="s">
        <v>29374</v>
      </c>
      <c r="J7102" t="str">
        <f t="shared" si="552"/>
        <v>E:\PropInv\MF</v>
      </c>
      <c r="K7102" s="103" t="str">
        <f>HYPERLINK("E:\PropInv\MF\Pflugerville\Pecan St (1825 FM)_NF_Pflugerville Town Square Apts_Pflugerville_18280","Pecan St (1825 FM)_NF_Pflugerville Town Square Apts_Pflugerville_18280" )</f>
        <v>Pecan St (1825 FM)_NF_Pflugerville Town Square Apts_Pflugerville_18280</v>
      </c>
      <c r="L7102" s="104" t="s">
        <v>22253</v>
      </c>
      <c r="M7102" s="103" t="str">
        <f t="shared" si="553"/>
        <v>http://oconnordata.com/mlink/modules/profile/index.cfm?action=profile&amp;prop_id=18280</v>
      </c>
      <c r="N7102" s="1">
        <f t="shared" si="554"/>
        <v>18280</v>
      </c>
    </row>
    <row r="7103" spans="1:14" x14ac:dyDescent="0.3">
      <c r="A7103" s="1">
        <v>18281</v>
      </c>
      <c r="B7103" s="7" t="s">
        <v>430</v>
      </c>
      <c r="C7103" s="12">
        <v>2505</v>
      </c>
      <c r="D7103" s="7" t="s">
        <v>10649</v>
      </c>
      <c r="E7103" s="13" t="s">
        <v>7</v>
      </c>
      <c r="F7103" t="str">
        <f t="shared" si="550"/>
        <v>Longview</v>
      </c>
      <c r="G7103" t="str">
        <f t="shared" si="551"/>
        <v>Longview2505Austin</v>
      </c>
      <c r="H7103" t="s">
        <v>37959</v>
      </c>
      <c r="I7103" t="s">
        <v>29375</v>
      </c>
      <c r="J7103" t="str">
        <f t="shared" si="552"/>
        <v>E:\PropInv\MF</v>
      </c>
      <c r="K7103" s="103" t="str">
        <f>HYPERLINK("E:\PropInv\MF\Austin\Longview St_2505_Circle West Campus_Austin_18281","Longview St_2505_Circle West Campus_Austin_18281" )</f>
        <v>Longview St_2505_Circle West Campus_Austin_18281</v>
      </c>
      <c r="L7103" s="104" t="s">
        <v>22253</v>
      </c>
      <c r="M7103" s="103" t="str">
        <f t="shared" si="553"/>
        <v>http://oconnordata.com/mlink/modules/profile/index.cfm?action=profile&amp;prop_id=18281</v>
      </c>
      <c r="N7103" s="1">
        <f t="shared" si="554"/>
        <v>18281</v>
      </c>
    </row>
    <row r="7104" spans="1:14" x14ac:dyDescent="0.3">
      <c r="A7104" s="1">
        <v>18282</v>
      </c>
      <c r="B7104" s="19" t="s">
        <v>9852</v>
      </c>
      <c r="C7104" s="18" t="s">
        <v>2497</v>
      </c>
      <c r="D7104" s="19" t="s">
        <v>10650</v>
      </c>
      <c r="E7104" s="20" t="s">
        <v>7</v>
      </c>
      <c r="F7104" t="str">
        <f t="shared" si="550"/>
        <v>1626</v>
      </c>
      <c r="G7104" t="str">
        <f t="shared" si="551"/>
        <v>1626NFAustin</v>
      </c>
      <c r="H7104" t="s">
        <v>37960</v>
      </c>
      <c r="I7104" t="s">
        <v>29376</v>
      </c>
      <c r="J7104" t="str">
        <f t="shared" si="552"/>
        <v>E:\PropInv\MF</v>
      </c>
      <c r="K7104" s="103" t="str">
        <f>HYPERLINK("E:\PropInv\MF\Austin\1626 FM_NF_Colonial Grand at Cityway II_Austin_18282","1626 FM_NF_Colonial Grand at Cityway II_Austin_18282" )</f>
        <v>1626 FM_NF_Colonial Grand at Cityway II_Austin_18282</v>
      </c>
      <c r="L7104" s="104" t="s">
        <v>22253</v>
      </c>
      <c r="M7104" s="103" t="str">
        <f t="shared" si="553"/>
        <v>http://oconnordata.com/mlink/modules/profile/index.cfm?action=profile&amp;prop_id=18282</v>
      </c>
      <c r="N7104" s="1">
        <f t="shared" si="554"/>
        <v>18282</v>
      </c>
    </row>
    <row r="7105" spans="1:14" x14ac:dyDescent="0.3">
      <c r="A7105" s="1">
        <v>18284</v>
      </c>
      <c r="B7105" s="7" t="s">
        <v>10651</v>
      </c>
      <c r="C7105" s="12" t="s">
        <v>10652</v>
      </c>
      <c r="D7105" s="7" t="s">
        <v>10653</v>
      </c>
      <c r="E7105" s="25" t="s">
        <v>10104</v>
      </c>
      <c r="F7105" t="str">
        <f t="shared" si="550"/>
        <v>Cabela's</v>
      </c>
      <c r="G7105" t="str">
        <f t="shared" si="551"/>
        <v>Cabela's1300 BlkBuda</v>
      </c>
      <c r="H7105" t="s">
        <v>37961</v>
      </c>
      <c r="I7105" t="s">
        <v>29377</v>
      </c>
      <c r="J7105" t="str">
        <f t="shared" si="552"/>
        <v>E:\PropInv\MF</v>
      </c>
      <c r="K7105" s="103" t="str">
        <f>HYPERLINK("E:\PropInv\MF\Buda\Cabela's Dr_1300 Blk_Provident Buda_Buda_18284","Cabela's Dr_1300 Blk_Provident Buda_Buda_18284" )</f>
        <v>Cabela's Dr_1300 Blk_Provident Buda_Buda_18284</v>
      </c>
      <c r="L7105" s="104" t="s">
        <v>22253</v>
      </c>
      <c r="M7105" s="103" t="str">
        <f t="shared" si="553"/>
        <v>http://oconnordata.com/mlink/modules/profile/index.cfm?action=profile&amp;prop_id=18284</v>
      </c>
      <c r="N7105" s="1">
        <f t="shared" si="554"/>
        <v>18284</v>
      </c>
    </row>
    <row r="7106" spans="1:14" x14ac:dyDescent="0.3">
      <c r="A7106" s="1">
        <v>18285</v>
      </c>
      <c r="B7106" s="7" t="s">
        <v>10654</v>
      </c>
      <c r="C7106" s="12">
        <v>1255</v>
      </c>
      <c r="D7106" s="7" t="s">
        <v>7103</v>
      </c>
      <c r="E7106" s="13" t="s">
        <v>10104</v>
      </c>
      <c r="F7106" t="str">
        <f t="shared" ref="F7106:F7169" si="555">IFERROR(LEFT(B7106,FIND(" ",B7106)-1),B7106)</f>
        <v>Firecracker</v>
      </c>
      <c r="G7106" t="str">
        <f t="shared" ref="G7106:G7169" si="556">F7106&amp;C7106&amp;E7106</f>
        <v>Firecracker1255Buda</v>
      </c>
      <c r="H7106" t="s">
        <v>37962</v>
      </c>
      <c r="I7106" t="s">
        <v>29378</v>
      </c>
      <c r="J7106" t="str">
        <f t="shared" ref="J7106:J7169" si="557">IF(L7106="TX",Folder_Path,Folder_Path&amp;"\State_"&amp;L7106)</f>
        <v>E:\PropInv\MF</v>
      </c>
      <c r="K7106" s="103" t="str">
        <f>HYPERLINK("E:\PropInv\MF\Buda\Firecracker Dr_1255_The Huntington_Buda_18285","Firecracker Dr_1255_The Huntington_Buda_18285" )</f>
        <v>Firecracker Dr_1255_The Huntington_Buda_18285</v>
      </c>
      <c r="L7106" s="104" t="s">
        <v>22253</v>
      </c>
      <c r="M7106" s="103" t="str">
        <f t="shared" ref="M7106:M7169" si="558">HYPERLINK("http://oconnordata.com/mlink/modules/profile/index.cfm?action=profile&amp;prop_id="&amp;A7106)</f>
        <v>http://oconnordata.com/mlink/modules/profile/index.cfm?action=profile&amp;prop_id=18285</v>
      </c>
      <c r="N7106" s="1">
        <f t="shared" ref="N7106:N7169" si="559">IF(LEN(A7106)=1,"0000"&amp;A7106,IF(LEN(A7106)=2,"000"&amp;A7106,IF(LEN(A7106)=3,"00"&amp;A7106,IF(LEN(A7106)=4,"0"&amp;A7106,IF(LEN(A7106)=5,IF(LEFT(A7106,1)="3",A7106+30000,A7106))))))</f>
        <v>18285</v>
      </c>
    </row>
    <row r="7107" spans="1:14" x14ac:dyDescent="0.3">
      <c r="A7107" s="1">
        <v>18286</v>
      </c>
      <c r="B7107" s="7" t="s">
        <v>10655</v>
      </c>
      <c r="C7107" s="12">
        <v>590</v>
      </c>
      <c r="D7107" s="7" t="s">
        <v>10656</v>
      </c>
      <c r="E7107" s="13" t="s">
        <v>10104</v>
      </c>
      <c r="F7107" t="str">
        <f t="shared" si="555"/>
        <v>967</v>
      </c>
      <c r="G7107" t="str">
        <f t="shared" si="556"/>
        <v>967590Buda</v>
      </c>
      <c r="H7107" t="s">
        <v>37963</v>
      </c>
      <c r="I7107" t="s">
        <v>29379</v>
      </c>
      <c r="J7107" t="str">
        <f t="shared" si="557"/>
        <v>E:\PropInv\MF</v>
      </c>
      <c r="K7107" s="103" t="str">
        <f>HYPERLINK("E:\PropInv\MF\Buda\967 RR N_590_Creekside Villas Senior Village_Buda_18286","967 RR N_590_Creekside Villas Senior Village_Buda_18286" )</f>
        <v>967 RR N_590_Creekside Villas Senior Village_Buda_18286</v>
      </c>
      <c r="L7107" s="104" t="s">
        <v>22253</v>
      </c>
      <c r="M7107" s="103" t="str">
        <f t="shared" si="558"/>
        <v>http://oconnordata.com/mlink/modules/profile/index.cfm?action=profile&amp;prop_id=18286</v>
      </c>
      <c r="N7107" s="1">
        <f t="shared" si="559"/>
        <v>18286</v>
      </c>
    </row>
    <row r="7108" spans="1:14" x14ac:dyDescent="0.3">
      <c r="A7108" s="1">
        <v>18287</v>
      </c>
      <c r="B7108" s="19" t="s">
        <v>4110</v>
      </c>
      <c r="C7108" s="18" t="s">
        <v>2497</v>
      </c>
      <c r="D7108" s="19" t="s">
        <v>10657</v>
      </c>
      <c r="E7108" s="20" t="s">
        <v>4369</v>
      </c>
      <c r="F7108" t="str">
        <f t="shared" si="555"/>
        <v>Cullen</v>
      </c>
      <c r="G7108" t="str">
        <f t="shared" si="556"/>
        <v>CullenNFPearland</v>
      </c>
      <c r="H7108" t="s">
        <v>37964</v>
      </c>
      <c r="I7108" t="s">
        <v>29380</v>
      </c>
      <c r="J7108" t="str">
        <f t="shared" si="557"/>
        <v>E:\PropInv\MF</v>
      </c>
      <c r="K7108" s="103" t="str">
        <f>HYPERLINK("E:\PropInv\MF\Pearland\Cullen Blvd_NF_TownePlace Reserve_Pearland_18287","Cullen Blvd_NF_TownePlace Reserve_Pearland_18287" )</f>
        <v>Cullen Blvd_NF_TownePlace Reserve_Pearland_18287</v>
      </c>
      <c r="L7108" s="104" t="s">
        <v>22253</v>
      </c>
      <c r="M7108" s="103" t="str">
        <f t="shared" si="558"/>
        <v>http://oconnordata.com/mlink/modules/profile/index.cfm?action=profile&amp;prop_id=18287</v>
      </c>
      <c r="N7108" s="1">
        <f t="shared" si="559"/>
        <v>18287</v>
      </c>
    </row>
    <row r="7109" spans="1:14" x14ac:dyDescent="0.3">
      <c r="A7109" s="1">
        <v>18288</v>
      </c>
      <c r="B7109" s="7" t="s">
        <v>10658</v>
      </c>
      <c r="C7109" s="12">
        <v>294</v>
      </c>
      <c r="D7109" s="7" t="s">
        <v>10659</v>
      </c>
      <c r="E7109" s="13" t="s">
        <v>4442</v>
      </c>
      <c r="F7109" t="str">
        <f t="shared" si="555"/>
        <v>Abner</v>
      </c>
      <c r="G7109" t="str">
        <f t="shared" si="556"/>
        <v>Abner294Lake Jackson</v>
      </c>
      <c r="H7109" t="s">
        <v>37965</v>
      </c>
      <c r="I7109" t="s">
        <v>29381</v>
      </c>
      <c r="J7109" t="str">
        <f t="shared" si="557"/>
        <v>E:\PropInv\MF</v>
      </c>
      <c r="K7109" s="103" t="str">
        <f>HYPERLINK("E:\PropInv\MF\Lake Jackson\Abner Jackson Blvd_294_Jackson Village Retirement Center_Lake Jackson_18288","Abner Jackson Blvd_294_Jackson Village Retirement Center_Lake Jackson_18288" )</f>
        <v>Abner Jackson Blvd_294_Jackson Village Retirement Center_Lake Jackson_18288</v>
      </c>
      <c r="L7109" s="104" t="s">
        <v>22253</v>
      </c>
      <c r="M7109" s="103" t="str">
        <f t="shared" si="558"/>
        <v>http://oconnordata.com/mlink/modules/profile/index.cfm?action=profile&amp;prop_id=18288</v>
      </c>
      <c r="N7109" s="1">
        <f t="shared" si="559"/>
        <v>18288</v>
      </c>
    </row>
    <row r="7110" spans="1:14" x14ac:dyDescent="0.3">
      <c r="A7110" s="1">
        <v>18289</v>
      </c>
      <c r="B7110" s="7" t="s">
        <v>10660</v>
      </c>
      <c r="C7110" s="12">
        <v>2424</v>
      </c>
      <c r="D7110" s="7" t="s">
        <v>10661</v>
      </c>
      <c r="E7110" s="13" t="s">
        <v>1657</v>
      </c>
      <c r="F7110" t="str">
        <f t="shared" si="555"/>
        <v>Sakowitz</v>
      </c>
      <c r="G7110" t="str">
        <f t="shared" si="556"/>
        <v>Sakowitz2424Houston</v>
      </c>
      <c r="H7110" t="s">
        <v>37966</v>
      </c>
      <c r="I7110" t="s">
        <v>29382</v>
      </c>
      <c r="J7110" t="str">
        <f t="shared" si="557"/>
        <v>E:\PropInv\MF</v>
      </c>
      <c r="K7110" s="103" t="str">
        <f>HYPERLINK("E:\PropInv\MF\Houston\Sakowitz St_2424_2424 Sakowitz_Houston_18289","Sakowitz St_2424_2424 Sakowitz_Houston_18289" )</f>
        <v>Sakowitz St_2424_2424 Sakowitz_Houston_18289</v>
      </c>
      <c r="L7110" s="104" t="s">
        <v>22253</v>
      </c>
      <c r="M7110" s="103" t="str">
        <f t="shared" si="558"/>
        <v>http://oconnordata.com/mlink/modules/profile/index.cfm?action=profile&amp;prop_id=18289</v>
      </c>
      <c r="N7110" s="1">
        <f t="shared" si="559"/>
        <v>18289</v>
      </c>
    </row>
    <row r="7111" spans="1:14" x14ac:dyDescent="0.3">
      <c r="A7111" s="1">
        <v>18290</v>
      </c>
      <c r="B7111" s="7" t="s">
        <v>3180</v>
      </c>
      <c r="C7111" s="12">
        <v>7447</v>
      </c>
      <c r="D7111" s="7" t="s">
        <v>10662</v>
      </c>
      <c r="E7111" s="13" t="s">
        <v>1657</v>
      </c>
      <c r="F7111" t="str">
        <f t="shared" si="555"/>
        <v>Wayside</v>
      </c>
      <c r="G7111" t="str">
        <f t="shared" si="556"/>
        <v>Wayside7447Houston</v>
      </c>
      <c r="H7111" t="s">
        <v>37967</v>
      </c>
      <c r="I7111" t="s">
        <v>29383</v>
      </c>
      <c r="J7111" t="str">
        <f t="shared" si="557"/>
        <v>E:\PropInv\MF</v>
      </c>
      <c r="K7111" s="103" t="str">
        <f>HYPERLINK("E:\PropInv\MF\Houston\Wayside Dr N_7447_HomeTowne on Wayside_Houston_18290","Wayside Dr N_7447_HomeTowne on Wayside_Houston_18290" )</f>
        <v>Wayside Dr N_7447_HomeTowne on Wayside_Houston_18290</v>
      </c>
      <c r="L7111" s="104" t="s">
        <v>22253</v>
      </c>
      <c r="M7111" s="103" t="str">
        <f t="shared" si="558"/>
        <v>http://oconnordata.com/mlink/modules/profile/index.cfm?action=profile&amp;prop_id=18290</v>
      </c>
      <c r="N7111" s="1">
        <f t="shared" si="559"/>
        <v>18290</v>
      </c>
    </row>
    <row r="7112" spans="1:14" x14ac:dyDescent="0.3">
      <c r="A7112" s="1">
        <v>18291</v>
      </c>
      <c r="B7112" s="7" t="s">
        <v>750</v>
      </c>
      <c r="C7112" s="12">
        <v>8800</v>
      </c>
      <c r="D7112" s="7" t="s">
        <v>10663</v>
      </c>
      <c r="E7112" s="13" t="s">
        <v>7</v>
      </c>
      <c r="F7112" t="str">
        <f t="shared" si="555"/>
        <v>290</v>
      </c>
      <c r="G7112" t="str">
        <f t="shared" si="556"/>
        <v>2908800Austin</v>
      </c>
      <c r="H7112" t="s">
        <v>37968</v>
      </c>
      <c r="I7112" t="s">
        <v>29384</v>
      </c>
      <c r="J7112" t="str">
        <f t="shared" si="557"/>
        <v>E:\PropInv\MF</v>
      </c>
      <c r="K7112" s="103" t="str">
        <f>HYPERLINK("E:\PropInv\MF\Austin\290 Hwy W_8800_Fox Hill Apts_Austin_18291","290 Hwy W_8800_Fox Hill Apts_Austin_18291" )</f>
        <v>290 Hwy W_8800_Fox Hill Apts_Austin_18291</v>
      </c>
      <c r="L7112" s="104" t="s">
        <v>22253</v>
      </c>
      <c r="M7112" s="103" t="str">
        <f t="shared" si="558"/>
        <v>http://oconnordata.com/mlink/modules/profile/index.cfm?action=profile&amp;prop_id=18291</v>
      </c>
      <c r="N7112" s="1">
        <f t="shared" si="559"/>
        <v>18291</v>
      </c>
    </row>
    <row r="7113" spans="1:14" x14ac:dyDescent="0.3">
      <c r="A7113" s="1">
        <v>18292</v>
      </c>
      <c r="B7113" s="19" t="s">
        <v>10664</v>
      </c>
      <c r="C7113" s="18" t="s">
        <v>2497</v>
      </c>
      <c r="D7113" s="19" t="s">
        <v>10665</v>
      </c>
      <c r="E7113" s="20" t="s">
        <v>604</v>
      </c>
      <c r="F7113" t="str">
        <f t="shared" si="555"/>
        <v>Hasler</v>
      </c>
      <c r="G7113" t="str">
        <f t="shared" si="556"/>
        <v>HaslerNFBastrop</v>
      </c>
      <c r="H7113" t="s">
        <v>37969</v>
      </c>
      <c r="I7113" t="s">
        <v>29385</v>
      </c>
      <c r="J7113" t="str">
        <f t="shared" si="557"/>
        <v>E:\PropInv\MF</v>
      </c>
      <c r="K7113" s="103" t="str">
        <f>HYPERLINK("E:\PropInv\MF\Bastrop\Hasler Blvd N_NF_Fairwood Commons_Bastrop_18292","Hasler Blvd N_NF_Fairwood Commons_Bastrop_18292" )</f>
        <v>Hasler Blvd N_NF_Fairwood Commons_Bastrop_18292</v>
      </c>
      <c r="L7113" s="104" t="s">
        <v>22253</v>
      </c>
      <c r="M7113" s="103" t="str">
        <f t="shared" si="558"/>
        <v>http://oconnordata.com/mlink/modules/profile/index.cfm?action=profile&amp;prop_id=18292</v>
      </c>
      <c r="N7113" s="1">
        <f t="shared" si="559"/>
        <v>18292</v>
      </c>
    </row>
    <row r="7114" spans="1:14" x14ac:dyDescent="0.3">
      <c r="A7114" s="1">
        <v>18293</v>
      </c>
      <c r="B7114" s="19" t="s">
        <v>10230</v>
      </c>
      <c r="C7114" s="18">
        <v>1907</v>
      </c>
      <c r="D7114" s="19" t="s">
        <v>10666</v>
      </c>
      <c r="E7114" s="20" t="s">
        <v>842</v>
      </c>
      <c r="F7114" t="str">
        <f t="shared" si="555"/>
        <v>1604</v>
      </c>
      <c r="G7114" t="str">
        <f t="shared" si="556"/>
        <v>16041907San Antonio</v>
      </c>
      <c r="H7114" t="s">
        <v>37970</v>
      </c>
      <c r="I7114" t="s">
        <v>29386</v>
      </c>
      <c r="J7114" t="str">
        <f t="shared" si="557"/>
        <v>E:\PropInv\MF</v>
      </c>
      <c r="K7114" s="103" t="str">
        <f>HYPERLINK("E:\PropInv\MF\San Antonio\1604 Loop N W_1907_Reed Road Apts (on hold)_San Antonio_18293","1604 Loop N W_1907_Reed Road Apts (on hold)_San Antonio_18293" )</f>
        <v>1604 Loop N W_1907_Reed Road Apts (on hold)_San Antonio_18293</v>
      </c>
      <c r="L7114" s="104" t="s">
        <v>22253</v>
      </c>
      <c r="M7114" s="103" t="str">
        <f t="shared" si="558"/>
        <v>http://oconnordata.com/mlink/modules/profile/index.cfm?action=profile&amp;prop_id=18293</v>
      </c>
      <c r="N7114" s="1">
        <f t="shared" si="559"/>
        <v>18293</v>
      </c>
    </row>
    <row r="7115" spans="1:14" x14ac:dyDescent="0.3">
      <c r="A7115" s="1">
        <v>18294</v>
      </c>
      <c r="B7115" s="7" t="s">
        <v>10667</v>
      </c>
      <c r="C7115" s="12">
        <v>4645</v>
      </c>
      <c r="D7115" s="7" t="s">
        <v>10668</v>
      </c>
      <c r="E7115" s="13" t="s">
        <v>4996</v>
      </c>
      <c r="F7115" t="str">
        <f t="shared" si="555"/>
        <v>Dolphin</v>
      </c>
      <c r="G7115" t="str">
        <f t="shared" si="556"/>
        <v>Dolphin4645Dallas</v>
      </c>
      <c r="H7115" t="s">
        <v>37971</v>
      </c>
      <c r="I7115" t="s">
        <v>29387</v>
      </c>
      <c r="J7115" t="str">
        <f t="shared" si="557"/>
        <v>E:\PropInv\MF</v>
      </c>
      <c r="K7115" s="103" t="str">
        <f>HYPERLINK("E:\PropInv\MF\Dallas\Dolphin Rd_4645_Carpenter's Point_Dallas_18294","Dolphin Rd_4645_Carpenter's Point_Dallas_18294" )</f>
        <v>Dolphin Rd_4645_Carpenter's Point_Dallas_18294</v>
      </c>
      <c r="L7115" s="104" t="s">
        <v>22253</v>
      </c>
      <c r="M7115" s="103" t="str">
        <f t="shared" si="558"/>
        <v>http://oconnordata.com/mlink/modules/profile/index.cfm?action=profile&amp;prop_id=18294</v>
      </c>
      <c r="N7115" s="1">
        <f t="shared" si="559"/>
        <v>18294</v>
      </c>
    </row>
    <row r="7116" spans="1:14" x14ac:dyDescent="0.3">
      <c r="A7116" s="1">
        <v>18295</v>
      </c>
      <c r="B7116" s="7" t="s">
        <v>8736</v>
      </c>
      <c r="C7116" s="12">
        <v>2696</v>
      </c>
      <c r="D7116" s="7" t="s">
        <v>10669</v>
      </c>
      <c r="E7116" s="13" t="s">
        <v>4996</v>
      </c>
      <c r="F7116" t="str">
        <f t="shared" si="555"/>
        <v>Bickers</v>
      </c>
      <c r="G7116" t="str">
        <f t="shared" si="556"/>
        <v>Bickers2696Dallas</v>
      </c>
      <c r="H7116" t="s">
        <v>37972</v>
      </c>
      <c r="I7116" t="s">
        <v>29388</v>
      </c>
      <c r="J7116" t="str">
        <f t="shared" si="557"/>
        <v>E:\PropInv\MF</v>
      </c>
      <c r="K7116" s="103" t="str">
        <f>HYPERLINK("E:\PropInv\MF\Dallas\Bickers St_2696_Village at Lakewest I &amp; II_Dallas_18295","Bickers St_2696_Village at Lakewest I &amp; II_Dallas_18295" )</f>
        <v>Bickers St_2696_Village at Lakewest I &amp; II_Dallas_18295</v>
      </c>
      <c r="L7116" s="104" t="s">
        <v>22253</v>
      </c>
      <c r="M7116" s="103" t="str">
        <f t="shared" si="558"/>
        <v>http://oconnordata.com/mlink/modules/profile/index.cfm?action=profile&amp;prop_id=18295</v>
      </c>
      <c r="N7116" s="1">
        <f t="shared" si="559"/>
        <v>18295</v>
      </c>
    </row>
    <row r="7117" spans="1:14" x14ac:dyDescent="0.3">
      <c r="A7117" s="1">
        <v>18297</v>
      </c>
      <c r="B7117" s="7" t="s">
        <v>10670</v>
      </c>
      <c r="C7117" s="12">
        <v>1100</v>
      </c>
      <c r="D7117" s="7" t="s">
        <v>10671</v>
      </c>
      <c r="E7117" s="13" t="s">
        <v>5060</v>
      </c>
      <c r="F7117" t="str">
        <f t="shared" si="555"/>
        <v>Raiford</v>
      </c>
      <c r="G7117" t="str">
        <f t="shared" si="556"/>
        <v>Raiford1100Carrollton</v>
      </c>
      <c r="H7117" t="s">
        <v>37973</v>
      </c>
      <c r="I7117" t="s">
        <v>29389</v>
      </c>
      <c r="J7117" t="str">
        <f t="shared" si="557"/>
        <v>E:\PropInv\MF</v>
      </c>
      <c r="K7117" s="103" t="str">
        <f>HYPERLINK("E:\PropInv\MF\Carrollton\Raiford Rd_1100_Villas on Raiford_Carrollton_18297","Raiford Rd_1100_Villas on Raiford_Carrollton_18297" )</f>
        <v>Raiford Rd_1100_Villas on Raiford_Carrollton_18297</v>
      </c>
      <c r="L7117" s="104" t="s">
        <v>22253</v>
      </c>
      <c r="M7117" s="103" t="str">
        <f t="shared" si="558"/>
        <v>http://oconnordata.com/mlink/modules/profile/index.cfm?action=profile&amp;prop_id=18297</v>
      </c>
      <c r="N7117" s="1">
        <f t="shared" si="559"/>
        <v>18297</v>
      </c>
    </row>
    <row r="7118" spans="1:14" x14ac:dyDescent="0.3">
      <c r="A7118" s="1">
        <v>18298</v>
      </c>
      <c r="B7118" s="7" t="s">
        <v>10672</v>
      </c>
      <c r="C7118" s="12">
        <v>2105</v>
      </c>
      <c r="D7118" s="7" t="s">
        <v>10673</v>
      </c>
      <c r="E7118" s="13" t="s">
        <v>5060</v>
      </c>
      <c r="F7118" t="str">
        <f t="shared" si="555"/>
        <v>Josey</v>
      </c>
      <c r="G7118" t="str">
        <f t="shared" si="556"/>
        <v>Josey2105Carrollton</v>
      </c>
      <c r="H7118" t="s">
        <v>37974</v>
      </c>
      <c r="I7118" t="s">
        <v>29390</v>
      </c>
      <c r="J7118" t="str">
        <f t="shared" si="557"/>
        <v>E:\PropInv\MF</v>
      </c>
      <c r="K7118" s="103" t="str">
        <f>HYPERLINK("E:\PropInv\MF\Carrollton\Josey Ln N_2105_Lakeview at Josey Ranch_Carrollton_18298","Josey Ln N_2105_Lakeview at Josey Ranch_Carrollton_18298" )</f>
        <v>Josey Ln N_2105_Lakeview at Josey Ranch_Carrollton_18298</v>
      </c>
      <c r="L7118" s="104" t="s">
        <v>22253</v>
      </c>
      <c r="M7118" s="103" t="str">
        <f t="shared" si="558"/>
        <v>http://oconnordata.com/mlink/modules/profile/index.cfm?action=profile&amp;prop_id=18298</v>
      </c>
      <c r="N7118" s="1">
        <f t="shared" si="559"/>
        <v>18298</v>
      </c>
    </row>
    <row r="7119" spans="1:14" x14ac:dyDescent="0.3">
      <c r="A7119" s="1">
        <v>18300</v>
      </c>
      <c r="B7119" s="36" t="s">
        <v>6184</v>
      </c>
      <c r="C7119" s="40">
        <v>418</v>
      </c>
      <c r="D7119" s="36" t="s">
        <v>10674</v>
      </c>
      <c r="E7119" s="41" t="s">
        <v>5046</v>
      </c>
      <c r="F7119" t="str">
        <f t="shared" si="555"/>
        <v>MacArthur</v>
      </c>
      <c r="G7119" t="str">
        <f t="shared" si="556"/>
        <v>MacArthur418Irving</v>
      </c>
      <c r="H7119" t="s">
        <v>37975</v>
      </c>
      <c r="I7119" t="s">
        <v>29391</v>
      </c>
      <c r="J7119" t="str">
        <f t="shared" si="557"/>
        <v>E:\PropInv\MF</v>
      </c>
      <c r="K7119" s="103" t="str">
        <f>HYPERLINK("E:\PropInv\MF\Irving\MacArthur Blvd S_418_Heritage Crossing_Irving_18300","MacArthur Blvd S_418_Heritage Crossing_Irving_18300" )</f>
        <v>MacArthur Blvd S_418_Heritage Crossing_Irving_18300</v>
      </c>
      <c r="L7119" s="104" t="s">
        <v>22253</v>
      </c>
      <c r="M7119" s="103" t="str">
        <f t="shared" si="558"/>
        <v>http://oconnordata.com/mlink/modules/profile/index.cfm?action=profile&amp;prop_id=18300</v>
      </c>
      <c r="N7119" s="1">
        <f t="shared" si="559"/>
        <v>18300</v>
      </c>
    </row>
    <row r="7120" spans="1:14" x14ac:dyDescent="0.3">
      <c r="A7120" s="1">
        <v>18301</v>
      </c>
      <c r="B7120" s="7" t="s">
        <v>10675</v>
      </c>
      <c r="C7120" s="12">
        <v>201</v>
      </c>
      <c r="D7120" s="7" t="s">
        <v>10676</v>
      </c>
      <c r="E7120" s="13" t="s">
        <v>4996</v>
      </c>
      <c r="F7120" t="str">
        <f t="shared" si="555"/>
        <v>Fran</v>
      </c>
      <c r="G7120" t="str">
        <f t="shared" si="556"/>
        <v>Fran201Dallas</v>
      </c>
      <c r="H7120" t="s">
        <v>37976</v>
      </c>
      <c r="I7120" t="s">
        <v>29392</v>
      </c>
      <c r="J7120" t="str">
        <f t="shared" si="557"/>
        <v>E:\PropInv\MF</v>
      </c>
      <c r="K7120" s="103" t="str">
        <f>HYPERLINK("E:\PropInv\MF\Dallas\Fran Way_201_Fiji Senior Villas_Dallas_18301","Fran Way_201_Fiji Senior Villas_Dallas_18301" )</f>
        <v>Fran Way_201_Fiji Senior Villas_Dallas_18301</v>
      </c>
      <c r="L7120" s="104" t="s">
        <v>22253</v>
      </c>
      <c r="M7120" s="103" t="str">
        <f t="shared" si="558"/>
        <v>http://oconnordata.com/mlink/modules/profile/index.cfm?action=profile&amp;prop_id=18301</v>
      </c>
      <c r="N7120" s="1">
        <f t="shared" si="559"/>
        <v>18301</v>
      </c>
    </row>
    <row r="7121" spans="1:14" x14ac:dyDescent="0.3">
      <c r="A7121" s="1">
        <v>18302</v>
      </c>
      <c r="B7121" s="7" t="s">
        <v>10677</v>
      </c>
      <c r="C7121" s="12">
        <v>6245</v>
      </c>
      <c r="D7121" s="7" t="s">
        <v>10678</v>
      </c>
      <c r="E7121" s="13" t="s">
        <v>5180</v>
      </c>
      <c r="F7121" t="str">
        <f t="shared" si="555"/>
        <v>Morningstar</v>
      </c>
      <c r="G7121" t="str">
        <f t="shared" si="556"/>
        <v>Morningstar6245The Colony</v>
      </c>
      <c r="H7121" t="s">
        <v>37977</v>
      </c>
      <c r="I7121" t="s">
        <v>29393</v>
      </c>
      <c r="J7121" t="str">
        <f t="shared" si="557"/>
        <v>E:\PropInv\MF</v>
      </c>
      <c r="K7121" s="103" t="str">
        <f>HYPERLINK("E:\PropInv\MF\The Colony\Morningstar Blvd_6245_Evergreen at Morningstar_The Colony_18302","Morningstar Blvd_6245_Evergreen at Morningstar_The Colony_18302" )</f>
        <v>Morningstar Blvd_6245_Evergreen at Morningstar_The Colony_18302</v>
      </c>
      <c r="L7121" s="104" t="s">
        <v>22253</v>
      </c>
      <c r="M7121" s="103" t="str">
        <f t="shared" si="558"/>
        <v>http://oconnordata.com/mlink/modules/profile/index.cfm?action=profile&amp;prop_id=18302</v>
      </c>
      <c r="N7121" s="1">
        <f t="shared" si="559"/>
        <v>18302</v>
      </c>
    </row>
    <row r="7122" spans="1:14" x14ac:dyDescent="0.3">
      <c r="A7122" s="1">
        <v>18303</v>
      </c>
      <c r="B7122" s="7" t="s">
        <v>10679</v>
      </c>
      <c r="C7122" s="12">
        <v>940</v>
      </c>
      <c r="D7122" s="7" t="s">
        <v>10680</v>
      </c>
      <c r="E7122" s="13" t="s">
        <v>5055</v>
      </c>
      <c r="F7122" t="str">
        <f t="shared" si="555"/>
        <v>Round</v>
      </c>
      <c r="G7122" t="str">
        <f t="shared" si="556"/>
        <v>Round940Lewisville</v>
      </c>
      <c r="H7122" t="s">
        <v>37978</v>
      </c>
      <c r="I7122" t="s">
        <v>29394</v>
      </c>
      <c r="J7122" t="str">
        <f t="shared" si="557"/>
        <v>E:\PropInv\MF</v>
      </c>
      <c r="K7122" s="103" t="str">
        <f>HYPERLINK("E:\PropInv\MF\Lewisville\Round Grove Rd W_940_Crest Manor_Lewisville_18303","Round Grove Rd W_940_Crest Manor_Lewisville_18303" )</f>
        <v>Round Grove Rd W_940_Crest Manor_Lewisville_18303</v>
      </c>
      <c r="L7122" s="104" t="s">
        <v>22253</v>
      </c>
      <c r="M7122" s="103" t="str">
        <f t="shared" si="558"/>
        <v>http://oconnordata.com/mlink/modules/profile/index.cfm?action=profile&amp;prop_id=18303</v>
      </c>
      <c r="N7122" s="1">
        <f t="shared" si="559"/>
        <v>18303</v>
      </c>
    </row>
    <row r="7123" spans="1:14" x14ac:dyDescent="0.3">
      <c r="A7123" s="1">
        <v>18304</v>
      </c>
      <c r="B7123" s="7" t="s">
        <v>10070</v>
      </c>
      <c r="C7123" s="12">
        <v>8729</v>
      </c>
      <c r="D7123" s="7" t="s">
        <v>10681</v>
      </c>
      <c r="E7123" s="13" t="s">
        <v>6672</v>
      </c>
      <c r="F7123" t="str">
        <f t="shared" si="555"/>
        <v>Ray</v>
      </c>
      <c r="G7123" t="str">
        <f t="shared" si="556"/>
        <v>Ray8729Keller</v>
      </c>
      <c r="H7123" t="s">
        <v>37979</v>
      </c>
      <c r="I7123" t="s">
        <v>29395</v>
      </c>
      <c r="J7123" t="str">
        <f t="shared" si="557"/>
        <v>E:\PropInv\MF</v>
      </c>
      <c r="K7123" s="103" t="str">
        <f>HYPERLINK("E:\PropInv\MF\Keller\Ray White Rd_8729_Heritage Park Vista_Keller_18304","Ray White Rd_8729_Heritage Park Vista_Keller_18304" )</f>
        <v>Ray White Rd_8729_Heritage Park Vista_Keller_18304</v>
      </c>
      <c r="L7123" s="104" t="s">
        <v>22253</v>
      </c>
      <c r="M7123" s="103" t="str">
        <f t="shared" si="558"/>
        <v>http://oconnordata.com/mlink/modules/profile/index.cfm?action=profile&amp;prop_id=18304</v>
      </c>
      <c r="N7123" s="1">
        <f t="shared" si="559"/>
        <v>18304</v>
      </c>
    </row>
    <row r="7124" spans="1:14" x14ac:dyDescent="0.3">
      <c r="A7124" s="1">
        <v>18306</v>
      </c>
      <c r="B7124" s="7" t="s">
        <v>10682</v>
      </c>
      <c r="C7124" s="12">
        <v>100</v>
      </c>
      <c r="D7124" s="7" t="s">
        <v>10683</v>
      </c>
      <c r="E7124" s="13" t="s">
        <v>6604</v>
      </c>
      <c r="F7124" t="str">
        <f t="shared" si="555"/>
        <v>Watermark</v>
      </c>
      <c r="G7124" t="str">
        <f t="shared" si="556"/>
        <v>Watermark100Granbury</v>
      </c>
      <c r="H7124" t="s">
        <v>37980</v>
      </c>
      <c r="I7124" t="s">
        <v>29396</v>
      </c>
      <c r="J7124" t="str">
        <f t="shared" si="557"/>
        <v>E:\PropInv\MF</v>
      </c>
      <c r="K7124" s="103" t="str">
        <f>HYPERLINK("E:\PropInv\MF\Granbury\Watermark Blvd_100_The Point at Waterview_Granbury_18306","Watermark Blvd_100_The Point at Waterview_Granbury_18306" )</f>
        <v>Watermark Blvd_100_The Point at Waterview_Granbury_18306</v>
      </c>
      <c r="L7124" s="104" t="s">
        <v>22253</v>
      </c>
      <c r="M7124" s="103" t="str">
        <f t="shared" si="558"/>
        <v>http://oconnordata.com/mlink/modules/profile/index.cfm?action=profile&amp;prop_id=18306</v>
      </c>
      <c r="N7124" s="1">
        <f t="shared" si="559"/>
        <v>18306</v>
      </c>
    </row>
    <row r="7125" spans="1:14" x14ac:dyDescent="0.3">
      <c r="A7125" s="1">
        <v>18307</v>
      </c>
      <c r="B7125" s="7" t="s">
        <v>5659</v>
      </c>
      <c r="C7125" s="12" t="s">
        <v>2497</v>
      </c>
      <c r="D7125" s="7" t="s">
        <v>10684</v>
      </c>
      <c r="E7125" s="25" t="s">
        <v>4996</v>
      </c>
      <c r="F7125" t="str">
        <f t="shared" si="555"/>
        <v>Wheeler</v>
      </c>
      <c r="G7125" t="str">
        <f t="shared" si="556"/>
        <v>WheelerNFDallas</v>
      </c>
      <c r="H7125" t="s">
        <v>37981</v>
      </c>
      <c r="I7125" t="s">
        <v>29397</v>
      </c>
      <c r="J7125" t="str">
        <f t="shared" si="557"/>
        <v>E:\PropInv\MF</v>
      </c>
      <c r="K7125" s="103" t="str">
        <f>HYPERLINK("E:\PropInv\MF\Dallas\Wheeler_NF_Cityville Oak Park II_Dallas_18307","Wheeler_NF_Cityville Oak Park II_Dallas_18307" )</f>
        <v>Wheeler_NF_Cityville Oak Park II_Dallas_18307</v>
      </c>
      <c r="L7125" s="104" t="s">
        <v>22253</v>
      </c>
      <c r="M7125" s="103" t="str">
        <f t="shared" si="558"/>
        <v>http://oconnordata.com/mlink/modules/profile/index.cfm?action=profile&amp;prop_id=18307</v>
      </c>
      <c r="N7125" s="1">
        <f t="shared" si="559"/>
        <v>18307</v>
      </c>
    </row>
    <row r="7126" spans="1:14" x14ac:dyDescent="0.3">
      <c r="A7126" s="1">
        <v>18308</v>
      </c>
      <c r="B7126" s="7" t="s">
        <v>10685</v>
      </c>
      <c r="C7126" s="12" t="s">
        <v>2497</v>
      </c>
      <c r="D7126" s="7" t="s">
        <v>10686</v>
      </c>
      <c r="E7126" s="25" t="s">
        <v>4996</v>
      </c>
      <c r="F7126" t="str">
        <f t="shared" si="555"/>
        <v>Haskell</v>
      </c>
      <c r="G7126" t="str">
        <f t="shared" si="556"/>
        <v>HaskellNFDallas</v>
      </c>
      <c r="H7126" t="s">
        <v>37982</v>
      </c>
      <c r="I7126" t="s">
        <v>29398</v>
      </c>
      <c r="J7126" t="str">
        <f t="shared" si="557"/>
        <v>E:\PropInv\MF</v>
      </c>
      <c r="K7126" s="103" t="str">
        <f>HYPERLINK("E:\PropInv\MF\Dallas\Haskell Ave N_NF_Cityville CityPlace_Dallas_18308","Haskell Ave N_NF_Cityville CityPlace_Dallas_18308" )</f>
        <v>Haskell Ave N_NF_Cityville CityPlace_Dallas_18308</v>
      </c>
      <c r="L7126" s="104" t="s">
        <v>22253</v>
      </c>
      <c r="M7126" s="103" t="str">
        <f t="shared" si="558"/>
        <v>http://oconnordata.com/mlink/modules/profile/index.cfm?action=profile&amp;prop_id=18308</v>
      </c>
      <c r="N7126" s="1">
        <f t="shared" si="559"/>
        <v>18308</v>
      </c>
    </row>
    <row r="7127" spans="1:14" x14ac:dyDescent="0.3">
      <c r="A7127" s="1">
        <v>18309</v>
      </c>
      <c r="B7127" s="19" t="s">
        <v>10687</v>
      </c>
      <c r="C7127" s="18" t="s">
        <v>2497</v>
      </c>
      <c r="D7127" s="19" t="s">
        <v>10688</v>
      </c>
      <c r="E7127" s="20" t="s">
        <v>705</v>
      </c>
      <c r="F7127" t="str">
        <f t="shared" si="555"/>
        <v>1431</v>
      </c>
      <c r="G7127" t="str">
        <f t="shared" si="556"/>
        <v>1431NFCedar Park</v>
      </c>
      <c r="H7127" t="s">
        <v>37983</v>
      </c>
      <c r="I7127" t="s">
        <v>29399</v>
      </c>
      <c r="J7127" t="str">
        <f t="shared" si="557"/>
        <v>E:\PropInv\MF</v>
      </c>
      <c r="K7127" s="103" t="str">
        <f>HYPERLINK("E:\PropInv\MF\Cedar Park\1431 FM (Whitestone Blvd E)_NF_Landmark of Cedar Park_Cedar Park_18309","1431 FM (Whitestone Blvd E)_NF_Landmark of Cedar Park_Cedar Park_18309" )</f>
        <v>1431 FM (Whitestone Blvd E)_NF_Landmark of Cedar Park_Cedar Park_18309</v>
      </c>
      <c r="L7127" s="104" t="s">
        <v>22253</v>
      </c>
      <c r="M7127" s="103" t="str">
        <f t="shared" si="558"/>
        <v>http://oconnordata.com/mlink/modules/profile/index.cfm?action=profile&amp;prop_id=18309</v>
      </c>
      <c r="N7127" s="1">
        <f t="shared" si="559"/>
        <v>18309</v>
      </c>
    </row>
    <row r="7128" spans="1:14" x14ac:dyDescent="0.3">
      <c r="A7128" s="1">
        <v>18310</v>
      </c>
      <c r="B7128" s="19" t="s">
        <v>9492</v>
      </c>
      <c r="C7128" s="18" t="s">
        <v>2497</v>
      </c>
      <c r="D7128" s="19" t="s">
        <v>10689</v>
      </c>
      <c r="E7128" s="20" t="s">
        <v>4428</v>
      </c>
      <c r="F7128" t="str">
        <f t="shared" si="555"/>
        <v>Town</v>
      </c>
      <c r="G7128" t="str">
        <f t="shared" si="556"/>
        <v>TownNFRosenberg</v>
      </c>
      <c r="H7128" t="s">
        <v>37984</v>
      </c>
      <c r="I7128" t="s">
        <v>29400</v>
      </c>
      <c r="J7128" t="str">
        <f t="shared" si="557"/>
        <v>E:\PropInv\MF</v>
      </c>
      <c r="K7128" s="103" t="str">
        <f>HYPERLINK("E:\PropInv\MF\Rosenberg\Town Center Blvd_NF_Brazos Ranch Apts II (on hold)_Rosenberg_18310","Town Center Blvd_NF_Brazos Ranch Apts II (on hold)_Rosenberg_18310" )</f>
        <v>Town Center Blvd_NF_Brazos Ranch Apts II (on hold)_Rosenberg_18310</v>
      </c>
      <c r="L7128" s="104" t="s">
        <v>22253</v>
      </c>
      <c r="M7128" s="103" t="str">
        <f t="shared" si="558"/>
        <v>http://oconnordata.com/mlink/modules/profile/index.cfm?action=profile&amp;prop_id=18310</v>
      </c>
      <c r="N7128" s="1">
        <f t="shared" si="559"/>
        <v>18310</v>
      </c>
    </row>
    <row r="7129" spans="1:14" x14ac:dyDescent="0.3">
      <c r="A7129" s="1">
        <v>18311</v>
      </c>
      <c r="B7129" s="7" t="s">
        <v>10690</v>
      </c>
      <c r="C7129" s="12">
        <v>14723</v>
      </c>
      <c r="D7129" s="7" t="s">
        <v>10691</v>
      </c>
      <c r="E7129" s="13" t="s">
        <v>1657</v>
      </c>
      <c r="F7129" t="str">
        <f t="shared" si="555"/>
        <v>TC</v>
      </c>
      <c r="G7129" t="str">
        <f t="shared" si="556"/>
        <v>TC14723Houston</v>
      </c>
      <c r="H7129" t="s">
        <v>37985</v>
      </c>
      <c r="I7129" t="s">
        <v>29401</v>
      </c>
      <c r="J7129" t="str">
        <f t="shared" si="557"/>
        <v>E:\PropInv\MF</v>
      </c>
      <c r="K7129" s="103" t="str">
        <f>HYPERLINK("E:\PropInv\MF\Houston\TC Jester_14723_Northgate Oaks_Houston_18311","TC Jester_14723_Northgate Oaks_Houston_18311" )</f>
        <v>TC Jester_14723_Northgate Oaks_Houston_18311</v>
      </c>
      <c r="L7129" s="104" t="s">
        <v>22253</v>
      </c>
      <c r="M7129" s="103" t="str">
        <f t="shared" si="558"/>
        <v>http://oconnordata.com/mlink/modules/profile/index.cfm?action=profile&amp;prop_id=18311</v>
      </c>
      <c r="N7129" s="1">
        <f t="shared" si="559"/>
        <v>18311</v>
      </c>
    </row>
    <row r="7130" spans="1:14" x14ac:dyDescent="0.3">
      <c r="A7130" s="1">
        <v>18312</v>
      </c>
      <c r="B7130" s="10" t="s">
        <v>7245</v>
      </c>
      <c r="C7130" s="9">
        <v>6301</v>
      </c>
      <c r="D7130" s="10" t="s">
        <v>10692</v>
      </c>
      <c r="E7130" s="11" t="s">
        <v>5014</v>
      </c>
      <c r="F7130" t="str">
        <f t="shared" si="555"/>
        <v>Overton</v>
      </c>
      <c r="G7130" t="str">
        <f t="shared" si="556"/>
        <v>Overton6301Fort Worth</v>
      </c>
      <c r="H7130" t="s">
        <v>37986</v>
      </c>
      <c r="I7130" t="s">
        <v>29402</v>
      </c>
      <c r="J7130" t="str">
        <f t="shared" si="557"/>
        <v>E:\PropInv\MF</v>
      </c>
      <c r="K7130" s="103" t="str">
        <f>HYPERLINK("E:\PropInv\MF\Fort Worth\Overton Ridge Blvd_6301_Vantage at Cityview_Fort Worth_18312","Overton Ridge Blvd_6301_Vantage at Cityview_Fort Worth_18312" )</f>
        <v>Overton Ridge Blvd_6301_Vantage at Cityview_Fort Worth_18312</v>
      </c>
      <c r="L7130" s="104" t="s">
        <v>22253</v>
      </c>
      <c r="M7130" s="103" t="str">
        <f t="shared" si="558"/>
        <v>http://oconnordata.com/mlink/modules/profile/index.cfm?action=profile&amp;prop_id=18312</v>
      </c>
      <c r="N7130" s="1">
        <f t="shared" si="559"/>
        <v>18312</v>
      </c>
    </row>
    <row r="7131" spans="1:14" x14ac:dyDescent="0.3">
      <c r="A7131" s="1">
        <v>18313</v>
      </c>
      <c r="B7131" s="7" t="s">
        <v>10693</v>
      </c>
      <c r="C7131" s="12">
        <v>901</v>
      </c>
      <c r="D7131" s="7" t="s">
        <v>10694</v>
      </c>
      <c r="E7131" s="13" t="s">
        <v>5055</v>
      </c>
      <c r="F7131" t="str">
        <f t="shared" si="555"/>
        <v>Garden</v>
      </c>
      <c r="G7131" t="str">
        <f t="shared" si="556"/>
        <v>Garden901Lewisville</v>
      </c>
      <c r="H7131" t="s">
        <v>37987</v>
      </c>
      <c r="I7131" t="s">
        <v>29403</v>
      </c>
      <c r="J7131" t="str">
        <f t="shared" si="557"/>
        <v>E:\PropInv\MF</v>
      </c>
      <c r="K7131" s="103" t="str">
        <f>HYPERLINK("E:\PropInv\MF\Lewisville\Garden Ridge Blvd N_901_Franklin Park at Lewisville_Lewisville_18313","Garden Ridge Blvd N_901_Franklin Park at Lewisville_Lewisville_18313" )</f>
        <v>Garden Ridge Blvd N_901_Franklin Park at Lewisville_Lewisville_18313</v>
      </c>
      <c r="L7131" s="104" t="s">
        <v>22253</v>
      </c>
      <c r="M7131" s="103" t="str">
        <f t="shared" si="558"/>
        <v>http://oconnordata.com/mlink/modules/profile/index.cfm?action=profile&amp;prop_id=18313</v>
      </c>
      <c r="N7131" s="1">
        <f t="shared" si="559"/>
        <v>18313</v>
      </c>
    </row>
    <row r="7132" spans="1:14" x14ac:dyDescent="0.3">
      <c r="A7132" s="1">
        <v>18317</v>
      </c>
      <c r="B7132" s="7" t="s">
        <v>10695</v>
      </c>
      <c r="C7132" s="12">
        <v>413</v>
      </c>
      <c r="D7132" s="7" t="s">
        <v>10696</v>
      </c>
      <c r="E7132" s="13" t="s">
        <v>367</v>
      </c>
      <c r="F7132" t="str">
        <f t="shared" si="555"/>
        <v>Swenson</v>
      </c>
      <c r="G7132" t="str">
        <f t="shared" si="556"/>
        <v>Swenson413Pflugerville</v>
      </c>
      <c r="H7132" t="s">
        <v>37988</v>
      </c>
      <c r="I7132" t="s">
        <v>29404</v>
      </c>
      <c r="J7132" t="str">
        <f t="shared" si="557"/>
        <v>E:\PropInv\MF</v>
      </c>
      <c r="K7132" s="103" t="str">
        <f>HYPERLINK("E:\PropInv\MF\Pflugerville\Swenson Farms Blvd_413_Adaigo Swenson Farms_Pflugerville_18317","Swenson Farms Blvd_413_Adaigo Swenson Farms_Pflugerville_18317" )</f>
        <v>Swenson Farms Blvd_413_Adaigo Swenson Farms_Pflugerville_18317</v>
      </c>
      <c r="L7132" s="104" t="s">
        <v>22253</v>
      </c>
      <c r="M7132" s="103" t="str">
        <f t="shared" si="558"/>
        <v>http://oconnordata.com/mlink/modules/profile/index.cfm?action=profile&amp;prop_id=18317</v>
      </c>
      <c r="N7132" s="1">
        <f t="shared" si="559"/>
        <v>18317</v>
      </c>
    </row>
    <row r="7133" spans="1:14" x14ac:dyDescent="0.3">
      <c r="A7133" s="1">
        <v>18318</v>
      </c>
      <c r="B7133" s="10" t="s">
        <v>10697</v>
      </c>
      <c r="C7133" s="9">
        <v>1301</v>
      </c>
      <c r="D7133" s="10" t="s">
        <v>10698</v>
      </c>
      <c r="E7133" s="11" t="s">
        <v>18</v>
      </c>
      <c r="F7133" t="str">
        <f t="shared" si="555"/>
        <v>AW</v>
      </c>
      <c r="G7133" t="str">
        <f t="shared" si="556"/>
        <v>AW1301Round Rock</v>
      </c>
      <c r="H7133" t="s">
        <v>37989</v>
      </c>
      <c r="I7133" t="s">
        <v>29405</v>
      </c>
      <c r="J7133" t="str">
        <f t="shared" si="557"/>
        <v>E:\PropInv\MF</v>
      </c>
      <c r="K7133" s="103" t="str">
        <f>HYPERLINK("E:\PropInv\MF\Round Rock\AW Grimes N_1301_Century Palm Valley_Round Rock_18318","AW Grimes N_1301_Century Palm Valley_Round Rock_18318" )</f>
        <v>AW Grimes N_1301_Century Palm Valley_Round Rock_18318</v>
      </c>
      <c r="L7133" s="104" t="s">
        <v>22253</v>
      </c>
      <c r="M7133" s="103" t="str">
        <f t="shared" si="558"/>
        <v>http://oconnordata.com/mlink/modules/profile/index.cfm?action=profile&amp;prop_id=18318</v>
      </c>
      <c r="N7133" s="1">
        <f t="shared" si="559"/>
        <v>18318</v>
      </c>
    </row>
    <row r="7134" spans="1:14" x14ac:dyDescent="0.3">
      <c r="A7134" s="1">
        <v>18319</v>
      </c>
      <c r="B7134" s="7" t="s">
        <v>10699</v>
      </c>
      <c r="C7134" s="12">
        <v>7201</v>
      </c>
      <c r="D7134" s="7" t="s">
        <v>10700</v>
      </c>
      <c r="E7134" s="13" t="s">
        <v>7</v>
      </c>
      <c r="F7134" t="str">
        <f t="shared" si="555"/>
        <v>2222</v>
      </c>
      <c r="G7134" t="str">
        <f t="shared" si="556"/>
        <v>22227201Austin</v>
      </c>
      <c r="H7134" t="s">
        <v>37990</v>
      </c>
      <c r="I7134" t="s">
        <v>29406</v>
      </c>
      <c r="J7134" t="str">
        <f t="shared" si="557"/>
        <v>E:\PropInv\MF</v>
      </c>
      <c r="K7134" s="103" t="str">
        <f>HYPERLINK("E:\PropInv\MF\Austin\2222 FM_7201_Alexan Vistas_Austin_18319","2222 FM_7201_Alexan Vistas_Austin_18319" )</f>
        <v>2222 FM_7201_Alexan Vistas_Austin_18319</v>
      </c>
      <c r="L7134" s="104" t="s">
        <v>22253</v>
      </c>
      <c r="M7134" s="103" t="str">
        <f t="shared" si="558"/>
        <v>http://oconnordata.com/mlink/modules/profile/index.cfm?action=profile&amp;prop_id=18319</v>
      </c>
      <c r="N7134" s="1">
        <f t="shared" si="559"/>
        <v>18319</v>
      </c>
    </row>
    <row r="7135" spans="1:14" x14ac:dyDescent="0.3">
      <c r="A7135" s="1">
        <v>18320</v>
      </c>
      <c r="B7135" s="7" t="s">
        <v>10701</v>
      </c>
      <c r="C7135" s="12">
        <v>150</v>
      </c>
      <c r="D7135" s="7" t="s">
        <v>10702</v>
      </c>
      <c r="E7135" s="13" t="s">
        <v>10703</v>
      </c>
      <c r="F7135" t="str">
        <f t="shared" si="555"/>
        <v>Klatten</v>
      </c>
      <c r="G7135" t="str">
        <f t="shared" si="556"/>
        <v>Klatten150Hutto</v>
      </c>
      <c r="H7135" t="s">
        <v>37991</v>
      </c>
      <c r="I7135" t="s">
        <v>29407</v>
      </c>
      <c r="J7135" t="str">
        <f t="shared" si="557"/>
        <v>E:\PropInv\MF</v>
      </c>
      <c r="K7135" s="103" t="str">
        <f>HYPERLINK("E:\PropInv\MF\Hutto\Klatten Hoff Dr_150_Alexan Star Ranch_Hutto_18320","Klatten Hoff Dr_150_Alexan Star Ranch_Hutto_18320" )</f>
        <v>Klatten Hoff Dr_150_Alexan Star Ranch_Hutto_18320</v>
      </c>
      <c r="L7135" s="104" t="s">
        <v>22253</v>
      </c>
      <c r="M7135" s="103" t="str">
        <f t="shared" si="558"/>
        <v>http://oconnordata.com/mlink/modules/profile/index.cfm?action=profile&amp;prop_id=18320</v>
      </c>
      <c r="N7135" s="1">
        <f t="shared" si="559"/>
        <v>18320</v>
      </c>
    </row>
    <row r="7136" spans="1:14" x14ac:dyDescent="0.3">
      <c r="A7136" s="1">
        <v>18321</v>
      </c>
      <c r="B7136" s="7" t="s">
        <v>10704</v>
      </c>
      <c r="C7136" s="12">
        <v>1350</v>
      </c>
      <c r="D7136" s="7" t="s">
        <v>10705</v>
      </c>
      <c r="E7136" s="13" t="s">
        <v>8612</v>
      </c>
      <c r="F7136" t="str">
        <f t="shared" si="555"/>
        <v>Harvey</v>
      </c>
      <c r="G7136" t="str">
        <f t="shared" si="556"/>
        <v>Harvey1350College Station</v>
      </c>
      <c r="H7136" t="s">
        <v>37992</v>
      </c>
      <c r="I7136" t="s">
        <v>29408</v>
      </c>
      <c r="J7136" t="str">
        <f t="shared" si="557"/>
        <v>E:\PropInv\MF</v>
      </c>
      <c r="K7136" s="103" t="str">
        <f>HYPERLINK("E:\PropInv\MF\College Station\Harvey Mitchell Pkwy_1350_Parkway Place_College Station_18321","Harvey Mitchell Pkwy_1350_Parkway Place_College Station_18321" )</f>
        <v>Harvey Mitchell Pkwy_1350_Parkway Place_College Station_18321</v>
      </c>
      <c r="L7136" s="104" t="s">
        <v>22253</v>
      </c>
      <c r="M7136" s="103" t="str">
        <f t="shared" si="558"/>
        <v>http://oconnordata.com/mlink/modules/profile/index.cfm?action=profile&amp;prop_id=18321</v>
      </c>
      <c r="N7136" s="1">
        <f t="shared" si="559"/>
        <v>18321</v>
      </c>
    </row>
    <row r="7137" spans="1:14" x14ac:dyDescent="0.3">
      <c r="A7137" s="1">
        <v>18322</v>
      </c>
      <c r="B7137" s="7" t="s">
        <v>5550</v>
      </c>
      <c r="C7137" s="12">
        <v>2825</v>
      </c>
      <c r="D7137" s="7" t="s">
        <v>10706</v>
      </c>
      <c r="E7137" s="13" t="s">
        <v>4996</v>
      </c>
      <c r="F7137" t="str">
        <f t="shared" si="555"/>
        <v>Royal</v>
      </c>
      <c r="G7137" t="str">
        <f t="shared" si="556"/>
        <v>Royal2825Dallas</v>
      </c>
      <c r="H7137" t="s">
        <v>37993</v>
      </c>
      <c r="I7137" t="s">
        <v>29409</v>
      </c>
      <c r="J7137" t="str">
        <f t="shared" si="557"/>
        <v>E:\PropInv\MF</v>
      </c>
      <c r="K7137" s="103" t="str">
        <f>HYPERLINK("E:\PropInv\MF\Dallas\Royal Ln_2825_Plantation Royal Apts_Dallas_18322","Royal Ln_2825_Plantation Royal Apts_Dallas_18322" )</f>
        <v>Royal Ln_2825_Plantation Royal Apts_Dallas_18322</v>
      </c>
      <c r="L7137" s="104" t="s">
        <v>22253</v>
      </c>
      <c r="M7137" s="103" t="str">
        <f t="shared" si="558"/>
        <v>http://oconnordata.com/mlink/modules/profile/index.cfm?action=profile&amp;prop_id=18322</v>
      </c>
      <c r="N7137" s="1">
        <f t="shared" si="559"/>
        <v>18322</v>
      </c>
    </row>
    <row r="7138" spans="1:14" x14ac:dyDescent="0.3">
      <c r="A7138" s="1">
        <v>18323</v>
      </c>
      <c r="B7138" s="7" t="s">
        <v>12</v>
      </c>
      <c r="C7138" s="12">
        <v>8601</v>
      </c>
      <c r="D7138" s="7" t="s">
        <v>10707</v>
      </c>
      <c r="E7138" s="13" t="s">
        <v>7</v>
      </c>
      <c r="F7138" t="str">
        <f t="shared" si="555"/>
        <v>Anderson</v>
      </c>
      <c r="G7138" t="str">
        <f t="shared" si="556"/>
        <v>Anderson8601Austin</v>
      </c>
      <c r="H7138" t="s">
        <v>37994</v>
      </c>
      <c r="I7138" t="s">
        <v>29410</v>
      </c>
      <c r="J7138" t="str">
        <f t="shared" si="557"/>
        <v>E:\PropInv\MF</v>
      </c>
      <c r="K7138" s="103" t="str">
        <f>HYPERLINK("E:\PropInv\MF\Austin\Anderson Mill Rd_8601_IMT Anderson Mill_Austin_18323","Anderson Mill Rd_8601_IMT Anderson Mill_Austin_18323" )</f>
        <v>Anderson Mill Rd_8601_IMT Anderson Mill_Austin_18323</v>
      </c>
      <c r="L7138" s="104" t="s">
        <v>22253</v>
      </c>
      <c r="M7138" s="103" t="str">
        <f t="shared" si="558"/>
        <v>http://oconnordata.com/mlink/modules/profile/index.cfm?action=profile&amp;prop_id=18323</v>
      </c>
      <c r="N7138" s="1">
        <f t="shared" si="559"/>
        <v>18323</v>
      </c>
    </row>
    <row r="7139" spans="1:14" x14ac:dyDescent="0.3">
      <c r="A7139" s="1">
        <v>18324</v>
      </c>
      <c r="B7139" s="7" t="s">
        <v>10163</v>
      </c>
      <c r="C7139" s="12" t="s">
        <v>2497</v>
      </c>
      <c r="D7139" s="7" t="s">
        <v>10708</v>
      </c>
      <c r="E7139" s="25" t="s">
        <v>4442</v>
      </c>
      <c r="F7139" t="str">
        <f t="shared" si="555"/>
        <v>Eucalyptus</v>
      </c>
      <c r="G7139" t="str">
        <f t="shared" si="556"/>
        <v>EucalyptusNFLake Jackson</v>
      </c>
      <c r="H7139" t="s">
        <v>37995</v>
      </c>
      <c r="I7139" t="s">
        <v>29411</v>
      </c>
      <c r="J7139" t="str">
        <f t="shared" si="557"/>
        <v>E:\PropInv\MF</v>
      </c>
      <c r="K7139" s="103" t="str">
        <f>HYPERLINK("E:\PropInv\MF\Lake Jackson\Eucalyptus St_NF_The Residence at Lake Jackson II_Lake Jackson_18324","Eucalyptus St_NF_The Residence at Lake Jackson II_Lake Jackson_18324" )</f>
        <v>Eucalyptus St_NF_The Residence at Lake Jackson II_Lake Jackson_18324</v>
      </c>
      <c r="L7139" s="104" t="s">
        <v>22253</v>
      </c>
      <c r="M7139" s="103" t="str">
        <f t="shared" si="558"/>
        <v>http://oconnordata.com/mlink/modules/profile/index.cfm?action=profile&amp;prop_id=18324</v>
      </c>
      <c r="N7139" s="1">
        <f t="shared" si="559"/>
        <v>18324</v>
      </c>
    </row>
    <row r="7140" spans="1:14" x14ac:dyDescent="0.3">
      <c r="A7140" s="1">
        <v>18325</v>
      </c>
      <c r="B7140" s="7" t="s">
        <v>10319</v>
      </c>
      <c r="C7140" s="12">
        <v>23600</v>
      </c>
      <c r="D7140" s="7" t="s">
        <v>10709</v>
      </c>
      <c r="E7140" s="13" t="s">
        <v>2675</v>
      </c>
      <c r="F7140" t="str">
        <f t="shared" si="555"/>
        <v>1093</v>
      </c>
      <c r="G7140" t="str">
        <f t="shared" si="556"/>
        <v>109323600Richmond</v>
      </c>
      <c r="H7140" t="s">
        <v>37996</v>
      </c>
      <c r="I7140" t="s">
        <v>29412</v>
      </c>
      <c r="J7140" t="str">
        <f t="shared" si="557"/>
        <v>E:\PropInv\MF</v>
      </c>
      <c r="K7140" s="103" t="str">
        <f>HYPERLINK("E:\PropInv\MF\Richmond\1093 FM_23600_Palms at Cinco Ranch_Richmond_18325","1093 FM_23600_Palms at Cinco Ranch_Richmond_18325" )</f>
        <v>1093 FM_23600_Palms at Cinco Ranch_Richmond_18325</v>
      </c>
      <c r="L7140" s="104" t="s">
        <v>22253</v>
      </c>
      <c r="M7140" s="103" t="str">
        <f t="shared" si="558"/>
        <v>http://oconnordata.com/mlink/modules/profile/index.cfm?action=profile&amp;prop_id=18325</v>
      </c>
      <c r="N7140" s="1">
        <f t="shared" si="559"/>
        <v>18325</v>
      </c>
    </row>
    <row r="7141" spans="1:14" x14ac:dyDescent="0.3">
      <c r="A7141" s="1">
        <v>18326</v>
      </c>
      <c r="B7141" s="7" t="s">
        <v>1442</v>
      </c>
      <c r="C7141" s="12">
        <v>16631</v>
      </c>
      <c r="D7141" s="19" t="s">
        <v>10710</v>
      </c>
      <c r="E7141" s="13" t="s">
        <v>842</v>
      </c>
      <c r="F7141" t="str">
        <f t="shared" si="555"/>
        <v>Vance</v>
      </c>
      <c r="G7141" t="str">
        <f t="shared" si="556"/>
        <v>Vance16631San Antonio</v>
      </c>
      <c r="H7141" t="s">
        <v>37997</v>
      </c>
      <c r="I7141" t="s">
        <v>29413</v>
      </c>
      <c r="J7141" t="str">
        <f t="shared" si="557"/>
        <v>E:\PropInv\MF</v>
      </c>
      <c r="K7141" s="103" t="str">
        <f>HYPERLINK("E:\PropInv\MF\San Antonio\Vance Jackson_16631_The Haven at The Rim_San Antonio_18326","Vance Jackson_16631_The Haven at The Rim_San Antonio_18326" )</f>
        <v>Vance Jackson_16631_The Haven at The Rim_San Antonio_18326</v>
      </c>
      <c r="L7141" s="104" t="s">
        <v>22253</v>
      </c>
      <c r="M7141" s="103" t="str">
        <f t="shared" si="558"/>
        <v>http://oconnordata.com/mlink/modules/profile/index.cfm?action=profile&amp;prop_id=18326</v>
      </c>
      <c r="N7141" s="1">
        <f t="shared" si="559"/>
        <v>18326</v>
      </c>
    </row>
    <row r="7142" spans="1:14" x14ac:dyDescent="0.3">
      <c r="A7142" s="1">
        <v>18327</v>
      </c>
      <c r="B7142" s="19" t="s">
        <v>7375</v>
      </c>
      <c r="C7142" s="18">
        <v>5547</v>
      </c>
      <c r="D7142" s="19" t="s">
        <v>10711</v>
      </c>
      <c r="E7142" s="20" t="s">
        <v>842</v>
      </c>
      <c r="F7142" t="str">
        <f t="shared" si="555"/>
        <v>Rogers</v>
      </c>
      <c r="G7142" t="str">
        <f t="shared" si="556"/>
        <v>Rogers5547San Antonio</v>
      </c>
      <c r="H7142" t="s">
        <v>37998</v>
      </c>
      <c r="I7142" t="s">
        <v>29414</v>
      </c>
      <c r="J7142" t="str">
        <f t="shared" si="557"/>
        <v>E:\PropInv\MF</v>
      </c>
      <c r="K7142" s="103" t="str">
        <f>HYPERLINK("E:\PropInv\MF\San Antonio\Rogers Rd_5547_Verde Culebra_San Antonio_18327","Rogers Rd_5547_Verde Culebra_San Antonio_18327" )</f>
        <v>Rogers Rd_5547_Verde Culebra_San Antonio_18327</v>
      </c>
      <c r="L7142" s="104" t="s">
        <v>22253</v>
      </c>
      <c r="M7142" s="103" t="str">
        <f t="shared" si="558"/>
        <v>http://oconnordata.com/mlink/modules/profile/index.cfm?action=profile&amp;prop_id=18327</v>
      </c>
      <c r="N7142" s="1">
        <f t="shared" si="559"/>
        <v>18327</v>
      </c>
    </row>
    <row r="7143" spans="1:14" x14ac:dyDescent="0.3">
      <c r="A7143" s="1">
        <v>18328</v>
      </c>
      <c r="B7143" s="7" t="s">
        <v>10712</v>
      </c>
      <c r="C7143" s="12">
        <v>1202</v>
      </c>
      <c r="D7143" s="7" t="s">
        <v>737</v>
      </c>
      <c r="E7143" s="13" t="s">
        <v>842</v>
      </c>
      <c r="F7143" t="str">
        <f t="shared" si="555"/>
        <v>Evans</v>
      </c>
      <c r="G7143" t="str">
        <f t="shared" si="556"/>
        <v>Evans1202San Antonio</v>
      </c>
      <c r="H7143" t="s">
        <v>37999</v>
      </c>
      <c r="I7143" t="s">
        <v>29415</v>
      </c>
      <c r="J7143" t="str">
        <f t="shared" si="557"/>
        <v>E:\PropInv\MF</v>
      </c>
      <c r="K7143" s="103" t="str">
        <f>HYPERLINK("E:\PropInv\MF\San Antonio\Evans Rd_1202_Mission Hills_San Antonio_18328","Evans Rd_1202_Mission Hills_San Antonio_18328" )</f>
        <v>Evans Rd_1202_Mission Hills_San Antonio_18328</v>
      </c>
      <c r="L7143" s="104" t="s">
        <v>22253</v>
      </c>
      <c r="M7143" s="103" t="str">
        <f t="shared" si="558"/>
        <v>http://oconnordata.com/mlink/modules/profile/index.cfm?action=profile&amp;prop_id=18328</v>
      </c>
      <c r="N7143" s="1">
        <f t="shared" si="559"/>
        <v>18328</v>
      </c>
    </row>
    <row r="7144" spans="1:14" x14ac:dyDescent="0.3">
      <c r="A7144" s="1">
        <v>18329</v>
      </c>
      <c r="B7144" s="7" t="s">
        <v>1134</v>
      </c>
      <c r="C7144" s="12">
        <v>1955</v>
      </c>
      <c r="D7144" s="7" t="s">
        <v>10713</v>
      </c>
      <c r="E7144" s="13" t="s">
        <v>842</v>
      </c>
      <c r="F7144" t="str">
        <f t="shared" si="555"/>
        <v>Bandera</v>
      </c>
      <c r="G7144" t="str">
        <f t="shared" si="556"/>
        <v>Bandera1955San Antonio</v>
      </c>
      <c r="H7144" t="s">
        <v>38000</v>
      </c>
      <c r="I7144" t="s">
        <v>29416</v>
      </c>
      <c r="J7144" t="str">
        <f t="shared" si="557"/>
        <v>E:\PropInv\MF</v>
      </c>
      <c r="K7144" s="103" t="str">
        <f>HYPERLINK("E:\PropInv\MF\San Antonio\Bandera Rd_1955_The Mirabella_San Antonio_18329","Bandera Rd_1955_The Mirabella_San Antonio_18329" )</f>
        <v>Bandera Rd_1955_The Mirabella_San Antonio_18329</v>
      </c>
      <c r="L7144" s="104" t="s">
        <v>22253</v>
      </c>
      <c r="M7144" s="103" t="str">
        <f t="shared" si="558"/>
        <v>http://oconnordata.com/mlink/modules/profile/index.cfm?action=profile&amp;prop_id=18329</v>
      </c>
      <c r="N7144" s="1">
        <f t="shared" si="559"/>
        <v>18329</v>
      </c>
    </row>
    <row r="7145" spans="1:14" x14ac:dyDescent="0.3">
      <c r="A7145" s="1">
        <v>18332</v>
      </c>
      <c r="B7145" s="7" t="s">
        <v>5006</v>
      </c>
      <c r="C7145" s="12">
        <v>3850</v>
      </c>
      <c r="D7145" s="7" t="s">
        <v>10714</v>
      </c>
      <c r="E7145" s="13" t="s">
        <v>5005</v>
      </c>
      <c r="F7145" t="str">
        <f t="shared" si="555"/>
        <v>Brookhaven</v>
      </c>
      <c r="G7145" t="str">
        <f t="shared" si="556"/>
        <v>Brookhaven3850Addison</v>
      </c>
      <c r="H7145" t="s">
        <v>38001</v>
      </c>
      <c r="I7145" t="s">
        <v>29417</v>
      </c>
      <c r="J7145" t="str">
        <f t="shared" si="557"/>
        <v>E:\PropInv\MF</v>
      </c>
      <c r="K7145" s="103" t="str">
        <f>HYPERLINK("E:\PropInv\MF\Addison\Brookhaven Club Dr_3850_Savoye (Vitruvian Park I)_Addison_18332","Brookhaven Club Dr_3850_Savoye (Vitruvian Park I)_Addison_18332" )</f>
        <v>Brookhaven Club Dr_3850_Savoye (Vitruvian Park I)_Addison_18332</v>
      </c>
      <c r="L7145" s="104" t="s">
        <v>22253</v>
      </c>
      <c r="M7145" s="103" t="str">
        <f t="shared" si="558"/>
        <v>http://oconnordata.com/mlink/modules/profile/index.cfm?action=profile&amp;prop_id=18332</v>
      </c>
      <c r="N7145" s="1">
        <f t="shared" si="559"/>
        <v>18332</v>
      </c>
    </row>
    <row r="7146" spans="1:14" x14ac:dyDescent="0.3">
      <c r="A7146" s="1">
        <v>18333</v>
      </c>
      <c r="B7146" s="7" t="s">
        <v>10715</v>
      </c>
      <c r="C7146" s="12">
        <v>5765</v>
      </c>
      <c r="D7146" s="7" t="s">
        <v>10716</v>
      </c>
      <c r="E7146" s="13" t="s">
        <v>5009</v>
      </c>
      <c r="F7146" t="str">
        <f t="shared" si="555"/>
        <v>Bozeman</v>
      </c>
      <c r="G7146" t="str">
        <f t="shared" si="556"/>
        <v>Bozeman5765Plano</v>
      </c>
      <c r="H7146" t="s">
        <v>38002</v>
      </c>
      <c r="I7146" t="s">
        <v>29418</v>
      </c>
      <c r="J7146" t="str">
        <f t="shared" si="557"/>
        <v>E:\PropInv\MF</v>
      </c>
      <c r="K7146" s="103" t="str">
        <f>HYPERLINK("E:\PropInv\MF\Plano\Bozeman Dr_5765_Parkside at Legacy_Plano_18333","Bozeman Dr_5765_Parkside at Legacy_Plano_18333" )</f>
        <v>Bozeman Dr_5765_Parkside at Legacy_Plano_18333</v>
      </c>
      <c r="L7146" s="104" t="s">
        <v>22253</v>
      </c>
      <c r="M7146" s="103" t="str">
        <f t="shared" si="558"/>
        <v>http://oconnordata.com/mlink/modules/profile/index.cfm?action=profile&amp;prop_id=18333</v>
      </c>
      <c r="N7146" s="1">
        <f t="shared" si="559"/>
        <v>18333</v>
      </c>
    </row>
    <row r="7147" spans="1:14" x14ac:dyDescent="0.3">
      <c r="A7147" s="1">
        <v>18336</v>
      </c>
      <c r="B7147" s="7" t="s">
        <v>7536</v>
      </c>
      <c r="C7147" s="12">
        <v>7425</v>
      </c>
      <c r="D7147" s="7" t="s">
        <v>10717</v>
      </c>
      <c r="E7147" s="25" t="s">
        <v>4996</v>
      </c>
      <c r="F7147" t="str">
        <f t="shared" si="555"/>
        <v>La</v>
      </c>
      <c r="G7147" t="str">
        <f t="shared" si="556"/>
        <v>La7425Dallas</v>
      </c>
      <c r="H7147" t="s">
        <v>38003</v>
      </c>
      <c r="I7147" t="s">
        <v>29419</v>
      </c>
      <c r="J7147" t="str">
        <f t="shared" si="557"/>
        <v>E:\PropInv\MF</v>
      </c>
      <c r="K7147" s="103" t="str">
        <f>HYPERLINK("E:\PropInv\MF\Dallas\La Vista Dr_7425_Lakewood Flats_Dallas_18336","La Vista Dr_7425_Lakewood Flats_Dallas_18336" )</f>
        <v>La Vista Dr_7425_Lakewood Flats_Dallas_18336</v>
      </c>
      <c r="L7147" s="104" t="s">
        <v>22253</v>
      </c>
      <c r="M7147" s="103" t="str">
        <f t="shared" si="558"/>
        <v>http://oconnordata.com/mlink/modules/profile/index.cfm?action=profile&amp;prop_id=18336</v>
      </c>
      <c r="N7147" s="1">
        <f t="shared" si="559"/>
        <v>18336</v>
      </c>
    </row>
    <row r="7148" spans="1:14" x14ac:dyDescent="0.3">
      <c r="A7148" s="1">
        <v>18337</v>
      </c>
      <c r="B7148" s="7" t="s">
        <v>2250</v>
      </c>
      <c r="C7148" s="18" t="s">
        <v>2497</v>
      </c>
      <c r="D7148" s="19" t="s">
        <v>10718</v>
      </c>
      <c r="E7148" s="20" t="s">
        <v>1657</v>
      </c>
      <c r="F7148" t="str">
        <f t="shared" si="555"/>
        <v>Sam</v>
      </c>
      <c r="G7148" t="str">
        <f t="shared" si="556"/>
        <v>SamNFHouston</v>
      </c>
      <c r="H7148" t="s">
        <v>38004</v>
      </c>
      <c r="I7148" t="s">
        <v>29420</v>
      </c>
      <c r="J7148" t="str">
        <f t="shared" si="557"/>
        <v>E:\PropInv\MF</v>
      </c>
      <c r="K7148" s="103" t="str">
        <f>HYPERLINK("E:\PropInv\MF\Houston\Sam Houston Pkwy W_NF_Park 8 Residential Tower II_Houston_18337","Sam Houston Pkwy W_NF_Park 8 Residential Tower II_Houston_18337" )</f>
        <v>Sam Houston Pkwy W_NF_Park 8 Residential Tower II_Houston_18337</v>
      </c>
      <c r="L7148" s="104" t="s">
        <v>22253</v>
      </c>
      <c r="M7148" s="103" t="str">
        <f t="shared" si="558"/>
        <v>http://oconnordata.com/mlink/modules/profile/index.cfm?action=profile&amp;prop_id=18337</v>
      </c>
      <c r="N7148" s="1">
        <f t="shared" si="559"/>
        <v>18337</v>
      </c>
    </row>
    <row r="7149" spans="1:14" x14ac:dyDescent="0.3">
      <c r="A7149" s="1">
        <v>18338</v>
      </c>
      <c r="B7149" s="7" t="s">
        <v>2250</v>
      </c>
      <c r="C7149" s="18" t="s">
        <v>2497</v>
      </c>
      <c r="D7149" s="19" t="s">
        <v>10719</v>
      </c>
      <c r="E7149" s="20" t="s">
        <v>1657</v>
      </c>
      <c r="F7149" t="str">
        <f t="shared" si="555"/>
        <v>Sam</v>
      </c>
      <c r="G7149" t="str">
        <f t="shared" si="556"/>
        <v>SamNFHouston</v>
      </c>
      <c r="H7149" t="s">
        <v>38005</v>
      </c>
      <c r="I7149" t="s">
        <v>29421</v>
      </c>
      <c r="J7149" t="str">
        <f t="shared" si="557"/>
        <v>E:\PropInv\MF</v>
      </c>
      <c r="K7149" s="103" t="str">
        <f>HYPERLINK("E:\PropInv\MF\Houston\Sam Houston Pkwy W_NF_Park 8 Residential Tower III_Houston_18338","Sam Houston Pkwy W_NF_Park 8 Residential Tower III_Houston_18338" )</f>
        <v>Sam Houston Pkwy W_NF_Park 8 Residential Tower III_Houston_18338</v>
      </c>
      <c r="L7149" s="104" t="s">
        <v>22253</v>
      </c>
      <c r="M7149" s="103" t="str">
        <f t="shared" si="558"/>
        <v>http://oconnordata.com/mlink/modules/profile/index.cfm?action=profile&amp;prop_id=18338</v>
      </c>
      <c r="N7149" s="1">
        <f t="shared" si="559"/>
        <v>18338</v>
      </c>
    </row>
    <row r="7150" spans="1:14" x14ac:dyDescent="0.3">
      <c r="A7150" s="1">
        <v>18339</v>
      </c>
      <c r="B7150" s="19" t="s">
        <v>10720</v>
      </c>
      <c r="C7150" s="18">
        <v>908</v>
      </c>
      <c r="D7150" s="19" t="s">
        <v>2497</v>
      </c>
      <c r="E7150" s="20" t="s">
        <v>7</v>
      </c>
      <c r="F7150" t="str">
        <f t="shared" si="555"/>
        <v>21st</v>
      </c>
      <c r="G7150" t="str">
        <f t="shared" si="556"/>
        <v>21st908Austin</v>
      </c>
      <c r="H7150" t="s">
        <v>38006</v>
      </c>
      <c r="I7150" t="s">
        <v>29422</v>
      </c>
      <c r="J7150" t="str">
        <f t="shared" si="557"/>
        <v>E:\PropInv\MF</v>
      </c>
      <c r="K7150" s="103" t="str">
        <f>HYPERLINK("E:\PropInv\MF\Austin\21st St W_908_NF_Austin_18339","21st St W_908_NF_Austin_18339" )</f>
        <v>21st St W_908_NF_Austin_18339</v>
      </c>
      <c r="L7150" s="104" t="s">
        <v>22253</v>
      </c>
      <c r="M7150" s="103" t="str">
        <f t="shared" si="558"/>
        <v>http://oconnordata.com/mlink/modules/profile/index.cfm?action=profile&amp;prop_id=18339</v>
      </c>
      <c r="N7150" s="1">
        <f t="shared" si="559"/>
        <v>18339</v>
      </c>
    </row>
    <row r="7151" spans="1:14" x14ac:dyDescent="0.3">
      <c r="A7151" s="97">
        <v>18340</v>
      </c>
      <c r="B7151" s="7" t="s">
        <v>8814</v>
      </c>
      <c r="C7151" s="12">
        <v>3803</v>
      </c>
      <c r="D7151" s="7" t="s">
        <v>10721</v>
      </c>
      <c r="E7151" s="13" t="s">
        <v>8774</v>
      </c>
      <c r="F7151" t="str">
        <f t="shared" si="555"/>
        <v>Wellborn</v>
      </c>
      <c r="G7151" t="str">
        <f t="shared" si="556"/>
        <v>Wellborn3803Bryan</v>
      </c>
      <c r="H7151" t="s">
        <v>38007</v>
      </c>
      <c r="I7151" t="s">
        <v>29423</v>
      </c>
      <c r="J7151" t="str">
        <f t="shared" si="557"/>
        <v>E:\PropInv\MF</v>
      </c>
      <c r="K7151" s="103" t="str">
        <f>HYPERLINK("E:\PropInv\MF\Bryan\Wellborn Rd_3803_Z Islander_Bryan_18340","Wellborn Rd_3803_Z Islander_Bryan_18340" )</f>
        <v>Wellborn Rd_3803_Z Islander_Bryan_18340</v>
      </c>
      <c r="L7151" s="104" t="s">
        <v>22253</v>
      </c>
      <c r="M7151" s="103" t="str">
        <f t="shared" si="558"/>
        <v>http://oconnordata.com/mlink/modules/profile/index.cfm?action=profile&amp;prop_id=18340</v>
      </c>
      <c r="N7151" s="1">
        <f t="shared" si="559"/>
        <v>18340</v>
      </c>
    </row>
    <row r="7152" spans="1:14" x14ac:dyDescent="0.3">
      <c r="A7152" s="1">
        <v>18341</v>
      </c>
      <c r="B7152" s="7" t="s">
        <v>5893</v>
      </c>
      <c r="C7152" s="12">
        <v>5959</v>
      </c>
      <c r="D7152" s="7" t="s">
        <v>10722</v>
      </c>
      <c r="E7152" s="13" t="s">
        <v>4996</v>
      </c>
      <c r="F7152" t="str">
        <f t="shared" si="555"/>
        <v>Maple</v>
      </c>
      <c r="G7152" t="str">
        <f t="shared" si="556"/>
        <v>Maple5959Dallas</v>
      </c>
      <c r="H7152" t="s">
        <v>38008</v>
      </c>
      <c r="I7152" t="s">
        <v>29424</v>
      </c>
      <c r="J7152" t="str">
        <f t="shared" si="557"/>
        <v>E:\PropInv\MF</v>
      </c>
      <c r="K7152" s="103" t="str">
        <f>HYPERLINK("E:\PropInv\MF\Dallas\Maple Ave_5959_The Southwestern_Dallas_18341","Maple Ave_5959_The Southwestern_Dallas_18341" )</f>
        <v>Maple Ave_5959_The Southwestern_Dallas_18341</v>
      </c>
      <c r="L7152" s="104" t="s">
        <v>22253</v>
      </c>
      <c r="M7152" s="103" t="str">
        <f t="shared" si="558"/>
        <v>http://oconnordata.com/mlink/modules/profile/index.cfm?action=profile&amp;prop_id=18341</v>
      </c>
      <c r="N7152" s="1">
        <f t="shared" si="559"/>
        <v>18341</v>
      </c>
    </row>
    <row r="7153" spans="1:14" x14ac:dyDescent="0.3">
      <c r="A7153" s="1">
        <v>18342</v>
      </c>
      <c r="B7153" s="7" t="s">
        <v>10723</v>
      </c>
      <c r="C7153" s="12">
        <v>1717</v>
      </c>
      <c r="D7153" s="7" t="s">
        <v>10724</v>
      </c>
      <c r="E7153" s="13" t="s">
        <v>7</v>
      </c>
      <c r="F7153" t="str">
        <f t="shared" si="555"/>
        <v>Toomey</v>
      </c>
      <c r="G7153" t="str">
        <f t="shared" si="556"/>
        <v>Toomey1717Austin</v>
      </c>
      <c r="H7153" t="s">
        <v>38009</v>
      </c>
      <c r="I7153" t="s">
        <v>29425</v>
      </c>
      <c r="J7153" t="str">
        <f t="shared" si="557"/>
        <v>E:\PropInv\MF</v>
      </c>
      <c r="K7153" s="103" t="str">
        <f>HYPERLINK("E:\PropInv\MF\Austin\Toomey Rd_1717_Coldwater_Austin_18342","Toomey Rd_1717_Coldwater_Austin_18342" )</f>
        <v>Toomey Rd_1717_Coldwater_Austin_18342</v>
      </c>
      <c r="L7153" s="104" t="s">
        <v>22253</v>
      </c>
      <c r="M7153" s="103" t="str">
        <f t="shared" si="558"/>
        <v>http://oconnordata.com/mlink/modules/profile/index.cfm?action=profile&amp;prop_id=18342</v>
      </c>
      <c r="N7153" s="1">
        <f t="shared" si="559"/>
        <v>18342</v>
      </c>
    </row>
    <row r="7154" spans="1:14" x14ac:dyDescent="0.3">
      <c r="A7154" s="1">
        <v>18343</v>
      </c>
      <c r="B7154" s="7" t="s">
        <v>10725</v>
      </c>
      <c r="C7154" s="12">
        <v>20202</v>
      </c>
      <c r="D7154" s="7" t="s">
        <v>10726</v>
      </c>
      <c r="E7154" s="13" t="s">
        <v>842</v>
      </c>
      <c r="F7154" t="str">
        <f t="shared" si="555"/>
        <v>Cresta</v>
      </c>
      <c r="G7154" t="str">
        <f t="shared" si="556"/>
        <v>Cresta20202San Antonio</v>
      </c>
      <c r="H7154" t="s">
        <v>38010</v>
      </c>
      <c r="I7154" t="s">
        <v>29426</v>
      </c>
      <c r="J7154" t="str">
        <f t="shared" si="557"/>
        <v>E:\PropInv\MF</v>
      </c>
      <c r="K7154" s="103" t="str">
        <f>HYPERLINK("E:\PropInv\MF\San Antonio\Cresta Avenida_20202_Belleza at Cresta Bella_San Antonio_18343","Cresta Avenida_20202_Belleza at Cresta Bella_San Antonio_18343" )</f>
        <v>Cresta Avenida_20202_Belleza at Cresta Bella_San Antonio_18343</v>
      </c>
      <c r="L7154" s="104" t="s">
        <v>22253</v>
      </c>
      <c r="M7154" s="103" t="str">
        <f t="shared" si="558"/>
        <v>http://oconnordata.com/mlink/modules/profile/index.cfm?action=profile&amp;prop_id=18343</v>
      </c>
      <c r="N7154" s="1">
        <f t="shared" si="559"/>
        <v>18343</v>
      </c>
    </row>
    <row r="7155" spans="1:14" x14ac:dyDescent="0.3">
      <c r="A7155" s="1">
        <v>18344</v>
      </c>
      <c r="B7155" s="19" t="s">
        <v>10209</v>
      </c>
      <c r="C7155" s="18">
        <v>1404</v>
      </c>
      <c r="D7155" s="19" t="s">
        <v>10727</v>
      </c>
      <c r="E7155" s="20" t="s">
        <v>842</v>
      </c>
      <c r="F7155" t="str">
        <f t="shared" si="555"/>
        <v>Somerset</v>
      </c>
      <c r="G7155" t="str">
        <f t="shared" si="556"/>
        <v>Somerset1404San Antonio</v>
      </c>
      <c r="H7155" t="s">
        <v>38011</v>
      </c>
      <c r="I7155" t="s">
        <v>29427</v>
      </c>
      <c r="J7155" t="str">
        <f t="shared" si="557"/>
        <v>E:\PropInv\MF</v>
      </c>
      <c r="K7155" s="103" t="str">
        <f>HYPERLINK("E:\PropInv\MF\San Antonio\Somerset Rd_1404_Somerset Rd Apts_San Antonio_18344","Somerset Rd_1404_Somerset Rd Apts_San Antonio_18344" )</f>
        <v>Somerset Rd_1404_Somerset Rd Apts_San Antonio_18344</v>
      </c>
      <c r="L7155" s="104" t="s">
        <v>22253</v>
      </c>
      <c r="M7155" s="103" t="str">
        <f t="shared" si="558"/>
        <v>http://oconnordata.com/mlink/modules/profile/index.cfm?action=profile&amp;prop_id=18344</v>
      </c>
      <c r="N7155" s="1">
        <f t="shared" si="559"/>
        <v>18344</v>
      </c>
    </row>
    <row r="7156" spans="1:14" x14ac:dyDescent="0.3">
      <c r="A7156" s="1">
        <v>18345</v>
      </c>
      <c r="B7156" s="19" t="s">
        <v>10728</v>
      </c>
      <c r="C7156" s="18" t="s">
        <v>2497</v>
      </c>
      <c r="D7156" s="19" t="s">
        <v>10729</v>
      </c>
      <c r="E7156" s="20" t="s">
        <v>842</v>
      </c>
      <c r="F7156" t="str">
        <f t="shared" si="555"/>
        <v>Devine</v>
      </c>
      <c r="G7156" t="str">
        <f t="shared" si="556"/>
        <v>DevineNFSan Antonio</v>
      </c>
      <c r="H7156" t="s">
        <v>38012</v>
      </c>
      <c r="I7156" t="s">
        <v>29428</v>
      </c>
      <c r="J7156" t="str">
        <f t="shared" si="557"/>
        <v>E:\PropInv\MF</v>
      </c>
      <c r="K7156" s="103" t="str">
        <f>HYPERLINK("E:\PropInv\MF\San Antonio\Devine Rd_NF_Devine Condominiums_San Antonio_18345","Devine Rd_NF_Devine Condominiums_San Antonio_18345" )</f>
        <v>Devine Rd_NF_Devine Condominiums_San Antonio_18345</v>
      </c>
      <c r="L7156" s="104" t="s">
        <v>22253</v>
      </c>
      <c r="M7156" s="103" t="str">
        <f t="shared" si="558"/>
        <v>http://oconnordata.com/mlink/modules/profile/index.cfm?action=profile&amp;prop_id=18345</v>
      </c>
      <c r="N7156" s="1">
        <f t="shared" si="559"/>
        <v>18345</v>
      </c>
    </row>
    <row r="7157" spans="1:14" x14ac:dyDescent="0.3">
      <c r="A7157" s="1">
        <v>18346</v>
      </c>
      <c r="B7157" s="19" t="s">
        <v>9592</v>
      </c>
      <c r="C7157" s="18">
        <v>3003</v>
      </c>
      <c r="D7157" s="19" t="s">
        <v>10730</v>
      </c>
      <c r="E7157" s="20" t="s">
        <v>1657</v>
      </c>
      <c r="F7157" t="str">
        <f t="shared" si="555"/>
        <v>Seagler</v>
      </c>
      <c r="G7157" t="str">
        <f t="shared" si="556"/>
        <v>Seagler3003Houston</v>
      </c>
      <c r="H7157" t="s">
        <v>38013</v>
      </c>
      <c r="I7157" t="s">
        <v>29429</v>
      </c>
      <c r="J7157" t="str">
        <f t="shared" si="557"/>
        <v>E:\PropInv\MF</v>
      </c>
      <c r="K7157" s="103" t="str">
        <f>HYPERLINK("E:\PropInv\MF\Houston\Seagler Rd_3003_Portico at West 8, II_Houston_18346","Seagler Rd_3003_Portico at West 8, II_Houston_18346" )</f>
        <v>Seagler Rd_3003_Portico at West 8, II_Houston_18346</v>
      </c>
      <c r="L7157" s="104" t="s">
        <v>22253</v>
      </c>
      <c r="M7157" s="103" t="str">
        <f t="shared" si="558"/>
        <v>http://oconnordata.com/mlink/modules/profile/index.cfm?action=profile&amp;prop_id=18346</v>
      </c>
      <c r="N7157" s="1">
        <f t="shared" si="559"/>
        <v>18346</v>
      </c>
    </row>
    <row r="7158" spans="1:14" x14ac:dyDescent="0.3">
      <c r="A7158" s="1">
        <v>18347</v>
      </c>
      <c r="B7158" s="7" t="s">
        <v>5629</v>
      </c>
      <c r="C7158" s="12">
        <v>10200</v>
      </c>
      <c r="D7158" s="7" t="s">
        <v>10731</v>
      </c>
      <c r="E7158" s="13" t="s">
        <v>5009</v>
      </c>
      <c r="F7158" t="str">
        <f t="shared" si="555"/>
        <v>Independence</v>
      </c>
      <c r="G7158" t="str">
        <f t="shared" si="556"/>
        <v>Independence10200Plano</v>
      </c>
      <c r="H7158" t="s">
        <v>38014</v>
      </c>
      <c r="I7158" t="s">
        <v>29430</v>
      </c>
      <c r="J7158" t="str">
        <f t="shared" si="557"/>
        <v>E:\PropInv\MF</v>
      </c>
      <c r="K7158" s="103" t="str">
        <f>HYPERLINK("E:\PropInv\MF\Plano\Independence Pkwy_10200_Estancia at Ridgeview Ranch I_Plano_18347","Independence Pkwy_10200_Estancia at Ridgeview Ranch I_Plano_18347" )</f>
        <v>Independence Pkwy_10200_Estancia at Ridgeview Ranch I_Plano_18347</v>
      </c>
      <c r="L7158" s="104" t="s">
        <v>22253</v>
      </c>
      <c r="M7158" s="103" t="str">
        <f t="shared" si="558"/>
        <v>http://oconnordata.com/mlink/modules/profile/index.cfm?action=profile&amp;prop_id=18347</v>
      </c>
      <c r="N7158" s="1">
        <f t="shared" si="559"/>
        <v>18347</v>
      </c>
    </row>
    <row r="7159" spans="1:14" x14ac:dyDescent="0.3">
      <c r="A7159" s="1">
        <v>18348</v>
      </c>
      <c r="B7159" s="7" t="s">
        <v>10732</v>
      </c>
      <c r="C7159" s="12">
        <v>2717</v>
      </c>
      <c r="D7159" s="7" t="s">
        <v>10733</v>
      </c>
      <c r="E7159" s="13" t="s">
        <v>4996</v>
      </c>
      <c r="F7159" t="str">
        <f t="shared" si="555"/>
        <v>Howell</v>
      </c>
      <c r="G7159" t="str">
        <f t="shared" si="556"/>
        <v>Howell2717Dallas</v>
      </c>
      <c r="H7159" t="s">
        <v>38015</v>
      </c>
      <c r="I7159" t="s">
        <v>29431</v>
      </c>
      <c r="J7159" t="str">
        <f t="shared" si="557"/>
        <v>E:\PropInv\MF</v>
      </c>
      <c r="K7159" s="103" t="str">
        <f>HYPERLINK("E:\PropInv\MF\Dallas\Howell St_2717_AMLI Quadrangle_Dallas_18348","Howell St_2717_AMLI Quadrangle_Dallas_18348" )</f>
        <v>Howell St_2717_AMLI Quadrangle_Dallas_18348</v>
      </c>
      <c r="L7159" s="104" t="s">
        <v>22253</v>
      </c>
      <c r="M7159" s="103" t="str">
        <f t="shared" si="558"/>
        <v>http://oconnordata.com/mlink/modules/profile/index.cfm?action=profile&amp;prop_id=18348</v>
      </c>
      <c r="N7159" s="1">
        <f t="shared" si="559"/>
        <v>18348</v>
      </c>
    </row>
    <row r="7160" spans="1:14" x14ac:dyDescent="0.3">
      <c r="A7160" s="1">
        <v>18350</v>
      </c>
      <c r="B7160" s="7" t="s">
        <v>8993</v>
      </c>
      <c r="C7160" s="12">
        <v>2611</v>
      </c>
      <c r="D7160" s="7" t="s">
        <v>8198</v>
      </c>
      <c r="E7160" s="13" t="s">
        <v>4996</v>
      </c>
      <c r="F7160" t="str">
        <f t="shared" si="555"/>
        <v>Ross</v>
      </c>
      <c r="G7160" t="str">
        <f t="shared" si="556"/>
        <v>Ross2611Dallas</v>
      </c>
      <c r="H7160" t="s">
        <v>38016</v>
      </c>
      <c r="I7160" t="s">
        <v>29432</v>
      </c>
      <c r="J7160" t="str">
        <f t="shared" si="557"/>
        <v>E:\PropInv\MF</v>
      </c>
      <c r="K7160" s="103" t="str">
        <f>HYPERLINK("E:\PropInv\MF\Dallas\Ross Ave_2611_The Arts Apts_Dallas_18350","Ross Ave_2611_The Arts Apts_Dallas_18350" )</f>
        <v>Ross Ave_2611_The Arts Apts_Dallas_18350</v>
      </c>
      <c r="L7160" s="104" t="s">
        <v>22253</v>
      </c>
      <c r="M7160" s="103" t="str">
        <f t="shared" si="558"/>
        <v>http://oconnordata.com/mlink/modules/profile/index.cfm?action=profile&amp;prop_id=18350</v>
      </c>
      <c r="N7160" s="1">
        <f t="shared" si="559"/>
        <v>18350</v>
      </c>
    </row>
    <row r="7161" spans="1:14" x14ac:dyDescent="0.3">
      <c r="A7161" s="1">
        <v>18351</v>
      </c>
      <c r="B7161" s="7" t="s">
        <v>7852</v>
      </c>
      <c r="C7161" s="12">
        <v>7555</v>
      </c>
      <c r="D7161" s="7" t="s">
        <v>10734</v>
      </c>
      <c r="E7161" s="13" t="s">
        <v>4569</v>
      </c>
      <c r="F7161" t="str">
        <f t="shared" si="555"/>
        <v>Medical</v>
      </c>
      <c r="G7161" t="str">
        <f t="shared" si="556"/>
        <v>Medical7555Texas City</v>
      </c>
      <c r="H7161" t="s">
        <v>38017</v>
      </c>
      <c r="I7161" t="s">
        <v>29433</v>
      </c>
      <c r="J7161" t="str">
        <f t="shared" si="557"/>
        <v>E:\PropInv\MF</v>
      </c>
      <c r="K7161" s="103" t="str">
        <f>HYPERLINK("E:\PropInv\MF\Texas City\Medical Center Dr_7555_Costa Mariposa_Texas City_18351","Medical Center Dr_7555_Costa Mariposa_Texas City_18351" )</f>
        <v>Medical Center Dr_7555_Costa Mariposa_Texas City_18351</v>
      </c>
      <c r="L7161" s="104" t="s">
        <v>22253</v>
      </c>
      <c r="M7161" s="103" t="str">
        <f t="shared" si="558"/>
        <v>http://oconnordata.com/mlink/modules/profile/index.cfm?action=profile&amp;prop_id=18351</v>
      </c>
      <c r="N7161" s="1">
        <f t="shared" si="559"/>
        <v>18351</v>
      </c>
    </row>
    <row r="7162" spans="1:14" x14ac:dyDescent="0.3">
      <c r="A7162" s="1">
        <v>18353</v>
      </c>
      <c r="B7162" s="7" t="s">
        <v>5041</v>
      </c>
      <c r="C7162" s="12">
        <v>8690</v>
      </c>
      <c r="D7162" s="7" t="s">
        <v>10735</v>
      </c>
      <c r="E7162" s="13" t="s">
        <v>5043</v>
      </c>
      <c r="F7162" t="str">
        <f t="shared" si="555"/>
        <v>Virginia</v>
      </c>
      <c r="G7162" t="str">
        <f t="shared" si="556"/>
        <v>Virginia8690McKinney</v>
      </c>
      <c r="H7162" t="s">
        <v>38018</v>
      </c>
      <c r="I7162" t="s">
        <v>29434</v>
      </c>
      <c r="J7162" t="str">
        <f t="shared" si="557"/>
        <v>E:\PropInv\MF</v>
      </c>
      <c r="K7162" s="103" t="str">
        <f>HYPERLINK("E:\PropInv\MF\McKinney\Virginia Pkwy_8690_Greenhaven_McKinney_18353","Virginia Pkwy_8690_Greenhaven_McKinney_18353" )</f>
        <v>Virginia Pkwy_8690_Greenhaven_McKinney_18353</v>
      </c>
      <c r="L7162" s="104" t="s">
        <v>22253</v>
      </c>
      <c r="M7162" s="103" t="str">
        <f t="shared" si="558"/>
        <v>http://oconnordata.com/mlink/modules/profile/index.cfm?action=profile&amp;prop_id=18353</v>
      </c>
      <c r="N7162" s="1">
        <f t="shared" si="559"/>
        <v>18353</v>
      </c>
    </row>
    <row r="7163" spans="1:14" x14ac:dyDescent="0.3">
      <c r="A7163" s="1">
        <v>18358</v>
      </c>
      <c r="B7163" s="10" t="s">
        <v>10736</v>
      </c>
      <c r="C7163" s="9">
        <v>431</v>
      </c>
      <c r="D7163" s="10" t="s">
        <v>10737</v>
      </c>
      <c r="E7163" s="11" t="s">
        <v>5195</v>
      </c>
      <c r="F7163" t="str">
        <f t="shared" si="555"/>
        <v>Wintergreen</v>
      </c>
      <c r="G7163" t="str">
        <f t="shared" si="556"/>
        <v>Wintergreen431Desoto</v>
      </c>
      <c r="H7163" t="s">
        <v>38019</v>
      </c>
      <c r="I7163" t="s">
        <v>29435</v>
      </c>
      <c r="J7163" t="str">
        <f t="shared" si="557"/>
        <v>E:\PropInv\MF</v>
      </c>
      <c r="K7163" s="103" t="str">
        <f>HYPERLINK("E:\PropInv\MF\Desoto\Wintergreen Rd W_431_Bridgemoor at DeSoto_Desoto_18358","Wintergreen Rd W_431_Bridgemoor at DeSoto_Desoto_18358" )</f>
        <v>Wintergreen Rd W_431_Bridgemoor at DeSoto_Desoto_18358</v>
      </c>
      <c r="L7163" s="104" t="s">
        <v>22253</v>
      </c>
      <c r="M7163" s="103" t="str">
        <f t="shared" si="558"/>
        <v>http://oconnordata.com/mlink/modules/profile/index.cfm?action=profile&amp;prop_id=18358</v>
      </c>
      <c r="N7163" s="1">
        <f t="shared" si="559"/>
        <v>18358</v>
      </c>
    </row>
    <row r="7164" spans="1:14" x14ac:dyDescent="0.3">
      <c r="A7164" s="1">
        <v>18360</v>
      </c>
      <c r="B7164" s="10" t="s">
        <v>10738</v>
      </c>
      <c r="C7164" s="9">
        <v>1920</v>
      </c>
      <c r="D7164" s="10" t="s">
        <v>10739</v>
      </c>
      <c r="E7164" s="11" t="s">
        <v>5043</v>
      </c>
      <c r="F7164" t="str">
        <f t="shared" si="555"/>
        <v>Grassmere</v>
      </c>
      <c r="G7164" t="str">
        <f t="shared" si="556"/>
        <v>Grassmere1920McKinney</v>
      </c>
      <c r="H7164" t="s">
        <v>38020</v>
      </c>
      <c r="I7164" t="s">
        <v>29436</v>
      </c>
      <c r="J7164" t="str">
        <f t="shared" si="557"/>
        <v>E:\PropInv\MF</v>
      </c>
      <c r="K7164" s="103" t="str">
        <f>HYPERLINK("E:\PropInv\MF\McKinney\Grassmere Ln_1920_The Retreat at Stonebridge Ranch_McKinney_18360","Grassmere Ln_1920_The Retreat at Stonebridge Ranch_McKinney_18360" )</f>
        <v>Grassmere Ln_1920_The Retreat at Stonebridge Ranch_McKinney_18360</v>
      </c>
      <c r="L7164" s="104" t="s">
        <v>22253</v>
      </c>
      <c r="M7164" s="103" t="str">
        <f t="shared" si="558"/>
        <v>http://oconnordata.com/mlink/modules/profile/index.cfm?action=profile&amp;prop_id=18360</v>
      </c>
      <c r="N7164" s="1">
        <f t="shared" si="559"/>
        <v>18360</v>
      </c>
    </row>
    <row r="7165" spans="1:14" x14ac:dyDescent="0.3">
      <c r="A7165" s="1">
        <v>18362</v>
      </c>
      <c r="B7165" s="7" t="s">
        <v>1147</v>
      </c>
      <c r="C7165" s="12">
        <v>1602</v>
      </c>
      <c r="D7165" s="7" t="s">
        <v>10740</v>
      </c>
      <c r="E7165" s="13" t="s">
        <v>842</v>
      </c>
      <c r="F7165" t="str">
        <f t="shared" si="555"/>
        <v>Jackson</v>
      </c>
      <c r="G7165" t="str">
        <f t="shared" si="556"/>
        <v>Jackson1602San Antonio</v>
      </c>
      <c r="H7165" t="s">
        <v>38021</v>
      </c>
      <c r="I7165" t="s">
        <v>29437</v>
      </c>
      <c r="J7165" t="str">
        <f t="shared" si="557"/>
        <v>E:\PropInv\MF</v>
      </c>
      <c r="K7165" s="103" t="str">
        <f>HYPERLINK("E:\PropInv\MF\San Antonio\Jackson Keller Rd_1602_Elan Gardens_San Antonio_18362","Jackson Keller Rd_1602_Elan Gardens_San Antonio_18362" )</f>
        <v>Jackson Keller Rd_1602_Elan Gardens_San Antonio_18362</v>
      </c>
      <c r="L7165" s="104" t="s">
        <v>22253</v>
      </c>
      <c r="M7165" s="103" t="str">
        <f t="shared" si="558"/>
        <v>http://oconnordata.com/mlink/modules/profile/index.cfm?action=profile&amp;prop_id=18362</v>
      </c>
      <c r="N7165" s="1">
        <f t="shared" si="559"/>
        <v>18362</v>
      </c>
    </row>
    <row r="7166" spans="1:14" x14ac:dyDescent="0.3">
      <c r="A7166" s="1">
        <v>18363</v>
      </c>
      <c r="B7166" s="7" t="s">
        <v>10741</v>
      </c>
      <c r="C7166" s="12">
        <v>700</v>
      </c>
      <c r="D7166" s="7" t="s">
        <v>10742</v>
      </c>
      <c r="E7166" s="13" t="s">
        <v>2198</v>
      </c>
      <c r="F7166" t="str">
        <f t="shared" si="555"/>
        <v>Cobia</v>
      </c>
      <c r="G7166" t="str">
        <f t="shared" si="556"/>
        <v>Cobia700Katy</v>
      </c>
      <c r="H7166" t="s">
        <v>38022</v>
      </c>
      <c r="I7166" t="s">
        <v>29438</v>
      </c>
      <c r="J7166" t="str">
        <f t="shared" si="557"/>
        <v>E:\PropInv\MF</v>
      </c>
      <c r="K7166" s="103" t="str">
        <f>HYPERLINK("E:\PropInv\MF\Katy\Cobia Dr_700_Verona at the Reserve_Katy_18363","Cobia Dr_700_Verona at the Reserve_Katy_18363" )</f>
        <v>Cobia Dr_700_Verona at the Reserve_Katy_18363</v>
      </c>
      <c r="L7166" s="104" t="s">
        <v>22253</v>
      </c>
      <c r="M7166" s="103" t="str">
        <f t="shared" si="558"/>
        <v>http://oconnordata.com/mlink/modules/profile/index.cfm?action=profile&amp;prop_id=18363</v>
      </c>
      <c r="N7166" s="1">
        <f t="shared" si="559"/>
        <v>18363</v>
      </c>
    </row>
    <row r="7167" spans="1:14" x14ac:dyDescent="0.3">
      <c r="A7167" s="1">
        <v>18364</v>
      </c>
      <c r="B7167" s="7" t="s">
        <v>4020</v>
      </c>
      <c r="C7167" s="12">
        <v>8300</v>
      </c>
      <c r="D7167" s="7" t="s">
        <v>10743</v>
      </c>
      <c r="E7167" s="13" t="s">
        <v>3924</v>
      </c>
      <c r="F7167" t="str">
        <f t="shared" si="555"/>
        <v>Red</v>
      </c>
      <c r="G7167" t="str">
        <f t="shared" si="556"/>
        <v>Red8300Pasadena</v>
      </c>
      <c r="H7167" t="s">
        <v>38023</v>
      </c>
      <c r="I7167" t="s">
        <v>29439</v>
      </c>
      <c r="J7167" t="str">
        <f t="shared" si="557"/>
        <v>E:\PropInv\MF</v>
      </c>
      <c r="K7167" s="103" t="str">
        <f>HYPERLINK("E:\PropInv\MF\Pasadena\Red Bluff Rd_8300_Preserve at Baywood_Pasadena_18364","Red Bluff Rd_8300_Preserve at Baywood_Pasadena_18364" )</f>
        <v>Red Bluff Rd_8300_Preserve at Baywood_Pasadena_18364</v>
      </c>
      <c r="L7167" s="104" t="s">
        <v>22253</v>
      </c>
      <c r="M7167" s="103" t="str">
        <f t="shared" si="558"/>
        <v>http://oconnordata.com/mlink/modules/profile/index.cfm?action=profile&amp;prop_id=18364</v>
      </c>
      <c r="N7167" s="1">
        <f t="shared" si="559"/>
        <v>18364</v>
      </c>
    </row>
    <row r="7168" spans="1:14" x14ac:dyDescent="0.3">
      <c r="A7168" s="1">
        <v>18365</v>
      </c>
      <c r="B7168" s="19" t="s">
        <v>10744</v>
      </c>
      <c r="C7168" s="18">
        <v>1400</v>
      </c>
      <c r="D7168" s="19" t="s">
        <v>10745</v>
      </c>
      <c r="E7168" s="20" t="s">
        <v>1657</v>
      </c>
      <c r="F7168" t="str">
        <f t="shared" si="555"/>
        <v>Studemont</v>
      </c>
      <c r="G7168" t="str">
        <f t="shared" si="556"/>
        <v>Studemont1400Houston</v>
      </c>
      <c r="H7168" t="s">
        <v>38024</v>
      </c>
      <c r="I7168" t="s">
        <v>29440</v>
      </c>
      <c r="J7168" t="str">
        <f t="shared" si="557"/>
        <v>E:\PropInv\MF</v>
      </c>
      <c r="K7168" s="103" t="str">
        <f>HYPERLINK("E:\PropInv\MF\Houston\Studemont St_1400_Verde Studemont_Houston_18365","Studemont St_1400_Verde Studemont_Houston_18365" )</f>
        <v>Studemont St_1400_Verde Studemont_Houston_18365</v>
      </c>
      <c r="L7168" s="104" t="s">
        <v>22253</v>
      </c>
      <c r="M7168" s="103" t="str">
        <f t="shared" si="558"/>
        <v>http://oconnordata.com/mlink/modules/profile/index.cfm?action=profile&amp;prop_id=18365</v>
      </c>
      <c r="N7168" s="1">
        <f t="shared" si="559"/>
        <v>18365</v>
      </c>
    </row>
    <row r="7169" spans="1:14" x14ac:dyDescent="0.3">
      <c r="A7169" s="1">
        <v>18366</v>
      </c>
      <c r="B7169" s="19" t="s">
        <v>4327</v>
      </c>
      <c r="C7169" s="18" t="s">
        <v>2497</v>
      </c>
      <c r="D7169" s="19" t="s">
        <v>10746</v>
      </c>
      <c r="E7169" s="20" t="s">
        <v>1657</v>
      </c>
      <c r="F7169" t="str">
        <f t="shared" si="555"/>
        <v>Nassau</v>
      </c>
      <c r="G7169" t="str">
        <f t="shared" si="556"/>
        <v>NassauNFHouston</v>
      </c>
      <c r="H7169" t="s">
        <v>38025</v>
      </c>
      <c r="I7169" t="s">
        <v>29441</v>
      </c>
      <c r="J7169" t="str">
        <f t="shared" si="557"/>
        <v>E:\PropInv\MF</v>
      </c>
      <c r="K7169" s="103" t="str">
        <f>HYPERLINK("E:\PropInv\MF\Houston\Nassau Bay_NF_Space Center Plaza Apts_Houston_18366","Nassau Bay_NF_Space Center Plaza Apts_Houston_18366" )</f>
        <v>Nassau Bay_NF_Space Center Plaza Apts_Houston_18366</v>
      </c>
      <c r="L7169" s="104" t="s">
        <v>22253</v>
      </c>
      <c r="M7169" s="103" t="str">
        <f t="shared" si="558"/>
        <v>http://oconnordata.com/mlink/modules/profile/index.cfm?action=profile&amp;prop_id=18366</v>
      </c>
      <c r="N7169" s="1">
        <f t="shared" si="559"/>
        <v>18366</v>
      </c>
    </row>
    <row r="7170" spans="1:14" x14ac:dyDescent="0.3">
      <c r="A7170" s="1">
        <v>18367</v>
      </c>
      <c r="B7170" s="19" t="s">
        <v>10747</v>
      </c>
      <c r="C7170" s="18" t="s">
        <v>2497</v>
      </c>
      <c r="D7170" s="19" t="s">
        <v>10748</v>
      </c>
      <c r="E7170" s="20" t="s">
        <v>4369</v>
      </c>
      <c r="F7170" t="str">
        <f t="shared" ref="F7170:F7233" si="560">IFERROR(LEFT(B7170,FIND(" ",B7170)-1),B7170)</f>
        <v>288</v>
      </c>
      <c r="G7170" t="str">
        <f t="shared" ref="G7170:G7233" si="561">F7170&amp;C7170&amp;E7170</f>
        <v>288NFPearland</v>
      </c>
      <c r="H7170" t="s">
        <v>38026</v>
      </c>
      <c r="I7170" t="s">
        <v>29442</v>
      </c>
      <c r="J7170" t="str">
        <f t="shared" ref="J7170:J7233" si="562">IF(L7170="TX",Folder_Path,Folder_Path&amp;"\State_"&amp;L7170)</f>
        <v>E:\PropInv\MF</v>
      </c>
      <c r="K7170" s="103" t="str">
        <f>HYPERLINK("E:\PropInv\MF\Pearland\288 Hwy_NF_WaterLights District Mixed Use_Pearland_18367","288 Hwy_NF_WaterLights District Mixed Use_Pearland_18367" )</f>
        <v>288 Hwy_NF_WaterLights District Mixed Use_Pearland_18367</v>
      </c>
      <c r="L7170" s="104" t="s">
        <v>22253</v>
      </c>
      <c r="M7170" s="103" t="str">
        <f t="shared" ref="M7170:M7233" si="563">HYPERLINK("http://oconnordata.com/mlink/modules/profile/index.cfm?action=profile&amp;prop_id="&amp;A7170)</f>
        <v>http://oconnordata.com/mlink/modules/profile/index.cfm?action=profile&amp;prop_id=18367</v>
      </c>
      <c r="N7170" s="1">
        <f t="shared" ref="N7170:N7233" si="564">IF(LEN(A7170)=1,"0000"&amp;A7170,IF(LEN(A7170)=2,"000"&amp;A7170,IF(LEN(A7170)=3,"00"&amp;A7170,IF(LEN(A7170)=4,"0"&amp;A7170,IF(LEN(A7170)=5,IF(LEFT(A7170,1)="3",A7170+30000,A7170))))))</f>
        <v>18367</v>
      </c>
    </row>
    <row r="7171" spans="1:14" x14ac:dyDescent="0.3">
      <c r="A7171" s="1">
        <v>18368</v>
      </c>
      <c r="B7171" s="7" t="s">
        <v>41</v>
      </c>
      <c r="C7171" s="12">
        <v>1900</v>
      </c>
      <c r="D7171" s="7" t="s">
        <v>10749</v>
      </c>
      <c r="E7171" s="25" t="s">
        <v>7</v>
      </c>
      <c r="F7171" t="str">
        <f t="shared" si="560"/>
        <v>Riverside</v>
      </c>
      <c r="G7171" t="str">
        <f t="shared" si="561"/>
        <v>Riverside1900Austin</v>
      </c>
      <c r="H7171" t="s">
        <v>38027</v>
      </c>
      <c r="I7171" t="s">
        <v>29443</v>
      </c>
      <c r="J7171" t="str">
        <f t="shared" si="562"/>
        <v>E:\PropInv\MF</v>
      </c>
      <c r="K7171" s="103" t="str">
        <f>HYPERLINK("E:\PropInv\MF\Austin\Riverside Dr E_1900_South Shore District_Austin_18368","Riverside Dr E_1900_South Shore District_Austin_18368" )</f>
        <v>Riverside Dr E_1900_South Shore District_Austin_18368</v>
      </c>
      <c r="L7171" s="104" t="s">
        <v>22253</v>
      </c>
      <c r="M7171" s="103" t="str">
        <f t="shared" si="563"/>
        <v>http://oconnordata.com/mlink/modules/profile/index.cfm?action=profile&amp;prop_id=18368</v>
      </c>
      <c r="N7171" s="1">
        <f t="shared" si="564"/>
        <v>18368</v>
      </c>
    </row>
    <row r="7172" spans="1:14" x14ac:dyDescent="0.3">
      <c r="A7172" s="1">
        <v>18369</v>
      </c>
      <c r="B7172" s="19" t="s">
        <v>10750</v>
      </c>
      <c r="C7172" s="18" t="s">
        <v>2497</v>
      </c>
      <c r="D7172" s="19" t="s">
        <v>10751</v>
      </c>
      <c r="E7172" s="20" t="s">
        <v>367</v>
      </c>
      <c r="F7172" t="str">
        <f t="shared" si="560"/>
        <v>1825</v>
      </c>
      <c r="G7172" t="str">
        <f t="shared" si="561"/>
        <v>1825NFPflugerville</v>
      </c>
      <c r="H7172" t="s">
        <v>38028</v>
      </c>
      <c r="I7172" t="s">
        <v>29444</v>
      </c>
      <c r="J7172" t="str">
        <f t="shared" si="562"/>
        <v>E:\PropInv\MF</v>
      </c>
      <c r="K7172" s="103" t="str">
        <f>HYPERLINK("E:\PropInv\MF\Pflugerville\1825 FM (Pecan St)_NF_Pacana Mixed Use aka Pecan Street Plaza_Pflugerville_18369","1825 FM (Pecan St)_NF_Pacana Mixed Use aka Pecan Street Plaza_Pflugerville_18369" )</f>
        <v>1825 FM (Pecan St)_NF_Pacana Mixed Use aka Pecan Street Plaza_Pflugerville_18369</v>
      </c>
      <c r="L7172" s="104" t="s">
        <v>22253</v>
      </c>
      <c r="M7172" s="103" t="str">
        <f t="shared" si="563"/>
        <v>http://oconnordata.com/mlink/modules/profile/index.cfm?action=profile&amp;prop_id=18369</v>
      </c>
      <c r="N7172" s="1">
        <f t="shared" si="564"/>
        <v>18369</v>
      </c>
    </row>
    <row r="7173" spans="1:14" x14ac:dyDescent="0.3">
      <c r="A7173" s="1">
        <v>18370</v>
      </c>
      <c r="B7173" s="19" t="s">
        <v>10752</v>
      </c>
      <c r="C7173" s="18" t="s">
        <v>2497</v>
      </c>
      <c r="D7173" s="19" t="s">
        <v>10753</v>
      </c>
      <c r="E7173" s="20" t="s">
        <v>10703</v>
      </c>
      <c r="F7173" t="str">
        <f t="shared" si="560"/>
        <v>79</v>
      </c>
      <c r="G7173" t="str">
        <f t="shared" si="561"/>
        <v>79NFHutto</v>
      </c>
      <c r="H7173" t="s">
        <v>38029</v>
      </c>
      <c r="I7173" t="s">
        <v>29445</v>
      </c>
      <c r="J7173" t="str">
        <f t="shared" si="562"/>
        <v>E:\PropInv\MF</v>
      </c>
      <c r="K7173" s="103" t="str">
        <f>HYPERLINK("E:\PropInv\MF\Hutto\79 US_NF_The Crossings of Carmel Creek_Hutto_18370","79 US_NF_The Crossings of Carmel Creek_Hutto_18370" )</f>
        <v>79 US_NF_The Crossings of Carmel Creek_Hutto_18370</v>
      </c>
      <c r="L7173" s="104" t="s">
        <v>22253</v>
      </c>
      <c r="M7173" s="103" t="str">
        <f t="shared" si="563"/>
        <v>http://oconnordata.com/mlink/modules/profile/index.cfm?action=profile&amp;prop_id=18370</v>
      </c>
      <c r="N7173" s="1">
        <f t="shared" si="564"/>
        <v>18370</v>
      </c>
    </row>
    <row r="7174" spans="1:14" x14ac:dyDescent="0.3">
      <c r="A7174" s="1">
        <v>18371</v>
      </c>
      <c r="B7174" s="7" t="s">
        <v>743</v>
      </c>
      <c r="C7174" s="12">
        <v>103</v>
      </c>
      <c r="D7174" s="7" t="s">
        <v>10754</v>
      </c>
      <c r="E7174" s="13" t="s">
        <v>16</v>
      </c>
      <c r="F7174" t="str">
        <f t="shared" si="560"/>
        <v>Austin</v>
      </c>
      <c r="G7174" t="str">
        <f t="shared" si="561"/>
        <v>Austin103Georgetown</v>
      </c>
      <c r="H7174" t="s">
        <v>38030</v>
      </c>
      <c r="I7174" t="s">
        <v>29446</v>
      </c>
      <c r="J7174" t="str">
        <f t="shared" si="562"/>
        <v>E:\PropInv\MF</v>
      </c>
      <c r="K7174" s="103" t="str">
        <f>HYPERLINK("E:\PropInv\MF\Georgetown\Austin Ave N_103_Two Rivers_Georgetown_18371","Austin Ave N_103_Two Rivers_Georgetown_18371" )</f>
        <v>Austin Ave N_103_Two Rivers_Georgetown_18371</v>
      </c>
      <c r="L7174" s="104" t="s">
        <v>22253</v>
      </c>
      <c r="M7174" s="103" t="str">
        <f t="shared" si="563"/>
        <v>http://oconnordata.com/mlink/modules/profile/index.cfm?action=profile&amp;prop_id=18371</v>
      </c>
      <c r="N7174" s="1">
        <f t="shared" si="564"/>
        <v>18371</v>
      </c>
    </row>
    <row r="7175" spans="1:14" x14ac:dyDescent="0.3">
      <c r="A7175" s="1">
        <v>18372</v>
      </c>
      <c r="B7175" s="19" t="s">
        <v>10755</v>
      </c>
      <c r="C7175" s="18" t="s">
        <v>10756</v>
      </c>
      <c r="D7175" s="19" t="s">
        <v>10757</v>
      </c>
      <c r="E7175" s="20" t="s">
        <v>912</v>
      </c>
      <c r="F7175" t="str">
        <f t="shared" si="560"/>
        <v>337</v>
      </c>
      <c r="G7175" t="str">
        <f t="shared" si="561"/>
        <v>3372500-2600New Braunfels</v>
      </c>
      <c r="H7175" t="s">
        <v>38031</v>
      </c>
      <c r="I7175" t="s">
        <v>29447</v>
      </c>
      <c r="J7175" t="str">
        <f t="shared" si="562"/>
        <v>E:\PropInv\MF</v>
      </c>
      <c r="K7175" s="103" t="str">
        <f>HYPERLINK("E:\PropInv\MF\New Braunfels\337 Block Loop_2500-2600_Stone Canyons_New Braunfels_18372","337 Block Loop_2500-2600_Stone Canyons_New Braunfels_18372" )</f>
        <v>337 Block Loop_2500-2600_Stone Canyons_New Braunfels_18372</v>
      </c>
      <c r="L7175" s="104" t="s">
        <v>22253</v>
      </c>
      <c r="M7175" s="103" t="str">
        <f t="shared" si="563"/>
        <v>http://oconnordata.com/mlink/modules/profile/index.cfm?action=profile&amp;prop_id=18372</v>
      </c>
      <c r="N7175" s="1">
        <f t="shared" si="564"/>
        <v>18372</v>
      </c>
    </row>
    <row r="7176" spans="1:14" x14ac:dyDescent="0.3">
      <c r="A7176" s="1">
        <v>18373</v>
      </c>
      <c r="B7176" s="19" t="s">
        <v>10758</v>
      </c>
      <c r="C7176" s="18" t="s">
        <v>2497</v>
      </c>
      <c r="D7176" s="19" t="s">
        <v>10759</v>
      </c>
      <c r="E7176" s="20" t="s">
        <v>7</v>
      </c>
      <c r="F7176" t="str">
        <f t="shared" si="560"/>
        <v>Avery</v>
      </c>
      <c r="G7176" t="str">
        <f t="shared" si="561"/>
        <v>AveryNFAustin</v>
      </c>
      <c r="H7176" t="s">
        <v>38032</v>
      </c>
      <c r="I7176" t="s">
        <v>29448</v>
      </c>
      <c r="J7176" t="str">
        <f t="shared" si="562"/>
        <v>E:\PropInv\MF</v>
      </c>
      <c r="K7176" s="103" t="str">
        <f>HYPERLINK("E:\PropInv\MF\Austin\Avery Ranch Rd_NF_Pearson Place Apts_Austin_18373","Avery Ranch Rd_NF_Pearson Place Apts_Austin_18373" )</f>
        <v>Avery Ranch Rd_NF_Pearson Place Apts_Austin_18373</v>
      </c>
      <c r="L7176" s="104" t="s">
        <v>22253</v>
      </c>
      <c r="M7176" s="103" t="str">
        <f t="shared" si="563"/>
        <v>http://oconnordata.com/mlink/modules/profile/index.cfm?action=profile&amp;prop_id=18373</v>
      </c>
      <c r="N7176" s="1">
        <f t="shared" si="564"/>
        <v>18373</v>
      </c>
    </row>
    <row r="7177" spans="1:14" x14ac:dyDescent="0.3">
      <c r="A7177" s="1">
        <v>18374</v>
      </c>
      <c r="B7177" s="19" t="s">
        <v>10760</v>
      </c>
      <c r="C7177" s="18" t="s">
        <v>2497</v>
      </c>
      <c r="D7177" s="19" t="s">
        <v>10761</v>
      </c>
      <c r="E7177" s="20" t="s">
        <v>7</v>
      </c>
      <c r="F7177" t="str">
        <f t="shared" si="560"/>
        <v>Slaughter</v>
      </c>
      <c r="G7177" t="str">
        <f t="shared" si="561"/>
        <v>SlaughterNFAustin</v>
      </c>
      <c r="H7177" t="s">
        <v>38033</v>
      </c>
      <c r="I7177" t="s">
        <v>29449</v>
      </c>
      <c r="J7177" t="str">
        <f t="shared" si="562"/>
        <v>E:\PropInv\MF</v>
      </c>
      <c r="K7177" s="103" t="str">
        <f>HYPERLINK("E:\PropInv\MF\Austin\Slaughter Ln_NF_Goodnight Ranch Mixed Use_Austin_18374","Slaughter Ln_NF_Goodnight Ranch Mixed Use_Austin_18374" )</f>
        <v>Slaughter Ln_NF_Goodnight Ranch Mixed Use_Austin_18374</v>
      </c>
      <c r="L7177" s="104" t="s">
        <v>22253</v>
      </c>
      <c r="M7177" s="103" t="str">
        <f t="shared" si="563"/>
        <v>http://oconnordata.com/mlink/modules/profile/index.cfm?action=profile&amp;prop_id=18374</v>
      </c>
      <c r="N7177" s="1">
        <f t="shared" si="564"/>
        <v>18374</v>
      </c>
    </row>
    <row r="7178" spans="1:14" x14ac:dyDescent="0.3">
      <c r="A7178" s="1">
        <v>18375</v>
      </c>
      <c r="B7178" s="19" t="s">
        <v>37</v>
      </c>
      <c r="C7178" s="18">
        <v>5400</v>
      </c>
      <c r="D7178" s="19" t="s">
        <v>10762</v>
      </c>
      <c r="E7178" s="20" t="s">
        <v>7</v>
      </c>
      <c r="F7178" t="str">
        <f t="shared" si="560"/>
        <v>Lamar</v>
      </c>
      <c r="G7178" t="str">
        <f t="shared" si="561"/>
        <v>Lamar5400Austin</v>
      </c>
      <c r="H7178" t="s">
        <v>38034</v>
      </c>
      <c r="I7178" t="s">
        <v>29450</v>
      </c>
      <c r="J7178" t="str">
        <f t="shared" si="562"/>
        <v>E:\PropInv\MF</v>
      </c>
      <c r="K7178" s="103" t="str">
        <f>HYPERLINK("E:\PropInv\MF\Austin\Lamar Blvd N_5400_Camden Lamar Heights_Austin_18375","Lamar Blvd N_5400_Camden Lamar Heights_Austin_18375" )</f>
        <v>Lamar Blvd N_5400_Camden Lamar Heights_Austin_18375</v>
      </c>
      <c r="L7178" s="104" t="s">
        <v>22253</v>
      </c>
      <c r="M7178" s="103" t="str">
        <f t="shared" si="563"/>
        <v>http://oconnordata.com/mlink/modules/profile/index.cfm?action=profile&amp;prop_id=18375</v>
      </c>
      <c r="N7178" s="1">
        <f t="shared" si="564"/>
        <v>18375</v>
      </c>
    </row>
    <row r="7179" spans="1:14" x14ac:dyDescent="0.3">
      <c r="A7179" s="1">
        <v>18376</v>
      </c>
      <c r="B7179" s="19" t="s">
        <v>540</v>
      </c>
      <c r="C7179" s="18" t="s">
        <v>2497</v>
      </c>
      <c r="D7179" s="19" t="s">
        <v>10763</v>
      </c>
      <c r="E7179" s="20" t="s">
        <v>7</v>
      </c>
      <c r="F7179" t="str">
        <f t="shared" si="560"/>
        <v>Cumberland</v>
      </c>
      <c r="G7179" t="str">
        <f t="shared" si="561"/>
        <v>CumberlandNFAustin</v>
      </c>
      <c r="H7179" t="s">
        <v>38035</v>
      </c>
      <c r="I7179" t="s">
        <v>29451</v>
      </c>
      <c r="J7179" t="str">
        <f t="shared" si="562"/>
        <v>E:\PropInv\MF</v>
      </c>
      <c r="K7179" s="103" t="str">
        <f>HYPERLINK("E:\PropInv\MF\Austin\Cumberland Dr_NF_South First &amp; Cumberland Condos_Austin_18376","Cumberland Dr_NF_South First &amp; Cumberland Condos_Austin_18376" )</f>
        <v>Cumberland Dr_NF_South First &amp; Cumberland Condos_Austin_18376</v>
      </c>
      <c r="L7179" s="104" t="s">
        <v>22253</v>
      </c>
      <c r="M7179" s="103" t="str">
        <f t="shared" si="563"/>
        <v>http://oconnordata.com/mlink/modules/profile/index.cfm?action=profile&amp;prop_id=18376</v>
      </c>
      <c r="N7179" s="1">
        <f t="shared" si="564"/>
        <v>18376</v>
      </c>
    </row>
    <row r="7180" spans="1:14" x14ac:dyDescent="0.3">
      <c r="A7180" s="1">
        <v>18377</v>
      </c>
      <c r="B7180" s="37" t="s">
        <v>5656</v>
      </c>
      <c r="C7180" s="38" t="s">
        <v>2497</v>
      </c>
      <c r="D7180" s="29" t="s">
        <v>10764</v>
      </c>
      <c r="E7180" s="39" t="s">
        <v>4996</v>
      </c>
      <c r="F7180" t="str">
        <f t="shared" si="560"/>
        <v>Manderville</v>
      </c>
      <c r="G7180" t="str">
        <f t="shared" si="561"/>
        <v>MandervilleNFDallas</v>
      </c>
      <c r="H7180" t="s">
        <v>38036</v>
      </c>
      <c r="I7180" t="s">
        <v>29452</v>
      </c>
      <c r="J7180" t="str">
        <f t="shared" si="562"/>
        <v>E:\PropInv\MF</v>
      </c>
      <c r="K7180" s="103" t="str">
        <f>HYPERLINK("E:\PropInv\MF\Dallas\Manderville Ln_NF_Midtown Park_Dallas_18377","Manderville Ln_NF_Midtown Park_Dallas_18377" )</f>
        <v>Manderville Ln_NF_Midtown Park_Dallas_18377</v>
      </c>
      <c r="L7180" s="104" t="s">
        <v>22253</v>
      </c>
      <c r="M7180" s="103" t="str">
        <f t="shared" si="563"/>
        <v>http://oconnordata.com/mlink/modules/profile/index.cfm?action=profile&amp;prop_id=18377</v>
      </c>
      <c r="N7180" s="1">
        <f t="shared" si="564"/>
        <v>18377</v>
      </c>
    </row>
    <row r="7181" spans="1:14" x14ac:dyDescent="0.3">
      <c r="A7181" s="1">
        <v>18378</v>
      </c>
      <c r="B7181" s="19" t="s">
        <v>10755</v>
      </c>
      <c r="C7181" s="18" t="s">
        <v>10756</v>
      </c>
      <c r="D7181" s="19" t="s">
        <v>10765</v>
      </c>
      <c r="E7181" s="20" t="s">
        <v>912</v>
      </c>
      <c r="F7181" t="str">
        <f t="shared" si="560"/>
        <v>337</v>
      </c>
      <c r="G7181" t="str">
        <f t="shared" si="561"/>
        <v>3372500-2600New Braunfels</v>
      </c>
      <c r="H7181" t="s">
        <v>38037</v>
      </c>
      <c r="I7181" t="s">
        <v>29453</v>
      </c>
      <c r="J7181" t="str">
        <f t="shared" si="562"/>
        <v>E:\PropInv\MF</v>
      </c>
      <c r="K7181" s="103" t="str">
        <f>HYPERLINK("E:\PropInv\MF\New Braunfels\337 Block Loop_2500-2600_Estates at Stone Crossing Condos_New Braunfels_18378","337 Block Loop_2500-2600_Estates at Stone Crossing Condos_New Braunfels_18378" )</f>
        <v>337 Block Loop_2500-2600_Estates at Stone Crossing Condos_New Braunfels_18378</v>
      </c>
      <c r="L7181" s="104" t="s">
        <v>22253</v>
      </c>
      <c r="M7181" s="103" t="str">
        <f t="shared" si="563"/>
        <v>http://oconnordata.com/mlink/modules/profile/index.cfm?action=profile&amp;prop_id=18378</v>
      </c>
      <c r="N7181" s="1">
        <f t="shared" si="564"/>
        <v>18378</v>
      </c>
    </row>
    <row r="7182" spans="1:14" x14ac:dyDescent="0.3">
      <c r="A7182" s="1">
        <v>18379</v>
      </c>
      <c r="B7182" s="19" t="s">
        <v>1070</v>
      </c>
      <c r="C7182" s="18">
        <v>8646</v>
      </c>
      <c r="D7182" s="19" t="s">
        <v>10766</v>
      </c>
      <c r="E7182" s="20" t="s">
        <v>842</v>
      </c>
      <c r="F7182" t="str">
        <f t="shared" si="560"/>
        <v>Huebner</v>
      </c>
      <c r="G7182" t="str">
        <f t="shared" si="561"/>
        <v>Huebner8646San Antonio</v>
      </c>
      <c r="H7182" t="s">
        <v>38038</v>
      </c>
      <c r="I7182" t="s">
        <v>29454</v>
      </c>
      <c r="J7182" t="str">
        <f t="shared" si="562"/>
        <v>E:\PropInv\MF</v>
      </c>
      <c r="K7182" s="103" t="str">
        <f>HYPERLINK("E:\PropInv\MF\San Antonio\Huebner Rd_8646_Chancellor Huebner Road Apts_San Antonio_18379","Huebner Rd_8646_Chancellor Huebner Road Apts_San Antonio_18379" )</f>
        <v>Huebner Rd_8646_Chancellor Huebner Road Apts_San Antonio_18379</v>
      </c>
      <c r="L7182" s="104" t="s">
        <v>22253</v>
      </c>
      <c r="M7182" s="103" t="str">
        <f t="shared" si="563"/>
        <v>http://oconnordata.com/mlink/modules/profile/index.cfm?action=profile&amp;prop_id=18379</v>
      </c>
      <c r="N7182" s="1">
        <f t="shared" si="564"/>
        <v>18379</v>
      </c>
    </row>
    <row r="7183" spans="1:14" x14ac:dyDescent="0.3">
      <c r="A7183" s="1">
        <v>18380</v>
      </c>
      <c r="B7183" s="7" t="s">
        <v>10767</v>
      </c>
      <c r="C7183" s="12">
        <v>7461</v>
      </c>
      <c r="D7183" s="7" t="s">
        <v>10768</v>
      </c>
      <c r="E7183" s="13" t="s">
        <v>1087</v>
      </c>
      <c r="F7183" t="str">
        <f t="shared" si="560"/>
        <v>Kittyhawk</v>
      </c>
      <c r="G7183" t="str">
        <f t="shared" si="561"/>
        <v>Kittyhawk7461Converse</v>
      </c>
      <c r="H7183" t="s">
        <v>38039</v>
      </c>
      <c r="I7183" t="s">
        <v>29455</v>
      </c>
      <c r="J7183" t="str">
        <f t="shared" si="562"/>
        <v>E:\PropInv\MF</v>
      </c>
      <c r="K7183" s="103" t="str">
        <f>HYPERLINK("E:\PropInv\MF\Converse\Kittyhawk Rd_7461_Vantage at Kitty Hawk_Converse_18380","Kittyhawk Rd_7461_Vantage at Kitty Hawk_Converse_18380" )</f>
        <v>Kittyhawk Rd_7461_Vantage at Kitty Hawk_Converse_18380</v>
      </c>
      <c r="L7183" s="104" t="s">
        <v>22253</v>
      </c>
      <c r="M7183" s="103" t="str">
        <f t="shared" si="563"/>
        <v>http://oconnordata.com/mlink/modules/profile/index.cfm?action=profile&amp;prop_id=18380</v>
      </c>
      <c r="N7183" s="1">
        <f t="shared" si="564"/>
        <v>18380</v>
      </c>
    </row>
    <row r="7184" spans="1:14" x14ac:dyDescent="0.3">
      <c r="A7184" s="1">
        <v>18381</v>
      </c>
      <c r="B7184" s="19" t="s">
        <v>10769</v>
      </c>
      <c r="C7184" s="18">
        <v>600</v>
      </c>
      <c r="D7184" s="19" t="s">
        <v>10770</v>
      </c>
      <c r="E7184" s="20" t="s">
        <v>842</v>
      </c>
      <c r="F7184" t="str">
        <f t="shared" si="560"/>
        <v>Lone</v>
      </c>
      <c r="G7184" t="str">
        <f t="shared" si="561"/>
        <v>Lone600San Antonio</v>
      </c>
      <c r="H7184" t="s">
        <v>38040</v>
      </c>
      <c r="I7184" t="s">
        <v>29456</v>
      </c>
      <c r="J7184" t="str">
        <f t="shared" si="562"/>
        <v>E:\PropInv\MF</v>
      </c>
      <c r="K7184" s="103" t="str">
        <f>HYPERLINK("E:\PropInv\MF\San Antonio\Lone Star Blvd_600_Lone Star Brewery Redevelopment_San Antonio_18381","Lone Star Blvd_600_Lone Star Brewery Redevelopment_San Antonio_18381" )</f>
        <v>Lone Star Blvd_600_Lone Star Brewery Redevelopment_San Antonio_18381</v>
      </c>
      <c r="L7184" s="104" t="s">
        <v>22253</v>
      </c>
      <c r="M7184" s="103" t="str">
        <f t="shared" si="563"/>
        <v>http://oconnordata.com/mlink/modules/profile/index.cfm?action=profile&amp;prop_id=18381</v>
      </c>
      <c r="N7184" s="1">
        <f t="shared" si="564"/>
        <v>18381</v>
      </c>
    </row>
    <row r="7185" spans="1:14" x14ac:dyDescent="0.3">
      <c r="A7185" s="1">
        <v>18382</v>
      </c>
      <c r="B7185" s="7" t="s">
        <v>8913</v>
      </c>
      <c r="C7185" s="12">
        <v>10880</v>
      </c>
      <c r="D7185" s="7" t="s">
        <v>10771</v>
      </c>
      <c r="E7185" s="13" t="s">
        <v>1818</v>
      </c>
      <c r="F7185" t="str">
        <f t="shared" si="560"/>
        <v>Barker</v>
      </c>
      <c r="G7185" t="str">
        <f t="shared" si="561"/>
        <v>Barker10880Cypress</v>
      </c>
      <c r="H7185" t="s">
        <v>38041</v>
      </c>
      <c r="I7185" t="s">
        <v>29457</v>
      </c>
      <c r="J7185" t="str">
        <f t="shared" si="562"/>
        <v>E:\PropInv\MF</v>
      </c>
      <c r="K7185" s="103" t="str">
        <f>HYPERLINK("E:\PropInv\MF\Cypress\Barker Cypress Rd_10880_Waterford Place at Riata Ranch_Cypress_18382","Barker Cypress Rd_10880_Waterford Place at Riata Ranch_Cypress_18382" )</f>
        <v>Barker Cypress Rd_10880_Waterford Place at Riata Ranch_Cypress_18382</v>
      </c>
      <c r="L7185" s="104" t="s">
        <v>22253</v>
      </c>
      <c r="M7185" s="103" t="str">
        <f t="shared" si="563"/>
        <v>http://oconnordata.com/mlink/modules/profile/index.cfm?action=profile&amp;prop_id=18382</v>
      </c>
      <c r="N7185" s="1">
        <f t="shared" si="564"/>
        <v>18382</v>
      </c>
    </row>
    <row r="7186" spans="1:14" x14ac:dyDescent="0.3">
      <c r="A7186" s="1">
        <v>18383</v>
      </c>
      <c r="B7186" s="7" t="s">
        <v>7375</v>
      </c>
      <c r="C7186" s="12">
        <v>1701</v>
      </c>
      <c r="D7186" s="7" t="s">
        <v>10772</v>
      </c>
      <c r="E7186" s="13" t="s">
        <v>5014</v>
      </c>
      <c r="F7186" t="str">
        <f t="shared" si="560"/>
        <v>Rogers</v>
      </c>
      <c r="G7186" t="str">
        <f t="shared" si="561"/>
        <v>Rogers1701Fort Worth</v>
      </c>
      <c r="H7186" t="s">
        <v>38042</v>
      </c>
      <c r="I7186" t="s">
        <v>29458</v>
      </c>
      <c r="J7186" t="str">
        <f t="shared" si="562"/>
        <v>E:\PropInv\MF</v>
      </c>
      <c r="K7186" s="103" t="str">
        <f>HYPERLINK("E:\PropInv\MF\Fort Worth\Rogers Rd_1701_Gallery 1701_Fort Worth_18383","Rogers Rd_1701_Gallery 1701_Fort Worth_18383" )</f>
        <v>Rogers Rd_1701_Gallery 1701_Fort Worth_18383</v>
      </c>
      <c r="L7186" s="104" t="s">
        <v>22253</v>
      </c>
      <c r="M7186" s="103" t="str">
        <f t="shared" si="563"/>
        <v>http://oconnordata.com/mlink/modules/profile/index.cfm?action=profile&amp;prop_id=18383</v>
      </c>
      <c r="N7186" s="1">
        <f t="shared" si="564"/>
        <v>18383</v>
      </c>
    </row>
    <row r="7187" spans="1:14" x14ac:dyDescent="0.3">
      <c r="A7187" s="1">
        <v>18384</v>
      </c>
      <c r="B7187" s="7" t="s">
        <v>10773</v>
      </c>
      <c r="C7187" s="12">
        <v>2001</v>
      </c>
      <c r="D7187" s="7" t="s">
        <v>4029</v>
      </c>
      <c r="E7187" s="13" t="s">
        <v>6617</v>
      </c>
      <c r="F7187" t="str">
        <f t="shared" si="560"/>
        <v>Holley</v>
      </c>
      <c r="G7187" t="str">
        <f t="shared" si="561"/>
        <v>Holley2001Roanoke</v>
      </c>
      <c r="H7187" t="s">
        <v>38043</v>
      </c>
      <c r="I7187" t="s">
        <v>29459</v>
      </c>
      <c r="J7187" t="str">
        <f t="shared" si="562"/>
        <v>E:\PropInv\MF</v>
      </c>
      <c r="K7187" s="103" t="str">
        <f>HYPERLINK("E:\PropInv\MF\Roanoke\Holley Pkwy_2001_Copper Ridge_Roanoke_18384","Holley Pkwy_2001_Copper Ridge_Roanoke_18384" )</f>
        <v>Holley Pkwy_2001_Copper Ridge_Roanoke_18384</v>
      </c>
      <c r="L7187" s="104" t="s">
        <v>22253</v>
      </c>
      <c r="M7187" s="103" t="str">
        <f t="shared" si="563"/>
        <v>http://oconnordata.com/mlink/modules/profile/index.cfm?action=profile&amp;prop_id=18384</v>
      </c>
      <c r="N7187" s="1">
        <f t="shared" si="564"/>
        <v>18384</v>
      </c>
    </row>
    <row r="7188" spans="1:14" x14ac:dyDescent="0.3">
      <c r="A7188" s="97">
        <v>18385</v>
      </c>
      <c r="B7188" s="7" t="s">
        <v>2064</v>
      </c>
      <c r="C7188" s="12">
        <v>3918</v>
      </c>
      <c r="D7188" s="7" t="s">
        <v>7380</v>
      </c>
      <c r="E7188" s="13" t="s">
        <v>1763</v>
      </c>
      <c r="F7188" t="str">
        <f t="shared" si="560"/>
        <v>Atascocita</v>
      </c>
      <c r="G7188" t="str">
        <f t="shared" si="561"/>
        <v>Atascocita3918Humble</v>
      </c>
      <c r="H7188" t="s">
        <v>38044</v>
      </c>
      <c r="I7188" t="s">
        <v>29460</v>
      </c>
      <c r="J7188" t="str">
        <f t="shared" si="562"/>
        <v>E:\PropInv\MF</v>
      </c>
      <c r="K7188" s="103" t="str">
        <f>HYPERLINK("E:\PropInv\MF\Humble\Atascocita Rd_3918_Woodland Hills_Humble_18385","Atascocita Rd_3918_Woodland Hills_Humble_18385" )</f>
        <v>Atascocita Rd_3918_Woodland Hills_Humble_18385</v>
      </c>
      <c r="L7188" s="104" t="s">
        <v>22253</v>
      </c>
      <c r="M7188" s="103" t="str">
        <f t="shared" si="563"/>
        <v>http://oconnordata.com/mlink/modules/profile/index.cfm?action=profile&amp;prop_id=18385</v>
      </c>
      <c r="N7188" s="1">
        <f t="shared" si="564"/>
        <v>18385</v>
      </c>
    </row>
    <row r="7189" spans="1:14" x14ac:dyDescent="0.3">
      <c r="A7189" s="1">
        <v>18386</v>
      </c>
      <c r="B7189" s="7" t="s">
        <v>5721</v>
      </c>
      <c r="C7189" s="12">
        <v>6415</v>
      </c>
      <c r="D7189" s="7" t="s">
        <v>10774</v>
      </c>
      <c r="E7189" s="13" t="s">
        <v>5014</v>
      </c>
      <c r="F7189" t="str">
        <f t="shared" si="560"/>
        <v>Old</v>
      </c>
      <c r="G7189" t="str">
        <f t="shared" si="561"/>
        <v>Old6415Fort Worth</v>
      </c>
      <c r="H7189" t="s">
        <v>38045</v>
      </c>
      <c r="I7189" t="s">
        <v>29461</v>
      </c>
      <c r="J7189" t="str">
        <f t="shared" si="562"/>
        <v>E:\PropInv\MF</v>
      </c>
      <c r="K7189" s="103" t="str">
        <f>HYPERLINK("E:\PropInv\MF\Fort Worth\Old Denton Rd_6415_The Haven at Western Center_Fort Worth_18386","Old Denton Rd_6415_The Haven at Western Center_Fort Worth_18386" )</f>
        <v>Old Denton Rd_6415_The Haven at Western Center_Fort Worth_18386</v>
      </c>
      <c r="L7189" s="104" t="s">
        <v>22253</v>
      </c>
      <c r="M7189" s="103" t="str">
        <f t="shared" si="563"/>
        <v>http://oconnordata.com/mlink/modules/profile/index.cfm?action=profile&amp;prop_id=18386</v>
      </c>
      <c r="N7189" s="1">
        <f t="shared" si="564"/>
        <v>18386</v>
      </c>
    </row>
    <row r="7190" spans="1:14" x14ac:dyDescent="0.3">
      <c r="A7190" s="1">
        <v>18387</v>
      </c>
      <c r="B7190" s="7" t="s">
        <v>10775</v>
      </c>
      <c r="C7190" s="12">
        <v>8201</v>
      </c>
      <c r="D7190" s="7" t="s">
        <v>10776</v>
      </c>
      <c r="E7190" s="13" t="s">
        <v>5014</v>
      </c>
      <c r="F7190" t="str">
        <f t="shared" si="560"/>
        <v>Boat</v>
      </c>
      <c r="G7190" t="str">
        <f t="shared" si="561"/>
        <v>Boat8201Fort Worth</v>
      </c>
      <c r="H7190" t="s">
        <v>38046</v>
      </c>
      <c r="I7190" t="s">
        <v>29462</v>
      </c>
      <c r="J7190" t="str">
        <f t="shared" si="562"/>
        <v>E:\PropInv\MF</v>
      </c>
      <c r="K7190" s="103" t="str">
        <f>HYPERLINK("E:\PropInv\MF\Fort Worth\Boat Club Dr_8201_Villa Lago_Fort Worth_18387","Boat Club Dr_8201_Villa Lago_Fort Worth_18387" )</f>
        <v>Boat Club Dr_8201_Villa Lago_Fort Worth_18387</v>
      </c>
      <c r="L7190" s="104" t="s">
        <v>22253</v>
      </c>
      <c r="M7190" s="103" t="str">
        <f t="shared" si="563"/>
        <v>http://oconnordata.com/mlink/modules/profile/index.cfm?action=profile&amp;prop_id=18387</v>
      </c>
      <c r="N7190" s="1">
        <f t="shared" si="564"/>
        <v>18387</v>
      </c>
    </row>
    <row r="7191" spans="1:14" x14ac:dyDescent="0.3">
      <c r="A7191" s="1">
        <v>18388</v>
      </c>
      <c r="B7191" s="7" t="s">
        <v>10777</v>
      </c>
      <c r="C7191" s="12">
        <v>1200</v>
      </c>
      <c r="D7191" s="7" t="s">
        <v>10778</v>
      </c>
      <c r="E7191" s="13" t="s">
        <v>5014</v>
      </c>
      <c r="F7191" t="str">
        <f t="shared" si="560"/>
        <v>Scenic</v>
      </c>
      <c r="G7191" t="str">
        <f t="shared" si="561"/>
        <v>Scenic1200Fort Worth</v>
      </c>
      <c r="H7191" t="s">
        <v>38047</v>
      </c>
      <c r="I7191" t="s">
        <v>29463</v>
      </c>
      <c r="J7191" t="str">
        <f t="shared" si="562"/>
        <v>E:\PropInv\MF</v>
      </c>
      <c r="K7191" s="103" t="str">
        <f>HYPERLINK("E:\PropInv\MF\Fort Worth\Scenic Vista Dr_1200_Westpoint at Scenic Vista_Fort Worth_18388","Scenic Vista Dr_1200_Westpoint at Scenic Vista_Fort Worth_18388" )</f>
        <v>Scenic Vista Dr_1200_Westpoint at Scenic Vista_Fort Worth_18388</v>
      </c>
      <c r="L7191" s="104" t="s">
        <v>22253</v>
      </c>
      <c r="M7191" s="103" t="str">
        <f t="shared" si="563"/>
        <v>http://oconnordata.com/mlink/modules/profile/index.cfm?action=profile&amp;prop_id=18388</v>
      </c>
      <c r="N7191" s="1">
        <f t="shared" si="564"/>
        <v>18388</v>
      </c>
    </row>
    <row r="7192" spans="1:14" x14ac:dyDescent="0.3">
      <c r="A7192" s="1">
        <v>18389</v>
      </c>
      <c r="B7192" s="7" t="s">
        <v>9857</v>
      </c>
      <c r="C7192" s="12">
        <v>2140</v>
      </c>
      <c r="D7192" s="7" t="s">
        <v>10779</v>
      </c>
      <c r="E7192" s="13" t="s">
        <v>4996</v>
      </c>
      <c r="F7192" t="str">
        <f t="shared" si="560"/>
        <v>Medical</v>
      </c>
      <c r="G7192" t="str">
        <f t="shared" si="561"/>
        <v>Medical2140Dallas</v>
      </c>
      <c r="H7192" t="s">
        <v>38048</v>
      </c>
      <c r="I7192" t="s">
        <v>29464</v>
      </c>
      <c r="J7192" t="str">
        <f t="shared" si="562"/>
        <v>E:\PropInv\MF</v>
      </c>
      <c r="K7192" s="103" t="str">
        <f>HYPERLINK("E:\PropInv\MF\Dallas\Medical District Dr_2140_21 Forty Medical District_Dallas_18389","Medical District Dr_2140_21 Forty Medical District_Dallas_18389" )</f>
        <v>Medical District Dr_2140_21 Forty Medical District_Dallas_18389</v>
      </c>
      <c r="L7192" s="104" t="s">
        <v>22253</v>
      </c>
      <c r="M7192" s="103" t="str">
        <f t="shared" si="563"/>
        <v>http://oconnordata.com/mlink/modules/profile/index.cfm?action=profile&amp;prop_id=18389</v>
      </c>
      <c r="N7192" s="1">
        <f t="shared" si="564"/>
        <v>18389</v>
      </c>
    </row>
    <row r="7193" spans="1:14" x14ac:dyDescent="0.3">
      <c r="A7193" s="1">
        <v>18390</v>
      </c>
      <c r="B7193" s="7" t="s">
        <v>5791</v>
      </c>
      <c r="C7193" s="12">
        <v>7373</v>
      </c>
      <c r="D7193" s="7" t="s">
        <v>10780</v>
      </c>
      <c r="E7193" s="13" t="s">
        <v>4996</v>
      </c>
      <c r="F7193" t="str">
        <f t="shared" si="560"/>
        <v>Valley</v>
      </c>
      <c r="G7193" t="str">
        <f t="shared" si="561"/>
        <v>Valley7373Dallas</v>
      </c>
      <c r="H7193" t="s">
        <v>38049</v>
      </c>
      <c r="I7193" t="s">
        <v>29465</v>
      </c>
      <c r="J7193" t="str">
        <f t="shared" si="562"/>
        <v>E:\PropInv\MF</v>
      </c>
      <c r="K7193" s="103" t="str">
        <f>HYPERLINK("E:\PropInv\MF\Dallas\Valley View Ln_7373_Alexan City North_Dallas_18390","Valley View Ln_7373_Alexan City North_Dallas_18390" )</f>
        <v>Valley View Ln_7373_Alexan City North_Dallas_18390</v>
      </c>
      <c r="L7193" s="104" t="s">
        <v>22253</v>
      </c>
      <c r="M7193" s="103" t="str">
        <f t="shared" si="563"/>
        <v>http://oconnordata.com/mlink/modules/profile/index.cfm?action=profile&amp;prop_id=18390</v>
      </c>
      <c r="N7193" s="1">
        <f t="shared" si="564"/>
        <v>18390</v>
      </c>
    </row>
    <row r="7194" spans="1:14" x14ac:dyDescent="0.3">
      <c r="A7194" s="1">
        <v>18391</v>
      </c>
      <c r="B7194" s="19" t="s">
        <v>12</v>
      </c>
      <c r="C7194" s="18">
        <v>11908</v>
      </c>
      <c r="D7194" s="19" t="s">
        <v>10781</v>
      </c>
      <c r="E7194" s="20" t="s">
        <v>7</v>
      </c>
      <c r="F7194" t="str">
        <f t="shared" si="560"/>
        <v>Anderson</v>
      </c>
      <c r="G7194" t="str">
        <f t="shared" si="561"/>
        <v>Anderson11908Austin</v>
      </c>
      <c r="H7194" t="s">
        <v>38050</v>
      </c>
      <c r="I7194" t="s">
        <v>29466</v>
      </c>
      <c r="J7194" t="str">
        <f t="shared" si="562"/>
        <v>E:\PropInv\MF</v>
      </c>
      <c r="K7194" s="103" t="str">
        <f>HYPERLINK("E:\PropInv\MF\Austin\Anderson Mill Rd_11908_Amberley Ridge_Austin_18391","Anderson Mill Rd_11908_Amberley Ridge_Austin_18391" )</f>
        <v>Anderson Mill Rd_11908_Amberley Ridge_Austin_18391</v>
      </c>
      <c r="L7194" s="104" t="s">
        <v>22253</v>
      </c>
      <c r="M7194" s="103" t="str">
        <f t="shared" si="563"/>
        <v>http://oconnordata.com/mlink/modules/profile/index.cfm?action=profile&amp;prop_id=18391</v>
      </c>
      <c r="N7194" s="1">
        <f t="shared" si="564"/>
        <v>18391</v>
      </c>
    </row>
    <row r="7195" spans="1:14" s="114" customFormat="1" x14ac:dyDescent="0.3">
      <c r="A7195" s="111">
        <v>18392</v>
      </c>
      <c r="B7195" s="112" t="s">
        <v>10782</v>
      </c>
      <c r="C7195" s="113">
        <v>202</v>
      </c>
      <c r="D7195" s="112" t="s">
        <v>10783</v>
      </c>
      <c r="E7195" s="112" t="s">
        <v>721</v>
      </c>
      <c r="F7195" s="114" t="str">
        <f t="shared" si="560"/>
        <v>Crystal</v>
      </c>
      <c r="G7195" s="114" t="str">
        <f t="shared" si="561"/>
        <v>Crystal202Leander</v>
      </c>
      <c r="H7195" s="114" t="s">
        <v>38051</v>
      </c>
      <c r="I7195" s="114" t="s">
        <v>29467</v>
      </c>
      <c r="J7195" s="114" t="str">
        <f t="shared" si="562"/>
        <v>E:\PropInv\MF</v>
      </c>
      <c r="K7195" s="115" t="str">
        <f>HYPERLINK("E:\PropInv\MF\Leander\Crystal Falls Pkwy_202_Crystal Falls Village_Leander_18392","Crystal Falls Pkwy_202_Crystal Falls Village_Leander_18392" )</f>
        <v>Crystal Falls Pkwy_202_Crystal Falls Village_Leander_18392</v>
      </c>
      <c r="L7195" s="116" t="s">
        <v>22253</v>
      </c>
      <c r="M7195" s="115" t="str">
        <f t="shared" si="563"/>
        <v>http://oconnordata.com/mlink/modules/profile/index.cfm?action=profile&amp;prop_id=18392</v>
      </c>
      <c r="N7195" s="111">
        <f t="shared" si="564"/>
        <v>18392</v>
      </c>
    </row>
    <row r="7196" spans="1:14" x14ac:dyDescent="0.3">
      <c r="A7196" s="1">
        <v>18393</v>
      </c>
      <c r="B7196" s="7" t="s">
        <v>10784</v>
      </c>
      <c r="C7196" s="12">
        <v>1</v>
      </c>
      <c r="D7196" s="7" t="s">
        <v>10785</v>
      </c>
      <c r="E7196" s="13" t="s">
        <v>1508</v>
      </c>
      <c r="F7196" t="str">
        <f t="shared" si="560"/>
        <v>Waterway</v>
      </c>
      <c r="G7196" t="str">
        <f t="shared" si="561"/>
        <v>Waterway1The Woodlands</v>
      </c>
      <c r="H7196" t="s">
        <v>38052</v>
      </c>
      <c r="I7196" t="s">
        <v>29468</v>
      </c>
      <c r="J7196" t="str">
        <f t="shared" si="562"/>
        <v>E:\PropInv\MF</v>
      </c>
      <c r="K7196" s="103" t="str">
        <f>HYPERLINK("E:\PropInv\MF\The Woodlands\Waterway Ave_1_The Millennium Waterway_The Woodlands_18393","Waterway Ave_1_The Millennium Waterway_The Woodlands_18393" )</f>
        <v>Waterway Ave_1_The Millennium Waterway_The Woodlands_18393</v>
      </c>
      <c r="L7196" s="104" t="s">
        <v>22253</v>
      </c>
      <c r="M7196" s="103" t="str">
        <f t="shared" si="563"/>
        <v>http://oconnordata.com/mlink/modules/profile/index.cfm?action=profile&amp;prop_id=18393</v>
      </c>
      <c r="N7196" s="1">
        <f t="shared" si="564"/>
        <v>18393</v>
      </c>
    </row>
    <row r="7197" spans="1:14" x14ac:dyDescent="0.3">
      <c r="A7197" s="1">
        <v>18394</v>
      </c>
      <c r="B7197" s="7" t="s">
        <v>805</v>
      </c>
      <c r="C7197" s="12">
        <v>1905</v>
      </c>
      <c r="D7197" s="7" t="s">
        <v>10786</v>
      </c>
      <c r="E7197" s="13" t="s">
        <v>705</v>
      </c>
      <c r="F7197" t="str">
        <f t="shared" si="560"/>
        <v>Lakeline</v>
      </c>
      <c r="G7197" t="str">
        <f t="shared" si="561"/>
        <v>Lakeline1905Cedar Park</v>
      </c>
      <c r="H7197" t="s">
        <v>38053</v>
      </c>
      <c r="I7197" t="s">
        <v>29469</v>
      </c>
      <c r="J7197" t="str">
        <f t="shared" si="562"/>
        <v>E:\PropInv\MF</v>
      </c>
      <c r="K7197" s="103" t="str">
        <f>HYPERLINK("E:\PropInv\MF\Cedar Park\Lakeline Blvd S_1905_Lakeline Oaks_Cedar Park_18394","Lakeline Blvd S_1905_Lakeline Oaks_Cedar Park_18394" )</f>
        <v>Lakeline Blvd S_1905_Lakeline Oaks_Cedar Park_18394</v>
      </c>
      <c r="L7197" s="104" t="s">
        <v>22253</v>
      </c>
      <c r="M7197" s="103" t="str">
        <f t="shared" si="563"/>
        <v>http://oconnordata.com/mlink/modules/profile/index.cfm?action=profile&amp;prop_id=18394</v>
      </c>
      <c r="N7197" s="1">
        <f t="shared" si="564"/>
        <v>18394</v>
      </c>
    </row>
    <row r="7198" spans="1:14" x14ac:dyDescent="0.3">
      <c r="A7198" s="1">
        <v>18395</v>
      </c>
      <c r="B7198" s="7" t="s">
        <v>8302</v>
      </c>
      <c r="C7198" s="12">
        <v>1500</v>
      </c>
      <c r="D7198" s="7" t="s">
        <v>10787</v>
      </c>
      <c r="E7198" s="13" t="s">
        <v>705</v>
      </c>
      <c r="F7198" t="str">
        <f t="shared" si="560"/>
        <v>Lakeline</v>
      </c>
      <c r="G7198" t="str">
        <f t="shared" si="561"/>
        <v>Lakeline1500Cedar Park</v>
      </c>
      <c r="H7198" t="s">
        <v>38054</v>
      </c>
      <c r="I7198" t="s">
        <v>29470</v>
      </c>
      <c r="J7198" t="str">
        <f t="shared" si="562"/>
        <v>E:\PropInv\MF</v>
      </c>
      <c r="K7198" s="103" t="str">
        <f>HYPERLINK("E:\PropInv\MF\Cedar Park\Lakeline Blvd N_1500_Highland Estates_Cedar Park_18395","Lakeline Blvd N_1500_Highland Estates_Cedar Park_18395" )</f>
        <v>Lakeline Blvd N_1500_Highland Estates_Cedar Park_18395</v>
      </c>
      <c r="L7198" s="104" t="s">
        <v>22253</v>
      </c>
      <c r="M7198" s="103" t="str">
        <f t="shared" si="563"/>
        <v>http://oconnordata.com/mlink/modules/profile/index.cfm?action=profile&amp;prop_id=18395</v>
      </c>
      <c r="N7198" s="1">
        <f t="shared" si="564"/>
        <v>18395</v>
      </c>
    </row>
    <row r="7199" spans="1:14" x14ac:dyDescent="0.3">
      <c r="A7199" s="1">
        <v>18396</v>
      </c>
      <c r="B7199" s="19" t="s">
        <v>10788</v>
      </c>
      <c r="C7199" s="18">
        <v>1330</v>
      </c>
      <c r="D7199" s="7" t="s">
        <v>479</v>
      </c>
      <c r="E7199" s="20" t="s">
        <v>7</v>
      </c>
      <c r="F7199" t="str">
        <f t="shared" si="560"/>
        <v>Lamar</v>
      </c>
      <c r="G7199" t="str">
        <f t="shared" si="561"/>
        <v>Lamar1330Austin</v>
      </c>
      <c r="H7199" t="s">
        <v>38055</v>
      </c>
      <c r="I7199" t="s">
        <v>29471</v>
      </c>
      <c r="J7199" t="str">
        <f t="shared" si="562"/>
        <v>E:\PropInv\MF</v>
      </c>
      <c r="K7199" s="103" t="str">
        <f>HYPERLINK("E:\PropInv\MF\Austin\Lamar Sq Dr_1330_The Willows_Austin_18396","Lamar Sq Dr_1330_The Willows_Austin_18396" )</f>
        <v>Lamar Sq Dr_1330_The Willows_Austin_18396</v>
      </c>
      <c r="L7199" s="104" t="s">
        <v>22253</v>
      </c>
      <c r="M7199" s="103" t="str">
        <f t="shared" si="563"/>
        <v>http://oconnordata.com/mlink/modules/profile/index.cfm?action=profile&amp;prop_id=18396</v>
      </c>
      <c r="N7199" s="1">
        <f t="shared" si="564"/>
        <v>18396</v>
      </c>
    </row>
    <row r="7200" spans="1:14" x14ac:dyDescent="0.3">
      <c r="A7200" s="1">
        <v>18397</v>
      </c>
      <c r="B7200" s="7" t="s">
        <v>10789</v>
      </c>
      <c r="C7200" s="12">
        <v>9725</v>
      </c>
      <c r="D7200" s="7" t="s">
        <v>10790</v>
      </c>
      <c r="E7200" s="13" t="s">
        <v>7</v>
      </c>
      <c r="F7200" t="str">
        <f t="shared" si="560"/>
        <v>Lake</v>
      </c>
      <c r="G7200" t="str">
        <f t="shared" si="561"/>
        <v>Lake9725Austin</v>
      </c>
      <c r="H7200" t="s">
        <v>38056</v>
      </c>
      <c r="I7200" t="s">
        <v>29472</v>
      </c>
      <c r="J7200" t="str">
        <f t="shared" si="562"/>
        <v>E:\PropInv\MF</v>
      </c>
      <c r="K7200" s="103" t="str">
        <f>HYPERLINK("E:\PropInv\MF\Austin\Lake Creek Pkwy N_9725_Platinum Lakeline_Austin_18397","Lake Creek Pkwy N_9725_Platinum Lakeline_Austin_18397" )</f>
        <v>Lake Creek Pkwy N_9725_Platinum Lakeline_Austin_18397</v>
      </c>
      <c r="L7200" s="104" t="s">
        <v>22253</v>
      </c>
      <c r="M7200" s="103" t="str">
        <f t="shared" si="563"/>
        <v>http://oconnordata.com/mlink/modules/profile/index.cfm?action=profile&amp;prop_id=18397</v>
      </c>
      <c r="N7200" s="1">
        <f t="shared" si="564"/>
        <v>18397</v>
      </c>
    </row>
    <row r="7201" spans="1:14" x14ac:dyDescent="0.3">
      <c r="A7201" s="1">
        <v>18398</v>
      </c>
      <c r="B7201" s="7" t="s">
        <v>1070</v>
      </c>
      <c r="C7201" s="12">
        <v>10422</v>
      </c>
      <c r="D7201" s="7" t="s">
        <v>10791</v>
      </c>
      <c r="E7201" s="13" t="s">
        <v>842</v>
      </c>
      <c r="F7201" t="str">
        <f t="shared" si="560"/>
        <v>Huebner</v>
      </c>
      <c r="G7201" t="str">
        <f t="shared" si="561"/>
        <v>Huebner10422San Antonio</v>
      </c>
      <c r="H7201" t="s">
        <v>38057</v>
      </c>
      <c r="I7201" t="s">
        <v>29473</v>
      </c>
      <c r="J7201" t="str">
        <f t="shared" si="562"/>
        <v>E:\PropInv\MF</v>
      </c>
      <c r="K7201" s="103" t="str">
        <f>HYPERLINK("E:\PropInv\MF\San Antonio\Huebner Rd_10422_The Preserve on Fredericksburg_San Antonio_18398","Huebner Rd_10422_The Preserve on Fredericksburg_San Antonio_18398" )</f>
        <v>Huebner Rd_10422_The Preserve on Fredericksburg_San Antonio_18398</v>
      </c>
      <c r="L7201" s="104" t="s">
        <v>22253</v>
      </c>
      <c r="M7201" s="103" t="str">
        <f t="shared" si="563"/>
        <v>http://oconnordata.com/mlink/modules/profile/index.cfm?action=profile&amp;prop_id=18398</v>
      </c>
      <c r="N7201" s="1">
        <f t="shared" si="564"/>
        <v>18398</v>
      </c>
    </row>
    <row r="7202" spans="1:14" x14ac:dyDescent="0.3">
      <c r="A7202" s="1">
        <v>18399</v>
      </c>
      <c r="B7202" s="19" t="s">
        <v>10792</v>
      </c>
      <c r="C7202" s="18" t="s">
        <v>2497</v>
      </c>
      <c r="D7202" s="19" t="s">
        <v>10793</v>
      </c>
      <c r="E7202" s="20" t="s">
        <v>1657</v>
      </c>
      <c r="F7202" t="str">
        <f t="shared" si="560"/>
        <v>Burnett</v>
      </c>
      <c r="G7202" t="str">
        <f t="shared" si="561"/>
        <v>BurnettNFHouston</v>
      </c>
      <c r="H7202" t="s">
        <v>38058</v>
      </c>
      <c r="I7202" t="s">
        <v>29474</v>
      </c>
      <c r="J7202" t="str">
        <f t="shared" si="562"/>
        <v>E:\PropInv\MF</v>
      </c>
      <c r="K7202" s="103" t="str">
        <f>HYPERLINK("E:\PropInv\MF\Houston\Burnett St_NF_Hardy Yards Redevelopment_Houston_18399","Burnett St_NF_Hardy Yards Redevelopment_Houston_18399" )</f>
        <v>Burnett St_NF_Hardy Yards Redevelopment_Houston_18399</v>
      </c>
      <c r="L7202" s="104" t="s">
        <v>22253</v>
      </c>
      <c r="M7202" s="103" t="str">
        <f t="shared" si="563"/>
        <v>http://oconnordata.com/mlink/modules/profile/index.cfm?action=profile&amp;prop_id=18399</v>
      </c>
      <c r="N7202" s="1">
        <f t="shared" si="564"/>
        <v>18399</v>
      </c>
    </row>
    <row r="7203" spans="1:14" x14ac:dyDescent="0.3">
      <c r="A7203" s="1">
        <v>18400</v>
      </c>
      <c r="B7203" s="37" t="s">
        <v>10794</v>
      </c>
      <c r="C7203" s="38" t="s">
        <v>2497</v>
      </c>
      <c r="D7203" s="29" t="s">
        <v>10795</v>
      </c>
      <c r="E7203" s="39" t="s">
        <v>4996</v>
      </c>
      <c r="F7203" t="str">
        <f t="shared" si="560"/>
        <v>Cockrell</v>
      </c>
      <c r="G7203" t="str">
        <f t="shared" si="561"/>
        <v>CockrellNFDallas</v>
      </c>
      <c r="H7203" t="s">
        <v>38059</v>
      </c>
      <c r="I7203" t="s">
        <v>29475</v>
      </c>
      <c r="J7203" t="str">
        <f t="shared" si="562"/>
        <v>E:\PropInv\MF</v>
      </c>
      <c r="K7203" s="103" t="str">
        <f>HYPERLINK("E:\PropInv\MF\Dallas\Cockrell Hill Rd N_NF_Pinnacle Ridge Apts II_Dallas_18400","Cockrell Hill Rd N_NF_Pinnacle Ridge Apts II_Dallas_18400" )</f>
        <v>Cockrell Hill Rd N_NF_Pinnacle Ridge Apts II_Dallas_18400</v>
      </c>
      <c r="L7203" s="104" t="s">
        <v>22253</v>
      </c>
      <c r="M7203" s="103" t="str">
        <f t="shared" si="563"/>
        <v>http://oconnordata.com/mlink/modules/profile/index.cfm?action=profile&amp;prop_id=18400</v>
      </c>
      <c r="N7203" s="1">
        <f t="shared" si="564"/>
        <v>18400</v>
      </c>
    </row>
    <row r="7204" spans="1:14" x14ac:dyDescent="0.3">
      <c r="A7204" s="1">
        <v>18401</v>
      </c>
      <c r="B7204" s="37" t="s">
        <v>10796</v>
      </c>
      <c r="C7204" s="38">
        <v>801</v>
      </c>
      <c r="D7204" s="29" t="s">
        <v>10797</v>
      </c>
      <c r="E7204" s="39" t="s">
        <v>4996</v>
      </c>
      <c r="F7204" t="str">
        <f t="shared" si="560"/>
        <v>Madison</v>
      </c>
      <c r="G7204" t="str">
        <f t="shared" si="561"/>
        <v>Madison801Dallas</v>
      </c>
      <c r="H7204" t="s">
        <v>38060</v>
      </c>
      <c r="I7204" t="s">
        <v>29476</v>
      </c>
      <c r="J7204" t="str">
        <f t="shared" si="562"/>
        <v>E:\PropInv\MF</v>
      </c>
      <c r="K7204" s="103" t="str">
        <f>HYPERLINK("E:\PropInv\MF\Dallas\Madison Ave S_801_Notre Dame Court Senior Housing_Dallas_18401","Madison Ave S_801_Notre Dame Court Senior Housing_Dallas_18401" )</f>
        <v>Madison Ave S_801_Notre Dame Court Senior Housing_Dallas_18401</v>
      </c>
      <c r="L7204" s="104" t="s">
        <v>22253</v>
      </c>
      <c r="M7204" s="103" t="str">
        <f t="shared" si="563"/>
        <v>http://oconnordata.com/mlink/modules/profile/index.cfm?action=profile&amp;prop_id=18401</v>
      </c>
      <c r="N7204" s="1">
        <f t="shared" si="564"/>
        <v>18401</v>
      </c>
    </row>
    <row r="7205" spans="1:14" x14ac:dyDescent="0.3">
      <c r="A7205" s="1">
        <v>18404</v>
      </c>
      <c r="B7205" s="7" t="s">
        <v>10798</v>
      </c>
      <c r="C7205" s="12">
        <v>301</v>
      </c>
      <c r="D7205" s="7" t="s">
        <v>10799</v>
      </c>
      <c r="E7205" s="13" t="s">
        <v>5046</v>
      </c>
      <c r="F7205" t="str">
        <f t="shared" si="560"/>
        <v>Las</v>
      </c>
      <c r="G7205" t="str">
        <f t="shared" si="561"/>
        <v>Las301Irving</v>
      </c>
      <c r="H7205" t="s">
        <v>38061</v>
      </c>
      <c r="I7205" t="s">
        <v>29477</v>
      </c>
      <c r="J7205" t="str">
        <f t="shared" si="562"/>
        <v>E:\PropInv\MF</v>
      </c>
      <c r="K7205" s="103" t="str">
        <f>HYPERLINK("E:\PropInv\MF\Irving\Las Colinas Blvd W_301_Monterra at Las Colinas_Irving_18404","Las Colinas Blvd W_301_Monterra at Las Colinas_Irving_18404" )</f>
        <v>Las Colinas Blvd W_301_Monterra at Las Colinas_Irving_18404</v>
      </c>
      <c r="L7205" s="104" t="s">
        <v>22253</v>
      </c>
      <c r="M7205" s="103" t="str">
        <f t="shared" si="563"/>
        <v>http://oconnordata.com/mlink/modules/profile/index.cfm?action=profile&amp;prop_id=18404</v>
      </c>
      <c r="N7205" s="1">
        <f t="shared" si="564"/>
        <v>18404</v>
      </c>
    </row>
    <row r="7206" spans="1:14" x14ac:dyDescent="0.3">
      <c r="A7206" s="1">
        <v>18405</v>
      </c>
      <c r="B7206" s="10" t="s">
        <v>3217</v>
      </c>
      <c r="C7206" s="9">
        <v>12000</v>
      </c>
      <c r="D7206" s="10" t="s">
        <v>9365</v>
      </c>
      <c r="E7206" s="11" t="s">
        <v>1657</v>
      </c>
      <c r="F7206" t="str">
        <f t="shared" si="560"/>
        <v>Fleming</v>
      </c>
      <c r="G7206" t="str">
        <f t="shared" si="561"/>
        <v>Fleming12000Houston</v>
      </c>
      <c r="H7206" t="s">
        <v>38062</v>
      </c>
      <c r="I7206" t="s">
        <v>29478</v>
      </c>
      <c r="J7206" t="str">
        <f t="shared" si="562"/>
        <v>E:\PropInv\MF</v>
      </c>
      <c r="K7206" s="103" t="str">
        <f>HYPERLINK("E:\PropInv\MF\Houston\Fleming Dr_12000_Timber Ridge II_Houston_18405","Fleming Dr_12000_Timber Ridge II_Houston_18405" )</f>
        <v>Fleming Dr_12000_Timber Ridge II_Houston_18405</v>
      </c>
      <c r="L7206" s="104" t="s">
        <v>22253</v>
      </c>
      <c r="M7206" s="103" t="str">
        <f t="shared" si="563"/>
        <v>http://oconnordata.com/mlink/modules/profile/index.cfm?action=profile&amp;prop_id=18405</v>
      </c>
      <c r="N7206" s="1">
        <f t="shared" si="564"/>
        <v>18405</v>
      </c>
    </row>
    <row r="7207" spans="1:14" x14ac:dyDescent="0.3">
      <c r="A7207" s="1">
        <v>18406</v>
      </c>
      <c r="B7207" s="7" t="s">
        <v>10800</v>
      </c>
      <c r="C7207" s="12">
        <v>1400</v>
      </c>
      <c r="D7207" s="7" t="s">
        <v>10801</v>
      </c>
      <c r="E7207" s="13" t="s">
        <v>8765</v>
      </c>
      <c r="F7207" t="str">
        <f t="shared" si="560"/>
        <v>361</v>
      </c>
      <c r="G7207" t="str">
        <f t="shared" si="561"/>
        <v>3611400Mansfield</v>
      </c>
      <c r="H7207" t="s">
        <v>38063</v>
      </c>
      <c r="I7207" t="s">
        <v>29479</v>
      </c>
      <c r="J7207" t="str">
        <f t="shared" si="562"/>
        <v>E:\PropInv\MF</v>
      </c>
      <c r="K7207" s="103" t="str">
        <f>HYPERLINK("E:\PropInv\MF\Mansfield\361 Hwy S_1400_Legends at Lowe's Farm_Mansfield_18406","361 Hwy S_1400_Legends at Lowe's Farm_Mansfield_18406" )</f>
        <v>361 Hwy S_1400_Legends at Lowe's Farm_Mansfield_18406</v>
      </c>
      <c r="L7207" s="104" t="s">
        <v>22253</v>
      </c>
      <c r="M7207" s="103" t="str">
        <f t="shared" si="563"/>
        <v>http://oconnordata.com/mlink/modules/profile/index.cfm?action=profile&amp;prop_id=18406</v>
      </c>
      <c r="N7207" s="1">
        <f t="shared" si="564"/>
        <v>18406</v>
      </c>
    </row>
    <row r="7208" spans="1:14" x14ac:dyDescent="0.3">
      <c r="A7208" s="1">
        <v>18407</v>
      </c>
      <c r="B7208" s="7" t="s">
        <v>10802</v>
      </c>
      <c r="C7208" s="12">
        <v>14301</v>
      </c>
      <c r="D7208" s="7" t="s">
        <v>10803</v>
      </c>
      <c r="E7208" s="13" t="s">
        <v>5014</v>
      </c>
      <c r="F7208" t="str">
        <f t="shared" si="560"/>
        <v>Centre</v>
      </c>
      <c r="G7208" t="str">
        <f t="shared" si="561"/>
        <v>Centre14301Fort Worth</v>
      </c>
      <c r="H7208" t="s">
        <v>38064</v>
      </c>
      <c r="I7208" t="s">
        <v>29480</v>
      </c>
      <c r="J7208" t="str">
        <f t="shared" si="562"/>
        <v>E:\PropInv\MF</v>
      </c>
      <c r="K7208" s="103" t="str">
        <f>HYPERLINK("E:\PropInv\MF\Fort Worth\Centre Station Dr_14301_Broadstone Centreport_Fort Worth_18407","Centre Station Dr_14301_Broadstone Centreport_Fort Worth_18407" )</f>
        <v>Centre Station Dr_14301_Broadstone Centreport_Fort Worth_18407</v>
      </c>
      <c r="L7208" s="104" t="s">
        <v>22253</v>
      </c>
      <c r="M7208" s="103" t="str">
        <f t="shared" si="563"/>
        <v>http://oconnordata.com/mlink/modules/profile/index.cfm?action=profile&amp;prop_id=18407</v>
      </c>
      <c r="N7208" s="1">
        <f t="shared" si="564"/>
        <v>18407</v>
      </c>
    </row>
    <row r="7209" spans="1:14" x14ac:dyDescent="0.3">
      <c r="A7209" s="1">
        <v>18408</v>
      </c>
      <c r="B7209" s="7" t="s">
        <v>10804</v>
      </c>
      <c r="C7209" s="12">
        <v>5609</v>
      </c>
      <c r="D7209" s="7" t="s">
        <v>10805</v>
      </c>
      <c r="E7209" s="13" t="s">
        <v>4996</v>
      </c>
      <c r="F7209" t="str">
        <f t="shared" si="560"/>
        <v>SMU</v>
      </c>
      <c r="G7209" t="str">
        <f t="shared" si="561"/>
        <v>SMU5609Dallas</v>
      </c>
      <c r="H7209" t="s">
        <v>38065</v>
      </c>
      <c r="I7209" t="s">
        <v>29481</v>
      </c>
      <c r="J7209" t="str">
        <f t="shared" si="562"/>
        <v>E:\PropInv\MF</v>
      </c>
      <c r="K7209" s="103" t="str">
        <f>HYPERLINK("E:\PropInv\MF\Dallas\SMU Blvd_5609_The Shelby_Dallas_18408","SMU Blvd_5609_The Shelby_Dallas_18408" )</f>
        <v>SMU Blvd_5609_The Shelby_Dallas_18408</v>
      </c>
      <c r="L7209" s="104" t="s">
        <v>22253</v>
      </c>
      <c r="M7209" s="103" t="str">
        <f t="shared" si="563"/>
        <v>http://oconnordata.com/mlink/modules/profile/index.cfm?action=profile&amp;prop_id=18408</v>
      </c>
      <c r="N7209" s="1">
        <f t="shared" si="564"/>
        <v>18408</v>
      </c>
    </row>
    <row r="7210" spans="1:14" x14ac:dyDescent="0.3">
      <c r="A7210" s="1">
        <v>18409</v>
      </c>
      <c r="B7210" s="7" t="s">
        <v>10804</v>
      </c>
      <c r="C7210" s="12">
        <v>5600</v>
      </c>
      <c r="D7210" s="7" t="s">
        <v>10806</v>
      </c>
      <c r="E7210" s="13" t="s">
        <v>4996</v>
      </c>
      <c r="F7210" t="str">
        <f t="shared" si="560"/>
        <v>SMU</v>
      </c>
      <c r="G7210" t="str">
        <f t="shared" si="561"/>
        <v>SMU5600Dallas</v>
      </c>
      <c r="H7210" t="s">
        <v>38066</v>
      </c>
      <c r="I7210" t="s">
        <v>29482</v>
      </c>
      <c r="J7210" t="str">
        <f t="shared" si="562"/>
        <v>E:\PropInv\MF</v>
      </c>
      <c r="K7210" s="103" t="str">
        <f>HYPERLINK("E:\PropInv\MF\Dallas\SMU Blvd_5600_The BLVD_Dallas_18409","SMU Blvd_5600_The BLVD_Dallas_18409" )</f>
        <v>SMU Blvd_5600_The BLVD_Dallas_18409</v>
      </c>
      <c r="L7210" s="104" t="s">
        <v>22253</v>
      </c>
      <c r="M7210" s="103" t="str">
        <f t="shared" si="563"/>
        <v>http://oconnordata.com/mlink/modules/profile/index.cfm?action=profile&amp;prop_id=18409</v>
      </c>
      <c r="N7210" s="1">
        <f t="shared" si="564"/>
        <v>18409</v>
      </c>
    </row>
    <row r="7211" spans="1:14" x14ac:dyDescent="0.3">
      <c r="A7211" s="1">
        <v>18411</v>
      </c>
      <c r="B7211" s="37" t="s">
        <v>6315</v>
      </c>
      <c r="C7211" s="38">
        <v>9837</v>
      </c>
      <c r="D7211" s="29" t="s">
        <v>10807</v>
      </c>
      <c r="E7211" s="39" t="s">
        <v>4996</v>
      </c>
      <c r="F7211" t="str">
        <f t="shared" si="560"/>
        <v>Central</v>
      </c>
      <c r="G7211" t="str">
        <f t="shared" si="561"/>
        <v>Central9837Dallas</v>
      </c>
      <c r="H7211" t="s">
        <v>38067</v>
      </c>
      <c r="I7211" t="s">
        <v>29483</v>
      </c>
      <c r="J7211" t="str">
        <f t="shared" si="562"/>
        <v>E:\PropInv\MF</v>
      </c>
      <c r="K7211" s="103" t="str">
        <f>HYPERLINK("E:\PropInv\MF\Dallas\Central Expwy N_9837_Glen at Preston Hollow Apts_Dallas_18411","Central Expwy N_9837_Glen at Preston Hollow Apts_Dallas_18411" )</f>
        <v>Central Expwy N_9837_Glen at Preston Hollow Apts_Dallas_18411</v>
      </c>
      <c r="L7211" s="104" t="s">
        <v>22253</v>
      </c>
      <c r="M7211" s="103" t="str">
        <f t="shared" si="563"/>
        <v>http://oconnordata.com/mlink/modules/profile/index.cfm?action=profile&amp;prop_id=18411</v>
      </c>
      <c r="N7211" s="1">
        <f t="shared" si="564"/>
        <v>18411</v>
      </c>
    </row>
    <row r="7212" spans="1:14" x14ac:dyDescent="0.3">
      <c r="A7212" s="1">
        <v>18412</v>
      </c>
      <c r="B7212" s="7" t="s">
        <v>10808</v>
      </c>
      <c r="C7212" s="12" t="s">
        <v>2497</v>
      </c>
      <c r="D7212" s="7" t="s">
        <v>10809</v>
      </c>
      <c r="E7212" s="25" t="s">
        <v>5407</v>
      </c>
      <c r="F7212" t="str">
        <f t="shared" si="560"/>
        <v>Uptown</v>
      </c>
      <c r="G7212" t="str">
        <f t="shared" si="561"/>
        <v>UptownNFCedar Hill</v>
      </c>
      <c r="H7212" t="s">
        <v>38068</v>
      </c>
      <c r="I7212" t="s">
        <v>29484</v>
      </c>
      <c r="J7212" t="str">
        <f t="shared" si="562"/>
        <v>E:\PropInv\MF</v>
      </c>
      <c r="K7212" s="103" t="str">
        <f>HYPERLINK("E:\PropInv\MF\Cedar Hill\Uptown Blvd_NF_Forestar Uptown Cedar Hill_Cedar Hill_18412","Uptown Blvd_NF_Forestar Uptown Cedar Hill_Cedar Hill_18412" )</f>
        <v>Uptown Blvd_NF_Forestar Uptown Cedar Hill_Cedar Hill_18412</v>
      </c>
      <c r="L7212" s="104" t="s">
        <v>22253</v>
      </c>
      <c r="M7212" s="103" t="str">
        <f t="shared" si="563"/>
        <v>http://oconnordata.com/mlink/modules/profile/index.cfm?action=profile&amp;prop_id=18412</v>
      </c>
      <c r="N7212" s="1">
        <f t="shared" si="564"/>
        <v>18412</v>
      </c>
    </row>
    <row r="7213" spans="1:14" x14ac:dyDescent="0.3">
      <c r="A7213" s="1">
        <v>18414</v>
      </c>
      <c r="B7213" s="7" t="s">
        <v>93</v>
      </c>
      <c r="C7213" s="12">
        <v>3809</v>
      </c>
      <c r="D7213" s="7" t="s">
        <v>10810</v>
      </c>
      <c r="E7213" s="13" t="s">
        <v>7</v>
      </c>
      <c r="F7213" t="str">
        <f t="shared" si="560"/>
        <v>Congress</v>
      </c>
      <c r="G7213" t="str">
        <f t="shared" si="561"/>
        <v>Congress3809Austin</v>
      </c>
      <c r="H7213" t="s">
        <v>38069</v>
      </c>
      <c r="I7213" t="s">
        <v>29485</v>
      </c>
      <c r="J7213" t="str">
        <f t="shared" si="562"/>
        <v>E:\PropInv\MF</v>
      </c>
      <c r="K7213" s="103" t="str">
        <f>HYPERLINK("E:\PropInv\MF\Austin\Congress Ave S_3809_Berkshire SoCo_Austin_18414","Congress Ave S_3809_Berkshire SoCo_Austin_18414" )</f>
        <v>Congress Ave S_3809_Berkshire SoCo_Austin_18414</v>
      </c>
      <c r="L7213" s="104" t="s">
        <v>22253</v>
      </c>
      <c r="M7213" s="103" t="str">
        <f t="shared" si="563"/>
        <v>http://oconnordata.com/mlink/modules/profile/index.cfm?action=profile&amp;prop_id=18414</v>
      </c>
      <c r="N7213" s="1">
        <f t="shared" si="564"/>
        <v>18414</v>
      </c>
    </row>
    <row r="7214" spans="1:14" x14ac:dyDescent="0.3">
      <c r="A7214" s="1">
        <v>18415</v>
      </c>
      <c r="B7214" s="7" t="s">
        <v>8349</v>
      </c>
      <c r="C7214" s="12">
        <v>901</v>
      </c>
      <c r="D7214" s="7" t="s">
        <v>10811</v>
      </c>
      <c r="E7214" s="13" t="s">
        <v>7</v>
      </c>
      <c r="F7214" t="str">
        <f t="shared" si="560"/>
        <v>Red</v>
      </c>
      <c r="G7214" t="str">
        <f t="shared" si="561"/>
        <v>Red901Austin</v>
      </c>
      <c r="H7214" t="s">
        <v>38070</v>
      </c>
      <c r="I7214" t="s">
        <v>29486</v>
      </c>
      <c r="J7214" t="str">
        <f t="shared" si="562"/>
        <v>E:\PropInv\MF</v>
      </c>
      <c r="K7214" s="103" t="str">
        <f>HYPERLINK("E:\PropInv\MF\Austin\Red River_901_Red River Flats_Austin_18415","Red River_901_Red River Flats_Austin_18415" )</f>
        <v>Red River_901_Red River Flats_Austin_18415</v>
      </c>
      <c r="L7214" s="104" t="s">
        <v>22253</v>
      </c>
      <c r="M7214" s="103" t="str">
        <f t="shared" si="563"/>
        <v>http://oconnordata.com/mlink/modules/profile/index.cfm?action=profile&amp;prop_id=18415</v>
      </c>
      <c r="N7214" s="1">
        <f t="shared" si="564"/>
        <v>18415</v>
      </c>
    </row>
    <row r="7215" spans="1:14" x14ac:dyDescent="0.3">
      <c r="A7215" s="1">
        <v>18417</v>
      </c>
      <c r="B7215" s="36" t="s">
        <v>10812</v>
      </c>
      <c r="C7215" s="40">
        <v>17671</v>
      </c>
      <c r="D7215" s="36" t="s">
        <v>10813</v>
      </c>
      <c r="E7215" s="41" t="s">
        <v>4996</v>
      </c>
      <c r="F7215" t="str">
        <f t="shared" si="560"/>
        <v>Addison</v>
      </c>
      <c r="G7215" t="str">
        <f t="shared" si="561"/>
        <v>Addison17671Dallas</v>
      </c>
      <c r="H7215" t="s">
        <v>38071</v>
      </c>
      <c r="I7215" t="s">
        <v>29487</v>
      </c>
      <c r="J7215" t="str">
        <f t="shared" si="562"/>
        <v>E:\PropInv\MF</v>
      </c>
      <c r="K7215" s="103" t="str">
        <f>HYPERLINK("E:\PropInv\MF\Dallas\Addison Rd_17671_ALARA Villages of Addison_Dallas_18417","Addison Rd_17671_ALARA Villages of Addison_Dallas_18417" )</f>
        <v>Addison Rd_17671_ALARA Villages of Addison_Dallas_18417</v>
      </c>
      <c r="L7215" s="104" t="s">
        <v>22253</v>
      </c>
      <c r="M7215" s="103" t="str">
        <f t="shared" si="563"/>
        <v>http://oconnordata.com/mlink/modules/profile/index.cfm?action=profile&amp;prop_id=18417</v>
      </c>
      <c r="N7215" s="1">
        <f t="shared" si="564"/>
        <v>18417</v>
      </c>
    </row>
    <row r="7216" spans="1:14" x14ac:dyDescent="0.3">
      <c r="A7216" s="1">
        <v>18419</v>
      </c>
      <c r="B7216" s="7" t="s">
        <v>8453</v>
      </c>
      <c r="C7216" s="12">
        <v>2914</v>
      </c>
      <c r="D7216" s="7" t="s">
        <v>10814</v>
      </c>
      <c r="E7216" s="13" t="s">
        <v>842</v>
      </c>
      <c r="F7216" t="str">
        <f t="shared" si="560"/>
        <v>Roosevelt</v>
      </c>
      <c r="G7216" t="str">
        <f t="shared" si="561"/>
        <v>Roosevelt2914San Antonio</v>
      </c>
      <c r="H7216" t="s">
        <v>38072</v>
      </c>
      <c r="I7216" t="s">
        <v>29488</v>
      </c>
      <c r="J7216" t="str">
        <f t="shared" si="562"/>
        <v>E:\PropInv\MF</v>
      </c>
      <c r="K7216" s="103" t="str">
        <f>HYPERLINK("E:\PropInv\MF\San Antonio\Roosevelt Ave_2914_San Jose Apts_San Antonio_18419","Roosevelt Ave_2914_San Jose Apts_San Antonio_18419" )</f>
        <v>Roosevelt Ave_2914_San Jose Apts_San Antonio_18419</v>
      </c>
      <c r="L7216" s="104" t="s">
        <v>22253</v>
      </c>
      <c r="M7216" s="103" t="str">
        <f t="shared" si="563"/>
        <v>http://oconnordata.com/mlink/modules/profile/index.cfm?action=profile&amp;prop_id=18419</v>
      </c>
      <c r="N7216" s="1">
        <f t="shared" si="564"/>
        <v>18419</v>
      </c>
    </row>
    <row r="7217" spans="1:14" x14ac:dyDescent="0.3">
      <c r="A7217" s="1">
        <v>18420</v>
      </c>
      <c r="B7217" s="7" t="s">
        <v>10815</v>
      </c>
      <c r="C7217" s="12">
        <v>12200</v>
      </c>
      <c r="D7217" s="7" t="s">
        <v>10816</v>
      </c>
      <c r="E7217" s="13" t="s">
        <v>1329</v>
      </c>
      <c r="F7217" t="str">
        <f t="shared" si="560"/>
        <v>11th</v>
      </c>
      <c r="G7217" t="str">
        <f t="shared" si="561"/>
        <v>11th12200Santa Fe</v>
      </c>
      <c r="H7217" t="s">
        <v>38073</v>
      </c>
      <c r="I7217" t="s">
        <v>29489</v>
      </c>
      <c r="J7217" t="str">
        <f t="shared" si="562"/>
        <v>E:\PropInv\MF</v>
      </c>
      <c r="K7217" s="103" t="str">
        <f>HYPERLINK("E:\PropInv\MF\Santa Fe\11th St_12200_Santa Fe Plaza_Santa Fe_18420","11th St_12200_Santa Fe Plaza_Santa Fe_18420" )</f>
        <v>11th St_12200_Santa Fe Plaza_Santa Fe_18420</v>
      </c>
      <c r="L7217" s="104" t="s">
        <v>22253</v>
      </c>
      <c r="M7217" s="103" t="str">
        <f t="shared" si="563"/>
        <v>http://oconnordata.com/mlink/modules/profile/index.cfm?action=profile&amp;prop_id=18420</v>
      </c>
      <c r="N7217" s="1">
        <f t="shared" si="564"/>
        <v>18420</v>
      </c>
    </row>
    <row r="7218" spans="1:14" x14ac:dyDescent="0.3">
      <c r="A7218" s="1">
        <v>18421</v>
      </c>
      <c r="B7218" s="7" t="s">
        <v>10109</v>
      </c>
      <c r="C7218" s="12">
        <v>451</v>
      </c>
      <c r="D7218" s="7" t="s">
        <v>10817</v>
      </c>
      <c r="E7218" s="13" t="s">
        <v>1138</v>
      </c>
      <c r="F7218" t="str">
        <f t="shared" si="560"/>
        <v>Clearwater</v>
      </c>
      <c r="G7218" t="str">
        <f t="shared" si="561"/>
        <v>Clearwater451Kerrville</v>
      </c>
      <c r="H7218" t="s">
        <v>38074</v>
      </c>
      <c r="I7218" t="s">
        <v>29490</v>
      </c>
      <c r="J7218" t="str">
        <f t="shared" si="562"/>
        <v>E:\PropInv\MF</v>
      </c>
      <c r="K7218" s="103" t="str">
        <f>HYPERLINK("E:\PropInv\MF\Kerrville\Clearwater Paseo_451_Gardens at Clearwater_Kerrville_18421","Clearwater Paseo_451_Gardens at Clearwater_Kerrville_18421" )</f>
        <v>Clearwater Paseo_451_Gardens at Clearwater_Kerrville_18421</v>
      </c>
      <c r="L7218" s="104" t="s">
        <v>22253</v>
      </c>
      <c r="M7218" s="103" t="str">
        <f t="shared" si="563"/>
        <v>http://oconnordata.com/mlink/modules/profile/index.cfm?action=profile&amp;prop_id=18421</v>
      </c>
      <c r="N7218" s="1">
        <f t="shared" si="564"/>
        <v>18421</v>
      </c>
    </row>
    <row r="7219" spans="1:14" x14ac:dyDescent="0.3">
      <c r="A7219" s="1">
        <v>18422</v>
      </c>
      <c r="B7219" s="7" t="s">
        <v>10818</v>
      </c>
      <c r="C7219" s="12" t="s">
        <v>10819</v>
      </c>
      <c r="D7219" s="7" t="s">
        <v>10820</v>
      </c>
      <c r="E7219" s="13" t="s">
        <v>4563</v>
      </c>
      <c r="F7219" t="str">
        <f t="shared" si="560"/>
        <v>517</v>
      </c>
      <c r="G7219" t="str">
        <f t="shared" si="561"/>
        <v>5171100 BlkLeague City</v>
      </c>
      <c r="H7219" t="s">
        <v>38075</v>
      </c>
      <c r="I7219" t="s">
        <v>29491</v>
      </c>
      <c r="J7219" t="str">
        <f t="shared" si="562"/>
        <v>E:\PropInv\MF</v>
      </c>
      <c r="K7219" s="103" t="str">
        <f>HYPERLINK("E:\PropInv\MF\League City\517 FM_1100 Blk_Mariposa at Bay Colony_League City_18422","517 FM_1100 Blk_Mariposa at Bay Colony_League City_18422" )</f>
        <v>517 FM_1100 Blk_Mariposa at Bay Colony_League City_18422</v>
      </c>
      <c r="L7219" s="104" t="s">
        <v>22253</v>
      </c>
      <c r="M7219" s="103" t="str">
        <f t="shared" si="563"/>
        <v>http://oconnordata.com/mlink/modules/profile/index.cfm?action=profile&amp;prop_id=18422</v>
      </c>
      <c r="N7219" s="1">
        <f t="shared" si="564"/>
        <v>18422</v>
      </c>
    </row>
    <row r="7220" spans="1:14" x14ac:dyDescent="0.3">
      <c r="A7220" s="1">
        <v>18424</v>
      </c>
      <c r="B7220" s="7" t="s">
        <v>10815</v>
      </c>
      <c r="C7220" s="12">
        <v>12402</v>
      </c>
      <c r="D7220" s="7" t="s">
        <v>10674</v>
      </c>
      <c r="E7220" s="13" t="s">
        <v>1329</v>
      </c>
      <c r="F7220" t="str">
        <f t="shared" si="560"/>
        <v>11th</v>
      </c>
      <c r="G7220" t="str">
        <f t="shared" si="561"/>
        <v>11th12402Santa Fe</v>
      </c>
      <c r="H7220" t="s">
        <v>38076</v>
      </c>
      <c r="I7220" t="s">
        <v>29492</v>
      </c>
      <c r="J7220" t="str">
        <f t="shared" si="562"/>
        <v>E:\PropInv\MF</v>
      </c>
      <c r="K7220" s="103" t="str">
        <f>HYPERLINK("E:\PropInv\MF\Santa Fe\11th St_12402_Heritage Crossing_Santa Fe_18424","11th St_12402_Heritage Crossing_Santa Fe_18424" )</f>
        <v>11th St_12402_Heritage Crossing_Santa Fe_18424</v>
      </c>
      <c r="L7220" s="104" t="s">
        <v>22253</v>
      </c>
      <c r="M7220" s="103" t="str">
        <f t="shared" si="563"/>
        <v>http://oconnordata.com/mlink/modules/profile/index.cfm?action=profile&amp;prop_id=18424</v>
      </c>
      <c r="N7220" s="1">
        <f t="shared" si="564"/>
        <v>18424</v>
      </c>
    </row>
    <row r="7221" spans="1:14" x14ac:dyDescent="0.3">
      <c r="A7221" s="1">
        <v>18425</v>
      </c>
      <c r="B7221" s="7" t="s">
        <v>3118</v>
      </c>
      <c r="C7221" s="12">
        <v>1903</v>
      </c>
      <c r="D7221" s="7" t="s">
        <v>10821</v>
      </c>
      <c r="E7221" s="13" t="s">
        <v>4673</v>
      </c>
      <c r="F7221" t="str">
        <f t="shared" si="560"/>
        <v>Main</v>
      </c>
      <c r="G7221" t="str">
        <f t="shared" si="561"/>
        <v>Main1903La Marque</v>
      </c>
      <c r="H7221" t="s">
        <v>38077</v>
      </c>
      <c r="I7221" t="s">
        <v>29493</v>
      </c>
      <c r="J7221" t="str">
        <f t="shared" si="562"/>
        <v>E:\PropInv\MF</v>
      </c>
      <c r="K7221" s="103" t="str">
        <f>HYPERLINK("E:\PropInv\MF\La Marque\Main St_1903_Horizon Meadows_La Marque_18425","Main St_1903_Horizon Meadows_La Marque_18425" )</f>
        <v>Main St_1903_Horizon Meadows_La Marque_18425</v>
      </c>
      <c r="L7221" s="104" t="s">
        <v>22253</v>
      </c>
      <c r="M7221" s="103" t="str">
        <f t="shared" si="563"/>
        <v>http://oconnordata.com/mlink/modules/profile/index.cfm?action=profile&amp;prop_id=18425</v>
      </c>
      <c r="N7221" s="1">
        <f t="shared" si="564"/>
        <v>18425</v>
      </c>
    </row>
    <row r="7222" spans="1:14" x14ac:dyDescent="0.3">
      <c r="A7222" s="1">
        <v>18426</v>
      </c>
      <c r="B7222" s="7" t="s">
        <v>1772</v>
      </c>
      <c r="C7222" s="12">
        <v>16354</v>
      </c>
      <c r="D7222" s="7" t="s">
        <v>10822</v>
      </c>
      <c r="E7222" s="13" t="s">
        <v>1657</v>
      </c>
      <c r="F7222" t="str">
        <f t="shared" si="560"/>
        <v>Ella</v>
      </c>
      <c r="G7222" t="str">
        <f t="shared" si="561"/>
        <v>Ella16354Houston</v>
      </c>
      <c r="H7222" t="s">
        <v>38078</v>
      </c>
      <c r="I7222" t="s">
        <v>29494</v>
      </c>
      <c r="J7222" t="str">
        <f t="shared" si="562"/>
        <v>E:\PropInv\MF</v>
      </c>
      <c r="K7222" s="103" t="str">
        <f>HYPERLINK("E:\PropInv\MF\Houston\Ella Blvd_16354_Mariposa at Ella Boulevard_Houston_18426","Ella Blvd_16354_Mariposa at Ella Boulevard_Houston_18426" )</f>
        <v>Ella Blvd_16354_Mariposa at Ella Boulevard_Houston_18426</v>
      </c>
      <c r="L7222" s="104" t="s">
        <v>22253</v>
      </c>
      <c r="M7222" s="103" t="str">
        <f t="shared" si="563"/>
        <v>http://oconnordata.com/mlink/modules/profile/index.cfm?action=profile&amp;prop_id=18426</v>
      </c>
      <c r="N7222" s="1">
        <f t="shared" si="564"/>
        <v>18426</v>
      </c>
    </row>
    <row r="7223" spans="1:14" x14ac:dyDescent="0.3">
      <c r="A7223" s="1">
        <v>18428</v>
      </c>
      <c r="B7223" s="7" t="s">
        <v>10823</v>
      </c>
      <c r="C7223" s="12">
        <v>9835</v>
      </c>
      <c r="D7223" s="7" t="s">
        <v>10824</v>
      </c>
      <c r="E7223" s="13" t="s">
        <v>1763</v>
      </c>
      <c r="F7223" t="str">
        <f t="shared" si="560"/>
        <v>Sam</v>
      </c>
      <c r="G7223" t="str">
        <f t="shared" si="561"/>
        <v>Sam9835Humble</v>
      </c>
      <c r="H7223" t="s">
        <v>38079</v>
      </c>
      <c r="I7223" t="s">
        <v>29495</v>
      </c>
      <c r="J7223" t="str">
        <f t="shared" si="562"/>
        <v>E:\PropInv\MF</v>
      </c>
      <c r="K7223" s="103" t="str">
        <f>HYPERLINK("E:\PropInv\MF\Humble\Sam Houston Pkwy N_9835_Sierra Meadows_Humble_18428","Sam Houston Pkwy N_9835_Sierra Meadows_Humble_18428" )</f>
        <v>Sam Houston Pkwy N_9835_Sierra Meadows_Humble_18428</v>
      </c>
      <c r="L7223" s="104" t="s">
        <v>22253</v>
      </c>
      <c r="M7223" s="103" t="str">
        <f t="shared" si="563"/>
        <v>http://oconnordata.com/mlink/modules/profile/index.cfm?action=profile&amp;prop_id=18428</v>
      </c>
      <c r="N7223" s="1">
        <f t="shared" si="564"/>
        <v>18428</v>
      </c>
    </row>
    <row r="7224" spans="1:14" x14ac:dyDescent="0.3">
      <c r="A7224" s="1">
        <v>18431</v>
      </c>
      <c r="B7224" s="7" t="s">
        <v>9330</v>
      </c>
      <c r="C7224" s="12">
        <v>19501</v>
      </c>
      <c r="D7224" s="7" t="s">
        <v>10825</v>
      </c>
      <c r="E7224" s="13" t="s">
        <v>2198</v>
      </c>
      <c r="F7224" t="str">
        <f t="shared" si="560"/>
        <v>Little</v>
      </c>
      <c r="G7224" t="str">
        <f t="shared" si="561"/>
        <v>Little19501Katy</v>
      </c>
      <c r="H7224" t="s">
        <v>38080</v>
      </c>
      <c r="I7224" t="s">
        <v>29496</v>
      </c>
      <c r="J7224" t="str">
        <f t="shared" si="562"/>
        <v>E:\PropInv\MF</v>
      </c>
      <c r="K7224" s="103" t="str">
        <f>HYPERLINK("E:\PropInv\MF\Katy\Little York Rd W_19501_Trebah Village_Katy_18431","Little York Rd W_19501_Trebah Village_Katy_18431" )</f>
        <v>Little York Rd W_19501_Trebah Village_Katy_18431</v>
      </c>
      <c r="L7224" s="104" t="s">
        <v>22253</v>
      </c>
      <c r="M7224" s="103" t="str">
        <f t="shared" si="563"/>
        <v>http://oconnordata.com/mlink/modules/profile/index.cfm?action=profile&amp;prop_id=18431</v>
      </c>
      <c r="N7224" s="1">
        <f t="shared" si="564"/>
        <v>18431</v>
      </c>
    </row>
    <row r="7225" spans="1:14" x14ac:dyDescent="0.3">
      <c r="A7225" s="1">
        <v>18432</v>
      </c>
      <c r="B7225" s="7" t="s">
        <v>10826</v>
      </c>
      <c r="C7225" s="12">
        <v>2243</v>
      </c>
      <c r="D7225" s="7" t="s">
        <v>10827</v>
      </c>
      <c r="E7225" s="13" t="s">
        <v>2198</v>
      </c>
      <c r="F7225" t="str">
        <f t="shared" si="560"/>
        <v>Mason</v>
      </c>
      <c r="G7225" t="str">
        <f t="shared" si="561"/>
        <v>Mason2243Katy</v>
      </c>
      <c r="H7225" t="s">
        <v>38081</v>
      </c>
      <c r="I7225" t="s">
        <v>29497</v>
      </c>
      <c r="J7225" t="str">
        <f t="shared" si="562"/>
        <v>E:\PropInv\MF</v>
      </c>
      <c r="K7225" s="103" t="str">
        <f>HYPERLINK("E:\PropInv\MF\Katy\Mason Rd N_2243_Mason Senior AH_Katy_18432","Mason Rd N_2243_Mason Senior AH_Katy_18432" )</f>
        <v>Mason Rd N_2243_Mason Senior AH_Katy_18432</v>
      </c>
      <c r="L7225" s="104" t="s">
        <v>22253</v>
      </c>
      <c r="M7225" s="103" t="str">
        <f t="shared" si="563"/>
        <v>http://oconnordata.com/mlink/modules/profile/index.cfm?action=profile&amp;prop_id=18432</v>
      </c>
      <c r="N7225" s="1">
        <f t="shared" si="564"/>
        <v>18432</v>
      </c>
    </row>
    <row r="7226" spans="1:14" x14ac:dyDescent="0.3">
      <c r="A7226" s="1">
        <v>18433</v>
      </c>
      <c r="B7226" s="7" t="s">
        <v>6822</v>
      </c>
      <c r="C7226" s="12">
        <v>3800</v>
      </c>
      <c r="D7226" s="7" t="s">
        <v>10828</v>
      </c>
      <c r="E7226" s="13" t="s">
        <v>6578</v>
      </c>
      <c r="F7226" t="str">
        <f t="shared" si="560"/>
        <v>Grapevine</v>
      </c>
      <c r="G7226" t="str">
        <f t="shared" si="561"/>
        <v>Grapevine3800Grapevine</v>
      </c>
      <c r="H7226" t="s">
        <v>38082</v>
      </c>
      <c r="I7226" t="s">
        <v>29498</v>
      </c>
      <c r="J7226" t="str">
        <f t="shared" si="562"/>
        <v>E:\PropInv\MF</v>
      </c>
      <c r="K7226" s="103" t="str">
        <f>HYPERLINK("E:\PropInv\MF\Grapevine\Grapevine Mills Pkwy_3800_Camden Riverwalk II, The Estates_Grapevine_18433","Grapevine Mills Pkwy_3800_Camden Riverwalk II, The Estates_Grapevine_18433" )</f>
        <v>Grapevine Mills Pkwy_3800_Camden Riverwalk II, The Estates_Grapevine_18433</v>
      </c>
      <c r="L7226" s="104" t="s">
        <v>22253</v>
      </c>
      <c r="M7226" s="103" t="str">
        <f t="shared" si="563"/>
        <v>http://oconnordata.com/mlink/modules/profile/index.cfm?action=profile&amp;prop_id=18433</v>
      </c>
      <c r="N7226" s="1">
        <f t="shared" si="564"/>
        <v>18433</v>
      </c>
    </row>
    <row r="7227" spans="1:14" x14ac:dyDescent="0.3">
      <c r="A7227" s="1">
        <v>18434</v>
      </c>
      <c r="B7227" s="7" t="s">
        <v>1308</v>
      </c>
      <c r="C7227" s="12">
        <v>1343</v>
      </c>
      <c r="D7227" s="7" t="s">
        <v>10829</v>
      </c>
      <c r="E7227" s="13" t="s">
        <v>1138</v>
      </c>
      <c r="F7227" t="str">
        <f t="shared" si="560"/>
        <v>Bandera</v>
      </c>
      <c r="G7227" t="str">
        <f t="shared" si="561"/>
        <v>Bandera1343Kerrville</v>
      </c>
      <c r="H7227" t="s">
        <v>38083</v>
      </c>
      <c r="I7227" t="s">
        <v>29499</v>
      </c>
      <c r="J7227" t="str">
        <f t="shared" si="562"/>
        <v>E:\PropInv\MF</v>
      </c>
      <c r="K7227" s="103" t="str">
        <f>HYPERLINK("E:\PropInv\MF\Kerrville\Bandera Hwy_1343_Rio Verde_Kerrville_18434","Bandera Hwy_1343_Rio Verde_Kerrville_18434" )</f>
        <v>Bandera Hwy_1343_Rio Verde_Kerrville_18434</v>
      </c>
      <c r="L7227" s="104" t="s">
        <v>22253</v>
      </c>
      <c r="M7227" s="103" t="str">
        <f t="shared" si="563"/>
        <v>http://oconnordata.com/mlink/modules/profile/index.cfm?action=profile&amp;prop_id=18434</v>
      </c>
      <c r="N7227" s="1">
        <f t="shared" si="564"/>
        <v>18434</v>
      </c>
    </row>
    <row r="7228" spans="1:14" x14ac:dyDescent="0.3">
      <c r="A7228" s="1">
        <v>18435</v>
      </c>
      <c r="B7228" s="7" t="s">
        <v>2981</v>
      </c>
      <c r="C7228" s="12">
        <v>8850</v>
      </c>
      <c r="D7228" s="7" t="s">
        <v>10830</v>
      </c>
      <c r="E7228" s="13" t="s">
        <v>1657</v>
      </c>
      <c r="F7228" t="str">
        <f t="shared" si="560"/>
        <v>Chimney</v>
      </c>
      <c r="G7228" t="str">
        <f t="shared" si="561"/>
        <v>Chimney8850Houston</v>
      </c>
      <c r="H7228" t="s">
        <v>38084</v>
      </c>
      <c r="I7228" t="s">
        <v>29500</v>
      </c>
      <c r="J7228" t="str">
        <f t="shared" si="562"/>
        <v>E:\PropInv\MF</v>
      </c>
      <c r="K7228" s="103" t="str">
        <f>HYPERLINK("E:\PropInv\MF\Houston\Chimney Rock_8850_The Villages at Meyerland I_Houston_18435","Chimney Rock_8850_The Villages at Meyerland I_Houston_18435" )</f>
        <v>Chimney Rock_8850_The Villages at Meyerland I_Houston_18435</v>
      </c>
      <c r="L7228" s="104" t="s">
        <v>22253</v>
      </c>
      <c r="M7228" s="103" t="str">
        <f t="shared" si="563"/>
        <v>http://oconnordata.com/mlink/modules/profile/index.cfm?action=profile&amp;prop_id=18435</v>
      </c>
      <c r="N7228" s="1">
        <f t="shared" si="564"/>
        <v>18435</v>
      </c>
    </row>
    <row r="7229" spans="1:14" x14ac:dyDescent="0.3">
      <c r="A7229" s="1">
        <v>18436</v>
      </c>
      <c r="B7229" s="7" t="s">
        <v>2981</v>
      </c>
      <c r="C7229" s="12">
        <v>8950</v>
      </c>
      <c r="D7229" s="7" t="s">
        <v>10831</v>
      </c>
      <c r="E7229" s="13" t="s">
        <v>1657</v>
      </c>
      <c r="F7229" t="str">
        <f t="shared" si="560"/>
        <v>Chimney</v>
      </c>
      <c r="G7229" t="str">
        <f t="shared" si="561"/>
        <v>Chimney8950Houston</v>
      </c>
      <c r="H7229" t="s">
        <v>38085</v>
      </c>
      <c r="I7229" t="s">
        <v>29501</v>
      </c>
      <c r="J7229" t="str">
        <f t="shared" si="562"/>
        <v>E:\PropInv\MF</v>
      </c>
      <c r="K7229" s="103" t="str">
        <f>HYPERLINK("E:\PropInv\MF\Houston\Chimney Rock_8950_The Villages at Meyerland III_Houston_18436","Chimney Rock_8950_The Villages at Meyerland III_Houston_18436" )</f>
        <v>Chimney Rock_8950_The Villages at Meyerland III_Houston_18436</v>
      </c>
      <c r="L7229" s="104" t="s">
        <v>22253</v>
      </c>
      <c r="M7229" s="103" t="str">
        <f t="shared" si="563"/>
        <v>http://oconnordata.com/mlink/modules/profile/index.cfm?action=profile&amp;prop_id=18436</v>
      </c>
      <c r="N7229" s="1">
        <f t="shared" si="564"/>
        <v>18436</v>
      </c>
    </row>
    <row r="7230" spans="1:14" x14ac:dyDescent="0.3">
      <c r="A7230" s="1">
        <v>18437</v>
      </c>
      <c r="B7230" s="7" t="s">
        <v>1925</v>
      </c>
      <c r="C7230" s="12">
        <v>11707</v>
      </c>
      <c r="D7230" s="7" t="s">
        <v>10832</v>
      </c>
      <c r="E7230" s="13" t="s">
        <v>1657</v>
      </c>
      <c r="F7230" t="str">
        <f t="shared" si="560"/>
        <v>Fallbrook</v>
      </c>
      <c r="G7230" t="str">
        <f t="shared" si="561"/>
        <v>Fallbrook11707Houston</v>
      </c>
      <c r="H7230" t="s">
        <v>38086</v>
      </c>
      <c r="I7230" t="s">
        <v>29502</v>
      </c>
      <c r="J7230" t="str">
        <f t="shared" si="562"/>
        <v>E:\PropInv\MF</v>
      </c>
      <c r="K7230" s="103" t="str">
        <f>HYPERLINK("E:\PropInv\MF\Houston\Fallbrook Dr_11707_Mansions at Hastings Green Senior Housing_Houston_18437","Fallbrook Dr_11707_Mansions at Hastings Green Senior Housing_Houston_18437" )</f>
        <v>Fallbrook Dr_11707_Mansions at Hastings Green Senior Housing_Houston_18437</v>
      </c>
      <c r="L7230" s="104" t="s">
        <v>22253</v>
      </c>
      <c r="M7230" s="103" t="str">
        <f t="shared" si="563"/>
        <v>http://oconnordata.com/mlink/modules/profile/index.cfm?action=profile&amp;prop_id=18437</v>
      </c>
      <c r="N7230" s="1">
        <f t="shared" si="564"/>
        <v>18437</v>
      </c>
    </row>
    <row r="7231" spans="1:14" x14ac:dyDescent="0.3">
      <c r="A7231" s="1">
        <v>18438</v>
      </c>
      <c r="B7231" s="7" t="s">
        <v>9330</v>
      </c>
      <c r="C7231" s="12">
        <v>3230</v>
      </c>
      <c r="D7231" s="7" t="s">
        <v>10833</v>
      </c>
      <c r="E7231" s="13" t="s">
        <v>1657</v>
      </c>
      <c r="F7231" t="str">
        <f t="shared" si="560"/>
        <v>Little</v>
      </c>
      <c r="G7231" t="str">
        <f t="shared" si="561"/>
        <v>Little3230Houston</v>
      </c>
      <c r="H7231" t="s">
        <v>38087</v>
      </c>
      <c r="I7231" t="s">
        <v>29503</v>
      </c>
      <c r="J7231" t="str">
        <f t="shared" si="562"/>
        <v>E:\PropInv\MF</v>
      </c>
      <c r="K7231" s="103" t="str">
        <f>HYPERLINK("E:\PropInv\MF\Houston\Little York Rd W_3230_Chelsea Senior Community_Houston_18438","Little York Rd W_3230_Chelsea Senior Community_Houston_18438" )</f>
        <v>Little York Rd W_3230_Chelsea Senior Community_Houston_18438</v>
      </c>
      <c r="L7231" s="104" t="s">
        <v>22253</v>
      </c>
      <c r="M7231" s="103" t="str">
        <f t="shared" si="563"/>
        <v>http://oconnordata.com/mlink/modules/profile/index.cfm?action=profile&amp;prop_id=18438</v>
      </c>
      <c r="N7231" s="1">
        <f t="shared" si="564"/>
        <v>18438</v>
      </c>
    </row>
    <row r="7232" spans="1:14" x14ac:dyDescent="0.3">
      <c r="A7232" s="1">
        <v>18440</v>
      </c>
      <c r="B7232" s="7" t="s">
        <v>10834</v>
      </c>
      <c r="C7232" s="12">
        <v>401</v>
      </c>
      <c r="D7232" s="7" t="s">
        <v>10835</v>
      </c>
      <c r="E7232" s="13" t="s">
        <v>842</v>
      </c>
      <c r="F7232" t="str">
        <f t="shared" si="560"/>
        <v>Santos</v>
      </c>
      <c r="G7232" t="str">
        <f t="shared" si="561"/>
        <v>Santos401San Antonio</v>
      </c>
      <c r="H7232" t="s">
        <v>38088</v>
      </c>
      <c r="I7232" t="s">
        <v>29504</v>
      </c>
      <c r="J7232" t="str">
        <f t="shared" si="562"/>
        <v>E:\PropInv\MF</v>
      </c>
      <c r="K7232" s="103" t="str">
        <f>HYPERLINK("E:\PropInv\MF\San Antonio\Santos St_401_HemisView Village_San Antonio_18440","Santos St_401_HemisView Village_San Antonio_18440" )</f>
        <v>Santos St_401_HemisView Village_San Antonio_18440</v>
      </c>
      <c r="L7232" s="104" t="s">
        <v>22253</v>
      </c>
      <c r="M7232" s="103" t="str">
        <f t="shared" si="563"/>
        <v>http://oconnordata.com/mlink/modules/profile/index.cfm?action=profile&amp;prop_id=18440</v>
      </c>
      <c r="N7232" s="1">
        <f t="shared" si="564"/>
        <v>18440</v>
      </c>
    </row>
    <row r="7233" spans="1:14" x14ac:dyDescent="0.3">
      <c r="A7233" s="1">
        <v>18441</v>
      </c>
      <c r="B7233" s="7" t="s">
        <v>10836</v>
      </c>
      <c r="C7233" s="12">
        <v>5121</v>
      </c>
      <c r="D7233" s="7" t="s">
        <v>10837</v>
      </c>
      <c r="E7233" s="13" t="s">
        <v>842</v>
      </c>
      <c r="F7233" t="str">
        <f t="shared" si="560"/>
        <v>Foster</v>
      </c>
      <c r="G7233" t="str">
        <f t="shared" si="561"/>
        <v>Foster5121San Antonio</v>
      </c>
      <c r="H7233" t="s">
        <v>38089</v>
      </c>
      <c r="I7233" t="s">
        <v>29505</v>
      </c>
      <c r="J7233" t="str">
        <f t="shared" si="562"/>
        <v>E:\PropInv\MF</v>
      </c>
      <c r="K7233" s="103" t="str">
        <f>HYPERLINK("E:\PropInv\MF\San Antonio\Foster Rd N_5121_Montabella Pointe_San Antonio_18441","Foster Rd N_5121_Montabella Pointe_San Antonio_18441" )</f>
        <v>Foster Rd N_5121_Montabella Pointe_San Antonio_18441</v>
      </c>
      <c r="L7233" s="104" t="s">
        <v>22253</v>
      </c>
      <c r="M7233" s="103" t="str">
        <f t="shared" si="563"/>
        <v>http://oconnordata.com/mlink/modules/profile/index.cfm?action=profile&amp;prop_id=18441</v>
      </c>
      <c r="N7233" s="1">
        <f t="shared" si="564"/>
        <v>18441</v>
      </c>
    </row>
    <row r="7234" spans="1:14" x14ac:dyDescent="0.3">
      <c r="A7234" s="1">
        <v>18442</v>
      </c>
      <c r="B7234" s="7" t="s">
        <v>496</v>
      </c>
      <c r="C7234" s="12">
        <v>1980</v>
      </c>
      <c r="D7234" s="7" t="s">
        <v>10838</v>
      </c>
      <c r="E7234" s="13" t="s">
        <v>498</v>
      </c>
      <c r="F7234" t="str">
        <f t="shared" ref="F7234:F7297" si="565">IFERROR(LEFT(B7234,FIND(" ",B7234)-1),B7234)</f>
        <v>Aquarena</v>
      </c>
      <c r="G7234" t="str">
        <f t="shared" ref="G7234:G7297" si="566">F7234&amp;C7234&amp;E7234</f>
        <v>Aquarena1980San Marcos</v>
      </c>
      <c r="H7234" t="s">
        <v>38090</v>
      </c>
      <c r="I7234" t="s">
        <v>29506</v>
      </c>
      <c r="J7234" t="str">
        <f t="shared" ref="J7234:J7297" si="567">IF(L7234="TX",Folder_Path,Folder_Path&amp;"\State_"&amp;L7234)</f>
        <v>E:\PropInv\MF</v>
      </c>
      <c r="K7234" s="103" t="str">
        <f>HYPERLINK("E:\PropInv\MF\San Marcos\Aquarena Springs Dr_1980_The Courts at Riverbend_San Marcos_18442","Aquarena Springs Dr_1980_The Courts at Riverbend_San Marcos_18442" )</f>
        <v>Aquarena Springs Dr_1980_The Courts at Riverbend_San Marcos_18442</v>
      </c>
      <c r="L7234" s="104" t="s">
        <v>22253</v>
      </c>
      <c r="M7234" s="103" t="str">
        <f t="shared" ref="M7234:M7297" si="568">HYPERLINK("http://oconnordata.com/mlink/modules/profile/index.cfm?action=profile&amp;prop_id="&amp;A7234)</f>
        <v>http://oconnordata.com/mlink/modules/profile/index.cfm?action=profile&amp;prop_id=18442</v>
      </c>
      <c r="N7234" s="1">
        <f t="shared" ref="N7234:N7297" si="569">IF(LEN(A7234)=1,"0000"&amp;A7234,IF(LEN(A7234)=2,"000"&amp;A7234,IF(LEN(A7234)=3,"00"&amp;A7234,IF(LEN(A7234)=4,"0"&amp;A7234,IF(LEN(A7234)=5,IF(LEFT(A7234,1)="3",A7234+30000,A7234))))))</f>
        <v>18442</v>
      </c>
    </row>
    <row r="7235" spans="1:14" x14ac:dyDescent="0.3">
      <c r="A7235" s="1">
        <v>18443</v>
      </c>
      <c r="B7235" s="7" t="s">
        <v>9563</v>
      </c>
      <c r="C7235" s="12">
        <v>1951</v>
      </c>
      <c r="D7235" s="7" t="s">
        <v>10839</v>
      </c>
      <c r="E7235" s="13" t="s">
        <v>498</v>
      </c>
      <c r="F7235" t="str">
        <f t="shared" si="565"/>
        <v>Hunter</v>
      </c>
      <c r="G7235" t="str">
        <f t="shared" si="566"/>
        <v>Hunter1951San Marcos</v>
      </c>
      <c r="H7235" t="s">
        <v>38091</v>
      </c>
      <c r="I7235" t="s">
        <v>29507</v>
      </c>
      <c r="J7235" t="str">
        <f t="shared" si="567"/>
        <v>E:\PropInv\MF</v>
      </c>
      <c r="K7235" s="103" t="str">
        <f>HYPERLINK("E:\PropInv\MF\San Marcos\Hunter Rd_1951_Purgatory Creek_San Marcos_18443","Hunter Rd_1951_Purgatory Creek_San Marcos_18443" )</f>
        <v>Hunter Rd_1951_Purgatory Creek_San Marcos_18443</v>
      </c>
      <c r="L7235" s="104" t="s">
        <v>22253</v>
      </c>
      <c r="M7235" s="103" t="str">
        <f t="shared" si="568"/>
        <v>http://oconnordata.com/mlink/modules/profile/index.cfm?action=profile&amp;prop_id=18443</v>
      </c>
      <c r="N7235" s="1">
        <f t="shared" si="569"/>
        <v>18443</v>
      </c>
    </row>
    <row r="7236" spans="1:14" x14ac:dyDescent="0.3">
      <c r="A7236" s="1">
        <v>18444</v>
      </c>
      <c r="B7236" s="7" t="s">
        <v>706</v>
      </c>
      <c r="C7236" s="12">
        <v>1800</v>
      </c>
      <c r="D7236" s="7" t="s">
        <v>10840</v>
      </c>
      <c r="E7236" s="13" t="s">
        <v>498</v>
      </c>
      <c r="F7236" t="str">
        <f t="shared" si="565"/>
        <v>Post</v>
      </c>
      <c r="G7236" t="str">
        <f t="shared" si="566"/>
        <v>Post1800San Marcos</v>
      </c>
      <c r="H7236" t="s">
        <v>38092</v>
      </c>
      <c r="I7236" t="s">
        <v>29508</v>
      </c>
      <c r="J7236" t="str">
        <f t="shared" si="567"/>
        <v>E:\PropInv\MF</v>
      </c>
      <c r="K7236" s="103" t="str">
        <f>HYPERLINK("E:\PropInv\MF\San Marcos\Post Rd_1800_Encino Pointe_San Marcos_18444","Post Rd_1800_Encino Pointe_San Marcos_18444" )</f>
        <v>Post Rd_1800_Encino Pointe_San Marcos_18444</v>
      </c>
      <c r="L7236" s="104" t="s">
        <v>22253</v>
      </c>
      <c r="M7236" s="103" t="str">
        <f t="shared" si="568"/>
        <v>http://oconnordata.com/mlink/modules/profile/index.cfm?action=profile&amp;prop_id=18444</v>
      </c>
      <c r="N7236" s="1">
        <f t="shared" si="569"/>
        <v>18444</v>
      </c>
    </row>
    <row r="7237" spans="1:14" x14ac:dyDescent="0.3">
      <c r="A7237" s="1">
        <v>18447</v>
      </c>
      <c r="B7237" s="7" t="s">
        <v>8427</v>
      </c>
      <c r="C7237" s="12">
        <v>3801</v>
      </c>
      <c r="D7237" s="7" t="s">
        <v>10841</v>
      </c>
      <c r="E7237" s="13" t="s">
        <v>7</v>
      </c>
      <c r="F7237" t="str">
        <f t="shared" si="565"/>
        <v>Berkman</v>
      </c>
      <c r="G7237" t="str">
        <f t="shared" si="566"/>
        <v>Berkman3801Austin</v>
      </c>
      <c r="H7237" t="s">
        <v>38093</v>
      </c>
      <c r="I7237" t="s">
        <v>29509</v>
      </c>
      <c r="J7237" t="str">
        <f t="shared" si="567"/>
        <v>E:\PropInv\MF</v>
      </c>
      <c r="K7237" s="103" t="str">
        <f>HYPERLINK("E:\PropInv\MF\Austin\Berkman Dr_3801_Wildflower Terrace Senior Apts_Austin_18447","Berkman Dr_3801_Wildflower Terrace Senior Apts_Austin_18447" )</f>
        <v>Berkman Dr_3801_Wildflower Terrace Senior Apts_Austin_18447</v>
      </c>
      <c r="L7237" s="104" t="s">
        <v>22253</v>
      </c>
      <c r="M7237" s="103" t="str">
        <f t="shared" si="568"/>
        <v>http://oconnordata.com/mlink/modules/profile/index.cfm?action=profile&amp;prop_id=18447</v>
      </c>
      <c r="N7237" s="1">
        <f t="shared" si="569"/>
        <v>18447</v>
      </c>
    </row>
    <row r="7238" spans="1:14" x14ac:dyDescent="0.3">
      <c r="A7238" s="1">
        <v>18448</v>
      </c>
      <c r="B7238" s="7" t="s">
        <v>9588</v>
      </c>
      <c r="C7238" s="12">
        <v>2300</v>
      </c>
      <c r="D7238" s="7" t="s">
        <v>10842</v>
      </c>
      <c r="E7238" s="13" t="s">
        <v>4996</v>
      </c>
      <c r="F7238" t="str">
        <f t="shared" si="565"/>
        <v>Saint</v>
      </c>
      <c r="G7238" t="str">
        <f t="shared" si="566"/>
        <v>Saint2300Dallas</v>
      </c>
      <c r="H7238" t="s">
        <v>38094</v>
      </c>
      <c r="I7238" t="s">
        <v>29510</v>
      </c>
      <c r="J7238" t="str">
        <f t="shared" si="567"/>
        <v>E:\PropInv\MF</v>
      </c>
      <c r="K7238" s="103" t="str">
        <f>HYPERLINK("E:\PropInv\MF\Dallas\Saint Augustine Dr N_2300_Crestshire Village_Dallas_18448","Saint Augustine Dr N_2300_Crestshire Village_Dallas_18448" )</f>
        <v>Saint Augustine Dr N_2300_Crestshire Village_Dallas_18448</v>
      </c>
      <c r="L7238" s="104" t="s">
        <v>22253</v>
      </c>
      <c r="M7238" s="103" t="str">
        <f t="shared" si="568"/>
        <v>http://oconnordata.com/mlink/modules/profile/index.cfm?action=profile&amp;prop_id=18448</v>
      </c>
      <c r="N7238" s="1">
        <f t="shared" si="569"/>
        <v>18448</v>
      </c>
    </row>
    <row r="7239" spans="1:14" x14ac:dyDescent="0.3">
      <c r="A7239" s="1">
        <v>18451</v>
      </c>
      <c r="B7239" s="37" t="s">
        <v>10843</v>
      </c>
      <c r="C7239" s="38">
        <v>600</v>
      </c>
      <c r="D7239" s="29" t="s">
        <v>10844</v>
      </c>
      <c r="E7239" s="39" t="s">
        <v>6555</v>
      </c>
      <c r="F7239" t="str">
        <f t="shared" si="565"/>
        <v>Mayfield</v>
      </c>
      <c r="G7239" t="str">
        <f t="shared" si="566"/>
        <v>Mayfield600Arlington</v>
      </c>
      <c r="H7239" t="s">
        <v>38095</v>
      </c>
      <c r="I7239" t="s">
        <v>29511</v>
      </c>
      <c r="J7239" t="str">
        <f t="shared" si="567"/>
        <v>E:\PropInv\MF</v>
      </c>
      <c r="K7239" s="103" t="str">
        <f>HYPERLINK("E:\PropInv\MF\Arlington\Mayfield Rd W_600_Belleza Senior Apts_Arlington_18451","Mayfield Rd W_600_Belleza Senior Apts_Arlington_18451" )</f>
        <v>Mayfield Rd W_600_Belleza Senior Apts_Arlington_18451</v>
      </c>
      <c r="L7239" s="104" t="s">
        <v>22253</v>
      </c>
      <c r="M7239" s="103" t="str">
        <f t="shared" si="568"/>
        <v>http://oconnordata.com/mlink/modules/profile/index.cfm?action=profile&amp;prop_id=18451</v>
      </c>
      <c r="N7239" s="1">
        <f t="shared" si="569"/>
        <v>18451</v>
      </c>
    </row>
    <row r="7240" spans="1:14" x14ac:dyDescent="0.3">
      <c r="A7240" s="1">
        <v>18454</v>
      </c>
      <c r="B7240" s="7" t="s">
        <v>10845</v>
      </c>
      <c r="C7240" s="12">
        <v>3600</v>
      </c>
      <c r="D7240" s="7" t="s">
        <v>10846</v>
      </c>
      <c r="E7240" s="13" t="s">
        <v>5014</v>
      </c>
      <c r="F7240" t="str">
        <f t="shared" si="565"/>
        <v>Basswood</v>
      </c>
      <c r="G7240" t="str">
        <f t="shared" si="566"/>
        <v>Basswood3600Fort Worth</v>
      </c>
      <c r="H7240" t="s">
        <v>38096</v>
      </c>
      <c r="I7240" t="s">
        <v>29512</v>
      </c>
      <c r="J7240" t="str">
        <f t="shared" si="567"/>
        <v>E:\PropInv\MF</v>
      </c>
      <c r="K7240" s="103" t="str">
        <f>HYPERLINK("E:\PropInv\MF\Fort Worth\Basswood Blvd_3600_Alta Fossil Creek_Fort Worth_18454","Basswood Blvd_3600_Alta Fossil Creek_Fort Worth_18454" )</f>
        <v>Basswood Blvd_3600_Alta Fossil Creek_Fort Worth_18454</v>
      </c>
      <c r="L7240" s="104" t="s">
        <v>22253</v>
      </c>
      <c r="M7240" s="103" t="str">
        <f t="shared" si="568"/>
        <v>http://oconnordata.com/mlink/modules/profile/index.cfm?action=profile&amp;prop_id=18454</v>
      </c>
      <c r="N7240" s="1">
        <f t="shared" si="569"/>
        <v>18454</v>
      </c>
    </row>
    <row r="7241" spans="1:14" x14ac:dyDescent="0.3">
      <c r="A7241" s="1">
        <v>18455</v>
      </c>
      <c r="B7241" s="7" t="s">
        <v>10847</v>
      </c>
      <c r="C7241" s="12">
        <v>1900</v>
      </c>
      <c r="D7241" s="7" t="s">
        <v>10848</v>
      </c>
      <c r="E7241" s="13" t="s">
        <v>4996</v>
      </c>
      <c r="F7241" t="str">
        <f t="shared" si="565"/>
        <v>Hi</v>
      </c>
      <c r="G7241" t="str">
        <f t="shared" si="566"/>
        <v>Hi1900Dallas</v>
      </c>
      <c r="H7241" t="s">
        <v>38097</v>
      </c>
      <c r="I7241" t="s">
        <v>29513</v>
      </c>
      <c r="J7241" t="str">
        <f t="shared" si="567"/>
        <v>E:\PropInv\MF</v>
      </c>
      <c r="K7241" s="103" t="str">
        <f>HYPERLINK("E:\PropInv\MF\Dallas\Hi Line Dr_1900_Alta 1900 Lofts_Dallas_18455","Hi Line Dr_1900_Alta 1900 Lofts_Dallas_18455" )</f>
        <v>Hi Line Dr_1900_Alta 1900 Lofts_Dallas_18455</v>
      </c>
      <c r="L7241" s="104" t="s">
        <v>22253</v>
      </c>
      <c r="M7241" s="103" t="str">
        <f t="shared" si="568"/>
        <v>http://oconnordata.com/mlink/modules/profile/index.cfm?action=profile&amp;prop_id=18455</v>
      </c>
      <c r="N7241" s="1">
        <f t="shared" si="569"/>
        <v>18455</v>
      </c>
    </row>
    <row r="7242" spans="1:14" x14ac:dyDescent="0.3">
      <c r="A7242" s="1">
        <v>18456</v>
      </c>
      <c r="B7242" s="7" t="s">
        <v>9326</v>
      </c>
      <c r="C7242" s="12">
        <v>6464</v>
      </c>
      <c r="D7242" s="7" t="s">
        <v>10849</v>
      </c>
      <c r="E7242" s="13" t="s">
        <v>1657</v>
      </c>
      <c r="F7242" t="str">
        <f t="shared" si="565"/>
        <v>Sam</v>
      </c>
      <c r="G7242" t="str">
        <f t="shared" si="566"/>
        <v>Sam6464Houston</v>
      </c>
      <c r="H7242" t="s">
        <v>38098</v>
      </c>
      <c r="I7242" t="s">
        <v>29514</v>
      </c>
      <c r="J7242" t="str">
        <f t="shared" si="567"/>
        <v>E:\PropInv\MF</v>
      </c>
      <c r="K7242" s="103" t="str">
        <f>HYPERLINK("E:\PropInv\MF\Houston\Sam Houston Pkwy N E_6464_Alta Crossing_Houston_18456","Sam Houston Pkwy N E_6464_Alta Crossing_Houston_18456" )</f>
        <v>Sam Houston Pkwy N E_6464_Alta Crossing_Houston_18456</v>
      </c>
      <c r="L7242" s="104" t="s">
        <v>22253</v>
      </c>
      <c r="M7242" s="103" t="str">
        <f t="shared" si="568"/>
        <v>http://oconnordata.com/mlink/modules/profile/index.cfm?action=profile&amp;prop_id=18456</v>
      </c>
      <c r="N7242" s="1">
        <f t="shared" si="569"/>
        <v>18456</v>
      </c>
    </row>
    <row r="7243" spans="1:14" x14ac:dyDescent="0.3">
      <c r="A7243" s="1">
        <v>18457</v>
      </c>
      <c r="B7243" s="7" t="s">
        <v>2054</v>
      </c>
      <c r="C7243" s="12">
        <v>10373</v>
      </c>
      <c r="D7243" s="7" t="s">
        <v>10850</v>
      </c>
      <c r="E7243" s="13" t="s">
        <v>1763</v>
      </c>
      <c r="F7243" t="str">
        <f t="shared" si="565"/>
        <v>Sam</v>
      </c>
      <c r="G7243" t="str">
        <f t="shared" si="566"/>
        <v>Sam10373Humble</v>
      </c>
      <c r="H7243" t="s">
        <v>38099</v>
      </c>
      <c r="I7243" t="s">
        <v>29515</v>
      </c>
      <c r="J7243" t="str">
        <f t="shared" si="567"/>
        <v>E:\PropInv\MF</v>
      </c>
      <c r="K7243" s="103" t="str">
        <f>HYPERLINK("E:\PropInv\MF\Humble\Sam Houston Pkwy E N_10373_Alta Pine Forest_Humble_18457","Sam Houston Pkwy E N_10373_Alta Pine Forest_Humble_18457" )</f>
        <v>Sam Houston Pkwy E N_10373_Alta Pine Forest_Humble_18457</v>
      </c>
      <c r="L7243" s="104" t="s">
        <v>22253</v>
      </c>
      <c r="M7243" s="103" t="str">
        <f t="shared" si="568"/>
        <v>http://oconnordata.com/mlink/modules/profile/index.cfm?action=profile&amp;prop_id=18457</v>
      </c>
      <c r="N7243" s="1">
        <f t="shared" si="569"/>
        <v>18457</v>
      </c>
    </row>
    <row r="7244" spans="1:14" x14ac:dyDescent="0.3">
      <c r="A7244" s="1">
        <v>18458</v>
      </c>
      <c r="B7244" s="7" t="s">
        <v>6280</v>
      </c>
      <c r="C7244" s="12">
        <v>5250</v>
      </c>
      <c r="D7244" s="7" t="s">
        <v>10851</v>
      </c>
      <c r="E7244" s="13" t="s">
        <v>5488</v>
      </c>
      <c r="F7244" t="str">
        <f t="shared" si="565"/>
        <v>Town</v>
      </c>
      <c r="G7244" t="str">
        <f t="shared" si="566"/>
        <v>Town5250Frisco</v>
      </c>
      <c r="H7244" t="s">
        <v>38100</v>
      </c>
      <c r="I7244" t="s">
        <v>29516</v>
      </c>
      <c r="J7244" t="str">
        <f t="shared" si="567"/>
        <v>E:\PropInv\MF</v>
      </c>
      <c r="K7244" s="103" t="str">
        <f>HYPERLINK("E:\PropInv\MF\Frisco\Town &amp; Country Blvd_5250_Broadstone Stonebriar_Frisco_18458","Town &amp; Country Blvd_5250_Broadstone Stonebriar_Frisco_18458" )</f>
        <v>Town &amp; Country Blvd_5250_Broadstone Stonebriar_Frisco_18458</v>
      </c>
      <c r="L7244" s="104" t="s">
        <v>22253</v>
      </c>
      <c r="M7244" s="103" t="str">
        <f t="shared" si="568"/>
        <v>http://oconnordata.com/mlink/modules/profile/index.cfm?action=profile&amp;prop_id=18458</v>
      </c>
      <c r="N7244" s="1">
        <f t="shared" si="569"/>
        <v>18458</v>
      </c>
    </row>
    <row r="7245" spans="1:14" ht="15" thickBot="1" x14ac:dyDescent="0.35">
      <c r="A7245" s="1">
        <v>18459</v>
      </c>
      <c r="B7245" s="26" t="s">
        <v>10852</v>
      </c>
      <c r="C7245" s="27">
        <v>650</v>
      </c>
      <c r="D7245" s="26" t="s">
        <v>10853</v>
      </c>
      <c r="E7245" s="28" t="s">
        <v>5055</v>
      </c>
      <c r="F7245" t="str">
        <f t="shared" si="565"/>
        <v>Leora</v>
      </c>
      <c r="G7245" t="str">
        <f t="shared" si="566"/>
        <v>Leora650Lewisville</v>
      </c>
      <c r="H7245" t="s">
        <v>38101</v>
      </c>
      <c r="I7245" t="s">
        <v>29517</v>
      </c>
      <c r="J7245" t="str">
        <f t="shared" si="567"/>
        <v>E:\PropInv\MF</v>
      </c>
      <c r="K7245" s="103" t="str">
        <f>HYPERLINK("E:\PropInv\MF\Lewisville\Leora Ln_650_Bella Madera at Lake Lewisville_Lewisville_18459","Leora Ln_650_Bella Madera at Lake Lewisville_Lewisville_18459" )</f>
        <v>Leora Ln_650_Bella Madera at Lake Lewisville_Lewisville_18459</v>
      </c>
      <c r="L7245" s="104" t="s">
        <v>22253</v>
      </c>
      <c r="M7245" s="103" t="str">
        <f t="shared" si="568"/>
        <v>http://oconnordata.com/mlink/modules/profile/index.cfm?action=profile&amp;prop_id=18459</v>
      </c>
      <c r="N7245" s="1">
        <f t="shared" si="569"/>
        <v>18459</v>
      </c>
    </row>
    <row r="7246" spans="1:14" x14ac:dyDescent="0.3">
      <c r="A7246" s="1">
        <v>18460</v>
      </c>
      <c r="B7246" s="10" t="s">
        <v>10854</v>
      </c>
      <c r="C7246" s="9">
        <v>821</v>
      </c>
      <c r="D7246" s="10" t="s">
        <v>5715</v>
      </c>
      <c r="E7246" s="11" t="s">
        <v>5195</v>
      </c>
      <c r="F7246" t="str">
        <f t="shared" si="565"/>
        <v>Polk</v>
      </c>
      <c r="G7246" t="str">
        <f t="shared" si="566"/>
        <v>Polk821Desoto</v>
      </c>
      <c r="H7246" t="s">
        <v>38102</v>
      </c>
      <c r="I7246" t="s">
        <v>29518</v>
      </c>
      <c r="J7246" t="str">
        <f t="shared" si="567"/>
        <v>E:\PropInv\MF</v>
      </c>
      <c r="K7246" s="103" t="str">
        <f>HYPERLINK("E:\PropInv\MF\Desoto\Polk St S_821_Huntington Ridge_Desoto_18460","Polk St S_821_Huntington Ridge_Desoto_18460" )</f>
        <v>Polk St S_821_Huntington Ridge_Desoto_18460</v>
      </c>
      <c r="L7246" s="104" t="s">
        <v>22253</v>
      </c>
      <c r="M7246" s="103" t="str">
        <f t="shared" si="568"/>
        <v>http://oconnordata.com/mlink/modules/profile/index.cfm?action=profile&amp;prop_id=18460</v>
      </c>
      <c r="N7246" s="1">
        <f t="shared" si="569"/>
        <v>18460</v>
      </c>
    </row>
    <row r="7247" spans="1:14" x14ac:dyDescent="0.3">
      <c r="A7247" s="1">
        <v>18461</v>
      </c>
      <c r="B7247" s="10" t="s">
        <v>10855</v>
      </c>
      <c r="C7247" s="9">
        <v>851</v>
      </c>
      <c r="D7247" s="10" t="s">
        <v>10856</v>
      </c>
      <c r="E7247" s="11" t="s">
        <v>3328</v>
      </c>
      <c r="F7247" t="str">
        <f t="shared" si="565"/>
        <v>Greenside</v>
      </c>
      <c r="G7247" t="str">
        <f t="shared" si="566"/>
        <v>Greenside851Richardson</v>
      </c>
      <c r="H7247" t="s">
        <v>38103</v>
      </c>
      <c r="I7247" t="s">
        <v>29519</v>
      </c>
      <c r="J7247" t="str">
        <f t="shared" si="567"/>
        <v>E:\PropInv\MF</v>
      </c>
      <c r="K7247" s="103" t="str">
        <f>HYPERLINK("E:\PropInv\MF\Richardson\Greenside Dr_851_The Pradera_Richardson_18461","Greenside Dr_851_The Pradera_Richardson_18461" )</f>
        <v>Greenside Dr_851_The Pradera_Richardson_18461</v>
      </c>
      <c r="L7247" s="104" t="s">
        <v>22253</v>
      </c>
      <c r="M7247" s="103" t="str">
        <f t="shared" si="568"/>
        <v>http://oconnordata.com/mlink/modules/profile/index.cfm?action=profile&amp;prop_id=18461</v>
      </c>
      <c r="N7247" s="1">
        <f t="shared" si="569"/>
        <v>18461</v>
      </c>
    </row>
    <row r="7248" spans="1:14" x14ac:dyDescent="0.3">
      <c r="A7248" s="1">
        <v>18462</v>
      </c>
      <c r="B7248" s="10" t="s">
        <v>10857</v>
      </c>
      <c r="C7248" s="9">
        <v>10600</v>
      </c>
      <c r="D7248" s="10" t="s">
        <v>10858</v>
      </c>
      <c r="E7248" s="11" t="s">
        <v>5014</v>
      </c>
      <c r="F7248" t="str">
        <f t="shared" si="565"/>
        <v>Bilsky</v>
      </c>
      <c r="G7248" t="str">
        <f t="shared" si="566"/>
        <v>Bilsky10600Fort Worth</v>
      </c>
      <c r="H7248" t="s">
        <v>38104</v>
      </c>
      <c r="I7248" t="s">
        <v>29520</v>
      </c>
      <c r="J7248" t="str">
        <f t="shared" si="567"/>
        <v>E:\PropInv\MF</v>
      </c>
      <c r="K7248" s="103" t="str">
        <f>HYPERLINK("E:\PropInv\MF\Fort Worth\Bilsky Bay Dr_10600_Republic Deer Creek_Fort Worth_18462","Bilsky Bay Dr_10600_Republic Deer Creek_Fort Worth_18462" )</f>
        <v>Bilsky Bay Dr_10600_Republic Deer Creek_Fort Worth_18462</v>
      </c>
      <c r="L7248" s="104" t="s">
        <v>22253</v>
      </c>
      <c r="M7248" s="103" t="str">
        <f t="shared" si="568"/>
        <v>http://oconnordata.com/mlink/modules/profile/index.cfm?action=profile&amp;prop_id=18462</v>
      </c>
      <c r="N7248" s="1">
        <f t="shared" si="569"/>
        <v>18462</v>
      </c>
    </row>
    <row r="7249" spans="1:14" x14ac:dyDescent="0.3">
      <c r="A7249" s="1">
        <v>18463</v>
      </c>
      <c r="B7249" s="44" t="s">
        <v>10859</v>
      </c>
      <c r="C7249" s="32" t="s">
        <v>2497</v>
      </c>
      <c r="D7249" s="31" t="s">
        <v>10860</v>
      </c>
      <c r="E7249" s="33" t="s">
        <v>5180</v>
      </c>
      <c r="F7249" t="str">
        <f t="shared" si="565"/>
        <v>Parker</v>
      </c>
      <c r="G7249" t="str">
        <f t="shared" si="566"/>
        <v>ParkerNFThe Colony</v>
      </c>
      <c r="H7249" t="s">
        <v>38105</v>
      </c>
      <c r="I7249" t="s">
        <v>29521</v>
      </c>
      <c r="J7249" t="str">
        <f t="shared" si="567"/>
        <v>E:\PropInv\MF</v>
      </c>
      <c r="K7249" s="103" t="str">
        <f>HYPERLINK("E:\PropInv\MF\The Colony\Parker Rd_NF_Castle Hills Apts _The Colony_18463","Parker Rd_NF_Castle Hills Apts _The Colony_18463" )</f>
        <v>Parker Rd_NF_Castle Hills Apts _The Colony_18463</v>
      </c>
      <c r="L7249" s="104" t="s">
        <v>22253</v>
      </c>
      <c r="M7249" s="103" t="str">
        <f t="shared" si="568"/>
        <v>http://oconnordata.com/mlink/modules/profile/index.cfm?action=profile&amp;prop_id=18463</v>
      </c>
      <c r="N7249" s="1">
        <f t="shared" si="569"/>
        <v>18463</v>
      </c>
    </row>
    <row r="7250" spans="1:14" x14ac:dyDescent="0.3">
      <c r="A7250" s="1">
        <v>18464</v>
      </c>
      <c r="B7250" s="10" t="s">
        <v>10812</v>
      </c>
      <c r="C7250" s="9">
        <v>15900</v>
      </c>
      <c r="D7250" s="10" t="s">
        <v>10861</v>
      </c>
      <c r="E7250" s="11" t="s">
        <v>5005</v>
      </c>
      <c r="F7250" t="str">
        <f t="shared" si="565"/>
        <v>Addison</v>
      </c>
      <c r="G7250" t="str">
        <f t="shared" si="566"/>
        <v>Addison15900Addison</v>
      </c>
      <c r="H7250" t="s">
        <v>38106</v>
      </c>
      <c r="I7250" t="s">
        <v>29522</v>
      </c>
      <c r="J7250" t="str">
        <f t="shared" si="567"/>
        <v>E:\PropInv\MF</v>
      </c>
      <c r="K7250" s="103" t="str">
        <f>HYPERLINK("E:\PropInv\MF\Addison\Addison Rd_15900_The Lofts at Addison Place_Addison_18464","Addison Rd_15900_The Lofts at Addison Place_Addison_18464" )</f>
        <v>Addison Rd_15900_The Lofts at Addison Place_Addison_18464</v>
      </c>
      <c r="L7250" s="104" t="s">
        <v>22253</v>
      </c>
      <c r="M7250" s="103" t="str">
        <f t="shared" si="568"/>
        <v>http://oconnordata.com/mlink/modules/profile/index.cfm?action=profile&amp;prop_id=18464</v>
      </c>
      <c r="N7250" s="1">
        <f t="shared" si="569"/>
        <v>18464</v>
      </c>
    </row>
    <row r="7251" spans="1:14" x14ac:dyDescent="0.3">
      <c r="A7251" s="1">
        <v>18468</v>
      </c>
      <c r="B7251" s="10" t="s">
        <v>10862</v>
      </c>
      <c r="C7251" s="9">
        <v>701</v>
      </c>
      <c r="D7251" s="10" t="s">
        <v>10863</v>
      </c>
      <c r="E7251" s="11" t="s">
        <v>7</v>
      </c>
      <c r="F7251" t="str">
        <f t="shared" si="565"/>
        <v>Center</v>
      </c>
      <c r="G7251" t="str">
        <f t="shared" si="566"/>
        <v>Center701Austin</v>
      </c>
      <c r="H7251" t="s">
        <v>38107</v>
      </c>
      <c r="I7251" t="s">
        <v>29523</v>
      </c>
      <c r="J7251" t="str">
        <f t="shared" si="567"/>
        <v>E:\PropInv\MF</v>
      </c>
      <c r="K7251" s="103" t="str">
        <f>HYPERLINK("E:\PropInv\MF\Austin\Center Ridge Dr_701_Bella Springs at Tech Ridge_Austin_18468","Center Ridge Dr_701_Bella Springs at Tech Ridge_Austin_18468" )</f>
        <v>Center Ridge Dr_701_Bella Springs at Tech Ridge_Austin_18468</v>
      </c>
      <c r="L7251" s="104" t="s">
        <v>22253</v>
      </c>
      <c r="M7251" s="103" t="str">
        <f t="shared" si="568"/>
        <v>http://oconnordata.com/mlink/modules/profile/index.cfm?action=profile&amp;prop_id=18468</v>
      </c>
      <c r="N7251" s="1">
        <f t="shared" si="569"/>
        <v>18468</v>
      </c>
    </row>
    <row r="7252" spans="1:14" x14ac:dyDescent="0.3">
      <c r="A7252" s="1">
        <v>18469</v>
      </c>
      <c r="B7252" s="7" t="s">
        <v>8266</v>
      </c>
      <c r="C7252" s="12">
        <v>14651</v>
      </c>
      <c r="D7252" s="7" t="s">
        <v>10864</v>
      </c>
      <c r="E7252" s="13" t="s">
        <v>1657</v>
      </c>
      <c r="F7252" t="str">
        <f t="shared" si="565"/>
        <v>Philippine</v>
      </c>
      <c r="G7252" t="str">
        <f t="shared" si="566"/>
        <v>Philippine14651Houston</v>
      </c>
      <c r="H7252" t="s">
        <v>38108</v>
      </c>
      <c r="I7252" t="s">
        <v>29524</v>
      </c>
      <c r="J7252" t="str">
        <f t="shared" si="567"/>
        <v>E:\PropInv\MF</v>
      </c>
      <c r="K7252" s="103" t="str">
        <f>HYPERLINK("E:\PropInv\MF\Houston\Philippine St_14651_Kensington Crossings_Houston_18469","Philippine St_14651_Kensington Crossings_Houston_18469" )</f>
        <v>Philippine St_14651_Kensington Crossings_Houston_18469</v>
      </c>
      <c r="L7252" s="104" t="s">
        <v>22253</v>
      </c>
      <c r="M7252" s="103" t="str">
        <f t="shared" si="568"/>
        <v>http://oconnordata.com/mlink/modules/profile/index.cfm?action=profile&amp;prop_id=18469</v>
      </c>
      <c r="N7252" s="1">
        <f t="shared" si="569"/>
        <v>18469</v>
      </c>
    </row>
    <row r="7253" spans="1:14" x14ac:dyDescent="0.3">
      <c r="A7253" s="1">
        <v>18470</v>
      </c>
      <c r="B7253" s="7" t="s">
        <v>2800</v>
      </c>
      <c r="C7253" s="12">
        <v>6525</v>
      </c>
      <c r="D7253" s="7" t="s">
        <v>10865</v>
      </c>
      <c r="E7253" s="13" t="s">
        <v>1657</v>
      </c>
      <c r="F7253" t="str">
        <f t="shared" si="565"/>
        <v>Gessner</v>
      </c>
      <c r="G7253" t="str">
        <f t="shared" si="566"/>
        <v>Gessner6525Houston</v>
      </c>
      <c r="H7253" t="s">
        <v>38109</v>
      </c>
      <c r="I7253" t="s">
        <v>29525</v>
      </c>
      <c r="J7253" t="str">
        <f t="shared" si="567"/>
        <v>E:\PropInv\MF</v>
      </c>
      <c r="K7253" s="103" t="str">
        <f>HYPERLINK("E:\PropInv\MF\Houston\Gessner S_6525_Carlingford I_Houston_18470","Gessner S_6525_Carlingford I_Houston_18470" )</f>
        <v>Gessner S_6525_Carlingford I_Houston_18470</v>
      </c>
      <c r="L7253" s="104" t="s">
        <v>22253</v>
      </c>
      <c r="M7253" s="103" t="str">
        <f t="shared" si="568"/>
        <v>http://oconnordata.com/mlink/modules/profile/index.cfm?action=profile&amp;prop_id=18470</v>
      </c>
      <c r="N7253" s="1">
        <f t="shared" si="569"/>
        <v>18470</v>
      </c>
    </row>
    <row r="7254" spans="1:14" x14ac:dyDescent="0.3">
      <c r="A7254" s="1">
        <v>18471</v>
      </c>
      <c r="B7254" s="7" t="s">
        <v>10866</v>
      </c>
      <c r="C7254" s="12">
        <v>7600</v>
      </c>
      <c r="D7254" s="7" t="s">
        <v>10867</v>
      </c>
      <c r="E7254" s="13" t="s">
        <v>1657</v>
      </c>
      <c r="F7254" t="str">
        <f t="shared" si="565"/>
        <v>Highmeadow</v>
      </c>
      <c r="G7254" t="str">
        <f t="shared" si="566"/>
        <v>Highmeadow7600Houston</v>
      </c>
      <c r="H7254" t="s">
        <v>38110</v>
      </c>
      <c r="I7254" t="s">
        <v>29526</v>
      </c>
      <c r="J7254" t="str">
        <f t="shared" si="567"/>
        <v>E:\PropInv\MF</v>
      </c>
      <c r="K7254" s="103" t="str">
        <f>HYPERLINK("E:\PropInv\MF\Houston\Highmeadow Dr_7600_The Ava_Houston_18471","Highmeadow Dr_7600_The Ava_Houston_18471" )</f>
        <v>Highmeadow Dr_7600_The Ava_Houston_18471</v>
      </c>
      <c r="L7254" s="104" t="s">
        <v>22253</v>
      </c>
      <c r="M7254" s="103" t="str">
        <f t="shared" si="568"/>
        <v>http://oconnordata.com/mlink/modules/profile/index.cfm?action=profile&amp;prop_id=18471</v>
      </c>
      <c r="N7254" s="1">
        <f t="shared" si="569"/>
        <v>18471</v>
      </c>
    </row>
    <row r="7255" spans="1:14" x14ac:dyDescent="0.3">
      <c r="A7255" s="1">
        <v>18472</v>
      </c>
      <c r="B7255" s="7" t="s">
        <v>10868</v>
      </c>
      <c r="C7255" s="12">
        <v>1255</v>
      </c>
      <c r="D7255" s="7" t="s">
        <v>10869</v>
      </c>
      <c r="E7255" s="13" t="s">
        <v>1657</v>
      </c>
      <c r="F7255" t="str">
        <f t="shared" si="565"/>
        <v>Post</v>
      </c>
      <c r="G7255" t="str">
        <f t="shared" si="566"/>
        <v>Post1255Houston</v>
      </c>
      <c r="H7255" t="s">
        <v>38111</v>
      </c>
      <c r="I7255" t="s">
        <v>29527</v>
      </c>
      <c r="J7255" t="str">
        <f t="shared" si="567"/>
        <v>E:\PropInv\MF</v>
      </c>
      <c r="K7255" s="103" t="str">
        <f>HYPERLINK("E:\PropInv\MF\Houston\Post Oak Rd N_1255_North Post Oak Lofts_Houston_18472","Post Oak Rd N_1255_North Post Oak Lofts_Houston_18472" )</f>
        <v>Post Oak Rd N_1255_North Post Oak Lofts_Houston_18472</v>
      </c>
      <c r="L7255" s="104" t="s">
        <v>22253</v>
      </c>
      <c r="M7255" s="103" t="str">
        <f t="shared" si="568"/>
        <v>http://oconnordata.com/mlink/modules/profile/index.cfm?action=profile&amp;prop_id=18472</v>
      </c>
      <c r="N7255" s="1">
        <f t="shared" si="569"/>
        <v>18472</v>
      </c>
    </row>
    <row r="7256" spans="1:14" x14ac:dyDescent="0.3">
      <c r="A7256" s="1">
        <v>18473</v>
      </c>
      <c r="B7256" s="37" t="s">
        <v>10870</v>
      </c>
      <c r="C7256" s="38" t="s">
        <v>2497</v>
      </c>
      <c r="D7256" s="29" t="s">
        <v>10871</v>
      </c>
      <c r="E7256" s="39" t="s">
        <v>6215</v>
      </c>
      <c r="F7256" t="str">
        <f t="shared" si="565"/>
        <v>McCreary</v>
      </c>
      <c r="G7256" t="str">
        <f t="shared" si="566"/>
        <v>McCrearyNFWylie</v>
      </c>
      <c r="H7256" t="s">
        <v>38112</v>
      </c>
      <c r="I7256" t="s">
        <v>29528</v>
      </c>
      <c r="J7256" t="str">
        <f t="shared" si="567"/>
        <v>E:\PropInv\MF</v>
      </c>
      <c r="K7256" s="103" t="str">
        <f>HYPERLINK("E:\PropInv\MF\Wylie\McCreary Rd_NF_Evergreen at Wylie_Wylie_18473","McCreary Rd_NF_Evergreen at Wylie_Wylie_18473" )</f>
        <v>McCreary Rd_NF_Evergreen at Wylie_Wylie_18473</v>
      </c>
      <c r="L7256" s="104" t="s">
        <v>22253</v>
      </c>
      <c r="M7256" s="103" t="str">
        <f t="shared" si="568"/>
        <v>http://oconnordata.com/mlink/modules/profile/index.cfm?action=profile&amp;prop_id=18473</v>
      </c>
      <c r="N7256" s="1">
        <f t="shared" si="569"/>
        <v>18473</v>
      </c>
    </row>
    <row r="7257" spans="1:14" x14ac:dyDescent="0.3">
      <c r="A7257" s="1">
        <v>18474</v>
      </c>
      <c r="B7257" s="7" t="s">
        <v>10872</v>
      </c>
      <c r="C7257" s="12">
        <v>2323</v>
      </c>
      <c r="D7257" s="7" t="s">
        <v>10873</v>
      </c>
      <c r="E7257" s="13" t="s">
        <v>1671</v>
      </c>
      <c r="F7257" t="str">
        <f t="shared" si="565"/>
        <v>Lake</v>
      </c>
      <c r="G7257" t="str">
        <f t="shared" si="566"/>
        <v>Lake2323Spring</v>
      </c>
      <c r="H7257" t="s">
        <v>38113</v>
      </c>
      <c r="I7257" t="s">
        <v>29529</v>
      </c>
      <c r="J7257" t="str">
        <f t="shared" si="567"/>
        <v>E:\PropInv\MF</v>
      </c>
      <c r="K7257" s="103" t="str">
        <f>HYPERLINK("E:\PropInv\MF\Spring\Lake Robbins Dr_2323_The Village at The Woodlands Waterway_Spring_18474","Lake Robbins Dr_2323_The Village at The Woodlands Waterway_Spring_18474" )</f>
        <v>Lake Robbins Dr_2323_The Village at The Woodlands Waterway_Spring_18474</v>
      </c>
      <c r="L7257" s="104" t="s">
        <v>22253</v>
      </c>
      <c r="M7257" s="103" t="str">
        <f t="shared" si="568"/>
        <v>http://oconnordata.com/mlink/modules/profile/index.cfm?action=profile&amp;prop_id=18474</v>
      </c>
      <c r="N7257" s="1">
        <f t="shared" si="569"/>
        <v>18474</v>
      </c>
    </row>
    <row r="7258" spans="1:14" x14ac:dyDescent="0.3">
      <c r="A7258" s="1">
        <v>18475</v>
      </c>
      <c r="B7258" s="7" t="s">
        <v>1571</v>
      </c>
      <c r="C7258" s="12">
        <v>8838</v>
      </c>
      <c r="D7258" s="7" t="s">
        <v>10874</v>
      </c>
      <c r="E7258" s="13" t="s">
        <v>842</v>
      </c>
      <c r="F7258" t="str">
        <f t="shared" si="565"/>
        <v>Dugas</v>
      </c>
      <c r="G7258" t="str">
        <f t="shared" si="566"/>
        <v>Dugas8838San Antonio</v>
      </c>
      <c r="H7258" t="s">
        <v>38114</v>
      </c>
      <c r="I7258" t="s">
        <v>29530</v>
      </c>
      <c r="J7258" t="str">
        <f t="shared" si="567"/>
        <v>E:\PropInv\MF</v>
      </c>
      <c r="K7258" s="103" t="str">
        <f>HYPERLINK("E:\PropInv\MF\San Antonio\Dugas Rd_8838_The Falls at Westover Hills_San Antonio_18475","Dugas Rd_8838_The Falls at Westover Hills_San Antonio_18475" )</f>
        <v>Dugas Rd_8838_The Falls at Westover Hills_San Antonio_18475</v>
      </c>
      <c r="L7258" s="104" t="s">
        <v>22253</v>
      </c>
      <c r="M7258" s="103" t="str">
        <f t="shared" si="568"/>
        <v>http://oconnordata.com/mlink/modules/profile/index.cfm?action=profile&amp;prop_id=18475</v>
      </c>
      <c r="N7258" s="1">
        <f t="shared" si="569"/>
        <v>18475</v>
      </c>
    </row>
    <row r="7259" spans="1:14" x14ac:dyDescent="0.3">
      <c r="A7259" s="1">
        <v>18476</v>
      </c>
      <c r="B7259" s="10" t="s">
        <v>10875</v>
      </c>
      <c r="C7259" s="9">
        <v>6418</v>
      </c>
      <c r="D7259" s="10" t="s">
        <v>10876</v>
      </c>
      <c r="E7259" s="11" t="s">
        <v>842</v>
      </c>
      <c r="F7259" t="str">
        <f t="shared" si="565"/>
        <v>Eckhert</v>
      </c>
      <c r="G7259" t="str">
        <f t="shared" si="566"/>
        <v>Eckhert6418San Antonio</v>
      </c>
      <c r="H7259" t="s">
        <v>38115</v>
      </c>
      <c r="I7259" t="s">
        <v>29531</v>
      </c>
      <c r="J7259" t="str">
        <f t="shared" si="567"/>
        <v>E:\PropInv\MF</v>
      </c>
      <c r="K7259" s="103" t="str">
        <f>HYPERLINK("E:\PropInv\MF\San Antonio\Eckhert Rd_6418_The Abbey at Grande Oaks_San Antonio_18476","Eckhert Rd_6418_The Abbey at Grande Oaks_San Antonio_18476" )</f>
        <v>Eckhert Rd_6418_The Abbey at Grande Oaks_San Antonio_18476</v>
      </c>
      <c r="L7259" s="104" t="s">
        <v>22253</v>
      </c>
      <c r="M7259" s="103" t="str">
        <f t="shared" si="568"/>
        <v>http://oconnordata.com/mlink/modules/profile/index.cfm?action=profile&amp;prop_id=18476</v>
      </c>
      <c r="N7259" s="1">
        <f t="shared" si="569"/>
        <v>18476</v>
      </c>
    </row>
    <row r="7260" spans="1:14" x14ac:dyDescent="0.3">
      <c r="A7260" s="1">
        <v>18477</v>
      </c>
      <c r="B7260" s="7" t="s">
        <v>10877</v>
      </c>
      <c r="C7260" s="12">
        <v>541</v>
      </c>
      <c r="D7260" s="7" t="s">
        <v>10878</v>
      </c>
      <c r="E7260" s="13" t="s">
        <v>4616</v>
      </c>
      <c r="F7260" t="str">
        <f t="shared" si="565"/>
        <v>1488</v>
      </c>
      <c r="G7260" t="str">
        <f t="shared" si="566"/>
        <v>1488541Conroe</v>
      </c>
      <c r="H7260" t="s">
        <v>38116</v>
      </c>
      <c r="I7260" t="s">
        <v>29532</v>
      </c>
      <c r="J7260" t="str">
        <f t="shared" si="567"/>
        <v>E:\PropInv\MF</v>
      </c>
      <c r="K7260" s="103" t="str">
        <f>HYPERLINK("E:\PropInv\MF\Conroe\1488 FM_541_Foundations at Woodland_Conroe_18477","1488 FM_541_Foundations at Woodland_Conroe_18477" )</f>
        <v>1488 FM_541_Foundations at Woodland_Conroe_18477</v>
      </c>
      <c r="L7260" s="104" t="s">
        <v>22253</v>
      </c>
      <c r="M7260" s="103" t="str">
        <f t="shared" si="568"/>
        <v>http://oconnordata.com/mlink/modules/profile/index.cfm?action=profile&amp;prop_id=18477</v>
      </c>
      <c r="N7260" s="1">
        <f t="shared" si="569"/>
        <v>18477</v>
      </c>
    </row>
    <row r="7261" spans="1:14" x14ac:dyDescent="0.3">
      <c r="A7261" s="1">
        <v>18478</v>
      </c>
      <c r="B7261" s="7" t="s">
        <v>10877</v>
      </c>
      <c r="C7261" s="12">
        <v>545</v>
      </c>
      <c r="D7261" s="7" t="s">
        <v>10879</v>
      </c>
      <c r="E7261" s="13" t="s">
        <v>4616</v>
      </c>
      <c r="F7261" t="str">
        <f t="shared" si="565"/>
        <v>1488</v>
      </c>
      <c r="G7261" t="str">
        <f t="shared" si="566"/>
        <v>1488545Conroe</v>
      </c>
      <c r="H7261" t="s">
        <v>38117</v>
      </c>
      <c r="I7261" t="s">
        <v>29533</v>
      </c>
      <c r="J7261" t="str">
        <f t="shared" si="567"/>
        <v>E:\PropInv\MF</v>
      </c>
      <c r="K7261" s="103" t="str">
        <f>HYPERLINK("E:\PropInv\MF\Conroe\1488 FM_545_Regency in the Forest_Conroe_18478","1488 FM_545_Regency in the Forest_Conroe_18478" )</f>
        <v>1488 FM_545_Regency in the Forest_Conroe_18478</v>
      </c>
      <c r="L7261" s="104" t="s">
        <v>22253</v>
      </c>
      <c r="M7261" s="103" t="str">
        <f t="shared" si="568"/>
        <v>http://oconnordata.com/mlink/modules/profile/index.cfm?action=profile&amp;prop_id=18478</v>
      </c>
      <c r="N7261" s="1">
        <f t="shared" si="569"/>
        <v>18478</v>
      </c>
    </row>
    <row r="7262" spans="1:14" x14ac:dyDescent="0.3">
      <c r="A7262" s="1">
        <v>18479</v>
      </c>
      <c r="B7262" s="7" t="s">
        <v>10880</v>
      </c>
      <c r="C7262" s="12">
        <v>25675</v>
      </c>
      <c r="D7262" s="7" t="s">
        <v>10881</v>
      </c>
      <c r="E7262" s="13" t="s">
        <v>842</v>
      </c>
      <c r="F7262" t="str">
        <f t="shared" si="565"/>
        <v>Overlook</v>
      </c>
      <c r="G7262" t="str">
        <f t="shared" si="566"/>
        <v>Overlook25675San Antonio</v>
      </c>
      <c r="H7262" t="s">
        <v>38118</v>
      </c>
      <c r="I7262" t="s">
        <v>29534</v>
      </c>
      <c r="J7262" t="str">
        <f t="shared" si="567"/>
        <v>E:\PropInv\MF</v>
      </c>
      <c r="K7262" s="103" t="str">
        <f>HYPERLINK("E:\PropInv\MF\San Antonio\Overlook Pkwy_25675_The Estates at Lookout Canyon_San Antonio_18479","Overlook Pkwy_25675_The Estates at Lookout Canyon_San Antonio_18479" )</f>
        <v>Overlook Pkwy_25675_The Estates at Lookout Canyon_San Antonio_18479</v>
      </c>
      <c r="L7262" s="104" t="s">
        <v>22253</v>
      </c>
      <c r="M7262" s="103" t="str">
        <f t="shared" si="568"/>
        <v>http://oconnordata.com/mlink/modules/profile/index.cfm?action=profile&amp;prop_id=18479</v>
      </c>
      <c r="N7262" s="1">
        <f t="shared" si="569"/>
        <v>18479</v>
      </c>
    </row>
    <row r="7263" spans="1:14" x14ac:dyDescent="0.3">
      <c r="A7263" s="1">
        <v>18480</v>
      </c>
      <c r="B7263" s="7" t="s">
        <v>1631</v>
      </c>
      <c r="C7263" s="12">
        <v>24345</v>
      </c>
      <c r="D7263" s="7" t="s">
        <v>10882</v>
      </c>
      <c r="E7263" s="13" t="s">
        <v>842</v>
      </c>
      <c r="F7263" t="str">
        <f t="shared" si="565"/>
        <v>Wilderness</v>
      </c>
      <c r="G7263" t="str">
        <f t="shared" si="566"/>
        <v>Wilderness24345San Antonio</v>
      </c>
      <c r="H7263" t="s">
        <v>38119</v>
      </c>
      <c r="I7263" t="s">
        <v>29535</v>
      </c>
      <c r="J7263" t="str">
        <f t="shared" si="567"/>
        <v>E:\PropInv\MF</v>
      </c>
      <c r="K7263" s="103" t="str">
        <f>HYPERLINK("E:\PropInv\MF\San Antonio\Wilderness Oak_24345_The Mansions at Canyon Springs_San Antonio_18480","Wilderness Oak_24345_The Mansions at Canyon Springs_San Antonio_18480" )</f>
        <v>Wilderness Oak_24345_The Mansions at Canyon Springs_San Antonio_18480</v>
      </c>
      <c r="L7263" s="104" t="s">
        <v>22253</v>
      </c>
      <c r="M7263" s="103" t="str">
        <f t="shared" si="568"/>
        <v>http://oconnordata.com/mlink/modules/profile/index.cfm?action=profile&amp;prop_id=18480</v>
      </c>
      <c r="N7263" s="1">
        <f t="shared" si="569"/>
        <v>18480</v>
      </c>
    </row>
    <row r="7264" spans="1:14" x14ac:dyDescent="0.3">
      <c r="A7264" s="1">
        <v>18481</v>
      </c>
      <c r="B7264" s="7" t="s">
        <v>10883</v>
      </c>
      <c r="C7264" s="12">
        <v>22800</v>
      </c>
      <c r="D7264" s="7" t="s">
        <v>10884</v>
      </c>
      <c r="E7264" s="13" t="s">
        <v>842</v>
      </c>
      <c r="F7264" t="str">
        <f t="shared" si="565"/>
        <v>Bulverde</v>
      </c>
      <c r="G7264" t="str">
        <f t="shared" si="566"/>
        <v>Bulverde22800San Antonio</v>
      </c>
      <c r="H7264" t="s">
        <v>38120</v>
      </c>
      <c r="I7264" t="s">
        <v>29536</v>
      </c>
      <c r="J7264" t="str">
        <f t="shared" si="567"/>
        <v>E:\PropInv\MF</v>
      </c>
      <c r="K7264" s="103" t="str">
        <f>HYPERLINK("E:\PropInv\MF\San Antonio\Bulverde Dr_22800_The Mansions at TPC_San Antonio_18481","Bulverde Dr_22800_The Mansions at TPC_San Antonio_18481" )</f>
        <v>Bulverde Dr_22800_The Mansions at TPC_San Antonio_18481</v>
      </c>
      <c r="L7264" s="104" t="s">
        <v>22253</v>
      </c>
      <c r="M7264" s="103" t="str">
        <f t="shared" si="568"/>
        <v>http://oconnordata.com/mlink/modules/profile/index.cfm?action=profile&amp;prop_id=18481</v>
      </c>
      <c r="N7264" s="1">
        <f t="shared" si="569"/>
        <v>18481</v>
      </c>
    </row>
    <row r="7265" spans="1:14" x14ac:dyDescent="0.3">
      <c r="A7265" s="1">
        <v>18483</v>
      </c>
      <c r="B7265" s="7" t="s">
        <v>10885</v>
      </c>
      <c r="C7265" s="12">
        <v>5505</v>
      </c>
      <c r="D7265" s="7" t="s">
        <v>10886</v>
      </c>
      <c r="E7265" s="13" t="s">
        <v>842</v>
      </c>
      <c r="F7265" t="str">
        <f t="shared" si="565"/>
        <v>TPC</v>
      </c>
      <c r="G7265" t="str">
        <f t="shared" si="566"/>
        <v>TPC5505San Antonio</v>
      </c>
      <c r="H7265" t="s">
        <v>38121</v>
      </c>
      <c r="I7265" t="s">
        <v>29537</v>
      </c>
      <c r="J7265" t="str">
        <f t="shared" si="567"/>
        <v>E:\PropInv\MF</v>
      </c>
      <c r="K7265" s="103" t="str">
        <f>HYPERLINK("E:\PropInv\MF\San Antonio\TPC Pkwy (Cibolo Canyon)_5505_Towers at TPC_San Antonio_18483","TPC Pkwy (Cibolo Canyon)_5505_Towers at TPC_San Antonio_18483" )</f>
        <v>TPC Pkwy (Cibolo Canyon)_5505_Towers at TPC_San Antonio_18483</v>
      </c>
      <c r="L7265" s="104" t="s">
        <v>22253</v>
      </c>
      <c r="M7265" s="103" t="str">
        <f t="shared" si="568"/>
        <v>http://oconnordata.com/mlink/modules/profile/index.cfm?action=profile&amp;prop_id=18483</v>
      </c>
      <c r="N7265" s="1">
        <f t="shared" si="569"/>
        <v>18483</v>
      </c>
    </row>
    <row r="7266" spans="1:14" x14ac:dyDescent="0.3">
      <c r="A7266" s="1">
        <v>18484</v>
      </c>
      <c r="B7266" s="7" t="s">
        <v>942</v>
      </c>
      <c r="C7266" s="12">
        <v>18385</v>
      </c>
      <c r="D7266" s="7" t="s">
        <v>10887</v>
      </c>
      <c r="E7266" s="13" t="s">
        <v>842</v>
      </c>
      <c r="F7266" t="str">
        <f t="shared" si="565"/>
        <v>Babcock</v>
      </c>
      <c r="G7266" t="str">
        <f t="shared" si="566"/>
        <v>Babcock18385San Antonio</v>
      </c>
      <c r="H7266" t="s">
        <v>38122</v>
      </c>
      <c r="I7266" t="s">
        <v>29538</v>
      </c>
      <c r="J7266" t="str">
        <f t="shared" si="567"/>
        <v>E:\PropInv\MF</v>
      </c>
      <c r="K7266" s="103" t="str">
        <f>HYPERLINK("E:\PropInv\MF\San Antonio\Babcock Rd_18385_The Estates at Crown Ridge_San Antonio_18484","Babcock Rd_18385_The Estates at Crown Ridge_San Antonio_18484" )</f>
        <v>Babcock Rd_18385_The Estates at Crown Ridge_San Antonio_18484</v>
      </c>
      <c r="L7266" s="104" t="s">
        <v>22253</v>
      </c>
      <c r="M7266" s="103" t="str">
        <f t="shared" si="568"/>
        <v>http://oconnordata.com/mlink/modules/profile/index.cfm?action=profile&amp;prop_id=18484</v>
      </c>
      <c r="N7266" s="1">
        <f t="shared" si="569"/>
        <v>18484</v>
      </c>
    </row>
    <row r="7267" spans="1:14" x14ac:dyDescent="0.3">
      <c r="A7267" s="1">
        <v>18485</v>
      </c>
      <c r="B7267" s="7" t="s">
        <v>10888</v>
      </c>
      <c r="C7267" s="12">
        <v>605</v>
      </c>
      <c r="D7267" s="7" t="s">
        <v>10889</v>
      </c>
      <c r="E7267" s="13" t="s">
        <v>10703</v>
      </c>
      <c r="F7267" t="str">
        <f t="shared" si="565"/>
        <v>Winterfield</v>
      </c>
      <c r="G7267" t="str">
        <f t="shared" si="566"/>
        <v>Winterfield605Hutto</v>
      </c>
      <c r="H7267" t="s">
        <v>38123</v>
      </c>
      <c r="I7267" t="s">
        <v>29539</v>
      </c>
      <c r="J7267" t="str">
        <f t="shared" si="567"/>
        <v>E:\PropInv\MF</v>
      </c>
      <c r="K7267" s="103" t="str">
        <f>HYPERLINK("E:\PropInv\MF\Hutto\Winterfield Dr_605_The Mansions at Star Ranch Country Club_Hutto_18485","Winterfield Dr_605_The Mansions at Star Ranch Country Club_Hutto_18485" )</f>
        <v>Winterfield Dr_605_The Mansions at Star Ranch Country Club_Hutto_18485</v>
      </c>
      <c r="L7267" s="104" t="s">
        <v>22253</v>
      </c>
      <c r="M7267" s="103" t="str">
        <f t="shared" si="568"/>
        <v>http://oconnordata.com/mlink/modules/profile/index.cfm?action=profile&amp;prop_id=18485</v>
      </c>
      <c r="N7267" s="1">
        <f t="shared" si="569"/>
        <v>18485</v>
      </c>
    </row>
    <row r="7268" spans="1:14" x14ac:dyDescent="0.3">
      <c r="A7268" s="1">
        <v>18486</v>
      </c>
      <c r="B7268" s="7" t="s">
        <v>9678</v>
      </c>
      <c r="C7268" s="12">
        <v>2580</v>
      </c>
      <c r="D7268" s="7" t="s">
        <v>10890</v>
      </c>
      <c r="E7268" s="13" t="s">
        <v>5043</v>
      </c>
      <c r="F7268" t="str">
        <f t="shared" si="565"/>
        <v>Collin</v>
      </c>
      <c r="G7268" t="str">
        <f t="shared" si="566"/>
        <v>Collin2580McKinney</v>
      </c>
      <c r="H7268" t="s">
        <v>38124</v>
      </c>
      <c r="I7268" t="s">
        <v>29540</v>
      </c>
      <c r="J7268" t="str">
        <f t="shared" si="567"/>
        <v>E:\PropInv\MF</v>
      </c>
      <c r="K7268" s="103" t="str">
        <f>HYPERLINK("E:\PropInv\MF\McKinney\Collin McKinney Pkwy_2580_The Estates of McKinney_McKinney_18486","Collin McKinney Pkwy_2580_The Estates of McKinney_McKinney_18486" )</f>
        <v>Collin McKinney Pkwy_2580_The Estates of McKinney_McKinney_18486</v>
      </c>
      <c r="L7268" s="104" t="s">
        <v>22253</v>
      </c>
      <c r="M7268" s="103" t="str">
        <f t="shared" si="568"/>
        <v>http://oconnordata.com/mlink/modules/profile/index.cfm?action=profile&amp;prop_id=18486</v>
      </c>
      <c r="N7268" s="1">
        <f t="shared" si="569"/>
        <v>18486</v>
      </c>
    </row>
    <row r="7269" spans="1:14" x14ac:dyDescent="0.3">
      <c r="A7269" s="1">
        <v>18488</v>
      </c>
      <c r="B7269" s="7" t="s">
        <v>10891</v>
      </c>
      <c r="C7269" s="12">
        <v>1500</v>
      </c>
      <c r="D7269" s="7" t="s">
        <v>7902</v>
      </c>
      <c r="E7269" s="13" t="s">
        <v>6555</v>
      </c>
      <c r="F7269" t="str">
        <f t="shared" si="565"/>
        <v>Lovers</v>
      </c>
      <c r="G7269" t="str">
        <f t="shared" si="566"/>
        <v>Lovers1500Arlington</v>
      </c>
      <c r="H7269" t="s">
        <v>38125</v>
      </c>
      <c r="I7269" t="s">
        <v>29541</v>
      </c>
      <c r="J7269" t="str">
        <f t="shared" si="567"/>
        <v>E:\PropInv\MF</v>
      </c>
      <c r="K7269" s="103" t="str">
        <f>HYPERLINK("E:\PropInv\MF\Arlington\Lovers Ln W_1500_Tuscany Square_Arlington_18488","Lovers Ln W_1500_Tuscany Square_Arlington_18488" )</f>
        <v>Lovers Ln W_1500_Tuscany Square_Arlington_18488</v>
      </c>
      <c r="L7269" s="104" t="s">
        <v>22253</v>
      </c>
      <c r="M7269" s="103" t="str">
        <f t="shared" si="568"/>
        <v>http://oconnordata.com/mlink/modules/profile/index.cfm?action=profile&amp;prop_id=18488</v>
      </c>
      <c r="N7269" s="1">
        <f t="shared" si="569"/>
        <v>18488</v>
      </c>
    </row>
    <row r="7270" spans="1:14" x14ac:dyDescent="0.3">
      <c r="A7270" s="1">
        <v>18489</v>
      </c>
      <c r="B7270" s="7" t="s">
        <v>41</v>
      </c>
      <c r="C7270" s="12">
        <v>1620</v>
      </c>
      <c r="D7270" s="7" t="s">
        <v>10892</v>
      </c>
      <c r="E7270" s="13" t="s">
        <v>7</v>
      </c>
      <c r="F7270" t="str">
        <f t="shared" si="565"/>
        <v>Riverside</v>
      </c>
      <c r="G7270" t="str">
        <f t="shared" si="566"/>
        <v>Riverside1620Austin</v>
      </c>
      <c r="H7270" t="s">
        <v>38126</v>
      </c>
      <c r="I7270" t="s">
        <v>29542</v>
      </c>
      <c r="J7270" t="str">
        <f t="shared" si="567"/>
        <v>E:\PropInv\MF</v>
      </c>
      <c r="K7270" s="103" t="str">
        <f>HYPERLINK("E:\PropInv\MF\Austin\Riverside Dr E_1620_AMLI South Shore_Austin_18489","Riverside Dr E_1620_AMLI South Shore_Austin_18489" )</f>
        <v>Riverside Dr E_1620_AMLI South Shore_Austin_18489</v>
      </c>
      <c r="L7270" s="104" t="s">
        <v>22253</v>
      </c>
      <c r="M7270" s="103" t="str">
        <f t="shared" si="568"/>
        <v>http://oconnordata.com/mlink/modules/profile/index.cfm?action=profile&amp;prop_id=18489</v>
      </c>
      <c r="N7270" s="1">
        <f t="shared" si="569"/>
        <v>18489</v>
      </c>
    </row>
    <row r="7271" spans="1:14" x14ac:dyDescent="0.3">
      <c r="A7271" s="1">
        <v>18490</v>
      </c>
      <c r="B7271" s="7" t="s">
        <v>10893</v>
      </c>
      <c r="C7271" s="12">
        <v>11450</v>
      </c>
      <c r="D7271" s="7" t="s">
        <v>10894</v>
      </c>
      <c r="E7271" s="13" t="s">
        <v>721</v>
      </c>
      <c r="F7271" t="str">
        <f t="shared" si="565"/>
        <v>2243</v>
      </c>
      <c r="G7271" t="str">
        <f t="shared" si="566"/>
        <v>224311450Leander</v>
      </c>
      <c r="H7271" t="s">
        <v>38127</v>
      </c>
      <c r="I7271" t="s">
        <v>29543</v>
      </c>
      <c r="J7271" t="str">
        <f t="shared" si="567"/>
        <v>E:\PropInv\MF</v>
      </c>
      <c r="K7271" s="103" t="str">
        <f>HYPERLINK("E:\PropInv\MF\Leander\2243 Old W_11450_Leander Station Senior Village_Leander_18490","2243 Old W_11450_Leander Station Senior Village_Leander_18490" )</f>
        <v>2243 Old W_11450_Leander Station Senior Village_Leander_18490</v>
      </c>
      <c r="L7271" s="104" t="s">
        <v>22253</v>
      </c>
      <c r="M7271" s="103" t="str">
        <f t="shared" si="568"/>
        <v>http://oconnordata.com/mlink/modules/profile/index.cfm?action=profile&amp;prop_id=18490</v>
      </c>
      <c r="N7271" s="1">
        <f t="shared" si="569"/>
        <v>18490</v>
      </c>
    </row>
    <row r="7272" spans="1:14" x14ac:dyDescent="0.3">
      <c r="A7272" s="1">
        <v>18491</v>
      </c>
      <c r="B7272" s="7" t="s">
        <v>1329</v>
      </c>
      <c r="C7272" s="12">
        <v>1513</v>
      </c>
      <c r="D7272" s="7" t="s">
        <v>677</v>
      </c>
      <c r="E7272" s="13" t="s">
        <v>7522</v>
      </c>
      <c r="F7272" t="str">
        <f t="shared" si="565"/>
        <v>Santa</v>
      </c>
      <c r="G7272" t="str">
        <f t="shared" si="566"/>
        <v>Santa1513Weatherford</v>
      </c>
      <c r="H7272" t="s">
        <v>38128</v>
      </c>
      <c r="I7272" t="s">
        <v>29544</v>
      </c>
      <c r="J7272" t="str">
        <f t="shared" si="567"/>
        <v>E:\PropInv\MF</v>
      </c>
      <c r="K7272" s="103" t="str">
        <f>HYPERLINK("E:\PropInv\MF\Weatherford\Santa Fe_1513_Country Oaks_Weatherford_18491","Santa Fe_1513_Country Oaks_Weatherford_18491" )</f>
        <v>Santa Fe_1513_Country Oaks_Weatherford_18491</v>
      </c>
      <c r="L7272" s="104" t="s">
        <v>22253</v>
      </c>
      <c r="M7272" s="103" t="str">
        <f t="shared" si="568"/>
        <v>http://oconnordata.com/mlink/modules/profile/index.cfm?action=profile&amp;prop_id=18491</v>
      </c>
      <c r="N7272" s="1">
        <f t="shared" si="569"/>
        <v>18491</v>
      </c>
    </row>
    <row r="7273" spans="1:14" x14ac:dyDescent="0.3">
      <c r="A7273" s="1">
        <v>18492</v>
      </c>
      <c r="B7273" s="7" t="s">
        <v>9959</v>
      </c>
      <c r="C7273" s="12">
        <v>108</v>
      </c>
      <c r="D7273" s="7" t="s">
        <v>1261</v>
      </c>
      <c r="E7273" s="13" t="s">
        <v>8765</v>
      </c>
      <c r="F7273" t="str">
        <f t="shared" si="565"/>
        <v>Magnolia</v>
      </c>
      <c r="G7273" t="str">
        <f t="shared" si="566"/>
        <v>Magnolia108Mansfield</v>
      </c>
      <c r="H7273" t="s">
        <v>38129</v>
      </c>
      <c r="I7273" t="s">
        <v>29545</v>
      </c>
      <c r="J7273" t="str">
        <f t="shared" si="567"/>
        <v>E:\PropInv\MF</v>
      </c>
      <c r="K7273" s="103" t="str">
        <f>HYPERLINK("E:\PropInv\MF\Mansfield\Magnolia St_108_Parkside_Mansfield_18492","Magnolia St_108_Parkside_Mansfield_18492" )</f>
        <v>Magnolia St_108_Parkside_Mansfield_18492</v>
      </c>
      <c r="L7273" s="104" t="s">
        <v>22253</v>
      </c>
      <c r="M7273" s="103" t="str">
        <f t="shared" si="568"/>
        <v>http://oconnordata.com/mlink/modules/profile/index.cfm?action=profile&amp;prop_id=18492</v>
      </c>
      <c r="N7273" s="1">
        <f t="shared" si="569"/>
        <v>18492</v>
      </c>
    </row>
    <row r="7274" spans="1:14" x14ac:dyDescent="0.3">
      <c r="A7274" s="1">
        <v>18493</v>
      </c>
      <c r="B7274" s="19" t="s">
        <v>5408</v>
      </c>
      <c r="C7274" s="12" t="s">
        <v>10895</v>
      </c>
      <c r="D7274" s="7" t="s">
        <v>10896</v>
      </c>
      <c r="E7274" s="13" t="s">
        <v>5046</v>
      </c>
      <c r="F7274" t="str">
        <f t="shared" si="565"/>
        <v>Pioneer</v>
      </c>
      <c r="G7274" t="str">
        <f t="shared" si="566"/>
        <v>Pioneer4002-4004Irving</v>
      </c>
      <c r="H7274" t="s">
        <v>38130</v>
      </c>
      <c r="I7274" t="s">
        <v>29546</v>
      </c>
      <c r="J7274" t="str">
        <f t="shared" si="567"/>
        <v>E:\PropInv\MF</v>
      </c>
      <c r="K7274" s="103" t="str">
        <f>HYPERLINK("E:\PropInv\MF\Irving\Pioneer Dr W_4002-4004_Pioneer Court_Irving_18493","Pioneer Dr W_4002-4004_Pioneer Court_Irving_18493" )</f>
        <v>Pioneer Dr W_4002-4004_Pioneer Court_Irving_18493</v>
      </c>
      <c r="L7274" s="104" t="s">
        <v>22253</v>
      </c>
      <c r="M7274" s="103" t="str">
        <f t="shared" si="568"/>
        <v>http://oconnordata.com/mlink/modules/profile/index.cfm?action=profile&amp;prop_id=18493</v>
      </c>
      <c r="N7274" s="1">
        <f t="shared" si="569"/>
        <v>18493</v>
      </c>
    </row>
    <row r="7275" spans="1:14" x14ac:dyDescent="0.3">
      <c r="A7275" s="1">
        <v>18494</v>
      </c>
      <c r="B7275" s="7" t="s">
        <v>10897</v>
      </c>
      <c r="C7275" s="12">
        <v>2906</v>
      </c>
      <c r="D7275" s="7" t="s">
        <v>10898</v>
      </c>
      <c r="E7275" s="13" t="s">
        <v>7</v>
      </c>
      <c r="F7275" t="str">
        <f t="shared" si="565"/>
        <v>Martin</v>
      </c>
      <c r="G7275" t="str">
        <f t="shared" si="566"/>
        <v>Martin2906Austin</v>
      </c>
      <c r="H7275" t="s">
        <v>38131</v>
      </c>
      <c r="I7275" t="s">
        <v>29547</v>
      </c>
      <c r="J7275" t="str">
        <f t="shared" si="567"/>
        <v>E:\PropInv\MF</v>
      </c>
      <c r="K7275" s="103" t="str">
        <f>HYPERLINK("E:\PropInv\MF\Austin\Martin Luther King Jr Blvd E_2906_M Station_Austin_18494","Martin Luther King Jr Blvd E_2906_M Station_Austin_18494" )</f>
        <v>Martin Luther King Jr Blvd E_2906_M Station_Austin_18494</v>
      </c>
      <c r="L7275" s="104" t="s">
        <v>22253</v>
      </c>
      <c r="M7275" s="103" t="str">
        <f t="shared" si="568"/>
        <v>http://oconnordata.com/mlink/modules/profile/index.cfm?action=profile&amp;prop_id=18494</v>
      </c>
      <c r="N7275" s="1">
        <f t="shared" si="569"/>
        <v>18494</v>
      </c>
    </row>
    <row r="7276" spans="1:14" x14ac:dyDescent="0.3">
      <c r="A7276" s="1">
        <v>18497</v>
      </c>
      <c r="B7276" s="7" t="s">
        <v>10899</v>
      </c>
      <c r="C7276" s="12">
        <v>1201</v>
      </c>
      <c r="D7276" s="7" t="s">
        <v>10900</v>
      </c>
      <c r="E7276" s="13" t="s">
        <v>5097</v>
      </c>
      <c r="F7276" t="str">
        <f t="shared" si="565"/>
        <v>Cleveland</v>
      </c>
      <c r="G7276" t="str">
        <f t="shared" si="566"/>
        <v>Cleveland1201Denton</v>
      </c>
      <c r="H7276" t="s">
        <v>38132</v>
      </c>
      <c r="I7276" t="s">
        <v>29548</v>
      </c>
      <c r="J7276" t="str">
        <f t="shared" si="567"/>
        <v>E:\PropInv\MF</v>
      </c>
      <c r="K7276" s="103" t="str">
        <f>HYPERLINK("E:\PropInv\MF\Denton\Cleveland St_1201_Gateway at Denton_Denton_18497","Cleveland St_1201_Gateway at Denton_Denton_18497" )</f>
        <v>Cleveland St_1201_Gateway at Denton_Denton_18497</v>
      </c>
      <c r="L7276" s="104" t="s">
        <v>22253</v>
      </c>
      <c r="M7276" s="103" t="str">
        <f t="shared" si="568"/>
        <v>http://oconnordata.com/mlink/modules/profile/index.cfm?action=profile&amp;prop_id=18497</v>
      </c>
      <c r="N7276" s="1">
        <f t="shared" si="569"/>
        <v>18497</v>
      </c>
    </row>
    <row r="7277" spans="1:14" x14ac:dyDescent="0.3">
      <c r="A7277" s="97">
        <v>18498</v>
      </c>
      <c r="B7277" s="7" t="s">
        <v>10901</v>
      </c>
      <c r="C7277" s="12">
        <v>15903</v>
      </c>
      <c r="D7277" s="7" t="s">
        <v>10902</v>
      </c>
      <c r="E7277" s="13" t="s">
        <v>1657</v>
      </c>
      <c r="F7277" t="str">
        <f t="shared" si="565"/>
        <v>Yorktown</v>
      </c>
      <c r="G7277" t="str">
        <f t="shared" si="566"/>
        <v>Yorktown15903Houston</v>
      </c>
      <c r="H7277" t="s">
        <v>38133</v>
      </c>
      <c r="I7277" t="s">
        <v>29549</v>
      </c>
      <c r="J7277" t="str">
        <f t="shared" si="567"/>
        <v>E:\PropInv\MF</v>
      </c>
      <c r="K7277" s="103" t="str">
        <f>HYPERLINK("E:\PropInv\MF\Houston\Yorktown Crossing Pkwy_15903_Yorktown Crossing_Houston_18498","Yorktown Crossing Pkwy_15903_Yorktown Crossing_Houston_18498" )</f>
        <v>Yorktown Crossing Pkwy_15903_Yorktown Crossing_Houston_18498</v>
      </c>
      <c r="L7277" s="104" t="s">
        <v>22253</v>
      </c>
      <c r="M7277" s="103" t="str">
        <f t="shared" si="568"/>
        <v>http://oconnordata.com/mlink/modules/profile/index.cfm?action=profile&amp;prop_id=18498</v>
      </c>
      <c r="N7277" s="1">
        <f t="shared" si="569"/>
        <v>18498</v>
      </c>
    </row>
    <row r="7278" spans="1:14" x14ac:dyDescent="0.3">
      <c r="A7278" s="1">
        <v>18499</v>
      </c>
      <c r="B7278" s="7" t="s">
        <v>10903</v>
      </c>
      <c r="C7278" s="12">
        <v>3700</v>
      </c>
      <c r="D7278" s="7" t="s">
        <v>10904</v>
      </c>
      <c r="E7278" s="13" t="s">
        <v>9012</v>
      </c>
      <c r="F7278" t="str">
        <f t="shared" si="565"/>
        <v>McDonald</v>
      </c>
      <c r="G7278" t="str">
        <f t="shared" si="566"/>
        <v>McDonald3700Tyler</v>
      </c>
      <c r="H7278" t="s">
        <v>38134</v>
      </c>
      <c r="I7278" t="s">
        <v>29550</v>
      </c>
      <c r="J7278" t="str">
        <f t="shared" si="567"/>
        <v>E:\PropInv\MF</v>
      </c>
      <c r="K7278" s="103" t="str">
        <f>HYPERLINK("E:\PropInv\MF\Tyler\McDonald Rd_3700_Cedar Trails_Tyler_18499","McDonald Rd_3700_Cedar Trails_Tyler_18499" )</f>
        <v>McDonald Rd_3700_Cedar Trails_Tyler_18499</v>
      </c>
      <c r="L7278" s="104" t="s">
        <v>22253</v>
      </c>
      <c r="M7278" s="103" t="str">
        <f t="shared" si="568"/>
        <v>http://oconnordata.com/mlink/modules/profile/index.cfm?action=profile&amp;prop_id=18499</v>
      </c>
      <c r="N7278" s="1">
        <f t="shared" si="569"/>
        <v>18499</v>
      </c>
    </row>
    <row r="7279" spans="1:14" x14ac:dyDescent="0.3">
      <c r="A7279" s="1">
        <v>18500</v>
      </c>
      <c r="B7279" s="7" t="s">
        <v>10905</v>
      </c>
      <c r="C7279" s="12">
        <v>2801</v>
      </c>
      <c r="D7279" s="7" t="s">
        <v>1019</v>
      </c>
      <c r="E7279" s="13" t="s">
        <v>9012</v>
      </c>
      <c r="F7279" t="str">
        <f t="shared" si="565"/>
        <v>Calloway</v>
      </c>
      <c r="G7279" t="str">
        <f t="shared" si="566"/>
        <v>Calloway2801Tyler</v>
      </c>
      <c r="H7279" t="s">
        <v>38135</v>
      </c>
      <c r="I7279" t="s">
        <v>29551</v>
      </c>
      <c r="J7279" t="str">
        <f t="shared" si="567"/>
        <v>E:\PropInv\MF</v>
      </c>
      <c r="K7279" s="103" t="str">
        <f>HYPERLINK("E:\PropInv\MF\Tyler\Calloway Rd_2801_Deerwood_Tyler_18500","Calloway Rd_2801_Deerwood_Tyler_18500" )</f>
        <v>Calloway Rd_2801_Deerwood_Tyler_18500</v>
      </c>
      <c r="L7279" s="104" t="s">
        <v>22253</v>
      </c>
      <c r="M7279" s="103" t="str">
        <f t="shared" si="568"/>
        <v>http://oconnordata.com/mlink/modules/profile/index.cfm?action=profile&amp;prop_id=18500</v>
      </c>
      <c r="N7279" s="1">
        <f t="shared" si="569"/>
        <v>18500</v>
      </c>
    </row>
    <row r="7280" spans="1:14" x14ac:dyDescent="0.3">
      <c r="A7280" s="1">
        <v>18501</v>
      </c>
      <c r="B7280" s="7" t="s">
        <v>10906</v>
      </c>
      <c r="C7280" s="12">
        <v>5058</v>
      </c>
      <c r="D7280" s="7" t="s">
        <v>10907</v>
      </c>
      <c r="E7280" s="13" t="s">
        <v>9012</v>
      </c>
      <c r="F7280" t="str">
        <f t="shared" si="565"/>
        <v>Paluxy</v>
      </c>
      <c r="G7280" t="str">
        <f t="shared" si="566"/>
        <v>Paluxy5058Tyler</v>
      </c>
      <c r="H7280" t="s">
        <v>38136</v>
      </c>
      <c r="I7280" t="s">
        <v>29552</v>
      </c>
      <c r="J7280" t="str">
        <f t="shared" si="567"/>
        <v>E:\PropInv\MF</v>
      </c>
      <c r="K7280" s="103" t="str">
        <f>HYPERLINK("E:\PropInv\MF\Tyler\Paluxy Dr_5058_StoneBrook_Tyler_18501","Paluxy Dr_5058_StoneBrook_Tyler_18501" )</f>
        <v>Paluxy Dr_5058_StoneBrook_Tyler_18501</v>
      </c>
      <c r="L7280" s="104" t="s">
        <v>22253</v>
      </c>
      <c r="M7280" s="103" t="str">
        <f t="shared" si="568"/>
        <v>http://oconnordata.com/mlink/modules/profile/index.cfm?action=profile&amp;prop_id=18501</v>
      </c>
      <c r="N7280" s="1">
        <f t="shared" si="569"/>
        <v>18501</v>
      </c>
    </row>
    <row r="7281" spans="1:14" x14ac:dyDescent="0.3">
      <c r="A7281" s="1">
        <v>18503</v>
      </c>
      <c r="B7281" s="7" t="s">
        <v>10908</v>
      </c>
      <c r="C7281" s="12">
        <v>2051</v>
      </c>
      <c r="D7281" s="7" t="s">
        <v>10909</v>
      </c>
      <c r="E7281" s="13" t="s">
        <v>9012</v>
      </c>
      <c r="F7281" t="str">
        <f t="shared" si="565"/>
        <v>Cumberland</v>
      </c>
      <c r="G7281" t="str">
        <f t="shared" si="566"/>
        <v>Cumberland2051Tyler</v>
      </c>
      <c r="H7281" t="s">
        <v>38137</v>
      </c>
      <c r="I7281" t="s">
        <v>29553</v>
      </c>
      <c r="J7281" t="str">
        <f t="shared" si="567"/>
        <v>E:\PropInv\MF</v>
      </c>
      <c r="K7281" s="103" t="str">
        <f>HYPERLINK("E:\PropInv\MF\Tyler\Cumberland Rd W_2051_Cumberland Place_Tyler_18503","Cumberland Rd W_2051_Cumberland Place_Tyler_18503" )</f>
        <v>Cumberland Rd W_2051_Cumberland Place_Tyler_18503</v>
      </c>
      <c r="L7281" s="104" t="s">
        <v>22253</v>
      </c>
      <c r="M7281" s="103" t="str">
        <f t="shared" si="568"/>
        <v>http://oconnordata.com/mlink/modules/profile/index.cfm?action=profile&amp;prop_id=18503</v>
      </c>
      <c r="N7281" s="1">
        <f t="shared" si="569"/>
        <v>18503</v>
      </c>
    </row>
    <row r="7282" spans="1:14" x14ac:dyDescent="0.3">
      <c r="A7282" s="1">
        <v>18505</v>
      </c>
      <c r="B7282" s="10" t="s">
        <v>10910</v>
      </c>
      <c r="C7282" s="9">
        <v>4900</v>
      </c>
      <c r="D7282" s="10" t="s">
        <v>6255</v>
      </c>
      <c r="E7282" s="11" t="s">
        <v>8626</v>
      </c>
      <c r="F7282" t="str">
        <f t="shared" si="565"/>
        <v>Joe</v>
      </c>
      <c r="G7282" t="str">
        <f t="shared" si="566"/>
        <v>Joe4900Greenville</v>
      </c>
      <c r="H7282" t="s">
        <v>38138</v>
      </c>
      <c r="I7282" t="s">
        <v>29554</v>
      </c>
      <c r="J7282" t="str">
        <f t="shared" si="567"/>
        <v>E:\PropInv\MF</v>
      </c>
      <c r="K7282" s="103" t="str">
        <f>HYPERLINK("E:\PropInv\MF\Greenville\Joe Ramsey Blvd_4900_Solarium_Greenville_18505","Joe Ramsey Blvd_4900_Solarium_Greenville_18505" )</f>
        <v>Joe Ramsey Blvd_4900_Solarium_Greenville_18505</v>
      </c>
      <c r="L7282" s="104" t="s">
        <v>22253</v>
      </c>
      <c r="M7282" s="103" t="str">
        <f t="shared" si="568"/>
        <v>http://oconnordata.com/mlink/modules/profile/index.cfm?action=profile&amp;prop_id=18505</v>
      </c>
      <c r="N7282" s="1">
        <f t="shared" si="569"/>
        <v>18505</v>
      </c>
    </row>
    <row r="7283" spans="1:14" x14ac:dyDescent="0.3">
      <c r="A7283" s="1">
        <v>18506</v>
      </c>
      <c r="B7283" s="7" t="s">
        <v>10009</v>
      </c>
      <c r="C7283" s="12">
        <v>4350</v>
      </c>
      <c r="D7283" s="7" t="s">
        <v>6320</v>
      </c>
      <c r="E7283" s="13" t="s">
        <v>9012</v>
      </c>
      <c r="F7283" t="str">
        <f t="shared" si="565"/>
        <v>Old</v>
      </c>
      <c r="G7283" t="str">
        <f t="shared" si="566"/>
        <v>Old4350Tyler</v>
      </c>
      <c r="H7283" t="s">
        <v>38139</v>
      </c>
      <c r="I7283" t="s">
        <v>29555</v>
      </c>
      <c r="J7283" t="str">
        <f t="shared" si="567"/>
        <v>E:\PropInv\MF</v>
      </c>
      <c r="K7283" s="103" t="str">
        <f>HYPERLINK("E:\PropInv\MF\Tyler\Old Omen Rd_4350_Summerwood_Tyler_18506","Old Omen Rd_4350_Summerwood_Tyler_18506" )</f>
        <v>Old Omen Rd_4350_Summerwood_Tyler_18506</v>
      </c>
      <c r="L7283" s="104" t="s">
        <v>22253</v>
      </c>
      <c r="M7283" s="103" t="str">
        <f t="shared" si="568"/>
        <v>http://oconnordata.com/mlink/modules/profile/index.cfm?action=profile&amp;prop_id=18506</v>
      </c>
      <c r="N7283" s="1">
        <f t="shared" si="569"/>
        <v>18506</v>
      </c>
    </row>
    <row r="7284" spans="1:14" x14ac:dyDescent="0.3">
      <c r="A7284" s="1">
        <v>18507</v>
      </c>
      <c r="B7284" s="7" t="s">
        <v>10911</v>
      </c>
      <c r="C7284" s="12">
        <v>2851</v>
      </c>
      <c r="D7284" s="7" t="s">
        <v>10912</v>
      </c>
      <c r="E7284" s="13" t="s">
        <v>9012</v>
      </c>
      <c r="F7284" t="str">
        <f t="shared" si="565"/>
        <v>CR</v>
      </c>
      <c r="G7284" t="str">
        <f t="shared" si="566"/>
        <v>CR2851Tyler</v>
      </c>
      <c r="H7284" t="s">
        <v>38140</v>
      </c>
      <c r="I7284" t="s">
        <v>29556</v>
      </c>
      <c r="J7284" t="str">
        <f t="shared" si="567"/>
        <v>E:\PropInv\MF</v>
      </c>
      <c r="K7284" s="103" t="str">
        <f>HYPERLINK("E:\PropInv\MF\Tyler\CR 272 (Adam Henry Rd)_2851_The Reserve_Tyler_18507","CR 272 (Adam Henry Rd)_2851_The Reserve_Tyler_18507" )</f>
        <v>CR 272 (Adam Henry Rd)_2851_The Reserve_Tyler_18507</v>
      </c>
      <c r="L7284" s="104" t="s">
        <v>22253</v>
      </c>
      <c r="M7284" s="103" t="str">
        <f t="shared" si="568"/>
        <v>http://oconnordata.com/mlink/modules/profile/index.cfm?action=profile&amp;prop_id=18507</v>
      </c>
      <c r="N7284" s="1">
        <f t="shared" si="569"/>
        <v>18507</v>
      </c>
    </row>
    <row r="7285" spans="1:14" x14ac:dyDescent="0.3">
      <c r="A7285" s="1">
        <v>18508</v>
      </c>
      <c r="B7285" s="7" t="s">
        <v>10913</v>
      </c>
      <c r="C7285" s="12">
        <v>13900</v>
      </c>
      <c r="D7285" s="7" t="s">
        <v>10914</v>
      </c>
      <c r="E7285" s="13" t="s">
        <v>6663</v>
      </c>
      <c r="F7285" t="str">
        <f t="shared" si="565"/>
        <v>Chadwick</v>
      </c>
      <c r="G7285" t="str">
        <f t="shared" si="566"/>
        <v>Chadwick13900Northlake</v>
      </c>
      <c r="H7285" t="s">
        <v>38141</v>
      </c>
      <c r="I7285" t="s">
        <v>29557</v>
      </c>
      <c r="J7285" t="str">
        <f t="shared" si="567"/>
        <v>E:\PropInv\MF</v>
      </c>
      <c r="K7285" s="103" t="str">
        <f>HYPERLINK("E:\PropInv\MF\Northlake\Chadwick Pkwy_13900_Chadwick Apts_Northlake_18508","Chadwick Pkwy_13900_Chadwick Apts_Northlake_18508" )</f>
        <v>Chadwick Pkwy_13900_Chadwick Apts_Northlake_18508</v>
      </c>
      <c r="L7285" s="104" t="s">
        <v>22253</v>
      </c>
      <c r="M7285" s="103" t="str">
        <f t="shared" si="568"/>
        <v>http://oconnordata.com/mlink/modules/profile/index.cfm?action=profile&amp;prop_id=18508</v>
      </c>
      <c r="N7285" s="1">
        <f t="shared" si="569"/>
        <v>18508</v>
      </c>
    </row>
    <row r="7286" spans="1:14" x14ac:dyDescent="0.3">
      <c r="A7286" s="1">
        <v>18509</v>
      </c>
      <c r="B7286" s="7" t="s">
        <v>10915</v>
      </c>
      <c r="C7286" s="12">
        <v>4925</v>
      </c>
      <c r="D7286" s="7" t="s">
        <v>10916</v>
      </c>
      <c r="E7286" s="13" t="s">
        <v>9839</v>
      </c>
      <c r="F7286" t="str">
        <f t="shared" si="565"/>
        <v>Cromwell</v>
      </c>
      <c r="G7286" t="str">
        <f t="shared" si="566"/>
        <v>Cromwell4925Kyle</v>
      </c>
      <c r="H7286" t="s">
        <v>38142</v>
      </c>
      <c r="I7286" t="s">
        <v>29558</v>
      </c>
      <c r="J7286" t="str">
        <f t="shared" si="567"/>
        <v>E:\PropInv\MF</v>
      </c>
      <c r="K7286" s="103" t="str">
        <f>HYPERLINK("E:\PropInv\MF\Kyle\Cromwell Dr_4925_Vantage at Plum Creek_Kyle_18509","Cromwell Dr_4925_Vantage at Plum Creek_Kyle_18509" )</f>
        <v>Cromwell Dr_4925_Vantage at Plum Creek_Kyle_18509</v>
      </c>
      <c r="L7286" s="104" t="s">
        <v>22253</v>
      </c>
      <c r="M7286" s="103" t="str">
        <f t="shared" si="568"/>
        <v>http://oconnordata.com/mlink/modules/profile/index.cfm?action=profile&amp;prop_id=18509</v>
      </c>
      <c r="N7286" s="1">
        <f t="shared" si="569"/>
        <v>18509</v>
      </c>
    </row>
    <row r="7287" spans="1:14" x14ac:dyDescent="0.3">
      <c r="A7287" s="1">
        <v>18510</v>
      </c>
      <c r="B7287" s="7" t="s">
        <v>10917</v>
      </c>
      <c r="C7287" s="12">
        <v>2301</v>
      </c>
      <c r="D7287" s="7" t="s">
        <v>10918</v>
      </c>
      <c r="E7287" s="13" t="s">
        <v>5014</v>
      </c>
      <c r="F7287" t="str">
        <f t="shared" si="565"/>
        <v>Presidio</v>
      </c>
      <c r="G7287" t="str">
        <f t="shared" si="566"/>
        <v>Presidio2301Fort Worth</v>
      </c>
      <c r="H7287" t="s">
        <v>38143</v>
      </c>
      <c r="I7287" t="s">
        <v>29559</v>
      </c>
      <c r="J7287" t="str">
        <f t="shared" si="567"/>
        <v>E:\PropInv\MF</v>
      </c>
      <c r="K7287" s="103" t="str">
        <f>HYPERLINK("E:\PropInv\MF\Fort Worth\Presidio Vista Dr_2301_The Wyatt at Presidio Junction_Fort Worth_18510","Presidio Vista Dr_2301_The Wyatt at Presidio Junction_Fort Worth_18510" )</f>
        <v>Presidio Vista Dr_2301_The Wyatt at Presidio Junction_Fort Worth_18510</v>
      </c>
      <c r="L7287" s="104" t="s">
        <v>22253</v>
      </c>
      <c r="M7287" s="103" t="str">
        <f t="shared" si="568"/>
        <v>http://oconnordata.com/mlink/modules/profile/index.cfm?action=profile&amp;prop_id=18510</v>
      </c>
      <c r="N7287" s="1">
        <f t="shared" si="569"/>
        <v>18510</v>
      </c>
    </row>
    <row r="7288" spans="1:14" x14ac:dyDescent="0.3">
      <c r="A7288" s="1">
        <v>18511</v>
      </c>
      <c r="B7288" s="37" t="s">
        <v>10917</v>
      </c>
      <c r="C7288" s="38">
        <v>2332</v>
      </c>
      <c r="D7288" s="29" t="s">
        <v>10919</v>
      </c>
      <c r="E7288" s="39" t="s">
        <v>5014</v>
      </c>
      <c r="F7288" t="str">
        <f t="shared" si="565"/>
        <v>Presidio</v>
      </c>
      <c r="G7288" t="str">
        <f t="shared" si="566"/>
        <v>Presidio2332Fort Worth</v>
      </c>
      <c r="H7288" t="s">
        <v>38144</v>
      </c>
      <c r="I7288" t="s">
        <v>29560</v>
      </c>
      <c r="J7288" t="str">
        <f t="shared" si="567"/>
        <v>E:\PropInv\MF</v>
      </c>
      <c r="K7288" s="103" t="str">
        <f>HYPERLINK("E:\PropInv\MF\Fort Worth\Presidio Vista Dr_2332_Presidio Junction Apts II_Fort Worth_18511","Presidio Vista Dr_2332_Presidio Junction Apts II_Fort Worth_18511" )</f>
        <v>Presidio Vista Dr_2332_Presidio Junction Apts II_Fort Worth_18511</v>
      </c>
      <c r="L7288" s="104" t="s">
        <v>22253</v>
      </c>
      <c r="M7288" s="103" t="str">
        <f t="shared" si="568"/>
        <v>http://oconnordata.com/mlink/modules/profile/index.cfm?action=profile&amp;prop_id=18511</v>
      </c>
      <c r="N7288" s="1">
        <f t="shared" si="569"/>
        <v>18511</v>
      </c>
    </row>
    <row r="7289" spans="1:14" x14ac:dyDescent="0.3">
      <c r="A7289" s="1">
        <v>18513</v>
      </c>
      <c r="B7289" s="7" t="s">
        <v>10920</v>
      </c>
      <c r="C7289" s="12">
        <v>2611</v>
      </c>
      <c r="D7289" s="7" t="s">
        <v>10921</v>
      </c>
      <c r="E7289" s="13" t="s">
        <v>9012</v>
      </c>
      <c r="F7289" t="str">
        <f t="shared" si="565"/>
        <v>323</v>
      </c>
      <c r="G7289" t="str">
        <f t="shared" si="566"/>
        <v>3232611Tyler</v>
      </c>
      <c r="H7289" t="s">
        <v>38145</v>
      </c>
      <c r="I7289" t="s">
        <v>29561</v>
      </c>
      <c r="J7289" t="str">
        <f t="shared" si="567"/>
        <v>E:\PropInv\MF</v>
      </c>
      <c r="K7289" s="103" t="str">
        <f>HYPERLINK("E:\PropInv\MF\Tyler\323 Loop SE S_2611_Aspen Place_Tyler_18513","323 Loop SE S_2611_Aspen Place_Tyler_18513" )</f>
        <v>323 Loop SE S_2611_Aspen Place_Tyler_18513</v>
      </c>
      <c r="L7289" s="104" t="s">
        <v>22253</v>
      </c>
      <c r="M7289" s="103" t="str">
        <f t="shared" si="568"/>
        <v>http://oconnordata.com/mlink/modules/profile/index.cfm?action=profile&amp;prop_id=18513</v>
      </c>
      <c r="N7289" s="1">
        <f t="shared" si="569"/>
        <v>18513</v>
      </c>
    </row>
    <row r="7290" spans="1:14" x14ac:dyDescent="0.3">
      <c r="A7290" s="1">
        <v>18514</v>
      </c>
      <c r="B7290" s="7" t="s">
        <v>10920</v>
      </c>
      <c r="C7290" s="12">
        <v>2601</v>
      </c>
      <c r="D7290" s="7" t="s">
        <v>1061</v>
      </c>
      <c r="E7290" s="13" t="s">
        <v>9012</v>
      </c>
      <c r="F7290" t="str">
        <f t="shared" si="565"/>
        <v>323</v>
      </c>
      <c r="G7290" t="str">
        <f t="shared" si="566"/>
        <v>3232601Tyler</v>
      </c>
      <c r="H7290" t="s">
        <v>38146</v>
      </c>
      <c r="I7290" t="s">
        <v>29562</v>
      </c>
      <c r="J7290" t="str">
        <f t="shared" si="567"/>
        <v>E:\PropInv\MF</v>
      </c>
      <c r="K7290" s="103" t="str">
        <f>HYPERLINK("E:\PropInv\MF\Tyler\323 Loop SE S_2601_Fox Run_Tyler_18514","323 Loop SE S_2601_Fox Run_Tyler_18514" )</f>
        <v>323 Loop SE S_2601_Fox Run_Tyler_18514</v>
      </c>
      <c r="L7290" s="104" t="s">
        <v>22253</v>
      </c>
      <c r="M7290" s="103" t="str">
        <f t="shared" si="568"/>
        <v>http://oconnordata.com/mlink/modules/profile/index.cfm?action=profile&amp;prop_id=18514</v>
      </c>
      <c r="N7290" s="1">
        <f t="shared" si="569"/>
        <v>18514</v>
      </c>
    </row>
    <row r="7291" spans="1:14" x14ac:dyDescent="0.3">
      <c r="A7291" s="1">
        <v>18515</v>
      </c>
      <c r="B7291" s="7" t="s">
        <v>10922</v>
      </c>
      <c r="C7291" s="12">
        <v>4400</v>
      </c>
      <c r="D7291" s="7" t="s">
        <v>9612</v>
      </c>
      <c r="E7291" s="13" t="s">
        <v>9012</v>
      </c>
      <c r="F7291" t="str">
        <f t="shared" si="565"/>
        <v>Paluxy</v>
      </c>
      <c r="G7291" t="str">
        <f t="shared" si="566"/>
        <v>Paluxy4400Tyler</v>
      </c>
      <c r="H7291" t="s">
        <v>38147</v>
      </c>
      <c r="I7291" t="s">
        <v>29563</v>
      </c>
      <c r="J7291" t="str">
        <f t="shared" si="567"/>
        <v>E:\PropInv\MF</v>
      </c>
      <c r="K7291" s="103" t="str">
        <f>HYPERLINK("E:\PropInv\MF\Tyler\Paluxy_4400_Kensington Place_Tyler_18515","Paluxy_4400_Kensington Place_Tyler_18515" )</f>
        <v>Paluxy_4400_Kensington Place_Tyler_18515</v>
      </c>
      <c r="L7291" s="104" t="s">
        <v>22253</v>
      </c>
      <c r="M7291" s="103" t="str">
        <f t="shared" si="568"/>
        <v>http://oconnordata.com/mlink/modules/profile/index.cfm?action=profile&amp;prop_id=18515</v>
      </c>
      <c r="N7291" s="1">
        <f t="shared" si="569"/>
        <v>18515</v>
      </c>
    </row>
    <row r="7292" spans="1:14" x14ac:dyDescent="0.3">
      <c r="A7292" s="1">
        <v>18516</v>
      </c>
      <c r="B7292" s="7" t="s">
        <v>10923</v>
      </c>
      <c r="C7292" s="12">
        <v>4400</v>
      </c>
      <c r="D7292" s="7" t="s">
        <v>332</v>
      </c>
      <c r="E7292" s="13" t="s">
        <v>9012</v>
      </c>
      <c r="F7292" t="str">
        <f t="shared" si="565"/>
        <v>Troup</v>
      </c>
      <c r="G7292" t="str">
        <f t="shared" si="566"/>
        <v>Troup4400Tyler</v>
      </c>
      <c r="H7292" t="s">
        <v>38148</v>
      </c>
      <c r="I7292" t="s">
        <v>29564</v>
      </c>
      <c r="J7292" t="str">
        <f t="shared" si="567"/>
        <v>E:\PropInv\MF</v>
      </c>
      <c r="K7292" s="103" t="str">
        <f>HYPERLINK("E:\PropInv\MF\Tyler\Troup Hwy (Hwy 110)_4400_River Oaks_Tyler_18516","Troup Hwy (Hwy 110)_4400_River Oaks_Tyler_18516" )</f>
        <v>Troup Hwy (Hwy 110)_4400_River Oaks_Tyler_18516</v>
      </c>
      <c r="L7292" s="104" t="s">
        <v>22253</v>
      </c>
      <c r="M7292" s="103" t="str">
        <f t="shared" si="568"/>
        <v>http://oconnordata.com/mlink/modules/profile/index.cfm?action=profile&amp;prop_id=18516</v>
      </c>
      <c r="N7292" s="1">
        <f t="shared" si="569"/>
        <v>18516</v>
      </c>
    </row>
    <row r="7293" spans="1:14" x14ac:dyDescent="0.3">
      <c r="A7293" s="1">
        <v>18518</v>
      </c>
      <c r="B7293" s="7" t="s">
        <v>4997</v>
      </c>
      <c r="C7293" s="12">
        <v>4533</v>
      </c>
      <c r="D7293" s="7" t="s">
        <v>10924</v>
      </c>
      <c r="E7293" s="13" t="s">
        <v>4996</v>
      </c>
      <c r="F7293" t="str">
        <f t="shared" si="565"/>
        <v>Cedar</v>
      </c>
      <c r="G7293" t="str">
        <f t="shared" si="566"/>
        <v>Cedar4533Dallas</v>
      </c>
      <c r="H7293" t="s">
        <v>38149</v>
      </c>
      <c r="I7293" t="s">
        <v>29565</v>
      </c>
      <c r="J7293" t="str">
        <f t="shared" si="567"/>
        <v>E:\PropInv\MF</v>
      </c>
      <c r="K7293" s="103" t="str">
        <f>HYPERLINK("E:\PropInv\MF\Dallas\Cedar Springs_4533_The Dylan Residences_Dallas_18518","Cedar Springs_4533_The Dylan Residences_Dallas_18518" )</f>
        <v>Cedar Springs_4533_The Dylan Residences_Dallas_18518</v>
      </c>
      <c r="L7293" s="104" t="s">
        <v>22253</v>
      </c>
      <c r="M7293" s="103" t="str">
        <f t="shared" si="568"/>
        <v>http://oconnordata.com/mlink/modules/profile/index.cfm?action=profile&amp;prop_id=18518</v>
      </c>
      <c r="N7293" s="1">
        <f t="shared" si="569"/>
        <v>18518</v>
      </c>
    </row>
    <row r="7294" spans="1:14" x14ac:dyDescent="0.3">
      <c r="A7294" s="1">
        <v>18519</v>
      </c>
      <c r="B7294" s="7" t="s">
        <v>5721</v>
      </c>
      <c r="C7294" s="12">
        <v>8828</v>
      </c>
      <c r="D7294" s="7" t="s">
        <v>10925</v>
      </c>
      <c r="E7294" s="13" t="s">
        <v>5014</v>
      </c>
      <c r="F7294" t="str">
        <f t="shared" si="565"/>
        <v>Old</v>
      </c>
      <c r="G7294" t="str">
        <f t="shared" si="566"/>
        <v>Old8828Fort Worth</v>
      </c>
      <c r="H7294" t="s">
        <v>38150</v>
      </c>
      <c r="I7294" t="s">
        <v>29566</v>
      </c>
      <c r="J7294" t="str">
        <f t="shared" si="567"/>
        <v>E:\PropInv\MF</v>
      </c>
      <c r="K7294" s="103" t="str">
        <f>HYPERLINK("E:\PropInv\MF\Fort Worth\Old Denton Rd_8828_Riverside Villas_Fort Worth_18519","Old Denton Rd_8828_Riverside Villas_Fort Worth_18519" )</f>
        <v>Old Denton Rd_8828_Riverside Villas_Fort Worth_18519</v>
      </c>
      <c r="L7294" s="104" t="s">
        <v>22253</v>
      </c>
      <c r="M7294" s="103" t="str">
        <f t="shared" si="568"/>
        <v>http://oconnordata.com/mlink/modules/profile/index.cfm?action=profile&amp;prop_id=18519</v>
      </c>
      <c r="N7294" s="1">
        <f t="shared" si="569"/>
        <v>18519</v>
      </c>
    </row>
    <row r="7295" spans="1:14" x14ac:dyDescent="0.3">
      <c r="A7295" s="1">
        <v>18523</v>
      </c>
      <c r="B7295" s="7" t="s">
        <v>10926</v>
      </c>
      <c r="C7295" s="12">
        <v>6503</v>
      </c>
      <c r="D7295" s="7" t="s">
        <v>10927</v>
      </c>
      <c r="E7295" s="13" t="s">
        <v>5097</v>
      </c>
      <c r="F7295" t="str">
        <f t="shared" si="565"/>
        <v>Shady</v>
      </c>
      <c r="G7295" t="str">
        <f t="shared" si="566"/>
        <v>Shady6503Denton</v>
      </c>
      <c r="H7295" t="s">
        <v>38151</v>
      </c>
      <c r="I7295" t="s">
        <v>29567</v>
      </c>
      <c r="J7295" t="str">
        <f t="shared" si="567"/>
        <v>E:\PropInv\MF</v>
      </c>
      <c r="K7295" s="103" t="str">
        <f>HYPERLINK("E:\PropInv\MF\Denton\Shady Shores Rd_6503_The Lodge at Pecan Creek_Denton_18523","Shady Shores Rd_6503_The Lodge at Pecan Creek_Denton_18523" )</f>
        <v>Shady Shores Rd_6503_The Lodge at Pecan Creek_Denton_18523</v>
      </c>
      <c r="L7295" s="104" t="s">
        <v>22253</v>
      </c>
      <c r="M7295" s="103" t="str">
        <f t="shared" si="568"/>
        <v>http://oconnordata.com/mlink/modules/profile/index.cfm?action=profile&amp;prop_id=18523</v>
      </c>
      <c r="N7295" s="1">
        <f t="shared" si="569"/>
        <v>18523</v>
      </c>
    </row>
    <row r="7296" spans="1:14" x14ac:dyDescent="0.3">
      <c r="A7296" s="1">
        <v>18528</v>
      </c>
      <c r="B7296" s="7" t="s">
        <v>10928</v>
      </c>
      <c r="C7296" s="12">
        <v>1218</v>
      </c>
      <c r="D7296" s="7" t="s">
        <v>10929</v>
      </c>
      <c r="E7296" s="13" t="s">
        <v>4399</v>
      </c>
      <c r="F7296" t="str">
        <f t="shared" si="565"/>
        <v>Old</v>
      </c>
      <c r="G7296" t="str">
        <f t="shared" si="566"/>
        <v>Old1218Clute</v>
      </c>
      <c r="H7296" t="s">
        <v>38152</v>
      </c>
      <c r="I7296" t="s">
        <v>29568</v>
      </c>
      <c r="J7296" t="str">
        <f t="shared" si="567"/>
        <v>E:\PropInv\MF</v>
      </c>
      <c r="K7296" s="103" t="str">
        <f>HYPERLINK("E:\PropInv\MF\Clute\Old Angleton Rd_1218_Casa Brazoria_Clute_18528","Old Angleton Rd_1218_Casa Brazoria_Clute_18528" )</f>
        <v>Old Angleton Rd_1218_Casa Brazoria_Clute_18528</v>
      </c>
      <c r="L7296" s="104" t="s">
        <v>22253</v>
      </c>
      <c r="M7296" s="103" t="str">
        <f t="shared" si="568"/>
        <v>http://oconnordata.com/mlink/modules/profile/index.cfm?action=profile&amp;prop_id=18528</v>
      </c>
      <c r="N7296" s="1">
        <f t="shared" si="569"/>
        <v>18528</v>
      </c>
    </row>
    <row r="7297" spans="1:14" x14ac:dyDescent="0.3">
      <c r="A7297" s="1">
        <v>18530</v>
      </c>
      <c r="B7297" s="7" t="s">
        <v>10930</v>
      </c>
      <c r="C7297" s="12">
        <v>2404</v>
      </c>
      <c r="D7297" s="7" t="s">
        <v>10931</v>
      </c>
      <c r="E7297" s="13" t="s">
        <v>842</v>
      </c>
      <c r="F7297" t="str">
        <f t="shared" si="565"/>
        <v>Calaveras</v>
      </c>
      <c r="G7297" t="str">
        <f t="shared" si="566"/>
        <v>Calaveras2404San Antonio</v>
      </c>
      <c r="H7297" t="s">
        <v>38153</v>
      </c>
      <c r="I7297" t="s">
        <v>29569</v>
      </c>
      <c r="J7297" t="str">
        <f t="shared" si="567"/>
        <v>E:\PropInv\MF</v>
      </c>
      <c r="K7297" s="103" t="str">
        <f>HYPERLINK("E:\PropInv\MF\San Antonio\Calaveras St S_2404_San Juan Square II_San Antonio_18530","Calaveras St S_2404_San Juan Square II_San Antonio_18530" )</f>
        <v>Calaveras St S_2404_San Juan Square II_San Antonio_18530</v>
      </c>
      <c r="L7297" s="104" t="s">
        <v>22253</v>
      </c>
      <c r="M7297" s="103" t="str">
        <f t="shared" si="568"/>
        <v>http://oconnordata.com/mlink/modules/profile/index.cfm?action=profile&amp;prop_id=18530</v>
      </c>
      <c r="N7297" s="1">
        <f t="shared" si="569"/>
        <v>18530</v>
      </c>
    </row>
    <row r="7298" spans="1:14" x14ac:dyDescent="0.3">
      <c r="A7298" s="1">
        <v>18532</v>
      </c>
      <c r="B7298" s="7" t="s">
        <v>10932</v>
      </c>
      <c r="C7298" s="12">
        <v>1500</v>
      </c>
      <c r="D7298" s="7" t="s">
        <v>10933</v>
      </c>
      <c r="E7298" s="13" t="s">
        <v>5014</v>
      </c>
      <c r="F7298" t="str">
        <f t="shared" ref="F7298:F7361" si="570">IFERROR(LEFT(B7298,FIND(" ",B7298)-1),B7298)</f>
        <v>Four</v>
      </c>
      <c r="G7298" t="str">
        <f t="shared" ref="G7298:G7361" si="571">F7298&amp;C7298&amp;E7298</f>
        <v>Four1500Fort Worth</v>
      </c>
      <c r="H7298" t="s">
        <v>38154</v>
      </c>
      <c r="I7298" t="s">
        <v>29570</v>
      </c>
      <c r="J7298" t="str">
        <f t="shared" ref="J7298:J7361" si="572">IF(L7298="TX",Folder_Path,Folder_Path&amp;"\State_"&amp;L7298)</f>
        <v>E:\PropInv\MF</v>
      </c>
      <c r="K7298" s="103" t="str">
        <f>HYPERLINK("E:\PropInv\MF\Fort Worth\Four Seasons Ln_1500_Four Seasons at Clear Creek_Fort Worth_18532","Four Seasons Ln_1500_Four Seasons at Clear Creek_Fort Worth_18532" )</f>
        <v>Four Seasons Ln_1500_Four Seasons at Clear Creek_Fort Worth_18532</v>
      </c>
      <c r="L7298" s="104" t="s">
        <v>22253</v>
      </c>
      <c r="M7298" s="103" t="str">
        <f t="shared" ref="M7298:M7361" si="573">HYPERLINK("http://oconnordata.com/mlink/modules/profile/index.cfm?action=profile&amp;prop_id="&amp;A7298)</f>
        <v>http://oconnordata.com/mlink/modules/profile/index.cfm?action=profile&amp;prop_id=18532</v>
      </c>
      <c r="N7298" s="1">
        <f t="shared" ref="N7298:N7361" si="574">IF(LEN(A7298)=1,"0000"&amp;A7298,IF(LEN(A7298)=2,"000"&amp;A7298,IF(LEN(A7298)=3,"00"&amp;A7298,IF(LEN(A7298)=4,"0"&amp;A7298,IF(LEN(A7298)=5,IF(LEFT(A7298,1)="3",A7298+30000,A7298))))))</f>
        <v>18532</v>
      </c>
    </row>
    <row r="7299" spans="1:14" x14ac:dyDescent="0.3">
      <c r="A7299" s="1">
        <v>18535</v>
      </c>
      <c r="B7299" s="7" t="s">
        <v>10934</v>
      </c>
      <c r="C7299" s="12">
        <v>4821</v>
      </c>
      <c r="D7299" s="7" t="s">
        <v>10935</v>
      </c>
      <c r="E7299" s="13" t="s">
        <v>10936</v>
      </c>
      <c r="F7299" t="str">
        <f t="shared" si="570"/>
        <v>Masch</v>
      </c>
      <c r="G7299" t="str">
        <f t="shared" si="571"/>
        <v>Masch4821Krum</v>
      </c>
      <c r="H7299" t="s">
        <v>38155</v>
      </c>
      <c r="I7299" t="s">
        <v>29571</v>
      </c>
      <c r="J7299" t="str">
        <f t="shared" si="572"/>
        <v>E:\PropInv\MF</v>
      </c>
      <c r="K7299" s="103" t="str">
        <f>HYPERLINK("E:\PropInv\MF\Krum\Masch Branch Rd_4821_Estate Villas at Krum_Krum_18535","Masch Branch Rd_4821_Estate Villas at Krum_Krum_18535" )</f>
        <v>Masch Branch Rd_4821_Estate Villas at Krum_Krum_18535</v>
      </c>
      <c r="L7299" s="104" t="s">
        <v>22253</v>
      </c>
      <c r="M7299" s="103" t="str">
        <f t="shared" si="573"/>
        <v>http://oconnordata.com/mlink/modules/profile/index.cfm?action=profile&amp;prop_id=18535</v>
      </c>
      <c r="N7299" s="1">
        <f t="shared" si="574"/>
        <v>18535</v>
      </c>
    </row>
    <row r="7300" spans="1:14" x14ac:dyDescent="0.3">
      <c r="A7300" s="1">
        <v>18536</v>
      </c>
      <c r="B7300" s="7" t="s">
        <v>462</v>
      </c>
      <c r="C7300" s="12">
        <v>5350</v>
      </c>
      <c r="D7300" s="7" t="s">
        <v>10937</v>
      </c>
      <c r="E7300" s="13" t="s">
        <v>7</v>
      </c>
      <c r="F7300" t="str">
        <f t="shared" si="570"/>
        <v>Burnet</v>
      </c>
      <c r="G7300" t="str">
        <f t="shared" si="571"/>
        <v>Burnet5350Austin</v>
      </c>
      <c r="H7300" t="s">
        <v>38156</v>
      </c>
      <c r="I7300" t="s">
        <v>29572</v>
      </c>
      <c r="J7300" t="str">
        <f t="shared" si="572"/>
        <v>E:\PropInv\MF</v>
      </c>
      <c r="K7300" s="103" t="str">
        <f>HYPERLINK("E:\PropInv\MF\Austin\Burnet Rd_5350_AMLI 5350_Austin_18536","Burnet Rd_5350_AMLI 5350_Austin_18536" )</f>
        <v>Burnet Rd_5350_AMLI 5350_Austin_18536</v>
      </c>
      <c r="L7300" s="104" t="s">
        <v>22253</v>
      </c>
      <c r="M7300" s="103" t="str">
        <f t="shared" si="573"/>
        <v>http://oconnordata.com/mlink/modules/profile/index.cfm?action=profile&amp;prop_id=18536</v>
      </c>
      <c r="N7300" s="1">
        <f t="shared" si="574"/>
        <v>18536</v>
      </c>
    </row>
    <row r="7301" spans="1:14" x14ac:dyDescent="0.3">
      <c r="A7301" s="1">
        <v>18537</v>
      </c>
      <c r="B7301" s="7" t="s">
        <v>10938</v>
      </c>
      <c r="C7301" s="12">
        <v>300</v>
      </c>
      <c r="D7301" s="7" t="s">
        <v>10939</v>
      </c>
      <c r="E7301" s="13" t="s">
        <v>18</v>
      </c>
      <c r="F7301" t="str">
        <f t="shared" si="570"/>
        <v>AW</v>
      </c>
      <c r="G7301" t="str">
        <f t="shared" si="571"/>
        <v>AW300Round Rock</v>
      </c>
      <c r="H7301" t="s">
        <v>38157</v>
      </c>
      <c r="I7301" t="s">
        <v>29573</v>
      </c>
      <c r="J7301" t="str">
        <f t="shared" si="572"/>
        <v>E:\PropInv\MF</v>
      </c>
      <c r="K7301" s="103" t="str">
        <f>HYPERLINK("E:\PropInv\MF\Round Rock\AW Grimes Blvd S_300_Colonial Grand at Ashton Oaks_Round Rock_18537","AW Grimes Blvd S_300_Colonial Grand at Ashton Oaks_Round Rock_18537" )</f>
        <v>AW Grimes Blvd S_300_Colonial Grand at Ashton Oaks_Round Rock_18537</v>
      </c>
      <c r="L7301" s="104" t="s">
        <v>22253</v>
      </c>
      <c r="M7301" s="103" t="str">
        <f t="shared" si="573"/>
        <v>http://oconnordata.com/mlink/modules/profile/index.cfm?action=profile&amp;prop_id=18537</v>
      </c>
      <c r="N7301" s="1">
        <f t="shared" si="574"/>
        <v>18537</v>
      </c>
    </row>
    <row r="7302" spans="1:14" x14ac:dyDescent="0.3">
      <c r="A7302" s="1">
        <v>18538</v>
      </c>
      <c r="B7302" s="10" t="s">
        <v>10940</v>
      </c>
      <c r="C7302" s="9">
        <v>1700</v>
      </c>
      <c r="D7302" s="10" t="s">
        <v>10941</v>
      </c>
      <c r="E7302" s="11" t="s">
        <v>18</v>
      </c>
      <c r="F7302" t="str">
        <f t="shared" si="570"/>
        <v>University</v>
      </c>
      <c r="G7302" t="str">
        <f t="shared" si="571"/>
        <v>University1700Round Rock</v>
      </c>
      <c r="H7302" t="s">
        <v>38158</v>
      </c>
      <c r="I7302" t="s">
        <v>29574</v>
      </c>
      <c r="J7302" t="str">
        <f t="shared" si="572"/>
        <v>E:\PropInv\MF</v>
      </c>
      <c r="K7302" s="103" t="str">
        <f>HYPERLINK("E:\PropInv\MF\Round Rock\University Blvd_1700_Fairway Knoll at Teravista_Round Rock_18538","University Blvd_1700_Fairway Knoll at Teravista_Round Rock_18538" )</f>
        <v>University Blvd_1700_Fairway Knoll at Teravista_Round Rock_18538</v>
      </c>
      <c r="L7302" s="104" t="s">
        <v>22253</v>
      </c>
      <c r="M7302" s="103" t="str">
        <f t="shared" si="573"/>
        <v>http://oconnordata.com/mlink/modules/profile/index.cfm?action=profile&amp;prop_id=18538</v>
      </c>
      <c r="N7302" s="1">
        <f t="shared" si="574"/>
        <v>18538</v>
      </c>
    </row>
    <row r="7303" spans="1:14" x14ac:dyDescent="0.3">
      <c r="A7303" s="1">
        <v>18539</v>
      </c>
      <c r="B7303" s="10" t="s">
        <v>10942</v>
      </c>
      <c r="C7303" s="9">
        <v>901</v>
      </c>
      <c r="D7303" s="10" t="s">
        <v>1160</v>
      </c>
      <c r="E7303" s="11" t="s">
        <v>18</v>
      </c>
      <c r="F7303" t="str">
        <f t="shared" si="570"/>
        <v>Hidden</v>
      </c>
      <c r="G7303" t="str">
        <f t="shared" si="571"/>
        <v>Hidden901Round Rock</v>
      </c>
      <c r="H7303" t="s">
        <v>38159</v>
      </c>
      <c r="I7303" t="s">
        <v>29575</v>
      </c>
      <c r="J7303" t="str">
        <f t="shared" si="572"/>
        <v>E:\PropInv\MF</v>
      </c>
      <c r="K7303" s="103" t="str">
        <f>HYPERLINK("E:\PropInv\MF\Round Rock\Hidden Valley Dr_901_Las Brisas_Round Rock_18539","Hidden Valley Dr_901_Las Brisas_Round Rock_18539" )</f>
        <v>Hidden Valley Dr_901_Las Brisas_Round Rock_18539</v>
      </c>
      <c r="L7303" s="104" t="s">
        <v>22253</v>
      </c>
      <c r="M7303" s="103" t="str">
        <f t="shared" si="573"/>
        <v>http://oconnordata.com/mlink/modules/profile/index.cfm?action=profile&amp;prop_id=18539</v>
      </c>
      <c r="N7303" s="1">
        <f t="shared" si="574"/>
        <v>18539</v>
      </c>
    </row>
    <row r="7304" spans="1:14" x14ac:dyDescent="0.3">
      <c r="A7304" s="1">
        <v>18540</v>
      </c>
      <c r="B7304" s="7" t="s">
        <v>698</v>
      </c>
      <c r="C7304" s="12">
        <v>15510</v>
      </c>
      <c r="D7304" s="7" t="s">
        <v>10943</v>
      </c>
      <c r="E7304" s="13" t="s">
        <v>7</v>
      </c>
      <c r="F7304" t="str">
        <f t="shared" si="570"/>
        <v>620</v>
      </c>
      <c r="G7304" t="str">
        <f t="shared" si="571"/>
        <v>62015510Austin</v>
      </c>
      <c r="H7304" t="s">
        <v>38160</v>
      </c>
      <c r="I7304" t="s">
        <v>29576</v>
      </c>
      <c r="J7304" t="str">
        <f t="shared" si="572"/>
        <v>E:\PropInv\MF</v>
      </c>
      <c r="K7304" s="103" t="str">
        <f>HYPERLINK("E:\PropInv\MF\Austin\620 RR N_15510_The Park at Brushy Creek_Austin_18540","620 RR N_15510_The Park at Brushy Creek_Austin_18540" )</f>
        <v>620 RR N_15510_The Park at Brushy Creek_Austin_18540</v>
      </c>
      <c r="L7304" s="104" t="s">
        <v>22253</v>
      </c>
      <c r="M7304" s="103" t="str">
        <f t="shared" si="573"/>
        <v>http://oconnordata.com/mlink/modules/profile/index.cfm?action=profile&amp;prop_id=18540</v>
      </c>
      <c r="N7304" s="1">
        <f t="shared" si="574"/>
        <v>18540</v>
      </c>
    </row>
    <row r="7305" spans="1:14" x14ac:dyDescent="0.3">
      <c r="A7305" s="1">
        <v>18541</v>
      </c>
      <c r="B7305" s="10" t="s">
        <v>150</v>
      </c>
      <c r="C7305" s="9">
        <v>610</v>
      </c>
      <c r="D7305" s="10" t="s">
        <v>10944</v>
      </c>
      <c r="E7305" s="11" t="s">
        <v>18</v>
      </c>
      <c r="F7305" t="str">
        <f t="shared" si="570"/>
        <v>Greenhill</v>
      </c>
      <c r="G7305" t="str">
        <f t="shared" si="571"/>
        <v>Greenhill610Round Rock</v>
      </c>
      <c r="H7305" t="s">
        <v>38161</v>
      </c>
      <c r="I7305" t="s">
        <v>29577</v>
      </c>
      <c r="J7305" t="str">
        <f t="shared" si="572"/>
        <v>E:\PropInv\MF</v>
      </c>
      <c r="K7305" s="103" t="str">
        <f>HYPERLINK("E:\PropInv\MF\Round Rock\Greenhill Dr_610_The Trails at Crystal Park_Round Rock_18541","Greenhill Dr_610_The Trails at Crystal Park_Round Rock_18541" )</f>
        <v>Greenhill Dr_610_The Trails at Crystal Park_Round Rock_18541</v>
      </c>
      <c r="L7305" s="104" t="s">
        <v>22253</v>
      </c>
      <c r="M7305" s="103" t="str">
        <f t="shared" si="573"/>
        <v>http://oconnordata.com/mlink/modules/profile/index.cfm?action=profile&amp;prop_id=18541</v>
      </c>
      <c r="N7305" s="1">
        <f t="shared" si="574"/>
        <v>18541</v>
      </c>
    </row>
    <row r="7306" spans="1:14" x14ac:dyDescent="0.3">
      <c r="A7306" s="1">
        <v>18542</v>
      </c>
      <c r="B7306" s="7" t="s">
        <v>6176</v>
      </c>
      <c r="C7306" s="12">
        <v>1900</v>
      </c>
      <c r="D7306" s="7" t="s">
        <v>8084</v>
      </c>
      <c r="E7306" s="13" t="s">
        <v>604</v>
      </c>
      <c r="F7306" t="str">
        <f t="shared" si="570"/>
        <v>Walnut</v>
      </c>
      <c r="G7306" t="str">
        <f t="shared" si="571"/>
        <v>Walnut1900Bastrop</v>
      </c>
      <c r="H7306" t="s">
        <v>38162</v>
      </c>
      <c r="I7306" t="s">
        <v>29578</v>
      </c>
      <c r="J7306" t="str">
        <f t="shared" si="572"/>
        <v>E:\PropInv\MF</v>
      </c>
      <c r="K7306" s="103" t="str">
        <f>HYPERLINK("E:\PropInv\MF\Bastrop\Walnut St_1900_Walnut Ridge_Bastrop_18542","Walnut St_1900_Walnut Ridge_Bastrop_18542" )</f>
        <v>Walnut St_1900_Walnut Ridge_Bastrop_18542</v>
      </c>
      <c r="L7306" s="104" t="s">
        <v>22253</v>
      </c>
      <c r="M7306" s="103" t="str">
        <f t="shared" si="573"/>
        <v>http://oconnordata.com/mlink/modules/profile/index.cfm?action=profile&amp;prop_id=18542</v>
      </c>
      <c r="N7306" s="1">
        <f t="shared" si="574"/>
        <v>18542</v>
      </c>
    </row>
    <row r="7307" spans="1:14" x14ac:dyDescent="0.3">
      <c r="A7307" s="1">
        <v>18544</v>
      </c>
      <c r="B7307" s="7" t="s">
        <v>900</v>
      </c>
      <c r="C7307" s="12">
        <v>1440</v>
      </c>
      <c r="D7307" s="7" t="s">
        <v>10945</v>
      </c>
      <c r="E7307" s="13" t="s">
        <v>842</v>
      </c>
      <c r="F7307" t="str">
        <f t="shared" si="570"/>
        <v>Bitters</v>
      </c>
      <c r="G7307" t="str">
        <f t="shared" si="571"/>
        <v>Bitters1440San Antonio</v>
      </c>
      <c r="H7307" t="s">
        <v>38163</v>
      </c>
      <c r="I7307" t="s">
        <v>29579</v>
      </c>
      <c r="J7307" t="str">
        <f t="shared" si="572"/>
        <v>E:\PropInv\MF</v>
      </c>
      <c r="K7307" s="103" t="str">
        <f>HYPERLINK("E:\PropInv\MF\San Antonio\Bitters Rd W_1440_Escalante_San Antonio_18544","Bitters Rd W_1440_Escalante_San Antonio_18544" )</f>
        <v>Bitters Rd W_1440_Escalante_San Antonio_18544</v>
      </c>
      <c r="L7307" s="104" t="s">
        <v>22253</v>
      </c>
      <c r="M7307" s="103" t="str">
        <f t="shared" si="573"/>
        <v>http://oconnordata.com/mlink/modules/profile/index.cfm?action=profile&amp;prop_id=18544</v>
      </c>
      <c r="N7307" s="1">
        <f t="shared" si="574"/>
        <v>18544</v>
      </c>
    </row>
    <row r="7308" spans="1:14" x14ac:dyDescent="0.3">
      <c r="A7308" s="1">
        <v>18545</v>
      </c>
      <c r="B7308" s="7" t="s">
        <v>10946</v>
      </c>
      <c r="C7308" s="12">
        <v>1160</v>
      </c>
      <c r="D7308" s="7" t="s">
        <v>10364</v>
      </c>
      <c r="E7308" s="13" t="s">
        <v>4996</v>
      </c>
      <c r="F7308" t="str">
        <f t="shared" si="570"/>
        <v>Galicia</v>
      </c>
      <c r="G7308" t="str">
        <f t="shared" si="571"/>
        <v>Galicia1160Dallas</v>
      </c>
      <c r="H7308" t="s">
        <v>38164</v>
      </c>
      <c r="I7308" t="s">
        <v>29580</v>
      </c>
      <c r="J7308" t="str">
        <f t="shared" si="572"/>
        <v>E:\PropInv\MF</v>
      </c>
      <c r="K7308" s="103" t="str">
        <f>HYPERLINK("E:\PropInv\MF\Dallas\Galicia Ln_1160_Hacienda del Sol_Dallas_18545","Galicia Ln_1160_Hacienda del Sol_Dallas_18545" )</f>
        <v>Galicia Ln_1160_Hacienda del Sol_Dallas_18545</v>
      </c>
      <c r="L7308" s="104" t="s">
        <v>22253</v>
      </c>
      <c r="M7308" s="103" t="str">
        <f t="shared" si="573"/>
        <v>http://oconnordata.com/mlink/modules/profile/index.cfm?action=profile&amp;prop_id=18545</v>
      </c>
      <c r="N7308" s="1">
        <f t="shared" si="574"/>
        <v>18545</v>
      </c>
    </row>
    <row r="7309" spans="1:14" x14ac:dyDescent="0.3">
      <c r="A7309" s="1">
        <v>18547</v>
      </c>
      <c r="B7309" s="7" t="s">
        <v>6745</v>
      </c>
      <c r="C7309" s="12" t="s">
        <v>2497</v>
      </c>
      <c r="D7309" s="7" t="s">
        <v>10947</v>
      </c>
      <c r="E7309" s="25" t="s">
        <v>5060</v>
      </c>
      <c r="F7309" t="str">
        <f t="shared" si="570"/>
        <v>121</v>
      </c>
      <c r="G7309" t="str">
        <f t="shared" si="571"/>
        <v>121NFCarrollton</v>
      </c>
      <c r="H7309" t="s">
        <v>38165</v>
      </c>
      <c r="I7309" t="s">
        <v>29581</v>
      </c>
      <c r="J7309" t="str">
        <f t="shared" si="572"/>
        <v>E:\PropInv\MF</v>
      </c>
      <c r="K7309" s="103" t="str">
        <f>HYPERLINK("E:\PropInv\MF\Carrollton\121 SH_NF_Verona Villas_Carrollton_18547","121 SH_NF_Verona Villas_Carrollton_18547" )</f>
        <v>121 SH_NF_Verona Villas_Carrollton_18547</v>
      </c>
      <c r="L7309" s="104" t="s">
        <v>22253</v>
      </c>
      <c r="M7309" s="103" t="str">
        <f t="shared" si="573"/>
        <v>http://oconnordata.com/mlink/modules/profile/index.cfm?action=profile&amp;prop_id=18547</v>
      </c>
      <c r="N7309" s="1">
        <f t="shared" si="574"/>
        <v>18547</v>
      </c>
    </row>
    <row r="7310" spans="1:14" x14ac:dyDescent="0.3">
      <c r="A7310" s="1">
        <v>18549</v>
      </c>
      <c r="B7310" s="7" t="s">
        <v>10948</v>
      </c>
      <c r="C7310" s="12">
        <v>6212</v>
      </c>
      <c r="D7310" s="7" t="s">
        <v>10949</v>
      </c>
      <c r="E7310" s="13" t="s">
        <v>7</v>
      </c>
      <c r="F7310" t="str">
        <f t="shared" si="570"/>
        <v>Crow</v>
      </c>
      <c r="G7310" t="str">
        <f t="shared" si="571"/>
        <v>Crow6212Austin</v>
      </c>
      <c r="H7310" t="s">
        <v>38166</v>
      </c>
      <c r="I7310" t="s">
        <v>29582</v>
      </c>
      <c r="J7310" t="str">
        <f t="shared" si="572"/>
        <v>E:\PropInv\MF</v>
      </c>
      <c r="K7310" s="103" t="str">
        <f>HYPERLINK("E:\PropInv\MF\Austin\Crow Ln_6212_The Retreat at North Bluff_Austin_18549","Crow Ln_6212_The Retreat at North Bluff_Austin_18549" )</f>
        <v>Crow Ln_6212_The Retreat at North Bluff_Austin_18549</v>
      </c>
      <c r="L7310" s="104" t="s">
        <v>22253</v>
      </c>
      <c r="M7310" s="103" t="str">
        <f t="shared" si="573"/>
        <v>http://oconnordata.com/mlink/modules/profile/index.cfm?action=profile&amp;prop_id=18549</v>
      </c>
      <c r="N7310" s="1">
        <f t="shared" si="574"/>
        <v>18549</v>
      </c>
    </row>
    <row r="7311" spans="1:14" x14ac:dyDescent="0.3">
      <c r="A7311" s="1">
        <v>18551</v>
      </c>
      <c r="B7311" s="7" t="s">
        <v>1588</v>
      </c>
      <c r="C7311" s="12">
        <v>6676</v>
      </c>
      <c r="D7311" s="7" t="s">
        <v>10950</v>
      </c>
      <c r="E7311" s="13" t="s">
        <v>842</v>
      </c>
      <c r="F7311" t="str">
        <f t="shared" si="570"/>
        <v>UTSA</v>
      </c>
      <c r="G7311" t="str">
        <f t="shared" si="571"/>
        <v>UTSA6676San Antonio</v>
      </c>
      <c r="H7311" t="s">
        <v>38167</v>
      </c>
      <c r="I7311" t="s">
        <v>29583</v>
      </c>
      <c r="J7311" t="str">
        <f t="shared" si="572"/>
        <v>E:\PropInv\MF</v>
      </c>
      <c r="K7311" s="103" t="str">
        <f>HYPERLINK("E:\PropInv\MF\San Antonio\UTSA Blvd_6676_Avalon Place_San Antonio_18551","UTSA Blvd_6676_Avalon Place_San Antonio_18551" )</f>
        <v>UTSA Blvd_6676_Avalon Place_San Antonio_18551</v>
      </c>
      <c r="L7311" s="104" t="s">
        <v>22253</v>
      </c>
      <c r="M7311" s="103" t="str">
        <f t="shared" si="573"/>
        <v>http://oconnordata.com/mlink/modules/profile/index.cfm?action=profile&amp;prop_id=18551</v>
      </c>
      <c r="N7311" s="1">
        <f t="shared" si="574"/>
        <v>18551</v>
      </c>
    </row>
    <row r="7312" spans="1:14" x14ac:dyDescent="0.3">
      <c r="A7312" s="1">
        <v>18555</v>
      </c>
      <c r="B7312" s="7" t="s">
        <v>10704</v>
      </c>
      <c r="C7312" s="12">
        <v>1725</v>
      </c>
      <c r="D7312" s="7" t="s">
        <v>10951</v>
      </c>
      <c r="E7312" s="13" t="s">
        <v>8612</v>
      </c>
      <c r="F7312" t="str">
        <f t="shared" si="570"/>
        <v>Harvey</v>
      </c>
      <c r="G7312" t="str">
        <f t="shared" si="571"/>
        <v>Harvey1725College Station</v>
      </c>
      <c r="H7312" t="s">
        <v>38168</v>
      </c>
      <c r="I7312" t="s">
        <v>29584</v>
      </c>
      <c r="J7312" t="str">
        <f t="shared" si="572"/>
        <v>E:\PropInv\MF</v>
      </c>
      <c r="K7312" s="103" t="str">
        <f>HYPERLINK("E:\PropInv\MF\College Station\Harvey Mitchell Pkwy_1725_The Woodlands of College Station_College Station_18555","Harvey Mitchell Pkwy_1725_The Woodlands of College Station_College Station_18555" )</f>
        <v>Harvey Mitchell Pkwy_1725_The Woodlands of College Station_College Station_18555</v>
      </c>
      <c r="L7312" s="104" t="s">
        <v>22253</v>
      </c>
      <c r="M7312" s="103" t="str">
        <f t="shared" si="573"/>
        <v>http://oconnordata.com/mlink/modules/profile/index.cfm?action=profile&amp;prop_id=18555</v>
      </c>
      <c r="N7312" s="1">
        <f t="shared" si="574"/>
        <v>18555</v>
      </c>
    </row>
    <row r="7313" spans="1:14" x14ac:dyDescent="0.3">
      <c r="A7313" s="1">
        <v>18556</v>
      </c>
      <c r="B7313" s="7" t="s">
        <v>6637</v>
      </c>
      <c r="C7313" s="12">
        <v>8472</v>
      </c>
      <c r="D7313" s="7" t="s">
        <v>10952</v>
      </c>
      <c r="E7313" s="13" t="s">
        <v>5014</v>
      </c>
      <c r="F7313" t="str">
        <f t="shared" si="570"/>
        <v>Randol</v>
      </c>
      <c r="G7313" t="str">
        <f t="shared" si="571"/>
        <v>Randol8472Fort Worth</v>
      </c>
      <c r="H7313" t="s">
        <v>38169</v>
      </c>
      <c r="I7313" t="s">
        <v>29585</v>
      </c>
      <c r="J7313" t="str">
        <f t="shared" si="572"/>
        <v>E:\PropInv\MF</v>
      </c>
      <c r="K7313" s="103" t="str">
        <f>HYPERLINK("E:\PropInv\MF\Fort Worth\Randol Mill Rd_8472_Mill Stone_Fort Worth_18556","Randol Mill Rd_8472_Mill Stone_Fort Worth_18556" )</f>
        <v>Randol Mill Rd_8472_Mill Stone_Fort Worth_18556</v>
      </c>
      <c r="L7313" s="104" t="s">
        <v>22253</v>
      </c>
      <c r="M7313" s="103" t="str">
        <f t="shared" si="573"/>
        <v>http://oconnordata.com/mlink/modules/profile/index.cfm?action=profile&amp;prop_id=18556</v>
      </c>
      <c r="N7313" s="1">
        <f t="shared" si="574"/>
        <v>18556</v>
      </c>
    </row>
    <row r="7314" spans="1:14" x14ac:dyDescent="0.3">
      <c r="A7314" s="1">
        <v>18557</v>
      </c>
      <c r="B7314" s="37" t="s">
        <v>10953</v>
      </c>
      <c r="C7314" s="38">
        <v>1200</v>
      </c>
      <c r="D7314" s="29" t="s">
        <v>10954</v>
      </c>
      <c r="E7314" s="39" t="s">
        <v>5043</v>
      </c>
      <c r="F7314" t="str">
        <f t="shared" si="570"/>
        <v>Tennessee</v>
      </c>
      <c r="G7314" t="str">
        <f t="shared" si="571"/>
        <v>Tennessee1200McKinney</v>
      </c>
      <c r="H7314" t="s">
        <v>38170</v>
      </c>
      <c r="I7314" t="s">
        <v>29586</v>
      </c>
      <c r="J7314" t="str">
        <f t="shared" si="572"/>
        <v>E:\PropInv\MF</v>
      </c>
      <c r="K7314" s="103" t="str">
        <f>HYPERLINK("E:\PropInv\MF\McKinney\Tennessee St S_1200_Merritt Homes_McKinney_18557","Tennessee St S_1200_Merritt Homes_McKinney_18557" )</f>
        <v>Tennessee St S_1200_Merritt Homes_McKinney_18557</v>
      </c>
      <c r="L7314" s="104" t="s">
        <v>22253</v>
      </c>
      <c r="M7314" s="103" t="str">
        <f t="shared" si="573"/>
        <v>http://oconnordata.com/mlink/modules/profile/index.cfm?action=profile&amp;prop_id=18557</v>
      </c>
      <c r="N7314" s="1">
        <f t="shared" si="574"/>
        <v>18557</v>
      </c>
    </row>
    <row r="7315" spans="1:14" x14ac:dyDescent="0.3">
      <c r="A7315" s="1">
        <v>18558</v>
      </c>
      <c r="B7315" s="7" t="s">
        <v>6930</v>
      </c>
      <c r="C7315" s="12">
        <v>7112</v>
      </c>
      <c r="D7315" s="7" t="s">
        <v>10955</v>
      </c>
      <c r="E7315" s="13" t="s">
        <v>5009</v>
      </c>
      <c r="F7315" t="str">
        <f t="shared" si="570"/>
        <v>Chase</v>
      </c>
      <c r="G7315" t="str">
        <f t="shared" si="571"/>
        <v>Chase7112Plano</v>
      </c>
      <c r="H7315" t="s">
        <v>38171</v>
      </c>
      <c r="I7315" t="s">
        <v>29587</v>
      </c>
      <c r="J7315" t="str">
        <f t="shared" si="572"/>
        <v>E:\PropInv\MF</v>
      </c>
      <c r="K7315" s="103" t="str">
        <f>HYPERLINK("E:\PropInv\MF\Plano\Chase Oaks Blvd_7112_Tuscany Villas at Chase Oaks_Plano_18558","Chase Oaks Blvd_7112_Tuscany Villas at Chase Oaks_Plano_18558" )</f>
        <v>Chase Oaks Blvd_7112_Tuscany Villas at Chase Oaks_Plano_18558</v>
      </c>
      <c r="L7315" s="104" t="s">
        <v>22253</v>
      </c>
      <c r="M7315" s="103" t="str">
        <f t="shared" si="573"/>
        <v>http://oconnordata.com/mlink/modules/profile/index.cfm?action=profile&amp;prop_id=18558</v>
      </c>
      <c r="N7315" s="1">
        <f t="shared" si="574"/>
        <v>18558</v>
      </c>
    </row>
    <row r="7316" spans="1:14" x14ac:dyDescent="0.3">
      <c r="A7316" s="1">
        <v>18559</v>
      </c>
      <c r="B7316" s="7" t="s">
        <v>10956</v>
      </c>
      <c r="C7316" s="12">
        <v>6712</v>
      </c>
      <c r="D7316" s="7" t="s">
        <v>10957</v>
      </c>
      <c r="E7316" s="13" t="s">
        <v>4996</v>
      </c>
      <c r="F7316" t="str">
        <f t="shared" si="570"/>
        <v>Patrol</v>
      </c>
      <c r="G7316" t="str">
        <f t="shared" si="571"/>
        <v>Patrol6712Dallas</v>
      </c>
      <c r="H7316" t="s">
        <v>38172</v>
      </c>
      <c r="I7316" t="s">
        <v>29588</v>
      </c>
      <c r="J7316" t="str">
        <f t="shared" si="572"/>
        <v>E:\PropInv\MF</v>
      </c>
      <c r="K7316" s="103" t="str">
        <f>HYPERLINK("E:\PropInv\MF\Dallas\Patrol Way_6712_Magnolia Trace_Dallas_18559","Patrol Way_6712_Magnolia Trace_Dallas_18559" )</f>
        <v>Patrol Way_6712_Magnolia Trace_Dallas_18559</v>
      </c>
      <c r="L7316" s="104" t="s">
        <v>22253</v>
      </c>
      <c r="M7316" s="103" t="str">
        <f t="shared" si="573"/>
        <v>http://oconnordata.com/mlink/modules/profile/index.cfm?action=profile&amp;prop_id=18559</v>
      </c>
      <c r="N7316" s="1">
        <f t="shared" si="574"/>
        <v>18559</v>
      </c>
    </row>
    <row r="7317" spans="1:14" x14ac:dyDescent="0.3">
      <c r="A7317" s="1">
        <v>18561</v>
      </c>
      <c r="B7317" s="7" t="s">
        <v>7755</v>
      </c>
      <c r="C7317" s="12">
        <v>3101</v>
      </c>
      <c r="D7317" s="7" t="s">
        <v>10958</v>
      </c>
      <c r="E7317" s="13" t="s">
        <v>6578</v>
      </c>
      <c r="F7317" t="str">
        <f t="shared" si="570"/>
        <v>Mustang</v>
      </c>
      <c r="G7317" t="str">
        <f t="shared" si="571"/>
        <v>Mustang3101Grapevine</v>
      </c>
      <c r="H7317" t="s">
        <v>38173</v>
      </c>
      <c r="I7317" t="s">
        <v>29589</v>
      </c>
      <c r="J7317" t="str">
        <f t="shared" si="572"/>
        <v>E:\PropInv\MF</v>
      </c>
      <c r="K7317" s="103" t="str">
        <f>HYPERLINK("E:\PropInv\MF\Grapevine\Mustang Dr_3101_Village on the Creek_Grapevine_18561","Mustang Dr_3101_Village on the Creek_Grapevine_18561" )</f>
        <v>Mustang Dr_3101_Village on the Creek_Grapevine_18561</v>
      </c>
      <c r="L7317" s="104" t="s">
        <v>22253</v>
      </c>
      <c r="M7317" s="103" t="str">
        <f t="shared" si="573"/>
        <v>http://oconnordata.com/mlink/modules/profile/index.cfm?action=profile&amp;prop_id=18561</v>
      </c>
      <c r="N7317" s="1">
        <f t="shared" si="574"/>
        <v>18561</v>
      </c>
    </row>
    <row r="7318" spans="1:14" x14ac:dyDescent="0.3">
      <c r="A7318" s="1">
        <v>18562</v>
      </c>
      <c r="B7318" s="7" t="s">
        <v>10959</v>
      </c>
      <c r="C7318" s="12">
        <v>2150</v>
      </c>
      <c r="D7318" s="7" t="s">
        <v>10960</v>
      </c>
      <c r="E7318" s="13" t="s">
        <v>2198</v>
      </c>
      <c r="F7318" t="str">
        <f t="shared" si="570"/>
        <v>Katy</v>
      </c>
      <c r="G7318" t="str">
        <f t="shared" si="571"/>
        <v>Katy2150Katy</v>
      </c>
      <c r="H7318" t="s">
        <v>38174</v>
      </c>
      <c r="I7318" t="s">
        <v>29590</v>
      </c>
      <c r="J7318" t="str">
        <f t="shared" si="572"/>
        <v>E:\PropInv\MF</v>
      </c>
      <c r="K7318" s="103" t="str">
        <f>HYPERLINK("E:\PropInv\MF\Katy\Katy Fort Bend Rd_2150_The Marquis at Katy_Katy_18562","Katy Fort Bend Rd_2150_The Marquis at Katy_Katy_18562" )</f>
        <v>Katy Fort Bend Rd_2150_The Marquis at Katy_Katy_18562</v>
      </c>
      <c r="L7318" s="104" t="s">
        <v>22253</v>
      </c>
      <c r="M7318" s="103" t="str">
        <f t="shared" si="573"/>
        <v>http://oconnordata.com/mlink/modules/profile/index.cfm?action=profile&amp;prop_id=18562</v>
      </c>
      <c r="N7318" s="1">
        <f t="shared" si="574"/>
        <v>18562</v>
      </c>
    </row>
    <row r="7319" spans="1:14" x14ac:dyDescent="0.3">
      <c r="A7319" s="1">
        <v>18564</v>
      </c>
      <c r="B7319" s="7" t="s">
        <v>2054</v>
      </c>
      <c r="C7319" s="12">
        <v>7800</v>
      </c>
      <c r="D7319" s="7" t="s">
        <v>10961</v>
      </c>
      <c r="E7319" s="13" t="s">
        <v>1763</v>
      </c>
      <c r="F7319" t="str">
        <f t="shared" si="570"/>
        <v>Sam</v>
      </c>
      <c r="G7319" t="str">
        <f t="shared" si="571"/>
        <v>Sam7800Humble</v>
      </c>
      <c r="H7319" t="s">
        <v>38175</v>
      </c>
      <c r="I7319" t="s">
        <v>29591</v>
      </c>
      <c r="J7319" t="str">
        <f t="shared" si="572"/>
        <v>E:\PropInv\MF</v>
      </c>
      <c r="K7319" s="103" t="str">
        <f>HYPERLINK("E:\PropInv\MF\Humble\Sam Houston Pkwy E N_7800_ARIUM Fall Creek_Humble_18564","Sam Houston Pkwy E N_7800_ARIUM Fall Creek_Humble_18564" )</f>
        <v>Sam Houston Pkwy E N_7800_ARIUM Fall Creek_Humble_18564</v>
      </c>
      <c r="L7319" s="104" t="s">
        <v>22253</v>
      </c>
      <c r="M7319" s="103" t="str">
        <f t="shared" si="573"/>
        <v>http://oconnordata.com/mlink/modules/profile/index.cfm?action=profile&amp;prop_id=18564</v>
      </c>
      <c r="N7319" s="1">
        <f t="shared" si="574"/>
        <v>18564</v>
      </c>
    </row>
    <row r="7320" spans="1:14" x14ac:dyDescent="0.3">
      <c r="A7320" s="1">
        <v>18565</v>
      </c>
      <c r="B7320" s="7" t="s">
        <v>10962</v>
      </c>
      <c r="C7320" s="12">
        <v>1225</v>
      </c>
      <c r="D7320" s="7" t="s">
        <v>10963</v>
      </c>
      <c r="E7320" s="13" t="s">
        <v>6555</v>
      </c>
      <c r="F7320" t="str">
        <f t="shared" si="570"/>
        <v>Pecan</v>
      </c>
      <c r="G7320" t="str">
        <f t="shared" si="571"/>
        <v>Pecan1225Arlington</v>
      </c>
      <c r="H7320" t="s">
        <v>38176</v>
      </c>
      <c r="I7320" t="s">
        <v>29592</v>
      </c>
      <c r="J7320" t="str">
        <f t="shared" si="572"/>
        <v>E:\PropInv\MF</v>
      </c>
      <c r="K7320" s="103" t="str">
        <f>HYPERLINK("E:\PropInv\MF\Arlington\Pecan St S_1225_Johnson Creek Crossing_Arlington_18565","Pecan St S_1225_Johnson Creek Crossing_Arlington_18565" )</f>
        <v>Pecan St S_1225_Johnson Creek Crossing_Arlington_18565</v>
      </c>
      <c r="L7320" s="104" t="s">
        <v>22253</v>
      </c>
      <c r="M7320" s="103" t="str">
        <f t="shared" si="573"/>
        <v>http://oconnordata.com/mlink/modules/profile/index.cfm?action=profile&amp;prop_id=18565</v>
      </c>
      <c r="N7320" s="1">
        <f t="shared" si="574"/>
        <v>18565</v>
      </c>
    </row>
    <row r="7321" spans="1:14" x14ac:dyDescent="0.3">
      <c r="A7321" s="1">
        <v>18566</v>
      </c>
      <c r="B7321" s="7" t="s">
        <v>10964</v>
      </c>
      <c r="C7321" s="12">
        <v>3850</v>
      </c>
      <c r="D7321" s="7" t="s">
        <v>10965</v>
      </c>
      <c r="E7321" s="13" t="s">
        <v>5005</v>
      </c>
      <c r="F7321" t="str">
        <f t="shared" si="570"/>
        <v>Vitruvian</v>
      </c>
      <c r="G7321" t="str">
        <f t="shared" si="571"/>
        <v>Vitruvian3850Addison</v>
      </c>
      <c r="H7321" t="s">
        <v>38177</v>
      </c>
      <c r="I7321" t="s">
        <v>29593</v>
      </c>
      <c r="J7321" t="str">
        <f t="shared" si="572"/>
        <v>E:\PropInv\MF</v>
      </c>
      <c r="K7321" s="103" t="str">
        <f>HYPERLINK("E:\PropInv\MF\Addison\Vitruvian Way_3850_Savoye Squared (Vitruvian Park II)_Addison_18566","Vitruvian Way_3850_Savoye Squared (Vitruvian Park II)_Addison_18566" )</f>
        <v>Vitruvian Way_3850_Savoye Squared (Vitruvian Park II)_Addison_18566</v>
      </c>
      <c r="L7321" s="104" t="s">
        <v>22253</v>
      </c>
      <c r="M7321" s="103" t="str">
        <f t="shared" si="573"/>
        <v>http://oconnordata.com/mlink/modules/profile/index.cfm?action=profile&amp;prop_id=18566</v>
      </c>
      <c r="N7321" s="1">
        <f t="shared" si="574"/>
        <v>18566</v>
      </c>
    </row>
    <row r="7322" spans="1:14" x14ac:dyDescent="0.3">
      <c r="A7322" s="1">
        <v>18567</v>
      </c>
      <c r="B7322" s="7" t="s">
        <v>1647</v>
      </c>
      <c r="C7322" s="12">
        <v>19401</v>
      </c>
      <c r="D7322" s="7" t="s">
        <v>10966</v>
      </c>
      <c r="E7322" s="13" t="s">
        <v>1657</v>
      </c>
      <c r="F7322" t="str">
        <f t="shared" si="570"/>
        <v>Tomball</v>
      </c>
      <c r="G7322" t="str">
        <f t="shared" si="571"/>
        <v>Tomball19401Houston</v>
      </c>
      <c r="H7322" t="s">
        <v>38178</v>
      </c>
      <c r="I7322" t="s">
        <v>29594</v>
      </c>
      <c r="J7322" t="str">
        <f t="shared" si="572"/>
        <v>E:\PropInv\MF</v>
      </c>
      <c r="K7322" s="103" t="str">
        <f>HYPERLINK("E:\PropInv\MF\Houston\Tomball Pkwy_19401_The Discovery at Mandolin_Houston_18567","Tomball Pkwy_19401_The Discovery at Mandolin_Houston_18567" )</f>
        <v>Tomball Pkwy_19401_The Discovery at Mandolin_Houston_18567</v>
      </c>
      <c r="L7322" s="104" t="s">
        <v>22253</v>
      </c>
      <c r="M7322" s="103" t="str">
        <f t="shared" si="573"/>
        <v>http://oconnordata.com/mlink/modules/profile/index.cfm?action=profile&amp;prop_id=18567</v>
      </c>
      <c r="N7322" s="1">
        <f t="shared" si="574"/>
        <v>18567</v>
      </c>
    </row>
    <row r="7323" spans="1:14" x14ac:dyDescent="0.3">
      <c r="A7323" s="1">
        <v>18568</v>
      </c>
      <c r="B7323" s="7" t="s">
        <v>9574</v>
      </c>
      <c r="C7323" s="12">
        <v>2526</v>
      </c>
      <c r="D7323" s="7" t="s">
        <v>10967</v>
      </c>
      <c r="E7323" s="13" t="s">
        <v>4369</v>
      </c>
      <c r="F7323" t="str">
        <f t="shared" si="570"/>
        <v>Business</v>
      </c>
      <c r="G7323" t="str">
        <f t="shared" si="571"/>
        <v>Business2526Pearland</v>
      </c>
      <c r="H7323" t="s">
        <v>38179</v>
      </c>
      <c r="I7323" t="s">
        <v>29595</v>
      </c>
      <c r="J7323" t="str">
        <f t="shared" si="572"/>
        <v>E:\PropInv\MF</v>
      </c>
      <c r="K7323" s="103" t="str">
        <f>HYPERLINK("E:\PropInv\MF\Pearland\Business Center Dr_2526_The Discovery at Shadow Creek Ranch_Pearland_18568","Business Center Dr_2526_The Discovery at Shadow Creek Ranch_Pearland_18568" )</f>
        <v>Business Center Dr_2526_The Discovery at Shadow Creek Ranch_Pearland_18568</v>
      </c>
      <c r="L7323" s="104" t="s">
        <v>22253</v>
      </c>
      <c r="M7323" s="103" t="str">
        <f t="shared" si="573"/>
        <v>http://oconnordata.com/mlink/modules/profile/index.cfm?action=profile&amp;prop_id=18568</v>
      </c>
      <c r="N7323" s="1">
        <f t="shared" si="574"/>
        <v>18568</v>
      </c>
    </row>
    <row r="7324" spans="1:14" x14ac:dyDescent="0.3">
      <c r="A7324" s="1">
        <v>18570</v>
      </c>
      <c r="B7324" s="7" t="s">
        <v>10968</v>
      </c>
      <c r="C7324" s="12">
        <v>8550</v>
      </c>
      <c r="D7324" s="7" t="s">
        <v>10969</v>
      </c>
      <c r="E7324" s="13" t="s">
        <v>4996</v>
      </c>
      <c r="F7324" t="str">
        <f t="shared" si="570"/>
        <v>Midpark</v>
      </c>
      <c r="G7324" t="str">
        <f t="shared" si="571"/>
        <v>Midpark8550Dallas</v>
      </c>
      <c r="H7324" t="s">
        <v>38180</v>
      </c>
      <c r="I7324" t="s">
        <v>29596</v>
      </c>
      <c r="J7324" t="str">
        <f t="shared" si="572"/>
        <v>E:\PropInv\MF</v>
      </c>
      <c r="K7324" s="103" t="str">
        <f>HYPERLINK("E:\PropInv\MF\Dallas\Midpark Rd_8550_Midpark Towers_Dallas_18570","Midpark Rd_8550_Midpark Towers_Dallas_18570" )</f>
        <v>Midpark Rd_8550_Midpark Towers_Dallas_18570</v>
      </c>
      <c r="L7324" s="104" t="s">
        <v>22253</v>
      </c>
      <c r="M7324" s="103" t="str">
        <f t="shared" si="573"/>
        <v>http://oconnordata.com/mlink/modules/profile/index.cfm?action=profile&amp;prop_id=18570</v>
      </c>
      <c r="N7324" s="1">
        <f t="shared" si="574"/>
        <v>18570</v>
      </c>
    </row>
    <row r="7325" spans="1:14" x14ac:dyDescent="0.3">
      <c r="A7325" s="1">
        <v>18571</v>
      </c>
      <c r="B7325" s="7" t="s">
        <v>10970</v>
      </c>
      <c r="C7325" s="12">
        <v>305</v>
      </c>
      <c r="D7325" s="7" t="s">
        <v>10971</v>
      </c>
      <c r="E7325" s="13" t="s">
        <v>7</v>
      </c>
      <c r="F7325" t="str">
        <f t="shared" si="570"/>
        <v>Yager</v>
      </c>
      <c r="G7325" t="str">
        <f t="shared" si="571"/>
        <v>Yager305Austin</v>
      </c>
      <c r="H7325" t="s">
        <v>38181</v>
      </c>
      <c r="I7325" t="s">
        <v>29597</v>
      </c>
      <c r="J7325" t="str">
        <f t="shared" si="572"/>
        <v>E:\PropInv\MF</v>
      </c>
      <c r="K7325" s="103" t="str">
        <f>HYPERLINK("E:\PropInv\MF\Austin\Yager Ln E_305_ARIUM Tech Ridge_Austin_18571","Yager Ln E_305_ARIUM Tech Ridge_Austin_18571" )</f>
        <v>Yager Ln E_305_ARIUM Tech Ridge_Austin_18571</v>
      </c>
      <c r="L7325" s="104" t="s">
        <v>22253</v>
      </c>
      <c r="M7325" s="103" t="str">
        <f t="shared" si="573"/>
        <v>http://oconnordata.com/mlink/modules/profile/index.cfm?action=profile&amp;prop_id=18571</v>
      </c>
      <c r="N7325" s="1">
        <f t="shared" si="574"/>
        <v>18571</v>
      </c>
    </row>
    <row r="7326" spans="1:14" x14ac:dyDescent="0.3">
      <c r="A7326" s="1">
        <v>18572</v>
      </c>
      <c r="B7326" s="7" t="s">
        <v>10253</v>
      </c>
      <c r="C7326" s="12">
        <v>520</v>
      </c>
      <c r="D7326" s="7" t="s">
        <v>10972</v>
      </c>
      <c r="E7326" s="13" t="s">
        <v>5014</v>
      </c>
      <c r="F7326" t="str">
        <f t="shared" si="570"/>
        <v>Samuels</v>
      </c>
      <c r="G7326" t="str">
        <f t="shared" si="571"/>
        <v>Samuels520Fort Worth</v>
      </c>
      <c r="H7326" t="s">
        <v>38182</v>
      </c>
      <c r="I7326" t="s">
        <v>29598</v>
      </c>
      <c r="J7326" t="str">
        <f t="shared" si="572"/>
        <v>E:\PropInv\MF</v>
      </c>
      <c r="K7326" s="103" t="str">
        <f>HYPERLINK("E:\PropInv\MF\Fort Worth\Samuels Ave_520_Lincoln Park at Trinity Bluff TH_Fort Worth_18572","Samuels Ave_520_Lincoln Park at Trinity Bluff TH_Fort Worth_18572" )</f>
        <v>Samuels Ave_520_Lincoln Park at Trinity Bluff TH_Fort Worth_18572</v>
      </c>
      <c r="L7326" s="104" t="s">
        <v>22253</v>
      </c>
      <c r="M7326" s="103" t="str">
        <f t="shared" si="573"/>
        <v>http://oconnordata.com/mlink/modules/profile/index.cfm?action=profile&amp;prop_id=18572</v>
      </c>
      <c r="N7326" s="1">
        <f t="shared" si="574"/>
        <v>18572</v>
      </c>
    </row>
    <row r="7327" spans="1:14" x14ac:dyDescent="0.3">
      <c r="A7327" s="1">
        <v>18573</v>
      </c>
      <c r="B7327" s="7" t="s">
        <v>10973</v>
      </c>
      <c r="C7327" s="12">
        <v>24333</v>
      </c>
      <c r="D7327" s="7" t="s">
        <v>10974</v>
      </c>
      <c r="E7327" s="13" t="s">
        <v>2198</v>
      </c>
      <c r="F7327" t="str">
        <f t="shared" si="570"/>
        <v>Cinco</v>
      </c>
      <c r="G7327" t="str">
        <f t="shared" si="571"/>
        <v>Cinco24333Katy</v>
      </c>
      <c r="H7327" t="s">
        <v>38183</v>
      </c>
      <c r="I7327" t="s">
        <v>29599</v>
      </c>
      <c r="J7327" t="str">
        <f t="shared" si="572"/>
        <v>E:\PropInv\MF</v>
      </c>
      <c r="K7327" s="103" t="str">
        <f>HYPERLINK("E:\PropInv\MF\Katy\Cinco Terrace Dr_24333_Park at Cinco Ranch_Katy_18573","Cinco Terrace Dr_24333_Park at Cinco Ranch_Katy_18573" )</f>
        <v>Cinco Terrace Dr_24333_Park at Cinco Ranch_Katy_18573</v>
      </c>
      <c r="L7327" s="104" t="s">
        <v>22253</v>
      </c>
      <c r="M7327" s="103" t="str">
        <f t="shared" si="573"/>
        <v>http://oconnordata.com/mlink/modules/profile/index.cfm?action=profile&amp;prop_id=18573</v>
      </c>
      <c r="N7327" s="1">
        <f t="shared" si="574"/>
        <v>18573</v>
      </c>
    </row>
    <row r="7328" spans="1:14" x14ac:dyDescent="0.3">
      <c r="A7328" s="1">
        <v>18575</v>
      </c>
      <c r="B7328" s="37" t="s">
        <v>10975</v>
      </c>
      <c r="C7328" s="38">
        <v>350</v>
      </c>
      <c r="D7328" s="29" t="s">
        <v>5590</v>
      </c>
      <c r="E7328" s="39" t="s">
        <v>5009</v>
      </c>
      <c r="F7328" t="str">
        <f t="shared" si="570"/>
        <v>Vistacourt</v>
      </c>
      <c r="G7328" t="str">
        <f t="shared" si="571"/>
        <v>Vistacourt350Plano</v>
      </c>
      <c r="H7328" t="s">
        <v>38184</v>
      </c>
      <c r="I7328" t="s">
        <v>29600</v>
      </c>
      <c r="J7328" t="str">
        <f t="shared" si="572"/>
        <v>E:\PropInv\MF</v>
      </c>
      <c r="K7328" s="103" t="str">
        <f>HYPERLINK("E:\PropInv\MF\Plano\Vistacourt Dr_350_Gateway_Plano_18575","Vistacourt Dr_350_Gateway_Plano_18575" )</f>
        <v>Vistacourt Dr_350_Gateway_Plano_18575</v>
      </c>
      <c r="L7328" s="104" t="s">
        <v>22253</v>
      </c>
      <c r="M7328" s="103" t="str">
        <f t="shared" si="573"/>
        <v>http://oconnordata.com/mlink/modules/profile/index.cfm?action=profile&amp;prop_id=18575</v>
      </c>
      <c r="N7328" s="1">
        <f t="shared" si="574"/>
        <v>18575</v>
      </c>
    </row>
    <row r="7329" spans="1:14" x14ac:dyDescent="0.3">
      <c r="A7329" s="1">
        <v>18576</v>
      </c>
      <c r="B7329" s="7" t="s">
        <v>10976</v>
      </c>
      <c r="C7329" s="12">
        <v>1350</v>
      </c>
      <c r="D7329" s="7" t="s">
        <v>10977</v>
      </c>
      <c r="E7329" s="13" t="s">
        <v>6898</v>
      </c>
      <c r="F7329" t="str">
        <f t="shared" si="570"/>
        <v>Alsbury</v>
      </c>
      <c r="G7329" t="str">
        <f t="shared" si="571"/>
        <v>Alsbury1350Burleson</v>
      </c>
      <c r="H7329" t="s">
        <v>38185</v>
      </c>
      <c r="I7329" t="s">
        <v>29601</v>
      </c>
      <c r="J7329" t="str">
        <f t="shared" si="572"/>
        <v>E:\PropInv\MF</v>
      </c>
      <c r="K7329" s="103" t="str">
        <f>HYPERLINK("E:\PropInv\MF\Burleson\Alsbury Blvd SW_1350_Encore Alsbury_Burleson_18576","Alsbury Blvd SW_1350_Encore Alsbury_Burleson_18576" )</f>
        <v>Alsbury Blvd SW_1350_Encore Alsbury_Burleson_18576</v>
      </c>
      <c r="L7329" s="104" t="s">
        <v>22253</v>
      </c>
      <c r="M7329" s="103" t="str">
        <f t="shared" si="573"/>
        <v>http://oconnordata.com/mlink/modules/profile/index.cfm?action=profile&amp;prop_id=18576</v>
      </c>
      <c r="N7329" s="1">
        <f t="shared" si="574"/>
        <v>18576</v>
      </c>
    </row>
    <row r="7330" spans="1:14" x14ac:dyDescent="0.3">
      <c r="A7330" s="1">
        <v>18577</v>
      </c>
      <c r="B7330" s="21" t="s">
        <v>3090</v>
      </c>
      <c r="C7330" s="12">
        <v>350</v>
      </c>
      <c r="D7330" s="7" t="s">
        <v>10978</v>
      </c>
      <c r="E7330" s="13" t="s">
        <v>498</v>
      </c>
      <c r="F7330" t="str">
        <f t="shared" si="570"/>
        <v>N</v>
      </c>
      <c r="G7330" t="str">
        <f t="shared" si="571"/>
        <v>N350San Marcos</v>
      </c>
      <c r="H7330" t="s">
        <v>38186</v>
      </c>
      <c r="I7330" t="s">
        <v>29602</v>
      </c>
      <c r="J7330" t="str">
        <f t="shared" si="572"/>
        <v>E:\PropInv\MF</v>
      </c>
      <c r="K7330" s="103" t="str">
        <f>HYPERLINK("E:\PropInv\MF\San Marcos\N St_350_The Sanctuary Lofts_San Marcos_18577","N St_350_The Sanctuary Lofts_San Marcos_18577" )</f>
        <v>N St_350_The Sanctuary Lofts_San Marcos_18577</v>
      </c>
      <c r="L7330" s="104" t="s">
        <v>22253</v>
      </c>
      <c r="M7330" s="103" t="str">
        <f t="shared" si="573"/>
        <v>http://oconnordata.com/mlink/modules/profile/index.cfm?action=profile&amp;prop_id=18577</v>
      </c>
      <c r="N7330" s="1">
        <f t="shared" si="574"/>
        <v>18577</v>
      </c>
    </row>
    <row r="7331" spans="1:14" x14ac:dyDescent="0.3">
      <c r="A7331" s="1">
        <v>18578</v>
      </c>
      <c r="B7331" s="7" t="s">
        <v>10979</v>
      </c>
      <c r="C7331" s="12">
        <v>1701</v>
      </c>
      <c r="D7331" s="7" t="s">
        <v>10980</v>
      </c>
      <c r="E7331" s="13" t="s">
        <v>5043</v>
      </c>
      <c r="F7331" t="str">
        <f t="shared" si="570"/>
        <v>Park</v>
      </c>
      <c r="G7331" t="str">
        <f t="shared" si="571"/>
        <v>Park1701McKinney</v>
      </c>
      <c r="H7331" t="s">
        <v>38187</v>
      </c>
      <c r="I7331" t="s">
        <v>29603</v>
      </c>
      <c r="J7331" t="str">
        <f t="shared" si="572"/>
        <v>E:\PropInv\MF</v>
      </c>
      <c r="K7331" s="103" t="str">
        <f>HYPERLINK("E:\PropInv\MF\McKinney\Park Central Dr_1701_Parkview Legends_McKinney_18578","Park Central Dr_1701_Parkview Legends_McKinney_18578" )</f>
        <v>Park Central Dr_1701_Parkview Legends_McKinney_18578</v>
      </c>
      <c r="L7331" s="104" t="s">
        <v>22253</v>
      </c>
      <c r="M7331" s="103" t="str">
        <f t="shared" si="573"/>
        <v>http://oconnordata.com/mlink/modules/profile/index.cfm?action=profile&amp;prop_id=18578</v>
      </c>
      <c r="N7331" s="1">
        <f t="shared" si="574"/>
        <v>18578</v>
      </c>
    </row>
    <row r="7332" spans="1:14" x14ac:dyDescent="0.3">
      <c r="A7332" s="1">
        <v>18579</v>
      </c>
      <c r="B7332" s="7" t="s">
        <v>4922</v>
      </c>
      <c r="C7332" s="12">
        <v>705</v>
      </c>
      <c r="D7332" s="7" t="s">
        <v>10981</v>
      </c>
      <c r="E7332" s="13" t="s">
        <v>912</v>
      </c>
      <c r="F7332" t="str">
        <f t="shared" si="570"/>
        <v>Village</v>
      </c>
      <c r="G7332" t="str">
        <f t="shared" si="571"/>
        <v>Village705New Braunfels</v>
      </c>
      <c r="H7332" t="s">
        <v>38188</v>
      </c>
      <c r="I7332" t="s">
        <v>18186</v>
      </c>
      <c r="J7332" t="str">
        <f t="shared" si="572"/>
        <v>E:\PropInv\MF</v>
      </c>
      <c r="K7332" s="103" t="str">
        <f>HYPERLINK("E:\PropInv\MF\New Braunfels\Village Way_705_Cotton Crossing_New Braunfels_18579","Village Way_705_Cotton Crossing_New Braunfels_18579" )</f>
        <v>Village Way_705_Cotton Crossing_New Braunfels_18579</v>
      </c>
      <c r="L7332" s="104" t="s">
        <v>22253</v>
      </c>
      <c r="M7332" s="103" t="str">
        <f t="shared" si="573"/>
        <v>http://oconnordata.com/mlink/modules/profile/index.cfm?action=profile&amp;prop_id=18579</v>
      </c>
      <c r="N7332" s="1">
        <f t="shared" si="574"/>
        <v>18579</v>
      </c>
    </row>
    <row r="7333" spans="1:14" s="124" customFormat="1" x14ac:dyDescent="0.3">
      <c r="A7333" s="121">
        <v>18581</v>
      </c>
      <c r="B7333" s="122" t="s">
        <v>8930</v>
      </c>
      <c r="C7333" s="123">
        <v>1231</v>
      </c>
      <c r="D7333" s="122" t="s">
        <v>8931</v>
      </c>
      <c r="E7333" s="122" t="s">
        <v>912</v>
      </c>
      <c r="F7333" s="124" t="str">
        <f t="shared" si="570"/>
        <v>Huisache</v>
      </c>
      <c r="G7333" s="124" t="str">
        <f t="shared" si="571"/>
        <v>Huisache1231New Braunfels</v>
      </c>
      <c r="H7333" s="124" t="s">
        <v>38189</v>
      </c>
      <c r="I7333" s="124" t="s">
        <v>18184</v>
      </c>
      <c r="J7333" s="124" t="str">
        <f t="shared" si="572"/>
        <v>E:\PropInv\MF</v>
      </c>
      <c r="K7333" s="125" t="str">
        <f>HYPERLINK("E:\PropInv\MF\New Braunfels\Huisache Ave_1231_Braunfels Place_New Braunfels_18581","Huisache Ave_1231_Braunfels Place_New Braunfels_18581" )</f>
        <v>Huisache Ave_1231_Braunfels Place_New Braunfels_18581</v>
      </c>
      <c r="L7333" s="126" t="s">
        <v>22253</v>
      </c>
      <c r="M7333" s="125" t="str">
        <f t="shared" si="573"/>
        <v>http://oconnordata.com/mlink/modules/profile/index.cfm?action=profile&amp;prop_id=18581</v>
      </c>
      <c r="N7333" s="121">
        <f t="shared" si="574"/>
        <v>18581</v>
      </c>
    </row>
    <row r="7334" spans="1:14" x14ac:dyDescent="0.3">
      <c r="A7334" s="1">
        <v>18584</v>
      </c>
      <c r="B7334" s="7" t="s">
        <v>10982</v>
      </c>
      <c r="C7334" s="12">
        <v>16505</v>
      </c>
      <c r="D7334" s="7" t="s">
        <v>10983</v>
      </c>
      <c r="E7334" s="13" t="s">
        <v>9949</v>
      </c>
      <c r="F7334" t="str">
        <f t="shared" si="570"/>
        <v>Lookout</v>
      </c>
      <c r="G7334" t="str">
        <f t="shared" si="571"/>
        <v>Lookout16505Selma</v>
      </c>
      <c r="H7334" t="s">
        <v>39461</v>
      </c>
      <c r="I7334" t="s">
        <v>39462</v>
      </c>
      <c r="J7334" t="str">
        <f t="shared" si="572"/>
        <v>E:\PropInv\MF</v>
      </c>
      <c r="K7334" s="103" t="str">
        <f>HYPERLINK("E:\PropInv\MF\Selma\Lookout Hollow Cir_16505_Lookout Hollow_Selma_18584","Lookout Hollow Cir_16505_Lookout Hollow_Selma_18584" )</f>
        <v>Lookout Hollow Cir_16505_Lookout Hollow_Selma_18584</v>
      </c>
      <c r="L7334" s="104" t="s">
        <v>22253</v>
      </c>
      <c r="M7334" s="103" t="str">
        <f t="shared" si="573"/>
        <v>http://oconnordata.com/mlink/modules/profile/index.cfm?action=profile&amp;prop_id=18584</v>
      </c>
      <c r="N7334" s="1">
        <f t="shared" si="574"/>
        <v>18584</v>
      </c>
    </row>
    <row r="7335" spans="1:14" x14ac:dyDescent="0.3">
      <c r="A7335" s="1">
        <v>18585</v>
      </c>
      <c r="B7335" s="7" t="s">
        <v>1070</v>
      </c>
      <c r="C7335" s="12">
        <v>7838</v>
      </c>
      <c r="D7335" s="7" t="s">
        <v>10984</v>
      </c>
      <c r="E7335" s="13" t="s">
        <v>842</v>
      </c>
      <c r="F7335" t="str">
        <f t="shared" si="570"/>
        <v>Huebner</v>
      </c>
      <c r="G7335" t="str">
        <f t="shared" si="571"/>
        <v>Huebner7838San Antonio</v>
      </c>
      <c r="H7335" t="s">
        <v>38190</v>
      </c>
      <c r="I7335" t="s">
        <v>29604</v>
      </c>
      <c r="J7335" t="str">
        <f t="shared" si="572"/>
        <v>E:\PropInv\MF</v>
      </c>
      <c r="K7335" s="103" t="str">
        <f>HYPERLINK("E:\PropInv\MF\San Antonio\Huebner Rd_7838_Boardwalk Med Center_San Antonio_18585","Huebner Rd_7838_Boardwalk Med Center_San Antonio_18585" )</f>
        <v>Huebner Rd_7838_Boardwalk Med Center_San Antonio_18585</v>
      </c>
      <c r="L7335" s="104" t="s">
        <v>22253</v>
      </c>
      <c r="M7335" s="103" t="str">
        <f t="shared" si="573"/>
        <v>http://oconnordata.com/mlink/modules/profile/index.cfm?action=profile&amp;prop_id=18585</v>
      </c>
      <c r="N7335" s="1">
        <f t="shared" si="574"/>
        <v>18585</v>
      </c>
    </row>
    <row r="7336" spans="1:14" x14ac:dyDescent="0.3">
      <c r="A7336" s="1">
        <v>18586</v>
      </c>
      <c r="B7336" s="7" t="s">
        <v>10985</v>
      </c>
      <c r="C7336" s="12">
        <v>339</v>
      </c>
      <c r="D7336" s="7" t="s">
        <v>10986</v>
      </c>
      <c r="E7336" s="13" t="s">
        <v>842</v>
      </c>
      <c r="F7336" t="str">
        <f t="shared" si="570"/>
        <v>39th</v>
      </c>
      <c r="G7336" t="str">
        <f t="shared" si="571"/>
        <v>39th339San Antonio</v>
      </c>
      <c r="H7336" t="s">
        <v>38191</v>
      </c>
      <c r="I7336" t="s">
        <v>29605</v>
      </c>
      <c r="J7336" t="str">
        <f t="shared" si="572"/>
        <v>E:\PropInv\MF</v>
      </c>
      <c r="K7336" s="103" t="str">
        <f>HYPERLINK("E:\PropInv\MF\San Antonio\39th St SW_339_Casitas de Villa Corona Senior Housing_San Antonio_18586","39th St SW_339_Casitas de Villa Corona Senior Housing_San Antonio_18586" )</f>
        <v>39th St SW_339_Casitas de Villa Corona Senior Housing_San Antonio_18586</v>
      </c>
      <c r="L7336" s="104" t="s">
        <v>22253</v>
      </c>
      <c r="M7336" s="103" t="str">
        <f t="shared" si="573"/>
        <v>http://oconnordata.com/mlink/modules/profile/index.cfm?action=profile&amp;prop_id=18586</v>
      </c>
      <c r="N7336" s="1">
        <f t="shared" si="574"/>
        <v>18586</v>
      </c>
    </row>
    <row r="7337" spans="1:14" x14ac:dyDescent="0.3">
      <c r="A7337" s="1">
        <v>18589</v>
      </c>
      <c r="B7337" s="7" t="s">
        <v>2405</v>
      </c>
      <c r="C7337" s="12">
        <v>880</v>
      </c>
      <c r="D7337" s="7" t="s">
        <v>10987</v>
      </c>
      <c r="E7337" s="13" t="s">
        <v>1657</v>
      </c>
      <c r="F7337" t="str">
        <f t="shared" si="570"/>
        <v>34th</v>
      </c>
      <c r="G7337" t="str">
        <f t="shared" si="571"/>
        <v>34th880Houston</v>
      </c>
      <c r="H7337" t="s">
        <v>38192</v>
      </c>
      <c r="I7337" t="s">
        <v>29606</v>
      </c>
      <c r="J7337" t="str">
        <f t="shared" si="572"/>
        <v>E:\PropInv\MF</v>
      </c>
      <c r="K7337" s="103" t="str">
        <f>HYPERLINK("E:\PropInv\MF\Houston\34th St W_880_The Orchard at Garden Oaks_Houston_18589","34th St W_880_The Orchard at Garden Oaks_Houston_18589" )</f>
        <v>34th St W_880_The Orchard at Garden Oaks_Houston_18589</v>
      </c>
      <c r="L7337" s="104" t="s">
        <v>22253</v>
      </c>
      <c r="M7337" s="103" t="str">
        <f t="shared" si="573"/>
        <v>http://oconnordata.com/mlink/modules/profile/index.cfm?action=profile&amp;prop_id=18589</v>
      </c>
      <c r="N7337" s="1">
        <f t="shared" si="574"/>
        <v>18589</v>
      </c>
    </row>
    <row r="7338" spans="1:14" x14ac:dyDescent="0.3">
      <c r="A7338" s="1">
        <v>18592</v>
      </c>
      <c r="B7338" s="7" t="s">
        <v>10081</v>
      </c>
      <c r="C7338" s="45">
        <v>7950.5</v>
      </c>
      <c r="D7338" s="7" t="s">
        <v>10988</v>
      </c>
      <c r="E7338" s="13" t="s">
        <v>1657</v>
      </c>
      <c r="F7338" t="str">
        <f t="shared" si="570"/>
        <v>Sam</v>
      </c>
      <c r="G7338" t="str">
        <f t="shared" si="571"/>
        <v>Sam7950.5Houston</v>
      </c>
      <c r="H7338" t="s">
        <v>38193</v>
      </c>
      <c r="I7338" t="s">
        <v>29607</v>
      </c>
      <c r="J7338" t="str">
        <f t="shared" si="572"/>
        <v>E:\PropInv\MF</v>
      </c>
      <c r="K7338" s="103" t="str">
        <f>HYPERLINK("E:\PropInv\MF\Houston\Sam Houston Pkwy W S_7950.5_Floral Gardens_Houston_18592","Sam Houston Pkwy W S_7950.5_Floral Gardens_Houston_18592" )</f>
        <v>Sam Houston Pkwy W S_7950.5_Floral Gardens_Houston_18592</v>
      </c>
      <c r="L7338" s="104" t="s">
        <v>22253</v>
      </c>
      <c r="M7338" s="103" t="str">
        <f t="shared" si="573"/>
        <v>http://oconnordata.com/mlink/modules/profile/index.cfm?action=profile&amp;prop_id=18592</v>
      </c>
      <c r="N7338" s="1">
        <f t="shared" si="574"/>
        <v>18592</v>
      </c>
    </row>
    <row r="7339" spans="1:14" x14ac:dyDescent="0.3">
      <c r="A7339" s="1">
        <v>18593</v>
      </c>
      <c r="B7339" s="7" t="s">
        <v>10989</v>
      </c>
      <c r="C7339" s="12">
        <v>4004</v>
      </c>
      <c r="D7339" s="7" t="s">
        <v>10990</v>
      </c>
      <c r="E7339" s="13" t="s">
        <v>1657</v>
      </c>
      <c r="F7339" t="str">
        <f t="shared" si="570"/>
        <v>Irvington</v>
      </c>
      <c r="G7339" t="str">
        <f t="shared" si="571"/>
        <v>Irvington4004Houston</v>
      </c>
      <c r="H7339" t="s">
        <v>38194</v>
      </c>
      <c r="I7339" t="s">
        <v>29608</v>
      </c>
      <c r="J7339" t="str">
        <f t="shared" si="572"/>
        <v>E:\PropInv\MF</v>
      </c>
      <c r="K7339" s="103" t="str">
        <f>HYPERLINK("E:\PropInv\MF\Houston\Irvington Blvd_4004_Avenue Terrace_Houston_18593","Irvington Blvd_4004_Avenue Terrace_Houston_18593" )</f>
        <v>Irvington Blvd_4004_Avenue Terrace_Houston_18593</v>
      </c>
      <c r="L7339" s="104" t="s">
        <v>22253</v>
      </c>
      <c r="M7339" s="103" t="str">
        <f t="shared" si="573"/>
        <v>http://oconnordata.com/mlink/modules/profile/index.cfm?action=profile&amp;prop_id=18593</v>
      </c>
      <c r="N7339" s="1">
        <f t="shared" si="574"/>
        <v>18593</v>
      </c>
    </row>
    <row r="7340" spans="1:14" x14ac:dyDescent="0.3">
      <c r="A7340" s="1">
        <v>18594</v>
      </c>
      <c r="B7340" s="7" t="s">
        <v>10991</v>
      </c>
      <c r="C7340" s="12">
        <v>7211</v>
      </c>
      <c r="D7340" s="7" t="s">
        <v>10992</v>
      </c>
      <c r="E7340" s="13" t="s">
        <v>1657</v>
      </c>
      <c r="F7340" t="str">
        <f t="shared" si="570"/>
        <v>Northline</v>
      </c>
      <c r="G7340" t="str">
        <f t="shared" si="571"/>
        <v>Northline7211Houston</v>
      </c>
      <c r="H7340" t="s">
        <v>38195</v>
      </c>
      <c r="I7340" t="s">
        <v>29609</v>
      </c>
      <c r="J7340" t="str">
        <f t="shared" si="572"/>
        <v>E:\PropInv\MF</v>
      </c>
      <c r="K7340" s="103" t="str">
        <f>HYPERLINK("E:\PropInv\MF\Houston\Northline Dr_7211_Northline AH_Houston_18594","Northline Dr_7211_Northline AH_Houston_18594" )</f>
        <v>Northline Dr_7211_Northline AH_Houston_18594</v>
      </c>
      <c r="L7340" s="104" t="s">
        <v>22253</v>
      </c>
      <c r="M7340" s="103" t="str">
        <f t="shared" si="573"/>
        <v>http://oconnordata.com/mlink/modules/profile/index.cfm?action=profile&amp;prop_id=18594</v>
      </c>
      <c r="N7340" s="1">
        <f t="shared" si="574"/>
        <v>18594</v>
      </c>
    </row>
    <row r="7341" spans="1:14" x14ac:dyDescent="0.3">
      <c r="A7341" s="1">
        <v>18595</v>
      </c>
      <c r="B7341" s="7" t="s">
        <v>3361</v>
      </c>
      <c r="C7341" s="12">
        <v>13650</v>
      </c>
      <c r="D7341" s="7" t="s">
        <v>10993</v>
      </c>
      <c r="E7341" s="13" t="s">
        <v>1657</v>
      </c>
      <c r="F7341" t="str">
        <f t="shared" si="570"/>
        <v>Beechnut</v>
      </c>
      <c r="G7341" t="str">
        <f t="shared" si="571"/>
        <v>Beechnut13650Houston</v>
      </c>
      <c r="H7341" t="s">
        <v>38196</v>
      </c>
      <c r="I7341" t="s">
        <v>29610</v>
      </c>
      <c r="J7341" t="str">
        <f t="shared" si="572"/>
        <v>E:\PropInv\MF</v>
      </c>
      <c r="K7341" s="103" t="str">
        <f>HYPERLINK("E:\PropInv\MF\Houston\Beechnut St_13650_Campanile on Eldridge_Houston_18595","Beechnut St_13650_Campanile on Eldridge_Houston_18595" )</f>
        <v>Beechnut St_13650_Campanile on Eldridge_Houston_18595</v>
      </c>
      <c r="L7341" s="104" t="s">
        <v>22253</v>
      </c>
      <c r="M7341" s="103" t="str">
        <f t="shared" si="573"/>
        <v>http://oconnordata.com/mlink/modules/profile/index.cfm?action=profile&amp;prop_id=18595</v>
      </c>
      <c r="N7341" s="1">
        <f t="shared" si="574"/>
        <v>18595</v>
      </c>
    </row>
    <row r="7342" spans="1:14" x14ac:dyDescent="0.3">
      <c r="A7342" s="1">
        <v>18596</v>
      </c>
      <c r="B7342" s="7" t="s">
        <v>10994</v>
      </c>
      <c r="C7342" s="12">
        <v>9590</v>
      </c>
      <c r="D7342" s="7" t="s">
        <v>10995</v>
      </c>
      <c r="E7342" s="13" t="s">
        <v>1657</v>
      </c>
      <c r="F7342" t="str">
        <f t="shared" si="570"/>
        <v>Minnesota</v>
      </c>
      <c r="G7342" t="str">
        <f t="shared" si="571"/>
        <v>Minnesota9590Houston</v>
      </c>
      <c r="H7342" t="s">
        <v>38197</v>
      </c>
      <c r="I7342" t="s">
        <v>29611</v>
      </c>
      <c r="J7342" t="str">
        <f t="shared" si="572"/>
        <v>E:\PropInv\MF</v>
      </c>
      <c r="K7342" s="103" t="str">
        <f>HYPERLINK("E:\PropInv\MF\Houston\Minnesota St_9590_Sterling Court Senior Residences_Houston_18596","Minnesota St_9590_Sterling Court Senior Residences_Houston_18596" )</f>
        <v>Minnesota St_9590_Sterling Court Senior Residences_Houston_18596</v>
      </c>
      <c r="L7342" s="104" t="s">
        <v>22253</v>
      </c>
      <c r="M7342" s="103" t="str">
        <f t="shared" si="573"/>
        <v>http://oconnordata.com/mlink/modules/profile/index.cfm?action=profile&amp;prop_id=18596</v>
      </c>
      <c r="N7342" s="1">
        <f t="shared" si="574"/>
        <v>18596</v>
      </c>
    </row>
    <row r="7343" spans="1:14" x14ac:dyDescent="0.3">
      <c r="A7343" s="1">
        <v>18597</v>
      </c>
      <c r="B7343" s="21" t="s">
        <v>2093</v>
      </c>
      <c r="C7343" s="12">
        <v>19015</v>
      </c>
      <c r="D7343" s="7" t="s">
        <v>10996</v>
      </c>
      <c r="E7343" s="13" t="s">
        <v>1818</v>
      </c>
      <c r="F7343" t="str">
        <f t="shared" si="570"/>
        <v>W</v>
      </c>
      <c r="G7343" t="str">
        <f t="shared" si="571"/>
        <v>W19015Cypress</v>
      </c>
      <c r="H7343" t="s">
        <v>38198</v>
      </c>
      <c r="I7343" t="s">
        <v>29612</v>
      </c>
      <c r="J7343" t="str">
        <f t="shared" si="572"/>
        <v>E:\PropInv\MF</v>
      </c>
      <c r="K7343" s="103" t="str">
        <f>HYPERLINK("E:\PropInv\MF\Cypress\W Rd_19015_Greenhouse Village_Cypress_18597","W Rd_19015_Greenhouse Village_Cypress_18597" )</f>
        <v>W Rd_19015_Greenhouse Village_Cypress_18597</v>
      </c>
      <c r="L7343" s="104" t="s">
        <v>22253</v>
      </c>
      <c r="M7343" s="103" t="str">
        <f t="shared" si="573"/>
        <v>http://oconnordata.com/mlink/modules/profile/index.cfm?action=profile&amp;prop_id=18597</v>
      </c>
      <c r="N7343" s="1">
        <f t="shared" si="574"/>
        <v>18597</v>
      </c>
    </row>
    <row r="7344" spans="1:14" x14ac:dyDescent="0.3">
      <c r="A7344" s="1">
        <v>18598</v>
      </c>
      <c r="B7344" s="7" t="s">
        <v>4108</v>
      </c>
      <c r="C7344" s="12">
        <v>11409</v>
      </c>
      <c r="D7344" s="7" t="s">
        <v>10997</v>
      </c>
      <c r="E7344" s="13" t="s">
        <v>1657</v>
      </c>
      <c r="F7344" t="str">
        <f t="shared" si="570"/>
        <v>Scott</v>
      </c>
      <c r="G7344" t="str">
        <f t="shared" si="571"/>
        <v>Scott11409Houston</v>
      </c>
      <c r="H7344" t="s">
        <v>38199</v>
      </c>
      <c r="I7344" t="s">
        <v>29613</v>
      </c>
      <c r="J7344" t="str">
        <f t="shared" si="572"/>
        <v>E:\PropInv\MF</v>
      </c>
      <c r="K7344" s="103" t="str">
        <f>HYPERLINK("E:\PropInv\MF\Houston\Scott St_11409_South Acres Ranch II_Houston_18598","Scott St_11409_South Acres Ranch II_Houston_18598" )</f>
        <v>Scott St_11409_South Acres Ranch II_Houston_18598</v>
      </c>
      <c r="L7344" s="104" t="s">
        <v>22253</v>
      </c>
      <c r="M7344" s="103" t="str">
        <f t="shared" si="573"/>
        <v>http://oconnordata.com/mlink/modules/profile/index.cfm?action=profile&amp;prop_id=18598</v>
      </c>
      <c r="N7344" s="1">
        <f t="shared" si="574"/>
        <v>18598</v>
      </c>
    </row>
    <row r="7345" spans="1:14" x14ac:dyDescent="0.3">
      <c r="A7345" s="1">
        <v>18600</v>
      </c>
      <c r="B7345" s="7" t="s">
        <v>10998</v>
      </c>
      <c r="C7345" s="12">
        <v>2800</v>
      </c>
      <c r="D7345" s="7" t="s">
        <v>10999</v>
      </c>
      <c r="E7345" s="13" t="s">
        <v>4369</v>
      </c>
      <c r="F7345" t="str">
        <f t="shared" si="570"/>
        <v>Brownstone</v>
      </c>
      <c r="G7345" t="str">
        <f t="shared" si="571"/>
        <v>Brownstone2800Pearland</v>
      </c>
      <c r="H7345" t="s">
        <v>38200</v>
      </c>
      <c r="I7345" t="s">
        <v>29614</v>
      </c>
      <c r="J7345" t="str">
        <f t="shared" si="572"/>
        <v>E:\PropInv\MF</v>
      </c>
      <c r="K7345" s="103" t="str">
        <f>HYPERLINK("E:\PropInv\MF\Pearland\Brownstone Place_2800_Pearland Senior Village_Pearland_18600","Brownstone Place_2800_Pearland Senior Village_Pearland_18600" )</f>
        <v>Brownstone Place_2800_Pearland Senior Village_Pearland_18600</v>
      </c>
      <c r="L7345" s="104" t="s">
        <v>22253</v>
      </c>
      <c r="M7345" s="103" t="str">
        <f t="shared" si="573"/>
        <v>http://oconnordata.com/mlink/modules/profile/index.cfm?action=profile&amp;prop_id=18600</v>
      </c>
      <c r="N7345" s="1">
        <f t="shared" si="574"/>
        <v>18600</v>
      </c>
    </row>
    <row r="7346" spans="1:14" x14ac:dyDescent="0.3">
      <c r="A7346" s="1">
        <v>18604</v>
      </c>
      <c r="B7346" s="7" t="s">
        <v>5480</v>
      </c>
      <c r="C7346" s="12">
        <v>889</v>
      </c>
      <c r="D7346" s="7" t="s">
        <v>11000</v>
      </c>
      <c r="E7346" s="13" t="s">
        <v>5055</v>
      </c>
      <c r="F7346" t="str">
        <f t="shared" si="570"/>
        <v>Lakeside</v>
      </c>
      <c r="G7346" t="str">
        <f t="shared" si="571"/>
        <v>Lakeside889Lewisville</v>
      </c>
      <c r="H7346" t="s">
        <v>38201</v>
      </c>
      <c r="I7346" t="s">
        <v>29615</v>
      </c>
      <c r="J7346" t="str">
        <f t="shared" si="572"/>
        <v>E:\PropInv\MF</v>
      </c>
      <c r="K7346" s="103" t="str">
        <f>HYPERLINK("E:\PropInv\MF\Lewisville\Lakeside Cir_889_Hebron 121 Station II- Tuscan Village_Lewisville_18604","Lakeside Cir_889_Hebron 121 Station II- Tuscan Village_Lewisville_18604" )</f>
        <v>Lakeside Cir_889_Hebron 121 Station II- Tuscan Village_Lewisville_18604</v>
      </c>
      <c r="L7346" s="104" t="s">
        <v>22253</v>
      </c>
      <c r="M7346" s="103" t="str">
        <f t="shared" si="573"/>
        <v>http://oconnordata.com/mlink/modules/profile/index.cfm?action=profile&amp;prop_id=18604</v>
      </c>
      <c r="N7346" s="1">
        <f t="shared" si="574"/>
        <v>18604</v>
      </c>
    </row>
    <row r="7347" spans="1:14" x14ac:dyDescent="0.3">
      <c r="A7347" s="1">
        <v>18605</v>
      </c>
      <c r="B7347" s="7" t="s">
        <v>5480</v>
      </c>
      <c r="C7347" s="12">
        <v>889</v>
      </c>
      <c r="D7347" s="7" t="s">
        <v>11001</v>
      </c>
      <c r="E7347" s="13" t="s">
        <v>5055</v>
      </c>
      <c r="F7347" t="str">
        <f t="shared" si="570"/>
        <v>Lakeside</v>
      </c>
      <c r="G7347" t="str">
        <f t="shared" si="571"/>
        <v>Lakeside889Lewisville</v>
      </c>
      <c r="H7347" t="s">
        <v>38202</v>
      </c>
      <c r="I7347" t="s">
        <v>29616</v>
      </c>
      <c r="J7347" t="str">
        <f t="shared" si="572"/>
        <v>E:\PropInv\MF</v>
      </c>
      <c r="K7347" s="103" t="str">
        <f>HYPERLINK("E:\PropInv\MF\Lewisville\Lakeside Cir_889_Hebron 121 Station III-Southern Coastal Village_Lewisville_18605","Lakeside Cir_889_Hebron 121 Station III-Southern Coastal Village_Lewisville_18605" )</f>
        <v>Lakeside Cir_889_Hebron 121 Station III-Southern Coastal Village_Lewisville_18605</v>
      </c>
      <c r="L7347" s="104" t="s">
        <v>22253</v>
      </c>
      <c r="M7347" s="103" t="str">
        <f t="shared" si="573"/>
        <v>http://oconnordata.com/mlink/modules/profile/index.cfm?action=profile&amp;prop_id=18605</v>
      </c>
      <c r="N7347" s="1">
        <f t="shared" si="574"/>
        <v>18605</v>
      </c>
    </row>
    <row r="7348" spans="1:14" x14ac:dyDescent="0.3">
      <c r="A7348" s="1">
        <v>18606</v>
      </c>
      <c r="B7348" s="7" t="s">
        <v>11002</v>
      </c>
      <c r="C7348" s="12">
        <v>17807</v>
      </c>
      <c r="D7348" s="7" t="s">
        <v>11003</v>
      </c>
      <c r="E7348" s="13" t="s">
        <v>1818</v>
      </c>
      <c r="F7348" t="str">
        <f t="shared" si="570"/>
        <v>Lakecrest</v>
      </c>
      <c r="G7348" t="str">
        <f t="shared" si="571"/>
        <v>Lakecrest17807Cypress</v>
      </c>
      <c r="H7348" t="s">
        <v>38203</v>
      </c>
      <c r="I7348" t="s">
        <v>29617</v>
      </c>
      <c r="J7348" t="str">
        <f t="shared" si="572"/>
        <v>E:\PropInv\MF</v>
      </c>
      <c r="K7348" s="103" t="str">
        <f>HYPERLINK("E:\PropInv\MF\Cypress\Lakecrest View Dr_17807_The Lakeview Lofts_Cypress_18606","Lakecrest View Dr_17807_The Lakeview Lofts_Cypress_18606" )</f>
        <v>Lakecrest View Dr_17807_The Lakeview Lofts_Cypress_18606</v>
      </c>
      <c r="L7348" s="104" t="s">
        <v>22253</v>
      </c>
      <c r="M7348" s="103" t="str">
        <f t="shared" si="573"/>
        <v>http://oconnordata.com/mlink/modules/profile/index.cfm?action=profile&amp;prop_id=18606</v>
      </c>
      <c r="N7348" s="1">
        <f t="shared" si="574"/>
        <v>18606</v>
      </c>
    </row>
    <row r="7349" spans="1:14" x14ac:dyDescent="0.3">
      <c r="A7349" s="1">
        <v>18608</v>
      </c>
      <c r="B7349" s="7" t="s">
        <v>11004</v>
      </c>
      <c r="C7349" s="12">
        <v>529</v>
      </c>
      <c r="D7349" s="7" t="s">
        <v>11005</v>
      </c>
      <c r="E7349" s="13" t="s">
        <v>1657</v>
      </c>
      <c r="F7349" t="str">
        <f t="shared" si="570"/>
        <v>Barker-Clodine</v>
      </c>
      <c r="G7349" t="str">
        <f t="shared" si="571"/>
        <v>Barker-Clodine529Houston</v>
      </c>
      <c r="H7349" t="s">
        <v>38204</v>
      </c>
      <c r="I7349" t="s">
        <v>29618</v>
      </c>
      <c r="J7349" t="str">
        <f t="shared" si="572"/>
        <v>E:\PropInv\MF</v>
      </c>
      <c r="K7349" s="103" t="str">
        <f>HYPERLINK("E:\PropInv\MF\Houston\Barker-Clodine Rd_529_Carroll at Green Trails_Houston_18608","Barker-Clodine Rd_529_Carroll at Green Trails_Houston_18608" )</f>
        <v>Barker-Clodine Rd_529_Carroll at Green Trails_Houston_18608</v>
      </c>
      <c r="L7349" s="104" t="s">
        <v>22253</v>
      </c>
      <c r="M7349" s="103" t="str">
        <f t="shared" si="573"/>
        <v>http://oconnordata.com/mlink/modules/profile/index.cfm?action=profile&amp;prop_id=18608</v>
      </c>
      <c r="N7349" s="1">
        <f t="shared" si="574"/>
        <v>18608</v>
      </c>
    </row>
    <row r="7350" spans="1:14" x14ac:dyDescent="0.3">
      <c r="A7350" s="1">
        <v>18609</v>
      </c>
      <c r="B7350" s="7" t="s">
        <v>2818</v>
      </c>
      <c r="C7350" s="12">
        <v>13099</v>
      </c>
      <c r="D7350" s="7" t="s">
        <v>11006</v>
      </c>
      <c r="E7350" s="13" t="s">
        <v>1657</v>
      </c>
      <c r="F7350" t="str">
        <f t="shared" si="570"/>
        <v>Westheimer</v>
      </c>
      <c r="G7350" t="str">
        <f t="shared" si="571"/>
        <v>Westheimer13099Houston</v>
      </c>
      <c r="H7350" t="s">
        <v>38205</v>
      </c>
      <c r="I7350" t="s">
        <v>29619</v>
      </c>
      <c r="J7350" t="str">
        <f t="shared" si="572"/>
        <v>E:\PropInv\MF</v>
      </c>
      <c r="K7350" s="103" t="str">
        <f>HYPERLINK("E:\PropInv\MF\Houston\Westheimer Rd_13099_Waterford on Westheimer_Houston_18609","Westheimer Rd_13099_Waterford on Westheimer_Houston_18609" )</f>
        <v>Westheimer Rd_13099_Waterford on Westheimer_Houston_18609</v>
      </c>
      <c r="L7350" s="104" t="s">
        <v>22253</v>
      </c>
      <c r="M7350" s="103" t="str">
        <f t="shared" si="573"/>
        <v>http://oconnordata.com/mlink/modules/profile/index.cfm?action=profile&amp;prop_id=18609</v>
      </c>
      <c r="N7350" s="1">
        <f t="shared" si="574"/>
        <v>18609</v>
      </c>
    </row>
    <row r="7351" spans="1:14" x14ac:dyDescent="0.3">
      <c r="A7351" s="1">
        <v>18610</v>
      </c>
      <c r="B7351" s="7" t="s">
        <v>572</v>
      </c>
      <c r="C7351" s="12">
        <v>1818</v>
      </c>
      <c r="D7351" s="7" t="s">
        <v>11007</v>
      </c>
      <c r="E7351" s="13" t="s">
        <v>498</v>
      </c>
      <c r="F7351" t="str">
        <f t="shared" si="570"/>
        <v>12</v>
      </c>
      <c r="G7351" t="str">
        <f t="shared" si="571"/>
        <v>121818San Marcos</v>
      </c>
      <c r="H7351" t="s">
        <v>38206</v>
      </c>
      <c r="I7351" t="s">
        <v>29620</v>
      </c>
      <c r="J7351" t="str">
        <f t="shared" si="572"/>
        <v>E:\PropInv\MF</v>
      </c>
      <c r="K7351" s="103" t="str">
        <f>HYPERLINK("E:\PropInv\MF\San Marcos\12 RR_1818_Dakota Ranch_San Marcos_18610","12 RR_1818_Dakota Ranch_San Marcos_18610" )</f>
        <v>12 RR_1818_Dakota Ranch_San Marcos_18610</v>
      </c>
      <c r="L7351" s="104" t="s">
        <v>22253</v>
      </c>
      <c r="M7351" s="103" t="str">
        <f t="shared" si="573"/>
        <v>http://oconnordata.com/mlink/modules/profile/index.cfm?action=profile&amp;prop_id=18610</v>
      </c>
      <c r="N7351" s="1">
        <f t="shared" si="574"/>
        <v>18610</v>
      </c>
    </row>
    <row r="7352" spans="1:14" x14ac:dyDescent="0.3">
      <c r="A7352" s="1">
        <v>18611</v>
      </c>
      <c r="B7352" s="7" t="s">
        <v>942</v>
      </c>
      <c r="C7352" s="12">
        <v>14333</v>
      </c>
      <c r="D7352" s="7" t="s">
        <v>11008</v>
      </c>
      <c r="E7352" s="13" t="s">
        <v>842</v>
      </c>
      <c r="F7352" t="str">
        <f t="shared" si="570"/>
        <v>Babcock</v>
      </c>
      <c r="G7352" t="str">
        <f t="shared" si="571"/>
        <v>Babcock14333San Antonio</v>
      </c>
      <c r="H7352" t="s">
        <v>38207</v>
      </c>
      <c r="I7352" t="s">
        <v>29621</v>
      </c>
      <c r="J7352" t="str">
        <f t="shared" si="572"/>
        <v>E:\PropInv\MF</v>
      </c>
      <c r="K7352" s="103" t="str">
        <f>HYPERLINK("E:\PropInv\MF\San Antonio\Babcock Rd_14333_Villas at Babcock_San Antonio_18611","Babcock Rd_14333_Villas at Babcock_San Antonio_18611" )</f>
        <v>Babcock Rd_14333_Villas at Babcock_San Antonio_18611</v>
      </c>
      <c r="L7352" s="104" t="s">
        <v>22253</v>
      </c>
      <c r="M7352" s="103" t="str">
        <f t="shared" si="573"/>
        <v>http://oconnordata.com/mlink/modules/profile/index.cfm?action=profile&amp;prop_id=18611</v>
      </c>
      <c r="N7352" s="1">
        <f t="shared" si="574"/>
        <v>18611</v>
      </c>
    </row>
    <row r="7353" spans="1:14" x14ac:dyDescent="0.3">
      <c r="A7353" s="1">
        <v>18612</v>
      </c>
      <c r="B7353" s="7" t="s">
        <v>10959</v>
      </c>
      <c r="C7353" s="12">
        <v>1550</v>
      </c>
      <c r="D7353" s="7" t="s">
        <v>11009</v>
      </c>
      <c r="E7353" s="13" t="s">
        <v>2198</v>
      </c>
      <c r="F7353" t="str">
        <f t="shared" si="570"/>
        <v>Katy</v>
      </c>
      <c r="G7353" t="str">
        <f t="shared" si="571"/>
        <v>Katy1550Katy</v>
      </c>
      <c r="H7353" t="s">
        <v>38208</v>
      </c>
      <c r="I7353" t="s">
        <v>29622</v>
      </c>
      <c r="J7353" t="str">
        <f t="shared" si="572"/>
        <v>E:\PropInv\MF</v>
      </c>
      <c r="K7353" s="103" t="str">
        <f>HYPERLINK("E:\PropInv\MF\Katy\Katy Fort Bend Rd_1550_Grand Villas_Katy_18612","Katy Fort Bend Rd_1550_Grand Villas_Katy_18612" )</f>
        <v>Katy Fort Bend Rd_1550_Grand Villas_Katy_18612</v>
      </c>
      <c r="L7353" s="104" t="s">
        <v>22253</v>
      </c>
      <c r="M7353" s="103" t="str">
        <f t="shared" si="573"/>
        <v>http://oconnordata.com/mlink/modules/profile/index.cfm?action=profile&amp;prop_id=18612</v>
      </c>
      <c r="N7353" s="1">
        <f t="shared" si="574"/>
        <v>18612</v>
      </c>
    </row>
    <row r="7354" spans="1:14" x14ac:dyDescent="0.3">
      <c r="A7354" s="1">
        <v>18613</v>
      </c>
      <c r="B7354" s="7" t="s">
        <v>11010</v>
      </c>
      <c r="C7354" s="12">
        <v>1800</v>
      </c>
      <c r="D7354" s="7" t="s">
        <v>11011</v>
      </c>
      <c r="E7354" s="13" t="s">
        <v>4563</v>
      </c>
      <c r="F7354" t="str">
        <f t="shared" si="570"/>
        <v>Egret</v>
      </c>
      <c r="G7354" t="str">
        <f t="shared" si="571"/>
        <v>Egret1800League City</v>
      </c>
      <c r="H7354" t="s">
        <v>38209</v>
      </c>
      <c r="I7354" t="s">
        <v>29623</v>
      </c>
      <c r="J7354" t="str">
        <f t="shared" si="572"/>
        <v>E:\PropInv\MF</v>
      </c>
      <c r="K7354" s="103" t="str">
        <f>HYPERLINK("E:\PropInv\MF\League City\Egret Bay Blvd S_1800_Grand Villas at Tuscan Lakes_League City_18613","Egret Bay Blvd S_1800_Grand Villas at Tuscan Lakes_League City_18613" )</f>
        <v>Egret Bay Blvd S_1800_Grand Villas at Tuscan Lakes_League City_18613</v>
      </c>
      <c r="L7354" s="104" t="s">
        <v>22253</v>
      </c>
      <c r="M7354" s="103" t="str">
        <f t="shared" si="573"/>
        <v>http://oconnordata.com/mlink/modules/profile/index.cfm?action=profile&amp;prop_id=18613</v>
      </c>
      <c r="N7354" s="1">
        <f t="shared" si="574"/>
        <v>18613</v>
      </c>
    </row>
    <row r="7355" spans="1:14" x14ac:dyDescent="0.3">
      <c r="A7355" s="1">
        <v>18614</v>
      </c>
      <c r="B7355" s="7" t="s">
        <v>11012</v>
      </c>
      <c r="C7355" s="12">
        <v>3603</v>
      </c>
      <c r="D7355" s="7" t="s">
        <v>11013</v>
      </c>
      <c r="E7355" s="13" t="s">
        <v>1657</v>
      </c>
      <c r="F7355" t="str">
        <f t="shared" si="570"/>
        <v>Chenevert</v>
      </c>
      <c r="G7355" t="str">
        <f t="shared" si="571"/>
        <v>Chenevert3603Houston</v>
      </c>
      <c r="H7355" t="s">
        <v>38210</v>
      </c>
      <c r="I7355" t="s">
        <v>29624</v>
      </c>
      <c r="J7355" t="str">
        <f t="shared" si="572"/>
        <v>E:\PropInv\MF</v>
      </c>
      <c r="K7355" s="103" t="str">
        <f>HYPERLINK("E:\PropInv\MF\Houston\Chenevert St_3603_Midtown Grove_Houston_18614","Chenevert St_3603_Midtown Grove_Houston_18614" )</f>
        <v>Chenevert St_3603_Midtown Grove_Houston_18614</v>
      </c>
      <c r="L7355" s="104" t="s">
        <v>22253</v>
      </c>
      <c r="M7355" s="103" t="str">
        <f t="shared" si="573"/>
        <v>http://oconnordata.com/mlink/modules/profile/index.cfm?action=profile&amp;prop_id=18614</v>
      </c>
      <c r="N7355" s="1">
        <f t="shared" si="574"/>
        <v>18614</v>
      </c>
    </row>
    <row r="7356" spans="1:14" x14ac:dyDescent="0.3">
      <c r="A7356" s="1">
        <v>18616</v>
      </c>
      <c r="B7356" s="7" t="s">
        <v>10704</v>
      </c>
      <c r="C7356" s="12">
        <v>1711</v>
      </c>
      <c r="D7356" s="7" t="s">
        <v>11014</v>
      </c>
      <c r="E7356" s="13" t="s">
        <v>8612</v>
      </c>
      <c r="F7356" t="str">
        <f t="shared" si="570"/>
        <v>Harvey</v>
      </c>
      <c r="G7356" t="str">
        <f t="shared" si="571"/>
        <v>Harvey1711College Station</v>
      </c>
      <c r="H7356" t="s">
        <v>38211</v>
      </c>
      <c r="I7356" t="s">
        <v>29625</v>
      </c>
      <c r="J7356" t="str">
        <f t="shared" si="572"/>
        <v>E:\PropInv\MF</v>
      </c>
      <c r="K7356" s="103" t="str">
        <f>HYPERLINK("E:\PropInv\MF\College Station\Harvey Mitchell Pkwy_1711_Campus Village at College Station_College Station_18616","Harvey Mitchell Pkwy_1711_Campus Village at College Station_College Station_18616" )</f>
        <v>Harvey Mitchell Pkwy_1711_Campus Village at College Station_College Station_18616</v>
      </c>
      <c r="L7356" s="104" t="s">
        <v>22253</v>
      </c>
      <c r="M7356" s="103" t="str">
        <f t="shared" si="573"/>
        <v>http://oconnordata.com/mlink/modules/profile/index.cfm?action=profile&amp;prop_id=18616</v>
      </c>
      <c r="N7356" s="1">
        <f t="shared" si="574"/>
        <v>18616</v>
      </c>
    </row>
    <row r="7357" spans="1:14" x14ac:dyDescent="0.3">
      <c r="A7357" s="97">
        <v>18617</v>
      </c>
      <c r="B7357" s="7" t="s">
        <v>11015</v>
      </c>
      <c r="C7357" s="12">
        <v>390</v>
      </c>
      <c r="D7357" s="7" t="s">
        <v>11016</v>
      </c>
      <c r="E7357" s="13" t="s">
        <v>4996</v>
      </c>
      <c r="F7357" t="str">
        <f t="shared" si="570"/>
        <v>Oakenwald</v>
      </c>
      <c r="G7357" t="str">
        <f t="shared" si="571"/>
        <v>Oakenwald390Dallas</v>
      </c>
      <c r="H7357" t="s">
        <v>38212</v>
      </c>
      <c r="I7357" t="s">
        <v>29626</v>
      </c>
      <c r="J7357" t="str">
        <f t="shared" si="572"/>
        <v>E:\PropInv\MF</v>
      </c>
      <c r="K7357" s="103" t="str">
        <f>HYPERLINK("E:\PropInv\MF\Dallas\Oakenwald St E_390_Zang Triangle_Dallas_18617","Oakenwald St E_390_Zang Triangle_Dallas_18617" )</f>
        <v>Oakenwald St E_390_Zang Triangle_Dallas_18617</v>
      </c>
      <c r="L7357" s="104" t="s">
        <v>22253</v>
      </c>
      <c r="M7357" s="103" t="str">
        <f t="shared" si="573"/>
        <v>http://oconnordata.com/mlink/modules/profile/index.cfm?action=profile&amp;prop_id=18617</v>
      </c>
      <c r="N7357" s="1">
        <f t="shared" si="574"/>
        <v>18617</v>
      </c>
    </row>
    <row r="7358" spans="1:14" x14ac:dyDescent="0.3">
      <c r="A7358" s="1">
        <v>18618</v>
      </c>
      <c r="B7358" s="7" t="s">
        <v>11017</v>
      </c>
      <c r="C7358" s="12">
        <v>2900</v>
      </c>
      <c r="D7358" s="7" t="s">
        <v>11018</v>
      </c>
      <c r="E7358" s="13" t="s">
        <v>1657</v>
      </c>
      <c r="F7358" t="str">
        <f t="shared" si="570"/>
        <v>Dallas</v>
      </c>
      <c r="G7358" t="str">
        <f t="shared" si="571"/>
        <v>Dallas2900Houston</v>
      </c>
      <c r="H7358" t="s">
        <v>38213</v>
      </c>
      <c r="I7358" t="s">
        <v>29627</v>
      </c>
      <c r="J7358" t="str">
        <f t="shared" si="572"/>
        <v>E:\PropInv\MF</v>
      </c>
      <c r="K7358" s="103" t="str">
        <f>HYPERLINK("E:\PropInv\MF\Houston\Dallas St W_2900_2900 West Dallas_Houston_18618","Dallas St W_2900_2900 West Dallas_Houston_18618" )</f>
        <v>Dallas St W_2900_2900 West Dallas_Houston_18618</v>
      </c>
      <c r="L7358" s="104" t="s">
        <v>22253</v>
      </c>
      <c r="M7358" s="103" t="str">
        <f t="shared" si="573"/>
        <v>http://oconnordata.com/mlink/modules/profile/index.cfm?action=profile&amp;prop_id=18618</v>
      </c>
      <c r="N7358" s="1">
        <f t="shared" si="574"/>
        <v>18618</v>
      </c>
    </row>
    <row r="7359" spans="1:14" x14ac:dyDescent="0.3">
      <c r="A7359" s="1">
        <v>18619</v>
      </c>
      <c r="B7359" s="36" t="s">
        <v>11019</v>
      </c>
      <c r="C7359" s="40" t="s">
        <v>2497</v>
      </c>
      <c r="D7359" s="36" t="s">
        <v>11020</v>
      </c>
      <c r="E7359" s="41" t="s">
        <v>5198</v>
      </c>
      <c r="F7359" t="str">
        <f t="shared" si="570"/>
        <v>Bee</v>
      </c>
      <c r="G7359" t="str">
        <f t="shared" si="571"/>
        <v>BeeNFFarmers Branch</v>
      </c>
      <c r="H7359" t="s">
        <v>38214</v>
      </c>
      <c r="I7359" t="s">
        <v>29628</v>
      </c>
      <c r="J7359" t="str">
        <f t="shared" si="572"/>
        <v>E:\PropInv\MF</v>
      </c>
      <c r="K7359" s="103" t="str">
        <f>HYPERLINK("E:\PropInv\MF\Farmers Branch\Bee St_NF_Pike St Apts_Farmers Branch_18619","Bee St_NF_Pike St Apts_Farmers Branch_18619" )</f>
        <v>Bee St_NF_Pike St Apts_Farmers Branch_18619</v>
      </c>
      <c r="L7359" s="104" t="s">
        <v>22253</v>
      </c>
      <c r="M7359" s="103" t="str">
        <f t="shared" si="573"/>
        <v>http://oconnordata.com/mlink/modules/profile/index.cfm?action=profile&amp;prop_id=18619</v>
      </c>
      <c r="N7359" s="1">
        <f t="shared" si="574"/>
        <v>18619</v>
      </c>
    </row>
    <row r="7360" spans="1:14" x14ac:dyDescent="0.3">
      <c r="A7360" s="1">
        <v>18620</v>
      </c>
      <c r="B7360" s="36" t="s">
        <v>11021</v>
      </c>
      <c r="C7360" s="40" t="s">
        <v>2497</v>
      </c>
      <c r="D7360" s="36" t="s">
        <v>11022</v>
      </c>
      <c r="E7360" s="41" t="s">
        <v>5046</v>
      </c>
      <c r="F7360" t="str">
        <f t="shared" si="570"/>
        <v>Delaware</v>
      </c>
      <c r="G7360" t="str">
        <f t="shared" si="571"/>
        <v>DelawareNFIrving</v>
      </c>
      <c r="H7360" t="s">
        <v>38215</v>
      </c>
      <c r="I7360" t="s">
        <v>29629</v>
      </c>
      <c r="J7360" t="str">
        <f t="shared" si="572"/>
        <v>E:\PropInv\MF</v>
      </c>
      <c r="K7360" s="103" t="str">
        <f>HYPERLINK("E:\PropInv\MF\Irving\Delaware St S_NF_Delaware Street TH_Irving_18620","Delaware St S_NF_Delaware Street TH_Irving_18620" )</f>
        <v>Delaware St S_NF_Delaware Street TH_Irving_18620</v>
      </c>
      <c r="L7360" s="104" t="s">
        <v>22253</v>
      </c>
      <c r="M7360" s="103" t="str">
        <f t="shared" si="573"/>
        <v>http://oconnordata.com/mlink/modules/profile/index.cfm?action=profile&amp;prop_id=18620</v>
      </c>
      <c r="N7360" s="1">
        <f t="shared" si="574"/>
        <v>18620</v>
      </c>
    </row>
    <row r="7361" spans="1:14" x14ac:dyDescent="0.3">
      <c r="A7361" s="1">
        <v>18621</v>
      </c>
      <c r="B7361" s="7" t="s">
        <v>11023</v>
      </c>
      <c r="C7361" s="12">
        <v>2906</v>
      </c>
      <c r="D7361" s="7" t="s">
        <v>11024</v>
      </c>
      <c r="E7361" s="13" t="s">
        <v>4996</v>
      </c>
      <c r="F7361" t="str">
        <f t="shared" si="570"/>
        <v>Kiest</v>
      </c>
      <c r="G7361" t="str">
        <f t="shared" si="571"/>
        <v>Kiest2906Dallas</v>
      </c>
      <c r="H7361" t="s">
        <v>38216</v>
      </c>
      <c r="I7361" t="s">
        <v>29630</v>
      </c>
      <c r="J7361" t="str">
        <f t="shared" si="572"/>
        <v>E:\PropInv\MF</v>
      </c>
      <c r="K7361" s="103" t="str">
        <f>HYPERLINK("E:\PropInv\MF\Dallas\Kiest Blvd E_2906_MF Housing Development at Cedar Glen I_Dallas_18621","Kiest Blvd E_2906_MF Housing Development at Cedar Glen I_Dallas_18621" )</f>
        <v>Kiest Blvd E_2906_MF Housing Development at Cedar Glen I_Dallas_18621</v>
      </c>
      <c r="L7361" s="104" t="s">
        <v>22253</v>
      </c>
      <c r="M7361" s="103" t="str">
        <f t="shared" si="573"/>
        <v>http://oconnordata.com/mlink/modules/profile/index.cfm?action=profile&amp;prop_id=18621</v>
      </c>
      <c r="N7361" s="1">
        <f t="shared" si="574"/>
        <v>18621</v>
      </c>
    </row>
    <row r="7362" spans="1:14" x14ac:dyDescent="0.3">
      <c r="A7362" s="1">
        <v>18622</v>
      </c>
      <c r="B7362" s="37" t="s">
        <v>11023</v>
      </c>
      <c r="C7362" s="38">
        <v>2908</v>
      </c>
      <c r="D7362" s="29" t="s">
        <v>11025</v>
      </c>
      <c r="E7362" s="39" t="s">
        <v>4996</v>
      </c>
      <c r="F7362" t="str">
        <f t="shared" ref="F7362:F7425" si="575">IFERROR(LEFT(B7362,FIND(" ",B7362)-1),B7362)</f>
        <v>Kiest</v>
      </c>
      <c r="G7362" t="str">
        <f t="shared" ref="G7362:G7425" si="576">F7362&amp;C7362&amp;E7362</f>
        <v>Kiest2908Dallas</v>
      </c>
      <c r="H7362" t="s">
        <v>38217</v>
      </c>
      <c r="I7362" t="s">
        <v>29631</v>
      </c>
      <c r="J7362" t="str">
        <f t="shared" ref="J7362:J7425" si="577">IF(L7362="TX",Folder_Path,Folder_Path&amp;"\State_"&amp;L7362)</f>
        <v>E:\PropInv\MF</v>
      </c>
      <c r="K7362" s="103" t="str">
        <f>HYPERLINK("E:\PropInv\MF\Dallas\Kiest Blvd E_2908_MF Housing Development at Cedar Glen II_Dallas_18622","Kiest Blvd E_2908_MF Housing Development at Cedar Glen II_Dallas_18622" )</f>
        <v>Kiest Blvd E_2908_MF Housing Development at Cedar Glen II_Dallas_18622</v>
      </c>
      <c r="L7362" s="104" t="s">
        <v>22253</v>
      </c>
      <c r="M7362" s="103" t="str">
        <f t="shared" ref="M7362:M7425" si="578">HYPERLINK("http://oconnordata.com/mlink/modules/profile/index.cfm?action=profile&amp;prop_id="&amp;A7362)</f>
        <v>http://oconnordata.com/mlink/modules/profile/index.cfm?action=profile&amp;prop_id=18622</v>
      </c>
      <c r="N7362" s="1">
        <f t="shared" ref="N7362:N7425" si="579">IF(LEN(A7362)=1,"0000"&amp;A7362,IF(LEN(A7362)=2,"000"&amp;A7362,IF(LEN(A7362)=3,"00"&amp;A7362,IF(LEN(A7362)=4,"0"&amp;A7362,IF(LEN(A7362)=5,IF(LEFT(A7362,1)="3",A7362+30000,A7362))))))</f>
        <v>18622</v>
      </c>
    </row>
    <row r="7363" spans="1:14" x14ac:dyDescent="0.3">
      <c r="A7363" s="1">
        <v>18623</v>
      </c>
      <c r="B7363" s="7" t="s">
        <v>11026</v>
      </c>
      <c r="C7363" s="12">
        <v>1150</v>
      </c>
      <c r="D7363" s="7" t="s">
        <v>11027</v>
      </c>
      <c r="E7363" s="13" t="s">
        <v>4996</v>
      </c>
      <c r="F7363" t="str">
        <f t="shared" si="575"/>
        <v>Pinnacle</v>
      </c>
      <c r="G7363" t="str">
        <f t="shared" si="576"/>
        <v>Pinnacle1150Dallas</v>
      </c>
      <c r="H7363" t="s">
        <v>38218</v>
      </c>
      <c r="I7363" t="s">
        <v>29632</v>
      </c>
      <c r="J7363" t="str">
        <f t="shared" si="577"/>
        <v>E:\PropInv\MF</v>
      </c>
      <c r="K7363" s="103" t="str">
        <f>HYPERLINK("E:\PropInv\MF\Dallas\Pinnacle Park Blvd_1150_Taylors Farm_Dallas_18623","Pinnacle Park Blvd_1150_Taylors Farm_Dallas_18623" )</f>
        <v>Pinnacle Park Blvd_1150_Taylors Farm_Dallas_18623</v>
      </c>
      <c r="L7363" s="104" t="s">
        <v>22253</v>
      </c>
      <c r="M7363" s="103" t="str">
        <f t="shared" si="578"/>
        <v>http://oconnordata.com/mlink/modules/profile/index.cfm?action=profile&amp;prop_id=18623</v>
      </c>
      <c r="N7363" s="1">
        <f t="shared" si="579"/>
        <v>18623</v>
      </c>
    </row>
    <row r="7364" spans="1:14" x14ac:dyDescent="0.3">
      <c r="A7364" s="1">
        <v>18624</v>
      </c>
      <c r="B7364" s="37" t="s">
        <v>11028</v>
      </c>
      <c r="C7364" s="38">
        <v>700</v>
      </c>
      <c r="D7364" s="29" t="s">
        <v>11029</v>
      </c>
      <c r="E7364" s="39" t="s">
        <v>11030</v>
      </c>
      <c r="F7364" t="str">
        <f t="shared" si="575"/>
        <v>156</v>
      </c>
      <c r="G7364" t="str">
        <f t="shared" si="576"/>
        <v>156700Justin</v>
      </c>
      <c r="H7364" t="s">
        <v>38219</v>
      </c>
      <c r="I7364" t="s">
        <v>29633</v>
      </c>
      <c r="J7364" t="str">
        <f t="shared" si="577"/>
        <v>E:\PropInv\MF</v>
      </c>
      <c r="K7364" s="103" t="str">
        <f>HYPERLINK("E:\PropInv\MF\Justin\156 FM S_700_Estate Villas of Justin_Justin_18624","156 FM S_700_Estate Villas of Justin_Justin_18624" )</f>
        <v>156 FM S_700_Estate Villas of Justin_Justin_18624</v>
      </c>
      <c r="L7364" s="104" t="s">
        <v>22253</v>
      </c>
      <c r="M7364" s="103" t="str">
        <f t="shared" si="578"/>
        <v>http://oconnordata.com/mlink/modules/profile/index.cfm?action=profile&amp;prop_id=18624</v>
      </c>
      <c r="N7364" s="1">
        <f t="shared" si="579"/>
        <v>18624</v>
      </c>
    </row>
    <row r="7365" spans="1:14" x14ac:dyDescent="0.3">
      <c r="A7365" s="1">
        <v>18625</v>
      </c>
      <c r="B7365" s="7" t="s">
        <v>11031</v>
      </c>
      <c r="C7365" s="12">
        <v>1221</v>
      </c>
      <c r="D7365" s="7" t="s">
        <v>11032</v>
      </c>
      <c r="E7365" s="13" t="s">
        <v>5097</v>
      </c>
      <c r="F7365" t="str">
        <f t="shared" si="575"/>
        <v>Oak</v>
      </c>
      <c r="G7365" t="str">
        <f t="shared" si="576"/>
        <v>Oak1221Denton</v>
      </c>
      <c r="H7365" t="s">
        <v>38220</v>
      </c>
      <c r="I7365" t="s">
        <v>29634</v>
      </c>
      <c r="J7365" t="str">
        <f t="shared" si="577"/>
        <v>E:\PropInv\MF</v>
      </c>
      <c r="K7365" s="103" t="str">
        <f>HYPERLINK("E:\PropInv\MF\Denton\Oak St W_1221_Sterling Fry Street_Denton_18625","Oak St W_1221_Sterling Fry Street_Denton_18625" )</f>
        <v>Oak St W_1221_Sterling Fry Street_Denton_18625</v>
      </c>
      <c r="L7365" s="104" t="s">
        <v>22253</v>
      </c>
      <c r="M7365" s="103" t="str">
        <f t="shared" si="578"/>
        <v>http://oconnordata.com/mlink/modules/profile/index.cfm?action=profile&amp;prop_id=18625</v>
      </c>
      <c r="N7365" s="1">
        <f t="shared" si="579"/>
        <v>18625</v>
      </c>
    </row>
    <row r="7366" spans="1:14" x14ac:dyDescent="0.3">
      <c r="A7366" s="1">
        <v>18626</v>
      </c>
      <c r="B7366" s="7" t="s">
        <v>11033</v>
      </c>
      <c r="C7366" s="12">
        <v>2010</v>
      </c>
      <c r="D7366" s="7" t="s">
        <v>11034</v>
      </c>
      <c r="E7366" s="13" t="s">
        <v>7181</v>
      </c>
      <c r="F7366" t="str">
        <f t="shared" si="575"/>
        <v>Corinth</v>
      </c>
      <c r="G7366" t="str">
        <f t="shared" si="576"/>
        <v>Corinth2010Corinth</v>
      </c>
      <c r="H7366" t="s">
        <v>38221</v>
      </c>
      <c r="I7366" t="s">
        <v>29635</v>
      </c>
      <c r="J7366" t="str">
        <f t="shared" si="577"/>
        <v>E:\PropInv\MF</v>
      </c>
      <c r="K7366" s="103" t="str">
        <f>HYPERLINK("E:\PropInv\MF\Corinth\Corinth Dr S_2010_The Boulevard Corinth_Corinth_18626","Corinth Dr S_2010_The Boulevard Corinth_Corinth_18626" )</f>
        <v>Corinth Dr S_2010_The Boulevard Corinth_Corinth_18626</v>
      </c>
      <c r="L7366" s="104" t="s">
        <v>22253</v>
      </c>
      <c r="M7366" s="103" t="str">
        <f t="shared" si="578"/>
        <v>http://oconnordata.com/mlink/modules/profile/index.cfm?action=profile&amp;prop_id=18626</v>
      </c>
      <c r="N7366" s="1">
        <f t="shared" si="579"/>
        <v>18626</v>
      </c>
    </row>
    <row r="7367" spans="1:14" x14ac:dyDescent="0.3">
      <c r="A7367" s="1">
        <v>18627</v>
      </c>
      <c r="B7367" s="7" t="s">
        <v>11035</v>
      </c>
      <c r="C7367" s="12">
        <v>4200</v>
      </c>
      <c r="D7367" s="7" t="s">
        <v>11036</v>
      </c>
      <c r="E7367" s="25" t="s">
        <v>5040</v>
      </c>
      <c r="F7367" t="str">
        <f t="shared" si="575"/>
        <v>Broadway</v>
      </c>
      <c r="G7367" t="str">
        <f t="shared" si="576"/>
        <v>Broadway4200Flower Mound</v>
      </c>
      <c r="H7367" t="s">
        <v>38222</v>
      </c>
      <c r="I7367" t="s">
        <v>29636</v>
      </c>
      <c r="J7367" t="str">
        <f t="shared" si="577"/>
        <v>E:\PropInv\MF</v>
      </c>
      <c r="K7367" s="103" t="str">
        <f>HYPERLINK("E:\PropInv\MF\Flower Mound\Broadway Dr_4200_Park Central at Flower Mound_Flower Mound_18627","Broadway Dr_4200_Park Central at Flower Mound_Flower Mound_18627" )</f>
        <v>Broadway Dr_4200_Park Central at Flower Mound_Flower Mound_18627</v>
      </c>
      <c r="L7367" s="104" t="s">
        <v>22253</v>
      </c>
      <c r="M7367" s="103" t="str">
        <f t="shared" si="578"/>
        <v>http://oconnordata.com/mlink/modules/profile/index.cfm?action=profile&amp;prop_id=18627</v>
      </c>
      <c r="N7367" s="1">
        <f t="shared" si="579"/>
        <v>18627</v>
      </c>
    </row>
    <row r="7368" spans="1:14" x14ac:dyDescent="0.3">
      <c r="A7368" s="1">
        <v>18628</v>
      </c>
      <c r="B7368" s="7" t="s">
        <v>11037</v>
      </c>
      <c r="C7368" s="12">
        <v>701</v>
      </c>
      <c r="D7368" s="7" t="s">
        <v>11038</v>
      </c>
      <c r="E7368" s="13" t="s">
        <v>5097</v>
      </c>
      <c r="F7368" t="str">
        <f t="shared" si="575"/>
        <v>Fort</v>
      </c>
      <c r="G7368" t="str">
        <f t="shared" si="576"/>
        <v>Fort701Denton</v>
      </c>
      <c r="H7368" t="s">
        <v>38223</v>
      </c>
      <c r="I7368" t="s">
        <v>29637</v>
      </c>
      <c r="J7368" t="str">
        <f t="shared" si="577"/>
        <v>E:\PropInv\MF</v>
      </c>
      <c r="K7368" s="103" t="str">
        <f>HYPERLINK("E:\PropInv\MF\Denton\Fort Worth Dr_701_The Grove at Denton_Denton_18628","Fort Worth Dr_701_The Grove at Denton_Denton_18628" )</f>
        <v>Fort Worth Dr_701_The Grove at Denton_Denton_18628</v>
      </c>
      <c r="L7368" s="104" t="s">
        <v>22253</v>
      </c>
      <c r="M7368" s="103" t="str">
        <f t="shared" si="578"/>
        <v>http://oconnordata.com/mlink/modules/profile/index.cfm?action=profile&amp;prop_id=18628</v>
      </c>
      <c r="N7368" s="1">
        <f t="shared" si="579"/>
        <v>18628</v>
      </c>
    </row>
    <row r="7369" spans="1:14" x14ac:dyDescent="0.3">
      <c r="A7369" s="1">
        <v>18629</v>
      </c>
      <c r="B7369" s="10" t="s">
        <v>5644</v>
      </c>
      <c r="C7369" s="9">
        <v>1701</v>
      </c>
      <c r="D7369" s="10" t="s">
        <v>11039</v>
      </c>
      <c r="E7369" s="11" t="s">
        <v>5060</v>
      </c>
      <c r="F7369" t="str">
        <f t="shared" si="575"/>
        <v>Hebron</v>
      </c>
      <c r="G7369" t="str">
        <f t="shared" si="576"/>
        <v>Hebron1701Carrollton</v>
      </c>
      <c r="H7369" t="s">
        <v>38224</v>
      </c>
      <c r="I7369" t="s">
        <v>29638</v>
      </c>
      <c r="J7369" t="str">
        <f t="shared" si="577"/>
        <v>E:\PropInv\MF</v>
      </c>
      <c r="K7369" s="103" t="str">
        <f>HYPERLINK("E:\PropInv\MF\Carrollton\Hebron Pkwy E_1701_Colonial Grand at Hebron_Carrollton_18629","Hebron Pkwy E_1701_Colonial Grand at Hebron_Carrollton_18629" )</f>
        <v>Hebron Pkwy E_1701_Colonial Grand at Hebron_Carrollton_18629</v>
      </c>
      <c r="L7369" s="104" t="s">
        <v>22253</v>
      </c>
      <c r="M7369" s="103" t="str">
        <f t="shared" si="578"/>
        <v>http://oconnordata.com/mlink/modules/profile/index.cfm?action=profile&amp;prop_id=18629</v>
      </c>
      <c r="N7369" s="1">
        <f t="shared" si="579"/>
        <v>18629</v>
      </c>
    </row>
    <row r="7370" spans="1:14" x14ac:dyDescent="0.3">
      <c r="A7370" s="1">
        <v>18630</v>
      </c>
      <c r="B7370" s="7" t="s">
        <v>4689</v>
      </c>
      <c r="C7370" s="12">
        <v>2455</v>
      </c>
      <c r="D7370" s="7" t="s">
        <v>11040</v>
      </c>
      <c r="E7370" s="13" t="s">
        <v>4616</v>
      </c>
      <c r="F7370" t="str">
        <f t="shared" si="575"/>
        <v>Frazier</v>
      </c>
      <c r="G7370" t="str">
        <f t="shared" si="576"/>
        <v>Frazier2455Conroe</v>
      </c>
      <c r="H7370" t="s">
        <v>38225</v>
      </c>
      <c r="I7370" t="s">
        <v>29639</v>
      </c>
      <c r="J7370" t="str">
        <f t="shared" si="577"/>
        <v>E:\PropInv\MF</v>
      </c>
      <c r="K7370" s="103" t="str">
        <f>HYPERLINK("E:\PropInv\MF\Conroe\Frazier N_2455_Skytop_Conroe_18630","Frazier N_2455_Skytop_Conroe_18630" )</f>
        <v>Frazier N_2455_Skytop_Conroe_18630</v>
      </c>
      <c r="L7370" s="104" t="s">
        <v>22253</v>
      </c>
      <c r="M7370" s="103" t="str">
        <f t="shared" si="578"/>
        <v>http://oconnordata.com/mlink/modules/profile/index.cfm?action=profile&amp;prop_id=18630</v>
      </c>
      <c r="N7370" s="1">
        <f t="shared" si="579"/>
        <v>18630</v>
      </c>
    </row>
    <row r="7371" spans="1:14" x14ac:dyDescent="0.3">
      <c r="A7371" s="1">
        <v>18633</v>
      </c>
      <c r="B7371" s="7" t="s">
        <v>1027</v>
      </c>
      <c r="C7371" s="12">
        <v>11727</v>
      </c>
      <c r="D7371" s="7" t="s">
        <v>11041</v>
      </c>
      <c r="E7371" s="13" t="s">
        <v>842</v>
      </c>
      <c r="F7371" t="str">
        <f t="shared" si="575"/>
        <v>Culebra</v>
      </c>
      <c r="G7371" t="str">
        <f t="shared" si="576"/>
        <v>Culebra11727San Antonio</v>
      </c>
      <c r="H7371" t="s">
        <v>38226</v>
      </c>
      <c r="I7371" t="s">
        <v>29640</v>
      </c>
      <c r="J7371" t="str">
        <f t="shared" si="577"/>
        <v>E:\PropInv\MF</v>
      </c>
      <c r="K7371" s="103" t="str">
        <f>HYPERLINK("E:\PropInv\MF\San Antonio\Culebra Rd_11727_Carmel Canyon_San Antonio_18633","Culebra Rd_11727_Carmel Canyon_San Antonio_18633" )</f>
        <v>Culebra Rd_11727_Carmel Canyon_San Antonio_18633</v>
      </c>
      <c r="L7371" s="104" t="s">
        <v>22253</v>
      </c>
      <c r="M7371" s="103" t="str">
        <f t="shared" si="578"/>
        <v>http://oconnordata.com/mlink/modules/profile/index.cfm?action=profile&amp;prop_id=18633</v>
      </c>
      <c r="N7371" s="1">
        <f t="shared" si="579"/>
        <v>18633</v>
      </c>
    </row>
    <row r="7372" spans="1:14" x14ac:dyDescent="0.3">
      <c r="A7372" s="1">
        <v>18634</v>
      </c>
      <c r="B7372" s="7" t="s">
        <v>5354</v>
      </c>
      <c r="C7372" s="12">
        <v>2522</v>
      </c>
      <c r="D7372" s="7" t="s">
        <v>11042</v>
      </c>
      <c r="E7372" s="13" t="s">
        <v>4996</v>
      </c>
      <c r="F7372" t="str">
        <f t="shared" si="575"/>
        <v>Fort</v>
      </c>
      <c r="G7372" t="str">
        <f t="shared" si="576"/>
        <v>Fort2522Dallas</v>
      </c>
      <c r="H7372" t="s">
        <v>38227</v>
      </c>
      <c r="I7372" t="s">
        <v>29641</v>
      </c>
      <c r="J7372" t="str">
        <f t="shared" si="577"/>
        <v>E:\PropInv\MF</v>
      </c>
      <c r="K7372" s="103" t="str">
        <f>HYPERLINK("E:\PropInv\MF\Dallas\Fort Worth Ave_2522_Avalon at Kessler Park_Dallas_18634","Fort Worth Ave_2522_Avalon at Kessler Park_Dallas_18634" )</f>
        <v>Fort Worth Ave_2522_Avalon at Kessler Park_Dallas_18634</v>
      </c>
      <c r="L7372" s="104" t="s">
        <v>22253</v>
      </c>
      <c r="M7372" s="103" t="str">
        <f t="shared" si="578"/>
        <v>http://oconnordata.com/mlink/modules/profile/index.cfm?action=profile&amp;prop_id=18634</v>
      </c>
      <c r="N7372" s="1">
        <f t="shared" si="579"/>
        <v>18634</v>
      </c>
    </row>
    <row r="7373" spans="1:14" x14ac:dyDescent="0.3">
      <c r="A7373" s="1">
        <v>18635</v>
      </c>
      <c r="B7373" s="37" t="s">
        <v>5354</v>
      </c>
      <c r="C7373" s="38">
        <v>2300</v>
      </c>
      <c r="D7373" s="29" t="s">
        <v>11043</v>
      </c>
      <c r="E7373" s="39" t="s">
        <v>4996</v>
      </c>
      <c r="F7373" t="str">
        <f t="shared" si="575"/>
        <v>Fort</v>
      </c>
      <c r="G7373" t="str">
        <f t="shared" si="576"/>
        <v>Fort2300Dallas</v>
      </c>
      <c r="H7373" t="s">
        <v>38228</v>
      </c>
      <c r="I7373" t="s">
        <v>29642</v>
      </c>
      <c r="J7373" t="str">
        <f t="shared" si="577"/>
        <v>E:\PropInv\MF</v>
      </c>
      <c r="K7373" s="103" t="str">
        <f>HYPERLINK("E:\PropInv\MF\Dallas\Fort Worth Ave_2300_The Orleans at La Reunion_Dallas_18635","Fort Worth Ave_2300_The Orleans at La Reunion_Dallas_18635" )</f>
        <v>Fort Worth Ave_2300_The Orleans at La Reunion_Dallas_18635</v>
      </c>
      <c r="L7373" s="104" t="s">
        <v>22253</v>
      </c>
      <c r="M7373" s="103" t="str">
        <f t="shared" si="578"/>
        <v>http://oconnordata.com/mlink/modules/profile/index.cfm?action=profile&amp;prop_id=18635</v>
      </c>
      <c r="N7373" s="1">
        <f t="shared" si="579"/>
        <v>18635</v>
      </c>
    </row>
    <row r="7374" spans="1:14" x14ac:dyDescent="0.3">
      <c r="A7374" s="1">
        <v>18636</v>
      </c>
      <c r="B7374" s="37" t="s">
        <v>5354</v>
      </c>
      <c r="C7374" s="38">
        <v>2201</v>
      </c>
      <c r="D7374" s="29" t="s">
        <v>11044</v>
      </c>
      <c r="E7374" s="39" t="s">
        <v>4996</v>
      </c>
      <c r="F7374" t="str">
        <f t="shared" si="575"/>
        <v>Fort</v>
      </c>
      <c r="G7374" t="str">
        <f t="shared" si="576"/>
        <v>Fort2201Dallas</v>
      </c>
      <c r="H7374" t="s">
        <v>38229</v>
      </c>
      <c r="I7374" t="s">
        <v>29643</v>
      </c>
      <c r="J7374" t="str">
        <f t="shared" si="577"/>
        <v>E:\PropInv\MF</v>
      </c>
      <c r="K7374" s="103" t="str">
        <f>HYPERLINK("E:\PropInv\MF\Dallas\Fort Worth Ave_2201_Courtyards at La Reunion_Dallas_18636","Fort Worth Ave_2201_Courtyards at La Reunion_Dallas_18636" )</f>
        <v>Fort Worth Ave_2201_Courtyards at La Reunion_Dallas_18636</v>
      </c>
      <c r="L7374" s="104" t="s">
        <v>22253</v>
      </c>
      <c r="M7374" s="103" t="str">
        <f t="shared" si="578"/>
        <v>http://oconnordata.com/mlink/modules/profile/index.cfm?action=profile&amp;prop_id=18636</v>
      </c>
      <c r="N7374" s="1">
        <f t="shared" si="579"/>
        <v>18636</v>
      </c>
    </row>
    <row r="7375" spans="1:14" x14ac:dyDescent="0.3">
      <c r="A7375" s="1">
        <v>18638</v>
      </c>
      <c r="B7375" s="7" t="s">
        <v>10149</v>
      </c>
      <c r="C7375" s="12">
        <v>12400</v>
      </c>
      <c r="D7375" s="7" t="s">
        <v>11045</v>
      </c>
      <c r="E7375" s="13" t="s">
        <v>4369</v>
      </c>
      <c r="F7375" t="str">
        <f t="shared" si="575"/>
        <v>Shadow</v>
      </c>
      <c r="G7375" t="str">
        <f t="shared" si="576"/>
        <v>Shadow12400Pearland</v>
      </c>
      <c r="H7375" t="s">
        <v>38230</v>
      </c>
      <c r="I7375" t="s">
        <v>29644</v>
      </c>
      <c r="J7375" t="str">
        <f t="shared" si="577"/>
        <v>E:\PropInv\MF</v>
      </c>
      <c r="K7375" s="103" t="str">
        <f>HYPERLINK("E:\PropInv\MF\Pearland\Shadow Creek Pkwy_12400_Carroll at Shadow Creek Ranch_Pearland_18638","Shadow Creek Pkwy_12400_Carroll at Shadow Creek Ranch_Pearland_18638" )</f>
        <v>Shadow Creek Pkwy_12400_Carroll at Shadow Creek Ranch_Pearland_18638</v>
      </c>
      <c r="L7375" s="104" t="s">
        <v>22253</v>
      </c>
      <c r="M7375" s="103" t="str">
        <f t="shared" si="578"/>
        <v>http://oconnordata.com/mlink/modules/profile/index.cfm?action=profile&amp;prop_id=18638</v>
      </c>
      <c r="N7375" s="1">
        <f t="shared" si="579"/>
        <v>18638</v>
      </c>
    </row>
    <row r="7376" spans="1:14" x14ac:dyDescent="0.3">
      <c r="A7376" s="1">
        <v>18639</v>
      </c>
      <c r="B7376" s="7" t="s">
        <v>11046</v>
      </c>
      <c r="C7376" s="12">
        <v>250</v>
      </c>
      <c r="D7376" s="7" t="s">
        <v>11047</v>
      </c>
      <c r="E7376" s="13" t="s">
        <v>5228</v>
      </c>
      <c r="F7376" t="str">
        <f t="shared" si="575"/>
        <v>67</v>
      </c>
      <c r="G7376" t="str">
        <f t="shared" si="576"/>
        <v>67250Duncanville</v>
      </c>
      <c r="H7376" t="s">
        <v>38231</v>
      </c>
      <c r="I7376" t="s">
        <v>29645</v>
      </c>
      <c r="J7376" t="str">
        <f t="shared" si="577"/>
        <v>E:\PropInv\MF</v>
      </c>
      <c r="K7376" s="103" t="str">
        <f>HYPERLINK("E:\PropInv\MF\Duncanville\67 Hwy E_250_Bella Ruscello_Duncanville_18639","67 Hwy E_250_Bella Ruscello_Duncanville_18639" )</f>
        <v>67 Hwy E_250_Bella Ruscello_Duncanville_18639</v>
      </c>
      <c r="L7376" s="104" t="s">
        <v>22253</v>
      </c>
      <c r="M7376" s="103" t="str">
        <f t="shared" si="578"/>
        <v>http://oconnordata.com/mlink/modules/profile/index.cfm?action=profile&amp;prop_id=18639</v>
      </c>
      <c r="N7376" s="1">
        <f t="shared" si="579"/>
        <v>18639</v>
      </c>
    </row>
    <row r="7377" spans="1:14" x14ac:dyDescent="0.3">
      <c r="A7377" s="1">
        <v>18640</v>
      </c>
      <c r="B7377" s="7" t="s">
        <v>11048</v>
      </c>
      <c r="C7377" s="12">
        <v>11585</v>
      </c>
      <c r="D7377" s="7" t="s">
        <v>11049</v>
      </c>
      <c r="E7377" s="13" t="s">
        <v>842</v>
      </c>
      <c r="F7377" t="str">
        <f t="shared" si="575"/>
        <v>Alamo</v>
      </c>
      <c r="G7377" t="str">
        <f t="shared" si="576"/>
        <v>Alamo11585San Antonio</v>
      </c>
      <c r="H7377" t="s">
        <v>38232</v>
      </c>
      <c r="I7377" t="s">
        <v>29646</v>
      </c>
      <c r="J7377" t="str">
        <f t="shared" si="577"/>
        <v>E:\PropInv\MF</v>
      </c>
      <c r="K7377" s="103" t="str">
        <f>HYPERLINK("E:\PropInv\MF\San Antonio\Alamo Ranch Pkwy_11585_Alamo Ranch_San Antonio_18640","Alamo Ranch Pkwy_11585_Alamo Ranch_San Antonio_18640" )</f>
        <v>Alamo Ranch Pkwy_11585_Alamo Ranch_San Antonio_18640</v>
      </c>
      <c r="L7377" s="104" t="s">
        <v>22253</v>
      </c>
      <c r="M7377" s="103" t="str">
        <f t="shared" si="578"/>
        <v>http://oconnordata.com/mlink/modules/profile/index.cfm?action=profile&amp;prop_id=18640</v>
      </c>
      <c r="N7377" s="1">
        <f t="shared" si="579"/>
        <v>18640</v>
      </c>
    </row>
    <row r="7378" spans="1:14" x14ac:dyDescent="0.3">
      <c r="A7378" s="1">
        <v>18641</v>
      </c>
      <c r="B7378" s="7" t="s">
        <v>11050</v>
      </c>
      <c r="C7378" s="12">
        <v>9870</v>
      </c>
      <c r="D7378" s="7" t="s">
        <v>11051</v>
      </c>
      <c r="E7378" s="13" t="s">
        <v>1657</v>
      </c>
      <c r="F7378" t="str">
        <f t="shared" si="575"/>
        <v>Gaylord</v>
      </c>
      <c r="G7378" t="str">
        <f t="shared" si="576"/>
        <v>Gaylord9870Houston</v>
      </c>
      <c r="H7378" t="s">
        <v>38233</v>
      </c>
      <c r="I7378" t="s">
        <v>29647</v>
      </c>
      <c r="J7378" t="str">
        <f t="shared" si="577"/>
        <v>E:\PropInv\MF</v>
      </c>
      <c r="K7378" s="103" t="str">
        <f>HYPERLINK("E:\PropInv\MF\Houston\Gaylord Dr_9870_The Fountains at Memorial City_Houston_18641","Gaylord Dr_9870_The Fountains at Memorial City_Houston_18641" )</f>
        <v>Gaylord Dr_9870_The Fountains at Memorial City_Houston_18641</v>
      </c>
      <c r="L7378" s="104" t="s">
        <v>22253</v>
      </c>
      <c r="M7378" s="103" t="str">
        <f t="shared" si="578"/>
        <v>http://oconnordata.com/mlink/modules/profile/index.cfm?action=profile&amp;prop_id=18641</v>
      </c>
      <c r="N7378" s="1">
        <f t="shared" si="579"/>
        <v>18641</v>
      </c>
    </row>
    <row r="7379" spans="1:14" x14ac:dyDescent="0.3">
      <c r="A7379" s="1">
        <v>18642</v>
      </c>
      <c r="B7379" s="7" t="s">
        <v>2621</v>
      </c>
      <c r="C7379" s="12" t="s">
        <v>2497</v>
      </c>
      <c r="D7379" s="7" t="s">
        <v>11052</v>
      </c>
      <c r="E7379" s="25" t="s">
        <v>2198</v>
      </c>
      <c r="F7379" t="str">
        <f t="shared" si="575"/>
        <v>Mason</v>
      </c>
      <c r="G7379" t="str">
        <f t="shared" si="576"/>
        <v>MasonNFKaty</v>
      </c>
      <c r="H7379" t="s">
        <v>38234</v>
      </c>
      <c r="I7379" t="s">
        <v>29648</v>
      </c>
      <c r="J7379" t="str">
        <f t="shared" si="577"/>
        <v>E:\PropInv\MF</v>
      </c>
      <c r="K7379" s="103" t="str">
        <f>HYPERLINK("E:\PropInv\MF\Katy\Mason Rd S_NF_Legends at Cinco Ranch II_Katy_18642","Mason Rd S_NF_Legends at Cinco Ranch II_Katy_18642" )</f>
        <v>Mason Rd S_NF_Legends at Cinco Ranch II_Katy_18642</v>
      </c>
      <c r="L7379" s="104" t="s">
        <v>22253</v>
      </c>
      <c r="M7379" s="103" t="str">
        <f t="shared" si="578"/>
        <v>http://oconnordata.com/mlink/modules/profile/index.cfm?action=profile&amp;prop_id=18642</v>
      </c>
      <c r="N7379" s="1">
        <f t="shared" si="579"/>
        <v>18642</v>
      </c>
    </row>
    <row r="7380" spans="1:14" x14ac:dyDescent="0.3">
      <c r="A7380" s="1">
        <v>18644</v>
      </c>
      <c r="B7380" s="7" t="s">
        <v>11053</v>
      </c>
      <c r="C7380" s="12">
        <v>1701</v>
      </c>
      <c r="D7380" s="7" t="s">
        <v>11054</v>
      </c>
      <c r="E7380" s="13" t="s">
        <v>498</v>
      </c>
      <c r="F7380" t="str">
        <f t="shared" si="575"/>
        <v>Mill</v>
      </c>
      <c r="G7380" t="str">
        <f t="shared" si="576"/>
        <v>Mill1701San Marcos</v>
      </c>
      <c r="H7380" t="s">
        <v>38235</v>
      </c>
      <c r="I7380" t="s">
        <v>29649</v>
      </c>
      <c r="J7380" t="str">
        <f t="shared" si="577"/>
        <v>E:\PropInv\MF</v>
      </c>
      <c r="K7380" s="103" t="str">
        <f>HYPERLINK("E:\PropInv\MF\San Marcos\Mill St_1701_Copper Beech_San Marcos_18644","Mill St_1701_Copper Beech_San Marcos_18644" )</f>
        <v>Mill St_1701_Copper Beech_San Marcos_18644</v>
      </c>
      <c r="L7380" s="104" t="s">
        <v>22253</v>
      </c>
      <c r="M7380" s="103" t="str">
        <f t="shared" si="578"/>
        <v>http://oconnordata.com/mlink/modules/profile/index.cfm?action=profile&amp;prop_id=18644</v>
      </c>
      <c r="N7380" s="1">
        <f t="shared" si="579"/>
        <v>18644</v>
      </c>
    </row>
    <row r="7381" spans="1:14" x14ac:dyDescent="0.3">
      <c r="A7381" s="1">
        <v>18646</v>
      </c>
      <c r="B7381" s="7" t="s">
        <v>11055</v>
      </c>
      <c r="C7381" s="12">
        <v>155</v>
      </c>
      <c r="D7381" s="7" t="s">
        <v>11056</v>
      </c>
      <c r="E7381" s="13" t="s">
        <v>11057</v>
      </c>
      <c r="F7381" t="str">
        <f t="shared" si="575"/>
        <v>Hillcrest</v>
      </c>
      <c r="G7381" t="str">
        <f t="shared" si="576"/>
        <v>Hillcrest155Liberty Hill</v>
      </c>
      <c r="H7381" t="s">
        <v>38236</v>
      </c>
      <c r="I7381" t="s">
        <v>29650</v>
      </c>
      <c r="J7381" t="str">
        <f t="shared" si="577"/>
        <v>E:\PropInv\MF</v>
      </c>
      <c r="K7381" s="103" t="str">
        <f>HYPERLINK("E:\PropInv\MF\Liberty Hill\Hillcrest Ln_155_San Gabriel Crossing_Liberty Hill_18646","Hillcrest Ln_155_San Gabriel Crossing_Liberty Hill_18646" )</f>
        <v>Hillcrest Ln_155_San Gabriel Crossing_Liberty Hill_18646</v>
      </c>
      <c r="L7381" s="104" t="s">
        <v>22253</v>
      </c>
      <c r="M7381" s="103" t="str">
        <f t="shared" si="578"/>
        <v>http://oconnordata.com/mlink/modules/profile/index.cfm?action=profile&amp;prop_id=18646</v>
      </c>
      <c r="N7381" s="1">
        <f t="shared" si="579"/>
        <v>18646</v>
      </c>
    </row>
    <row r="7382" spans="1:14" x14ac:dyDescent="0.3">
      <c r="A7382" s="1">
        <v>18648</v>
      </c>
      <c r="B7382" s="7" t="s">
        <v>2921</v>
      </c>
      <c r="C7382" s="12">
        <v>2930</v>
      </c>
      <c r="D7382" s="7" t="s">
        <v>11058</v>
      </c>
      <c r="E7382" s="13" t="s">
        <v>1657</v>
      </c>
      <c r="F7382" t="str">
        <f t="shared" si="575"/>
        <v>Fountain</v>
      </c>
      <c r="G7382" t="str">
        <f t="shared" si="576"/>
        <v>Fountain2930Houston</v>
      </c>
      <c r="H7382" t="s">
        <v>38237</v>
      </c>
      <c r="I7382" t="s">
        <v>29651</v>
      </c>
      <c r="J7382" t="str">
        <f t="shared" si="577"/>
        <v>E:\PropInv\MF</v>
      </c>
      <c r="K7382" s="103" t="str">
        <f>HYPERLINK("E:\PropInv\MF\Houston\Fountain View Dr_2930_Fountain Spring_Houston_18648","Fountain View Dr_2930_Fountain Spring_Houston_18648" )</f>
        <v>Fountain View Dr_2930_Fountain Spring_Houston_18648</v>
      </c>
      <c r="L7382" s="104" t="s">
        <v>22253</v>
      </c>
      <c r="M7382" s="103" t="str">
        <f t="shared" si="578"/>
        <v>http://oconnordata.com/mlink/modules/profile/index.cfm?action=profile&amp;prop_id=18648</v>
      </c>
      <c r="N7382" s="1">
        <f t="shared" si="579"/>
        <v>18648</v>
      </c>
    </row>
    <row r="7383" spans="1:14" x14ac:dyDescent="0.3">
      <c r="A7383" s="1">
        <v>18649</v>
      </c>
      <c r="B7383" s="7" t="s">
        <v>10964</v>
      </c>
      <c r="C7383" s="12">
        <v>3900</v>
      </c>
      <c r="D7383" s="7" t="s">
        <v>11059</v>
      </c>
      <c r="E7383" s="13" t="s">
        <v>5005</v>
      </c>
      <c r="F7383" t="str">
        <f t="shared" si="575"/>
        <v>Vitruvian</v>
      </c>
      <c r="G7383" t="str">
        <f t="shared" si="576"/>
        <v>Vitruvian3900Addison</v>
      </c>
      <c r="H7383" t="s">
        <v>38238</v>
      </c>
      <c r="I7383" t="s">
        <v>29652</v>
      </c>
      <c r="J7383" t="str">
        <f t="shared" si="577"/>
        <v>E:\PropInv\MF</v>
      </c>
      <c r="K7383" s="103" t="str">
        <f>HYPERLINK("E:\PropInv\MF\Addison\Vitruvian Way_3900_Fiori (Vitruvian Park III)_Addison_18649","Vitruvian Way_3900_Fiori (Vitruvian Park III)_Addison_18649" )</f>
        <v>Vitruvian Way_3900_Fiori (Vitruvian Park III)_Addison_18649</v>
      </c>
      <c r="L7383" s="104" t="s">
        <v>22253</v>
      </c>
      <c r="M7383" s="103" t="str">
        <f t="shared" si="578"/>
        <v>http://oconnordata.com/mlink/modules/profile/index.cfm?action=profile&amp;prop_id=18649</v>
      </c>
      <c r="N7383" s="1">
        <f t="shared" si="579"/>
        <v>18649</v>
      </c>
    </row>
    <row r="7384" spans="1:14" x14ac:dyDescent="0.3">
      <c r="A7384" s="1">
        <v>18650</v>
      </c>
      <c r="B7384" s="7" t="s">
        <v>10389</v>
      </c>
      <c r="C7384" s="12">
        <v>1250</v>
      </c>
      <c r="D7384" s="7" t="s">
        <v>11060</v>
      </c>
      <c r="E7384" s="13" t="s">
        <v>6559</v>
      </c>
      <c r="F7384" t="str">
        <f t="shared" si="575"/>
        <v>287</v>
      </c>
      <c r="G7384" t="str">
        <f t="shared" si="576"/>
        <v>2871250Waxahachie</v>
      </c>
      <c r="H7384" t="s">
        <v>38239</v>
      </c>
      <c r="I7384" t="s">
        <v>29653</v>
      </c>
      <c r="J7384" t="str">
        <f t="shared" si="577"/>
        <v>E:\PropInv\MF</v>
      </c>
      <c r="K7384" s="103" t="str">
        <f>HYPERLINK("E:\PropInv\MF\Waxahachie\287 Hwy Bypass W_1250_Hunter's Cove_Waxahachie_18650","287 Hwy Bypass W_1250_Hunter's Cove_Waxahachie_18650" )</f>
        <v>287 Hwy Bypass W_1250_Hunter's Cove_Waxahachie_18650</v>
      </c>
      <c r="L7384" s="104" t="s">
        <v>22253</v>
      </c>
      <c r="M7384" s="103" t="str">
        <f t="shared" si="578"/>
        <v>http://oconnordata.com/mlink/modules/profile/index.cfm?action=profile&amp;prop_id=18650</v>
      </c>
      <c r="N7384" s="1">
        <f t="shared" si="579"/>
        <v>18650</v>
      </c>
    </row>
    <row r="7385" spans="1:14" x14ac:dyDescent="0.3">
      <c r="A7385" s="1">
        <v>18652</v>
      </c>
      <c r="B7385" s="7" t="s">
        <v>11061</v>
      </c>
      <c r="C7385" s="12">
        <v>3800</v>
      </c>
      <c r="D7385" s="7" t="s">
        <v>11062</v>
      </c>
      <c r="E7385" s="13" t="s">
        <v>1657</v>
      </c>
      <c r="F7385" t="str">
        <f t="shared" si="575"/>
        <v>Canfield</v>
      </c>
      <c r="G7385" t="str">
        <f t="shared" si="576"/>
        <v>Canfield3800Houston</v>
      </c>
      <c r="H7385" t="s">
        <v>38240</v>
      </c>
      <c r="I7385" t="s">
        <v>29654</v>
      </c>
      <c r="J7385" t="str">
        <f t="shared" si="577"/>
        <v>E:\PropInv\MF</v>
      </c>
      <c r="K7385" s="103" t="str">
        <f>HYPERLINK("E:\PropInv\MF\Houston\Canfield St_3800_Twelve Canfield Place_Houston_18652","Canfield St_3800_Twelve Canfield Place_Houston_18652" )</f>
        <v>Canfield St_3800_Twelve Canfield Place_Houston_18652</v>
      </c>
      <c r="L7385" s="104" t="s">
        <v>22253</v>
      </c>
      <c r="M7385" s="103" t="str">
        <f t="shared" si="578"/>
        <v>http://oconnordata.com/mlink/modules/profile/index.cfm?action=profile&amp;prop_id=18652</v>
      </c>
      <c r="N7385" s="1">
        <f t="shared" si="579"/>
        <v>18652</v>
      </c>
    </row>
    <row r="7386" spans="1:14" x14ac:dyDescent="0.3">
      <c r="A7386" s="1">
        <v>18653</v>
      </c>
      <c r="B7386" s="7" t="s">
        <v>11063</v>
      </c>
      <c r="C7386" s="12">
        <v>2412</v>
      </c>
      <c r="D7386" s="7" t="s">
        <v>11064</v>
      </c>
      <c r="E7386" s="13" t="s">
        <v>1657</v>
      </c>
      <c r="F7386" t="str">
        <f t="shared" si="575"/>
        <v>Southmore</v>
      </c>
      <c r="G7386" t="str">
        <f t="shared" si="576"/>
        <v>Southmore2412Houston</v>
      </c>
      <c r="H7386" t="s">
        <v>38241</v>
      </c>
      <c r="I7386" t="s">
        <v>29655</v>
      </c>
      <c r="J7386" t="str">
        <f t="shared" si="577"/>
        <v>E:\PropInv\MF</v>
      </c>
      <c r="K7386" s="103" t="str">
        <f>HYPERLINK("E:\PropInv\MF\Houston\Southmore Blvd_2412_Southmore Gardens_Houston_18653","Southmore Blvd_2412_Southmore Gardens_Houston_18653" )</f>
        <v>Southmore Blvd_2412_Southmore Gardens_Houston_18653</v>
      </c>
      <c r="L7386" s="104" t="s">
        <v>22253</v>
      </c>
      <c r="M7386" s="103" t="str">
        <f t="shared" si="578"/>
        <v>http://oconnordata.com/mlink/modules/profile/index.cfm?action=profile&amp;prop_id=18653</v>
      </c>
      <c r="N7386" s="1">
        <f t="shared" si="579"/>
        <v>18653</v>
      </c>
    </row>
    <row r="7387" spans="1:14" x14ac:dyDescent="0.3">
      <c r="A7387" s="1">
        <v>18654</v>
      </c>
      <c r="B7387" s="7" t="s">
        <v>11065</v>
      </c>
      <c r="C7387" s="12">
        <v>400</v>
      </c>
      <c r="D7387" s="7" t="s">
        <v>11066</v>
      </c>
      <c r="E7387" s="13" t="s">
        <v>6578</v>
      </c>
      <c r="F7387" t="str">
        <f t="shared" si="575"/>
        <v>Glade</v>
      </c>
      <c r="G7387" t="str">
        <f t="shared" si="576"/>
        <v>Glade400Grapevine</v>
      </c>
      <c r="H7387" t="s">
        <v>38242</v>
      </c>
      <c r="I7387" t="s">
        <v>29656</v>
      </c>
      <c r="J7387" t="str">
        <f t="shared" si="577"/>
        <v>E:\PropInv\MF</v>
      </c>
      <c r="K7387" s="103" t="str">
        <f>HYPERLINK("E:\PropInv\MF\Grapevine\Glade Rd W_400_Glade Corners_Grapevine_18654","Glade Rd W_400_Glade Corners_Grapevine_18654" )</f>
        <v>Glade Rd W_400_Glade Corners_Grapevine_18654</v>
      </c>
      <c r="L7387" s="104" t="s">
        <v>22253</v>
      </c>
      <c r="M7387" s="103" t="str">
        <f t="shared" si="578"/>
        <v>http://oconnordata.com/mlink/modules/profile/index.cfm?action=profile&amp;prop_id=18654</v>
      </c>
      <c r="N7387" s="1">
        <f t="shared" si="579"/>
        <v>18654</v>
      </c>
    </row>
    <row r="7388" spans="1:14" x14ac:dyDescent="0.3">
      <c r="A7388" s="1">
        <v>18655</v>
      </c>
      <c r="B7388" s="7" t="s">
        <v>9411</v>
      </c>
      <c r="C7388" s="12">
        <v>6900</v>
      </c>
      <c r="D7388" s="7" t="s">
        <v>11067</v>
      </c>
      <c r="E7388" s="13" t="s">
        <v>5180</v>
      </c>
      <c r="F7388" t="str">
        <f t="shared" si="575"/>
        <v>Sumner</v>
      </c>
      <c r="G7388" t="str">
        <f t="shared" si="576"/>
        <v>Sumner6900The Colony</v>
      </c>
      <c r="H7388" t="s">
        <v>38243</v>
      </c>
      <c r="I7388" t="s">
        <v>29657</v>
      </c>
      <c r="J7388" t="str">
        <f t="shared" si="577"/>
        <v>E:\PropInv\MF</v>
      </c>
      <c r="K7388" s="103" t="str">
        <f>HYPERLINK("E:\PropInv\MF\The Colony\Sumner St_6900_Austin Ranch V-Blvd_The Colony_18655","Sumner St_6900_Austin Ranch V-Blvd_The Colony_18655" )</f>
        <v>Sumner St_6900_Austin Ranch V-Blvd_The Colony_18655</v>
      </c>
      <c r="L7388" s="104" t="s">
        <v>22253</v>
      </c>
      <c r="M7388" s="103" t="str">
        <f t="shared" si="578"/>
        <v>http://oconnordata.com/mlink/modules/profile/index.cfm?action=profile&amp;prop_id=18655</v>
      </c>
      <c r="N7388" s="1">
        <f t="shared" si="579"/>
        <v>18655</v>
      </c>
    </row>
    <row r="7389" spans="1:14" x14ac:dyDescent="0.3">
      <c r="A7389" s="1">
        <v>18656</v>
      </c>
      <c r="B7389" s="7" t="s">
        <v>11068</v>
      </c>
      <c r="C7389" s="12">
        <v>14155</v>
      </c>
      <c r="D7389" s="7" t="s">
        <v>11069</v>
      </c>
      <c r="E7389" s="13" t="s">
        <v>1657</v>
      </c>
      <c r="F7389" t="str">
        <f t="shared" si="575"/>
        <v>Fayridge</v>
      </c>
      <c r="G7389" t="str">
        <f t="shared" si="576"/>
        <v>Fayridge14155Houston</v>
      </c>
      <c r="H7389" t="s">
        <v>38244</v>
      </c>
      <c r="I7389" t="s">
        <v>29658</v>
      </c>
      <c r="J7389" t="str">
        <f t="shared" si="577"/>
        <v>E:\PropInv\MF</v>
      </c>
      <c r="K7389" s="103" t="str">
        <f>HYPERLINK("E:\PropInv\MF\Houston\Fayridge Dr_14155_Cypress Creek at Fayridge Drive_Houston_18656","Fayridge Dr_14155_Cypress Creek at Fayridge Drive_Houston_18656" )</f>
        <v>Fayridge Dr_14155_Cypress Creek at Fayridge Drive_Houston_18656</v>
      </c>
      <c r="L7389" s="104" t="s">
        <v>22253</v>
      </c>
      <c r="M7389" s="103" t="str">
        <f t="shared" si="578"/>
        <v>http://oconnordata.com/mlink/modules/profile/index.cfm?action=profile&amp;prop_id=18656</v>
      </c>
      <c r="N7389" s="1">
        <f t="shared" si="579"/>
        <v>18656</v>
      </c>
    </row>
    <row r="7390" spans="1:14" x14ac:dyDescent="0.3">
      <c r="A7390" s="1">
        <v>18657</v>
      </c>
      <c r="B7390" s="7" t="s">
        <v>2210</v>
      </c>
      <c r="C7390" s="12">
        <v>11511</v>
      </c>
      <c r="D7390" s="7" t="s">
        <v>704</v>
      </c>
      <c r="E7390" s="13" t="s">
        <v>1657</v>
      </c>
      <c r="F7390" t="str">
        <f t="shared" si="575"/>
        <v>90</v>
      </c>
      <c r="G7390" t="str">
        <f t="shared" si="576"/>
        <v>9011511Houston</v>
      </c>
      <c r="H7390" t="s">
        <v>38245</v>
      </c>
      <c r="I7390" t="s">
        <v>29659</v>
      </c>
      <c r="J7390" t="str">
        <f t="shared" si="577"/>
        <v>E:\PropInv\MF</v>
      </c>
      <c r="K7390" s="103" t="str">
        <f>HYPERLINK("E:\PropInv\MF\Houston\90 Hwy_11511_Cypress Gardens_Houston_18657","90 Hwy_11511_Cypress Gardens_Houston_18657" )</f>
        <v>90 Hwy_11511_Cypress Gardens_Houston_18657</v>
      </c>
      <c r="L7390" s="104" t="s">
        <v>22253</v>
      </c>
      <c r="M7390" s="103" t="str">
        <f t="shared" si="578"/>
        <v>http://oconnordata.com/mlink/modules/profile/index.cfm?action=profile&amp;prop_id=18657</v>
      </c>
      <c r="N7390" s="1">
        <f t="shared" si="579"/>
        <v>18657</v>
      </c>
    </row>
    <row r="7391" spans="1:14" x14ac:dyDescent="0.3">
      <c r="A7391" s="1">
        <v>18658</v>
      </c>
      <c r="B7391" s="7" t="s">
        <v>4873</v>
      </c>
      <c r="C7391" s="12" t="s">
        <v>11070</v>
      </c>
      <c r="D7391" s="7" t="s">
        <v>11071</v>
      </c>
      <c r="E7391" s="13" t="s">
        <v>1657</v>
      </c>
      <c r="F7391" t="str">
        <f t="shared" si="575"/>
        <v>Montgomery</v>
      </c>
      <c r="G7391" t="str">
        <f t="shared" si="576"/>
        <v>Montgomery10000 BlkHouston</v>
      </c>
      <c r="H7391" t="s">
        <v>38246</v>
      </c>
      <c r="I7391" t="s">
        <v>29660</v>
      </c>
      <c r="J7391" t="str">
        <f t="shared" si="577"/>
        <v>E:\PropInv\MF</v>
      </c>
      <c r="K7391" s="103" t="str">
        <f>HYPERLINK("E:\PropInv\MF\Houston\Montgomery Rd W_10000 Blk_Parkway Ranch II_Houston_18658","Montgomery Rd W_10000 Blk_Parkway Ranch II_Houston_18658" )</f>
        <v>Montgomery Rd W_10000 Blk_Parkway Ranch II_Houston_18658</v>
      </c>
      <c r="L7391" s="104" t="s">
        <v>22253</v>
      </c>
      <c r="M7391" s="103" t="str">
        <f t="shared" si="578"/>
        <v>http://oconnordata.com/mlink/modules/profile/index.cfm?action=profile&amp;prop_id=18658</v>
      </c>
      <c r="N7391" s="1">
        <f t="shared" si="579"/>
        <v>18658</v>
      </c>
    </row>
    <row r="7392" spans="1:14" x14ac:dyDescent="0.3">
      <c r="A7392" s="97">
        <v>18659</v>
      </c>
      <c r="B7392" s="7" t="s">
        <v>11072</v>
      </c>
      <c r="C7392" s="12">
        <v>2100</v>
      </c>
      <c r="D7392" s="7" t="s">
        <v>11073</v>
      </c>
      <c r="E7392" s="13" t="s">
        <v>1657</v>
      </c>
      <c r="F7392" t="str">
        <f t="shared" si="575"/>
        <v>Webster</v>
      </c>
      <c r="G7392" t="str">
        <f t="shared" si="576"/>
        <v>Webster2100Houston</v>
      </c>
      <c r="H7392" t="s">
        <v>38247</v>
      </c>
      <c r="I7392" t="s">
        <v>29661</v>
      </c>
      <c r="J7392" t="str">
        <f t="shared" si="577"/>
        <v>E:\PropInv\MF</v>
      </c>
      <c r="K7392" s="103" t="str">
        <f>HYPERLINK("E:\PropInv\MF\Houston\Webster St_2100_Zion Gardens_Houston_18659","Webster St_2100_Zion Gardens_Houston_18659" )</f>
        <v>Webster St_2100_Zion Gardens_Houston_18659</v>
      </c>
      <c r="L7392" s="104" t="s">
        <v>22253</v>
      </c>
      <c r="M7392" s="103" t="str">
        <f t="shared" si="578"/>
        <v>http://oconnordata.com/mlink/modules/profile/index.cfm?action=profile&amp;prop_id=18659</v>
      </c>
      <c r="N7392" s="1">
        <f t="shared" si="579"/>
        <v>18659</v>
      </c>
    </row>
    <row r="7393" spans="1:14" x14ac:dyDescent="0.3">
      <c r="A7393" s="1">
        <v>18661</v>
      </c>
      <c r="B7393" s="7" t="s">
        <v>10174</v>
      </c>
      <c r="C7393" s="12">
        <v>10603</v>
      </c>
      <c r="D7393" s="7" t="s">
        <v>11074</v>
      </c>
      <c r="E7393" s="13" t="s">
        <v>1657</v>
      </c>
      <c r="F7393" t="str">
        <f t="shared" si="575"/>
        <v>Southdown</v>
      </c>
      <c r="G7393" t="str">
        <f t="shared" si="576"/>
        <v>Southdown10603Houston</v>
      </c>
      <c r="H7393" t="s">
        <v>38248</v>
      </c>
      <c r="I7393" t="s">
        <v>29662</v>
      </c>
      <c r="J7393" t="str">
        <f t="shared" si="577"/>
        <v>E:\PropInv\MF</v>
      </c>
      <c r="K7393" s="103" t="str">
        <f>HYPERLINK("E:\PropInv\MF\Houston\Southdown Trace Trl_10603_Tarrington Court_Houston_18661","Southdown Trace Trl_10603_Tarrington Court_Houston_18661" )</f>
        <v>Southdown Trace Trl_10603_Tarrington Court_Houston_18661</v>
      </c>
      <c r="L7393" s="104" t="s">
        <v>22253</v>
      </c>
      <c r="M7393" s="103" t="str">
        <f t="shared" si="578"/>
        <v>http://oconnordata.com/mlink/modules/profile/index.cfm?action=profile&amp;prop_id=18661</v>
      </c>
      <c r="N7393" s="1">
        <f t="shared" si="579"/>
        <v>18661</v>
      </c>
    </row>
    <row r="7394" spans="1:14" x14ac:dyDescent="0.3">
      <c r="A7394" s="1">
        <v>18662</v>
      </c>
      <c r="B7394" s="7" t="s">
        <v>11075</v>
      </c>
      <c r="C7394" s="12">
        <v>975</v>
      </c>
      <c r="D7394" s="7" t="s">
        <v>11076</v>
      </c>
      <c r="E7394" s="13" t="s">
        <v>3241</v>
      </c>
      <c r="F7394" t="str">
        <f t="shared" si="575"/>
        <v>Sheldon</v>
      </c>
      <c r="G7394" t="str">
        <f t="shared" si="576"/>
        <v>Sheldon975Channelview</v>
      </c>
      <c r="H7394" t="s">
        <v>38249</v>
      </c>
      <c r="I7394" t="s">
        <v>29663</v>
      </c>
      <c r="J7394" t="str">
        <f t="shared" si="577"/>
        <v>E:\PropInv\MF</v>
      </c>
      <c r="K7394" s="103" t="str">
        <f>HYPERLINK("E:\PropInv\MF\Channelview\Sheldon Rd_975_Pine Trail Homes_Channelview_18662","Sheldon Rd_975_Pine Trail Homes_Channelview_18662" )</f>
        <v>Sheldon Rd_975_Pine Trail Homes_Channelview_18662</v>
      </c>
      <c r="L7394" s="104" t="s">
        <v>22253</v>
      </c>
      <c r="M7394" s="103" t="str">
        <f t="shared" si="578"/>
        <v>http://oconnordata.com/mlink/modules/profile/index.cfm?action=profile&amp;prop_id=18662</v>
      </c>
      <c r="N7394" s="1">
        <f t="shared" si="579"/>
        <v>18662</v>
      </c>
    </row>
    <row r="7395" spans="1:14" x14ac:dyDescent="0.3">
      <c r="A7395" s="1">
        <v>18663</v>
      </c>
      <c r="B7395" s="7" t="s">
        <v>4108</v>
      </c>
      <c r="C7395" s="12">
        <v>11409</v>
      </c>
      <c r="D7395" s="7" t="s">
        <v>11077</v>
      </c>
      <c r="E7395" s="13" t="s">
        <v>1657</v>
      </c>
      <c r="F7395" t="str">
        <f t="shared" si="575"/>
        <v>Scott</v>
      </c>
      <c r="G7395" t="str">
        <f t="shared" si="576"/>
        <v>Scott11409Houston</v>
      </c>
      <c r="H7395" t="s">
        <v>38250</v>
      </c>
      <c r="I7395" t="s">
        <v>29664</v>
      </c>
      <c r="J7395" t="str">
        <f t="shared" si="577"/>
        <v>E:\PropInv\MF</v>
      </c>
      <c r="K7395" s="103" t="str">
        <f>HYPERLINK("E:\PropInv\MF\Houston\Scott St_11409_South Acres Ranch I_Houston_18663","Scott St_11409_South Acres Ranch I_Houston_18663" )</f>
        <v>Scott St_11409_South Acres Ranch I_Houston_18663</v>
      </c>
      <c r="L7395" s="104" t="s">
        <v>22253</v>
      </c>
      <c r="M7395" s="103" t="str">
        <f t="shared" si="578"/>
        <v>http://oconnordata.com/mlink/modules/profile/index.cfm?action=profile&amp;prop_id=18663</v>
      </c>
      <c r="N7395" s="1">
        <f t="shared" si="579"/>
        <v>18663</v>
      </c>
    </row>
    <row r="7396" spans="1:14" x14ac:dyDescent="0.3">
      <c r="A7396" s="1">
        <v>18665</v>
      </c>
      <c r="B7396" s="7" t="s">
        <v>9004</v>
      </c>
      <c r="C7396" s="12">
        <v>1541</v>
      </c>
      <c r="D7396" s="7" t="s">
        <v>11078</v>
      </c>
      <c r="E7396" s="13" t="s">
        <v>5097</v>
      </c>
      <c r="F7396" t="str">
        <f t="shared" si="575"/>
        <v>Meadow</v>
      </c>
      <c r="G7396" t="str">
        <f t="shared" si="576"/>
        <v>Meadow1541Denton</v>
      </c>
      <c r="H7396" t="s">
        <v>38251</v>
      </c>
      <c r="I7396" t="s">
        <v>29665</v>
      </c>
      <c r="J7396" t="str">
        <f t="shared" si="577"/>
        <v>E:\PropInv\MF</v>
      </c>
      <c r="K7396" s="103" t="str">
        <f>HYPERLINK("E:\PropInv\MF\Denton\Meadow St_1541_Campus Park_Denton_18665","Meadow St_1541_Campus Park_Denton_18665" )</f>
        <v>Meadow St_1541_Campus Park_Denton_18665</v>
      </c>
      <c r="L7396" s="104" t="s">
        <v>22253</v>
      </c>
      <c r="M7396" s="103" t="str">
        <f t="shared" si="578"/>
        <v>http://oconnordata.com/mlink/modules/profile/index.cfm?action=profile&amp;prop_id=18665</v>
      </c>
      <c r="N7396" s="1">
        <f t="shared" si="579"/>
        <v>18665</v>
      </c>
    </row>
    <row r="7397" spans="1:14" x14ac:dyDescent="0.3">
      <c r="A7397" s="1">
        <v>18666</v>
      </c>
      <c r="B7397" s="7" t="s">
        <v>7996</v>
      </c>
      <c r="C7397" s="12">
        <v>201</v>
      </c>
      <c r="D7397" s="7" t="s">
        <v>11079</v>
      </c>
      <c r="E7397" s="13" t="s">
        <v>5407</v>
      </c>
      <c r="F7397" t="str">
        <f t="shared" si="575"/>
        <v>Clark</v>
      </c>
      <c r="G7397" t="str">
        <f t="shared" si="576"/>
        <v>Clark201Cedar Hill</v>
      </c>
      <c r="H7397" t="s">
        <v>38252</v>
      </c>
      <c r="I7397" t="s">
        <v>29666</v>
      </c>
      <c r="J7397" t="str">
        <f t="shared" si="577"/>
        <v>E:\PropInv\MF</v>
      </c>
      <c r="K7397" s="103" t="str">
        <f>HYPERLINK("E:\PropInv\MF\Cedar Hill\Clark Rd S_201_High Pointe Village II_Cedar Hill_18666","Clark Rd S_201_High Pointe Village II_Cedar Hill_18666" )</f>
        <v>Clark Rd S_201_High Pointe Village II_Cedar Hill_18666</v>
      </c>
      <c r="L7397" s="104" t="s">
        <v>22253</v>
      </c>
      <c r="M7397" s="103" t="str">
        <f t="shared" si="578"/>
        <v>http://oconnordata.com/mlink/modules/profile/index.cfm?action=profile&amp;prop_id=18666</v>
      </c>
      <c r="N7397" s="1">
        <f t="shared" si="579"/>
        <v>18666</v>
      </c>
    </row>
    <row r="7398" spans="1:14" x14ac:dyDescent="0.3">
      <c r="A7398" s="1">
        <v>18667</v>
      </c>
      <c r="B7398" s="7" t="s">
        <v>10062</v>
      </c>
      <c r="C7398" s="12">
        <v>200</v>
      </c>
      <c r="D7398" s="7" t="s">
        <v>11080</v>
      </c>
      <c r="E7398" s="13" t="s">
        <v>5862</v>
      </c>
      <c r="F7398" t="str">
        <f t="shared" si="575"/>
        <v>Ryan</v>
      </c>
      <c r="G7398" t="str">
        <f t="shared" si="576"/>
        <v>Ryan200Red Oak</v>
      </c>
      <c r="H7398" t="s">
        <v>38253</v>
      </c>
      <c r="I7398" t="s">
        <v>29667</v>
      </c>
      <c r="J7398" t="str">
        <f t="shared" si="577"/>
        <v>E:\PropInv\MF</v>
      </c>
      <c r="K7398" s="103" t="str">
        <f>HYPERLINK("E:\PropInv\MF\Red Oak\Ryan Dr S_200_Red Oak Town Village II_Red Oak_18667","Ryan Dr S_200_Red Oak Town Village II_Red Oak_18667" )</f>
        <v>Ryan Dr S_200_Red Oak Town Village II_Red Oak_18667</v>
      </c>
      <c r="L7398" s="104" t="s">
        <v>22253</v>
      </c>
      <c r="M7398" s="103" t="str">
        <f t="shared" si="578"/>
        <v>http://oconnordata.com/mlink/modules/profile/index.cfm?action=profile&amp;prop_id=18667</v>
      </c>
      <c r="N7398" s="1">
        <f t="shared" si="579"/>
        <v>18667</v>
      </c>
    </row>
    <row r="7399" spans="1:14" s="114" customFormat="1" x14ac:dyDescent="0.3">
      <c r="A7399" s="111">
        <v>18668</v>
      </c>
      <c r="B7399" s="127" t="s">
        <v>3053</v>
      </c>
      <c r="C7399" s="128">
        <v>219</v>
      </c>
      <c r="D7399" s="127" t="s">
        <v>11081</v>
      </c>
      <c r="E7399" s="127" t="s">
        <v>1657</v>
      </c>
      <c r="F7399" s="114" t="str">
        <f t="shared" si="575"/>
        <v>Alabama</v>
      </c>
      <c r="G7399" s="114" t="str">
        <f t="shared" si="576"/>
        <v>Alabama219Houston</v>
      </c>
      <c r="H7399" s="114" t="s">
        <v>38254</v>
      </c>
      <c r="I7399" s="114" t="s">
        <v>29668</v>
      </c>
      <c r="J7399" s="114" t="str">
        <f t="shared" si="577"/>
        <v>E:\PropInv\MF</v>
      </c>
      <c r="K7399" s="115" t="str">
        <f>HYPERLINK("E:\PropInv\MF\Houston\Alabama St W_219_Skylane Midtown_Houston_18668","Alabama St W_219_Skylane Midtown_Houston_18668" )</f>
        <v>Alabama St W_219_Skylane Midtown_Houston_18668</v>
      </c>
      <c r="L7399" s="116" t="s">
        <v>22253</v>
      </c>
      <c r="M7399" s="115" t="str">
        <f t="shared" si="578"/>
        <v>http://oconnordata.com/mlink/modules/profile/index.cfm?action=profile&amp;prop_id=18668</v>
      </c>
      <c r="N7399" s="111">
        <f t="shared" si="579"/>
        <v>18668</v>
      </c>
    </row>
    <row r="7400" spans="1:14" x14ac:dyDescent="0.3">
      <c r="A7400" s="1">
        <v>18669</v>
      </c>
      <c r="B7400" s="7" t="s">
        <v>11082</v>
      </c>
      <c r="C7400" s="35" t="s">
        <v>11083</v>
      </c>
      <c r="D7400" s="7" t="s">
        <v>1041</v>
      </c>
      <c r="E7400" s="13" t="s">
        <v>1657</v>
      </c>
      <c r="F7400" t="str">
        <f t="shared" si="575"/>
        <v>.5</v>
      </c>
      <c r="G7400" t="str">
        <f t="shared" si="576"/>
        <v>.51305-2225Houston</v>
      </c>
      <c r="H7400" t="s">
        <v>38255</v>
      </c>
      <c r="I7400" t="s">
        <v>29669</v>
      </c>
      <c r="J7400" t="str">
        <f t="shared" si="577"/>
        <v>E:\PropInv\MF</v>
      </c>
      <c r="K7400" s="103" t="str">
        <f>HYPERLINK("E:\PropInv\MF\Houston\.5 Tidwell Rd W_1305-2225_The Enclave_Houston_18669",".5 Tidwell Rd W_1305-2225_The Enclave_Houston_18669" )</f>
        <v>.5 Tidwell Rd W_1305-2225_The Enclave_Houston_18669</v>
      </c>
      <c r="L7400" s="104" t="s">
        <v>22253</v>
      </c>
      <c r="M7400" s="103" t="str">
        <f t="shared" si="578"/>
        <v>http://oconnordata.com/mlink/modules/profile/index.cfm?action=profile&amp;prop_id=18669</v>
      </c>
      <c r="N7400" s="1">
        <f t="shared" si="579"/>
        <v>18669</v>
      </c>
    </row>
    <row r="7401" spans="1:14" x14ac:dyDescent="0.3">
      <c r="A7401" s="1">
        <v>18670</v>
      </c>
      <c r="B7401" s="7" t="s">
        <v>11084</v>
      </c>
      <c r="C7401" s="12">
        <v>14222</v>
      </c>
      <c r="D7401" s="7" t="s">
        <v>11085</v>
      </c>
      <c r="E7401" s="13" t="s">
        <v>1657</v>
      </c>
      <c r="F7401" t="str">
        <f t="shared" si="575"/>
        <v>Kimberely</v>
      </c>
      <c r="G7401" t="str">
        <f t="shared" si="576"/>
        <v>Kimberely14222Houston</v>
      </c>
      <c r="H7401" t="s">
        <v>38256</v>
      </c>
      <c r="I7401" t="s">
        <v>29670</v>
      </c>
      <c r="J7401" t="str">
        <f t="shared" si="577"/>
        <v>E:\PropInv\MF</v>
      </c>
      <c r="K7401" s="103" t="str">
        <f>HYPERLINK("E:\PropInv\MF\Houston\Kimberely Ln_14222_The Nottingham Village II_Houston_18670","Kimberely Ln_14222_The Nottingham Village II_Houston_18670" )</f>
        <v>Kimberely Ln_14222_The Nottingham Village II_Houston_18670</v>
      </c>
      <c r="L7401" s="104" t="s">
        <v>22253</v>
      </c>
      <c r="M7401" s="103" t="str">
        <f t="shared" si="578"/>
        <v>http://oconnordata.com/mlink/modules/profile/index.cfm?action=profile&amp;prop_id=18670</v>
      </c>
      <c r="N7401" s="1">
        <f t="shared" si="579"/>
        <v>18670</v>
      </c>
    </row>
    <row r="7402" spans="1:14" x14ac:dyDescent="0.3">
      <c r="A7402" s="1">
        <v>18671</v>
      </c>
      <c r="B7402" s="7" t="s">
        <v>7900</v>
      </c>
      <c r="C7402" s="12">
        <v>6301</v>
      </c>
      <c r="D7402" s="7" t="s">
        <v>11086</v>
      </c>
      <c r="E7402" s="13" t="s">
        <v>5009</v>
      </c>
      <c r="F7402" t="str">
        <f t="shared" si="575"/>
        <v>Stonewood</v>
      </c>
      <c r="G7402" t="str">
        <f t="shared" si="576"/>
        <v>Stonewood6301Plano</v>
      </c>
      <c r="H7402" t="s">
        <v>38257</v>
      </c>
      <c r="I7402" t="s">
        <v>29671</v>
      </c>
      <c r="J7402" t="str">
        <f t="shared" si="577"/>
        <v>E:\PropInv\MF</v>
      </c>
      <c r="K7402" s="103" t="str">
        <f>HYPERLINK("E:\PropInv\MF\Plano\Stonewood Dr_6301_Villas of Spring Creek II_Plano_18671","Stonewood Dr_6301_Villas of Spring Creek II_Plano_18671" )</f>
        <v>Stonewood Dr_6301_Villas of Spring Creek II_Plano_18671</v>
      </c>
      <c r="L7402" s="104" t="s">
        <v>22253</v>
      </c>
      <c r="M7402" s="103" t="str">
        <f t="shared" si="578"/>
        <v>http://oconnordata.com/mlink/modules/profile/index.cfm?action=profile&amp;prop_id=18671</v>
      </c>
      <c r="N7402" s="1">
        <f t="shared" si="579"/>
        <v>18671</v>
      </c>
    </row>
    <row r="7403" spans="1:14" x14ac:dyDescent="0.3">
      <c r="A7403" s="1">
        <v>18672</v>
      </c>
      <c r="B7403" s="7" t="s">
        <v>5024</v>
      </c>
      <c r="C7403" s="12">
        <v>5025</v>
      </c>
      <c r="D7403" s="7" t="s">
        <v>11087</v>
      </c>
      <c r="E7403" s="13" t="s">
        <v>4996</v>
      </c>
      <c r="F7403" t="str">
        <f t="shared" si="575"/>
        <v>Amesbury</v>
      </c>
      <c r="G7403" t="str">
        <f t="shared" si="576"/>
        <v>Amesbury5025Dallas</v>
      </c>
      <c r="H7403" t="s">
        <v>38258</v>
      </c>
      <c r="I7403" t="s">
        <v>29672</v>
      </c>
      <c r="J7403" t="str">
        <f t="shared" si="577"/>
        <v>E:\PropInv\MF</v>
      </c>
      <c r="K7403" s="103" t="str">
        <f>HYPERLINK("E:\PropInv\MF\Dallas\Amesbury Dr_5025_Amesbury Apts_Dallas_18672","Amesbury Dr_5025_Amesbury Apts_Dallas_18672" )</f>
        <v>Amesbury Dr_5025_Amesbury Apts_Dallas_18672</v>
      </c>
      <c r="L7403" s="104" t="s">
        <v>22253</v>
      </c>
      <c r="M7403" s="103" t="str">
        <f t="shared" si="578"/>
        <v>http://oconnordata.com/mlink/modules/profile/index.cfm?action=profile&amp;prop_id=18672</v>
      </c>
      <c r="N7403" s="1">
        <f t="shared" si="579"/>
        <v>18672</v>
      </c>
    </row>
    <row r="7404" spans="1:14" x14ac:dyDescent="0.3">
      <c r="A7404" s="1">
        <v>18673</v>
      </c>
      <c r="B7404" s="7" t="s">
        <v>11088</v>
      </c>
      <c r="C7404" s="12">
        <v>2311</v>
      </c>
      <c r="D7404" s="7" t="s">
        <v>11089</v>
      </c>
      <c r="E7404" s="13" t="s">
        <v>4565</v>
      </c>
      <c r="F7404" t="str">
        <f t="shared" si="575"/>
        <v>71st</v>
      </c>
      <c r="G7404" t="str">
        <f t="shared" si="576"/>
        <v>71st2311Galveston</v>
      </c>
      <c r="H7404" t="s">
        <v>38259</v>
      </c>
      <c r="I7404" t="s">
        <v>29673</v>
      </c>
      <c r="J7404" t="str">
        <f t="shared" si="577"/>
        <v>E:\PropInv\MF</v>
      </c>
      <c r="K7404" s="103" t="str">
        <f>HYPERLINK("E:\PropInv\MF\Galveston\71st St_2311_Coastal Breeze_Galveston_18673","71st St_2311_Coastal Breeze_Galveston_18673" )</f>
        <v>71st St_2311_Coastal Breeze_Galveston_18673</v>
      </c>
      <c r="L7404" s="104" t="s">
        <v>22253</v>
      </c>
      <c r="M7404" s="103" t="str">
        <f t="shared" si="578"/>
        <v>http://oconnordata.com/mlink/modules/profile/index.cfm?action=profile&amp;prop_id=18673</v>
      </c>
      <c r="N7404" s="1">
        <f t="shared" si="579"/>
        <v>18673</v>
      </c>
    </row>
    <row r="7405" spans="1:14" x14ac:dyDescent="0.3">
      <c r="A7405" s="1">
        <v>18674</v>
      </c>
      <c r="B7405" s="7" t="s">
        <v>11090</v>
      </c>
      <c r="C7405" s="12">
        <v>6255</v>
      </c>
      <c r="D7405" s="7" t="s">
        <v>11091</v>
      </c>
      <c r="E7405" s="13" t="s">
        <v>5488</v>
      </c>
      <c r="F7405" t="str">
        <f t="shared" si="575"/>
        <v>Frisco</v>
      </c>
      <c r="G7405" t="str">
        <f t="shared" si="576"/>
        <v>Frisco6255Frisco</v>
      </c>
      <c r="H7405" t="s">
        <v>38260</v>
      </c>
      <c r="I7405" t="s">
        <v>29674</v>
      </c>
      <c r="J7405" t="str">
        <f t="shared" si="577"/>
        <v>E:\PropInv\MF</v>
      </c>
      <c r="K7405" s="103" t="str">
        <f>HYPERLINK("E:\PropInv\MF\Frisco\Frisco Sq Blvd_6255_The Residences at Frisco Square-The Boulevard_Frisco_18674","Frisco Sq Blvd_6255_The Residences at Frisco Square-The Boulevard_Frisco_18674" )</f>
        <v>Frisco Sq Blvd_6255_The Residences at Frisco Square-The Boulevard_Frisco_18674</v>
      </c>
      <c r="L7405" s="104" t="s">
        <v>22253</v>
      </c>
      <c r="M7405" s="103" t="str">
        <f t="shared" si="578"/>
        <v>http://oconnordata.com/mlink/modules/profile/index.cfm?action=profile&amp;prop_id=18674</v>
      </c>
      <c r="N7405" s="1">
        <f t="shared" si="579"/>
        <v>18674</v>
      </c>
    </row>
    <row r="7406" spans="1:14" x14ac:dyDescent="0.3">
      <c r="A7406" s="1">
        <v>18675</v>
      </c>
      <c r="B7406" s="7" t="s">
        <v>11092</v>
      </c>
      <c r="C7406" s="12">
        <v>2600</v>
      </c>
      <c r="D7406" s="7" t="s">
        <v>11093</v>
      </c>
      <c r="E7406" s="13" t="s">
        <v>1657</v>
      </c>
      <c r="F7406" t="str">
        <f t="shared" si="575"/>
        <v>Gramercy</v>
      </c>
      <c r="G7406" t="str">
        <f t="shared" si="576"/>
        <v>Gramercy2600Houston</v>
      </c>
      <c r="H7406" t="s">
        <v>38261</v>
      </c>
      <c r="I7406" t="s">
        <v>29675</v>
      </c>
      <c r="J7406" t="str">
        <f t="shared" si="577"/>
        <v>E:\PropInv\MF</v>
      </c>
      <c r="K7406" s="103" t="str">
        <f>HYPERLINK("E:\PropInv\MF\Houston\Gramercy St_2600_Broadstone Gramercy (2600)_Houston_18675","Gramercy St_2600_Broadstone Gramercy (2600)_Houston_18675" )</f>
        <v>Gramercy St_2600_Broadstone Gramercy (2600)_Houston_18675</v>
      </c>
      <c r="L7406" s="104" t="s">
        <v>22253</v>
      </c>
      <c r="M7406" s="103" t="str">
        <f t="shared" si="578"/>
        <v>http://oconnordata.com/mlink/modules/profile/index.cfm?action=profile&amp;prop_id=18675</v>
      </c>
      <c r="N7406" s="1">
        <f t="shared" si="579"/>
        <v>18675</v>
      </c>
    </row>
    <row r="7407" spans="1:14" x14ac:dyDescent="0.3">
      <c r="A7407" s="1">
        <v>18676</v>
      </c>
      <c r="B7407" s="7" t="s">
        <v>11092</v>
      </c>
      <c r="C7407" s="12">
        <v>2601</v>
      </c>
      <c r="D7407" s="7" t="s">
        <v>11094</v>
      </c>
      <c r="E7407" s="13" t="s">
        <v>1657</v>
      </c>
      <c r="F7407" t="str">
        <f t="shared" si="575"/>
        <v>Gramercy</v>
      </c>
      <c r="G7407" t="str">
        <f t="shared" si="576"/>
        <v>Gramercy2601Houston</v>
      </c>
      <c r="H7407" t="s">
        <v>38262</v>
      </c>
      <c r="I7407" t="s">
        <v>29676</v>
      </c>
      <c r="J7407" t="str">
        <f t="shared" si="577"/>
        <v>E:\PropInv\MF</v>
      </c>
      <c r="K7407" s="103" t="str">
        <f>HYPERLINK("E:\PropInv\MF\Houston\Gramercy St_2601_Broadstone Gramercy (2601)_Houston_18676","Gramercy St_2601_Broadstone Gramercy (2601)_Houston_18676" )</f>
        <v>Gramercy St_2601_Broadstone Gramercy (2601)_Houston_18676</v>
      </c>
      <c r="L7407" s="104" t="s">
        <v>22253</v>
      </c>
      <c r="M7407" s="103" t="str">
        <f t="shared" si="578"/>
        <v>http://oconnordata.com/mlink/modules/profile/index.cfm?action=profile&amp;prop_id=18676</v>
      </c>
      <c r="N7407" s="1">
        <f t="shared" si="579"/>
        <v>18676</v>
      </c>
    </row>
    <row r="7408" spans="1:14" x14ac:dyDescent="0.3">
      <c r="A7408" s="1">
        <v>18677</v>
      </c>
      <c r="B7408" s="7" t="s">
        <v>4775</v>
      </c>
      <c r="C7408" s="12">
        <v>2500</v>
      </c>
      <c r="D7408" s="7" t="s">
        <v>11095</v>
      </c>
      <c r="E7408" s="13" t="s">
        <v>1508</v>
      </c>
      <c r="F7408" t="str">
        <f t="shared" si="575"/>
        <v>Millbend</v>
      </c>
      <c r="G7408" t="str">
        <f t="shared" si="576"/>
        <v>Millbend2500The Woodlands</v>
      </c>
      <c r="H7408" t="s">
        <v>38263</v>
      </c>
      <c r="I7408" t="s">
        <v>29677</v>
      </c>
      <c r="J7408" t="str">
        <f t="shared" si="577"/>
        <v>E:\PropInv\MF</v>
      </c>
      <c r="K7408" s="103" t="str">
        <f>HYPERLINK("E:\PropInv\MF\The Woodlands\Millbend Dr S_2500_The Woodlands Lodge_The Woodlands_18677","Millbend Dr S_2500_The Woodlands Lodge_The Woodlands_18677" )</f>
        <v>Millbend Dr S_2500_The Woodlands Lodge_The Woodlands_18677</v>
      </c>
      <c r="L7408" s="104" t="s">
        <v>22253</v>
      </c>
      <c r="M7408" s="103" t="str">
        <f t="shared" si="578"/>
        <v>http://oconnordata.com/mlink/modules/profile/index.cfm?action=profile&amp;prop_id=18677</v>
      </c>
      <c r="N7408" s="1">
        <f t="shared" si="579"/>
        <v>18677</v>
      </c>
    </row>
    <row r="7409" spans="1:14" x14ac:dyDescent="0.3">
      <c r="A7409" s="1">
        <v>18678</v>
      </c>
      <c r="B7409" s="7" t="s">
        <v>3248</v>
      </c>
      <c r="C7409" s="12">
        <v>2200</v>
      </c>
      <c r="D7409" s="7" t="s">
        <v>11096</v>
      </c>
      <c r="E7409" s="13" t="s">
        <v>2609</v>
      </c>
      <c r="F7409" t="str">
        <f t="shared" si="575"/>
        <v>Baker</v>
      </c>
      <c r="G7409" t="str">
        <f t="shared" si="576"/>
        <v>Baker2200Baytown</v>
      </c>
      <c r="H7409" t="s">
        <v>38264</v>
      </c>
      <c r="I7409" t="s">
        <v>29678</v>
      </c>
      <c r="J7409" t="str">
        <f t="shared" si="577"/>
        <v>E:\PropInv\MF</v>
      </c>
      <c r="K7409" s="103" t="str">
        <f>HYPERLINK("E:\PropInv\MF\Baytown\Baker Rd W_2200_Lynn at Country Club_Baytown_18678","Baker Rd W_2200_Lynn at Country Club_Baytown_18678" )</f>
        <v>Baker Rd W_2200_Lynn at Country Club_Baytown_18678</v>
      </c>
      <c r="L7409" s="104" t="s">
        <v>22253</v>
      </c>
      <c r="M7409" s="103" t="str">
        <f t="shared" si="578"/>
        <v>http://oconnordata.com/mlink/modules/profile/index.cfm?action=profile&amp;prop_id=18678</v>
      </c>
      <c r="N7409" s="1">
        <f t="shared" si="579"/>
        <v>18678</v>
      </c>
    </row>
    <row r="7410" spans="1:14" x14ac:dyDescent="0.3">
      <c r="A7410" s="1">
        <v>18679</v>
      </c>
      <c r="B7410" s="7" t="s">
        <v>11097</v>
      </c>
      <c r="C7410" s="12">
        <v>3717</v>
      </c>
      <c r="D7410" s="7" t="s">
        <v>11098</v>
      </c>
      <c r="E7410" s="13" t="s">
        <v>2609</v>
      </c>
      <c r="F7410" t="str">
        <f t="shared" si="575"/>
        <v>Emmet</v>
      </c>
      <c r="G7410" t="str">
        <f t="shared" si="576"/>
        <v>Emmet3717Baytown</v>
      </c>
      <c r="H7410" t="s">
        <v>38265</v>
      </c>
      <c r="I7410" t="s">
        <v>29679</v>
      </c>
      <c r="J7410" t="str">
        <f t="shared" si="577"/>
        <v>E:\PropInv\MF</v>
      </c>
      <c r="K7410" s="103" t="str">
        <f>HYPERLINK("E:\PropInv\MF\Baytown\Emmet Hutto Blvd_3717_The Villas at Rollingbrook_Baytown_18679","Emmet Hutto Blvd_3717_The Villas at Rollingbrook_Baytown_18679" )</f>
        <v>Emmet Hutto Blvd_3717_The Villas at Rollingbrook_Baytown_18679</v>
      </c>
      <c r="L7410" s="104" t="s">
        <v>22253</v>
      </c>
      <c r="M7410" s="103" t="str">
        <f t="shared" si="578"/>
        <v>http://oconnordata.com/mlink/modules/profile/index.cfm?action=profile&amp;prop_id=18679</v>
      </c>
      <c r="N7410" s="1">
        <f t="shared" si="579"/>
        <v>18679</v>
      </c>
    </row>
    <row r="7411" spans="1:14" x14ac:dyDescent="0.3">
      <c r="A7411" s="1">
        <v>18680</v>
      </c>
      <c r="B7411" s="7" t="s">
        <v>11099</v>
      </c>
      <c r="C7411" s="12">
        <v>2120</v>
      </c>
      <c r="D7411" s="7" t="s">
        <v>3229</v>
      </c>
      <c r="E7411" s="13" t="s">
        <v>4996</v>
      </c>
      <c r="F7411" t="str">
        <f t="shared" si="575"/>
        <v>52nd</v>
      </c>
      <c r="G7411" t="str">
        <f t="shared" si="576"/>
        <v>52nd2120Dallas</v>
      </c>
      <c r="H7411" t="s">
        <v>38266</v>
      </c>
      <c r="I7411" t="s">
        <v>29680</v>
      </c>
      <c r="J7411" t="str">
        <f t="shared" si="577"/>
        <v>E:\PropInv\MF</v>
      </c>
      <c r="K7411" s="103" t="str">
        <f>HYPERLINK("E:\PropInv\MF\Dallas\52nd St_2120_Oakglen_Dallas_18680","52nd St_2120_Oakglen_Dallas_18680" )</f>
        <v>52nd St_2120_Oakglen_Dallas_18680</v>
      </c>
      <c r="L7411" s="104" t="s">
        <v>22253</v>
      </c>
      <c r="M7411" s="103" t="str">
        <f t="shared" si="578"/>
        <v>http://oconnordata.com/mlink/modules/profile/index.cfm?action=profile&amp;prop_id=18680</v>
      </c>
      <c r="N7411" s="1">
        <f t="shared" si="579"/>
        <v>18680</v>
      </c>
    </row>
    <row r="7412" spans="1:14" x14ac:dyDescent="0.3">
      <c r="A7412" s="1">
        <v>18681</v>
      </c>
      <c r="B7412" s="7" t="s">
        <v>865</v>
      </c>
      <c r="C7412" s="12" t="s">
        <v>11100</v>
      </c>
      <c r="D7412" s="7" t="s">
        <v>11101</v>
      </c>
      <c r="E7412" s="13" t="s">
        <v>842</v>
      </c>
      <c r="F7412" t="str">
        <f t="shared" si="575"/>
        <v>Blanco</v>
      </c>
      <c r="G7412" t="str">
        <f t="shared" si="576"/>
        <v>Blanco5211-5231San Antonio</v>
      </c>
      <c r="H7412" t="s">
        <v>38267</v>
      </c>
      <c r="I7412" t="s">
        <v>29681</v>
      </c>
      <c r="J7412" t="str">
        <f t="shared" si="577"/>
        <v>E:\PropInv\MF</v>
      </c>
      <c r="K7412" s="103" t="str">
        <f>HYPERLINK("E:\PropInv\MF\San Antonio\Blanco Rd_5211-5231_Santa Fe Square Manor_San Antonio_18681","Blanco Rd_5211-5231_Santa Fe Square Manor_San Antonio_18681" )</f>
        <v>Blanco Rd_5211-5231_Santa Fe Square Manor_San Antonio_18681</v>
      </c>
      <c r="L7412" s="104" t="s">
        <v>22253</v>
      </c>
      <c r="M7412" s="103" t="str">
        <f t="shared" si="578"/>
        <v>http://oconnordata.com/mlink/modules/profile/index.cfm?action=profile&amp;prop_id=18681</v>
      </c>
      <c r="N7412" s="1">
        <f t="shared" si="579"/>
        <v>18681</v>
      </c>
    </row>
    <row r="7413" spans="1:14" x14ac:dyDescent="0.3">
      <c r="A7413" s="1">
        <v>18683</v>
      </c>
      <c r="B7413" s="7" t="s">
        <v>9933</v>
      </c>
      <c r="C7413" s="12">
        <v>6105</v>
      </c>
      <c r="D7413" s="7" t="s">
        <v>11102</v>
      </c>
      <c r="E7413" s="13" t="s">
        <v>1657</v>
      </c>
      <c r="F7413" t="str">
        <f t="shared" si="575"/>
        <v>Orem</v>
      </c>
      <c r="G7413" t="str">
        <f t="shared" si="576"/>
        <v>Orem6105Houston</v>
      </c>
      <c r="H7413" t="s">
        <v>38268</v>
      </c>
      <c r="I7413" t="s">
        <v>29682</v>
      </c>
      <c r="J7413" t="str">
        <f t="shared" si="577"/>
        <v>E:\PropInv\MF</v>
      </c>
      <c r="K7413" s="103" t="str">
        <f>HYPERLINK("E:\PropInv\MF\Houston\Orem Dr W_6105_Corinthian Village_Houston_18683","Orem Dr W_6105_Corinthian Village_Houston_18683" )</f>
        <v>Orem Dr W_6105_Corinthian Village_Houston_18683</v>
      </c>
      <c r="L7413" s="104" t="s">
        <v>22253</v>
      </c>
      <c r="M7413" s="103" t="str">
        <f t="shared" si="578"/>
        <v>http://oconnordata.com/mlink/modules/profile/index.cfm?action=profile&amp;prop_id=18683</v>
      </c>
      <c r="N7413" s="1">
        <f t="shared" si="579"/>
        <v>18683</v>
      </c>
    </row>
    <row r="7414" spans="1:14" x14ac:dyDescent="0.3">
      <c r="A7414" s="1">
        <v>18684</v>
      </c>
      <c r="B7414" s="7" t="s">
        <v>11103</v>
      </c>
      <c r="C7414" s="12">
        <v>150</v>
      </c>
      <c r="D7414" s="7" t="s">
        <v>11104</v>
      </c>
      <c r="E7414" s="13" t="s">
        <v>1662</v>
      </c>
      <c r="F7414" t="str">
        <f t="shared" si="575"/>
        <v>Northpark</v>
      </c>
      <c r="G7414" t="str">
        <f t="shared" si="576"/>
        <v>Northpark150Kingwood</v>
      </c>
      <c r="H7414" t="s">
        <v>38269</v>
      </c>
      <c r="I7414" t="s">
        <v>29683</v>
      </c>
      <c r="J7414" t="str">
        <f t="shared" si="577"/>
        <v>E:\PropInv\MF</v>
      </c>
      <c r="K7414" s="103" t="str">
        <f>HYPERLINK("E:\PropInv\MF\Kingwood\Northpark Plaza Dr_150_Discovery at Kingwood_Kingwood_18684","Northpark Plaza Dr_150_Discovery at Kingwood_Kingwood_18684" )</f>
        <v>Northpark Plaza Dr_150_Discovery at Kingwood_Kingwood_18684</v>
      </c>
      <c r="L7414" s="104" t="s">
        <v>22253</v>
      </c>
      <c r="M7414" s="103" t="str">
        <f t="shared" si="578"/>
        <v>http://oconnordata.com/mlink/modules/profile/index.cfm?action=profile&amp;prop_id=18684</v>
      </c>
      <c r="N7414" s="1">
        <f t="shared" si="579"/>
        <v>18684</v>
      </c>
    </row>
    <row r="7415" spans="1:14" x14ac:dyDescent="0.3">
      <c r="A7415" s="1">
        <v>18686</v>
      </c>
      <c r="B7415" s="7" t="s">
        <v>11105</v>
      </c>
      <c r="C7415" s="12">
        <v>6401</v>
      </c>
      <c r="D7415" s="7" t="s">
        <v>11106</v>
      </c>
      <c r="E7415" s="13" t="s">
        <v>5046</v>
      </c>
      <c r="F7415" t="str">
        <f t="shared" si="575"/>
        <v>Escena</v>
      </c>
      <c r="G7415" t="str">
        <f t="shared" si="576"/>
        <v>Escena6401Irving</v>
      </c>
      <c r="H7415" t="s">
        <v>38270</v>
      </c>
      <c r="I7415" t="s">
        <v>29684</v>
      </c>
      <c r="J7415" t="str">
        <f t="shared" si="577"/>
        <v>E:\PropInv\MF</v>
      </c>
      <c r="K7415" s="103" t="str">
        <f>HYPERLINK("E:\PropInv\MF\Irving\Escena Blvd_6401_AMLI at Escena_Irving_18686","Escena Blvd_6401_AMLI at Escena_Irving_18686" )</f>
        <v>Escena Blvd_6401_AMLI at Escena_Irving_18686</v>
      </c>
      <c r="L7415" s="104" t="s">
        <v>22253</v>
      </c>
      <c r="M7415" s="103" t="str">
        <f t="shared" si="578"/>
        <v>http://oconnordata.com/mlink/modules/profile/index.cfm?action=profile&amp;prop_id=18686</v>
      </c>
      <c r="N7415" s="1">
        <f t="shared" si="579"/>
        <v>18686</v>
      </c>
    </row>
    <row r="7416" spans="1:14" x14ac:dyDescent="0.3">
      <c r="A7416" s="1">
        <v>18687</v>
      </c>
      <c r="B7416" s="7" t="s">
        <v>10847</v>
      </c>
      <c r="C7416" s="12">
        <v>1400</v>
      </c>
      <c r="D7416" s="7" t="s">
        <v>11107</v>
      </c>
      <c r="E7416" s="13" t="s">
        <v>4996</v>
      </c>
      <c r="F7416" t="str">
        <f t="shared" si="575"/>
        <v>Hi</v>
      </c>
      <c r="G7416" t="str">
        <f t="shared" si="576"/>
        <v>Hi1400Dallas</v>
      </c>
      <c r="H7416" t="s">
        <v>38271</v>
      </c>
      <c r="I7416" t="s">
        <v>29685</v>
      </c>
      <c r="J7416" t="str">
        <f t="shared" si="577"/>
        <v>E:\PropInv\MF</v>
      </c>
      <c r="K7416" s="103" t="str">
        <f>HYPERLINK("E:\PropInv\MF\Dallas\Hi Line Dr_1400_1400 Hi Line_Dallas_18687","Hi Line Dr_1400_1400 Hi Line_Dallas_18687" )</f>
        <v>Hi Line Dr_1400_1400 Hi Line_Dallas_18687</v>
      </c>
      <c r="L7416" s="104" t="s">
        <v>22253</v>
      </c>
      <c r="M7416" s="103" t="str">
        <f t="shared" si="578"/>
        <v>http://oconnordata.com/mlink/modules/profile/index.cfm?action=profile&amp;prop_id=18687</v>
      </c>
      <c r="N7416" s="1">
        <f t="shared" si="579"/>
        <v>18687</v>
      </c>
    </row>
    <row r="7417" spans="1:14" x14ac:dyDescent="0.3">
      <c r="A7417" s="1">
        <v>18688</v>
      </c>
      <c r="B7417" s="7" t="s">
        <v>7121</v>
      </c>
      <c r="C7417" s="12">
        <v>2385</v>
      </c>
      <c r="D7417" s="7" t="s">
        <v>11108</v>
      </c>
      <c r="E7417" s="13" t="s">
        <v>7522</v>
      </c>
      <c r="F7417" t="str">
        <f t="shared" si="575"/>
        <v>White</v>
      </c>
      <c r="G7417" t="str">
        <f t="shared" si="576"/>
        <v>White2385Weatherford</v>
      </c>
      <c r="H7417" t="s">
        <v>38272</v>
      </c>
      <c r="I7417" t="s">
        <v>29686</v>
      </c>
      <c r="J7417" t="str">
        <f t="shared" si="577"/>
        <v>E:\PropInv\MF</v>
      </c>
      <c r="K7417" s="103" t="str">
        <f>HYPERLINK("E:\PropInv\MF\Weatherford\White Settlement Rd_2385_Meadow Vista_Weatherford_18688","White Settlement Rd_2385_Meadow Vista_Weatherford_18688" )</f>
        <v>White Settlement Rd_2385_Meadow Vista_Weatherford_18688</v>
      </c>
      <c r="L7417" s="104" t="s">
        <v>22253</v>
      </c>
      <c r="M7417" s="103" t="str">
        <f t="shared" si="578"/>
        <v>http://oconnordata.com/mlink/modules/profile/index.cfm?action=profile&amp;prop_id=18688</v>
      </c>
      <c r="N7417" s="1">
        <f t="shared" si="579"/>
        <v>18688</v>
      </c>
    </row>
    <row r="7418" spans="1:14" x14ac:dyDescent="0.3">
      <c r="A7418" s="1">
        <v>18689</v>
      </c>
      <c r="B7418" s="7" t="s">
        <v>5155</v>
      </c>
      <c r="C7418" s="12">
        <v>1802</v>
      </c>
      <c r="D7418" s="7" t="s">
        <v>11109</v>
      </c>
      <c r="E7418" s="13" t="s">
        <v>5019</v>
      </c>
      <c r="F7418" t="str">
        <f t="shared" si="575"/>
        <v>Castle</v>
      </c>
      <c r="G7418" t="str">
        <f t="shared" si="576"/>
        <v>Castle1802Garland</v>
      </c>
      <c r="H7418" t="s">
        <v>38273</v>
      </c>
      <c r="I7418" t="s">
        <v>29687</v>
      </c>
      <c r="J7418" t="str">
        <f t="shared" si="577"/>
        <v>E:\PropInv\MF</v>
      </c>
      <c r="K7418" s="103" t="str">
        <f>HYPERLINK("E:\PropInv\MF\Garland\Castle Dr_1802_HomeTowne at Garland_Garland_18689","Castle Dr_1802_HomeTowne at Garland_Garland_18689" )</f>
        <v>Castle Dr_1802_HomeTowne at Garland_Garland_18689</v>
      </c>
      <c r="L7418" s="104" t="s">
        <v>22253</v>
      </c>
      <c r="M7418" s="103" t="str">
        <f t="shared" si="578"/>
        <v>http://oconnordata.com/mlink/modules/profile/index.cfm?action=profile&amp;prop_id=18689</v>
      </c>
      <c r="N7418" s="1">
        <f t="shared" si="579"/>
        <v>18689</v>
      </c>
    </row>
    <row r="7419" spans="1:14" x14ac:dyDescent="0.3">
      <c r="A7419" s="1">
        <v>18691</v>
      </c>
      <c r="B7419" s="7" t="s">
        <v>7375</v>
      </c>
      <c r="C7419" s="12">
        <v>1818</v>
      </c>
      <c r="D7419" s="7" t="s">
        <v>11110</v>
      </c>
      <c r="E7419" s="13" t="s">
        <v>842</v>
      </c>
      <c r="F7419" t="str">
        <f t="shared" si="575"/>
        <v>Rogers</v>
      </c>
      <c r="G7419" t="str">
        <f t="shared" si="576"/>
        <v>Rogers1818San Antonio</v>
      </c>
      <c r="H7419" t="s">
        <v>38274</v>
      </c>
      <c r="I7419" t="s">
        <v>29688</v>
      </c>
      <c r="J7419" t="str">
        <f t="shared" si="577"/>
        <v>E:\PropInv\MF</v>
      </c>
      <c r="K7419" s="103" t="str">
        <f>HYPERLINK("E:\PropInv\MF\San Antonio\Rogers Rd_1818_The Villas in Westover Hills_San Antonio_18691","Rogers Rd_1818_The Villas in Westover Hills_San Antonio_18691" )</f>
        <v>Rogers Rd_1818_The Villas in Westover Hills_San Antonio_18691</v>
      </c>
      <c r="L7419" s="104" t="s">
        <v>22253</v>
      </c>
      <c r="M7419" s="103" t="str">
        <f t="shared" si="578"/>
        <v>http://oconnordata.com/mlink/modules/profile/index.cfm?action=profile&amp;prop_id=18691</v>
      </c>
      <c r="N7419" s="1">
        <f t="shared" si="579"/>
        <v>18691</v>
      </c>
    </row>
    <row r="7420" spans="1:14" x14ac:dyDescent="0.3">
      <c r="A7420" s="1">
        <v>18692</v>
      </c>
      <c r="B7420" s="7" t="s">
        <v>3969</v>
      </c>
      <c r="C7420" s="12">
        <v>503</v>
      </c>
      <c r="D7420" s="7" t="s">
        <v>11111</v>
      </c>
      <c r="E7420" s="13" t="s">
        <v>842</v>
      </c>
      <c r="F7420" t="str">
        <f t="shared" si="575"/>
        <v>Ave</v>
      </c>
      <c r="G7420" t="str">
        <f t="shared" si="576"/>
        <v>Ave503San Antonio</v>
      </c>
      <c r="H7420" t="s">
        <v>38275</v>
      </c>
      <c r="I7420" t="s">
        <v>29689</v>
      </c>
      <c r="J7420" t="str">
        <f t="shared" si="577"/>
        <v>E:\PropInv\MF</v>
      </c>
      <c r="K7420" s="103" t="str">
        <f>HYPERLINK("E:\PropInv\MF\San Antonio\Ave A_503_CAN Plant Residences at Pearl_San Antonio_18692","Ave A_503_CAN Plant Residences at Pearl_San Antonio_18692" )</f>
        <v>Ave A_503_CAN Plant Residences at Pearl_San Antonio_18692</v>
      </c>
      <c r="L7420" s="104" t="s">
        <v>22253</v>
      </c>
      <c r="M7420" s="103" t="str">
        <f t="shared" si="578"/>
        <v>http://oconnordata.com/mlink/modules/profile/index.cfm?action=profile&amp;prop_id=18692</v>
      </c>
      <c r="N7420" s="1">
        <f t="shared" si="579"/>
        <v>18692</v>
      </c>
    </row>
    <row r="7421" spans="1:14" x14ac:dyDescent="0.3">
      <c r="A7421" s="1">
        <v>18694</v>
      </c>
      <c r="B7421" s="7" t="s">
        <v>10899</v>
      </c>
      <c r="C7421" s="12">
        <v>905</v>
      </c>
      <c r="D7421" s="7" t="s">
        <v>11112</v>
      </c>
      <c r="E7421" s="13" t="s">
        <v>5097</v>
      </c>
      <c r="F7421" t="str">
        <f t="shared" si="575"/>
        <v>Cleveland</v>
      </c>
      <c r="G7421" t="str">
        <f t="shared" si="576"/>
        <v>Cleveland905Denton</v>
      </c>
      <c r="H7421" t="s">
        <v>38276</v>
      </c>
      <c r="I7421" t="s">
        <v>29690</v>
      </c>
      <c r="J7421" t="str">
        <f t="shared" si="577"/>
        <v>E:\PropInv\MF</v>
      </c>
      <c r="K7421" s="103" t="str">
        <f>HYPERLINK("E:\PropInv\MF\Denton\Cleveland St_905_Midtown Denton_Denton_18694","Cleveland St_905_Midtown Denton_Denton_18694" )</f>
        <v>Cleveland St_905_Midtown Denton_Denton_18694</v>
      </c>
      <c r="L7421" s="104" t="s">
        <v>22253</v>
      </c>
      <c r="M7421" s="103" t="str">
        <f t="shared" si="578"/>
        <v>http://oconnordata.com/mlink/modules/profile/index.cfm?action=profile&amp;prop_id=18694</v>
      </c>
      <c r="N7421" s="1">
        <f t="shared" si="579"/>
        <v>18694</v>
      </c>
    </row>
    <row r="7422" spans="1:14" x14ac:dyDescent="0.3">
      <c r="A7422" s="1">
        <v>18695</v>
      </c>
      <c r="B7422" s="7" t="s">
        <v>152</v>
      </c>
      <c r="C7422" s="12">
        <v>3715</v>
      </c>
      <c r="D7422" s="7" t="s">
        <v>1194</v>
      </c>
      <c r="E7422" s="13" t="s">
        <v>7</v>
      </c>
      <c r="F7422" t="str">
        <f t="shared" si="575"/>
        <v>1st</v>
      </c>
      <c r="G7422" t="str">
        <f t="shared" si="576"/>
        <v>1st3715Austin</v>
      </c>
      <c r="H7422" t="s">
        <v>38277</v>
      </c>
      <c r="I7422" t="s">
        <v>29691</v>
      </c>
      <c r="J7422" t="str">
        <f t="shared" si="577"/>
        <v>E:\PropInv\MF</v>
      </c>
      <c r="K7422" s="103" t="str">
        <f>HYPERLINK("E:\PropInv\MF\Austin\1st St S_3715_Oak Meadows_Austin_18695","1st St S_3715_Oak Meadows_Austin_18695" )</f>
        <v>1st St S_3715_Oak Meadows_Austin_18695</v>
      </c>
      <c r="L7422" s="104" t="s">
        <v>22253</v>
      </c>
      <c r="M7422" s="103" t="str">
        <f t="shared" si="578"/>
        <v>http://oconnordata.com/mlink/modules/profile/index.cfm?action=profile&amp;prop_id=18695</v>
      </c>
      <c r="N7422" s="1">
        <f t="shared" si="579"/>
        <v>18695</v>
      </c>
    </row>
    <row r="7423" spans="1:14" x14ac:dyDescent="0.3">
      <c r="A7423" s="1">
        <v>18696</v>
      </c>
      <c r="B7423" s="7" t="s">
        <v>11113</v>
      </c>
      <c r="C7423" s="12">
        <v>401</v>
      </c>
      <c r="D7423" s="7" t="s">
        <v>11114</v>
      </c>
      <c r="E7423" s="13" t="s">
        <v>5097</v>
      </c>
      <c r="F7423" t="str">
        <f t="shared" si="575"/>
        <v>Ame</v>
      </c>
      <c r="G7423" t="str">
        <f t="shared" si="576"/>
        <v>Ame401Denton</v>
      </c>
      <c r="H7423" t="s">
        <v>38278</v>
      </c>
      <c r="I7423" t="s">
        <v>29692</v>
      </c>
      <c r="J7423" t="str">
        <f t="shared" si="577"/>
        <v>E:\PropInv\MF</v>
      </c>
      <c r="K7423" s="103" t="str">
        <f>HYPERLINK("E:\PropInv\MF\Denton\Ame Dr_401_Gardens of Denton_Denton_18696","Ame Dr_401_Gardens of Denton_Denton_18696" )</f>
        <v>Ame Dr_401_Gardens of Denton_Denton_18696</v>
      </c>
      <c r="L7423" s="104" t="s">
        <v>22253</v>
      </c>
      <c r="M7423" s="103" t="str">
        <f t="shared" si="578"/>
        <v>http://oconnordata.com/mlink/modules/profile/index.cfm?action=profile&amp;prop_id=18696</v>
      </c>
      <c r="N7423" s="1">
        <f t="shared" si="579"/>
        <v>18696</v>
      </c>
    </row>
    <row r="7424" spans="1:14" x14ac:dyDescent="0.3">
      <c r="A7424" s="1">
        <v>18698</v>
      </c>
      <c r="B7424" s="7" t="s">
        <v>3118</v>
      </c>
      <c r="C7424" s="12">
        <v>4640</v>
      </c>
      <c r="D7424" s="7" t="s">
        <v>11115</v>
      </c>
      <c r="E7424" s="13" t="s">
        <v>1657</v>
      </c>
      <c r="F7424" t="str">
        <f t="shared" si="575"/>
        <v>Main</v>
      </c>
      <c r="G7424" t="str">
        <f t="shared" si="576"/>
        <v>Main4640Houston</v>
      </c>
      <c r="H7424" t="s">
        <v>38279</v>
      </c>
      <c r="I7424" t="s">
        <v>29693</v>
      </c>
      <c r="J7424" t="str">
        <f t="shared" si="577"/>
        <v>E:\PropInv\MF</v>
      </c>
      <c r="K7424" s="103" t="str">
        <f>HYPERLINK("E:\PropInv\MF\Houston\Main St_4640_Midtown Terrace Suites_Houston_18698","Main St_4640_Midtown Terrace Suites_Houston_18698" )</f>
        <v>Main St_4640_Midtown Terrace Suites_Houston_18698</v>
      </c>
      <c r="L7424" s="104" t="s">
        <v>22253</v>
      </c>
      <c r="M7424" s="103" t="str">
        <f t="shared" si="578"/>
        <v>http://oconnordata.com/mlink/modules/profile/index.cfm?action=profile&amp;prop_id=18698</v>
      </c>
      <c r="N7424" s="1">
        <f t="shared" si="579"/>
        <v>18698</v>
      </c>
    </row>
    <row r="7425" spans="1:14" x14ac:dyDescent="0.3">
      <c r="A7425" s="1">
        <v>18700</v>
      </c>
      <c r="B7425" s="7" t="s">
        <v>11116</v>
      </c>
      <c r="C7425" s="12">
        <v>344</v>
      </c>
      <c r="D7425" s="7" t="s">
        <v>11117</v>
      </c>
      <c r="E7425" s="13" t="s">
        <v>11118</v>
      </c>
      <c r="F7425" t="str">
        <f t="shared" si="575"/>
        <v>Murray</v>
      </c>
      <c r="G7425" t="str">
        <f t="shared" si="576"/>
        <v>Murray344Fairview</v>
      </c>
      <c r="H7425" t="s">
        <v>38280</v>
      </c>
      <c r="I7425" t="s">
        <v>29694</v>
      </c>
      <c r="J7425" t="str">
        <f t="shared" si="577"/>
        <v>E:\PropInv\MF</v>
      </c>
      <c r="K7425" s="103" t="str">
        <f>HYPERLINK("E:\PropInv\MF\Fairview\Murray Farm Rd_344_Colonial Grand at Fairview_Fairview_18700","Murray Farm Rd_344_Colonial Grand at Fairview_Fairview_18700" )</f>
        <v>Murray Farm Rd_344_Colonial Grand at Fairview_Fairview_18700</v>
      </c>
      <c r="L7425" s="104" t="s">
        <v>22253</v>
      </c>
      <c r="M7425" s="103" t="str">
        <f t="shared" si="578"/>
        <v>http://oconnordata.com/mlink/modules/profile/index.cfm?action=profile&amp;prop_id=18700</v>
      </c>
      <c r="N7425" s="1">
        <f t="shared" si="579"/>
        <v>18700</v>
      </c>
    </row>
    <row r="7426" spans="1:14" x14ac:dyDescent="0.3">
      <c r="A7426" s="1">
        <v>18701</v>
      </c>
      <c r="B7426" s="7" t="s">
        <v>2045</v>
      </c>
      <c r="C7426" s="12">
        <v>4775</v>
      </c>
      <c r="D7426" s="7" t="s">
        <v>11119</v>
      </c>
      <c r="E7426" s="13" t="s">
        <v>1763</v>
      </c>
      <c r="F7426" t="str">
        <f t="shared" ref="F7426:F7489" si="580">IFERROR(LEFT(B7426,FIND(" ",B7426)-1),B7426)</f>
        <v>Wilson</v>
      </c>
      <c r="G7426" t="str">
        <f t="shared" ref="G7426:G7489" si="581">F7426&amp;C7426&amp;E7426</f>
        <v>Wilson4775Humble</v>
      </c>
      <c r="H7426" t="s">
        <v>38281</v>
      </c>
      <c r="I7426" t="s">
        <v>29695</v>
      </c>
      <c r="J7426" t="str">
        <f t="shared" ref="J7426:J7489" si="582">IF(L7426="TX",Folder_Path,Folder_Path&amp;"\State_"&amp;L7426)</f>
        <v>E:\PropInv\MF</v>
      </c>
      <c r="K7426" s="103" t="str">
        <f>HYPERLINK("E:\PropInv\MF\Humble\Wilson Rd_4775_Carrington at Park Lakes_Humble_18701","Wilson Rd_4775_Carrington at Park Lakes_Humble_18701" )</f>
        <v>Wilson Rd_4775_Carrington at Park Lakes_Humble_18701</v>
      </c>
      <c r="L7426" s="104" t="s">
        <v>22253</v>
      </c>
      <c r="M7426" s="103" t="str">
        <f t="shared" ref="M7426:M7489" si="583">HYPERLINK("http://oconnordata.com/mlink/modules/profile/index.cfm?action=profile&amp;prop_id="&amp;A7426)</f>
        <v>http://oconnordata.com/mlink/modules/profile/index.cfm?action=profile&amp;prop_id=18701</v>
      </c>
      <c r="N7426" s="1">
        <f t="shared" ref="N7426:N7489" si="584">IF(LEN(A7426)=1,"0000"&amp;A7426,IF(LEN(A7426)=2,"000"&amp;A7426,IF(LEN(A7426)=3,"00"&amp;A7426,IF(LEN(A7426)=4,"0"&amp;A7426,IF(LEN(A7426)=5,IF(LEFT(A7426,1)="3",A7426+30000,A7426))))))</f>
        <v>18701</v>
      </c>
    </row>
    <row r="7427" spans="1:14" x14ac:dyDescent="0.3">
      <c r="A7427" s="1">
        <v>18702</v>
      </c>
      <c r="B7427" s="7" t="s">
        <v>11120</v>
      </c>
      <c r="C7427" s="12">
        <v>2111</v>
      </c>
      <c r="D7427" s="7" t="s">
        <v>9566</v>
      </c>
      <c r="E7427" s="13" t="s">
        <v>1671</v>
      </c>
      <c r="F7427" t="str">
        <f t="shared" si="580"/>
        <v>Old</v>
      </c>
      <c r="G7427" t="str">
        <f t="shared" si="581"/>
        <v>Old2111Spring</v>
      </c>
      <c r="H7427" t="s">
        <v>38282</v>
      </c>
      <c r="I7427" t="s">
        <v>29696</v>
      </c>
      <c r="J7427" t="str">
        <f t="shared" si="582"/>
        <v>E:\PropInv\MF</v>
      </c>
      <c r="K7427" s="103" t="str">
        <f>HYPERLINK("E:\PropInv\MF\Spring\Old Holzwarth Rd_2111_Waterstone_Spring_18702","Old Holzwarth Rd_2111_Waterstone_Spring_18702" )</f>
        <v>Old Holzwarth Rd_2111_Waterstone_Spring_18702</v>
      </c>
      <c r="L7427" s="104" t="s">
        <v>22253</v>
      </c>
      <c r="M7427" s="103" t="str">
        <f t="shared" si="583"/>
        <v>http://oconnordata.com/mlink/modules/profile/index.cfm?action=profile&amp;prop_id=18702</v>
      </c>
      <c r="N7427" s="1">
        <f t="shared" si="584"/>
        <v>18702</v>
      </c>
    </row>
    <row r="7428" spans="1:14" x14ac:dyDescent="0.3">
      <c r="A7428" s="1">
        <v>18703</v>
      </c>
      <c r="B7428" s="7" t="s">
        <v>11121</v>
      </c>
      <c r="C7428" s="12">
        <v>1755</v>
      </c>
      <c r="D7428" s="7" t="s">
        <v>11122</v>
      </c>
      <c r="E7428" s="13" t="s">
        <v>1657</v>
      </c>
      <c r="F7428" t="str">
        <f t="shared" si="580"/>
        <v>Crescent</v>
      </c>
      <c r="G7428" t="str">
        <f t="shared" si="581"/>
        <v>Crescent1755Houston</v>
      </c>
      <c r="H7428" t="s">
        <v>38283</v>
      </c>
      <c r="I7428" t="s">
        <v>29697</v>
      </c>
      <c r="J7428" t="str">
        <f t="shared" si="582"/>
        <v>E:\PropInv\MF</v>
      </c>
      <c r="K7428" s="103" t="str">
        <f>HYPERLINK("E:\PropInv\MF\Houston\Crescent Plaza Dr_1755_The Domain at Eldridge_Houston_18703","Crescent Plaza Dr_1755_The Domain at Eldridge_Houston_18703" )</f>
        <v>Crescent Plaza Dr_1755_The Domain at Eldridge_Houston_18703</v>
      </c>
      <c r="L7428" s="104" t="s">
        <v>22253</v>
      </c>
      <c r="M7428" s="103" t="str">
        <f t="shared" si="583"/>
        <v>http://oconnordata.com/mlink/modules/profile/index.cfm?action=profile&amp;prop_id=18703</v>
      </c>
      <c r="N7428" s="1">
        <f t="shared" si="584"/>
        <v>18703</v>
      </c>
    </row>
    <row r="7429" spans="1:14" x14ac:dyDescent="0.3">
      <c r="A7429" s="1">
        <v>18704</v>
      </c>
      <c r="B7429" s="7" t="s">
        <v>11123</v>
      </c>
      <c r="C7429" s="12">
        <v>1414</v>
      </c>
      <c r="D7429" s="7" t="s">
        <v>11124</v>
      </c>
      <c r="E7429" s="13" t="s">
        <v>1657</v>
      </c>
      <c r="F7429" t="str">
        <f t="shared" si="580"/>
        <v>Congress</v>
      </c>
      <c r="G7429" t="str">
        <f t="shared" si="581"/>
        <v>Congress1414Houston</v>
      </c>
      <c r="H7429" t="s">
        <v>38284</v>
      </c>
      <c r="I7429" t="s">
        <v>29698</v>
      </c>
      <c r="J7429" t="str">
        <f t="shared" si="582"/>
        <v>E:\PropInv\MF</v>
      </c>
      <c r="K7429" s="103" t="str">
        <f>HYPERLINK("E:\PropInv\MF\Houston\Congress St_1414_1414 Congress_Houston_18704","Congress St_1414_1414 Congress_Houston_18704" )</f>
        <v>Congress St_1414_1414 Congress_Houston_18704</v>
      </c>
      <c r="L7429" s="104" t="s">
        <v>22253</v>
      </c>
      <c r="M7429" s="103" t="str">
        <f t="shared" si="583"/>
        <v>http://oconnordata.com/mlink/modules/profile/index.cfm?action=profile&amp;prop_id=18704</v>
      </c>
      <c r="N7429" s="1">
        <f t="shared" si="584"/>
        <v>18704</v>
      </c>
    </row>
    <row r="7430" spans="1:14" x14ac:dyDescent="0.3">
      <c r="A7430" s="1">
        <v>18705</v>
      </c>
      <c r="B7430" s="7" t="s">
        <v>152</v>
      </c>
      <c r="C7430" s="12">
        <v>11001</v>
      </c>
      <c r="D7430" s="7" t="s">
        <v>11125</v>
      </c>
      <c r="E7430" s="13" t="s">
        <v>7</v>
      </c>
      <c r="F7430" t="str">
        <f t="shared" si="580"/>
        <v>1st</v>
      </c>
      <c r="G7430" t="str">
        <f t="shared" si="581"/>
        <v>1st11001Austin</v>
      </c>
      <c r="H7430" t="s">
        <v>38285</v>
      </c>
      <c r="I7430" t="s">
        <v>29699</v>
      </c>
      <c r="J7430" t="str">
        <f t="shared" si="582"/>
        <v>E:\PropInv\MF</v>
      </c>
      <c r="K7430" s="103" t="str">
        <f>HYPERLINK("E:\PropInv\MF\Austin\1st St S_11001_Colonial Grand at Double Creek_Austin_18705","1st St S_11001_Colonial Grand at Double Creek_Austin_18705" )</f>
        <v>1st St S_11001_Colonial Grand at Double Creek_Austin_18705</v>
      </c>
      <c r="L7430" s="104" t="s">
        <v>22253</v>
      </c>
      <c r="M7430" s="103" t="str">
        <f t="shared" si="583"/>
        <v>http://oconnordata.com/mlink/modules/profile/index.cfm?action=profile&amp;prop_id=18705</v>
      </c>
      <c r="N7430" s="1">
        <f t="shared" si="584"/>
        <v>18705</v>
      </c>
    </row>
    <row r="7431" spans="1:14" x14ac:dyDescent="0.3">
      <c r="A7431" s="1">
        <v>18706</v>
      </c>
      <c r="B7431" s="7" t="s">
        <v>11126</v>
      </c>
      <c r="C7431" s="12">
        <v>4222</v>
      </c>
      <c r="D7431" s="7" t="s">
        <v>11127</v>
      </c>
      <c r="E7431" s="13" t="s">
        <v>1657</v>
      </c>
      <c r="F7431" t="str">
        <f t="shared" si="580"/>
        <v>Weaver</v>
      </c>
      <c r="G7431" t="str">
        <f t="shared" si="581"/>
        <v>Weaver4222Houston</v>
      </c>
      <c r="H7431" t="s">
        <v>38286</v>
      </c>
      <c r="I7431" t="s">
        <v>29700</v>
      </c>
      <c r="J7431" t="str">
        <f t="shared" si="582"/>
        <v>E:\PropInv\MF</v>
      </c>
      <c r="K7431" s="103" t="str">
        <f>HYPERLINK("E:\PropInv\MF\Houston\Weaver Dr_4222_Royal North_Houston_18706","Weaver Dr_4222_Royal North_Houston_18706" )</f>
        <v>Weaver Dr_4222_Royal North_Houston_18706</v>
      </c>
      <c r="L7431" s="104" t="s">
        <v>22253</v>
      </c>
      <c r="M7431" s="103" t="str">
        <f t="shared" si="583"/>
        <v>http://oconnordata.com/mlink/modules/profile/index.cfm?action=profile&amp;prop_id=18706</v>
      </c>
      <c r="N7431" s="1">
        <f t="shared" si="584"/>
        <v>18706</v>
      </c>
    </row>
    <row r="7432" spans="1:14" x14ac:dyDescent="0.3">
      <c r="A7432" s="1">
        <v>18707</v>
      </c>
      <c r="B7432" s="7" t="s">
        <v>11128</v>
      </c>
      <c r="C7432" s="12">
        <v>2436</v>
      </c>
      <c r="D7432" s="7" t="s">
        <v>1818</v>
      </c>
      <c r="E7432" s="13" t="s">
        <v>5055</v>
      </c>
      <c r="F7432" t="str">
        <f t="shared" si="580"/>
        <v>Valley</v>
      </c>
      <c r="G7432" t="str">
        <f t="shared" si="581"/>
        <v>Valley2436Lewisville</v>
      </c>
      <c r="H7432" t="s">
        <v>38287</v>
      </c>
      <c r="I7432" t="s">
        <v>29701</v>
      </c>
      <c r="J7432" t="str">
        <f t="shared" si="582"/>
        <v>E:\PropInv\MF</v>
      </c>
      <c r="K7432" s="103" t="str">
        <f>HYPERLINK("E:\PropInv\MF\Lewisville\Valley Pkwy S_2436_Cypress_Lewisville_18707","Valley Pkwy S_2436_Cypress_Lewisville_18707" )</f>
        <v>Valley Pkwy S_2436_Cypress_Lewisville_18707</v>
      </c>
      <c r="L7432" s="104" t="s">
        <v>22253</v>
      </c>
      <c r="M7432" s="103" t="str">
        <f t="shared" si="583"/>
        <v>http://oconnordata.com/mlink/modules/profile/index.cfm?action=profile&amp;prop_id=18707</v>
      </c>
      <c r="N7432" s="1">
        <f t="shared" si="584"/>
        <v>18707</v>
      </c>
    </row>
    <row r="7433" spans="1:14" x14ac:dyDescent="0.3">
      <c r="A7433" s="1">
        <v>18708</v>
      </c>
      <c r="B7433" s="7" t="s">
        <v>4197</v>
      </c>
      <c r="C7433" s="12">
        <v>3400</v>
      </c>
      <c r="D7433" s="7" t="s">
        <v>11129</v>
      </c>
      <c r="E7433" s="13" t="s">
        <v>3924</v>
      </c>
      <c r="F7433" t="str">
        <f t="shared" si="580"/>
        <v>Burke</v>
      </c>
      <c r="G7433" t="str">
        <f t="shared" si="581"/>
        <v>Burke3400Pasadena</v>
      </c>
      <c r="H7433" t="s">
        <v>38288</v>
      </c>
      <c r="I7433" t="s">
        <v>29702</v>
      </c>
      <c r="J7433" t="str">
        <f t="shared" si="582"/>
        <v>E:\PropInv\MF</v>
      </c>
      <c r="K7433" s="103" t="str">
        <f>HYPERLINK("E:\PropInv\MF\Pasadena\Burke Rd_3400_Hampshire Court_Pasadena_18708","Burke Rd_3400_Hampshire Court_Pasadena_18708" )</f>
        <v>Burke Rd_3400_Hampshire Court_Pasadena_18708</v>
      </c>
      <c r="L7433" s="104" t="s">
        <v>22253</v>
      </c>
      <c r="M7433" s="103" t="str">
        <f t="shared" si="583"/>
        <v>http://oconnordata.com/mlink/modules/profile/index.cfm?action=profile&amp;prop_id=18708</v>
      </c>
      <c r="N7433" s="1">
        <f t="shared" si="584"/>
        <v>18708</v>
      </c>
    </row>
    <row r="7434" spans="1:14" x14ac:dyDescent="0.3">
      <c r="A7434" s="1">
        <v>18709</v>
      </c>
      <c r="B7434" s="7" t="s">
        <v>11130</v>
      </c>
      <c r="C7434" s="12">
        <v>2525</v>
      </c>
      <c r="D7434" s="7" t="s">
        <v>11131</v>
      </c>
      <c r="E7434" s="13" t="s">
        <v>1657</v>
      </c>
      <c r="F7434" t="str">
        <f t="shared" si="580"/>
        <v>McCue</v>
      </c>
      <c r="G7434" t="str">
        <f t="shared" si="581"/>
        <v>McCue2525Houston</v>
      </c>
      <c r="H7434" t="s">
        <v>38289</v>
      </c>
      <c r="I7434" t="s">
        <v>29703</v>
      </c>
      <c r="J7434" t="str">
        <f t="shared" si="582"/>
        <v>E:\PropInv\MF</v>
      </c>
      <c r="K7434" s="103" t="str">
        <f>HYPERLINK("E:\PropInv\MF\Houston\McCue Rd_2525_Millennium Uptown_Houston_18709","McCue Rd_2525_Millennium Uptown_Houston_18709" )</f>
        <v>McCue Rd_2525_Millennium Uptown_Houston_18709</v>
      </c>
      <c r="L7434" s="104" t="s">
        <v>22253</v>
      </c>
      <c r="M7434" s="103" t="str">
        <f t="shared" si="583"/>
        <v>http://oconnordata.com/mlink/modules/profile/index.cfm?action=profile&amp;prop_id=18709</v>
      </c>
      <c r="N7434" s="1">
        <f t="shared" si="584"/>
        <v>18709</v>
      </c>
    </row>
    <row r="7435" spans="1:14" x14ac:dyDescent="0.3">
      <c r="A7435" s="1">
        <v>18710</v>
      </c>
      <c r="B7435" s="7" t="s">
        <v>11132</v>
      </c>
      <c r="C7435" s="12">
        <v>1340</v>
      </c>
      <c r="D7435" s="7" t="s">
        <v>11133</v>
      </c>
      <c r="E7435" s="13" t="s">
        <v>1657</v>
      </c>
      <c r="F7435" t="str">
        <f t="shared" si="580"/>
        <v>Gray</v>
      </c>
      <c r="G7435" t="str">
        <f t="shared" si="581"/>
        <v>Gray1340Houston</v>
      </c>
      <c r="H7435" t="s">
        <v>38290</v>
      </c>
      <c r="I7435" t="s">
        <v>29704</v>
      </c>
      <c r="J7435" t="str">
        <f t="shared" si="582"/>
        <v>E:\PropInv\MF</v>
      </c>
      <c r="K7435" s="103" t="str">
        <f>HYPERLINK("E:\PropInv\MF\Houston\Gray St W_1340_Hanover West Gray_Houston_18710","Gray St W_1340_Hanover West Gray_Houston_18710" )</f>
        <v>Gray St W_1340_Hanover West Gray_Houston_18710</v>
      </c>
      <c r="L7435" s="104" t="s">
        <v>22253</v>
      </c>
      <c r="M7435" s="103" t="str">
        <f t="shared" si="583"/>
        <v>http://oconnordata.com/mlink/modules/profile/index.cfm?action=profile&amp;prop_id=18710</v>
      </c>
      <c r="N7435" s="1">
        <f t="shared" si="584"/>
        <v>18710</v>
      </c>
    </row>
    <row r="7436" spans="1:14" x14ac:dyDescent="0.3">
      <c r="A7436" s="1">
        <v>18711</v>
      </c>
      <c r="B7436" s="7" t="s">
        <v>11132</v>
      </c>
      <c r="C7436" s="12">
        <v>1916</v>
      </c>
      <c r="D7436" s="7" t="s">
        <v>11134</v>
      </c>
      <c r="E7436" s="13" t="s">
        <v>1657</v>
      </c>
      <c r="F7436" t="str">
        <f t="shared" si="580"/>
        <v>Gray</v>
      </c>
      <c r="G7436" t="str">
        <f t="shared" si="581"/>
        <v>Gray1916Houston</v>
      </c>
      <c r="H7436" t="s">
        <v>38291</v>
      </c>
      <c r="I7436" t="s">
        <v>29705</v>
      </c>
      <c r="J7436" t="str">
        <f t="shared" si="582"/>
        <v>E:\PropInv\MF</v>
      </c>
      <c r="K7436" s="103" t="str">
        <f>HYPERLINK("E:\PropInv\MF\Houston\Gray St W_1916_Graybelle_Houston_18711","Gray St W_1916_Graybelle_Houston_18711" )</f>
        <v>Gray St W_1916_Graybelle_Houston_18711</v>
      </c>
      <c r="L7436" s="104" t="s">
        <v>22253</v>
      </c>
      <c r="M7436" s="103" t="str">
        <f t="shared" si="583"/>
        <v>http://oconnordata.com/mlink/modules/profile/index.cfm?action=profile&amp;prop_id=18711</v>
      </c>
      <c r="N7436" s="1">
        <f t="shared" si="584"/>
        <v>18711</v>
      </c>
    </row>
    <row r="7437" spans="1:14" x14ac:dyDescent="0.3">
      <c r="A7437" s="1">
        <v>18712</v>
      </c>
      <c r="B7437" s="7" t="s">
        <v>11135</v>
      </c>
      <c r="C7437" s="12">
        <v>2800</v>
      </c>
      <c r="D7437" s="7" t="s">
        <v>11136</v>
      </c>
      <c r="E7437" s="13" t="s">
        <v>1657</v>
      </c>
      <c r="F7437" t="str">
        <f t="shared" si="580"/>
        <v>Kirby</v>
      </c>
      <c r="G7437" t="str">
        <f t="shared" si="581"/>
        <v>Kirby2800Houston</v>
      </c>
      <c r="H7437" t="s">
        <v>38292</v>
      </c>
      <c r="I7437" t="s">
        <v>29706</v>
      </c>
      <c r="J7437" t="str">
        <f t="shared" si="582"/>
        <v>E:\PropInv\MF</v>
      </c>
      <c r="K7437" s="103" t="str">
        <f>HYPERLINK("E:\PropInv\MF\Houston\Kirby Dr_2800_Gables West Ave II_Houston_18712","Kirby Dr_2800_Gables West Ave II_Houston_18712" )</f>
        <v>Kirby Dr_2800_Gables West Ave II_Houston_18712</v>
      </c>
      <c r="L7437" s="104" t="s">
        <v>22253</v>
      </c>
      <c r="M7437" s="103" t="str">
        <f t="shared" si="583"/>
        <v>http://oconnordata.com/mlink/modules/profile/index.cfm?action=profile&amp;prop_id=18712</v>
      </c>
      <c r="N7437" s="1">
        <f t="shared" si="584"/>
        <v>18712</v>
      </c>
    </row>
    <row r="7438" spans="1:14" x14ac:dyDescent="0.3">
      <c r="A7438" s="1">
        <v>18713</v>
      </c>
      <c r="B7438" s="7" t="s">
        <v>11135</v>
      </c>
      <c r="C7438" s="12" t="s">
        <v>2497</v>
      </c>
      <c r="D7438" s="7" t="s">
        <v>11137</v>
      </c>
      <c r="E7438" s="25" t="s">
        <v>1657</v>
      </c>
      <c r="F7438" t="str">
        <f t="shared" si="580"/>
        <v>Kirby</v>
      </c>
      <c r="G7438" t="str">
        <f t="shared" si="581"/>
        <v>KirbyNFHouston</v>
      </c>
      <c r="H7438" t="s">
        <v>38293</v>
      </c>
      <c r="I7438" t="s">
        <v>29707</v>
      </c>
      <c r="J7438" t="str">
        <f t="shared" si="582"/>
        <v>E:\PropInv\MF</v>
      </c>
      <c r="K7438" s="103" t="str">
        <f>HYPERLINK("E:\PropInv\MF\Houston\Kirby Dr_NF_Gables West Ave III_Houston_18713","Kirby Dr_NF_Gables West Ave III_Houston_18713" )</f>
        <v>Kirby Dr_NF_Gables West Ave III_Houston_18713</v>
      </c>
      <c r="L7438" s="104" t="s">
        <v>22253</v>
      </c>
      <c r="M7438" s="103" t="str">
        <f t="shared" si="583"/>
        <v>http://oconnordata.com/mlink/modules/profile/index.cfm?action=profile&amp;prop_id=18713</v>
      </c>
      <c r="N7438" s="1">
        <f t="shared" si="584"/>
        <v>18713</v>
      </c>
    </row>
    <row r="7439" spans="1:14" x14ac:dyDescent="0.3">
      <c r="A7439" s="1">
        <v>18714</v>
      </c>
      <c r="B7439" s="7" t="s">
        <v>11138</v>
      </c>
      <c r="C7439" s="12" t="s">
        <v>2497</v>
      </c>
      <c r="D7439" s="7" t="s">
        <v>11139</v>
      </c>
      <c r="E7439" s="25" t="s">
        <v>5180</v>
      </c>
      <c r="F7439" t="str">
        <f t="shared" si="580"/>
        <v>Arbor</v>
      </c>
      <c r="G7439" t="str">
        <f t="shared" si="581"/>
        <v>ArborNFThe Colony</v>
      </c>
      <c r="H7439" t="s">
        <v>38294</v>
      </c>
      <c r="I7439" t="s">
        <v>29708</v>
      </c>
      <c r="J7439" t="str">
        <f t="shared" si="582"/>
        <v>E:\PropInv\MF</v>
      </c>
      <c r="K7439" s="103" t="str">
        <f>HYPERLINK("E:\PropInv\MF\The Colony\Arbor Hills Way_NF_Austin Ranch VI-Oaks_The Colony_18714","Arbor Hills Way_NF_Austin Ranch VI-Oaks_The Colony_18714" )</f>
        <v>Arbor Hills Way_NF_Austin Ranch VI-Oaks_The Colony_18714</v>
      </c>
      <c r="L7439" s="104" t="s">
        <v>22253</v>
      </c>
      <c r="M7439" s="103" t="str">
        <f t="shared" si="583"/>
        <v>http://oconnordata.com/mlink/modules/profile/index.cfm?action=profile&amp;prop_id=18714</v>
      </c>
      <c r="N7439" s="1">
        <f t="shared" si="584"/>
        <v>18714</v>
      </c>
    </row>
    <row r="7440" spans="1:14" x14ac:dyDescent="0.3">
      <c r="A7440" s="1">
        <v>18715</v>
      </c>
      <c r="B7440" s="7" t="s">
        <v>1941</v>
      </c>
      <c r="C7440" s="12">
        <v>15331</v>
      </c>
      <c r="D7440" s="7" t="s">
        <v>11140</v>
      </c>
      <c r="E7440" s="13" t="s">
        <v>1657</v>
      </c>
      <c r="F7440" t="str">
        <f t="shared" si="580"/>
        <v>Kuykendahl</v>
      </c>
      <c r="G7440" t="str">
        <f t="shared" si="581"/>
        <v>Kuykendahl15331Houston</v>
      </c>
      <c r="H7440" t="s">
        <v>38295</v>
      </c>
      <c r="I7440" t="s">
        <v>29709</v>
      </c>
      <c r="J7440" t="str">
        <f t="shared" si="582"/>
        <v>E:\PropInv\MF</v>
      </c>
      <c r="K7440" s="103" t="str">
        <f>HYPERLINK("E:\PropInv\MF\Houston\Kuykendahl Rd_15331_Cypresswood Estates_Houston_18715","Kuykendahl Rd_15331_Cypresswood Estates_Houston_18715" )</f>
        <v>Kuykendahl Rd_15331_Cypresswood Estates_Houston_18715</v>
      </c>
      <c r="L7440" s="104" t="s">
        <v>22253</v>
      </c>
      <c r="M7440" s="103" t="str">
        <f t="shared" si="583"/>
        <v>http://oconnordata.com/mlink/modules/profile/index.cfm?action=profile&amp;prop_id=18715</v>
      </c>
      <c r="N7440" s="1">
        <f t="shared" si="584"/>
        <v>18715</v>
      </c>
    </row>
    <row r="7441" spans="1:14" x14ac:dyDescent="0.3">
      <c r="A7441" s="1">
        <v>18716</v>
      </c>
      <c r="B7441" s="7" t="s">
        <v>5182</v>
      </c>
      <c r="C7441" s="12">
        <v>15605</v>
      </c>
      <c r="D7441" s="7" t="s">
        <v>11141</v>
      </c>
      <c r="E7441" s="13" t="s">
        <v>5005</v>
      </c>
      <c r="F7441" t="str">
        <f t="shared" si="580"/>
        <v>Dallas</v>
      </c>
      <c r="G7441" t="str">
        <f t="shared" si="581"/>
        <v>Dallas15605Addison</v>
      </c>
      <c r="H7441" t="s">
        <v>38296</v>
      </c>
      <c r="I7441" t="s">
        <v>29710</v>
      </c>
      <c r="J7441" t="str">
        <f t="shared" si="582"/>
        <v>E:\PropInv\MF</v>
      </c>
      <c r="K7441" s="103" t="str">
        <f>HYPERLINK("E:\PropInv\MF\Addison\Dallas Pkwy_15605_Allegro Addison Circle II_Addison_18716","Dallas Pkwy_15605_Allegro Addison Circle II_Addison_18716" )</f>
        <v>Dallas Pkwy_15605_Allegro Addison Circle II_Addison_18716</v>
      </c>
      <c r="L7441" s="104" t="s">
        <v>22253</v>
      </c>
      <c r="M7441" s="103" t="str">
        <f t="shared" si="583"/>
        <v>http://oconnordata.com/mlink/modules/profile/index.cfm?action=profile&amp;prop_id=18716</v>
      </c>
      <c r="N7441" s="1">
        <f t="shared" si="584"/>
        <v>18716</v>
      </c>
    </row>
    <row r="7442" spans="1:14" x14ac:dyDescent="0.3">
      <c r="A7442" s="1">
        <v>18718</v>
      </c>
      <c r="B7442" s="7" t="s">
        <v>41</v>
      </c>
      <c r="C7442" s="12">
        <v>1300</v>
      </c>
      <c r="D7442" s="7" t="s">
        <v>11142</v>
      </c>
      <c r="E7442" s="13" t="s">
        <v>7</v>
      </c>
      <c r="F7442" t="str">
        <f t="shared" si="580"/>
        <v>Riverside</v>
      </c>
      <c r="G7442" t="str">
        <f t="shared" si="581"/>
        <v>Riverside1300Austin</v>
      </c>
      <c r="H7442" t="s">
        <v>38297</v>
      </c>
      <c r="I7442" t="s">
        <v>29711</v>
      </c>
      <c r="J7442" t="str">
        <f t="shared" si="582"/>
        <v>E:\PropInv\MF</v>
      </c>
      <c r="K7442" s="103" t="str">
        <f>HYPERLINK("E:\PropInv\MF\Austin\Riverside Dr E_1300_RiverView_Austin_18718","Riverside Dr E_1300_RiverView_Austin_18718" )</f>
        <v>Riverside Dr E_1300_RiverView_Austin_18718</v>
      </c>
      <c r="L7442" s="104" t="s">
        <v>22253</v>
      </c>
      <c r="M7442" s="103" t="str">
        <f t="shared" si="583"/>
        <v>http://oconnordata.com/mlink/modules/profile/index.cfm?action=profile&amp;prop_id=18718</v>
      </c>
      <c r="N7442" s="1">
        <f t="shared" si="584"/>
        <v>18718</v>
      </c>
    </row>
    <row r="7443" spans="1:14" x14ac:dyDescent="0.3">
      <c r="A7443" s="1">
        <v>18719</v>
      </c>
      <c r="B7443" s="7" t="s">
        <v>11143</v>
      </c>
      <c r="C7443" s="12">
        <v>2223</v>
      </c>
      <c r="D7443" s="7" t="s">
        <v>11144</v>
      </c>
      <c r="E7443" s="25" t="s">
        <v>7</v>
      </c>
      <c r="F7443" t="str">
        <f t="shared" si="580"/>
        <v>Waterloo</v>
      </c>
      <c r="G7443" t="str">
        <f t="shared" si="581"/>
        <v>Waterloo2223Austin</v>
      </c>
      <c r="H7443" t="s">
        <v>38298</v>
      </c>
      <c r="I7443" t="s">
        <v>29712</v>
      </c>
      <c r="J7443" t="str">
        <f t="shared" si="582"/>
        <v>E:\PropInv\MF</v>
      </c>
      <c r="K7443" s="103" t="str">
        <f>HYPERLINK("E:\PropInv\MF\Austin\Waterloo City Ln_2223_Lakeshore Pearl_Austin_18719","Waterloo City Ln_2223_Lakeshore Pearl_Austin_18719" )</f>
        <v>Waterloo City Ln_2223_Lakeshore Pearl_Austin_18719</v>
      </c>
      <c r="L7443" s="104" t="s">
        <v>22253</v>
      </c>
      <c r="M7443" s="103" t="str">
        <f t="shared" si="583"/>
        <v>http://oconnordata.com/mlink/modules/profile/index.cfm?action=profile&amp;prop_id=18719</v>
      </c>
      <c r="N7443" s="1">
        <f t="shared" si="584"/>
        <v>18719</v>
      </c>
    </row>
    <row r="7444" spans="1:14" x14ac:dyDescent="0.3">
      <c r="A7444" s="1">
        <v>18720</v>
      </c>
      <c r="B7444" s="7" t="s">
        <v>11145</v>
      </c>
      <c r="C7444" s="12">
        <v>19777</v>
      </c>
      <c r="D7444" s="7" t="s">
        <v>11146</v>
      </c>
      <c r="E7444" s="13" t="s">
        <v>1763</v>
      </c>
      <c r="F7444" t="str">
        <f t="shared" si="580"/>
        <v>Deerbrook</v>
      </c>
      <c r="G7444" t="str">
        <f t="shared" si="581"/>
        <v>Deerbrook19777Humble</v>
      </c>
      <c r="H7444" t="s">
        <v>38299</v>
      </c>
      <c r="I7444" t="s">
        <v>29713</v>
      </c>
      <c r="J7444" t="str">
        <f t="shared" si="582"/>
        <v>E:\PropInv\MF</v>
      </c>
      <c r="K7444" s="103" t="str">
        <f>HYPERLINK("E:\PropInv\MF\Humble\Deerbrook Park Blvd_19777_Deerbrook Place_Humble_18720","Deerbrook Park Blvd_19777_Deerbrook Place_Humble_18720" )</f>
        <v>Deerbrook Park Blvd_19777_Deerbrook Place_Humble_18720</v>
      </c>
      <c r="L7444" s="104" t="s">
        <v>22253</v>
      </c>
      <c r="M7444" s="103" t="str">
        <f t="shared" si="583"/>
        <v>http://oconnordata.com/mlink/modules/profile/index.cfm?action=profile&amp;prop_id=18720</v>
      </c>
      <c r="N7444" s="1">
        <f t="shared" si="584"/>
        <v>18720</v>
      </c>
    </row>
    <row r="7445" spans="1:14" x14ac:dyDescent="0.3">
      <c r="A7445" s="1">
        <v>18721</v>
      </c>
      <c r="B7445" s="7" t="s">
        <v>843</v>
      </c>
      <c r="C7445" s="12">
        <v>20659</v>
      </c>
      <c r="D7445" s="7" t="s">
        <v>11147</v>
      </c>
      <c r="E7445" s="13" t="s">
        <v>842</v>
      </c>
      <c r="F7445" t="str">
        <f t="shared" si="580"/>
        <v>Stone</v>
      </c>
      <c r="G7445" t="str">
        <f t="shared" si="581"/>
        <v>Stone20659San Antonio</v>
      </c>
      <c r="H7445" t="s">
        <v>38300</v>
      </c>
      <c r="I7445" t="s">
        <v>29714</v>
      </c>
      <c r="J7445" t="str">
        <f t="shared" si="582"/>
        <v>E:\PropInv\MF</v>
      </c>
      <c r="K7445" s="103" t="str">
        <f>HYPERLINK("E:\PropInv\MF\San Antonio\Stone Oak Pkwy_20659_The Abbey at Stone Oak_San Antonio_18721","Stone Oak Pkwy_20659_The Abbey at Stone Oak_San Antonio_18721" )</f>
        <v>Stone Oak Pkwy_20659_The Abbey at Stone Oak_San Antonio_18721</v>
      </c>
      <c r="L7445" s="104" t="s">
        <v>22253</v>
      </c>
      <c r="M7445" s="103" t="str">
        <f t="shared" si="583"/>
        <v>http://oconnordata.com/mlink/modules/profile/index.cfm?action=profile&amp;prop_id=18721</v>
      </c>
      <c r="N7445" s="1">
        <f t="shared" si="584"/>
        <v>18721</v>
      </c>
    </row>
    <row r="7446" spans="1:14" x14ac:dyDescent="0.3">
      <c r="A7446" s="1">
        <v>18722</v>
      </c>
      <c r="B7446" s="7" t="s">
        <v>2677</v>
      </c>
      <c r="C7446" s="12">
        <v>510</v>
      </c>
      <c r="D7446" s="7" t="s">
        <v>11148</v>
      </c>
      <c r="E7446" s="13" t="s">
        <v>1657</v>
      </c>
      <c r="F7446" t="str">
        <f t="shared" si="580"/>
        <v>Richmond</v>
      </c>
      <c r="G7446" t="str">
        <f t="shared" si="581"/>
        <v>Richmond510Houston</v>
      </c>
      <c r="H7446" t="s">
        <v>38301</v>
      </c>
      <c r="I7446" t="s">
        <v>29715</v>
      </c>
      <c r="J7446" t="str">
        <f t="shared" si="582"/>
        <v>E:\PropInv\MF</v>
      </c>
      <c r="K7446" s="103" t="str">
        <f>HYPERLINK("E:\PropInv\MF\Houston\Richmond Ave_510_Post Richmond Avenue_Houston_18722","Richmond Ave_510_Post Richmond Avenue_Houston_18722" )</f>
        <v>Richmond Ave_510_Post Richmond Avenue_Houston_18722</v>
      </c>
      <c r="L7446" s="104" t="s">
        <v>22253</v>
      </c>
      <c r="M7446" s="103" t="str">
        <f t="shared" si="583"/>
        <v>http://oconnordata.com/mlink/modules/profile/index.cfm?action=profile&amp;prop_id=18722</v>
      </c>
      <c r="N7446" s="1">
        <f t="shared" si="584"/>
        <v>18722</v>
      </c>
    </row>
    <row r="7447" spans="1:14" x14ac:dyDescent="0.3">
      <c r="A7447" s="1">
        <v>18723</v>
      </c>
      <c r="B7447" s="7" t="s">
        <v>11149</v>
      </c>
      <c r="C7447" s="12">
        <v>4836</v>
      </c>
      <c r="D7447" s="7" t="s">
        <v>11150</v>
      </c>
      <c r="E7447" s="13" t="s">
        <v>4996</v>
      </c>
      <c r="F7447" t="str">
        <f t="shared" si="580"/>
        <v>Sunnyvale</v>
      </c>
      <c r="G7447" t="str">
        <f t="shared" si="581"/>
        <v>Sunnyvale4836Dallas</v>
      </c>
      <c r="H7447" t="s">
        <v>38302</v>
      </c>
      <c r="I7447" t="s">
        <v>29716</v>
      </c>
      <c r="J7447" t="str">
        <f t="shared" si="582"/>
        <v>E:\PropInv\MF</v>
      </c>
      <c r="K7447" s="103" t="str">
        <f>HYPERLINK("E:\PropInv\MF\Dallas\Sunnyvale St_4836_Sunrise Village_Dallas_18723","Sunnyvale St_4836_Sunrise Village_Dallas_18723" )</f>
        <v>Sunnyvale St_4836_Sunrise Village_Dallas_18723</v>
      </c>
      <c r="L7447" s="104" t="s">
        <v>22253</v>
      </c>
      <c r="M7447" s="103" t="str">
        <f t="shared" si="583"/>
        <v>http://oconnordata.com/mlink/modules/profile/index.cfm?action=profile&amp;prop_id=18723</v>
      </c>
      <c r="N7447" s="1">
        <f t="shared" si="584"/>
        <v>18723</v>
      </c>
    </row>
    <row r="7448" spans="1:14" x14ac:dyDescent="0.3">
      <c r="A7448" s="1">
        <v>18724</v>
      </c>
      <c r="B7448" s="7" t="s">
        <v>5562</v>
      </c>
      <c r="C7448" s="12">
        <v>14145</v>
      </c>
      <c r="D7448" s="7" t="s">
        <v>11151</v>
      </c>
      <c r="E7448" s="13" t="s">
        <v>4996</v>
      </c>
      <c r="F7448" t="str">
        <f t="shared" si="580"/>
        <v>Noel</v>
      </c>
      <c r="G7448" t="str">
        <f t="shared" si="581"/>
        <v>Noel14145Dallas</v>
      </c>
      <c r="H7448" t="s">
        <v>38303</v>
      </c>
      <c r="I7448" t="s">
        <v>29717</v>
      </c>
      <c r="J7448" t="str">
        <f t="shared" si="582"/>
        <v>E:\PropInv\MF</v>
      </c>
      <c r="K7448" s="103" t="str">
        <f>HYPERLINK("E:\PropInv\MF\Dallas\Noel Rd_14145_San Raphael II_Dallas_18724","Noel Rd_14145_San Raphael II_Dallas_18724" )</f>
        <v>Noel Rd_14145_San Raphael II_Dallas_18724</v>
      </c>
      <c r="L7448" s="104" t="s">
        <v>22253</v>
      </c>
      <c r="M7448" s="103" t="str">
        <f t="shared" si="583"/>
        <v>http://oconnordata.com/mlink/modules/profile/index.cfm?action=profile&amp;prop_id=18724</v>
      </c>
      <c r="N7448" s="1">
        <f t="shared" si="584"/>
        <v>18724</v>
      </c>
    </row>
    <row r="7449" spans="1:14" x14ac:dyDescent="0.3">
      <c r="A7449" s="1">
        <v>18726</v>
      </c>
      <c r="B7449" s="7" t="s">
        <v>10230</v>
      </c>
      <c r="C7449" s="12">
        <v>3010</v>
      </c>
      <c r="D7449" s="7" t="s">
        <v>11152</v>
      </c>
      <c r="E7449" s="13" t="s">
        <v>842</v>
      </c>
      <c r="F7449" t="str">
        <f t="shared" si="580"/>
        <v>1604</v>
      </c>
      <c r="G7449" t="str">
        <f t="shared" si="581"/>
        <v>16043010San Antonio</v>
      </c>
      <c r="H7449" t="s">
        <v>38304</v>
      </c>
      <c r="I7449" t="s">
        <v>29718</v>
      </c>
      <c r="J7449" t="str">
        <f t="shared" si="582"/>
        <v>E:\PropInv\MF</v>
      </c>
      <c r="K7449" s="103" t="str">
        <f>HYPERLINK("E:\PropInv\MF\San Antonio\1604 Loop N W_3010_Camden Westover Hills_San Antonio_18726","1604 Loop N W_3010_Camden Westover Hills_San Antonio_18726" )</f>
        <v>1604 Loop N W_3010_Camden Westover Hills_San Antonio_18726</v>
      </c>
      <c r="L7449" s="104" t="s">
        <v>22253</v>
      </c>
      <c r="M7449" s="103" t="str">
        <f t="shared" si="583"/>
        <v>http://oconnordata.com/mlink/modules/profile/index.cfm?action=profile&amp;prop_id=18726</v>
      </c>
      <c r="N7449" s="1">
        <f t="shared" si="584"/>
        <v>18726</v>
      </c>
    </row>
    <row r="7450" spans="1:14" x14ac:dyDescent="0.3">
      <c r="A7450" s="1">
        <v>18727</v>
      </c>
      <c r="B7450" s="7" t="s">
        <v>9500</v>
      </c>
      <c r="C7450" s="12">
        <v>4400</v>
      </c>
      <c r="D7450" s="7" t="s">
        <v>11153</v>
      </c>
      <c r="E7450" s="13" t="s">
        <v>1508</v>
      </c>
      <c r="F7450" t="str">
        <f t="shared" si="580"/>
        <v>College</v>
      </c>
      <c r="G7450" t="str">
        <f t="shared" si="581"/>
        <v>College4400The Woodlands</v>
      </c>
      <c r="H7450" t="s">
        <v>38305</v>
      </c>
      <c r="I7450" t="s">
        <v>29719</v>
      </c>
      <c r="J7450" t="str">
        <f t="shared" si="582"/>
        <v>E:\PropInv\MF</v>
      </c>
      <c r="K7450" s="103" t="str">
        <f>HYPERLINK("E:\PropInv\MF\The Woodlands\College Park Dr_4400_The Retreat at The Woodlands_The Woodlands_18727","College Park Dr_4400_The Retreat at The Woodlands_The Woodlands_18727" )</f>
        <v>College Park Dr_4400_The Retreat at The Woodlands_The Woodlands_18727</v>
      </c>
      <c r="L7450" s="104" t="s">
        <v>22253</v>
      </c>
      <c r="M7450" s="103" t="str">
        <f t="shared" si="583"/>
        <v>http://oconnordata.com/mlink/modules/profile/index.cfm?action=profile&amp;prop_id=18727</v>
      </c>
      <c r="N7450" s="1">
        <f t="shared" si="584"/>
        <v>18727</v>
      </c>
    </row>
    <row r="7451" spans="1:14" x14ac:dyDescent="0.3">
      <c r="A7451" s="1">
        <v>18728</v>
      </c>
      <c r="B7451" s="7" t="s">
        <v>11154</v>
      </c>
      <c r="C7451" s="12">
        <v>15</v>
      </c>
      <c r="D7451" s="7" t="s">
        <v>11155</v>
      </c>
      <c r="E7451" s="13" t="s">
        <v>1657</v>
      </c>
      <c r="F7451" t="str">
        <f t="shared" si="580"/>
        <v>Chenevert</v>
      </c>
      <c r="G7451" t="str">
        <f t="shared" si="581"/>
        <v>Chenevert15Houston</v>
      </c>
      <c r="H7451" t="s">
        <v>38306</v>
      </c>
      <c r="I7451" t="s">
        <v>29720</v>
      </c>
      <c r="J7451" t="str">
        <f t="shared" si="582"/>
        <v>E:\PropInv\MF</v>
      </c>
      <c r="K7451" s="103" t="str">
        <f>HYPERLINK("E:\PropInv\MF\Houston\Chenevert St N_15_City View Lofts_Houston_18728","Chenevert St N_15_City View Lofts_Houston_18728" )</f>
        <v>Chenevert St N_15_City View Lofts_Houston_18728</v>
      </c>
      <c r="L7451" s="104" t="s">
        <v>22253</v>
      </c>
      <c r="M7451" s="103" t="str">
        <f t="shared" si="583"/>
        <v>http://oconnordata.com/mlink/modules/profile/index.cfm?action=profile&amp;prop_id=18728</v>
      </c>
      <c r="N7451" s="1">
        <f t="shared" si="584"/>
        <v>18728</v>
      </c>
    </row>
    <row r="7452" spans="1:14" x14ac:dyDescent="0.3">
      <c r="A7452" s="1">
        <v>18729</v>
      </c>
      <c r="B7452" s="7" t="s">
        <v>11156</v>
      </c>
      <c r="C7452" s="12">
        <v>1955</v>
      </c>
      <c r="D7452" s="7" t="s">
        <v>11157</v>
      </c>
      <c r="E7452" s="13" t="s">
        <v>4996</v>
      </c>
      <c r="F7452" t="str">
        <f t="shared" si="580"/>
        <v>Market</v>
      </c>
      <c r="G7452" t="str">
        <f t="shared" si="581"/>
        <v>Market1955Dallas</v>
      </c>
      <c r="H7452" t="s">
        <v>38307</v>
      </c>
      <c r="I7452" t="s">
        <v>29721</v>
      </c>
      <c r="J7452" t="str">
        <f t="shared" si="582"/>
        <v>E:\PropInv\MF</v>
      </c>
      <c r="K7452" s="103" t="str">
        <f>HYPERLINK("E:\PropInv\MF\Dallas\Market Center Blvd_1955_Avant_Dallas_18729","Market Center Blvd_1955_Avant_Dallas_18729" )</f>
        <v>Market Center Blvd_1955_Avant_Dallas_18729</v>
      </c>
      <c r="L7452" s="104" t="s">
        <v>22253</v>
      </c>
      <c r="M7452" s="103" t="str">
        <f t="shared" si="583"/>
        <v>http://oconnordata.com/mlink/modules/profile/index.cfm?action=profile&amp;prop_id=18729</v>
      </c>
      <c r="N7452" s="1">
        <f t="shared" si="584"/>
        <v>18729</v>
      </c>
    </row>
    <row r="7453" spans="1:14" x14ac:dyDescent="0.3">
      <c r="A7453" s="1">
        <v>18730</v>
      </c>
      <c r="B7453" s="7" t="s">
        <v>11158</v>
      </c>
      <c r="C7453" s="12">
        <v>14500</v>
      </c>
      <c r="D7453" s="7" t="s">
        <v>11159</v>
      </c>
      <c r="E7453" s="13" t="s">
        <v>5014</v>
      </c>
      <c r="F7453" t="str">
        <f t="shared" si="580"/>
        <v>Sovereign</v>
      </c>
      <c r="G7453" t="str">
        <f t="shared" si="581"/>
        <v>Sovereign14500Fort Worth</v>
      </c>
      <c r="H7453" t="s">
        <v>38308</v>
      </c>
      <c r="I7453" t="s">
        <v>29722</v>
      </c>
      <c r="J7453" t="str">
        <f t="shared" si="582"/>
        <v>E:\PropInv\MF</v>
      </c>
      <c r="K7453" s="103" t="str">
        <f>HYPERLINK("E:\PropInv\MF\Fort Worth\Sovereign Rd_14500_Broadstone Centreport II_Fort Worth_18730","Sovereign Rd_14500_Broadstone Centreport II_Fort Worth_18730" )</f>
        <v>Sovereign Rd_14500_Broadstone Centreport II_Fort Worth_18730</v>
      </c>
      <c r="L7453" s="104" t="s">
        <v>22253</v>
      </c>
      <c r="M7453" s="103" t="str">
        <f t="shared" si="583"/>
        <v>http://oconnordata.com/mlink/modules/profile/index.cfm?action=profile&amp;prop_id=18730</v>
      </c>
      <c r="N7453" s="1">
        <f t="shared" si="584"/>
        <v>18730</v>
      </c>
    </row>
    <row r="7454" spans="1:14" x14ac:dyDescent="0.3">
      <c r="A7454" s="1">
        <v>18731</v>
      </c>
      <c r="B7454" s="7" t="s">
        <v>11160</v>
      </c>
      <c r="C7454" s="12">
        <v>1001</v>
      </c>
      <c r="D7454" s="7" t="s">
        <v>11161</v>
      </c>
      <c r="E7454" s="13" t="s">
        <v>6555</v>
      </c>
      <c r="F7454" t="str">
        <f t="shared" si="580"/>
        <v>UTA</v>
      </c>
      <c r="G7454" t="str">
        <f t="shared" si="581"/>
        <v>UTA1001Arlington</v>
      </c>
      <c r="H7454" t="s">
        <v>38309</v>
      </c>
      <c r="I7454" t="s">
        <v>29723</v>
      </c>
      <c r="J7454" t="str">
        <f t="shared" si="582"/>
        <v>E:\PropInv\MF</v>
      </c>
      <c r="K7454" s="103" t="str">
        <f>HYPERLINK("E:\PropInv\MF\Arlington\UTA Blvd_1001_Campus Edge on UTA Blvd_Arlington_18731","UTA Blvd_1001_Campus Edge on UTA Blvd_Arlington_18731" )</f>
        <v>UTA Blvd_1001_Campus Edge on UTA Blvd_Arlington_18731</v>
      </c>
      <c r="L7454" s="104" t="s">
        <v>22253</v>
      </c>
      <c r="M7454" s="103" t="str">
        <f t="shared" si="583"/>
        <v>http://oconnordata.com/mlink/modules/profile/index.cfm?action=profile&amp;prop_id=18731</v>
      </c>
      <c r="N7454" s="1">
        <f t="shared" si="584"/>
        <v>18731</v>
      </c>
    </row>
    <row r="7455" spans="1:14" x14ac:dyDescent="0.3">
      <c r="A7455" s="1">
        <v>18732</v>
      </c>
      <c r="B7455" s="7" t="s">
        <v>11162</v>
      </c>
      <c r="C7455" s="12">
        <v>1000</v>
      </c>
      <c r="D7455" s="7" t="s">
        <v>11163</v>
      </c>
      <c r="E7455" s="13" t="s">
        <v>7</v>
      </c>
      <c r="F7455" t="str">
        <f t="shared" si="580"/>
        <v>5th</v>
      </c>
      <c r="G7455" t="str">
        <f t="shared" si="581"/>
        <v>5th1000Austin</v>
      </c>
      <c r="H7455" t="s">
        <v>38310</v>
      </c>
      <c r="I7455" t="s">
        <v>29724</v>
      </c>
      <c r="J7455" t="str">
        <f t="shared" si="582"/>
        <v>E:\PropInv\MF</v>
      </c>
      <c r="K7455" s="103" t="str">
        <f>HYPERLINK("E:\PropInv\MF\Austin\5th St_1000_Corazon Apts_Austin_18732","5th St_1000_Corazon Apts_Austin_18732" )</f>
        <v>5th St_1000_Corazon Apts_Austin_18732</v>
      </c>
      <c r="L7455" s="104" t="s">
        <v>22253</v>
      </c>
      <c r="M7455" s="103" t="str">
        <f t="shared" si="583"/>
        <v>http://oconnordata.com/mlink/modules/profile/index.cfm?action=profile&amp;prop_id=18732</v>
      </c>
      <c r="N7455" s="1">
        <f t="shared" si="584"/>
        <v>18732</v>
      </c>
    </row>
    <row r="7456" spans="1:14" x14ac:dyDescent="0.3">
      <c r="A7456" s="1">
        <v>18733</v>
      </c>
      <c r="B7456" s="7" t="s">
        <v>391</v>
      </c>
      <c r="C7456" s="12">
        <v>2700</v>
      </c>
      <c r="D7456" s="7" t="s">
        <v>11164</v>
      </c>
      <c r="E7456" s="13" t="s">
        <v>7</v>
      </c>
      <c r="F7456" t="str">
        <f t="shared" si="580"/>
        <v>Lamar</v>
      </c>
      <c r="G7456" t="str">
        <f t="shared" si="581"/>
        <v>Lamar2700Austin</v>
      </c>
      <c r="H7456" t="s">
        <v>38311</v>
      </c>
      <c r="I7456" t="s">
        <v>29725</v>
      </c>
      <c r="J7456" t="str">
        <f t="shared" si="582"/>
        <v>E:\PropInv\MF</v>
      </c>
      <c r="K7456" s="103" t="str">
        <f>HYPERLINK("E:\PropInv\MF\Austin\Lamar Blvd S_2700_Lamar-Manchaca Apts_Austin_18733","Lamar Blvd S_2700_Lamar-Manchaca Apts_Austin_18733" )</f>
        <v>Lamar Blvd S_2700_Lamar-Manchaca Apts_Austin_18733</v>
      </c>
      <c r="L7456" s="104" t="s">
        <v>22253</v>
      </c>
      <c r="M7456" s="103" t="str">
        <f t="shared" si="583"/>
        <v>http://oconnordata.com/mlink/modules/profile/index.cfm?action=profile&amp;prop_id=18733</v>
      </c>
      <c r="N7456" s="1">
        <f t="shared" si="584"/>
        <v>18733</v>
      </c>
    </row>
    <row r="7457" spans="1:14" x14ac:dyDescent="0.3">
      <c r="A7457" s="1">
        <v>18734</v>
      </c>
      <c r="B7457" s="7" t="s">
        <v>520</v>
      </c>
      <c r="C7457" s="12">
        <v>3400</v>
      </c>
      <c r="D7457" s="7" t="s">
        <v>11165</v>
      </c>
      <c r="E7457" s="25" t="s">
        <v>7</v>
      </c>
      <c r="F7457" t="str">
        <f t="shared" si="580"/>
        <v>Harmon</v>
      </c>
      <c r="G7457" t="str">
        <f t="shared" si="581"/>
        <v>Harmon3400Austin</v>
      </c>
      <c r="H7457" t="s">
        <v>38312</v>
      </c>
      <c r="I7457" t="s">
        <v>29726</v>
      </c>
      <c r="J7457" t="str">
        <f t="shared" si="582"/>
        <v>E:\PropInv\MF</v>
      </c>
      <c r="K7457" s="103" t="str">
        <f>HYPERLINK("E:\PropInv\MF\Austin\Harmon Ave_3400_University Park Apts_Austin_18734","Harmon Ave_3400_University Park Apts_Austin_18734" )</f>
        <v>Harmon Ave_3400_University Park Apts_Austin_18734</v>
      </c>
      <c r="L7457" s="104" t="s">
        <v>22253</v>
      </c>
      <c r="M7457" s="103" t="str">
        <f t="shared" si="583"/>
        <v>http://oconnordata.com/mlink/modules/profile/index.cfm?action=profile&amp;prop_id=18734</v>
      </c>
      <c r="N7457" s="1">
        <f t="shared" si="584"/>
        <v>18734</v>
      </c>
    </row>
    <row r="7458" spans="1:14" x14ac:dyDescent="0.3">
      <c r="A7458" s="1">
        <v>18735</v>
      </c>
      <c r="B7458" s="7" t="s">
        <v>891</v>
      </c>
      <c r="C7458" s="12">
        <v>1401</v>
      </c>
      <c r="D7458" s="7" t="s">
        <v>11166</v>
      </c>
      <c r="E7458" s="13" t="s">
        <v>842</v>
      </c>
      <c r="F7458" t="str">
        <f t="shared" si="580"/>
        <v>Flores</v>
      </c>
      <c r="G7458" t="str">
        <f t="shared" si="581"/>
        <v>Flores1401San Antonio</v>
      </c>
      <c r="H7458" t="s">
        <v>38313</v>
      </c>
      <c r="I7458" t="s">
        <v>29727</v>
      </c>
      <c r="J7458" t="str">
        <f t="shared" si="582"/>
        <v>E:\PropInv\MF</v>
      </c>
      <c r="K7458" s="103" t="str">
        <f>HYPERLINK("E:\PropInv\MF\San Antonio\Flores St S_1401_Steel House Lofts_San Antonio_18735","Flores St S_1401_Steel House Lofts_San Antonio_18735" )</f>
        <v>Flores St S_1401_Steel House Lofts_San Antonio_18735</v>
      </c>
      <c r="L7458" s="104" t="s">
        <v>22253</v>
      </c>
      <c r="M7458" s="103" t="str">
        <f t="shared" si="583"/>
        <v>http://oconnordata.com/mlink/modules/profile/index.cfm?action=profile&amp;prop_id=18735</v>
      </c>
      <c r="N7458" s="1">
        <f t="shared" si="584"/>
        <v>18735</v>
      </c>
    </row>
    <row r="7459" spans="1:14" x14ac:dyDescent="0.3">
      <c r="A7459" s="1">
        <v>18736</v>
      </c>
      <c r="B7459" s="7" t="s">
        <v>3933</v>
      </c>
      <c r="C7459" s="12">
        <v>1011</v>
      </c>
      <c r="D7459" s="7" t="s">
        <v>11167</v>
      </c>
      <c r="E7459" s="13" t="s">
        <v>5060</v>
      </c>
      <c r="F7459" t="str">
        <f t="shared" si="580"/>
        <v>Main</v>
      </c>
      <c r="G7459" t="str">
        <f t="shared" si="581"/>
        <v>Main1011Carrollton</v>
      </c>
      <c r="H7459" t="s">
        <v>38314</v>
      </c>
      <c r="I7459" t="s">
        <v>29728</v>
      </c>
      <c r="J7459" t="str">
        <f t="shared" si="582"/>
        <v>E:\PropInv\MF</v>
      </c>
      <c r="K7459" s="103" t="str">
        <f>HYPERLINK("E:\PropInv\MF\Carrollton\Main St S_1011_UNION at Carrollton Square_Carrollton_18736","Main St S_1011_UNION at Carrollton Square_Carrollton_18736" )</f>
        <v>Main St S_1011_UNION at Carrollton Square_Carrollton_18736</v>
      </c>
      <c r="L7459" s="104" t="s">
        <v>22253</v>
      </c>
      <c r="M7459" s="103" t="str">
        <f t="shared" si="583"/>
        <v>http://oconnordata.com/mlink/modules/profile/index.cfm?action=profile&amp;prop_id=18736</v>
      </c>
      <c r="N7459" s="1">
        <f t="shared" si="584"/>
        <v>18736</v>
      </c>
    </row>
    <row r="7460" spans="1:14" x14ac:dyDescent="0.3">
      <c r="A7460" s="1">
        <v>18737</v>
      </c>
      <c r="B7460" s="7" t="s">
        <v>11168</v>
      </c>
      <c r="C7460" s="12" t="s">
        <v>2497</v>
      </c>
      <c r="D7460" s="7" t="s">
        <v>11169</v>
      </c>
      <c r="E7460" s="25" t="s">
        <v>5060</v>
      </c>
      <c r="F7460" t="str">
        <f t="shared" si="580"/>
        <v>Maint</v>
      </c>
      <c r="G7460" t="str">
        <f t="shared" si="581"/>
        <v>MaintNFCarrollton</v>
      </c>
      <c r="H7460" t="s">
        <v>38315</v>
      </c>
      <c r="I7460" t="s">
        <v>29729</v>
      </c>
      <c r="J7460" t="str">
        <f t="shared" si="582"/>
        <v>E:\PropInv\MF</v>
      </c>
      <c r="K7460" s="103" t="str">
        <f>HYPERLINK("E:\PropInv\MF\Carrollton\Maint St S_NF_UNION at Carrollton Square II_Carrollton_18737","Maint St S_NF_UNION at Carrollton Square II_Carrollton_18737" )</f>
        <v>Maint St S_NF_UNION at Carrollton Square II_Carrollton_18737</v>
      </c>
      <c r="L7460" s="104" t="s">
        <v>22253</v>
      </c>
      <c r="M7460" s="103" t="str">
        <f t="shared" si="583"/>
        <v>http://oconnordata.com/mlink/modules/profile/index.cfm?action=profile&amp;prop_id=18737</v>
      </c>
      <c r="N7460" s="1">
        <f t="shared" si="584"/>
        <v>18737</v>
      </c>
    </row>
    <row r="7461" spans="1:14" x14ac:dyDescent="0.3">
      <c r="A7461" s="1">
        <v>18738</v>
      </c>
      <c r="B7461" s="7" t="s">
        <v>3916</v>
      </c>
      <c r="C7461" s="12">
        <v>1915</v>
      </c>
      <c r="D7461" s="7" t="s">
        <v>11170</v>
      </c>
      <c r="E7461" s="13" t="s">
        <v>842</v>
      </c>
      <c r="F7461" t="str">
        <f t="shared" si="580"/>
        <v>Broadway</v>
      </c>
      <c r="G7461" t="str">
        <f t="shared" si="581"/>
        <v>Broadway1915San Antonio</v>
      </c>
      <c r="H7461" t="s">
        <v>38316</v>
      </c>
      <c r="I7461" t="s">
        <v>29730</v>
      </c>
      <c r="J7461" t="str">
        <f t="shared" si="582"/>
        <v>E:\PropInv\MF</v>
      </c>
      <c r="K7461" s="103" t="str">
        <f>HYPERLINK("E:\PropInv\MF\San Antonio\Broadway St_1915_Mosaic on Broadway_San Antonio_18738","Broadway St_1915_Mosaic on Broadway_San Antonio_18738" )</f>
        <v>Broadway St_1915_Mosaic on Broadway_San Antonio_18738</v>
      </c>
      <c r="L7461" s="104" t="s">
        <v>22253</v>
      </c>
      <c r="M7461" s="103" t="str">
        <f t="shared" si="583"/>
        <v>http://oconnordata.com/mlink/modules/profile/index.cfm?action=profile&amp;prop_id=18738</v>
      </c>
      <c r="N7461" s="1">
        <f t="shared" si="584"/>
        <v>18738</v>
      </c>
    </row>
    <row r="7462" spans="1:14" x14ac:dyDescent="0.3">
      <c r="A7462" s="1">
        <v>18739</v>
      </c>
      <c r="B7462" s="7" t="s">
        <v>1679</v>
      </c>
      <c r="C7462" s="12">
        <v>15500</v>
      </c>
      <c r="D7462" s="7" t="s">
        <v>11171</v>
      </c>
      <c r="E7462" s="25" t="s">
        <v>1657</v>
      </c>
      <c r="F7462" t="str">
        <f t="shared" si="580"/>
        <v>Cutten</v>
      </c>
      <c r="G7462" t="str">
        <f t="shared" si="581"/>
        <v>Cutten15500Houston</v>
      </c>
      <c r="H7462" t="s">
        <v>38317</v>
      </c>
      <c r="I7462" t="s">
        <v>29731</v>
      </c>
      <c r="J7462" t="str">
        <f t="shared" si="582"/>
        <v>E:\PropInv\MF</v>
      </c>
      <c r="K7462" s="103" t="str">
        <f>HYPERLINK("E:\PropInv\MF\Houston\Cutten Rd_15500_San Antigua_Houston_18739","Cutten Rd_15500_San Antigua_Houston_18739" )</f>
        <v>Cutten Rd_15500_San Antigua_Houston_18739</v>
      </c>
      <c r="L7462" s="104" t="s">
        <v>22253</v>
      </c>
      <c r="M7462" s="103" t="str">
        <f t="shared" si="583"/>
        <v>http://oconnordata.com/mlink/modules/profile/index.cfm?action=profile&amp;prop_id=18739</v>
      </c>
      <c r="N7462" s="1">
        <f t="shared" si="584"/>
        <v>18739</v>
      </c>
    </row>
    <row r="7463" spans="1:14" x14ac:dyDescent="0.3">
      <c r="A7463" s="1">
        <v>18740</v>
      </c>
      <c r="B7463" s="7" t="s">
        <v>11172</v>
      </c>
      <c r="C7463" s="12">
        <v>4101</v>
      </c>
      <c r="D7463" s="7" t="s">
        <v>11173</v>
      </c>
      <c r="E7463" s="13" t="s">
        <v>5043</v>
      </c>
      <c r="F7463" t="str">
        <f t="shared" si="580"/>
        <v>Custer</v>
      </c>
      <c r="G7463" t="str">
        <f t="shared" si="581"/>
        <v>Custer4101McKinney</v>
      </c>
      <c r="H7463" t="s">
        <v>38318</v>
      </c>
      <c r="I7463" t="s">
        <v>29732</v>
      </c>
      <c r="J7463" t="str">
        <f t="shared" si="582"/>
        <v>E:\PropInv\MF</v>
      </c>
      <c r="K7463" s="103" t="str">
        <f>HYPERLINK("E:\PropInv\MF\McKinney\Custer Rd S_4101_Discovery at Rowlett Creek_McKinney_18740","Custer Rd S_4101_Discovery at Rowlett Creek_McKinney_18740" )</f>
        <v>Custer Rd S_4101_Discovery at Rowlett Creek_McKinney_18740</v>
      </c>
      <c r="L7463" s="104" t="s">
        <v>22253</v>
      </c>
      <c r="M7463" s="103" t="str">
        <f t="shared" si="583"/>
        <v>http://oconnordata.com/mlink/modules/profile/index.cfm?action=profile&amp;prop_id=18740</v>
      </c>
      <c r="N7463" s="1">
        <f t="shared" si="584"/>
        <v>18740</v>
      </c>
    </row>
    <row r="7464" spans="1:14" x14ac:dyDescent="0.3">
      <c r="A7464" s="1">
        <v>18741</v>
      </c>
      <c r="B7464" s="7" t="s">
        <v>11174</v>
      </c>
      <c r="C7464" s="12">
        <v>401</v>
      </c>
      <c r="D7464" s="7" t="s">
        <v>11175</v>
      </c>
      <c r="E7464" s="13" t="s">
        <v>6578</v>
      </c>
      <c r="F7464" t="str">
        <f t="shared" si="580"/>
        <v>Boyd</v>
      </c>
      <c r="G7464" t="str">
        <f t="shared" si="581"/>
        <v>Boyd401Grapevine</v>
      </c>
      <c r="H7464" t="s">
        <v>38319</v>
      </c>
      <c r="I7464" t="s">
        <v>29733</v>
      </c>
      <c r="J7464" t="str">
        <f t="shared" si="582"/>
        <v>E:\PropInv\MF</v>
      </c>
      <c r="K7464" s="103" t="str">
        <f>HYPERLINK("E:\PropInv\MF\Grapevine\Boyd Dr_401_Stoneledge_Grapevine_18741","Boyd Dr_401_Stoneledge_Grapevine_18741" )</f>
        <v>Boyd Dr_401_Stoneledge_Grapevine_18741</v>
      </c>
      <c r="L7464" s="104" t="s">
        <v>22253</v>
      </c>
      <c r="M7464" s="103" t="str">
        <f t="shared" si="583"/>
        <v>http://oconnordata.com/mlink/modules/profile/index.cfm?action=profile&amp;prop_id=18741</v>
      </c>
      <c r="N7464" s="1">
        <f t="shared" si="584"/>
        <v>18741</v>
      </c>
    </row>
    <row r="7465" spans="1:14" x14ac:dyDescent="0.3">
      <c r="A7465" s="1">
        <v>18742</v>
      </c>
      <c r="B7465" s="7" t="s">
        <v>3012</v>
      </c>
      <c r="C7465" s="12">
        <v>10201</v>
      </c>
      <c r="D7465" s="7" t="s">
        <v>11176</v>
      </c>
      <c r="E7465" s="13" t="s">
        <v>1657</v>
      </c>
      <c r="F7465" t="str">
        <f t="shared" si="580"/>
        <v>Buffalo</v>
      </c>
      <c r="G7465" t="str">
        <f t="shared" si="581"/>
        <v>Buffalo10201Houston</v>
      </c>
      <c r="H7465" t="s">
        <v>38320</v>
      </c>
      <c r="I7465" t="s">
        <v>29734</v>
      </c>
      <c r="J7465" t="str">
        <f t="shared" si="582"/>
        <v>E:\PropInv\MF</v>
      </c>
      <c r="K7465" s="103" t="str">
        <f>HYPERLINK("E:\PropInv\MF\Houston\Buffalo Spdwy_10201_The Connection at Buffalo Pointe_Houston_18742","Buffalo Spdwy_10201_The Connection at Buffalo Pointe_Houston_18742" )</f>
        <v>Buffalo Spdwy_10201_The Connection at Buffalo Pointe_Houston_18742</v>
      </c>
      <c r="L7465" s="104" t="s">
        <v>22253</v>
      </c>
      <c r="M7465" s="103" t="str">
        <f t="shared" si="583"/>
        <v>http://oconnordata.com/mlink/modules/profile/index.cfm?action=profile&amp;prop_id=18742</v>
      </c>
      <c r="N7465" s="1">
        <f t="shared" si="584"/>
        <v>18742</v>
      </c>
    </row>
    <row r="7466" spans="1:14" x14ac:dyDescent="0.3">
      <c r="A7466" s="1">
        <v>18743</v>
      </c>
      <c r="B7466" s="7" t="s">
        <v>10877</v>
      </c>
      <c r="C7466" s="12">
        <v>245</v>
      </c>
      <c r="D7466" s="7" t="s">
        <v>11177</v>
      </c>
      <c r="E7466" s="13" t="s">
        <v>4616</v>
      </c>
      <c r="F7466" t="str">
        <f t="shared" si="580"/>
        <v>1488</v>
      </c>
      <c r="G7466" t="str">
        <f t="shared" si="581"/>
        <v>1488245Conroe</v>
      </c>
      <c r="H7466" t="s">
        <v>38321</v>
      </c>
      <c r="I7466" t="s">
        <v>29735</v>
      </c>
      <c r="J7466" t="str">
        <f t="shared" si="582"/>
        <v>E:\PropInv\MF</v>
      </c>
      <c r="K7466" s="103" t="str">
        <f>HYPERLINK("E:\PropInv\MF\Conroe\1488 FM_245_The Mansions Woodland_Conroe_18743","1488 FM_245_The Mansions Woodland_Conroe_18743" )</f>
        <v>1488 FM_245_The Mansions Woodland_Conroe_18743</v>
      </c>
      <c r="L7466" s="104" t="s">
        <v>22253</v>
      </c>
      <c r="M7466" s="103" t="str">
        <f t="shared" si="583"/>
        <v>http://oconnordata.com/mlink/modules/profile/index.cfm?action=profile&amp;prop_id=18743</v>
      </c>
      <c r="N7466" s="1">
        <f t="shared" si="584"/>
        <v>18743</v>
      </c>
    </row>
    <row r="7467" spans="1:14" x14ac:dyDescent="0.3">
      <c r="A7467" s="1">
        <v>18744</v>
      </c>
      <c r="B7467" s="7" t="s">
        <v>2562</v>
      </c>
      <c r="C7467" s="12">
        <v>5518</v>
      </c>
      <c r="D7467" s="7" t="s">
        <v>11178</v>
      </c>
      <c r="E7467" s="13" t="s">
        <v>1657</v>
      </c>
      <c r="F7467" t="str">
        <f t="shared" si="580"/>
        <v>Rand</v>
      </c>
      <c r="G7467" t="str">
        <f t="shared" si="581"/>
        <v>Rand5518Houston</v>
      </c>
      <c r="H7467" t="s">
        <v>38322</v>
      </c>
      <c r="I7467" t="s">
        <v>29736</v>
      </c>
      <c r="J7467" t="str">
        <f t="shared" si="582"/>
        <v>E:\PropInv\MF</v>
      </c>
      <c r="K7467" s="103" t="str">
        <f>HYPERLINK("E:\PropInv\MF\Houston\Rand St_5518_Lockwood Landing III_Houston_18744","Rand St_5518_Lockwood Landing III_Houston_18744" )</f>
        <v>Rand St_5518_Lockwood Landing III_Houston_18744</v>
      </c>
      <c r="L7467" s="104" t="s">
        <v>22253</v>
      </c>
      <c r="M7467" s="103" t="str">
        <f t="shared" si="583"/>
        <v>http://oconnordata.com/mlink/modules/profile/index.cfm?action=profile&amp;prop_id=18744</v>
      </c>
      <c r="N7467" s="1">
        <f t="shared" si="584"/>
        <v>18744</v>
      </c>
    </row>
    <row r="7468" spans="1:14" x14ac:dyDescent="0.3">
      <c r="A7468" s="1">
        <v>18745</v>
      </c>
      <c r="B7468" s="7" t="s">
        <v>2562</v>
      </c>
      <c r="C7468" s="12">
        <v>5431</v>
      </c>
      <c r="D7468" s="7" t="s">
        <v>11179</v>
      </c>
      <c r="E7468" s="13" t="s">
        <v>1657</v>
      </c>
      <c r="F7468" t="str">
        <f t="shared" si="580"/>
        <v>Rand</v>
      </c>
      <c r="G7468" t="str">
        <f t="shared" si="581"/>
        <v>Rand5431Houston</v>
      </c>
      <c r="H7468" t="s">
        <v>38323</v>
      </c>
      <c r="I7468" t="s">
        <v>29737</v>
      </c>
      <c r="J7468" t="str">
        <f t="shared" si="582"/>
        <v>E:\PropInv\MF</v>
      </c>
      <c r="K7468" s="103" t="str">
        <f>HYPERLINK("E:\PropInv\MF\Houston\Rand St_5431_Lockwood Landing IV_Houston_18745","Rand St_5431_Lockwood Landing IV_Houston_18745" )</f>
        <v>Rand St_5431_Lockwood Landing IV_Houston_18745</v>
      </c>
      <c r="L7468" s="104" t="s">
        <v>22253</v>
      </c>
      <c r="M7468" s="103" t="str">
        <f t="shared" si="583"/>
        <v>http://oconnordata.com/mlink/modules/profile/index.cfm?action=profile&amp;prop_id=18745</v>
      </c>
      <c r="N7468" s="1">
        <f t="shared" si="584"/>
        <v>18745</v>
      </c>
    </row>
    <row r="7469" spans="1:14" x14ac:dyDescent="0.3">
      <c r="A7469" s="1">
        <v>18746</v>
      </c>
      <c r="B7469" s="7" t="s">
        <v>11180</v>
      </c>
      <c r="C7469" s="12" t="s">
        <v>11181</v>
      </c>
      <c r="D7469" s="7" t="s">
        <v>11182</v>
      </c>
      <c r="E7469" s="13" t="s">
        <v>1657</v>
      </c>
      <c r="F7469" t="str">
        <f t="shared" si="580"/>
        <v>Shepherd</v>
      </c>
      <c r="G7469" t="str">
        <f t="shared" si="581"/>
        <v>Shepherd3100 blkHouston</v>
      </c>
      <c r="H7469" t="s">
        <v>38324</v>
      </c>
      <c r="I7469" t="s">
        <v>29738</v>
      </c>
      <c r="J7469" t="str">
        <f t="shared" si="582"/>
        <v>E:\PropInv\MF</v>
      </c>
      <c r="K7469" s="103" t="str">
        <f>HYPERLINK("E:\PropInv\MF\Houston\Shepherd Dr S_3100 blk_Shepherd Alabama Apts_Houston_18746","Shepherd Dr S_3100 blk_Shepherd Alabama Apts_Houston_18746" )</f>
        <v>Shepherd Dr S_3100 blk_Shepherd Alabama Apts_Houston_18746</v>
      </c>
      <c r="L7469" s="104" t="s">
        <v>22253</v>
      </c>
      <c r="M7469" s="103" t="str">
        <f t="shared" si="583"/>
        <v>http://oconnordata.com/mlink/modules/profile/index.cfm?action=profile&amp;prop_id=18746</v>
      </c>
      <c r="N7469" s="1">
        <f t="shared" si="584"/>
        <v>18746</v>
      </c>
    </row>
    <row r="7470" spans="1:14" x14ac:dyDescent="0.3">
      <c r="A7470" s="1">
        <v>18747</v>
      </c>
      <c r="B7470" s="7" t="s">
        <v>2677</v>
      </c>
      <c r="C7470" s="12">
        <v>3788</v>
      </c>
      <c r="D7470" s="7" t="s">
        <v>11183</v>
      </c>
      <c r="E7470" s="13" t="s">
        <v>1657</v>
      </c>
      <c r="F7470" t="str">
        <f t="shared" si="580"/>
        <v>Richmond</v>
      </c>
      <c r="G7470" t="str">
        <f t="shared" si="581"/>
        <v>Richmond3788Houston</v>
      </c>
      <c r="H7470" t="s">
        <v>38325</v>
      </c>
      <c r="I7470" t="s">
        <v>29739</v>
      </c>
      <c r="J7470" t="str">
        <f t="shared" si="582"/>
        <v>E:\PropInv\MF</v>
      </c>
      <c r="K7470" s="103" t="str">
        <f>HYPERLINK("E:\PropInv\MF\Houston\Richmond Ave_3788_Pearl Greenway_Houston_18747","Richmond Ave_3788_Pearl Greenway_Houston_18747" )</f>
        <v>Richmond Ave_3788_Pearl Greenway_Houston_18747</v>
      </c>
      <c r="L7470" s="104" t="s">
        <v>22253</v>
      </c>
      <c r="M7470" s="103" t="str">
        <f t="shared" si="583"/>
        <v>http://oconnordata.com/mlink/modules/profile/index.cfm?action=profile&amp;prop_id=18747</v>
      </c>
      <c r="N7470" s="1">
        <f t="shared" si="584"/>
        <v>18747</v>
      </c>
    </row>
    <row r="7471" spans="1:14" x14ac:dyDescent="0.3">
      <c r="A7471" s="1">
        <v>18748</v>
      </c>
      <c r="B7471" s="7" t="s">
        <v>5358</v>
      </c>
      <c r="C7471" s="12">
        <v>3030</v>
      </c>
      <c r="D7471" s="7" t="s">
        <v>11184</v>
      </c>
      <c r="E7471" s="13" t="s">
        <v>4996</v>
      </c>
      <c r="F7471" t="str">
        <f t="shared" si="580"/>
        <v>Carlisle</v>
      </c>
      <c r="G7471" t="str">
        <f t="shared" si="581"/>
        <v>Carlisle3030Dallas</v>
      </c>
      <c r="H7471" t="s">
        <v>38326</v>
      </c>
      <c r="I7471" t="s">
        <v>29740</v>
      </c>
      <c r="J7471" t="str">
        <f t="shared" si="582"/>
        <v>E:\PropInv\MF</v>
      </c>
      <c r="K7471" s="103" t="str">
        <f>HYPERLINK("E:\PropInv\MF\Dallas\Carlisle St_3030_The Taylor_Dallas_18748","Carlisle St_3030_The Taylor_Dallas_18748" )</f>
        <v>Carlisle St_3030_The Taylor_Dallas_18748</v>
      </c>
      <c r="L7471" s="104" t="s">
        <v>22253</v>
      </c>
      <c r="M7471" s="103" t="str">
        <f t="shared" si="583"/>
        <v>http://oconnordata.com/mlink/modules/profile/index.cfm?action=profile&amp;prop_id=18748</v>
      </c>
      <c r="N7471" s="1">
        <f t="shared" si="584"/>
        <v>18748</v>
      </c>
    </row>
    <row r="7472" spans="1:14" x14ac:dyDescent="0.3">
      <c r="A7472" s="1">
        <v>18749</v>
      </c>
      <c r="B7472" s="7" t="s">
        <v>391</v>
      </c>
      <c r="C7472" s="12">
        <v>1000</v>
      </c>
      <c r="D7472" s="7" t="s">
        <v>11185</v>
      </c>
      <c r="E7472" s="13" t="s">
        <v>7</v>
      </c>
      <c r="F7472" t="str">
        <f t="shared" si="580"/>
        <v>Lamar</v>
      </c>
      <c r="G7472" t="str">
        <f t="shared" si="581"/>
        <v>Lamar1000Austin</v>
      </c>
      <c r="H7472" t="s">
        <v>38327</v>
      </c>
      <c r="I7472" t="s">
        <v>29741</v>
      </c>
      <c r="J7472" t="str">
        <f t="shared" si="582"/>
        <v>E:\PropInv\MF</v>
      </c>
      <c r="K7472" s="103" t="str">
        <f>HYPERLINK("E:\PropInv\MF\Austin\Lamar Blvd S_1000_Greystar Lamar Plaza Mixed Use_Austin_18749","Lamar Blvd S_1000_Greystar Lamar Plaza Mixed Use_Austin_18749" )</f>
        <v>Lamar Blvd S_1000_Greystar Lamar Plaza Mixed Use_Austin_18749</v>
      </c>
      <c r="L7472" s="104" t="s">
        <v>22253</v>
      </c>
      <c r="M7472" s="103" t="str">
        <f t="shared" si="583"/>
        <v>http://oconnordata.com/mlink/modules/profile/index.cfm?action=profile&amp;prop_id=18749</v>
      </c>
      <c r="N7472" s="1">
        <f t="shared" si="584"/>
        <v>18749</v>
      </c>
    </row>
    <row r="7473" spans="1:14" x14ac:dyDescent="0.3">
      <c r="A7473" s="1">
        <v>18750</v>
      </c>
      <c r="B7473" s="7" t="s">
        <v>5515</v>
      </c>
      <c r="C7473" s="12" t="s">
        <v>11186</v>
      </c>
      <c r="D7473" s="7" t="s">
        <v>11187</v>
      </c>
      <c r="E7473" s="13" t="s">
        <v>5198</v>
      </c>
      <c r="F7473" t="str">
        <f t="shared" si="580"/>
        <v>LBJ</v>
      </c>
      <c r="G7473" t="str">
        <f t="shared" si="581"/>
        <v>LBJ4801-4825Farmers Branch</v>
      </c>
      <c r="H7473" t="s">
        <v>38328</v>
      </c>
      <c r="I7473" t="s">
        <v>29742</v>
      </c>
      <c r="J7473" t="str">
        <f t="shared" si="582"/>
        <v>E:\PropInv\MF</v>
      </c>
      <c r="K7473" s="103" t="str">
        <f>HYPERLINK("E:\PropInv\MF\Farmers Branch\LBJ Fwy_4801-4825_Greystar Galleria Lofts_Farmers Branch_18750","LBJ Fwy_4801-4825_Greystar Galleria Lofts_Farmers Branch_18750" )</f>
        <v>LBJ Fwy_4801-4825_Greystar Galleria Lofts_Farmers Branch_18750</v>
      </c>
      <c r="L7473" s="104" t="s">
        <v>22253</v>
      </c>
      <c r="M7473" s="103" t="str">
        <f t="shared" si="583"/>
        <v>http://oconnordata.com/mlink/modules/profile/index.cfm?action=profile&amp;prop_id=18750</v>
      </c>
      <c r="N7473" s="1">
        <f t="shared" si="584"/>
        <v>18750</v>
      </c>
    </row>
    <row r="7474" spans="1:14" x14ac:dyDescent="0.3">
      <c r="A7474" s="1">
        <v>18751</v>
      </c>
      <c r="B7474" s="7" t="s">
        <v>391</v>
      </c>
      <c r="C7474" s="12">
        <v>1219</v>
      </c>
      <c r="D7474" s="7" t="s">
        <v>11188</v>
      </c>
      <c r="E7474" s="13" t="s">
        <v>7</v>
      </c>
      <c r="F7474" t="str">
        <f t="shared" si="580"/>
        <v>Lamar</v>
      </c>
      <c r="G7474" t="str">
        <f t="shared" si="581"/>
        <v>Lamar1219Austin</v>
      </c>
      <c r="H7474" t="s">
        <v>38329</v>
      </c>
      <c r="I7474" t="s">
        <v>29743</v>
      </c>
      <c r="J7474" t="str">
        <f t="shared" si="582"/>
        <v>E:\PropInv\MF</v>
      </c>
      <c r="K7474" s="103" t="str">
        <f>HYPERLINK("E:\PropInv\MF\Austin\Lamar Blvd S_1219_Gibson Flats_Austin_18751","Lamar Blvd S_1219_Gibson Flats_Austin_18751" )</f>
        <v>Lamar Blvd S_1219_Gibson Flats_Austin_18751</v>
      </c>
      <c r="L7474" s="104" t="s">
        <v>22253</v>
      </c>
      <c r="M7474" s="103" t="str">
        <f t="shared" si="583"/>
        <v>http://oconnordata.com/mlink/modules/profile/index.cfm?action=profile&amp;prop_id=18751</v>
      </c>
      <c r="N7474" s="1">
        <f t="shared" si="584"/>
        <v>18751</v>
      </c>
    </row>
    <row r="7475" spans="1:14" x14ac:dyDescent="0.3">
      <c r="A7475" s="1">
        <v>18752</v>
      </c>
      <c r="B7475" s="7" t="s">
        <v>614</v>
      </c>
      <c r="C7475" s="12">
        <v>9415</v>
      </c>
      <c r="D7475" s="7" t="s">
        <v>11189</v>
      </c>
      <c r="E7475" s="13" t="s">
        <v>7</v>
      </c>
      <c r="F7475" t="str">
        <f t="shared" si="580"/>
        <v>McNeil</v>
      </c>
      <c r="G7475" t="str">
        <f t="shared" si="581"/>
        <v>McNeil9415Austin</v>
      </c>
      <c r="H7475" t="s">
        <v>38330</v>
      </c>
      <c r="I7475" t="s">
        <v>29744</v>
      </c>
      <c r="J7475" t="str">
        <f t="shared" si="582"/>
        <v>E:\PropInv\MF</v>
      </c>
      <c r="K7475" s="103" t="str">
        <f>HYPERLINK("E:\PropInv\MF\Austin\McNeil Dr_9415_Promesa_Austin_18752","McNeil Dr_9415_Promesa_Austin_18752" )</f>
        <v>McNeil Dr_9415_Promesa_Austin_18752</v>
      </c>
      <c r="L7475" s="104" t="s">
        <v>22253</v>
      </c>
      <c r="M7475" s="103" t="str">
        <f t="shared" si="583"/>
        <v>http://oconnordata.com/mlink/modules/profile/index.cfm?action=profile&amp;prop_id=18752</v>
      </c>
      <c r="N7475" s="1">
        <f t="shared" si="584"/>
        <v>18752</v>
      </c>
    </row>
    <row r="7476" spans="1:14" x14ac:dyDescent="0.3">
      <c r="A7476" s="1">
        <v>18753</v>
      </c>
      <c r="B7476" s="7" t="s">
        <v>11190</v>
      </c>
      <c r="C7476" s="12" t="s">
        <v>2497</v>
      </c>
      <c r="D7476" s="7" t="s">
        <v>11191</v>
      </c>
      <c r="E7476" s="25" t="s">
        <v>5612</v>
      </c>
      <c r="F7476" t="str">
        <f t="shared" si="580"/>
        <v>Hackberry</v>
      </c>
      <c r="G7476" t="str">
        <f t="shared" si="581"/>
        <v>HackberryNFCoppell</v>
      </c>
      <c r="H7476" t="s">
        <v>38331</v>
      </c>
      <c r="I7476" t="s">
        <v>29745</v>
      </c>
      <c r="J7476" t="str">
        <f t="shared" si="582"/>
        <v>E:\PropInv\MF</v>
      </c>
      <c r="K7476" s="103" t="str">
        <f>HYPERLINK("E:\PropInv\MF\Coppell\Hackberry Rd_NF_Cypress Waters Apts_Coppell_18753","Hackberry Rd_NF_Cypress Waters Apts_Coppell_18753" )</f>
        <v>Hackberry Rd_NF_Cypress Waters Apts_Coppell_18753</v>
      </c>
      <c r="L7476" s="104" t="s">
        <v>22253</v>
      </c>
      <c r="M7476" s="103" t="str">
        <f t="shared" si="583"/>
        <v>http://oconnordata.com/mlink/modules/profile/index.cfm?action=profile&amp;prop_id=18753</v>
      </c>
      <c r="N7476" s="1">
        <f t="shared" si="584"/>
        <v>18753</v>
      </c>
    </row>
    <row r="7477" spans="1:14" x14ac:dyDescent="0.3">
      <c r="A7477" s="1">
        <v>18754</v>
      </c>
      <c r="B7477" s="7" t="s">
        <v>11192</v>
      </c>
      <c r="C7477" s="12">
        <v>301</v>
      </c>
      <c r="D7477" s="7" t="s">
        <v>11193</v>
      </c>
      <c r="E7477" s="13" t="s">
        <v>7</v>
      </c>
      <c r="F7477" t="str">
        <f t="shared" si="580"/>
        <v>Brazos</v>
      </c>
      <c r="G7477" t="str">
        <f t="shared" si="581"/>
        <v>Brazos301Austin</v>
      </c>
      <c r="H7477" t="s">
        <v>38332</v>
      </c>
      <c r="I7477" t="s">
        <v>29746</v>
      </c>
      <c r="J7477" t="str">
        <f t="shared" si="582"/>
        <v>E:\PropInv\MF</v>
      </c>
      <c r="K7477" s="103" t="str">
        <f>HYPERLINK("E:\PropInv\MF\Austin\Brazos St_301_The Whitley_Austin_18754","Brazos St_301_The Whitley_Austin_18754" )</f>
        <v>Brazos St_301_The Whitley_Austin_18754</v>
      </c>
      <c r="L7477" s="104" t="s">
        <v>22253</v>
      </c>
      <c r="M7477" s="103" t="str">
        <f t="shared" si="583"/>
        <v>http://oconnordata.com/mlink/modules/profile/index.cfm?action=profile&amp;prop_id=18754</v>
      </c>
      <c r="N7477" s="1">
        <f t="shared" si="584"/>
        <v>18754</v>
      </c>
    </row>
    <row r="7478" spans="1:14" x14ac:dyDescent="0.3">
      <c r="A7478" s="1">
        <v>18756</v>
      </c>
      <c r="B7478" s="7" t="s">
        <v>10712</v>
      </c>
      <c r="C7478" s="12">
        <v>1234</v>
      </c>
      <c r="D7478" s="7" t="s">
        <v>11194</v>
      </c>
      <c r="E7478" s="13" t="s">
        <v>842</v>
      </c>
      <c r="F7478" t="str">
        <f t="shared" si="580"/>
        <v>Evans</v>
      </c>
      <c r="G7478" t="str">
        <f t="shared" si="581"/>
        <v>Evans1234San Antonio</v>
      </c>
      <c r="H7478" t="s">
        <v>38333</v>
      </c>
      <c r="I7478" t="s">
        <v>29747</v>
      </c>
      <c r="J7478" t="str">
        <f t="shared" si="582"/>
        <v>E:\PropInv\MF</v>
      </c>
      <c r="K7478" s="103" t="str">
        <f>HYPERLINK("E:\PropInv\MF\San Antonio\Evans Rd_1234_Evans Ranch_San Antonio_18756","Evans Rd_1234_Evans Ranch_San Antonio_18756" )</f>
        <v>Evans Rd_1234_Evans Ranch_San Antonio_18756</v>
      </c>
      <c r="L7478" s="104" t="s">
        <v>22253</v>
      </c>
      <c r="M7478" s="103" t="str">
        <f t="shared" si="583"/>
        <v>http://oconnordata.com/mlink/modules/profile/index.cfm?action=profile&amp;prop_id=18756</v>
      </c>
      <c r="N7478" s="1">
        <f t="shared" si="584"/>
        <v>18756</v>
      </c>
    </row>
    <row r="7479" spans="1:14" x14ac:dyDescent="0.3">
      <c r="A7479" s="1">
        <v>18757</v>
      </c>
      <c r="B7479" s="7" t="s">
        <v>11195</v>
      </c>
      <c r="C7479" s="12">
        <v>1222</v>
      </c>
      <c r="D7479" s="7" t="s">
        <v>11196</v>
      </c>
      <c r="E7479" s="13" t="s">
        <v>1399</v>
      </c>
      <c r="F7479" t="str">
        <f t="shared" si="580"/>
        <v>Borgfeld</v>
      </c>
      <c r="G7479" t="str">
        <f t="shared" si="581"/>
        <v>Borgfeld1222Schertz</v>
      </c>
      <c r="H7479" t="s">
        <v>38334</v>
      </c>
      <c r="I7479" t="s">
        <v>29748</v>
      </c>
      <c r="J7479" t="str">
        <f t="shared" si="582"/>
        <v>E:\PropInv\MF</v>
      </c>
      <c r="K7479" s="103" t="str">
        <f>HYPERLINK("E:\PropInv\MF\Schertz\Borgfeld Rd_1222_Merritt Lakeside_Schertz_18757","Borgfeld Rd_1222_Merritt Lakeside_Schertz_18757" )</f>
        <v>Borgfeld Rd_1222_Merritt Lakeside_Schertz_18757</v>
      </c>
      <c r="L7479" s="104" t="s">
        <v>22253</v>
      </c>
      <c r="M7479" s="103" t="str">
        <f t="shared" si="583"/>
        <v>http://oconnordata.com/mlink/modules/profile/index.cfm?action=profile&amp;prop_id=18757</v>
      </c>
      <c r="N7479" s="1">
        <f t="shared" si="584"/>
        <v>18757</v>
      </c>
    </row>
    <row r="7480" spans="1:14" x14ac:dyDescent="0.3">
      <c r="A7480" s="1">
        <v>18758</v>
      </c>
      <c r="B7480" s="7" t="s">
        <v>1034</v>
      </c>
      <c r="C7480" s="12">
        <v>7727</v>
      </c>
      <c r="D7480" s="7" t="s">
        <v>11197</v>
      </c>
      <c r="E7480" s="13" t="s">
        <v>842</v>
      </c>
      <c r="F7480" t="str">
        <f t="shared" si="580"/>
        <v>Potranco</v>
      </c>
      <c r="G7480" t="str">
        <f t="shared" si="581"/>
        <v>Potranco7727San Antonio</v>
      </c>
      <c r="H7480" t="s">
        <v>38335</v>
      </c>
      <c r="I7480" t="s">
        <v>29749</v>
      </c>
      <c r="J7480" t="str">
        <f t="shared" si="582"/>
        <v>E:\PropInv\MF</v>
      </c>
      <c r="K7480" s="103" t="str">
        <f>HYPERLINK("E:\PropInv\MF\San Antonio\Potranco Rd_7727_Westover Oaks_San Antonio_18758","Potranco Rd_7727_Westover Oaks_San Antonio_18758" )</f>
        <v>Potranco Rd_7727_Westover Oaks_San Antonio_18758</v>
      </c>
      <c r="L7480" s="104" t="s">
        <v>22253</v>
      </c>
      <c r="M7480" s="103" t="str">
        <f t="shared" si="583"/>
        <v>http://oconnordata.com/mlink/modules/profile/index.cfm?action=profile&amp;prop_id=18758</v>
      </c>
      <c r="N7480" s="1">
        <f t="shared" si="584"/>
        <v>18758</v>
      </c>
    </row>
    <row r="7481" spans="1:14" x14ac:dyDescent="0.3">
      <c r="A7481" s="1">
        <v>18759</v>
      </c>
      <c r="B7481" s="7" t="s">
        <v>11198</v>
      </c>
      <c r="C7481" s="12">
        <v>8615</v>
      </c>
      <c r="D7481" s="7" t="s">
        <v>11199</v>
      </c>
      <c r="E7481" s="13" t="s">
        <v>842</v>
      </c>
      <c r="F7481" t="str">
        <f t="shared" si="580"/>
        <v>151</v>
      </c>
      <c r="G7481" t="str">
        <f t="shared" si="581"/>
        <v>1518615San Antonio</v>
      </c>
      <c r="H7481" t="s">
        <v>38336</v>
      </c>
      <c r="I7481" t="s">
        <v>29750</v>
      </c>
      <c r="J7481" t="str">
        <f t="shared" si="582"/>
        <v>E:\PropInv\MF</v>
      </c>
      <c r="K7481" s="103" t="str">
        <f>HYPERLINK("E:\PropInv\MF\San Antonio\151 SH_8615_Tacara Westover Hills_San Antonio_18759","151 SH_8615_Tacara Westover Hills_San Antonio_18759" )</f>
        <v>151 SH_8615_Tacara Westover Hills_San Antonio_18759</v>
      </c>
      <c r="L7481" s="104" t="s">
        <v>22253</v>
      </c>
      <c r="M7481" s="103" t="str">
        <f t="shared" si="583"/>
        <v>http://oconnordata.com/mlink/modules/profile/index.cfm?action=profile&amp;prop_id=18759</v>
      </c>
      <c r="N7481" s="1">
        <f t="shared" si="584"/>
        <v>18759</v>
      </c>
    </row>
    <row r="7482" spans="1:14" x14ac:dyDescent="0.3">
      <c r="A7482" s="1">
        <v>18760</v>
      </c>
      <c r="B7482" s="7" t="s">
        <v>11200</v>
      </c>
      <c r="C7482" s="12" t="s">
        <v>2497</v>
      </c>
      <c r="D7482" s="7" t="s">
        <v>11201</v>
      </c>
      <c r="E7482" s="25" t="s">
        <v>842</v>
      </c>
      <c r="F7482" t="str">
        <f t="shared" si="580"/>
        <v>281</v>
      </c>
      <c r="G7482" t="str">
        <f t="shared" si="581"/>
        <v>281NFSan Antonio</v>
      </c>
      <c r="H7482" t="s">
        <v>38337</v>
      </c>
      <c r="I7482" t="s">
        <v>29751</v>
      </c>
      <c r="J7482" t="str">
        <f t="shared" si="582"/>
        <v>E:\PropInv\MF</v>
      </c>
      <c r="K7482" s="103" t="str">
        <f>HYPERLINK("E:\PropInv\MF\San Antonio\281 US Hwy N_NF_Tacara Stone Oak_San Antonio_18760","281 US Hwy N_NF_Tacara Stone Oak_San Antonio_18760" )</f>
        <v>281 US Hwy N_NF_Tacara Stone Oak_San Antonio_18760</v>
      </c>
      <c r="L7482" s="104" t="s">
        <v>22253</v>
      </c>
      <c r="M7482" s="103" t="str">
        <f t="shared" si="583"/>
        <v>http://oconnordata.com/mlink/modules/profile/index.cfm?action=profile&amp;prop_id=18760</v>
      </c>
      <c r="N7482" s="1">
        <f t="shared" si="584"/>
        <v>18760</v>
      </c>
    </row>
    <row r="7483" spans="1:14" x14ac:dyDescent="0.3">
      <c r="A7483" s="1">
        <v>18761</v>
      </c>
      <c r="B7483" s="7" t="s">
        <v>7375</v>
      </c>
      <c r="C7483" s="12">
        <v>2210</v>
      </c>
      <c r="D7483" s="7" t="s">
        <v>11202</v>
      </c>
      <c r="E7483" s="13" t="s">
        <v>842</v>
      </c>
      <c r="F7483" t="str">
        <f t="shared" si="580"/>
        <v>Rogers</v>
      </c>
      <c r="G7483" t="str">
        <f t="shared" si="581"/>
        <v>Rogers2210San Antonio</v>
      </c>
      <c r="H7483" t="s">
        <v>38338</v>
      </c>
      <c r="I7483" t="s">
        <v>29752</v>
      </c>
      <c r="J7483" t="str">
        <f t="shared" si="582"/>
        <v>E:\PropInv\MF</v>
      </c>
      <c r="K7483" s="103" t="str">
        <f>HYPERLINK("E:\PropInv\MF\San Antonio\Rogers Rd_2210_Slate Creek at Westover Hills_San Antonio_18761","Rogers Rd_2210_Slate Creek at Westover Hills_San Antonio_18761" )</f>
        <v>Rogers Rd_2210_Slate Creek at Westover Hills_San Antonio_18761</v>
      </c>
      <c r="L7483" s="104" t="s">
        <v>22253</v>
      </c>
      <c r="M7483" s="103" t="str">
        <f t="shared" si="583"/>
        <v>http://oconnordata.com/mlink/modules/profile/index.cfm?action=profile&amp;prop_id=18761</v>
      </c>
      <c r="N7483" s="1">
        <f t="shared" si="584"/>
        <v>18761</v>
      </c>
    </row>
    <row r="7484" spans="1:14" x14ac:dyDescent="0.3">
      <c r="A7484" s="97">
        <v>18762</v>
      </c>
      <c r="B7484" s="7" t="s">
        <v>8709</v>
      </c>
      <c r="C7484" s="12">
        <v>330</v>
      </c>
      <c r="D7484" s="7" t="s">
        <v>11203</v>
      </c>
      <c r="E7484" s="13" t="s">
        <v>842</v>
      </c>
      <c r="F7484" t="str">
        <f t="shared" si="580"/>
        <v>Cheryl</v>
      </c>
      <c r="G7484" t="str">
        <f t="shared" si="581"/>
        <v>Cheryl330San Antonio</v>
      </c>
      <c r="H7484" t="s">
        <v>38339</v>
      </c>
      <c r="I7484" t="s">
        <v>29753</v>
      </c>
      <c r="J7484" t="str">
        <f t="shared" si="582"/>
        <v>E:\PropInv\MF</v>
      </c>
      <c r="K7484" s="103" t="str">
        <f>HYPERLINK("E:\PropInv\MF\San Antonio\Cheryl Dr W_330_Woodlawn Ranch_San Antonio_18762","Cheryl Dr W_330_Woodlawn Ranch_San Antonio_18762" )</f>
        <v>Cheryl Dr W_330_Woodlawn Ranch_San Antonio_18762</v>
      </c>
      <c r="L7484" s="104" t="s">
        <v>22253</v>
      </c>
      <c r="M7484" s="103" t="str">
        <f t="shared" si="583"/>
        <v>http://oconnordata.com/mlink/modules/profile/index.cfm?action=profile&amp;prop_id=18762</v>
      </c>
      <c r="N7484" s="1">
        <f t="shared" si="584"/>
        <v>18762</v>
      </c>
    </row>
    <row r="7485" spans="1:14" x14ac:dyDescent="0.3">
      <c r="A7485" s="1">
        <v>18763</v>
      </c>
      <c r="B7485" s="7" t="s">
        <v>11204</v>
      </c>
      <c r="C7485" s="12">
        <v>600</v>
      </c>
      <c r="D7485" s="7" t="s">
        <v>11205</v>
      </c>
      <c r="E7485" s="13" t="s">
        <v>842</v>
      </c>
      <c r="F7485" t="str">
        <f t="shared" si="580"/>
        <v>Leal</v>
      </c>
      <c r="G7485" t="str">
        <f t="shared" si="581"/>
        <v>Leal600San Antonio</v>
      </c>
      <c r="H7485" t="s">
        <v>38340</v>
      </c>
      <c r="I7485" t="s">
        <v>29754</v>
      </c>
      <c r="J7485" t="str">
        <f t="shared" si="582"/>
        <v>E:\PropInv\MF</v>
      </c>
      <c r="K7485" s="103" t="str">
        <f>HYPERLINK("E:\PropInv\MF\San Antonio\Leal St_600_The Terrace at Haven for Hope_San Antonio_18763","Leal St_600_The Terrace at Haven for Hope_San Antonio_18763" )</f>
        <v>Leal St_600_The Terrace at Haven for Hope_San Antonio_18763</v>
      </c>
      <c r="L7485" s="104" t="s">
        <v>22253</v>
      </c>
      <c r="M7485" s="103" t="str">
        <f t="shared" si="583"/>
        <v>http://oconnordata.com/mlink/modules/profile/index.cfm?action=profile&amp;prop_id=18763</v>
      </c>
      <c r="N7485" s="1">
        <f t="shared" si="584"/>
        <v>18763</v>
      </c>
    </row>
    <row r="7486" spans="1:14" x14ac:dyDescent="0.3">
      <c r="A7486" s="1">
        <v>18764</v>
      </c>
      <c r="B7486" s="7" t="s">
        <v>10915</v>
      </c>
      <c r="C7486" s="12">
        <v>4850</v>
      </c>
      <c r="D7486" s="7" t="s">
        <v>11206</v>
      </c>
      <c r="E7486" s="13" t="s">
        <v>9839</v>
      </c>
      <c r="F7486" t="str">
        <f t="shared" si="580"/>
        <v>Cromwell</v>
      </c>
      <c r="G7486" t="str">
        <f t="shared" si="581"/>
        <v>Cromwell4850Kyle</v>
      </c>
      <c r="H7486" t="s">
        <v>38341</v>
      </c>
      <c r="I7486" t="s">
        <v>29755</v>
      </c>
      <c r="J7486" t="str">
        <f t="shared" si="582"/>
        <v>E:\PropInv\MF</v>
      </c>
      <c r="K7486" s="103" t="str">
        <f>HYPERLINK("E:\PropInv\MF\Kyle\Cromwell Dr_4850_The Overlook at Plum Creek_Kyle_18764","Cromwell Dr_4850_The Overlook at Plum Creek_Kyle_18764" )</f>
        <v>Cromwell Dr_4850_The Overlook at Plum Creek_Kyle_18764</v>
      </c>
      <c r="L7486" s="104" t="s">
        <v>22253</v>
      </c>
      <c r="M7486" s="103" t="str">
        <f t="shared" si="583"/>
        <v>http://oconnordata.com/mlink/modules/profile/index.cfm?action=profile&amp;prop_id=18764</v>
      </c>
      <c r="N7486" s="1">
        <f t="shared" si="584"/>
        <v>18764</v>
      </c>
    </row>
    <row r="7487" spans="1:14" x14ac:dyDescent="0.3">
      <c r="A7487" s="1">
        <v>18765</v>
      </c>
      <c r="B7487" s="7" t="s">
        <v>8707</v>
      </c>
      <c r="C7487" s="12">
        <v>8811</v>
      </c>
      <c r="D7487" s="7" t="s">
        <v>11207</v>
      </c>
      <c r="E7487" s="13" t="s">
        <v>1657</v>
      </c>
      <c r="F7487" t="str">
        <f t="shared" si="580"/>
        <v>Lakes</v>
      </c>
      <c r="G7487" t="str">
        <f t="shared" si="581"/>
        <v>Lakes8811Houston</v>
      </c>
      <c r="H7487" t="s">
        <v>38342</v>
      </c>
      <c r="I7487" t="s">
        <v>29756</v>
      </c>
      <c r="J7487" t="str">
        <f t="shared" si="582"/>
        <v>E:\PropInv\MF</v>
      </c>
      <c r="K7487" s="103" t="str">
        <f>HYPERLINK("E:\PropInv\MF\Houston\Lakes at 610 Dr_8811_Lakes at 610_Houston_18765","Lakes at 610 Dr_8811_Lakes at 610_Houston_18765" )</f>
        <v>Lakes at 610 Dr_8811_Lakes at 610_Houston_18765</v>
      </c>
      <c r="L7487" s="104" t="s">
        <v>22253</v>
      </c>
      <c r="M7487" s="103" t="str">
        <f t="shared" si="583"/>
        <v>http://oconnordata.com/mlink/modules/profile/index.cfm?action=profile&amp;prop_id=18765</v>
      </c>
      <c r="N7487" s="1">
        <f t="shared" si="584"/>
        <v>18765</v>
      </c>
    </row>
    <row r="7488" spans="1:14" x14ac:dyDescent="0.3">
      <c r="A7488" s="1">
        <v>18766</v>
      </c>
      <c r="B7488" s="7" t="s">
        <v>2729</v>
      </c>
      <c r="C7488" s="12">
        <v>11805</v>
      </c>
      <c r="D7488" s="7" t="s">
        <v>11208</v>
      </c>
      <c r="E7488" s="13" t="s">
        <v>1657</v>
      </c>
      <c r="F7488" t="str">
        <f t="shared" si="580"/>
        <v>Meadowglen</v>
      </c>
      <c r="G7488" t="str">
        <f t="shared" si="581"/>
        <v>Meadowglen11805Houston</v>
      </c>
      <c r="H7488" t="s">
        <v>38343</v>
      </c>
      <c r="I7488" t="s">
        <v>29757</v>
      </c>
      <c r="J7488" t="str">
        <f t="shared" si="582"/>
        <v>E:\PropInv\MF</v>
      </c>
      <c r="K7488" s="103" t="str">
        <f>HYPERLINK("E:\PropInv\MF\Houston\Meadowglen Ln_11805_Camden Royal Oaks II_Houston_18766","Meadowglen Ln_11805_Camden Royal Oaks II_Houston_18766" )</f>
        <v>Meadowglen Ln_11805_Camden Royal Oaks II_Houston_18766</v>
      </c>
      <c r="L7488" s="104" t="s">
        <v>22253</v>
      </c>
      <c r="M7488" s="103" t="str">
        <f t="shared" si="583"/>
        <v>http://oconnordata.com/mlink/modules/profile/index.cfm?action=profile&amp;prop_id=18766</v>
      </c>
      <c r="N7488" s="1">
        <f t="shared" si="584"/>
        <v>18766</v>
      </c>
    </row>
    <row r="7489" spans="1:14" x14ac:dyDescent="0.3">
      <c r="A7489" s="1">
        <v>18767</v>
      </c>
      <c r="B7489" s="7" t="s">
        <v>11209</v>
      </c>
      <c r="C7489" s="12">
        <v>4647</v>
      </c>
      <c r="D7489" s="7" t="s">
        <v>11210</v>
      </c>
      <c r="E7489" s="13" t="s">
        <v>1657</v>
      </c>
      <c r="F7489" t="str">
        <f t="shared" si="580"/>
        <v>Wenda</v>
      </c>
      <c r="G7489" t="str">
        <f t="shared" si="581"/>
        <v>Wenda4647Houston</v>
      </c>
      <c r="H7489" t="s">
        <v>38344</v>
      </c>
      <c r="I7489" t="s">
        <v>29758</v>
      </c>
      <c r="J7489" t="str">
        <f t="shared" si="582"/>
        <v>E:\PropInv\MF</v>
      </c>
      <c r="K7489" s="103" t="str">
        <f>HYPERLINK("E:\PropInv\MF\Houston\Wenda St_4647_Magnolia Place_Houston_18767","Wenda St_4647_Magnolia Place_Houston_18767" )</f>
        <v>Wenda St_4647_Magnolia Place_Houston_18767</v>
      </c>
      <c r="L7489" s="104" t="s">
        <v>22253</v>
      </c>
      <c r="M7489" s="103" t="str">
        <f t="shared" si="583"/>
        <v>http://oconnordata.com/mlink/modules/profile/index.cfm?action=profile&amp;prop_id=18767</v>
      </c>
      <c r="N7489" s="1">
        <f t="shared" si="584"/>
        <v>18767</v>
      </c>
    </row>
    <row r="7490" spans="1:14" x14ac:dyDescent="0.3">
      <c r="A7490" s="1">
        <v>18768</v>
      </c>
      <c r="B7490" s="7" t="s">
        <v>11211</v>
      </c>
      <c r="C7490" s="12">
        <v>801</v>
      </c>
      <c r="D7490" s="7" t="s">
        <v>11212</v>
      </c>
      <c r="E7490" s="13" t="s">
        <v>8612</v>
      </c>
      <c r="F7490" t="str">
        <f t="shared" ref="F7490:F7553" si="585">IFERROR(LEFT(B7490,FIND(" ",B7490)-1),B7490)</f>
        <v>Marion</v>
      </c>
      <c r="G7490" t="str">
        <f t="shared" ref="G7490:G7553" si="586">F7490&amp;C7490&amp;E7490</f>
        <v>Marion801College Station</v>
      </c>
      <c r="H7490" t="s">
        <v>38345</v>
      </c>
      <c r="I7490" t="s">
        <v>29759</v>
      </c>
      <c r="J7490" t="str">
        <f t="shared" ref="J7490:J7553" si="587">IF(L7490="TX",Folder_Path,Folder_Path&amp;"\State_"&amp;L7490)</f>
        <v>E:\PropInv\MF</v>
      </c>
      <c r="K7490" s="103" t="str">
        <f>HYPERLINK("E:\PropInv\MF\College Station\Marion Pugh Dr_801_U Club TH on Marion Pugh_College Station_18768","Marion Pugh Dr_801_U Club TH on Marion Pugh_College Station_18768" )</f>
        <v>Marion Pugh Dr_801_U Club TH on Marion Pugh_College Station_18768</v>
      </c>
      <c r="L7490" s="104" t="s">
        <v>22253</v>
      </c>
      <c r="M7490" s="103" t="str">
        <f t="shared" ref="M7490:M7553" si="588">HYPERLINK("http://oconnordata.com/mlink/modules/profile/index.cfm?action=profile&amp;prop_id="&amp;A7490)</f>
        <v>http://oconnordata.com/mlink/modules/profile/index.cfm?action=profile&amp;prop_id=18768</v>
      </c>
      <c r="N7490" s="1">
        <f t="shared" ref="N7490:N7553" si="589">IF(LEN(A7490)=1,"0000"&amp;A7490,IF(LEN(A7490)=2,"000"&amp;A7490,IF(LEN(A7490)=3,"00"&amp;A7490,IF(LEN(A7490)=4,"0"&amp;A7490,IF(LEN(A7490)=5,IF(LEFT(A7490,1)="3",A7490+30000,A7490))))))</f>
        <v>18768</v>
      </c>
    </row>
    <row r="7491" spans="1:14" x14ac:dyDescent="0.3">
      <c r="A7491" s="1">
        <v>18769</v>
      </c>
      <c r="B7491" s="7" t="s">
        <v>11213</v>
      </c>
      <c r="C7491" s="12">
        <v>2455</v>
      </c>
      <c r="D7491" s="7" t="s">
        <v>11214</v>
      </c>
      <c r="E7491" s="13" t="s">
        <v>1657</v>
      </c>
      <c r="F7491" t="str">
        <f t="shared" si="585"/>
        <v>Dunstan</v>
      </c>
      <c r="G7491" t="str">
        <f t="shared" si="586"/>
        <v>Dunstan2455Houston</v>
      </c>
      <c r="H7491" t="s">
        <v>38346</v>
      </c>
      <c r="I7491" t="s">
        <v>29760</v>
      </c>
      <c r="J7491" t="str">
        <f t="shared" si="587"/>
        <v>E:\PropInv\MF</v>
      </c>
      <c r="K7491" s="103" t="str">
        <f>HYPERLINK("E:\PropInv\MF\Houston\Dunstan Rd_2455_Ashton Rice Village_Houston_18769","Dunstan Rd_2455_Ashton Rice Village_Houston_18769" )</f>
        <v>Dunstan Rd_2455_Ashton Rice Village_Houston_18769</v>
      </c>
      <c r="L7491" s="104" t="s">
        <v>22253</v>
      </c>
      <c r="M7491" s="103" t="str">
        <f t="shared" si="588"/>
        <v>http://oconnordata.com/mlink/modules/profile/index.cfm?action=profile&amp;prop_id=18769</v>
      </c>
      <c r="N7491" s="1">
        <f t="shared" si="589"/>
        <v>18769</v>
      </c>
    </row>
    <row r="7492" spans="1:14" x14ac:dyDescent="0.3">
      <c r="A7492" s="1">
        <v>18770</v>
      </c>
      <c r="B7492" s="7" t="s">
        <v>11215</v>
      </c>
      <c r="C7492" s="12">
        <v>6303</v>
      </c>
      <c r="D7492" s="7" t="s">
        <v>11216</v>
      </c>
      <c r="E7492" s="13" t="s">
        <v>4532</v>
      </c>
      <c r="F7492" t="str">
        <f t="shared" si="585"/>
        <v>Sienna</v>
      </c>
      <c r="G7492" t="str">
        <f t="shared" si="586"/>
        <v>Sienna6303Missouri City</v>
      </c>
      <c r="H7492" t="s">
        <v>38347</v>
      </c>
      <c r="I7492" t="s">
        <v>29761</v>
      </c>
      <c r="J7492" t="str">
        <f t="shared" si="587"/>
        <v>E:\PropInv\MF</v>
      </c>
      <c r="K7492" s="103" t="str">
        <f>HYPERLINK("E:\PropInv\MF\Missouri City\Sienna Ranch Rd_6303_Watermark at Sienna Plantation_Missouri City_18770","Sienna Ranch Rd_6303_Watermark at Sienna Plantation_Missouri City_18770" )</f>
        <v>Sienna Ranch Rd_6303_Watermark at Sienna Plantation_Missouri City_18770</v>
      </c>
      <c r="L7492" s="104" t="s">
        <v>22253</v>
      </c>
      <c r="M7492" s="103" t="str">
        <f t="shared" si="588"/>
        <v>http://oconnordata.com/mlink/modules/profile/index.cfm?action=profile&amp;prop_id=18770</v>
      </c>
      <c r="N7492" s="1">
        <f t="shared" si="589"/>
        <v>18770</v>
      </c>
    </row>
    <row r="7493" spans="1:14" x14ac:dyDescent="0.3">
      <c r="A7493" s="1">
        <v>18771</v>
      </c>
      <c r="B7493" s="7" t="s">
        <v>11217</v>
      </c>
      <c r="C7493" s="12">
        <v>2515</v>
      </c>
      <c r="D7493" s="7" t="s">
        <v>11218</v>
      </c>
      <c r="E7493" s="13" t="s">
        <v>5046</v>
      </c>
      <c r="F7493" t="str">
        <f t="shared" si="585"/>
        <v>Hardrock</v>
      </c>
      <c r="G7493" t="str">
        <f t="shared" si="586"/>
        <v>Hardrock2515Irving</v>
      </c>
      <c r="H7493" t="s">
        <v>38348</v>
      </c>
      <c r="I7493" t="s">
        <v>29762</v>
      </c>
      <c r="J7493" t="str">
        <f t="shared" si="587"/>
        <v>E:\PropInv\MF</v>
      </c>
      <c r="K7493" s="103" t="str">
        <f>HYPERLINK("E:\PropInv\MF\Irving\Hardrock Rd_2515_Chateau at Wildbriar Lake_Irving_18771","Hardrock Rd_2515_Chateau at Wildbriar Lake_Irving_18771" )</f>
        <v>Hardrock Rd_2515_Chateau at Wildbriar Lake_Irving_18771</v>
      </c>
      <c r="L7493" s="104" t="s">
        <v>22253</v>
      </c>
      <c r="M7493" s="103" t="str">
        <f t="shared" si="588"/>
        <v>http://oconnordata.com/mlink/modules/profile/index.cfm?action=profile&amp;prop_id=18771</v>
      </c>
      <c r="N7493" s="1">
        <f t="shared" si="589"/>
        <v>18771</v>
      </c>
    </row>
    <row r="7494" spans="1:14" x14ac:dyDescent="0.3">
      <c r="A7494" s="1">
        <v>18772</v>
      </c>
      <c r="B7494" s="7" t="s">
        <v>11219</v>
      </c>
      <c r="C7494" s="12">
        <v>8625</v>
      </c>
      <c r="D7494" s="7" t="s">
        <v>11220</v>
      </c>
      <c r="E7494" s="13" t="s">
        <v>5488</v>
      </c>
      <c r="F7494" t="str">
        <f t="shared" si="585"/>
        <v>Hickory</v>
      </c>
      <c r="G7494" t="str">
        <f t="shared" si="586"/>
        <v>Hickory8625Frisco</v>
      </c>
      <c r="H7494" t="s">
        <v>38349</v>
      </c>
      <c r="I7494" t="s">
        <v>29763</v>
      </c>
      <c r="J7494" t="str">
        <f t="shared" si="587"/>
        <v>E:\PropInv\MF</v>
      </c>
      <c r="K7494" s="103" t="str">
        <f>HYPERLINK("E:\PropInv\MF\Frisco\Hickory St_8625_Old Hickory Square at Frisco_Frisco_18772","Hickory St_8625_Old Hickory Square at Frisco_Frisco_18772" )</f>
        <v>Hickory St_8625_Old Hickory Square at Frisco_Frisco_18772</v>
      </c>
      <c r="L7494" s="104" t="s">
        <v>22253</v>
      </c>
      <c r="M7494" s="103" t="str">
        <f t="shared" si="588"/>
        <v>http://oconnordata.com/mlink/modules/profile/index.cfm?action=profile&amp;prop_id=18772</v>
      </c>
      <c r="N7494" s="1">
        <f t="shared" si="589"/>
        <v>18772</v>
      </c>
    </row>
    <row r="7495" spans="1:14" x14ac:dyDescent="0.3">
      <c r="A7495" s="97">
        <v>18773</v>
      </c>
      <c r="B7495" s="7" t="s">
        <v>11221</v>
      </c>
      <c r="C7495" s="12" t="s">
        <v>2497</v>
      </c>
      <c r="D7495" s="7" t="s">
        <v>11222</v>
      </c>
      <c r="E7495" s="25" t="s">
        <v>4996</v>
      </c>
      <c r="F7495" t="str">
        <f t="shared" si="585"/>
        <v>Wonderview</v>
      </c>
      <c r="G7495" t="str">
        <f t="shared" si="586"/>
        <v>WonderviewNFDallas</v>
      </c>
      <c r="H7495" t="s">
        <v>38350</v>
      </c>
      <c r="I7495" t="s">
        <v>29764</v>
      </c>
      <c r="J7495" t="str">
        <f t="shared" si="587"/>
        <v>E:\PropInv\MF</v>
      </c>
      <c r="K7495" s="103" t="str">
        <f>HYPERLINK("E:\PropInv\MF\Dallas\Wonderview Ln_NF_Wonderview Senior Apts_Dallas_18773","Wonderview Ln_NF_Wonderview Senior Apts_Dallas_18773" )</f>
        <v>Wonderview Ln_NF_Wonderview Senior Apts_Dallas_18773</v>
      </c>
      <c r="L7495" s="104" t="s">
        <v>22253</v>
      </c>
      <c r="M7495" s="103" t="str">
        <f t="shared" si="588"/>
        <v>http://oconnordata.com/mlink/modules/profile/index.cfm?action=profile&amp;prop_id=18773</v>
      </c>
      <c r="N7495" s="1">
        <f t="shared" si="589"/>
        <v>18773</v>
      </c>
    </row>
    <row r="7496" spans="1:14" x14ac:dyDescent="0.3">
      <c r="A7496" s="1">
        <v>18774</v>
      </c>
      <c r="B7496" s="7" t="s">
        <v>11223</v>
      </c>
      <c r="C7496" s="12">
        <v>214</v>
      </c>
      <c r="D7496" s="7" t="s">
        <v>11224</v>
      </c>
      <c r="E7496" s="13" t="s">
        <v>5097</v>
      </c>
      <c r="F7496" t="str">
        <f t="shared" si="585"/>
        <v>Bell</v>
      </c>
      <c r="G7496" t="str">
        <f t="shared" si="586"/>
        <v>Bell214Denton</v>
      </c>
      <c r="H7496" t="s">
        <v>38351</v>
      </c>
      <c r="I7496" t="s">
        <v>29765</v>
      </c>
      <c r="J7496" t="str">
        <f t="shared" si="587"/>
        <v>E:\PropInv\MF</v>
      </c>
      <c r="K7496" s="103" t="str">
        <f>HYPERLINK("E:\PropInv\MF\Denton\Bell Ave S_214_Victoria Station_Denton_18774","Bell Ave S_214_Victoria Station_Denton_18774" )</f>
        <v>Bell Ave S_214_Victoria Station_Denton_18774</v>
      </c>
      <c r="L7496" s="104" t="s">
        <v>22253</v>
      </c>
      <c r="M7496" s="103" t="str">
        <f t="shared" si="588"/>
        <v>http://oconnordata.com/mlink/modules/profile/index.cfm?action=profile&amp;prop_id=18774</v>
      </c>
      <c r="N7496" s="1">
        <f t="shared" si="589"/>
        <v>18774</v>
      </c>
    </row>
    <row r="7497" spans="1:14" x14ac:dyDescent="0.3">
      <c r="A7497" s="1">
        <v>18775</v>
      </c>
      <c r="B7497" s="7" t="s">
        <v>11225</v>
      </c>
      <c r="C7497" s="12">
        <v>8711</v>
      </c>
      <c r="D7497" s="7" t="s">
        <v>11226</v>
      </c>
      <c r="E7497" s="13" t="s">
        <v>842</v>
      </c>
      <c r="F7497" t="str">
        <f t="shared" si="585"/>
        <v>Bowens</v>
      </c>
      <c r="G7497" t="str">
        <f t="shared" si="586"/>
        <v>Bowens8711San Antonio</v>
      </c>
      <c r="H7497" t="s">
        <v>38352</v>
      </c>
      <c r="I7497" t="s">
        <v>29766</v>
      </c>
      <c r="J7497" t="str">
        <f t="shared" si="587"/>
        <v>E:\PropInv\MF</v>
      </c>
      <c r="K7497" s="103" t="str">
        <f>HYPERLINK("E:\PropInv\MF\San Antonio\Bowens Crossing St_8711_The Villages at Bowens Crossing_San Antonio_18775","Bowens Crossing St_8711_The Villages at Bowens Crossing_San Antonio_18775" )</f>
        <v>Bowens Crossing St_8711_The Villages at Bowens Crossing_San Antonio_18775</v>
      </c>
      <c r="L7497" s="104" t="s">
        <v>22253</v>
      </c>
      <c r="M7497" s="103" t="str">
        <f t="shared" si="588"/>
        <v>http://oconnordata.com/mlink/modules/profile/index.cfm?action=profile&amp;prop_id=18775</v>
      </c>
      <c r="N7497" s="1">
        <f t="shared" si="589"/>
        <v>18775</v>
      </c>
    </row>
    <row r="7498" spans="1:14" x14ac:dyDescent="0.3">
      <c r="A7498" s="1">
        <v>18776</v>
      </c>
      <c r="B7498" s="7" t="s">
        <v>11227</v>
      </c>
      <c r="C7498" s="12">
        <v>7027</v>
      </c>
      <c r="D7498" s="7" t="s">
        <v>11228</v>
      </c>
      <c r="E7498" s="13" t="s">
        <v>842</v>
      </c>
      <c r="F7498" t="str">
        <f t="shared" si="585"/>
        <v>Woodlake</v>
      </c>
      <c r="G7498" t="str">
        <f t="shared" si="586"/>
        <v>Woodlake7027San Antonio</v>
      </c>
      <c r="H7498" t="s">
        <v>38353</v>
      </c>
      <c r="I7498" t="s">
        <v>29767</v>
      </c>
      <c r="J7498" t="str">
        <f t="shared" si="587"/>
        <v>E:\PropInv\MF</v>
      </c>
      <c r="K7498" s="103" t="str">
        <f>HYPERLINK("E:\PropInv\MF\San Antonio\Woodlake Pkwy (78 FM)_7027_Republic Woodlake_San Antonio_18776","Woodlake Pkwy (78 FM)_7027_Republic Woodlake_San Antonio_18776" )</f>
        <v>Woodlake Pkwy (78 FM)_7027_Republic Woodlake_San Antonio_18776</v>
      </c>
      <c r="L7498" s="104" t="s">
        <v>22253</v>
      </c>
      <c r="M7498" s="103" t="str">
        <f t="shared" si="588"/>
        <v>http://oconnordata.com/mlink/modules/profile/index.cfm?action=profile&amp;prop_id=18776</v>
      </c>
      <c r="N7498" s="1">
        <f t="shared" si="589"/>
        <v>18776</v>
      </c>
    </row>
    <row r="7499" spans="1:14" x14ac:dyDescent="0.3">
      <c r="A7499" s="1">
        <v>18777</v>
      </c>
      <c r="B7499" s="7" t="s">
        <v>11229</v>
      </c>
      <c r="C7499" s="12">
        <v>12800</v>
      </c>
      <c r="D7499" s="7" t="s">
        <v>11230</v>
      </c>
      <c r="E7499" s="13" t="s">
        <v>7</v>
      </c>
      <c r="F7499" t="str">
        <f t="shared" si="585"/>
        <v>Turtle</v>
      </c>
      <c r="G7499" t="str">
        <f t="shared" si="586"/>
        <v>Turtle12800Austin</v>
      </c>
      <c r="H7499" t="s">
        <v>38354</v>
      </c>
      <c r="I7499" t="s">
        <v>29768</v>
      </c>
      <c r="J7499" t="str">
        <f t="shared" si="587"/>
        <v>E:\PropInv\MF</v>
      </c>
      <c r="K7499" s="103" t="str">
        <f>HYPERLINK("E:\PropInv\MF\Austin\Turtle Rock Rd_12800_Villages at Turtle Rock_Austin_18777","Turtle Rock Rd_12800_Villages at Turtle Rock_Austin_18777" )</f>
        <v>Turtle Rock Rd_12800_Villages at Turtle Rock_Austin_18777</v>
      </c>
      <c r="L7499" s="104" t="s">
        <v>22253</v>
      </c>
      <c r="M7499" s="103" t="str">
        <f t="shared" si="588"/>
        <v>http://oconnordata.com/mlink/modules/profile/index.cfm?action=profile&amp;prop_id=18777</v>
      </c>
      <c r="N7499" s="1">
        <f t="shared" si="589"/>
        <v>18777</v>
      </c>
    </row>
    <row r="7500" spans="1:14" x14ac:dyDescent="0.3">
      <c r="A7500" s="1">
        <v>18778</v>
      </c>
      <c r="B7500" s="10" t="s">
        <v>11231</v>
      </c>
      <c r="C7500" s="9">
        <v>5740</v>
      </c>
      <c r="D7500" s="10" t="s">
        <v>11232</v>
      </c>
      <c r="E7500" s="11" t="s">
        <v>1657</v>
      </c>
      <c r="F7500" t="str">
        <f t="shared" si="585"/>
        <v>San</v>
      </c>
      <c r="G7500" t="str">
        <f t="shared" si="586"/>
        <v>San5740Houston</v>
      </c>
      <c r="H7500" t="s">
        <v>38355</v>
      </c>
      <c r="I7500" t="s">
        <v>29769</v>
      </c>
      <c r="J7500" t="str">
        <f t="shared" si="587"/>
        <v>E:\PropInv\MF</v>
      </c>
      <c r="K7500" s="103" t="str">
        <f>HYPERLINK("E:\PropInv\MF\Houston\San Felipe St_5740_Gables Tanglewood_Houston_18778","San Felipe St_5740_Gables Tanglewood_Houston_18778" )</f>
        <v>San Felipe St_5740_Gables Tanglewood_Houston_18778</v>
      </c>
      <c r="L7500" s="104" t="s">
        <v>22253</v>
      </c>
      <c r="M7500" s="103" t="str">
        <f t="shared" si="588"/>
        <v>http://oconnordata.com/mlink/modules/profile/index.cfm?action=profile&amp;prop_id=18778</v>
      </c>
      <c r="N7500" s="1">
        <f t="shared" si="589"/>
        <v>18778</v>
      </c>
    </row>
    <row r="7501" spans="1:14" x14ac:dyDescent="0.3">
      <c r="A7501" s="1">
        <v>18779</v>
      </c>
      <c r="B7501" s="7" t="s">
        <v>6770</v>
      </c>
      <c r="C7501" s="12">
        <v>100</v>
      </c>
      <c r="D7501" s="7" t="s">
        <v>11233</v>
      </c>
      <c r="E7501" s="13" t="s">
        <v>4428</v>
      </c>
      <c r="F7501" t="str">
        <f t="shared" si="585"/>
        <v>Park</v>
      </c>
      <c r="G7501" t="str">
        <f t="shared" si="586"/>
        <v>Park100Rosenberg</v>
      </c>
      <c r="H7501" t="s">
        <v>38356</v>
      </c>
      <c r="I7501" t="s">
        <v>29770</v>
      </c>
      <c r="J7501" t="str">
        <f t="shared" si="587"/>
        <v>E:\PropInv\MF</v>
      </c>
      <c r="K7501" s="103" t="str">
        <f>HYPERLINK("E:\PropInv\MF\Rosenberg\Park Place Blvd_100_Waterford at Summer Park_Rosenberg_18779","Park Place Blvd_100_Waterford at Summer Park_Rosenberg_18779" )</f>
        <v>Park Place Blvd_100_Waterford at Summer Park_Rosenberg_18779</v>
      </c>
      <c r="L7501" s="104" t="s">
        <v>22253</v>
      </c>
      <c r="M7501" s="103" t="str">
        <f t="shared" si="588"/>
        <v>http://oconnordata.com/mlink/modules/profile/index.cfm?action=profile&amp;prop_id=18779</v>
      </c>
      <c r="N7501" s="1">
        <f t="shared" si="589"/>
        <v>18779</v>
      </c>
    </row>
    <row r="7502" spans="1:14" x14ac:dyDescent="0.3">
      <c r="A7502" s="1">
        <v>18780</v>
      </c>
      <c r="B7502" s="7" t="s">
        <v>11234</v>
      </c>
      <c r="C7502" s="12" t="s">
        <v>2497</v>
      </c>
      <c r="D7502" s="7" t="s">
        <v>11235</v>
      </c>
      <c r="E7502" s="25" t="s">
        <v>4996</v>
      </c>
      <c r="F7502" t="str">
        <f t="shared" si="585"/>
        <v>Oak</v>
      </c>
      <c r="G7502" t="str">
        <f t="shared" si="586"/>
        <v>OakNFDallas</v>
      </c>
      <c r="H7502" t="s">
        <v>38357</v>
      </c>
      <c r="I7502" t="s">
        <v>29771</v>
      </c>
      <c r="J7502" t="str">
        <f t="shared" si="587"/>
        <v>E:\PropInv\MF</v>
      </c>
      <c r="K7502" s="103" t="str">
        <f>HYPERLINK("E:\PropInv\MF\Dallas\Oak Grove Ave_NF_Uptown Lemmon Avenue_Dallas_18780","Oak Grove Ave_NF_Uptown Lemmon Avenue_Dallas_18780" )</f>
        <v>Oak Grove Ave_NF_Uptown Lemmon Avenue_Dallas_18780</v>
      </c>
      <c r="L7502" s="104" t="s">
        <v>22253</v>
      </c>
      <c r="M7502" s="103" t="str">
        <f t="shared" si="588"/>
        <v>http://oconnordata.com/mlink/modules/profile/index.cfm?action=profile&amp;prop_id=18780</v>
      </c>
      <c r="N7502" s="1">
        <f t="shared" si="589"/>
        <v>18780</v>
      </c>
    </row>
    <row r="7503" spans="1:14" x14ac:dyDescent="0.3">
      <c r="A7503" s="1">
        <v>18781</v>
      </c>
      <c r="B7503" s="7" t="s">
        <v>11236</v>
      </c>
      <c r="C7503" s="12" t="s">
        <v>2497</v>
      </c>
      <c r="D7503" s="7" t="s">
        <v>11237</v>
      </c>
      <c r="E7503" s="25" t="s">
        <v>7</v>
      </c>
      <c r="F7503" t="str">
        <f t="shared" si="585"/>
        <v>Arena</v>
      </c>
      <c r="G7503" t="str">
        <f t="shared" si="586"/>
        <v>ArenaNFAustin</v>
      </c>
      <c r="H7503" t="s">
        <v>38358</v>
      </c>
      <c r="I7503" t="s">
        <v>29772</v>
      </c>
      <c r="J7503" t="str">
        <f t="shared" si="587"/>
        <v>E:\PropInv\MF</v>
      </c>
      <c r="K7503" s="103" t="str">
        <f>HYPERLINK("E:\PropInv\MF\Austin\Arena Dr_NF_South Shore-Town Lake 1B_Austin_18781","Arena Dr_NF_South Shore-Town Lake 1B_Austin_18781" )</f>
        <v>Arena Dr_NF_South Shore-Town Lake 1B_Austin_18781</v>
      </c>
      <c r="L7503" s="104" t="s">
        <v>22253</v>
      </c>
      <c r="M7503" s="103" t="str">
        <f t="shared" si="588"/>
        <v>http://oconnordata.com/mlink/modules/profile/index.cfm?action=profile&amp;prop_id=18781</v>
      </c>
      <c r="N7503" s="1">
        <f t="shared" si="589"/>
        <v>18781</v>
      </c>
    </row>
    <row r="7504" spans="1:14" x14ac:dyDescent="0.3">
      <c r="A7504" s="1">
        <v>18782</v>
      </c>
      <c r="B7504" s="7" t="s">
        <v>11238</v>
      </c>
      <c r="C7504" s="12">
        <v>510</v>
      </c>
      <c r="D7504" s="7" t="s">
        <v>11239</v>
      </c>
      <c r="E7504" s="13" t="s">
        <v>2609</v>
      </c>
      <c r="F7504" t="str">
        <f t="shared" si="585"/>
        <v>Williams</v>
      </c>
      <c r="G7504" t="str">
        <f t="shared" si="586"/>
        <v>Williams510Baytown</v>
      </c>
      <c r="H7504" t="s">
        <v>38359</v>
      </c>
      <c r="I7504" t="s">
        <v>29773</v>
      </c>
      <c r="J7504" t="str">
        <f t="shared" si="587"/>
        <v>E:\PropInv\MF</v>
      </c>
      <c r="K7504" s="103" t="str">
        <f>HYPERLINK("E:\PropInv\MF\Baytown\Williams_510_Bluebird_Baytown_18782","Williams_510_Bluebird_Baytown_18782" )</f>
        <v>Williams_510_Bluebird_Baytown_18782</v>
      </c>
      <c r="L7504" s="104" t="s">
        <v>22253</v>
      </c>
      <c r="M7504" s="103" t="str">
        <f t="shared" si="588"/>
        <v>http://oconnordata.com/mlink/modules/profile/index.cfm?action=profile&amp;prop_id=18782</v>
      </c>
      <c r="N7504" s="1">
        <f t="shared" si="589"/>
        <v>18782</v>
      </c>
    </row>
    <row r="7505" spans="1:14" x14ac:dyDescent="0.3">
      <c r="A7505" s="1">
        <v>18783</v>
      </c>
      <c r="B7505" s="7" t="s">
        <v>11240</v>
      </c>
      <c r="C7505" s="12">
        <v>2101</v>
      </c>
      <c r="D7505" s="7" t="s">
        <v>11241</v>
      </c>
      <c r="E7505" s="13" t="s">
        <v>4565</v>
      </c>
      <c r="F7505" t="str">
        <f t="shared" si="585"/>
        <v>Church</v>
      </c>
      <c r="G7505" t="str">
        <f t="shared" si="586"/>
        <v>Church2101Galveston</v>
      </c>
      <c r="H7505" t="s">
        <v>38360</v>
      </c>
      <c r="I7505" t="s">
        <v>29774</v>
      </c>
      <c r="J7505" t="str">
        <f t="shared" si="587"/>
        <v>E:\PropInv\MF</v>
      </c>
      <c r="K7505" s="103" t="str">
        <f>HYPERLINK("E:\PropInv\MF\Galveston\Church St_2101_2101 Church Street Apts_Galveston_18783","Church St_2101_2101 Church Street Apts_Galveston_18783" )</f>
        <v>Church St_2101_2101 Church Street Apts_Galveston_18783</v>
      </c>
      <c r="L7505" s="104" t="s">
        <v>22253</v>
      </c>
      <c r="M7505" s="103" t="str">
        <f t="shared" si="588"/>
        <v>http://oconnordata.com/mlink/modules/profile/index.cfm?action=profile&amp;prop_id=18783</v>
      </c>
      <c r="N7505" s="1">
        <f t="shared" si="589"/>
        <v>18783</v>
      </c>
    </row>
    <row r="7506" spans="1:14" x14ac:dyDescent="0.3">
      <c r="A7506" s="1">
        <v>18784</v>
      </c>
      <c r="B7506" s="7" t="s">
        <v>9690</v>
      </c>
      <c r="C7506" s="12">
        <v>47</v>
      </c>
      <c r="D7506" s="7" t="s">
        <v>11242</v>
      </c>
      <c r="E7506" s="13" t="s">
        <v>7</v>
      </c>
      <c r="F7506" t="str">
        <f t="shared" si="585"/>
        <v>Rainey</v>
      </c>
      <c r="G7506" t="str">
        <f t="shared" si="586"/>
        <v>Rainey47Austin</v>
      </c>
      <c r="H7506" t="s">
        <v>38361</v>
      </c>
      <c r="I7506" t="s">
        <v>29775</v>
      </c>
      <c r="J7506" t="str">
        <f t="shared" si="587"/>
        <v>E:\PropInv\MF</v>
      </c>
      <c r="K7506" s="103" t="str">
        <f>HYPERLINK("E:\PropInv\MF\Austin\Rainey St_47_SkyHouse Austin_Austin_18784","Rainey St_47_SkyHouse Austin_Austin_18784" )</f>
        <v>Rainey St_47_SkyHouse Austin_Austin_18784</v>
      </c>
      <c r="L7506" s="104" t="s">
        <v>22253</v>
      </c>
      <c r="M7506" s="103" t="str">
        <f t="shared" si="588"/>
        <v>http://oconnordata.com/mlink/modules/profile/index.cfm?action=profile&amp;prop_id=18784</v>
      </c>
      <c r="N7506" s="1">
        <f t="shared" si="589"/>
        <v>18784</v>
      </c>
    </row>
    <row r="7507" spans="1:14" x14ac:dyDescent="0.3">
      <c r="A7507" s="1">
        <v>18785</v>
      </c>
      <c r="B7507" s="7" t="s">
        <v>7913</v>
      </c>
      <c r="C7507" s="12">
        <v>3610</v>
      </c>
      <c r="D7507" s="7" t="s">
        <v>11243</v>
      </c>
      <c r="E7507" s="13" t="s">
        <v>10475</v>
      </c>
      <c r="F7507" t="str">
        <f t="shared" si="585"/>
        <v>Main</v>
      </c>
      <c r="G7507" t="str">
        <f t="shared" si="586"/>
        <v>Main3610Taylor</v>
      </c>
      <c r="H7507" t="s">
        <v>38362</v>
      </c>
      <c r="I7507" t="s">
        <v>29776</v>
      </c>
      <c r="J7507" t="str">
        <f t="shared" si="587"/>
        <v>E:\PropInv\MF</v>
      </c>
      <c r="K7507" s="103" t="str">
        <f>HYPERLINK("E:\PropInv\MF\Taylor\Main St N_3610_Main Street Commons_Taylor_18785","Main St N_3610_Main Street Commons_Taylor_18785" )</f>
        <v>Main St N_3610_Main Street Commons_Taylor_18785</v>
      </c>
      <c r="L7507" s="104" t="s">
        <v>22253</v>
      </c>
      <c r="M7507" s="103" t="str">
        <f t="shared" si="588"/>
        <v>http://oconnordata.com/mlink/modules/profile/index.cfm?action=profile&amp;prop_id=18785</v>
      </c>
      <c r="N7507" s="1">
        <f t="shared" si="589"/>
        <v>18785</v>
      </c>
    </row>
    <row r="7508" spans="1:14" x14ac:dyDescent="0.3">
      <c r="A7508" s="1">
        <v>18786</v>
      </c>
      <c r="B7508" s="7" t="s">
        <v>4853</v>
      </c>
      <c r="C7508" s="12">
        <v>2411</v>
      </c>
      <c r="D7508" s="7" t="s">
        <v>11244</v>
      </c>
      <c r="E7508" s="13" t="s">
        <v>1657</v>
      </c>
      <c r="F7508" t="str">
        <f t="shared" si="585"/>
        <v>Washington</v>
      </c>
      <c r="G7508" t="str">
        <f t="shared" si="586"/>
        <v>Washington2411Houston</v>
      </c>
      <c r="H7508" t="s">
        <v>38363</v>
      </c>
      <c r="I7508" t="s">
        <v>29777</v>
      </c>
      <c r="J7508" t="str">
        <f t="shared" si="587"/>
        <v>E:\PropInv\MF</v>
      </c>
      <c r="K7508" s="103" t="str">
        <f>HYPERLINK("E:\PropInv\MF\Houston\Washington Ave_2411_24Eleven Washington_Houston_18786","Washington Ave_2411_24Eleven Washington_Houston_18786" )</f>
        <v>Washington Ave_2411_24Eleven Washington_Houston_18786</v>
      </c>
      <c r="L7508" s="104" t="s">
        <v>22253</v>
      </c>
      <c r="M7508" s="103" t="str">
        <f t="shared" si="588"/>
        <v>http://oconnordata.com/mlink/modules/profile/index.cfm?action=profile&amp;prop_id=18786</v>
      </c>
      <c r="N7508" s="1">
        <f t="shared" si="589"/>
        <v>18786</v>
      </c>
    </row>
    <row r="7509" spans="1:14" x14ac:dyDescent="0.3">
      <c r="A7509" s="1">
        <v>18787</v>
      </c>
      <c r="B7509" s="7" t="s">
        <v>6665</v>
      </c>
      <c r="C7509" s="12">
        <v>3225</v>
      </c>
      <c r="D7509" s="7" t="s">
        <v>11245</v>
      </c>
      <c r="E7509" s="13" t="s">
        <v>6578</v>
      </c>
      <c r="F7509" t="str">
        <f t="shared" si="585"/>
        <v>Grapevine</v>
      </c>
      <c r="G7509" t="str">
        <f t="shared" si="586"/>
        <v>Grapevine3225Grapevine</v>
      </c>
      <c r="H7509" t="s">
        <v>38364</v>
      </c>
      <c r="I7509" t="s">
        <v>29778</v>
      </c>
      <c r="J7509" t="str">
        <f t="shared" si="587"/>
        <v>E:\PropInv\MF</v>
      </c>
      <c r="K7509" s="103" t="str">
        <f>HYPERLINK("E:\PropInv\MF\Grapevine\Grapevine Mills Blvd N_3225_Terrawood_Grapevine_18787","Grapevine Mills Blvd N_3225_Terrawood_Grapevine_18787" )</f>
        <v>Grapevine Mills Blvd N_3225_Terrawood_Grapevine_18787</v>
      </c>
      <c r="L7509" s="104" t="s">
        <v>22253</v>
      </c>
      <c r="M7509" s="103" t="str">
        <f t="shared" si="588"/>
        <v>http://oconnordata.com/mlink/modules/profile/index.cfm?action=profile&amp;prop_id=18787</v>
      </c>
      <c r="N7509" s="1">
        <f t="shared" si="589"/>
        <v>18787</v>
      </c>
    </row>
    <row r="7510" spans="1:14" x14ac:dyDescent="0.3">
      <c r="A7510" s="1">
        <v>18788</v>
      </c>
      <c r="B7510" s="7" t="s">
        <v>11246</v>
      </c>
      <c r="C7510" s="12">
        <v>1480</v>
      </c>
      <c r="D7510" s="7" t="s">
        <v>11247</v>
      </c>
      <c r="E7510" s="25" t="s">
        <v>10104</v>
      </c>
      <c r="F7510" t="str">
        <f t="shared" si="585"/>
        <v>Cabelas</v>
      </c>
      <c r="G7510" t="str">
        <f t="shared" si="586"/>
        <v>Cabelas1480Buda</v>
      </c>
      <c r="H7510" t="s">
        <v>38365</v>
      </c>
      <c r="I7510" t="s">
        <v>29779</v>
      </c>
      <c r="J7510" t="str">
        <f t="shared" si="587"/>
        <v>E:\PropInv\MF</v>
      </c>
      <c r="K7510" s="103" t="str">
        <f>HYPERLINK("E:\PropInv\MF\Buda\Cabelas Dr_1480_Silverado Crossing_Buda_18788","Cabelas Dr_1480_Silverado Crossing_Buda_18788" )</f>
        <v>Cabelas Dr_1480_Silverado Crossing_Buda_18788</v>
      </c>
      <c r="L7510" s="104" t="s">
        <v>22253</v>
      </c>
      <c r="M7510" s="103" t="str">
        <f t="shared" si="588"/>
        <v>http://oconnordata.com/mlink/modules/profile/index.cfm?action=profile&amp;prop_id=18788</v>
      </c>
      <c r="N7510" s="1">
        <f t="shared" si="589"/>
        <v>18788</v>
      </c>
    </row>
    <row r="7511" spans="1:14" x14ac:dyDescent="0.3">
      <c r="A7511" s="1">
        <v>18789</v>
      </c>
      <c r="B7511" s="7" t="s">
        <v>4510</v>
      </c>
      <c r="C7511" s="12" t="s">
        <v>2497</v>
      </c>
      <c r="D7511" s="7" t="s">
        <v>11248</v>
      </c>
      <c r="E7511" s="25" t="s">
        <v>4428</v>
      </c>
      <c r="F7511" t="str">
        <f t="shared" si="585"/>
        <v>Reading</v>
      </c>
      <c r="G7511" t="str">
        <f t="shared" si="586"/>
        <v>ReadingNFRosenberg</v>
      </c>
      <c r="H7511" t="s">
        <v>38366</v>
      </c>
      <c r="I7511" t="s">
        <v>29780</v>
      </c>
      <c r="J7511" t="str">
        <f t="shared" si="587"/>
        <v>E:\PropInv\MF</v>
      </c>
      <c r="K7511" s="103" t="str">
        <f>HYPERLINK("E:\PropInv\MF\Rosenberg\Reading Rd_NF_Brazos Senior Village_Rosenberg_18789","Reading Rd_NF_Brazos Senior Village_Rosenberg_18789" )</f>
        <v>Reading Rd_NF_Brazos Senior Village_Rosenberg_18789</v>
      </c>
      <c r="L7511" s="104" t="s">
        <v>22253</v>
      </c>
      <c r="M7511" s="103" t="str">
        <f t="shared" si="588"/>
        <v>http://oconnordata.com/mlink/modules/profile/index.cfm?action=profile&amp;prop_id=18789</v>
      </c>
      <c r="N7511" s="1">
        <f t="shared" si="589"/>
        <v>18789</v>
      </c>
    </row>
    <row r="7512" spans="1:14" x14ac:dyDescent="0.3">
      <c r="A7512" s="1">
        <v>18790</v>
      </c>
      <c r="B7512" s="7" t="s">
        <v>11249</v>
      </c>
      <c r="C7512" s="12">
        <v>1580</v>
      </c>
      <c r="D7512" s="7" t="s">
        <v>11250</v>
      </c>
      <c r="E7512" s="13" t="s">
        <v>1657</v>
      </c>
      <c r="F7512" t="str">
        <f t="shared" si="585"/>
        <v>Greensmark</v>
      </c>
      <c r="G7512" t="str">
        <f t="shared" si="586"/>
        <v>Greensmark1580Houston</v>
      </c>
      <c r="H7512" t="s">
        <v>38367</v>
      </c>
      <c r="I7512" t="s">
        <v>29781</v>
      </c>
      <c r="J7512" t="str">
        <f t="shared" si="587"/>
        <v>E:\PropInv\MF</v>
      </c>
      <c r="K7512" s="103" t="str">
        <f>HYPERLINK("E:\PropInv\MF\Houston\Greensmark_1580_Faith Village_Houston_18790","Greensmark_1580_Faith Village_Houston_18790" )</f>
        <v>Greensmark_1580_Faith Village_Houston_18790</v>
      </c>
      <c r="L7512" s="104" t="s">
        <v>22253</v>
      </c>
      <c r="M7512" s="103" t="str">
        <f t="shared" si="588"/>
        <v>http://oconnordata.com/mlink/modules/profile/index.cfm?action=profile&amp;prop_id=18790</v>
      </c>
      <c r="N7512" s="1">
        <f t="shared" si="589"/>
        <v>18790</v>
      </c>
    </row>
    <row r="7513" spans="1:14" x14ac:dyDescent="0.3">
      <c r="A7513" s="1">
        <v>18791</v>
      </c>
      <c r="B7513" s="7" t="s">
        <v>5068</v>
      </c>
      <c r="C7513" s="12">
        <v>3535</v>
      </c>
      <c r="D7513" s="7" t="s">
        <v>11251</v>
      </c>
      <c r="E7513" s="13" t="s">
        <v>4996</v>
      </c>
      <c r="F7513" t="str">
        <f t="shared" si="585"/>
        <v>Hall</v>
      </c>
      <c r="G7513" t="str">
        <f t="shared" si="586"/>
        <v>Hall3535Dallas</v>
      </c>
      <c r="H7513" t="s">
        <v>38368</v>
      </c>
      <c r="I7513" t="s">
        <v>29782</v>
      </c>
      <c r="J7513" t="str">
        <f t="shared" si="587"/>
        <v>E:\PropInv\MF</v>
      </c>
      <c r="K7513" s="103" t="str">
        <f>HYPERLINK("E:\PropInv\MF\Dallas\Hall St N_3535_Belmont Village Turtle Creek_Dallas_18791","Hall St N_3535_Belmont Village Turtle Creek_Dallas_18791" )</f>
        <v>Hall St N_3535_Belmont Village Turtle Creek_Dallas_18791</v>
      </c>
      <c r="L7513" s="104" t="s">
        <v>22253</v>
      </c>
      <c r="M7513" s="103" t="str">
        <f t="shared" si="588"/>
        <v>http://oconnordata.com/mlink/modules/profile/index.cfm?action=profile&amp;prop_id=18791</v>
      </c>
      <c r="N7513" s="1">
        <f t="shared" si="589"/>
        <v>18791</v>
      </c>
    </row>
    <row r="7514" spans="1:14" x14ac:dyDescent="0.3">
      <c r="A7514" s="1">
        <v>18792</v>
      </c>
      <c r="B7514" s="7" t="s">
        <v>8742</v>
      </c>
      <c r="C7514" s="12">
        <v>1836</v>
      </c>
      <c r="D7514" s="7" t="s">
        <v>11252</v>
      </c>
      <c r="E7514" s="13" t="s">
        <v>4996</v>
      </c>
      <c r="F7514" t="str">
        <f t="shared" si="585"/>
        <v>Davis</v>
      </c>
      <c r="G7514" t="str">
        <f t="shared" si="586"/>
        <v>Davis1836Dallas</v>
      </c>
      <c r="H7514" t="s">
        <v>38369</v>
      </c>
      <c r="I7514" t="s">
        <v>29783</v>
      </c>
      <c r="J7514" t="str">
        <f t="shared" si="587"/>
        <v>E:\PropInv\MF</v>
      </c>
      <c r="K7514" s="103" t="str">
        <f>HYPERLINK("E:\PropInv\MF\Dallas\Davis St W_1836_Alta West Davis_Dallas_18792","Davis St W_1836_Alta West Davis_Dallas_18792" )</f>
        <v>Davis St W_1836_Alta West Davis_Dallas_18792</v>
      </c>
      <c r="L7514" s="104" t="s">
        <v>22253</v>
      </c>
      <c r="M7514" s="103" t="str">
        <f t="shared" si="588"/>
        <v>http://oconnordata.com/mlink/modules/profile/index.cfm?action=profile&amp;prop_id=18792</v>
      </c>
      <c r="N7514" s="1">
        <f t="shared" si="589"/>
        <v>18792</v>
      </c>
    </row>
    <row r="7515" spans="1:14" x14ac:dyDescent="0.3">
      <c r="A7515" s="1">
        <v>18793</v>
      </c>
      <c r="B7515" s="7" t="s">
        <v>5568</v>
      </c>
      <c r="C7515" s="12">
        <v>4500</v>
      </c>
      <c r="D7515" s="7" t="s">
        <v>11253</v>
      </c>
      <c r="E7515" s="13" t="s">
        <v>1657</v>
      </c>
      <c r="F7515" t="str">
        <f t="shared" si="585"/>
        <v>Travis</v>
      </c>
      <c r="G7515" t="str">
        <f t="shared" si="586"/>
        <v>Travis4500Houston</v>
      </c>
      <c r="H7515" t="s">
        <v>38370</v>
      </c>
      <c r="I7515" t="s">
        <v>29784</v>
      </c>
      <c r="J7515" t="str">
        <f t="shared" si="587"/>
        <v>E:\PropInv\MF</v>
      </c>
      <c r="K7515" s="103" t="str">
        <f>HYPERLINK("E:\PropInv\MF\Houston\Travis St_4500_Travis Street Plaza_Houston_18793","Travis St_4500_Travis Street Plaza_Houston_18793" )</f>
        <v>Travis St_4500_Travis Street Plaza_Houston_18793</v>
      </c>
      <c r="L7515" s="104" t="s">
        <v>22253</v>
      </c>
      <c r="M7515" s="103" t="str">
        <f t="shared" si="588"/>
        <v>http://oconnordata.com/mlink/modules/profile/index.cfm?action=profile&amp;prop_id=18793</v>
      </c>
      <c r="N7515" s="1">
        <f t="shared" si="589"/>
        <v>18793</v>
      </c>
    </row>
    <row r="7516" spans="1:14" x14ac:dyDescent="0.3">
      <c r="A7516" s="1">
        <v>18794</v>
      </c>
      <c r="B7516" s="7" t="s">
        <v>11254</v>
      </c>
      <c r="C7516" s="12">
        <v>6700</v>
      </c>
      <c r="D7516" s="7" t="s">
        <v>11255</v>
      </c>
      <c r="E7516" s="13" t="s">
        <v>1657</v>
      </c>
      <c r="F7516" t="str">
        <f t="shared" si="585"/>
        <v>Queenston</v>
      </c>
      <c r="G7516" t="str">
        <f t="shared" si="586"/>
        <v>Queenston6700Houston</v>
      </c>
      <c r="H7516" t="s">
        <v>38371</v>
      </c>
      <c r="I7516" t="s">
        <v>29785</v>
      </c>
      <c r="J7516" t="str">
        <f t="shared" si="587"/>
        <v>E:\PropInv\MF</v>
      </c>
      <c r="K7516" s="103" t="str">
        <f>HYPERLINK("E:\PropInv\MF\Houston\Queenston Blvd_6700_Queenston Manor_Houston_18794","Queenston Blvd_6700_Queenston Manor_Houston_18794" )</f>
        <v>Queenston Blvd_6700_Queenston Manor_Houston_18794</v>
      </c>
      <c r="L7516" s="104" t="s">
        <v>22253</v>
      </c>
      <c r="M7516" s="103" t="str">
        <f t="shared" si="588"/>
        <v>http://oconnordata.com/mlink/modules/profile/index.cfm?action=profile&amp;prop_id=18794</v>
      </c>
      <c r="N7516" s="1">
        <f t="shared" si="589"/>
        <v>18794</v>
      </c>
    </row>
    <row r="7517" spans="1:14" x14ac:dyDescent="0.3">
      <c r="A7517" s="1">
        <v>18795</v>
      </c>
      <c r="B7517" s="10" t="s">
        <v>11256</v>
      </c>
      <c r="C7517" s="9" t="s">
        <v>2497</v>
      </c>
      <c r="D7517" s="10" t="s">
        <v>11257</v>
      </c>
      <c r="E7517" s="11" t="s">
        <v>1657</v>
      </c>
      <c r="F7517" t="str">
        <f t="shared" si="585"/>
        <v>Shining</v>
      </c>
      <c r="G7517" t="str">
        <f t="shared" si="586"/>
        <v>ShiningNFHouston</v>
      </c>
      <c r="H7517" t="s">
        <v>38372</v>
      </c>
      <c r="I7517" t="s">
        <v>29786</v>
      </c>
      <c r="J7517" t="str">
        <f t="shared" si="587"/>
        <v>E:\PropInv\MF</v>
      </c>
      <c r="K7517" s="103" t="str">
        <f>HYPERLINK("E:\PropInv\MF\Houston\Shining Sumac Ave_NF_Mariposa at FM 529_Houston_18795","Shining Sumac Ave_NF_Mariposa at FM 529_Houston_18795" )</f>
        <v>Shining Sumac Ave_NF_Mariposa at FM 529_Houston_18795</v>
      </c>
      <c r="L7517" s="104" t="s">
        <v>22253</v>
      </c>
      <c r="M7517" s="103" t="str">
        <f t="shared" si="588"/>
        <v>http://oconnordata.com/mlink/modules/profile/index.cfm?action=profile&amp;prop_id=18795</v>
      </c>
      <c r="N7517" s="1">
        <f t="shared" si="589"/>
        <v>18795</v>
      </c>
    </row>
    <row r="7518" spans="1:14" x14ac:dyDescent="0.3">
      <c r="A7518" s="1">
        <v>18796</v>
      </c>
      <c r="B7518" s="7" t="s">
        <v>9796</v>
      </c>
      <c r="C7518" s="12">
        <v>2801</v>
      </c>
      <c r="D7518" s="7" t="s">
        <v>11258</v>
      </c>
      <c r="E7518" s="13" t="s">
        <v>1657</v>
      </c>
      <c r="F7518" t="str">
        <f t="shared" si="585"/>
        <v>Weslayan</v>
      </c>
      <c r="G7518" t="str">
        <f t="shared" si="586"/>
        <v>Weslayan2801Houston</v>
      </c>
      <c r="H7518" t="s">
        <v>38373</v>
      </c>
      <c r="I7518" t="s">
        <v>29787</v>
      </c>
      <c r="J7518" t="str">
        <f t="shared" si="587"/>
        <v>E:\PropInv\MF</v>
      </c>
      <c r="K7518" s="103" t="str">
        <f>HYPERLINK("E:\PropInv\MF\Houston\Weslayan St_2801_2801 Weslayan_Houston_18796","Weslayan St_2801_2801 Weslayan_Houston_18796" )</f>
        <v>Weslayan St_2801_2801 Weslayan_Houston_18796</v>
      </c>
      <c r="L7518" s="104" t="s">
        <v>22253</v>
      </c>
      <c r="M7518" s="103" t="str">
        <f t="shared" si="588"/>
        <v>http://oconnordata.com/mlink/modules/profile/index.cfm?action=profile&amp;prop_id=18796</v>
      </c>
      <c r="N7518" s="1">
        <f t="shared" si="589"/>
        <v>18796</v>
      </c>
    </row>
    <row r="7519" spans="1:14" x14ac:dyDescent="0.3">
      <c r="A7519" s="1">
        <v>18797</v>
      </c>
      <c r="B7519" s="7" t="s">
        <v>2677</v>
      </c>
      <c r="C7519" s="12">
        <v>5455</v>
      </c>
      <c r="D7519" s="7" t="s">
        <v>11259</v>
      </c>
      <c r="E7519" s="13" t="s">
        <v>1657</v>
      </c>
      <c r="F7519" t="str">
        <f t="shared" si="585"/>
        <v>Richmond</v>
      </c>
      <c r="G7519" t="str">
        <f t="shared" si="586"/>
        <v>Richmond5455Houston</v>
      </c>
      <c r="H7519" t="s">
        <v>38374</v>
      </c>
      <c r="I7519" t="s">
        <v>29788</v>
      </c>
      <c r="J7519" t="str">
        <f t="shared" si="587"/>
        <v>E:\PropInv\MF</v>
      </c>
      <c r="K7519" s="103" t="str">
        <f>HYPERLINK("E:\PropInv\MF\Houston\Richmond Ave_5455_Elan at Avenue R_Houston_18797","Richmond Ave_5455_Elan at Avenue R_Houston_18797" )</f>
        <v>Richmond Ave_5455_Elan at Avenue R_Houston_18797</v>
      </c>
      <c r="L7519" s="104" t="s">
        <v>22253</v>
      </c>
      <c r="M7519" s="103" t="str">
        <f t="shared" si="588"/>
        <v>http://oconnordata.com/mlink/modules/profile/index.cfm?action=profile&amp;prop_id=18797</v>
      </c>
      <c r="N7519" s="1">
        <f t="shared" si="589"/>
        <v>18797</v>
      </c>
    </row>
    <row r="7520" spans="1:14" x14ac:dyDescent="0.3">
      <c r="A7520" s="1">
        <v>18798</v>
      </c>
      <c r="B7520" s="7" t="s">
        <v>11260</v>
      </c>
      <c r="C7520" s="12">
        <v>5250</v>
      </c>
      <c r="D7520" s="7" t="s">
        <v>11261</v>
      </c>
      <c r="E7520" s="13" t="s">
        <v>1657</v>
      </c>
      <c r="F7520" t="str">
        <f t="shared" si="585"/>
        <v>Brownway</v>
      </c>
      <c r="G7520" t="str">
        <f t="shared" si="586"/>
        <v>Brownway5250Houston</v>
      </c>
      <c r="H7520" t="s">
        <v>38375</v>
      </c>
      <c r="I7520" t="s">
        <v>29789</v>
      </c>
      <c r="J7520" t="str">
        <f t="shared" si="587"/>
        <v>E:\PropInv\MF</v>
      </c>
      <c r="K7520" s="103" t="str">
        <f>HYPERLINK("E:\PropInv\MF\Houston\Brownway St_5250_Sage West_Houston_18798","Brownway St_5250_Sage West_Houston_18798" )</f>
        <v>Brownway St_5250_Sage West_Houston_18798</v>
      </c>
      <c r="L7520" s="104" t="s">
        <v>22253</v>
      </c>
      <c r="M7520" s="103" t="str">
        <f t="shared" si="588"/>
        <v>http://oconnordata.com/mlink/modules/profile/index.cfm?action=profile&amp;prop_id=18798</v>
      </c>
      <c r="N7520" s="1">
        <f t="shared" si="589"/>
        <v>18798</v>
      </c>
    </row>
    <row r="7521" spans="1:14" x14ac:dyDescent="0.3">
      <c r="A7521" s="1">
        <v>18799</v>
      </c>
      <c r="B7521" s="7" t="s">
        <v>11262</v>
      </c>
      <c r="C7521" s="12">
        <v>15700</v>
      </c>
      <c r="D7521" s="7" t="s">
        <v>11263</v>
      </c>
      <c r="E7521" s="13" t="s">
        <v>1657</v>
      </c>
      <c r="F7521" t="str">
        <f t="shared" si="585"/>
        <v>Block</v>
      </c>
      <c r="G7521" t="str">
        <f t="shared" si="586"/>
        <v>Block15700Houston</v>
      </c>
      <c r="H7521" t="s">
        <v>38376</v>
      </c>
      <c r="I7521" t="s">
        <v>29790</v>
      </c>
      <c r="J7521" t="str">
        <f t="shared" si="587"/>
        <v>E:\PropInv\MF</v>
      </c>
      <c r="K7521" s="103" t="str">
        <f>HYPERLINK("E:\PropInv\MF\Houston\Block Cutten Rd_15700_Vintage Apts 4_Houston_18799","Block Cutten Rd_15700_Vintage Apts 4_Houston_18799" )</f>
        <v>Block Cutten Rd_15700_Vintage Apts 4_Houston_18799</v>
      </c>
      <c r="L7521" s="104" t="s">
        <v>22253</v>
      </c>
      <c r="M7521" s="103" t="str">
        <f t="shared" si="588"/>
        <v>http://oconnordata.com/mlink/modules/profile/index.cfm?action=profile&amp;prop_id=18799</v>
      </c>
      <c r="N7521" s="1">
        <f t="shared" si="589"/>
        <v>18799</v>
      </c>
    </row>
    <row r="7522" spans="1:14" x14ac:dyDescent="0.3">
      <c r="A7522" s="1">
        <v>18800</v>
      </c>
      <c r="B7522" s="7" t="s">
        <v>11264</v>
      </c>
      <c r="C7522" s="12" t="s">
        <v>2497</v>
      </c>
      <c r="D7522" s="7" t="s">
        <v>11265</v>
      </c>
      <c r="E7522" s="25" t="s">
        <v>1657</v>
      </c>
      <c r="F7522" t="str">
        <f t="shared" si="585"/>
        <v>Hidalgo</v>
      </c>
      <c r="G7522" t="str">
        <f t="shared" si="586"/>
        <v>HidalgoNFHouston</v>
      </c>
      <c r="H7522" t="s">
        <v>38377</v>
      </c>
      <c r="I7522" t="s">
        <v>29791</v>
      </c>
      <c r="J7522" t="str">
        <f t="shared" si="587"/>
        <v>E:\PropInv\MF</v>
      </c>
      <c r="K7522" s="103" t="str">
        <f>HYPERLINK("E:\PropInv\MF\Houston\Hidalgo St_NF_WaterWall Place_Houston_18800","Hidalgo St_NF_WaterWall Place_Houston_18800" )</f>
        <v>Hidalgo St_NF_WaterWall Place_Houston_18800</v>
      </c>
      <c r="L7522" s="104" t="s">
        <v>22253</v>
      </c>
      <c r="M7522" s="103" t="str">
        <f t="shared" si="588"/>
        <v>http://oconnordata.com/mlink/modules/profile/index.cfm?action=profile&amp;prop_id=18800</v>
      </c>
      <c r="N7522" s="1">
        <f t="shared" si="589"/>
        <v>18800</v>
      </c>
    </row>
    <row r="7523" spans="1:14" x14ac:dyDescent="0.3">
      <c r="A7523" s="1">
        <v>18801</v>
      </c>
      <c r="B7523" s="7" t="s">
        <v>8652</v>
      </c>
      <c r="C7523" s="12">
        <v>3101</v>
      </c>
      <c r="D7523" s="7" t="s">
        <v>11266</v>
      </c>
      <c r="E7523" s="13" t="s">
        <v>1657</v>
      </c>
      <c r="F7523" t="str">
        <f t="shared" si="585"/>
        <v>Smith</v>
      </c>
      <c r="G7523" t="str">
        <f t="shared" si="586"/>
        <v>Smith3101Houston</v>
      </c>
      <c r="H7523" t="s">
        <v>38378</v>
      </c>
      <c r="I7523" t="s">
        <v>29792</v>
      </c>
      <c r="J7523" t="str">
        <f t="shared" si="587"/>
        <v>E:\PropInv\MF</v>
      </c>
      <c r="K7523" s="103" t="str">
        <f>HYPERLINK("E:\PropInv\MF\Houston\Smith St_3101_Pearl Midtown_Houston_18801","Smith St_3101_Pearl Midtown_Houston_18801" )</f>
        <v>Smith St_3101_Pearl Midtown_Houston_18801</v>
      </c>
      <c r="L7523" s="104" t="s">
        <v>22253</v>
      </c>
      <c r="M7523" s="103" t="str">
        <f t="shared" si="588"/>
        <v>http://oconnordata.com/mlink/modules/profile/index.cfm?action=profile&amp;prop_id=18801</v>
      </c>
      <c r="N7523" s="1">
        <f t="shared" si="589"/>
        <v>18801</v>
      </c>
    </row>
    <row r="7524" spans="1:14" x14ac:dyDescent="0.3">
      <c r="A7524" s="1">
        <v>18803</v>
      </c>
      <c r="B7524" s="7" t="s">
        <v>11017</v>
      </c>
      <c r="C7524" s="12">
        <v>1616</v>
      </c>
      <c r="D7524" s="7" t="s">
        <v>11267</v>
      </c>
      <c r="E7524" s="13" t="s">
        <v>1657</v>
      </c>
      <c r="F7524" t="str">
        <f t="shared" si="585"/>
        <v>Dallas</v>
      </c>
      <c r="G7524" t="str">
        <f t="shared" si="586"/>
        <v>Dallas1616Houston</v>
      </c>
      <c r="H7524" t="s">
        <v>38379</v>
      </c>
      <c r="I7524" t="s">
        <v>29793</v>
      </c>
      <c r="J7524" t="str">
        <f t="shared" si="587"/>
        <v>E:\PropInv\MF</v>
      </c>
      <c r="K7524" s="103" t="str">
        <f>HYPERLINK("E:\PropInv\MF\Houston\Dallas St W_1616_Broadstone West Dallas_Houston_18803","Dallas St W_1616_Broadstone West Dallas_Houston_18803" )</f>
        <v>Dallas St W_1616_Broadstone West Dallas_Houston_18803</v>
      </c>
      <c r="L7524" s="104" t="s">
        <v>22253</v>
      </c>
      <c r="M7524" s="103" t="str">
        <f t="shared" si="588"/>
        <v>http://oconnordata.com/mlink/modules/profile/index.cfm?action=profile&amp;prop_id=18803</v>
      </c>
      <c r="N7524" s="1">
        <f t="shared" si="589"/>
        <v>18803</v>
      </c>
    </row>
    <row r="7525" spans="1:14" x14ac:dyDescent="0.3">
      <c r="A7525" s="1">
        <v>18804</v>
      </c>
      <c r="B7525" s="7" t="s">
        <v>2767</v>
      </c>
      <c r="C7525" s="12">
        <v>10801</v>
      </c>
      <c r="D7525" s="7" t="s">
        <v>11268</v>
      </c>
      <c r="E7525" s="13" t="s">
        <v>1657</v>
      </c>
      <c r="F7525" t="str">
        <f t="shared" si="585"/>
        <v>Westpark</v>
      </c>
      <c r="G7525" t="str">
        <f t="shared" si="586"/>
        <v>Westpark10801Houston</v>
      </c>
      <c r="H7525" t="s">
        <v>38380</v>
      </c>
      <c r="I7525" t="s">
        <v>29794</v>
      </c>
      <c r="J7525" t="str">
        <f t="shared" si="587"/>
        <v>E:\PropInv\MF</v>
      </c>
      <c r="K7525" s="103" t="str">
        <f>HYPERLINK("E:\PropInv\MF\Houston\Westpark Dr_10801_Orchard at Westchase_Houston_18804","Westpark Dr_10801_Orchard at Westchase_Houston_18804" )</f>
        <v>Westpark Dr_10801_Orchard at Westchase_Houston_18804</v>
      </c>
      <c r="L7525" s="104" t="s">
        <v>22253</v>
      </c>
      <c r="M7525" s="103" t="str">
        <f t="shared" si="588"/>
        <v>http://oconnordata.com/mlink/modules/profile/index.cfm?action=profile&amp;prop_id=18804</v>
      </c>
      <c r="N7525" s="1">
        <f t="shared" si="589"/>
        <v>18804</v>
      </c>
    </row>
    <row r="7526" spans="1:14" x14ac:dyDescent="0.3">
      <c r="A7526" s="1">
        <v>18805</v>
      </c>
      <c r="B7526" s="7" t="s">
        <v>11269</v>
      </c>
      <c r="C7526" s="12">
        <v>2630</v>
      </c>
      <c r="D7526" s="7" t="s">
        <v>11270</v>
      </c>
      <c r="E7526" s="13" t="s">
        <v>1657</v>
      </c>
      <c r="F7526" t="str">
        <f t="shared" si="585"/>
        <v>Tanglewilde</v>
      </c>
      <c r="G7526" t="str">
        <f t="shared" si="586"/>
        <v>Tanglewilde2630Houston</v>
      </c>
      <c r="H7526" t="s">
        <v>38381</v>
      </c>
      <c r="I7526" t="s">
        <v>29795</v>
      </c>
      <c r="J7526" t="str">
        <f t="shared" si="587"/>
        <v>E:\PropInv\MF</v>
      </c>
      <c r="K7526" s="103" t="str">
        <f>HYPERLINK("E:\PropInv\MF\Houston\Tanglewilde St_2630_Alta Woodlake Square_Houston_18805","Tanglewilde St_2630_Alta Woodlake Square_Houston_18805" )</f>
        <v>Tanglewilde St_2630_Alta Woodlake Square_Houston_18805</v>
      </c>
      <c r="L7526" s="104" t="s">
        <v>22253</v>
      </c>
      <c r="M7526" s="103" t="str">
        <f t="shared" si="588"/>
        <v>http://oconnordata.com/mlink/modules/profile/index.cfm?action=profile&amp;prop_id=18805</v>
      </c>
      <c r="N7526" s="1">
        <f t="shared" si="589"/>
        <v>18805</v>
      </c>
    </row>
    <row r="7527" spans="1:14" x14ac:dyDescent="0.3">
      <c r="A7527" s="1">
        <v>18806</v>
      </c>
      <c r="B7527" s="7" t="s">
        <v>11271</v>
      </c>
      <c r="C7527" s="12">
        <v>1111</v>
      </c>
      <c r="D7527" s="7" t="s">
        <v>11272</v>
      </c>
      <c r="E7527" s="13" t="s">
        <v>1657</v>
      </c>
      <c r="F7527" t="str">
        <f t="shared" si="585"/>
        <v>Rusk</v>
      </c>
      <c r="G7527" t="str">
        <f t="shared" si="586"/>
        <v>Rusk1111Houston</v>
      </c>
      <c r="H7527" t="s">
        <v>38382</v>
      </c>
      <c r="I7527" t="s">
        <v>29796</v>
      </c>
      <c r="J7527" t="str">
        <f t="shared" si="587"/>
        <v>E:\PropInv\MF</v>
      </c>
      <c r="K7527" s="103" t="str">
        <f>HYPERLINK("E:\PropInv\MF\Houston\Rusk St_1111_Texaco Bldg Conversion_Houston_18806","Rusk St_1111_Texaco Bldg Conversion_Houston_18806" )</f>
        <v>Rusk St_1111_Texaco Bldg Conversion_Houston_18806</v>
      </c>
      <c r="L7527" s="104" t="s">
        <v>22253</v>
      </c>
      <c r="M7527" s="103" t="str">
        <f t="shared" si="588"/>
        <v>http://oconnordata.com/mlink/modules/profile/index.cfm?action=profile&amp;prop_id=18806</v>
      </c>
      <c r="N7527" s="1">
        <f t="shared" si="589"/>
        <v>18806</v>
      </c>
    </row>
    <row r="7528" spans="1:14" x14ac:dyDescent="0.3">
      <c r="A7528" s="1">
        <v>18807</v>
      </c>
      <c r="B7528" s="7" t="s">
        <v>2621</v>
      </c>
      <c r="C7528" s="12">
        <v>6855</v>
      </c>
      <c r="D7528" s="7" t="s">
        <v>11273</v>
      </c>
      <c r="E7528" s="13" t="s">
        <v>2198</v>
      </c>
      <c r="F7528" t="str">
        <f t="shared" si="585"/>
        <v>Mason</v>
      </c>
      <c r="G7528" t="str">
        <f t="shared" si="586"/>
        <v>Mason6855Katy</v>
      </c>
      <c r="H7528" t="s">
        <v>38383</v>
      </c>
      <c r="I7528" t="s">
        <v>29797</v>
      </c>
      <c r="J7528" t="str">
        <f t="shared" si="587"/>
        <v>E:\PropInv\MF</v>
      </c>
      <c r="K7528" s="103" t="str">
        <f>HYPERLINK("E:\PropInv\MF\Katy\Mason Rd S_6855_Waterstone at Cinco Ranch_Katy_18807","Mason Rd S_6855_Waterstone at Cinco Ranch_Katy_18807" )</f>
        <v>Mason Rd S_6855_Waterstone at Cinco Ranch_Katy_18807</v>
      </c>
      <c r="L7528" s="104" t="s">
        <v>22253</v>
      </c>
      <c r="M7528" s="103" t="str">
        <f t="shared" si="588"/>
        <v>http://oconnordata.com/mlink/modules/profile/index.cfm?action=profile&amp;prop_id=18807</v>
      </c>
      <c r="N7528" s="1">
        <f t="shared" si="589"/>
        <v>18807</v>
      </c>
    </row>
    <row r="7529" spans="1:14" x14ac:dyDescent="0.3">
      <c r="A7529" s="1">
        <v>18808</v>
      </c>
      <c r="B7529" s="7" t="s">
        <v>2677</v>
      </c>
      <c r="C7529" s="12">
        <v>1301</v>
      </c>
      <c r="D7529" s="7" t="s">
        <v>11274</v>
      </c>
      <c r="E7529" s="25" t="s">
        <v>1657</v>
      </c>
      <c r="F7529" t="str">
        <f t="shared" si="585"/>
        <v>Richmond</v>
      </c>
      <c r="G7529" t="str">
        <f t="shared" si="586"/>
        <v>Richmond1301Houston</v>
      </c>
      <c r="H7529" t="s">
        <v>38384</v>
      </c>
      <c r="I7529" t="s">
        <v>29798</v>
      </c>
      <c r="J7529" t="str">
        <f t="shared" si="587"/>
        <v>E:\PropInv\MF</v>
      </c>
      <c r="K7529" s="103" t="str">
        <f>HYPERLINK("E:\PropInv\MF\Houston\Richmond Ave_1301_The Muse_Houston_18808","Richmond Ave_1301_The Muse_Houston_18808" )</f>
        <v>Richmond Ave_1301_The Muse_Houston_18808</v>
      </c>
      <c r="L7529" s="104" t="s">
        <v>22253</v>
      </c>
      <c r="M7529" s="103" t="str">
        <f t="shared" si="588"/>
        <v>http://oconnordata.com/mlink/modules/profile/index.cfm?action=profile&amp;prop_id=18808</v>
      </c>
      <c r="N7529" s="1">
        <f t="shared" si="589"/>
        <v>18808</v>
      </c>
    </row>
    <row r="7530" spans="1:14" x14ac:dyDescent="0.3">
      <c r="A7530" s="1">
        <v>18809</v>
      </c>
      <c r="B7530" s="7" t="s">
        <v>11275</v>
      </c>
      <c r="C7530" s="12" t="s">
        <v>2497</v>
      </c>
      <c r="D7530" s="7" t="s">
        <v>11276</v>
      </c>
      <c r="E7530" s="25" t="s">
        <v>2198</v>
      </c>
      <c r="F7530" t="str">
        <f t="shared" si="585"/>
        <v>Partnership</v>
      </c>
      <c r="G7530" t="str">
        <f t="shared" si="586"/>
        <v>PartnershipNFKaty</v>
      </c>
      <c r="H7530" t="s">
        <v>38385</v>
      </c>
      <c r="I7530" t="s">
        <v>29799</v>
      </c>
      <c r="J7530" t="str">
        <f t="shared" si="587"/>
        <v>E:\PropInv\MF</v>
      </c>
      <c r="K7530" s="103" t="str">
        <f>HYPERLINK("E:\PropInv\MF\Katy\Partnership Way_NF_Williamsburg Apts I_Katy_18809","Partnership Way_NF_Williamsburg Apts I_Katy_18809" )</f>
        <v>Partnership Way_NF_Williamsburg Apts I_Katy_18809</v>
      </c>
      <c r="L7530" s="104" t="s">
        <v>22253</v>
      </c>
      <c r="M7530" s="103" t="str">
        <f t="shared" si="588"/>
        <v>http://oconnordata.com/mlink/modules/profile/index.cfm?action=profile&amp;prop_id=18809</v>
      </c>
      <c r="N7530" s="1">
        <f t="shared" si="589"/>
        <v>18809</v>
      </c>
    </row>
    <row r="7531" spans="1:14" x14ac:dyDescent="0.3">
      <c r="A7531" s="1">
        <v>18810</v>
      </c>
      <c r="B7531" s="7" t="s">
        <v>11277</v>
      </c>
      <c r="C7531" s="12" t="s">
        <v>11278</v>
      </c>
      <c r="D7531" s="7" t="s">
        <v>11279</v>
      </c>
      <c r="E7531" s="13" t="s">
        <v>1657</v>
      </c>
      <c r="F7531" t="str">
        <f t="shared" si="585"/>
        <v>Block</v>
      </c>
      <c r="G7531" t="str">
        <f t="shared" si="586"/>
        <v>Block1400-1500Houston</v>
      </c>
      <c r="H7531" t="s">
        <v>38386</v>
      </c>
      <c r="I7531" t="s">
        <v>29800</v>
      </c>
      <c r="J7531" t="str">
        <f t="shared" si="587"/>
        <v>E:\PropInv\MF</v>
      </c>
      <c r="K7531" s="103" t="str">
        <f>HYPERLINK("E:\PropInv\MF\Houston\Block Gray St_1400-1500_Milhaus Midtown_Houston_18810","Block Gray St_1400-1500_Milhaus Midtown_Houston_18810" )</f>
        <v>Block Gray St_1400-1500_Milhaus Midtown_Houston_18810</v>
      </c>
      <c r="L7531" s="104" t="s">
        <v>22253</v>
      </c>
      <c r="M7531" s="103" t="str">
        <f t="shared" si="588"/>
        <v>http://oconnordata.com/mlink/modules/profile/index.cfm?action=profile&amp;prop_id=18810</v>
      </c>
      <c r="N7531" s="1">
        <f t="shared" si="589"/>
        <v>18810</v>
      </c>
    </row>
    <row r="7532" spans="1:14" x14ac:dyDescent="0.3">
      <c r="A7532" s="1">
        <v>18811</v>
      </c>
      <c r="B7532" s="7" t="s">
        <v>11280</v>
      </c>
      <c r="C7532" s="12" t="s">
        <v>2497</v>
      </c>
      <c r="D7532" s="7" t="s">
        <v>11281</v>
      </c>
      <c r="E7532" s="25" t="s">
        <v>4654</v>
      </c>
      <c r="F7532" t="str">
        <f t="shared" si="585"/>
        <v>Anders</v>
      </c>
      <c r="G7532" t="str">
        <f t="shared" si="586"/>
        <v>AndersNFKemah</v>
      </c>
      <c r="H7532" t="s">
        <v>38387</v>
      </c>
      <c r="I7532" t="s">
        <v>29801</v>
      </c>
      <c r="J7532" t="str">
        <f t="shared" si="587"/>
        <v>E:\PropInv\MF</v>
      </c>
      <c r="K7532" s="103" t="str">
        <f>HYPERLINK("E:\PropInv\MF\Kemah\Anders Ln_NF_Phillips Kemah_Kemah_18811","Anders Ln_NF_Phillips Kemah_Kemah_18811" )</f>
        <v>Anders Ln_NF_Phillips Kemah_Kemah_18811</v>
      </c>
      <c r="L7532" s="104" t="s">
        <v>22253</v>
      </c>
      <c r="M7532" s="103" t="str">
        <f t="shared" si="588"/>
        <v>http://oconnordata.com/mlink/modules/profile/index.cfm?action=profile&amp;prop_id=18811</v>
      </c>
      <c r="N7532" s="1">
        <f t="shared" si="589"/>
        <v>18811</v>
      </c>
    </row>
    <row r="7533" spans="1:14" x14ac:dyDescent="0.3">
      <c r="A7533" s="1">
        <v>18812</v>
      </c>
      <c r="B7533" s="7" t="s">
        <v>11282</v>
      </c>
      <c r="C7533" s="12">
        <v>24929</v>
      </c>
      <c r="D7533" s="7" t="s">
        <v>11283</v>
      </c>
      <c r="E7533" s="13" t="s">
        <v>2198</v>
      </c>
      <c r="F7533" t="str">
        <f t="shared" si="585"/>
        <v>Katy</v>
      </c>
      <c r="G7533" t="str">
        <f t="shared" si="586"/>
        <v>Katy24929Katy</v>
      </c>
      <c r="H7533" t="s">
        <v>38388</v>
      </c>
      <c r="I7533" t="s">
        <v>29802</v>
      </c>
      <c r="J7533" t="str">
        <f t="shared" si="587"/>
        <v>E:\PropInv\MF</v>
      </c>
      <c r="K7533" s="103" t="str">
        <f>HYPERLINK("E:\PropInv\MF\Katy\Katy Ranch Rd_24929_Watermark at Katy Ranch_Katy_18812","Katy Ranch Rd_24929_Watermark at Katy Ranch_Katy_18812" )</f>
        <v>Katy Ranch Rd_24929_Watermark at Katy Ranch_Katy_18812</v>
      </c>
      <c r="L7533" s="104" t="s">
        <v>22253</v>
      </c>
      <c r="M7533" s="103" t="str">
        <f t="shared" si="588"/>
        <v>http://oconnordata.com/mlink/modules/profile/index.cfm?action=profile&amp;prop_id=18812</v>
      </c>
      <c r="N7533" s="1">
        <f t="shared" si="589"/>
        <v>18812</v>
      </c>
    </row>
    <row r="7534" spans="1:14" x14ac:dyDescent="0.3">
      <c r="A7534" s="1">
        <v>18813</v>
      </c>
      <c r="B7534" s="7" t="s">
        <v>3916</v>
      </c>
      <c r="C7534" s="12">
        <v>12501</v>
      </c>
      <c r="D7534" s="7" t="s">
        <v>11284</v>
      </c>
      <c r="E7534" s="13" t="s">
        <v>4369</v>
      </c>
      <c r="F7534" t="str">
        <f t="shared" si="585"/>
        <v>Broadway</v>
      </c>
      <c r="G7534" t="str">
        <f t="shared" si="586"/>
        <v>Broadway12501Pearland</v>
      </c>
      <c r="H7534" t="s">
        <v>38389</v>
      </c>
      <c r="I7534" t="s">
        <v>29803</v>
      </c>
      <c r="J7534" t="str">
        <f t="shared" si="587"/>
        <v>E:\PropInv\MF</v>
      </c>
      <c r="K7534" s="103" t="str">
        <f>HYPERLINK("E:\PropInv\MF\Pearland\Broadway St_12501_The Avenues at Shadow Creek Ranch_Pearland_18813","Broadway St_12501_The Avenues at Shadow Creek Ranch_Pearland_18813" )</f>
        <v>Broadway St_12501_The Avenues at Shadow Creek Ranch_Pearland_18813</v>
      </c>
      <c r="L7534" s="104" t="s">
        <v>22253</v>
      </c>
      <c r="M7534" s="103" t="str">
        <f t="shared" si="588"/>
        <v>http://oconnordata.com/mlink/modules/profile/index.cfm?action=profile&amp;prop_id=18813</v>
      </c>
      <c r="N7534" s="1">
        <f t="shared" si="589"/>
        <v>18813</v>
      </c>
    </row>
    <row r="7535" spans="1:14" x14ac:dyDescent="0.3">
      <c r="A7535" s="1">
        <v>18814</v>
      </c>
      <c r="B7535" s="7" t="s">
        <v>11285</v>
      </c>
      <c r="C7535" s="12" t="s">
        <v>2497</v>
      </c>
      <c r="D7535" s="7" t="s">
        <v>11286</v>
      </c>
      <c r="E7535" s="25" t="s">
        <v>4484</v>
      </c>
      <c r="F7535" t="str">
        <f t="shared" si="585"/>
        <v>Imperial</v>
      </c>
      <c r="G7535" t="str">
        <f t="shared" si="586"/>
        <v>ImperialNFSugar Land</v>
      </c>
      <c r="H7535" t="s">
        <v>38390</v>
      </c>
      <c r="I7535" t="s">
        <v>29804</v>
      </c>
      <c r="J7535" t="str">
        <f t="shared" si="587"/>
        <v>E:\PropInv\MF</v>
      </c>
      <c r="K7535" s="103" t="str">
        <f>HYPERLINK("E:\PropInv\MF\Sugar Land\Imperial Blvd_NF_Imperial Sugar Land_Sugar Land_18814","Imperial Blvd_NF_Imperial Sugar Land_Sugar Land_18814" )</f>
        <v>Imperial Blvd_NF_Imperial Sugar Land_Sugar Land_18814</v>
      </c>
      <c r="L7535" s="104" t="s">
        <v>22253</v>
      </c>
      <c r="M7535" s="103" t="str">
        <f t="shared" si="588"/>
        <v>http://oconnordata.com/mlink/modules/profile/index.cfm?action=profile&amp;prop_id=18814</v>
      </c>
      <c r="N7535" s="1">
        <f t="shared" si="589"/>
        <v>18814</v>
      </c>
    </row>
    <row r="7536" spans="1:14" x14ac:dyDescent="0.3">
      <c r="A7536" s="1">
        <v>18815</v>
      </c>
      <c r="B7536" s="7" t="s">
        <v>507</v>
      </c>
      <c r="C7536" s="12">
        <v>2602</v>
      </c>
      <c r="D7536" s="7" t="s">
        <v>11287</v>
      </c>
      <c r="E7536" s="13" t="s">
        <v>7</v>
      </c>
      <c r="F7536" t="str">
        <f t="shared" si="585"/>
        <v>Wilson</v>
      </c>
      <c r="G7536" t="str">
        <f t="shared" si="586"/>
        <v>Wilson2602Austin</v>
      </c>
      <c r="H7536" t="s">
        <v>38391</v>
      </c>
      <c r="I7536" t="s">
        <v>29805</v>
      </c>
      <c r="J7536" t="str">
        <f t="shared" si="587"/>
        <v>E:\PropInv\MF</v>
      </c>
      <c r="K7536" s="103" t="str">
        <f>HYPERLINK("E:\PropInv\MF\Austin\Wilson St_2602_Flats on Wilson_Austin_18815","Wilson St_2602_Flats on Wilson_Austin_18815" )</f>
        <v>Wilson St_2602_Flats on Wilson_Austin_18815</v>
      </c>
      <c r="L7536" s="104" t="s">
        <v>22253</v>
      </c>
      <c r="M7536" s="103" t="str">
        <f t="shared" si="588"/>
        <v>http://oconnordata.com/mlink/modules/profile/index.cfm?action=profile&amp;prop_id=18815</v>
      </c>
      <c r="N7536" s="1">
        <f t="shared" si="589"/>
        <v>18815</v>
      </c>
    </row>
    <row r="7537" spans="1:14" x14ac:dyDescent="0.3">
      <c r="A7537" s="1">
        <v>18816</v>
      </c>
      <c r="B7537" s="7" t="s">
        <v>93</v>
      </c>
      <c r="C7537" s="12">
        <v>4367</v>
      </c>
      <c r="D7537" s="7" t="s">
        <v>11288</v>
      </c>
      <c r="E7537" s="13" t="s">
        <v>7</v>
      </c>
      <c r="F7537" t="str">
        <f t="shared" si="585"/>
        <v>Congress</v>
      </c>
      <c r="G7537" t="str">
        <f t="shared" si="586"/>
        <v>Congress4367Austin</v>
      </c>
      <c r="H7537" t="s">
        <v>38392</v>
      </c>
      <c r="I7537" t="s">
        <v>29806</v>
      </c>
      <c r="J7537" t="str">
        <f t="shared" si="587"/>
        <v>E:\PropInv\MF</v>
      </c>
      <c r="K7537" s="103" t="str">
        <f>HYPERLINK("E:\PropInv\MF\Austin\Congress Ave S_4367_Flats on South Congress_Austin_18816","Congress Ave S_4367_Flats on South Congress_Austin_18816" )</f>
        <v>Congress Ave S_4367_Flats on South Congress_Austin_18816</v>
      </c>
      <c r="L7537" s="104" t="s">
        <v>22253</v>
      </c>
      <c r="M7537" s="103" t="str">
        <f t="shared" si="588"/>
        <v>http://oconnordata.com/mlink/modules/profile/index.cfm?action=profile&amp;prop_id=18816</v>
      </c>
      <c r="N7537" s="1">
        <f t="shared" si="589"/>
        <v>18816</v>
      </c>
    </row>
    <row r="7538" spans="1:14" x14ac:dyDescent="0.3">
      <c r="A7538" s="1">
        <v>18817</v>
      </c>
      <c r="B7538" s="7" t="s">
        <v>37</v>
      </c>
      <c r="C7538" s="12">
        <v>5210</v>
      </c>
      <c r="D7538" s="7" t="s">
        <v>11289</v>
      </c>
      <c r="E7538" s="13" t="s">
        <v>7</v>
      </c>
      <c r="F7538" t="str">
        <f t="shared" si="585"/>
        <v>Lamar</v>
      </c>
      <c r="G7538" t="str">
        <f t="shared" si="586"/>
        <v>Lamar5210Austin</v>
      </c>
      <c r="H7538" t="s">
        <v>38393</v>
      </c>
      <c r="I7538" t="s">
        <v>29807</v>
      </c>
      <c r="J7538" t="str">
        <f t="shared" si="587"/>
        <v>E:\PropInv\MF</v>
      </c>
      <c r="K7538" s="103" t="str">
        <f>HYPERLINK("E:\PropInv\MF\Austin\Lamar Blvd N_5210_Flats on Lamar_Austin_18817","Lamar Blvd N_5210_Flats on Lamar_Austin_18817" )</f>
        <v>Lamar Blvd N_5210_Flats on Lamar_Austin_18817</v>
      </c>
      <c r="L7538" s="104" t="s">
        <v>22253</v>
      </c>
      <c r="M7538" s="103" t="str">
        <f t="shared" si="588"/>
        <v>http://oconnordata.com/mlink/modules/profile/index.cfm?action=profile&amp;prop_id=18817</v>
      </c>
      <c r="N7538" s="1">
        <f t="shared" si="589"/>
        <v>18817</v>
      </c>
    </row>
    <row r="7539" spans="1:14" x14ac:dyDescent="0.3">
      <c r="A7539" s="1">
        <v>18818</v>
      </c>
      <c r="B7539" s="7" t="s">
        <v>11290</v>
      </c>
      <c r="C7539" s="12" t="s">
        <v>2497</v>
      </c>
      <c r="D7539" s="7" t="s">
        <v>11291</v>
      </c>
      <c r="E7539" s="25" t="s">
        <v>7</v>
      </c>
      <c r="F7539" t="str">
        <f t="shared" si="585"/>
        <v>Barton</v>
      </c>
      <c r="G7539" t="str">
        <f t="shared" si="586"/>
        <v>BartonNFAustin</v>
      </c>
      <c r="H7539" t="s">
        <v>38394</v>
      </c>
      <c r="I7539" t="s">
        <v>29808</v>
      </c>
      <c r="J7539" t="str">
        <f t="shared" si="587"/>
        <v>E:\PropInv\MF</v>
      </c>
      <c r="K7539" s="103" t="str">
        <f>HYPERLINK("E:\PropInv\MF\Austin\Barton Springs Rd_NF_Sterzing and Barton Springs Apts_Austin_18818","Barton Springs Rd_NF_Sterzing and Barton Springs Apts_Austin_18818" )</f>
        <v>Barton Springs Rd_NF_Sterzing and Barton Springs Apts_Austin_18818</v>
      </c>
      <c r="L7539" s="104" t="s">
        <v>22253</v>
      </c>
      <c r="M7539" s="103" t="str">
        <f t="shared" si="588"/>
        <v>http://oconnordata.com/mlink/modules/profile/index.cfm?action=profile&amp;prop_id=18818</v>
      </c>
      <c r="N7539" s="1">
        <f t="shared" si="589"/>
        <v>18818</v>
      </c>
    </row>
    <row r="7540" spans="1:14" x14ac:dyDescent="0.3">
      <c r="A7540" s="1">
        <v>18819</v>
      </c>
      <c r="B7540" s="10" t="s">
        <v>391</v>
      </c>
      <c r="C7540" s="9" t="s">
        <v>2497</v>
      </c>
      <c r="D7540" s="10" t="s">
        <v>11292</v>
      </c>
      <c r="E7540" s="43" t="s">
        <v>7</v>
      </c>
      <c r="F7540" t="str">
        <f t="shared" si="585"/>
        <v>Lamar</v>
      </c>
      <c r="G7540" t="str">
        <f t="shared" si="586"/>
        <v>LamarNFAustin</v>
      </c>
      <c r="H7540" t="s">
        <v>38395</v>
      </c>
      <c r="I7540" t="s">
        <v>29809</v>
      </c>
      <c r="J7540" t="str">
        <f t="shared" si="587"/>
        <v>E:\PropInv\MF</v>
      </c>
      <c r="K7540" s="103" t="str">
        <f>HYPERLINK("E:\PropInv\MF\Austin\Lamar Blvd S_NF_Hanover South Lamar_Austin_18819","Lamar Blvd S_NF_Hanover South Lamar_Austin_18819" )</f>
        <v>Lamar Blvd S_NF_Hanover South Lamar_Austin_18819</v>
      </c>
      <c r="L7540" s="104" t="s">
        <v>22253</v>
      </c>
      <c r="M7540" s="103" t="str">
        <f t="shared" si="588"/>
        <v>http://oconnordata.com/mlink/modules/profile/index.cfm?action=profile&amp;prop_id=18819</v>
      </c>
      <c r="N7540" s="1">
        <f t="shared" si="589"/>
        <v>18819</v>
      </c>
    </row>
    <row r="7541" spans="1:14" x14ac:dyDescent="0.3">
      <c r="A7541" s="1">
        <v>18820</v>
      </c>
      <c r="B7541" s="7" t="s">
        <v>891</v>
      </c>
      <c r="C7541" s="12">
        <v>1010</v>
      </c>
      <c r="D7541" s="7" t="s">
        <v>11293</v>
      </c>
      <c r="E7541" s="13" t="s">
        <v>842</v>
      </c>
      <c r="F7541" t="str">
        <f t="shared" si="585"/>
        <v>Flores</v>
      </c>
      <c r="G7541" t="str">
        <f t="shared" si="586"/>
        <v>Flores1010San Antonio</v>
      </c>
      <c r="H7541" t="s">
        <v>38396</v>
      </c>
      <c r="I7541" t="s">
        <v>29810</v>
      </c>
      <c r="J7541" t="str">
        <f t="shared" si="587"/>
        <v>E:\PropInv\MF</v>
      </c>
      <c r="K7541" s="103" t="str">
        <f>HYPERLINK("E:\PropInv\MF\San Antonio\Flores St S_1010_The Viceroy_San Antonio_18820","Flores St S_1010_The Viceroy_San Antonio_18820" )</f>
        <v>Flores St S_1010_The Viceroy_San Antonio_18820</v>
      </c>
      <c r="L7541" s="104" t="s">
        <v>22253</v>
      </c>
      <c r="M7541" s="103" t="str">
        <f t="shared" si="588"/>
        <v>http://oconnordata.com/mlink/modules/profile/index.cfm?action=profile&amp;prop_id=18820</v>
      </c>
      <c r="N7541" s="1">
        <f t="shared" si="589"/>
        <v>18820</v>
      </c>
    </row>
    <row r="7542" spans="1:14" x14ac:dyDescent="0.3">
      <c r="A7542" s="1">
        <v>18821</v>
      </c>
      <c r="B7542" s="7" t="s">
        <v>11294</v>
      </c>
      <c r="C7542" s="12">
        <v>1320</v>
      </c>
      <c r="D7542" s="7" t="s">
        <v>11295</v>
      </c>
      <c r="E7542" s="13" t="s">
        <v>6898</v>
      </c>
      <c r="F7542" t="str">
        <f t="shared" si="585"/>
        <v>Summercrest</v>
      </c>
      <c r="G7542" t="str">
        <f t="shared" si="586"/>
        <v>Summercrest1320Burleson</v>
      </c>
      <c r="H7542" t="s">
        <v>38397</v>
      </c>
      <c r="I7542" t="s">
        <v>29811</v>
      </c>
      <c r="J7542" t="str">
        <f t="shared" si="587"/>
        <v>E:\PropInv\MF</v>
      </c>
      <c r="K7542" s="103" t="str">
        <f>HYPERLINK("E:\PropInv\MF\Burleson\Summercrest Blvd NW_1320_Dolce Living Burleson_Burleson_18821","Summercrest Blvd NW_1320_Dolce Living Burleson_Burleson_18821" )</f>
        <v>Summercrest Blvd NW_1320_Dolce Living Burleson_Burleson_18821</v>
      </c>
      <c r="L7542" s="104" t="s">
        <v>22253</v>
      </c>
      <c r="M7542" s="103" t="str">
        <f t="shared" si="588"/>
        <v>http://oconnordata.com/mlink/modules/profile/index.cfm?action=profile&amp;prop_id=18821</v>
      </c>
      <c r="N7542" s="1">
        <f t="shared" si="589"/>
        <v>18821</v>
      </c>
    </row>
    <row r="7543" spans="1:14" x14ac:dyDescent="0.3">
      <c r="A7543" s="1">
        <v>18822</v>
      </c>
      <c r="B7543" s="7" t="s">
        <v>9671</v>
      </c>
      <c r="C7543" s="12">
        <v>8301</v>
      </c>
      <c r="D7543" s="7" t="s">
        <v>11296</v>
      </c>
      <c r="E7543" s="13" t="s">
        <v>5014</v>
      </c>
      <c r="F7543" t="str">
        <f t="shared" si="585"/>
        <v>Monterra</v>
      </c>
      <c r="G7543" t="str">
        <f t="shared" si="586"/>
        <v>Monterra8301Fort Worth</v>
      </c>
      <c r="H7543" t="s">
        <v>38398</v>
      </c>
      <c r="I7543" t="s">
        <v>29812</v>
      </c>
      <c r="J7543" t="str">
        <f t="shared" si="587"/>
        <v>E:\PropInv\MF</v>
      </c>
      <c r="K7543" s="103" t="str">
        <f>HYPERLINK("E:\PropInv\MF\Fort Worth\Monterra Blvd_8301_Monterra Village II_Fort Worth_18822","Monterra Blvd_8301_Monterra Village II_Fort Worth_18822" )</f>
        <v>Monterra Blvd_8301_Monterra Village II_Fort Worth_18822</v>
      </c>
      <c r="L7543" s="104" t="s">
        <v>22253</v>
      </c>
      <c r="M7543" s="103" t="str">
        <f t="shared" si="588"/>
        <v>http://oconnordata.com/mlink/modules/profile/index.cfm?action=profile&amp;prop_id=18822</v>
      </c>
      <c r="N7543" s="1">
        <f t="shared" si="589"/>
        <v>18822</v>
      </c>
    </row>
    <row r="7544" spans="1:14" x14ac:dyDescent="0.3">
      <c r="A7544" s="1">
        <v>18823</v>
      </c>
      <c r="B7544" s="7" t="s">
        <v>10087</v>
      </c>
      <c r="C7544" s="12">
        <v>919</v>
      </c>
      <c r="D7544" s="7" t="s">
        <v>11297</v>
      </c>
      <c r="E7544" s="13" t="s">
        <v>5097</v>
      </c>
      <c r="F7544" t="str">
        <f t="shared" si="585"/>
        <v>Eagle</v>
      </c>
      <c r="G7544" t="str">
        <f t="shared" si="586"/>
        <v>Eagle919Denton</v>
      </c>
      <c r="H7544" t="s">
        <v>38399</v>
      </c>
      <c r="I7544" t="s">
        <v>29813</v>
      </c>
      <c r="J7544" t="str">
        <f t="shared" si="587"/>
        <v>E:\PropInv\MF</v>
      </c>
      <c r="K7544" s="103" t="str">
        <f>HYPERLINK("E:\PropInv\MF\Denton\Eagle Dr_919_33 North_Denton_18823","Eagle Dr_919_33 North_Denton_18823" )</f>
        <v>Eagle Dr_919_33 North_Denton_18823</v>
      </c>
      <c r="L7544" s="104" t="s">
        <v>22253</v>
      </c>
      <c r="M7544" s="103" t="str">
        <f t="shared" si="588"/>
        <v>http://oconnordata.com/mlink/modules/profile/index.cfm?action=profile&amp;prop_id=18823</v>
      </c>
      <c r="N7544" s="1">
        <f t="shared" si="589"/>
        <v>18823</v>
      </c>
    </row>
    <row r="7545" spans="1:14" x14ac:dyDescent="0.3">
      <c r="A7545" s="1">
        <v>18824</v>
      </c>
      <c r="B7545" s="7" t="s">
        <v>11298</v>
      </c>
      <c r="C7545" s="12">
        <v>2920</v>
      </c>
      <c r="D7545" s="7" t="s">
        <v>11299</v>
      </c>
      <c r="E7545" s="13" t="s">
        <v>5014</v>
      </c>
      <c r="F7545" t="str">
        <f t="shared" si="585"/>
        <v>Lancaster</v>
      </c>
      <c r="G7545" t="str">
        <f t="shared" si="586"/>
        <v>Lancaster2920Fort Worth</v>
      </c>
      <c r="H7545" t="s">
        <v>38400</v>
      </c>
      <c r="I7545" t="s">
        <v>29814</v>
      </c>
      <c r="J7545" t="str">
        <f t="shared" si="587"/>
        <v>E:\PropInv\MF</v>
      </c>
      <c r="K7545" s="103" t="str">
        <f>HYPERLINK("E:\PropInv\MF\Fort Worth\Lancaster Ave W_2920_The Lancaster_Fort Worth_18824","Lancaster Ave W_2920_The Lancaster_Fort Worth_18824" )</f>
        <v>Lancaster Ave W_2920_The Lancaster_Fort Worth_18824</v>
      </c>
      <c r="L7545" s="104" t="s">
        <v>22253</v>
      </c>
      <c r="M7545" s="103" t="str">
        <f t="shared" si="588"/>
        <v>http://oconnordata.com/mlink/modules/profile/index.cfm?action=profile&amp;prop_id=18824</v>
      </c>
      <c r="N7545" s="1">
        <f t="shared" si="589"/>
        <v>18824</v>
      </c>
    </row>
    <row r="7546" spans="1:14" x14ac:dyDescent="0.3">
      <c r="A7546" s="1">
        <v>18825</v>
      </c>
      <c r="B7546" s="7" t="s">
        <v>11300</v>
      </c>
      <c r="C7546" s="12">
        <v>1020</v>
      </c>
      <c r="D7546" s="7" t="s">
        <v>11301</v>
      </c>
      <c r="E7546" s="13" t="s">
        <v>5014</v>
      </c>
      <c r="F7546" t="str">
        <f t="shared" si="585"/>
        <v>Currie</v>
      </c>
      <c r="G7546" t="str">
        <f t="shared" si="586"/>
        <v>Currie1020Fort Worth</v>
      </c>
      <c r="H7546" t="s">
        <v>38401</v>
      </c>
      <c r="I7546" t="s">
        <v>29815</v>
      </c>
      <c r="J7546" t="str">
        <f t="shared" si="587"/>
        <v>E:\PropInv\MF</v>
      </c>
      <c r="K7546" s="103" t="str">
        <f>HYPERLINK("E:\PropInv\MF\Fort Worth\Currie St_1020_White Buffalo_Fort Worth_18825","Currie St_1020_White Buffalo_Fort Worth_18825" )</f>
        <v>Currie St_1020_White Buffalo_Fort Worth_18825</v>
      </c>
      <c r="L7546" s="104" t="s">
        <v>22253</v>
      </c>
      <c r="M7546" s="103" t="str">
        <f t="shared" si="588"/>
        <v>http://oconnordata.com/mlink/modules/profile/index.cfm?action=profile&amp;prop_id=18825</v>
      </c>
      <c r="N7546" s="1">
        <f t="shared" si="589"/>
        <v>18825</v>
      </c>
    </row>
    <row r="7547" spans="1:14" x14ac:dyDescent="0.3">
      <c r="A7547" s="1">
        <v>18826</v>
      </c>
      <c r="B7547" s="7" t="s">
        <v>6207</v>
      </c>
      <c r="C7547" s="12">
        <v>3650</v>
      </c>
      <c r="D7547" s="7" t="s">
        <v>11302</v>
      </c>
      <c r="E7547" s="13" t="s">
        <v>3328</v>
      </c>
      <c r="F7547" t="str">
        <f t="shared" si="585"/>
        <v>Custer</v>
      </c>
      <c r="G7547" t="str">
        <f t="shared" si="586"/>
        <v>Custer3650Richardson</v>
      </c>
      <c r="H7547" t="s">
        <v>38402</v>
      </c>
      <c r="I7547" t="s">
        <v>29816</v>
      </c>
      <c r="J7547" t="str">
        <f t="shared" si="587"/>
        <v>E:\PropInv\MF</v>
      </c>
      <c r="K7547" s="103" t="str">
        <f>HYPERLINK("E:\PropInv\MF\Richardson\Custer Pkwy_3650_Alta Creekside_Richardson_18826","Custer Pkwy_3650_Alta Creekside_Richardson_18826" )</f>
        <v>Custer Pkwy_3650_Alta Creekside_Richardson_18826</v>
      </c>
      <c r="L7547" s="104" t="s">
        <v>22253</v>
      </c>
      <c r="M7547" s="103" t="str">
        <f t="shared" si="588"/>
        <v>http://oconnordata.com/mlink/modules/profile/index.cfm?action=profile&amp;prop_id=18826</v>
      </c>
      <c r="N7547" s="1">
        <f t="shared" si="589"/>
        <v>18826</v>
      </c>
    </row>
    <row r="7548" spans="1:14" x14ac:dyDescent="0.3">
      <c r="A7548" s="1">
        <v>18827</v>
      </c>
      <c r="B7548" s="7" t="s">
        <v>2965</v>
      </c>
      <c r="C7548" s="12" t="s">
        <v>2497</v>
      </c>
      <c r="D7548" s="7" t="s">
        <v>11303</v>
      </c>
      <c r="E7548" s="13" t="s">
        <v>5043</v>
      </c>
      <c r="F7548" t="str">
        <f t="shared" si="585"/>
        <v>Skyline</v>
      </c>
      <c r="G7548" t="str">
        <f t="shared" si="586"/>
        <v>SkylineNFMcKinney</v>
      </c>
      <c r="H7548" t="s">
        <v>38403</v>
      </c>
      <c r="I7548" t="s">
        <v>29817</v>
      </c>
      <c r="J7548" t="str">
        <f t="shared" si="587"/>
        <v>E:\PropInv\MF</v>
      </c>
      <c r="K7548" s="103" t="str">
        <f>HYPERLINK("E:\PropInv\MF\McKinney\Skyline Dr_NF_Platinum Skyline_McKinney_18827","Skyline Dr_NF_Platinum Skyline_McKinney_18827" )</f>
        <v>Skyline Dr_NF_Platinum Skyline_McKinney_18827</v>
      </c>
      <c r="L7548" s="104" t="s">
        <v>22253</v>
      </c>
      <c r="M7548" s="103" t="str">
        <f t="shared" si="588"/>
        <v>http://oconnordata.com/mlink/modules/profile/index.cfm?action=profile&amp;prop_id=18827</v>
      </c>
      <c r="N7548" s="1">
        <f t="shared" si="589"/>
        <v>18827</v>
      </c>
    </row>
    <row r="7549" spans="1:14" x14ac:dyDescent="0.3">
      <c r="A7549" s="1">
        <v>18828</v>
      </c>
      <c r="B7549" s="7" t="s">
        <v>11304</v>
      </c>
      <c r="C7549" s="12">
        <v>3150</v>
      </c>
      <c r="D7549" s="7" t="s">
        <v>11305</v>
      </c>
      <c r="E7549" s="13" t="s">
        <v>5488</v>
      </c>
      <c r="F7549" t="str">
        <f t="shared" si="585"/>
        <v>Ave</v>
      </c>
      <c r="G7549" t="str">
        <f t="shared" si="586"/>
        <v>Ave3150Frisco</v>
      </c>
      <c r="H7549" t="s">
        <v>38404</v>
      </c>
      <c r="I7549" t="s">
        <v>29818</v>
      </c>
      <c r="J7549" t="str">
        <f t="shared" si="587"/>
        <v>E:\PropInv\MF</v>
      </c>
      <c r="K7549" s="103" t="str">
        <f>HYPERLINK("E:\PropInv\MF\Frisco\Ave of the Stars_3150_Ablon at Frisco Bridges_Frisco_18828","Ave of the Stars_3150_Ablon at Frisco Bridges_Frisco_18828" )</f>
        <v>Ave of the Stars_3150_Ablon at Frisco Bridges_Frisco_18828</v>
      </c>
      <c r="L7549" s="104" t="s">
        <v>22253</v>
      </c>
      <c r="M7549" s="103" t="str">
        <f t="shared" si="588"/>
        <v>http://oconnordata.com/mlink/modules/profile/index.cfm?action=profile&amp;prop_id=18828</v>
      </c>
      <c r="N7549" s="1">
        <f t="shared" si="589"/>
        <v>18828</v>
      </c>
    </row>
    <row r="7550" spans="1:14" x14ac:dyDescent="0.3">
      <c r="A7550" s="1">
        <v>18829</v>
      </c>
      <c r="B7550" s="7" t="s">
        <v>11306</v>
      </c>
      <c r="C7550" s="12" t="s">
        <v>11307</v>
      </c>
      <c r="D7550" s="7" t="s">
        <v>11308</v>
      </c>
      <c r="E7550" s="13" t="s">
        <v>5046</v>
      </c>
      <c r="F7550" t="str">
        <f t="shared" si="585"/>
        <v>Las</v>
      </c>
      <c r="G7550" t="str">
        <f t="shared" si="586"/>
        <v>Las5349-5373Irving</v>
      </c>
      <c r="H7550" t="s">
        <v>38405</v>
      </c>
      <c r="I7550" t="s">
        <v>29819</v>
      </c>
      <c r="J7550" t="str">
        <f t="shared" si="587"/>
        <v>E:\PropInv\MF</v>
      </c>
      <c r="K7550" s="103" t="str">
        <f>HYPERLINK("E:\PropInv\MF\Irving\Las Colinas Blvd_5349-5373_Lakepointe at Las Colinas_Irving_18829","Las Colinas Blvd_5349-5373_Lakepointe at Las Colinas_Irving_18829" )</f>
        <v>Las Colinas Blvd_5349-5373_Lakepointe at Las Colinas_Irving_18829</v>
      </c>
      <c r="L7550" s="104" t="s">
        <v>22253</v>
      </c>
      <c r="M7550" s="103" t="str">
        <f t="shared" si="588"/>
        <v>http://oconnordata.com/mlink/modules/profile/index.cfm?action=profile&amp;prop_id=18829</v>
      </c>
      <c r="N7550" s="1">
        <f t="shared" si="589"/>
        <v>18829</v>
      </c>
    </row>
    <row r="7551" spans="1:14" x14ac:dyDescent="0.3">
      <c r="A7551" s="1">
        <v>18830</v>
      </c>
      <c r="B7551" s="7" t="s">
        <v>3076</v>
      </c>
      <c r="C7551" s="12">
        <v>4100</v>
      </c>
      <c r="D7551" s="7" t="s">
        <v>11309</v>
      </c>
      <c r="E7551" s="13" t="s">
        <v>1657</v>
      </c>
      <c r="F7551" t="str">
        <f t="shared" si="585"/>
        <v>Greenbriar</v>
      </c>
      <c r="G7551" t="str">
        <f t="shared" si="586"/>
        <v>Greenbriar4100Houston</v>
      </c>
      <c r="H7551" t="s">
        <v>38406</v>
      </c>
      <c r="I7551" t="s">
        <v>29820</v>
      </c>
      <c r="J7551" t="str">
        <f t="shared" si="587"/>
        <v>E:\PropInv\MF</v>
      </c>
      <c r="K7551" s="103" t="str">
        <f>HYPERLINK("E:\PropInv\MF\Houston\Greenbriar St_4100_District at Greenbriar_Houston_18830","Greenbriar St_4100_District at Greenbriar_Houston_18830" )</f>
        <v>Greenbriar St_4100_District at Greenbriar_Houston_18830</v>
      </c>
      <c r="L7551" s="104" t="s">
        <v>22253</v>
      </c>
      <c r="M7551" s="103" t="str">
        <f t="shared" si="588"/>
        <v>http://oconnordata.com/mlink/modules/profile/index.cfm?action=profile&amp;prop_id=18830</v>
      </c>
      <c r="N7551" s="1">
        <f t="shared" si="589"/>
        <v>18830</v>
      </c>
    </row>
    <row r="7552" spans="1:14" s="114" customFormat="1" x14ac:dyDescent="0.3">
      <c r="A7552" s="111">
        <v>18831</v>
      </c>
      <c r="B7552" s="127" t="s">
        <v>5893</v>
      </c>
      <c r="C7552" s="128">
        <v>6008</v>
      </c>
      <c r="D7552" s="127" t="s">
        <v>11310</v>
      </c>
      <c r="E7552" s="127" t="s">
        <v>4996</v>
      </c>
      <c r="F7552" s="114" t="str">
        <f t="shared" si="585"/>
        <v>Maple</v>
      </c>
      <c r="G7552" s="114" t="str">
        <f t="shared" si="586"/>
        <v>Maple6008Dallas</v>
      </c>
      <c r="H7552" s="114" t="s">
        <v>38407</v>
      </c>
      <c r="I7552" s="114" t="s">
        <v>29821</v>
      </c>
      <c r="J7552" s="114" t="str">
        <f t="shared" si="587"/>
        <v>E:\PropInv\MF</v>
      </c>
      <c r="K7552" s="115" t="str">
        <f>HYPERLINK("E:\PropInv\MF\Dallas\Maple Ave_6008_The EON at Maple_Dallas_18831","Maple Ave_6008_The EON at Maple_Dallas_18831" )</f>
        <v>Maple Ave_6008_The EON at Maple_Dallas_18831</v>
      </c>
      <c r="L7552" s="116" t="s">
        <v>22253</v>
      </c>
      <c r="M7552" s="115" t="str">
        <f t="shared" si="588"/>
        <v>http://oconnordata.com/mlink/modules/profile/index.cfm?action=profile&amp;prop_id=18831</v>
      </c>
      <c r="N7552" s="111">
        <f t="shared" si="589"/>
        <v>18831</v>
      </c>
    </row>
    <row r="7553" spans="1:14" x14ac:dyDescent="0.3">
      <c r="A7553" s="1">
        <v>18832</v>
      </c>
      <c r="B7553" s="7" t="s">
        <v>5434</v>
      </c>
      <c r="C7553" s="12">
        <v>1810</v>
      </c>
      <c r="D7553" s="7" t="s">
        <v>11311</v>
      </c>
      <c r="E7553" s="13" t="s">
        <v>4996</v>
      </c>
      <c r="F7553" t="str">
        <f t="shared" si="585"/>
        <v>Commerce</v>
      </c>
      <c r="G7553" t="str">
        <f t="shared" si="586"/>
        <v>Commerce1810Dallas</v>
      </c>
      <c r="H7553" t="s">
        <v>38408</v>
      </c>
      <c r="I7553" t="s">
        <v>29822</v>
      </c>
      <c r="J7553" t="str">
        <f t="shared" si="587"/>
        <v>E:\PropInv\MF</v>
      </c>
      <c r="K7553" s="103" t="str">
        <f>HYPERLINK("E:\PropInv\MF\Dallas\Commerce_1810_Mercantile Place-The Continental_Dallas_18832","Commerce_1810_Mercantile Place-The Continental_Dallas_18832" )</f>
        <v>Commerce_1810_Mercantile Place-The Continental_Dallas_18832</v>
      </c>
      <c r="L7553" s="104" t="s">
        <v>22253</v>
      </c>
      <c r="M7553" s="103" t="str">
        <f t="shared" si="588"/>
        <v>http://oconnordata.com/mlink/modules/profile/index.cfm?action=profile&amp;prop_id=18832</v>
      </c>
      <c r="N7553" s="1">
        <f t="shared" si="589"/>
        <v>18832</v>
      </c>
    </row>
    <row r="7554" spans="1:14" x14ac:dyDescent="0.3">
      <c r="A7554" s="1">
        <v>18833</v>
      </c>
      <c r="B7554" s="7" t="s">
        <v>11312</v>
      </c>
      <c r="C7554" s="12">
        <v>1900</v>
      </c>
      <c r="D7554" s="7" t="s">
        <v>11313</v>
      </c>
      <c r="E7554" s="13" t="s">
        <v>4996</v>
      </c>
      <c r="F7554" t="str">
        <f t="shared" ref="F7554:F7617" si="590">IFERROR(LEFT(B7554,FIND(" ",B7554)-1),B7554)</f>
        <v>Jackson</v>
      </c>
      <c r="G7554" t="str">
        <f t="shared" ref="G7554:G7617" si="591">F7554&amp;C7554&amp;E7554</f>
        <v>Jackson1900Dallas</v>
      </c>
      <c r="H7554" t="s">
        <v>38409</v>
      </c>
      <c r="I7554" t="s">
        <v>29823</v>
      </c>
      <c r="J7554" t="str">
        <f t="shared" ref="J7554:J7617" si="592">IF(L7554="TX",Folder_Path,Folder_Path&amp;"\State_"&amp;L7554)</f>
        <v>E:\PropInv\MF</v>
      </c>
      <c r="K7554" s="103" t="str">
        <f>HYPERLINK("E:\PropInv\MF\Dallas\Jackson St_1900_Atmos Lofts_Dallas_18833","Jackson St_1900_Atmos Lofts_Dallas_18833" )</f>
        <v>Jackson St_1900_Atmos Lofts_Dallas_18833</v>
      </c>
      <c r="L7554" s="104" t="s">
        <v>22253</v>
      </c>
      <c r="M7554" s="103" t="str">
        <f t="shared" ref="M7554:M7613" si="593">HYPERLINK("http://oconnordata.com/mlink/modules/profile/index.cfm?action=profile&amp;prop_id="&amp;A7554)</f>
        <v>http://oconnordata.com/mlink/modules/profile/index.cfm?action=profile&amp;prop_id=18833</v>
      </c>
      <c r="N7554" s="1">
        <f t="shared" ref="N7554:N7617" si="594">IF(LEN(A7554)=1,"0000"&amp;A7554,IF(LEN(A7554)=2,"000"&amp;A7554,IF(LEN(A7554)=3,"00"&amp;A7554,IF(LEN(A7554)=4,"0"&amp;A7554,IF(LEN(A7554)=5,IF(LEFT(A7554,1)="3",A7554+30000,A7554))))))</f>
        <v>18833</v>
      </c>
    </row>
    <row r="7555" spans="1:14" x14ac:dyDescent="0.3">
      <c r="A7555" s="1">
        <v>18835</v>
      </c>
      <c r="B7555" s="7" t="s">
        <v>11314</v>
      </c>
      <c r="C7555" s="12">
        <v>7755</v>
      </c>
      <c r="D7555" s="7" t="s">
        <v>11315</v>
      </c>
      <c r="E7555" s="25" t="s">
        <v>5488</v>
      </c>
      <c r="F7555" t="str">
        <f t="shared" si="590"/>
        <v>John</v>
      </c>
      <c r="G7555" t="str">
        <f t="shared" si="591"/>
        <v>John7755Frisco</v>
      </c>
      <c r="H7555" t="s">
        <v>38410</v>
      </c>
      <c r="I7555" t="s">
        <v>29824</v>
      </c>
      <c r="J7555" t="str">
        <f t="shared" si="592"/>
        <v>E:\PropInv\MF</v>
      </c>
      <c r="K7555" s="103" t="str">
        <f>HYPERLINK("E:\PropInv\MF\Frisco\John Q Hammons Dr_7755_AMLI at the Ballpark_Frisco_18835","John Q Hammons Dr_7755_AMLI at the Ballpark_Frisco_18835" )</f>
        <v>John Q Hammons Dr_7755_AMLI at the Ballpark_Frisco_18835</v>
      </c>
      <c r="L7555" s="104" t="s">
        <v>22253</v>
      </c>
      <c r="M7555" s="103" t="str">
        <f t="shared" si="593"/>
        <v>http://oconnordata.com/mlink/modules/profile/index.cfm?action=profile&amp;prop_id=18835</v>
      </c>
      <c r="N7555" s="1">
        <f t="shared" si="594"/>
        <v>18835</v>
      </c>
    </row>
    <row r="7556" spans="1:14" x14ac:dyDescent="0.3">
      <c r="A7556" s="1">
        <v>18836</v>
      </c>
      <c r="B7556" s="7" t="s">
        <v>11316</v>
      </c>
      <c r="C7556" s="12">
        <v>444</v>
      </c>
      <c r="D7556" s="7" t="s">
        <v>11317</v>
      </c>
      <c r="E7556" s="13" t="s">
        <v>6898</v>
      </c>
      <c r="F7556" t="str">
        <f t="shared" si="590"/>
        <v>Renfro</v>
      </c>
      <c r="G7556" t="str">
        <f t="shared" si="591"/>
        <v>Renfro444Burleson</v>
      </c>
      <c r="H7556" t="s">
        <v>38411</v>
      </c>
      <c r="I7556" t="s">
        <v>29825</v>
      </c>
      <c r="J7556" t="str">
        <f t="shared" si="592"/>
        <v>E:\PropInv\MF</v>
      </c>
      <c r="K7556" s="103" t="str">
        <f>HYPERLINK("E:\PropInv\MF\Burleson\Renfro St E_444_Reserve at Village Creek_Burleson_18836","Renfro St E_444_Reserve at Village Creek_Burleson_18836" )</f>
        <v>Renfro St E_444_Reserve at Village Creek_Burleson_18836</v>
      </c>
      <c r="L7556" s="104" t="s">
        <v>22253</v>
      </c>
      <c r="M7556" s="103" t="str">
        <f t="shared" si="593"/>
        <v>http://oconnordata.com/mlink/modules/profile/index.cfm?action=profile&amp;prop_id=18836</v>
      </c>
      <c r="N7556" s="1">
        <f t="shared" si="594"/>
        <v>18836</v>
      </c>
    </row>
    <row r="7557" spans="1:14" x14ac:dyDescent="0.3">
      <c r="A7557" s="1">
        <v>18837</v>
      </c>
      <c r="B7557" s="7" t="s">
        <v>11318</v>
      </c>
      <c r="C7557" s="12">
        <v>3551</v>
      </c>
      <c r="D7557" s="7" t="s">
        <v>11319</v>
      </c>
      <c r="E7557" s="13" t="s">
        <v>3328</v>
      </c>
      <c r="F7557" t="str">
        <f t="shared" si="590"/>
        <v>Star</v>
      </c>
      <c r="G7557" t="str">
        <f t="shared" si="591"/>
        <v>Star3551Richardson</v>
      </c>
      <c r="H7557" t="s">
        <v>38412</v>
      </c>
      <c r="I7557" t="s">
        <v>29826</v>
      </c>
      <c r="J7557" t="str">
        <f t="shared" si="592"/>
        <v>E:\PropInv\MF</v>
      </c>
      <c r="K7557" s="103" t="str">
        <f>HYPERLINK("E:\PropInv\MF\Richardson\Star Rd N_3551_Evergreen at Richardson_Richardson_18837","Star Rd N_3551_Evergreen at Richardson_Richardson_18837" )</f>
        <v>Star Rd N_3551_Evergreen at Richardson_Richardson_18837</v>
      </c>
      <c r="L7557" s="104" t="s">
        <v>22253</v>
      </c>
      <c r="M7557" s="103" t="str">
        <f t="shared" si="593"/>
        <v>http://oconnordata.com/mlink/modules/profile/index.cfm?action=profile&amp;prop_id=18837</v>
      </c>
      <c r="N7557" s="1">
        <f t="shared" si="594"/>
        <v>18837</v>
      </c>
    </row>
    <row r="7558" spans="1:14" x14ac:dyDescent="0.3">
      <c r="A7558" s="1">
        <v>18838</v>
      </c>
      <c r="B7558" s="7" t="s">
        <v>11320</v>
      </c>
      <c r="C7558" s="12">
        <v>4616</v>
      </c>
      <c r="D7558" s="7" t="s">
        <v>11321</v>
      </c>
      <c r="E7558" s="13" t="s">
        <v>7</v>
      </c>
      <c r="F7558" t="str">
        <f t="shared" si="590"/>
        <v>Triangle</v>
      </c>
      <c r="G7558" t="str">
        <f t="shared" si="591"/>
        <v>Triangle4616Austin</v>
      </c>
      <c r="H7558" t="s">
        <v>38413</v>
      </c>
      <c r="I7558" t="s">
        <v>29827</v>
      </c>
      <c r="J7558" t="str">
        <f t="shared" si="592"/>
        <v>E:\PropInv\MF</v>
      </c>
      <c r="K7558" s="103" t="str">
        <f>HYPERLINK("E:\PropInv\MF\Austin\Triangle Blvd_4616_The Lofts at the Triangle_Austin_18838","Triangle Blvd_4616_The Lofts at the Triangle_Austin_18838" )</f>
        <v>Triangle Blvd_4616_The Lofts at the Triangle_Austin_18838</v>
      </c>
      <c r="L7558" s="104" t="s">
        <v>22253</v>
      </c>
      <c r="M7558" s="103" t="str">
        <f t="shared" si="593"/>
        <v>http://oconnordata.com/mlink/modules/profile/index.cfm?action=profile&amp;prop_id=18838</v>
      </c>
      <c r="N7558" s="1">
        <f t="shared" si="594"/>
        <v>18838</v>
      </c>
    </row>
    <row r="7559" spans="1:14" x14ac:dyDescent="0.3">
      <c r="A7559" s="1">
        <v>18839</v>
      </c>
      <c r="B7559" s="7" t="s">
        <v>8974</v>
      </c>
      <c r="C7559" s="12">
        <v>4600</v>
      </c>
      <c r="D7559" s="7" t="s">
        <v>11322</v>
      </c>
      <c r="E7559" s="13" t="s">
        <v>7</v>
      </c>
      <c r="F7559" t="str">
        <f t="shared" si="590"/>
        <v>Guadalupe</v>
      </c>
      <c r="G7559" t="str">
        <f t="shared" si="591"/>
        <v>Guadalupe4600Austin</v>
      </c>
      <c r="H7559" t="s">
        <v>38414</v>
      </c>
      <c r="I7559" t="s">
        <v>29828</v>
      </c>
      <c r="J7559" t="str">
        <f t="shared" si="592"/>
        <v>E:\PropInv\MF</v>
      </c>
      <c r="K7559" s="103" t="str">
        <f>HYPERLINK("E:\PropInv\MF\Austin\Guadalupe St W_4600_Triangle II-Residences_Austin_18839","Guadalupe St W_4600_Triangle II-Residences_Austin_18839" )</f>
        <v>Guadalupe St W_4600_Triangle II-Residences_Austin_18839</v>
      </c>
      <c r="L7559" s="104" t="s">
        <v>22253</v>
      </c>
      <c r="M7559" s="103" t="str">
        <f t="shared" si="593"/>
        <v>http://oconnordata.com/mlink/modules/profile/index.cfm?action=profile&amp;prop_id=18839</v>
      </c>
      <c r="N7559" s="1">
        <f t="shared" si="594"/>
        <v>18839</v>
      </c>
    </row>
    <row r="7560" spans="1:14" x14ac:dyDescent="0.3">
      <c r="A7560" s="1">
        <v>18840</v>
      </c>
      <c r="B7560" s="7" t="s">
        <v>11198</v>
      </c>
      <c r="C7560" s="12">
        <v>12105</v>
      </c>
      <c r="D7560" s="7" t="s">
        <v>11323</v>
      </c>
      <c r="E7560" s="13" t="s">
        <v>842</v>
      </c>
      <c r="F7560" t="str">
        <f t="shared" si="590"/>
        <v>151</v>
      </c>
      <c r="G7560" t="str">
        <f t="shared" si="591"/>
        <v>15112105San Antonio</v>
      </c>
      <c r="H7560" t="s">
        <v>38415</v>
      </c>
      <c r="I7560" t="s">
        <v>29829</v>
      </c>
      <c r="J7560" t="str">
        <f t="shared" si="592"/>
        <v>E:\PropInv\MF</v>
      </c>
      <c r="K7560" s="103" t="str">
        <f>HYPERLINK("E:\PropInv\MF\San Antonio\151 SH_12105_Westover Springs_San Antonio_18840","151 SH_12105_Westover Springs_San Antonio_18840" )</f>
        <v>151 SH_12105_Westover Springs_San Antonio_18840</v>
      </c>
      <c r="L7560" s="104" t="s">
        <v>22253</v>
      </c>
      <c r="M7560" s="103" t="str">
        <f t="shared" si="593"/>
        <v>http://oconnordata.com/mlink/modules/profile/index.cfm?action=profile&amp;prop_id=18840</v>
      </c>
      <c r="N7560" s="1">
        <f t="shared" si="594"/>
        <v>18840</v>
      </c>
    </row>
    <row r="7561" spans="1:14" x14ac:dyDescent="0.3">
      <c r="A7561" s="1">
        <v>18841</v>
      </c>
      <c r="B7561" s="7" t="s">
        <v>11324</v>
      </c>
      <c r="C7561" s="12">
        <v>1300</v>
      </c>
      <c r="D7561" s="7" t="s">
        <v>4767</v>
      </c>
      <c r="E7561" s="13" t="s">
        <v>8765</v>
      </c>
      <c r="F7561" t="str">
        <f t="shared" si="590"/>
        <v>Dallas</v>
      </c>
      <c r="G7561" t="str">
        <f t="shared" si="591"/>
        <v>Dallas1300Mansfield</v>
      </c>
      <c r="H7561" t="s">
        <v>38416</v>
      </c>
      <c r="I7561" t="s">
        <v>29830</v>
      </c>
      <c r="J7561" t="str">
        <f t="shared" si="592"/>
        <v>E:\PropInv\MF</v>
      </c>
      <c r="K7561" s="103" t="str">
        <f>HYPERLINK("E:\PropInv\MF\Mansfield\Dallas St E_1300_Tanglewood_Mansfield_18841","Dallas St E_1300_Tanglewood_Mansfield_18841" )</f>
        <v>Dallas St E_1300_Tanglewood_Mansfield_18841</v>
      </c>
      <c r="L7561" s="104" t="s">
        <v>22253</v>
      </c>
      <c r="M7561" s="103" t="str">
        <f t="shared" si="593"/>
        <v>http://oconnordata.com/mlink/modules/profile/index.cfm?action=profile&amp;prop_id=18841</v>
      </c>
      <c r="N7561" s="1">
        <f t="shared" si="594"/>
        <v>18841</v>
      </c>
    </row>
    <row r="7562" spans="1:14" x14ac:dyDescent="0.3">
      <c r="A7562" s="1">
        <v>18843</v>
      </c>
      <c r="B7562" s="7" t="s">
        <v>75</v>
      </c>
      <c r="C7562" s="12">
        <v>7700</v>
      </c>
      <c r="D7562" s="7" t="s">
        <v>11325</v>
      </c>
      <c r="E7562" s="13" t="s">
        <v>7</v>
      </c>
      <c r="F7562" t="str">
        <f t="shared" si="590"/>
        <v>35</v>
      </c>
      <c r="G7562" t="str">
        <f t="shared" si="591"/>
        <v>357700Austin</v>
      </c>
      <c r="H7562" t="s">
        <v>38417</v>
      </c>
      <c r="I7562" t="s">
        <v>29831</v>
      </c>
      <c r="J7562" t="str">
        <f t="shared" si="592"/>
        <v>E:\PropInv\MF</v>
      </c>
      <c r="K7562" s="103" t="str">
        <f>HYPERLINK("E:\PropInv\MF\Austin\35 IH S_7700_Ladera Hill Country_Austin_18843","35 IH S_7700_Ladera Hill Country_Austin_18843" )</f>
        <v>35 IH S_7700_Ladera Hill Country_Austin_18843</v>
      </c>
      <c r="L7562" s="104" t="s">
        <v>22253</v>
      </c>
      <c r="M7562" s="103" t="str">
        <f t="shared" si="593"/>
        <v>http://oconnordata.com/mlink/modules/profile/index.cfm?action=profile&amp;prop_id=18843</v>
      </c>
      <c r="N7562" s="1">
        <f t="shared" si="594"/>
        <v>18843</v>
      </c>
    </row>
    <row r="7563" spans="1:14" s="114" customFormat="1" x14ac:dyDescent="0.3">
      <c r="A7563" s="111">
        <v>18844</v>
      </c>
      <c r="B7563" s="127" t="s">
        <v>560</v>
      </c>
      <c r="C7563" s="128">
        <v>512</v>
      </c>
      <c r="D7563" s="127" t="s">
        <v>11326</v>
      </c>
      <c r="E7563" s="127" t="s">
        <v>498</v>
      </c>
      <c r="F7563" s="114" t="str">
        <f t="shared" si="590"/>
        <v>Craddock</v>
      </c>
      <c r="G7563" s="114" t="str">
        <f t="shared" si="591"/>
        <v>Craddock512San Marcos</v>
      </c>
      <c r="H7563" s="114" t="s">
        <v>38418</v>
      </c>
      <c r="I7563" s="114" t="s">
        <v>29832</v>
      </c>
      <c r="J7563" s="114" t="str">
        <f t="shared" si="592"/>
        <v>E:\PropInv\MF</v>
      </c>
      <c r="K7563" s="115" t="str">
        <f>HYPERLINK("E:\PropInv\MF\San Marcos\Craddock Ave_512_The Retreat at San Marcos_San Marcos_18844","Craddock Ave_512_The Retreat at San Marcos_San Marcos_18844" )</f>
        <v>Craddock Ave_512_The Retreat at San Marcos_San Marcos_18844</v>
      </c>
      <c r="L7563" s="116" t="s">
        <v>22253</v>
      </c>
      <c r="M7563" s="115" t="str">
        <f t="shared" si="593"/>
        <v>http://oconnordata.com/mlink/modules/profile/index.cfm?action=profile&amp;prop_id=18844</v>
      </c>
      <c r="N7563" s="111">
        <f t="shared" si="594"/>
        <v>18844</v>
      </c>
    </row>
    <row r="7564" spans="1:14" x14ac:dyDescent="0.3">
      <c r="A7564" s="1">
        <v>18845</v>
      </c>
      <c r="B7564" s="7" t="s">
        <v>4510</v>
      </c>
      <c r="C7564" s="12">
        <v>7145</v>
      </c>
      <c r="D7564" s="7" t="s">
        <v>11327</v>
      </c>
      <c r="E7564" s="13" t="s">
        <v>4428</v>
      </c>
      <c r="F7564" t="str">
        <f t="shared" si="590"/>
        <v>Reading</v>
      </c>
      <c r="G7564" t="str">
        <f t="shared" si="591"/>
        <v>Reading7145Rosenberg</v>
      </c>
      <c r="H7564" t="s">
        <v>38419</v>
      </c>
      <c r="I7564" t="s">
        <v>29833</v>
      </c>
      <c r="J7564" t="str">
        <f t="shared" si="592"/>
        <v>E:\PropInv\MF</v>
      </c>
      <c r="K7564" s="103" t="str">
        <f>HYPERLINK("E:\PropInv\MF\Rosenberg\Reading Rd_7145_Dolce Living at Rosenberg_Rosenberg_18845","Reading Rd_7145_Dolce Living at Rosenberg_Rosenberg_18845" )</f>
        <v>Reading Rd_7145_Dolce Living at Rosenberg_Rosenberg_18845</v>
      </c>
      <c r="L7564" s="104" t="s">
        <v>22253</v>
      </c>
      <c r="M7564" s="103" t="str">
        <f t="shared" si="593"/>
        <v>http://oconnordata.com/mlink/modules/profile/index.cfm?action=profile&amp;prop_id=18845</v>
      </c>
      <c r="N7564" s="1">
        <f t="shared" si="594"/>
        <v>18845</v>
      </c>
    </row>
    <row r="7565" spans="1:14" x14ac:dyDescent="0.3">
      <c r="A7565" s="1">
        <v>18846</v>
      </c>
      <c r="B7565" s="7" t="s">
        <v>550</v>
      </c>
      <c r="C7565" s="12">
        <v>510</v>
      </c>
      <c r="D7565" s="7" t="s">
        <v>11328</v>
      </c>
      <c r="E7565" s="13" t="s">
        <v>7</v>
      </c>
      <c r="F7565" t="str">
        <f t="shared" si="590"/>
        <v>26th</v>
      </c>
      <c r="G7565" t="str">
        <f t="shared" si="591"/>
        <v>26th510Austin</v>
      </c>
      <c r="H7565" t="s">
        <v>38420</v>
      </c>
      <c r="I7565" t="s">
        <v>29834</v>
      </c>
      <c r="J7565" t="str">
        <f t="shared" si="592"/>
        <v>E:\PropInv\MF</v>
      </c>
      <c r="K7565" s="103" t="str">
        <f>HYPERLINK("E:\PropInv\MF\Austin\26th St W_510_GrandMarc Austin_Austin_18846","26th St W_510_GrandMarc Austin_Austin_18846" )</f>
        <v>26th St W_510_GrandMarc Austin_Austin_18846</v>
      </c>
      <c r="L7565" s="104" t="s">
        <v>22253</v>
      </c>
      <c r="M7565" s="103" t="str">
        <f t="shared" si="593"/>
        <v>http://oconnordata.com/mlink/modules/profile/index.cfm?action=profile&amp;prop_id=18846</v>
      </c>
      <c r="N7565" s="1">
        <f t="shared" si="594"/>
        <v>18846</v>
      </c>
    </row>
    <row r="7566" spans="1:14" x14ac:dyDescent="0.3">
      <c r="A7566" s="1">
        <v>18847</v>
      </c>
      <c r="B7566" s="7" t="s">
        <v>11329</v>
      </c>
      <c r="C7566" s="12">
        <v>5402</v>
      </c>
      <c r="D7566" s="7" t="s">
        <v>11330</v>
      </c>
      <c r="E7566" s="25" t="s">
        <v>4462</v>
      </c>
      <c r="F7566" t="str">
        <f t="shared" si="590"/>
        <v>1488</v>
      </c>
      <c r="G7566" t="str">
        <f t="shared" si="591"/>
        <v>14885402Magnolia</v>
      </c>
      <c r="H7566" t="s">
        <v>38421</v>
      </c>
      <c r="I7566" t="s">
        <v>29835</v>
      </c>
      <c r="J7566" t="str">
        <f t="shared" si="592"/>
        <v>E:\PropInv\MF</v>
      </c>
      <c r="K7566" s="103" t="str">
        <f>HYPERLINK("E:\PropInv\MF\Magnolia\1488 FM Rd_5402_Landmark of Magnolia_Magnolia_18847","1488 FM Rd_5402_Landmark of Magnolia_Magnolia_18847" )</f>
        <v>1488 FM Rd_5402_Landmark of Magnolia_Magnolia_18847</v>
      </c>
      <c r="L7566" s="104" t="s">
        <v>22253</v>
      </c>
      <c r="M7566" s="103" t="str">
        <f t="shared" si="593"/>
        <v>http://oconnordata.com/mlink/modules/profile/index.cfm?action=profile&amp;prop_id=18847</v>
      </c>
      <c r="N7566" s="1">
        <f t="shared" si="594"/>
        <v>18847</v>
      </c>
    </row>
    <row r="7567" spans="1:14" x14ac:dyDescent="0.3">
      <c r="A7567" s="1">
        <v>18848</v>
      </c>
      <c r="B7567" s="7" t="s">
        <v>11331</v>
      </c>
      <c r="C7567" s="12">
        <v>501</v>
      </c>
      <c r="D7567" s="7" t="s">
        <v>11332</v>
      </c>
      <c r="E7567" s="13" t="s">
        <v>8612</v>
      </c>
      <c r="F7567" t="str">
        <f t="shared" si="590"/>
        <v>Nagle</v>
      </c>
      <c r="G7567" t="str">
        <f t="shared" si="591"/>
        <v>Nagle501College Station</v>
      </c>
      <c r="H7567" t="s">
        <v>38422</v>
      </c>
      <c r="I7567" t="s">
        <v>29836</v>
      </c>
      <c r="J7567" t="str">
        <f t="shared" si="592"/>
        <v>E:\PropInv\MF</v>
      </c>
      <c r="K7567" s="103" t="str">
        <f>HYPERLINK("E:\PropInv\MF\College Station\Nagle St_501_Normandy Square_College Station_18848","Nagle St_501_Normandy Square_College Station_18848" )</f>
        <v>Nagle St_501_Normandy Square_College Station_18848</v>
      </c>
      <c r="L7567" s="104" t="s">
        <v>22253</v>
      </c>
      <c r="M7567" s="103" t="str">
        <f t="shared" si="593"/>
        <v>http://oconnordata.com/mlink/modules/profile/index.cfm?action=profile&amp;prop_id=18848</v>
      </c>
      <c r="N7567" s="1">
        <f t="shared" si="594"/>
        <v>18848</v>
      </c>
    </row>
    <row r="7568" spans="1:14" x14ac:dyDescent="0.3">
      <c r="A7568" s="1">
        <v>18851</v>
      </c>
      <c r="B7568" s="7" t="s">
        <v>11333</v>
      </c>
      <c r="C7568" s="12">
        <v>11903</v>
      </c>
      <c r="D7568" s="7" t="s">
        <v>11334</v>
      </c>
      <c r="E7568" s="13" t="s">
        <v>842</v>
      </c>
      <c r="F7568" t="str">
        <f t="shared" si="590"/>
        <v>Parliament</v>
      </c>
      <c r="G7568" t="str">
        <f t="shared" si="591"/>
        <v>Parliament11903San Antonio</v>
      </c>
      <c r="H7568" t="s">
        <v>38423</v>
      </c>
      <c r="I7568" t="s">
        <v>29837</v>
      </c>
      <c r="J7568" t="str">
        <f t="shared" si="592"/>
        <v>E:\PropInv\MF</v>
      </c>
      <c r="K7568" s="103" t="str">
        <f>HYPERLINK("E:\PropInv\MF\San Antonio\Parliament St_11903_Sir Winston Villas_San Antonio_18851","Parliament St_11903_Sir Winston Villas_San Antonio_18851" )</f>
        <v>Parliament St_11903_Sir Winston Villas_San Antonio_18851</v>
      </c>
      <c r="L7568" s="104" t="s">
        <v>22253</v>
      </c>
      <c r="M7568" s="103" t="str">
        <f t="shared" si="593"/>
        <v>http://oconnordata.com/mlink/modules/profile/index.cfm?action=profile&amp;prop_id=18851</v>
      </c>
      <c r="N7568" s="1">
        <f t="shared" si="594"/>
        <v>18851</v>
      </c>
    </row>
    <row r="7569" spans="1:14" x14ac:dyDescent="0.3">
      <c r="A7569" s="1">
        <v>18852</v>
      </c>
      <c r="B7569" s="7" t="s">
        <v>5583</v>
      </c>
      <c r="C7569" s="12">
        <v>401</v>
      </c>
      <c r="D7569" s="7" t="s">
        <v>11335</v>
      </c>
      <c r="E7569" s="13" t="s">
        <v>5046</v>
      </c>
      <c r="F7569" t="str">
        <f t="shared" si="590"/>
        <v>NW</v>
      </c>
      <c r="G7569" t="str">
        <f t="shared" si="591"/>
        <v>NW401Irving</v>
      </c>
      <c r="H7569" t="s">
        <v>38424</v>
      </c>
      <c r="I7569" t="s">
        <v>29838</v>
      </c>
      <c r="J7569" t="str">
        <f t="shared" si="592"/>
        <v>E:\PropInv\MF</v>
      </c>
      <c r="K7569" s="103" t="str">
        <f>HYPERLINK("E:\PropInv\MF\Irving\NW Hwy W_401_Lincoln Las Colinas_Irving_18852","NW Hwy W_401_Lincoln Las Colinas_Irving_18852" )</f>
        <v>NW Hwy W_401_Lincoln Las Colinas_Irving_18852</v>
      </c>
      <c r="L7569" s="104" t="s">
        <v>22253</v>
      </c>
      <c r="M7569" s="103" t="str">
        <f t="shared" si="593"/>
        <v>http://oconnordata.com/mlink/modules/profile/index.cfm?action=profile&amp;prop_id=18852</v>
      </c>
      <c r="N7569" s="1">
        <f t="shared" si="594"/>
        <v>18852</v>
      </c>
    </row>
    <row r="7570" spans="1:14" x14ac:dyDescent="0.3">
      <c r="A7570" s="1">
        <v>18854</v>
      </c>
      <c r="B7570" s="7" t="s">
        <v>11336</v>
      </c>
      <c r="C7570" s="12">
        <v>5940</v>
      </c>
      <c r="D7570" s="7" t="s">
        <v>11337</v>
      </c>
      <c r="E7570" s="13" t="s">
        <v>4996</v>
      </c>
      <c r="F7570" t="str">
        <f t="shared" si="590"/>
        <v>Forest</v>
      </c>
      <c r="G7570" t="str">
        <f t="shared" si="591"/>
        <v>Forest5940Dallas</v>
      </c>
      <c r="H7570" t="s">
        <v>38425</v>
      </c>
      <c r="I7570" t="s">
        <v>29839</v>
      </c>
      <c r="J7570" t="str">
        <f t="shared" si="592"/>
        <v>E:\PropInv\MF</v>
      </c>
      <c r="K7570" s="103" t="str">
        <f>HYPERLINK("E:\PropInv\MF\Dallas\Forest Park Rd_5940_Alexan Medical District_Dallas_18854","Forest Park Rd_5940_Alexan Medical District_Dallas_18854" )</f>
        <v>Forest Park Rd_5940_Alexan Medical District_Dallas_18854</v>
      </c>
      <c r="L7570" s="104" t="s">
        <v>22253</v>
      </c>
      <c r="M7570" s="103" t="str">
        <f t="shared" si="593"/>
        <v>http://oconnordata.com/mlink/modules/profile/index.cfm?action=profile&amp;prop_id=18854</v>
      </c>
      <c r="N7570" s="1">
        <f t="shared" si="594"/>
        <v>18854</v>
      </c>
    </row>
    <row r="7571" spans="1:14" x14ac:dyDescent="0.3">
      <c r="A7571" s="1">
        <v>18855</v>
      </c>
      <c r="B7571" s="7" t="s">
        <v>6952</v>
      </c>
      <c r="C7571" s="12">
        <v>5920</v>
      </c>
      <c r="D7571" s="7" t="s">
        <v>11338</v>
      </c>
      <c r="E7571" s="13" t="s">
        <v>4996</v>
      </c>
      <c r="F7571" t="str">
        <f t="shared" si="590"/>
        <v>University</v>
      </c>
      <c r="G7571" t="str">
        <f t="shared" si="591"/>
        <v>University5920Dallas</v>
      </c>
      <c r="H7571" t="s">
        <v>38426</v>
      </c>
      <c r="I7571" t="s">
        <v>29840</v>
      </c>
      <c r="J7571" t="str">
        <f t="shared" si="592"/>
        <v>E:\PropInv\MF</v>
      </c>
      <c r="K7571" s="103" t="str">
        <f>HYPERLINK("E:\PropInv\MF\Dallas\University Blvd E_5920_The Standard_Dallas_18855","University Blvd E_5920_The Standard_Dallas_18855" )</f>
        <v>University Blvd E_5920_The Standard_Dallas_18855</v>
      </c>
      <c r="L7571" s="104" t="s">
        <v>22253</v>
      </c>
      <c r="M7571" s="103" t="str">
        <f t="shared" si="593"/>
        <v>http://oconnordata.com/mlink/modules/profile/index.cfm?action=profile&amp;prop_id=18855</v>
      </c>
      <c r="N7571" s="1">
        <f t="shared" si="594"/>
        <v>18855</v>
      </c>
    </row>
    <row r="7572" spans="1:14" x14ac:dyDescent="0.3">
      <c r="A7572" s="1">
        <v>18856</v>
      </c>
      <c r="B7572" s="7" t="s">
        <v>9682</v>
      </c>
      <c r="C7572" s="12" t="s">
        <v>2497</v>
      </c>
      <c r="D7572" s="7" t="s">
        <v>11339</v>
      </c>
      <c r="E7572" s="25" t="s">
        <v>705</v>
      </c>
      <c r="F7572" t="str">
        <f t="shared" si="590"/>
        <v>Lakeline</v>
      </c>
      <c r="G7572" t="str">
        <f t="shared" si="591"/>
        <v>LakelineNFCedar Park</v>
      </c>
      <c r="H7572" t="s">
        <v>38427</v>
      </c>
      <c r="I7572" t="s">
        <v>29841</v>
      </c>
      <c r="J7572" t="str">
        <f t="shared" si="592"/>
        <v>E:\PropInv\MF</v>
      </c>
      <c r="K7572" s="103" t="str">
        <f>HYPERLINK("E:\PropInv\MF\Cedar Park\Lakeline Blvd_NF_Lakeline East_Cedar Park_18856","Lakeline Blvd_NF_Lakeline East_Cedar Park_18856" )</f>
        <v>Lakeline Blvd_NF_Lakeline East_Cedar Park_18856</v>
      </c>
      <c r="L7572" s="104" t="s">
        <v>22253</v>
      </c>
      <c r="M7572" s="103" t="str">
        <f t="shared" si="593"/>
        <v>http://oconnordata.com/mlink/modules/profile/index.cfm?action=profile&amp;prop_id=18856</v>
      </c>
      <c r="N7572" s="1">
        <f t="shared" si="594"/>
        <v>18856</v>
      </c>
    </row>
    <row r="7573" spans="1:14" x14ac:dyDescent="0.3">
      <c r="A7573" s="1">
        <v>18857</v>
      </c>
      <c r="B7573" s="7" t="s">
        <v>1070</v>
      </c>
      <c r="C7573" s="12">
        <v>8638</v>
      </c>
      <c r="D7573" s="7" t="s">
        <v>11340</v>
      </c>
      <c r="E7573" s="13" t="s">
        <v>842</v>
      </c>
      <c r="F7573" t="str">
        <f t="shared" si="590"/>
        <v>Huebner</v>
      </c>
      <c r="G7573" t="str">
        <f t="shared" si="591"/>
        <v>Huebner8638San Antonio</v>
      </c>
      <c r="H7573" t="s">
        <v>38428</v>
      </c>
      <c r="I7573" t="s">
        <v>29842</v>
      </c>
      <c r="J7573" t="str">
        <f t="shared" si="592"/>
        <v>E:\PropInv\MF</v>
      </c>
      <c r="K7573" s="103" t="str">
        <f>HYPERLINK("E:\PropInv\MF\San Antonio\Huebner Rd_8638_Arden Park_San Antonio_18857","Huebner Rd_8638_Arden Park_San Antonio_18857" )</f>
        <v>Huebner Rd_8638_Arden Park_San Antonio_18857</v>
      </c>
      <c r="L7573" s="104" t="s">
        <v>22253</v>
      </c>
      <c r="M7573" s="103" t="str">
        <f t="shared" si="593"/>
        <v>http://oconnordata.com/mlink/modules/profile/index.cfm?action=profile&amp;prop_id=18857</v>
      </c>
      <c r="N7573" s="1">
        <f t="shared" si="594"/>
        <v>18857</v>
      </c>
    </row>
    <row r="7574" spans="1:14" x14ac:dyDescent="0.3">
      <c r="A7574" s="1">
        <v>18858</v>
      </c>
      <c r="B7574" s="7" t="s">
        <v>1635</v>
      </c>
      <c r="C7574" s="12">
        <v>600</v>
      </c>
      <c r="D7574" s="7" t="s">
        <v>11341</v>
      </c>
      <c r="E7574" s="13" t="s">
        <v>842</v>
      </c>
      <c r="F7574" t="str">
        <f t="shared" si="590"/>
        <v>Sonterra</v>
      </c>
      <c r="G7574" t="str">
        <f t="shared" si="591"/>
        <v>Sonterra600San Antonio</v>
      </c>
      <c r="H7574" t="s">
        <v>38429</v>
      </c>
      <c r="I7574" t="s">
        <v>29843</v>
      </c>
      <c r="J7574" t="str">
        <f t="shared" si="592"/>
        <v>E:\PropInv\MF</v>
      </c>
      <c r="K7574" s="103" t="str">
        <f>HYPERLINK("E:\PropInv\MF\San Antonio\Sonterra Blvd E_600_Siena on Sonterra_San Antonio_18858","Sonterra Blvd E_600_Siena on Sonterra_San Antonio_18858" )</f>
        <v>Sonterra Blvd E_600_Siena on Sonterra_San Antonio_18858</v>
      </c>
      <c r="L7574" s="104" t="s">
        <v>22253</v>
      </c>
      <c r="M7574" s="103" t="str">
        <f t="shared" si="593"/>
        <v>http://oconnordata.com/mlink/modules/profile/index.cfm?action=profile&amp;prop_id=18858</v>
      </c>
      <c r="N7574" s="1">
        <f t="shared" si="594"/>
        <v>18858</v>
      </c>
    </row>
    <row r="7575" spans="1:14" x14ac:dyDescent="0.3">
      <c r="A7575" s="1">
        <v>18859</v>
      </c>
      <c r="B7575" s="7" t="s">
        <v>11342</v>
      </c>
      <c r="C7575" s="12">
        <v>10441</v>
      </c>
      <c r="D7575" s="7" t="s">
        <v>11343</v>
      </c>
      <c r="E7575" s="13" t="s">
        <v>2198</v>
      </c>
      <c r="F7575" t="str">
        <f t="shared" si="590"/>
        <v>Spring</v>
      </c>
      <c r="G7575" t="str">
        <f t="shared" si="591"/>
        <v>Spring10441Katy</v>
      </c>
      <c r="H7575" t="s">
        <v>38430</v>
      </c>
      <c r="I7575" t="s">
        <v>29844</v>
      </c>
      <c r="J7575" t="str">
        <f t="shared" si="592"/>
        <v>E:\PropInv\MF</v>
      </c>
      <c r="K7575" s="103" t="str">
        <f>HYPERLINK("E:\PropInv\MF\Katy\Spring Green Blvd_10441_Lakeside Villas at Cinco Ranch_Katy_18859","Spring Green Blvd_10441_Lakeside Villas at Cinco Ranch_Katy_18859" )</f>
        <v>Spring Green Blvd_10441_Lakeside Villas at Cinco Ranch_Katy_18859</v>
      </c>
      <c r="L7575" s="104" t="s">
        <v>22253</v>
      </c>
      <c r="M7575" s="103" t="str">
        <f t="shared" si="593"/>
        <v>http://oconnordata.com/mlink/modules/profile/index.cfm?action=profile&amp;prop_id=18859</v>
      </c>
      <c r="N7575" s="1">
        <f t="shared" si="594"/>
        <v>18859</v>
      </c>
    </row>
    <row r="7576" spans="1:14" x14ac:dyDescent="0.3">
      <c r="A7576" s="1">
        <v>18860</v>
      </c>
      <c r="B7576" s="7" t="s">
        <v>4921</v>
      </c>
      <c r="C7576" s="12">
        <v>3100</v>
      </c>
      <c r="D7576" s="7" t="s">
        <v>11344</v>
      </c>
      <c r="E7576" s="13" t="s">
        <v>1657</v>
      </c>
      <c r="F7576" t="str">
        <f t="shared" si="590"/>
        <v>Post</v>
      </c>
      <c r="G7576" t="str">
        <f t="shared" si="591"/>
        <v>Post3100Houston</v>
      </c>
      <c r="H7576" t="s">
        <v>38431</v>
      </c>
      <c r="I7576" t="s">
        <v>29845</v>
      </c>
      <c r="J7576" t="str">
        <f t="shared" si="592"/>
        <v>E:\PropInv\MF</v>
      </c>
      <c r="K7576" s="103" t="str">
        <f>HYPERLINK("E:\PropInv\MF\Houston\Post Oak Blvd_3100_Broadstone Post Oak_Houston_18860","Post Oak Blvd_3100_Broadstone Post Oak_Houston_18860" )</f>
        <v>Post Oak Blvd_3100_Broadstone Post Oak_Houston_18860</v>
      </c>
      <c r="L7576" s="104" t="s">
        <v>22253</v>
      </c>
      <c r="M7576" s="103" t="str">
        <f t="shared" si="593"/>
        <v>http://oconnordata.com/mlink/modules/profile/index.cfm?action=profile&amp;prop_id=18860</v>
      </c>
      <c r="N7576" s="1">
        <f t="shared" si="594"/>
        <v>18860</v>
      </c>
    </row>
    <row r="7577" spans="1:14" x14ac:dyDescent="0.3">
      <c r="A7577" s="1">
        <v>18861</v>
      </c>
      <c r="B7577" s="7" t="s">
        <v>6011</v>
      </c>
      <c r="C7577" s="12">
        <v>2990</v>
      </c>
      <c r="D7577" s="7" t="s">
        <v>11345</v>
      </c>
      <c r="E7577" s="13" t="s">
        <v>4996</v>
      </c>
      <c r="F7577" t="str">
        <f t="shared" si="590"/>
        <v>Blackburn</v>
      </c>
      <c r="G7577" t="str">
        <f t="shared" si="591"/>
        <v>Blackburn2990Dallas</v>
      </c>
      <c r="H7577" t="s">
        <v>38432</v>
      </c>
      <c r="I7577" t="s">
        <v>29846</v>
      </c>
      <c r="J7577" t="str">
        <f t="shared" si="592"/>
        <v>E:\PropInv\MF</v>
      </c>
      <c r="K7577" s="103" t="str">
        <f>HYPERLINK("E:\PropInv\MF\Dallas\Blackburn St_2990_Allure_Dallas_18861","Blackburn St_2990_Allure_Dallas_18861" )</f>
        <v>Blackburn St_2990_Allure_Dallas_18861</v>
      </c>
      <c r="L7577" s="104" t="s">
        <v>22253</v>
      </c>
      <c r="M7577" s="103" t="str">
        <f t="shared" si="593"/>
        <v>http://oconnordata.com/mlink/modules/profile/index.cfm?action=profile&amp;prop_id=18861</v>
      </c>
      <c r="N7577" s="1">
        <f t="shared" si="594"/>
        <v>18861</v>
      </c>
    </row>
    <row r="7578" spans="1:14" x14ac:dyDescent="0.3">
      <c r="A7578" s="1">
        <v>18862</v>
      </c>
      <c r="B7578" s="7" t="s">
        <v>5958</v>
      </c>
      <c r="C7578" s="12">
        <v>8749</v>
      </c>
      <c r="D7578" s="7" t="s">
        <v>11346</v>
      </c>
      <c r="E7578" s="13" t="s">
        <v>4996</v>
      </c>
      <c r="F7578" t="str">
        <f t="shared" si="590"/>
        <v>Southwestern</v>
      </c>
      <c r="G7578" t="str">
        <f t="shared" si="591"/>
        <v>Southwestern8749Dallas</v>
      </c>
      <c r="H7578" t="s">
        <v>38433</v>
      </c>
      <c r="I7578" t="s">
        <v>29847</v>
      </c>
      <c r="J7578" t="str">
        <f t="shared" si="592"/>
        <v>E:\PropInv\MF</v>
      </c>
      <c r="K7578" s="103" t="str">
        <f>HYPERLINK("E:\PropInv\MF\Dallas\Southwestern Blvd_8749_The Bluffs-Redevelopment_Dallas_18862","Southwestern Blvd_8749_The Bluffs-Redevelopment_Dallas_18862" )</f>
        <v>Southwestern Blvd_8749_The Bluffs-Redevelopment_Dallas_18862</v>
      </c>
      <c r="L7578" s="104" t="s">
        <v>22253</v>
      </c>
      <c r="M7578" s="103" t="str">
        <f t="shared" si="593"/>
        <v>http://oconnordata.com/mlink/modules/profile/index.cfm?action=profile&amp;prop_id=18862</v>
      </c>
      <c r="N7578" s="1">
        <f t="shared" si="594"/>
        <v>18862</v>
      </c>
    </row>
    <row r="7579" spans="1:14" x14ac:dyDescent="0.3">
      <c r="A7579" s="1">
        <v>18863</v>
      </c>
      <c r="B7579" s="7" t="s">
        <v>11347</v>
      </c>
      <c r="C7579" s="12">
        <v>3120</v>
      </c>
      <c r="D7579" s="7" t="s">
        <v>11348</v>
      </c>
      <c r="E7579" s="13" t="s">
        <v>5014</v>
      </c>
      <c r="F7579" t="str">
        <f t="shared" si="590"/>
        <v>Forest</v>
      </c>
      <c r="G7579" t="str">
        <f t="shared" si="591"/>
        <v>Forest3120Fort Worth</v>
      </c>
      <c r="H7579" t="s">
        <v>38434</v>
      </c>
      <c r="I7579" t="s">
        <v>29848</v>
      </c>
      <c r="J7579" t="str">
        <f t="shared" si="592"/>
        <v>E:\PropInv\MF</v>
      </c>
      <c r="K7579" s="103" t="str">
        <f>HYPERLINK("E:\PropInv\MF\Fort Worth\Forest Park Blvd_3120_LoftVue_Fort Worth_18863","Forest Park Blvd_3120_LoftVue_Fort Worth_18863" )</f>
        <v>Forest Park Blvd_3120_LoftVue_Fort Worth_18863</v>
      </c>
      <c r="L7579" s="104" t="s">
        <v>22253</v>
      </c>
      <c r="M7579" s="103" t="str">
        <f t="shared" si="593"/>
        <v>http://oconnordata.com/mlink/modules/profile/index.cfm?action=profile&amp;prop_id=18863</v>
      </c>
      <c r="N7579" s="1">
        <f t="shared" si="594"/>
        <v>18863</v>
      </c>
    </row>
    <row r="7580" spans="1:14" x14ac:dyDescent="0.3">
      <c r="A7580" s="1">
        <v>18864</v>
      </c>
      <c r="B7580" s="7" t="s">
        <v>11349</v>
      </c>
      <c r="C7580" s="12">
        <v>3201</v>
      </c>
      <c r="D7580" s="7" t="s">
        <v>11350</v>
      </c>
      <c r="E7580" s="13" t="s">
        <v>5014</v>
      </c>
      <c r="F7580" t="str">
        <f t="shared" si="590"/>
        <v>University</v>
      </c>
      <c r="G7580" t="str">
        <f t="shared" si="591"/>
        <v>University3201Fort Worth</v>
      </c>
      <c r="H7580" t="s">
        <v>38435</v>
      </c>
      <c r="I7580" t="s">
        <v>29849</v>
      </c>
      <c r="J7580" t="str">
        <f t="shared" si="592"/>
        <v>E:\PropInv\MF</v>
      </c>
      <c r="K7580" s="103" t="str">
        <f>HYPERLINK("E:\PropInv\MF\Fort Worth\University Dr_3201_The Vue on University Drive_Fort Worth_18864","University Dr_3201_The Vue on University Drive_Fort Worth_18864" )</f>
        <v>University Dr_3201_The Vue on University Drive_Fort Worth_18864</v>
      </c>
      <c r="L7580" s="104" t="s">
        <v>22253</v>
      </c>
      <c r="M7580" s="103" t="str">
        <f t="shared" si="593"/>
        <v>http://oconnordata.com/mlink/modules/profile/index.cfm?action=profile&amp;prop_id=18864</v>
      </c>
      <c r="N7580" s="1">
        <f t="shared" si="594"/>
        <v>18864</v>
      </c>
    </row>
    <row r="7581" spans="1:14" x14ac:dyDescent="0.3">
      <c r="A7581" s="1">
        <v>18865</v>
      </c>
      <c r="B7581" s="7" t="s">
        <v>5358</v>
      </c>
      <c r="C7581" s="12">
        <v>3003</v>
      </c>
      <c r="D7581" s="7" t="s">
        <v>11351</v>
      </c>
      <c r="E7581" s="13" t="s">
        <v>4996</v>
      </c>
      <c r="F7581" t="str">
        <f t="shared" si="590"/>
        <v>Carlisle</v>
      </c>
      <c r="G7581" t="str">
        <f t="shared" si="591"/>
        <v>Carlisle3003Dallas</v>
      </c>
      <c r="H7581" t="s">
        <v>38436</v>
      </c>
      <c r="I7581" t="s">
        <v>29850</v>
      </c>
      <c r="J7581" t="str">
        <f t="shared" si="592"/>
        <v>E:\PropInv\MF</v>
      </c>
      <c r="K7581" s="103" t="str">
        <f>HYPERLINK("E:\PropInv\MF\Dallas\Carlisle St_3003_3003 Carlisle_Dallas_18865","Carlisle St_3003_3003 Carlisle_Dallas_18865" )</f>
        <v>Carlisle St_3003_3003 Carlisle_Dallas_18865</v>
      </c>
      <c r="L7581" s="104" t="s">
        <v>22253</v>
      </c>
      <c r="M7581" s="103" t="str">
        <f t="shared" si="593"/>
        <v>http://oconnordata.com/mlink/modules/profile/index.cfm?action=profile&amp;prop_id=18865</v>
      </c>
      <c r="N7581" s="1">
        <f t="shared" si="594"/>
        <v>18865</v>
      </c>
    </row>
    <row r="7582" spans="1:14" x14ac:dyDescent="0.3">
      <c r="A7582" s="1">
        <v>18866</v>
      </c>
      <c r="B7582" s="7" t="s">
        <v>11352</v>
      </c>
      <c r="C7582" s="12">
        <v>2711</v>
      </c>
      <c r="D7582" s="7" t="s">
        <v>11353</v>
      </c>
      <c r="E7582" s="25" t="s">
        <v>4996</v>
      </c>
      <c r="F7582" t="str">
        <f t="shared" si="590"/>
        <v>Harry</v>
      </c>
      <c r="G7582" t="str">
        <f t="shared" si="591"/>
        <v>Harry2711Dallas</v>
      </c>
      <c r="H7582" t="s">
        <v>38437</v>
      </c>
      <c r="I7582" t="s">
        <v>29851</v>
      </c>
      <c r="J7582" t="str">
        <f t="shared" si="592"/>
        <v>E:\PropInv\MF</v>
      </c>
      <c r="K7582" s="103" t="str">
        <f>HYPERLINK("E:\PropInv\MF\Dallas\Harry Hines Blvd_2711_Alamo Manhattan Victory_Dallas_18866","Harry Hines Blvd_2711_Alamo Manhattan Victory_Dallas_18866" )</f>
        <v>Harry Hines Blvd_2711_Alamo Manhattan Victory_Dallas_18866</v>
      </c>
      <c r="L7582" s="104" t="s">
        <v>22253</v>
      </c>
      <c r="M7582" s="103" t="str">
        <f t="shared" si="593"/>
        <v>http://oconnordata.com/mlink/modules/profile/index.cfm?action=profile&amp;prop_id=18866</v>
      </c>
      <c r="N7582" s="1">
        <f t="shared" si="594"/>
        <v>18866</v>
      </c>
    </row>
    <row r="7583" spans="1:14" x14ac:dyDescent="0.3">
      <c r="A7583" s="97">
        <v>18867</v>
      </c>
      <c r="B7583" s="7" t="s">
        <v>163</v>
      </c>
      <c r="C7583" s="12">
        <v>4013</v>
      </c>
      <c r="D7583" s="7" t="s">
        <v>11354</v>
      </c>
      <c r="E7583" s="13" t="s">
        <v>7</v>
      </c>
      <c r="F7583" t="str">
        <f t="shared" si="590"/>
        <v>Manchaca</v>
      </c>
      <c r="G7583" t="str">
        <f t="shared" si="591"/>
        <v>Manchaca4013Austin</v>
      </c>
      <c r="H7583" t="s">
        <v>38438</v>
      </c>
      <c r="I7583" t="s">
        <v>29852</v>
      </c>
      <c r="J7583" t="str">
        <f t="shared" si="592"/>
        <v>E:\PropInv\MF</v>
      </c>
      <c r="K7583" s="103" t="str">
        <f>HYPERLINK("E:\PropInv\MF\Austin\Manchaca Rd_4013_Woods at Manchaca_Austin_18867","Manchaca Rd_4013_Woods at Manchaca_Austin_18867" )</f>
        <v>Manchaca Rd_4013_Woods at Manchaca_Austin_18867</v>
      </c>
      <c r="L7583" s="104" t="s">
        <v>22253</v>
      </c>
      <c r="M7583" s="103" t="str">
        <f t="shared" si="593"/>
        <v>http://oconnordata.com/mlink/modules/profile/index.cfm?action=profile&amp;prop_id=18867</v>
      </c>
      <c r="N7583" s="1">
        <f t="shared" si="594"/>
        <v>18867</v>
      </c>
    </row>
    <row r="7584" spans="1:14" x14ac:dyDescent="0.3">
      <c r="A7584" s="1">
        <v>18868</v>
      </c>
      <c r="B7584" s="7" t="s">
        <v>2535</v>
      </c>
      <c r="C7584" s="12">
        <v>145</v>
      </c>
      <c r="D7584" s="7" t="s">
        <v>11355</v>
      </c>
      <c r="E7584" s="13" t="s">
        <v>1657</v>
      </c>
      <c r="F7584" t="str">
        <f t="shared" si="590"/>
        <v>Heights</v>
      </c>
      <c r="G7584" t="str">
        <f t="shared" si="591"/>
        <v>Heights145Houston</v>
      </c>
      <c r="H7584" t="s">
        <v>38439</v>
      </c>
      <c r="I7584" t="s">
        <v>29853</v>
      </c>
      <c r="J7584" t="str">
        <f t="shared" si="592"/>
        <v>E:\PropInv\MF</v>
      </c>
      <c r="K7584" s="103" t="str">
        <f>HYPERLINK("E:\PropInv\MF\Houston\Heights Blvd_145_Alta Heights_Houston_18868","Heights Blvd_145_Alta Heights_Houston_18868" )</f>
        <v>Heights Blvd_145_Alta Heights_Houston_18868</v>
      </c>
      <c r="L7584" s="104" t="s">
        <v>22253</v>
      </c>
      <c r="M7584" s="103" t="str">
        <f t="shared" si="593"/>
        <v>http://oconnordata.com/mlink/modules/profile/index.cfm?action=profile&amp;prop_id=18868</v>
      </c>
      <c r="N7584" s="1">
        <f t="shared" si="594"/>
        <v>18868</v>
      </c>
    </row>
    <row r="7585" spans="1:14" x14ac:dyDescent="0.3">
      <c r="A7585" s="1">
        <v>18869</v>
      </c>
      <c r="B7585" s="7" t="s">
        <v>9107</v>
      </c>
      <c r="C7585" s="12">
        <v>850</v>
      </c>
      <c r="D7585" s="7" t="s">
        <v>11356</v>
      </c>
      <c r="E7585" s="13" t="s">
        <v>5046</v>
      </c>
      <c r="F7585" t="str">
        <f t="shared" si="590"/>
        <v>Lake</v>
      </c>
      <c r="G7585" t="str">
        <f t="shared" si="591"/>
        <v>Lake850Irving</v>
      </c>
      <c r="H7585" t="s">
        <v>38440</v>
      </c>
      <c r="I7585" t="s">
        <v>29854</v>
      </c>
      <c r="J7585" t="str">
        <f t="shared" si="592"/>
        <v>E:\PropInv\MF</v>
      </c>
      <c r="K7585" s="103" t="str">
        <f>HYPERLINK("E:\PropInv\MF\Irving\Lake Carolyn Pkwy_850_Alexan Urban Center_Irving_18869","Lake Carolyn Pkwy_850_Alexan Urban Center_Irving_18869" )</f>
        <v>Lake Carolyn Pkwy_850_Alexan Urban Center_Irving_18869</v>
      </c>
      <c r="L7585" s="104" t="s">
        <v>22253</v>
      </c>
      <c r="M7585" s="103" t="str">
        <f t="shared" si="593"/>
        <v>http://oconnordata.com/mlink/modules/profile/index.cfm?action=profile&amp;prop_id=18869</v>
      </c>
      <c r="N7585" s="1">
        <f t="shared" si="594"/>
        <v>18869</v>
      </c>
    </row>
    <row r="7586" spans="1:14" x14ac:dyDescent="0.3">
      <c r="A7586" s="1">
        <v>18871</v>
      </c>
      <c r="B7586" s="7" t="s">
        <v>11357</v>
      </c>
      <c r="C7586" s="12">
        <v>970</v>
      </c>
      <c r="D7586" s="7" t="s">
        <v>11358</v>
      </c>
      <c r="E7586" s="13" t="s">
        <v>5236</v>
      </c>
      <c r="F7586" t="str">
        <f t="shared" si="590"/>
        <v>Yellow</v>
      </c>
      <c r="G7586" t="str">
        <f t="shared" si="591"/>
        <v>Yellow970Rockwall</v>
      </c>
      <c r="H7586" t="s">
        <v>38441</v>
      </c>
      <c r="I7586" t="s">
        <v>29855</v>
      </c>
      <c r="J7586" t="str">
        <f t="shared" si="592"/>
        <v>E:\PropInv\MF</v>
      </c>
      <c r="K7586" s="103" t="str">
        <f>HYPERLINK("E:\PropInv\MF\Rockwall\Yellow Jacket Ln W_970_Sonoma Court_Rockwall_18871","Yellow Jacket Ln W_970_Sonoma Court_Rockwall_18871" )</f>
        <v>Yellow Jacket Ln W_970_Sonoma Court_Rockwall_18871</v>
      </c>
      <c r="L7586" s="104" t="s">
        <v>22253</v>
      </c>
      <c r="M7586" s="103" t="str">
        <f t="shared" si="593"/>
        <v>http://oconnordata.com/mlink/modules/profile/index.cfm?action=profile&amp;prop_id=18871</v>
      </c>
      <c r="N7586" s="1">
        <f t="shared" si="594"/>
        <v>18871</v>
      </c>
    </row>
    <row r="7587" spans="1:14" x14ac:dyDescent="0.3">
      <c r="A7587" s="1">
        <v>18876</v>
      </c>
      <c r="B7587" s="7" t="s">
        <v>11359</v>
      </c>
      <c r="C7587" s="12">
        <v>1440</v>
      </c>
      <c r="D7587" s="7" t="s">
        <v>11360</v>
      </c>
      <c r="E7587" s="13" t="s">
        <v>5060</v>
      </c>
      <c r="F7587" t="str">
        <f t="shared" si="590"/>
        <v>Carrollton</v>
      </c>
      <c r="G7587" t="str">
        <f t="shared" si="591"/>
        <v>Carrollton1440Carrollton</v>
      </c>
      <c r="H7587" t="s">
        <v>38442</v>
      </c>
      <c r="I7587" t="s">
        <v>29856</v>
      </c>
      <c r="J7587" t="str">
        <f t="shared" si="592"/>
        <v>E:\PropInv\MF</v>
      </c>
      <c r="K7587" s="103" t="str">
        <f>HYPERLINK("E:\PropInv\MF\Carrollton\Carrollton Pkwy_1440_The Mansions at Sunset Ridge_Carrollton_18876","Carrollton Pkwy_1440_The Mansions at Sunset Ridge_Carrollton_18876" )</f>
        <v>Carrollton Pkwy_1440_The Mansions at Sunset Ridge_Carrollton_18876</v>
      </c>
      <c r="L7587" s="104" t="s">
        <v>22253</v>
      </c>
      <c r="M7587" s="103" t="str">
        <f t="shared" si="593"/>
        <v>http://oconnordata.com/mlink/modules/profile/index.cfm?action=profile&amp;prop_id=18876</v>
      </c>
      <c r="N7587" s="1">
        <f t="shared" si="594"/>
        <v>18876</v>
      </c>
    </row>
    <row r="7588" spans="1:14" x14ac:dyDescent="0.3">
      <c r="A7588" s="1">
        <v>18877</v>
      </c>
      <c r="B7588" s="7" t="s">
        <v>11361</v>
      </c>
      <c r="C7588" s="12">
        <v>220</v>
      </c>
      <c r="D7588" s="7" t="s">
        <v>11362</v>
      </c>
      <c r="E7588" s="13" t="s">
        <v>4297</v>
      </c>
      <c r="F7588" t="str">
        <f t="shared" si="590"/>
        <v>El</v>
      </c>
      <c r="G7588" t="str">
        <f t="shared" si="591"/>
        <v>El220Friendswood</v>
      </c>
      <c r="H7588" t="s">
        <v>38443</v>
      </c>
      <c r="I7588" t="s">
        <v>29857</v>
      </c>
      <c r="J7588" t="str">
        <f t="shared" si="592"/>
        <v>E:\PropInv\MF</v>
      </c>
      <c r="K7588" s="103" t="str">
        <f>HYPERLINK("E:\PropInv\MF\Friendswood\El Dorado Blvd W_220_Villas at El Dorado_Friendswood_18877","El Dorado Blvd W_220_Villas at El Dorado_Friendswood_18877" )</f>
        <v>El Dorado Blvd W_220_Villas at El Dorado_Friendswood_18877</v>
      </c>
      <c r="L7588" s="104" t="s">
        <v>22253</v>
      </c>
      <c r="M7588" s="103" t="str">
        <f t="shared" si="593"/>
        <v>http://oconnordata.com/mlink/modules/profile/index.cfm?action=profile&amp;prop_id=18877</v>
      </c>
      <c r="N7588" s="1">
        <f t="shared" si="594"/>
        <v>18877</v>
      </c>
    </row>
    <row r="7589" spans="1:14" x14ac:dyDescent="0.3">
      <c r="A7589" s="1">
        <v>18878</v>
      </c>
      <c r="B7589" s="7" t="s">
        <v>11363</v>
      </c>
      <c r="C7589" s="12" t="s">
        <v>2497</v>
      </c>
      <c r="D7589" s="7" t="s">
        <v>11364</v>
      </c>
      <c r="E7589" s="25" t="s">
        <v>1671</v>
      </c>
      <c r="F7589" t="str">
        <f t="shared" si="590"/>
        <v>Holzwarth</v>
      </c>
      <c r="G7589" t="str">
        <f t="shared" si="591"/>
        <v>HolzwarthNFSpring</v>
      </c>
      <c r="H7589" t="s">
        <v>38444</v>
      </c>
      <c r="I7589" t="s">
        <v>29858</v>
      </c>
      <c r="J7589" t="str">
        <f t="shared" si="592"/>
        <v>E:\PropInv\MF</v>
      </c>
      <c r="K7589" s="103" t="str">
        <f>HYPERLINK("E:\PropInv\MF\Spring\Holzwarth Rd_NF_The Belvedere at Springwoods Village_Spring_18878","Holzwarth Rd_NF_The Belvedere at Springwoods Village_Spring_18878" )</f>
        <v>Holzwarth Rd_NF_The Belvedere at Springwoods Village_Spring_18878</v>
      </c>
      <c r="L7589" s="104" t="s">
        <v>22253</v>
      </c>
      <c r="M7589" s="103" t="str">
        <f t="shared" si="593"/>
        <v>http://oconnordata.com/mlink/modules/profile/index.cfm?action=profile&amp;prop_id=18878</v>
      </c>
      <c r="N7589" s="1">
        <f t="shared" si="594"/>
        <v>18878</v>
      </c>
    </row>
    <row r="7590" spans="1:14" x14ac:dyDescent="0.3">
      <c r="A7590" s="1">
        <v>18879</v>
      </c>
      <c r="B7590" s="7" t="s">
        <v>11365</v>
      </c>
      <c r="C7590" s="12">
        <v>807</v>
      </c>
      <c r="D7590" s="7" t="s">
        <v>11366</v>
      </c>
      <c r="E7590" s="25" t="s">
        <v>7</v>
      </c>
      <c r="F7590" t="str">
        <f t="shared" si="590"/>
        <v>11th</v>
      </c>
      <c r="G7590" t="str">
        <f t="shared" si="591"/>
        <v>11th807Austin</v>
      </c>
      <c r="H7590" t="s">
        <v>38445</v>
      </c>
      <c r="I7590" t="s">
        <v>29859</v>
      </c>
      <c r="J7590" t="str">
        <f t="shared" si="592"/>
        <v>E:\PropInv\MF</v>
      </c>
      <c r="K7590" s="103" t="str">
        <f>HYPERLINK("E:\PropInv\MF\Austin\11th St E_807_Eleven_Austin_18879","11th St E_807_Eleven_Austin_18879" )</f>
        <v>11th St E_807_Eleven_Austin_18879</v>
      </c>
      <c r="L7590" s="104" t="s">
        <v>22253</v>
      </c>
      <c r="M7590" s="103" t="str">
        <f t="shared" si="593"/>
        <v>http://oconnordata.com/mlink/modules/profile/index.cfm?action=profile&amp;prop_id=18879</v>
      </c>
      <c r="N7590" s="1">
        <f t="shared" si="594"/>
        <v>18879</v>
      </c>
    </row>
    <row r="7591" spans="1:14" x14ac:dyDescent="0.3">
      <c r="A7591" s="1">
        <v>18880</v>
      </c>
      <c r="B7591" s="7" t="s">
        <v>10720</v>
      </c>
      <c r="C7591" s="12">
        <v>911</v>
      </c>
      <c r="D7591" s="7" t="s">
        <v>11367</v>
      </c>
      <c r="E7591" s="25" t="s">
        <v>7</v>
      </c>
      <c r="F7591" t="str">
        <f t="shared" si="590"/>
        <v>21st</v>
      </c>
      <c r="G7591" t="str">
        <f t="shared" si="591"/>
        <v>21st911Austin</v>
      </c>
      <c r="H7591" t="s">
        <v>38446</v>
      </c>
      <c r="I7591" t="s">
        <v>29860</v>
      </c>
      <c r="J7591" t="str">
        <f t="shared" si="592"/>
        <v>E:\PropInv\MF</v>
      </c>
      <c r="K7591" s="103" t="str">
        <f>HYPERLINK("E:\PropInv\MF\Austin\21st St W_911_21Pearl_Austin_18880","21st St W_911_21Pearl_Austin_18880" )</f>
        <v>21st St W_911_21Pearl_Austin_18880</v>
      </c>
      <c r="L7591" s="104" t="s">
        <v>22253</v>
      </c>
      <c r="M7591" s="103" t="str">
        <f t="shared" si="593"/>
        <v>http://oconnordata.com/mlink/modules/profile/index.cfm?action=profile&amp;prop_id=18880</v>
      </c>
      <c r="N7591" s="1">
        <f t="shared" si="594"/>
        <v>18880</v>
      </c>
    </row>
    <row r="7592" spans="1:14" x14ac:dyDescent="0.3">
      <c r="A7592" s="1">
        <v>18881</v>
      </c>
      <c r="B7592" s="7" t="s">
        <v>11368</v>
      </c>
      <c r="C7592" s="12">
        <v>22202</v>
      </c>
      <c r="D7592" s="7" t="s">
        <v>11369</v>
      </c>
      <c r="E7592" s="25" t="s">
        <v>842</v>
      </c>
      <c r="F7592" t="str">
        <f t="shared" si="590"/>
        <v>Estate</v>
      </c>
      <c r="G7592" t="str">
        <f t="shared" si="591"/>
        <v>Estate22202San Antonio</v>
      </c>
      <c r="H7592" t="s">
        <v>38447</v>
      </c>
      <c r="I7592" t="s">
        <v>29861</v>
      </c>
      <c r="J7592" t="str">
        <f t="shared" si="592"/>
        <v>E:\PropInv\MF</v>
      </c>
      <c r="K7592" s="103" t="str">
        <f>HYPERLINK("E:\PropInv\MF\San Antonio\Estate Hill Dr_22202_The Springs at Stone Oak Village_San Antonio_18881","Estate Hill Dr_22202_The Springs at Stone Oak Village_San Antonio_18881" )</f>
        <v>Estate Hill Dr_22202_The Springs at Stone Oak Village_San Antonio_18881</v>
      </c>
      <c r="L7592" s="104" t="s">
        <v>22253</v>
      </c>
      <c r="M7592" s="103" t="str">
        <f t="shared" si="593"/>
        <v>http://oconnordata.com/mlink/modules/profile/index.cfm?action=profile&amp;prop_id=18881</v>
      </c>
      <c r="N7592" s="1">
        <f t="shared" si="594"/>
        <v>18881</v>
      </c>
    </row>
    <row r="7593" spans="1:14" x14ac:dyDescent="0.3">
      <c r="A7593" s="1">
        <v>18884</v>
      </c>
      <c r="B7593" s="7" t="s">
        <v>5721</v>
      </c>
      <c r="C7593" s="12" t="s">
        <v>11370</v>
      </c>
      <c r="D7593" s="7" t="s">
        <v>11371</v>
      </c>
      <c r="E7593" s="25" t="s">
        <v>5014</v>
      </c>
      <c r="F7593" t="str">
        <f t="shared" si="590"/>
        <v>Old</v>
      </c>
      <c r="G7593" t="str">
        <f t="shared" si="591"/>
        <v>Old13100 BlkFort Worth</v>
      </c>
      <c r="H7593" t="s">
        <v>38448</v>
      </c>
      <c r="I7593" t="s">
        <v>29862</v>
      </c>
      <c r="J7593" t="str">
        <f t="shared" si="592"/>
        <v>E:\PropInv\MF</v>
      </c>
      <c r="K7593" s="103" t="str">
        <f>HYPERLINK("E:\PropInv\MF\Fort Worth\Old Denton Rd_13100 Blk_Overlook Ranch_Fort Worth_18884","Old Denton Rd_13100 Blk_Overlook Ranch_Fort Worth_18884" )</f>
        <v>Old Denton Rd_13100 Blk_Overlook Ranch_Fort Worth_18884</v>
      </c>
      <c r="L7593" s="104" t="s">
        <v>22253</v>
      </c>
      <c r="M7593" s="103" t="str">
        <f t="shared" si="593"/>
        <v>http://oconnordata.com/mlink/modules/profile/index.cfm?action=profile&amp;prop_id=18884</v>
      </c>
      <c r="N7593" s="1">
        <f t="shared" si="594"/>
        <v>18884</v>
      </c>
    </row>
    <row r="7594" spans="1:14" x14ac:dyDescent="0.3">
      <c r="A7594" s="1">
        <v>18885</v>
      </c>
      <c r="B7594" s="7" t="s">
        <v>10455</v>
      </c>
      <c r="C7594" s="12" t="s">
        <v>2497</v>
      </c>
      <c r="D7594" s="7" t="s">
        <v>11372</v>
      </c>
      <c r="E7594" s="25" t="s">
        <v>7</v>
      </c>
      <c r="F7594" t="str">
        <f t="shared" si="590"/>
        <v>Saint</v>
      </c>
      <c r="G7594" t="str">
        <f t="shared" si="591"/>
        <v>SaintNFAustin</v>
      </c>
      <c r="H7594" t="s">
        <v>38449</v>
      </c>
      <c r="I7594" t="s">
        <v>29863</v>
      </c>
      <c r="J7594" t="str">
        <f t="shared" si="592"/>
        <v>E:\PropInv\MF</v>
      </c>
      <c r="K7594" s="103" t="str">
        <f>HYPERLINK("E:\PropInv\MF\Austin\Saint Johns W_NF_Midtown Commons II_Austin_18885","Saint Johns W_NF_Midtown Commons II_Austin_18885" )</f>
        <v>Saint Johns W_NF_Midtown Commons II_Austin_18885</v>
      </c>
      <c r="L7594" s="104" t="s">
        <v>22253</v>
      </c>
      <c r="M7594" s="103" t="str">
        <f t="shared" si="593"/>
        <v>http://oconnordata.com/mlink/modules/profile/index.cfm?action=profile&amp;prop_id=18885</v>
      </c>
      <c r="N7594" s="1">
        <f t="shared" si="594"/>
        <v>18885</v>
      </c>
    </row>
    <row r="7595" spans="1:14" x14ac:dyDescent="0.3">
      <c r="A7595" s="1">
        <v>18893</v>
      </c>
      <c r="B7595" s="7" t="s">
        <v>11026</v>
      </c>
      <c r="C7595" s="12" t="s">
        <v>2497</v>
      </c>
      <c r="D7595" s="7" t="s">
        <v>11373</v>
      </c>
      <c r="E7595" s="25" t="s">
        <v>4996</v>
      </c>
      <c r="F7595" t="str">
        <f t="shared" si="590"/>
        <v>Pinnacle</v>
      </c>
      <c r="G7595" t="str">
        <f t="shared" si="591"/>
        <v>PinnacleNFDallas</v>
      </c>
      <c r="H7595" t="s">
        <v>38450</v>
      </c>
      <c r="I7595" t="s">
        <v>29864</v>
      </c>
      <c r="J7595" t="str">
        <f t="shared" si="592"/>
        <v>E:\PropInv\MF</v>
      </c>
      <c r="K7595" s="103" t="str">
        <f>HYPERLINK("E:\PropInv\MF\Dallas\Pinnacle Park Blvd_NF_Hillside West Seniors Community_Dallas_18893","Pinnacle Park Blvd_NF_Hillside West Seniors Community_Dallas_18893" )</f>
        <v>Pinnacle Park Blvd_NF_Hillside West Seniors Community_Dallas_18893</v>
      </c>
      <c r="L7595" s="104" t="s">
        <v>22253</v>
      </c>
      <c r="M7595" s="103" t="str">
        <f t="shared" si="593"/>
        <v>http://oconnordata.com/mlink/modules/profile/index.cfm?action=profile&amp;prop_id=18893</v>
      </c>
      <c r="N7595" s="1">
        <f t="shared" si="594"/>
        <v>18893</v>
      </c>
    </row>
    <row r="7596" spans="1:14" x14ac:dyDescent="0.3">
      <c r="A7596" s="1">
        <v>18894</v>
      </c>
      <c r="B7596" s="7" t="s">
        <v>11374</v>
      </c>
      <c r="C7596" s="12">
        <v>311</v>
      </c>
      <c r="D7596" s="7" t="s">
        <v>11375</v>
      </c>
      <c r="E7596" s="25" t="s">
        <v>7</v>
      </c>
      <c r="F7596" t="str">
        <f t="shared" si="590"/>
        <v>Bowie</v>
      </c>
      <c r="G7596" t="str">
        <f t="shared" si="591"/>
        <v>Bowie311Austin</v>
      </c>
      <c r="H7596" t="s">
        <v>38451</v>
      </c>
      <c r="I7596" t="s">
        <v>29865</v>
      </c>
      <c r="J7596" t="str">
        <f t="shared" si="592"/>
        <v>E:\PropInv\MF</v>
      </c>
      <c r="K7596" s="103" t="str">
        <f>HYPERLINK("E:\PropInv\MF\Austin\Bowie St_311_3 Eleven Bowie_Austin_18894","Bowie St_311_3 Eleven Bowie_Austin_18894" )</f>
        <v>Bowie St_311_3 Eleven Bowie_Austin_18894</v>
      </c>
      <c r="L7596" s="104" t="s">
        <v>22253</v>
      </c>
      <c r="M7596" s="103" t="str">
        <f t="shared" si="593"/>
        <v>http://oconnordata.com/mlink/modules/profile/index.cfm?action=profile&amp;prop_id=18894</v>
      </c>
      <c r="N7596" s="1">
        <f t="shared" si="594"/>
        <v>18894</v>
      </c>
    </row>
    <row r="7597" spans="1:14" x14ac:dyDescent="0.3">
      <c r="A7597" s="1">
        <v>18897</v>
      </c>
      <c r="B7597" s="7" t="s">
        <v>6315</v>
      </c>
      <c r="C7597" s="12">
        <v>4030</v>
      </c>
      <c r="D7597" s="7" t="s">
        <v>11376</v>
      </c>
      <c r="E7597" s="25" t="s">
        <v>4996</v>
      </c>
      <c r="F7597" t="str">
        <f t="shared" si="590"/>
        <v>Central</v>
      </c>
      <c r="G7597" t="str">
        <f t="shared" si="591"/>
        <v>Central4030Dallas</v>
      </c>
      <c r="H7597" t="s">
        <v>38452</v>
      </c>
      <c r="I7597" t="s">
        <v>29866</v>
      </c>
      <c r="J7597" t="str">
        <f t="shared" si="592"/>
        <v>E:\PropInv\MF</v>
      </c>
      <c r="K7597" s="103" t="str">
        <f>HYPERLINK("E:\PropInv\MF\Dallas\Central Expwy N_4030_The Residences at Cityplace_Dallas_18897","Central Expwy N_4030_The Residences at Cityplace_Dallas_18897" )</f>
        <v>Central Expwy N_4030_The Residences at Cityplace_Dallas_18897</v>
      </c>
      <c r="L7597" s="104" t="s">
        <v>22253</v>
      </c>
      <c r="M7597" s="103" t="str">
        <f t="shared" si="593"/>
        <v>http://oconnordata.com/mlink/modules/profile/index.cfm?action=profile&amp;prop_id=18897</v>
      </c>
      <c r="N7597" s="1">
        <f t="shared" si="594"/>
        <v>18897</v>
      </c>
    </row>
    <row r="7598" spans="1:14" x14ac:dyDescent="0.3">
      <c r="A7598" s="1">
        <v>18898</v>
      </c>
      <c r="B7598" s="7" t="s">
        <v>11377</v>
      </c>
      <c r="C7598" s="12" t="s">
        <v>2497</v>
      </c>
      <c r="D7598" s="7" t="s">
        <v>11378</v>
      </c>
      <c r="E7598" s="25" t="s">
        <v>912</v>
      </c>
      <c r="F7598" t="str">
        <f t="shared" si="590"/>
        <v>Gruene</v>
      </c>
      <c r="G7598" t="str">
        <f t="shared" si="591"/>
        <v>GrueneNFNew Braunfels</v>
      </c>
      <c r="H7598" t="s">
        <v>38453</v>
      </c>
      <c r="I7598" t="s">
        <v>29867</v>
      </c>
      <c r="J7598" t="str">
        <f t="shared" si="592"/>
        <v>E:\PropInv\MF</v>
      </c>
      <c r="K7598" s="103" t="str">
        <f>HYPERLINK("E:\PropInv\MF\New Braunfels\Gruene Rd_NF_Ranch at the Guadalupe_New Braunfels_18898","Gruene Rd_NF_Ranch at the Guadalupe_New Braunfels_18898" )</f>
        <v>Gruene Rd_NF_Ranch at the Guadalupe_New Braunfels_18898</v>
      </c>
      <c r="L7598" s="104" t="s">
        <v>22253</v>
      </c>
      <c r="M7598" s="103" t="str">
        <f t="shared" si="593"/>
        <v>http://oconnordata.com/mlink/modules/profile/index.cfm?action=profile&amp;prop_id=18898</v>
      </c>
      <c r="N7598" s="1">
        <f t="shared" si="594"/>
        <v>18898</v>
      </c>
    </row>
    <row r="7599" spans="1:14" x14ac:dyDescent="0.3">
      <c r="A7599" s="1">
        <v>18902</v>
      </c>
      <c r="B7599" s="7" t="s">
        <v>3401</v>
      </c>
      <c r="C7599" s="12">
        <v>7400</v>
      </c>
      <c r="D7599" s="7" t="s">
        <v>11379</v>
      </c>
      <c r="E7599" s="25" t="s">
        <v>1657</v>
      </c>
      <c r="F7599" t="str">
        <f t="shared" si="590"/>
        <v>Bissonnet</v>
      </c>
      <c r="G7599" t="str">
        <f t="shared" si="591"/>
        <v>Bissonnet7400Houston</v>
      </c>
      <c r="H7599" t="s">
        <v>38454</v>
      </c>
      <c r="I7599" t="s">
        <v>29868</v>
      </c>
      <c r="J7599" t="str">
        <f t="shared" si="592"/>
        <v>E:\PropInv\MF</v>
      </c>
      <c r="K7599" s="103" t="str">
        <f>HYPERLINK("E:\PropInv\MF\Houston\Bissonnet St_7400_Le Promenade_Houston_18902","Bissonnet St_7400_Le Promenade_Houston_18902" )</f>
        <v>Bissonnet St_7400_Le Promenade_Houston_18902</v>
      </c>
      <c r="L7599" s="104" t="s">
        <v>22253</v>
      </c>
      <c r="M7599" s="103" t="str">
        <f t="shared" si="593"/>
        <v>http://oconnordata.com/mlink/modules/profile/index.cfm?action=profile&amp;prop_id=18902</v>
      </c>
      <c r="N7599" s="1">
        <f t="shared" si="594"/>
        <v>18902</v>
      </c>
    </row>
    <row r="7600" spans="1:14" x14ac:dyDescent="0.3">
      <c r="A7600" s="1">
        <v>18903</v>
      </c>
      <c r="B7600" s="7" t="s">
        <v>11017</v>
      </c>
      <c r="C7600" s="12">
        <v>3233</v>
      </c>
      <c r="D7600" s="7" t="s">
        <v>11380</v>
      </c>
      <c r="E7600" s="25" t="s">
        <v>1657</v>
      </c>
      <c r="F7600" t="str">
        <f t="shared" si="590"/>
        <v>Dallas</v>
      </c>
      <c r="G7600" t="str">
        <f t="shared" si="591"/>
        <v>Dallas3233Houston</v>
      </c>
      <c r="H7600" t="s">
        <v>38455</v>
      </c>
      <c r="I7600" t="s">
        <v>29869</v>
      </c>
      <c r="J7600" t="str">
        <f t="shared" si="592"/>
        <v>E:\PropInv\MF</v>
      </c>
      <c r="K7600" s="103" t="str">
        <f>HYPERLINK("E:\PropInv\MF\Houston\Dallas St W_3233_The Sovereign_Houston_18903","Dallas St W_3233_The Sovereign_Houston_18903" )</f>
        <v>Dallas St W_3233_The Sovereign_Houston_18903</v>
      </c>
      <c r="L7600" s="104" t="s">
        <v>22253</v>
      </c>
      <c r="M7600" s="103" t="str">
        <f t="shared" si="593"/>
        <v>http://oconnordata.com/mlink/modules/profile/index.cfm?action=profile&amp;prop_id=18903</v>
      </c>
      <c r="N7600" s="1">
        <f t="shared" si="594"/>
        <v>18903</v>
      </c>
    </row>
    <row r="7601" spans="1:14" x14ac:dyDescent="0.3">
      <c r="A7601" s="1">
        <v>18904</v>
      </c>
      <c r="B7601" s="7" t="s">
        <v>4867</v>
      </c>
      <c r="C7601" s="12">
        <v>230</v>
      </c>
      <c r="D7601" s="7" t="s">
        <v>11381</v>
      </c>
      <c r="E7601" s="25" t="s">
        <v>1657</v>
      </c>
      <c r="F7601" t="str">
        <f t="shared" si="590"/>
        <v>TC</v>
      </c>
      <c r="G7601" t="str">
        <f t="shared" si="591"/>
        <v>TC230Houston</v>
      </c>
      <c r="H7601" t="s">
        <v>38456</v>
      </c>
      <c r="I7601" t="s">
        <v>29870</v>
      </c>
      <c r="J7601" t="str">
        <f t="shared" si="592"/>
        <v>E:\PropInv\MF</v>
      </c>
      <c r="K7601" s="103" t="str">
        <f>HYPERLINK("E:\PropInv\MF\Houston\TC Jester Blvd_230_The District at Washington_Houston_18904","TC Jester Blvd_230_The District at Washington_Houston_18904" )</f>
        <v>TC Jester Blvd_230_The District at Washington_Houston_18904</v>
      </c>
      <c r="L7601" s="104" t="s">
        <v>22253</v>
      </c>
      <c r="M7601" s="103" t="str">
        <f t="shared" si="593"/>
        <v>http://oconnordata.com/mlink/modules/profile/index.cfm?action=profile&amp;prop_id=18904</v>
      </c>
      <c r="N7601" s="1">
        <f t="shared" si="594"/>
        <v>18904</v>
      </c>
    </row>
    <row r="7602" spans="1:14" x14ac:dyDescent="0.3">
      <c r="A7602" s="1">
        <v>18910</v>
      </c>
      <c r="B7602" s="7" t="s">
        <v>274</v>
      </c>
      <c r="C7602" s="12">
        <v>2400</v>
      </c>
      <c r="D7602" s="7" t="s">
        <v>11382</v>
      </c>
      <c r="E7602" s="25" t="s">
        <v>4996</v>
      </c>
      <c r="F7602" t="str">
        <f t="shared" si="590"/>
        <v>Houston</v>
      </c>
      <c r="G7602" t="str">
        <f t="shared" si="591"/>
        <v>Houston2400Dallas</v>
      </c>
      <c r="H7602" t="s">
        <v>38457</v>
      </c>
      <c r="I7602" t="s">
        <v>29871</v>
      </c>
      <c r="J7602" t="str">
        <f t="shared" si="592"/>
        <v>E:\PropInv\MF</v>
      </c>
      <c r="K7602" s="103" t="str">
        <f>HYPERLINK("E:\PropInv\MF\Dallas\Houston St_2400_The Arpeggio Victory Park_Dallas_18910","Houston St_2400_The Arpeggio Victory Park_Dallas_18910" )</f>
        <v>Houston St_2400_The Arpeggio Victory Park_Dallas_18910</v>
      </c>
      <c r="L7602" s="104" t="s">
        <v>22253</v>
      </c>
      <c r="M7602" s="103" t="str">
        <f t="shared" si="593"/>
        <v>http://oconnordata.com/mlink/modules/profile/index.cfm?action=profile&amp;prop_id=18910</v>
      </c>
      <c r="N7602" s="1">
        <f t="shared" si="594"/>
        <v>18910</v>
      </c>
    </row>
    <row r="7603" spans="1:14" x14ac:dyDescent="0.3">
      <c r="A7603" s="1">
        <v>18911</v>
      </c>
      <c r="B7603" s="7" t="s">
        <v>11383</v>
      </c>
      <c r="C7603" s="12">
        <v>1000</v>
      </c>
      <c r="D7603" s="7" t="s">
        <v>11384</v>
      </c>
      <c r="E7603" s="25" t="s">
        <v>6559</v>
      </c>
      <c r="F7603" t="str">
        <f t="shared" si="590"/>
        <v>Solon</v>
      </c>
      <c r="G7603" t="str">
        <f t="shared" si="591"/>
        <v>Solon1000Waxahachie</v>
      </c>
      <c r="H7603" t="s">
        <v>38458</v>
      </c>
      <c r="I7603" t="s">
        <v>29872</v>
      </c>
      <c r="J7603" t="str">
        <f t="shared" si="592"/>
        <v>E:\PropInv\MF</v>
      </c>
      <c r="K7603" s="103" t="str">
        <f>HYPERLINK("E:\PropInv\MF\Waxahachie\Solon Place Way_1000_Solon Place_Waxahachie_18911","Solon Place Way_1000_Solon Place_Waxahachie_18911" )</f>
        <v>Solon Place Way_1000_Solon Place_Waxahachie_18911</v>
      </c>
      <c r="L7603" s="104" t="s">
        <v>22253</v>
      </c>
      <c r="M7603" s="103" t="str">
        <f t="shared" si="593"/>
        <v>http://oconnordata.com/mlink/modules/profile/index.cfm?action=profile&amp;prop_id=18911</v>
      </c>
      <c r="N7603" s="1">
        <f t="shared" si="594"/>
        <v>18911</v>
      </c>
    </row>
    <row r="7604" spans="1:14" x14ac:dyDescent="0.3">
      <c r="A7604" s="1">
        <v>18916</v>
      </c>
      <c r="B7604" s="7" t="s">
        <v>8913</v>
      </c>
      <c r="C7604" s="12">
        <v>12515</v>
      </c>
      <c r="D7604" s="7" t="s">
        <v>11385</v>
      </c>
      <c r="E7604" s="25" t="s">
        <v>1818</v>
      </c>
      <c r="F7604" t="str">
        <f t="shared" si="590"/>
        <v>Barker</v>
      </c>
      <c r="G7604" t="str">
        <f t="shared" si="591"/>
        <v>Barker12515Cypress</v>
      </c>
      <c r="H7604" t="s">
        <v>38459</v>
      </c>
      <c r="I7604" t="s">
        <v>29873</v>
      </c>
      <c r="J7604" t="str">
        <f t="shared" si="592"/>
        <v>E:\PropInv\MF</v>
      </c>
      <c r="K7604" s="103" t="str">
        <f>HYPERLINK("E:\PropInv\MF\Cypress\Barker Cypress Rd_12515_Watermark at Grand Cypress_Cypress_18916","Barker Cypress Rd_12515_Watermark at Grand Cypress_Cypress_18916" )</f>
        <v>Barker Cypress Rd_12515_Watermark at Grand Cypress_Cypress_18916</v>
      </c>
      <c r="L7604" s="104" t="s">
        <v>22253</v>
      </c>
      <c r="M7604" s="103" t="str">
        <f t="shared" si="593"/>
        <v>http://oconnordata.com/mlink/modules/profile/index.cfm?action=profile&amp;prop_id=18916</v>
      </c>
      <c r="N7604" s="1">
        <f t="shared" si="594"/>
        <v>18916</v>
      </c>
    </row>
    <row r="7605" spans="1:14" x14ac:dyDescent="0.3">
      <c r="A7605" s="1">
        <v>18917</v>
      </c>
      <c r="B7605" s="7" t="s">
        <v>3705</v>
      </c>
      <c r="C7605" s="12">
        <v>3810</v>
      </c>
      <c r="D7605" s="7" t="s">
        <v>11386</v>
      </c>
      <c r="E7605" s="25" t="s">
        <v>1657</v>
      </c>
      <c r="F7605" t="str">
        <f t="shared" si="590"/>
        <v>Law</v>
      </c>
      <c r="G7605" t="str">
        <f t="shared" si="591"/>
        <v>Law3810Houston</v>
      </c>
      <c r="H7605" t="s">
        <v>38460</v>
      </c>
      <c r="I7605" t="s">
        <v>29874</v>
      </c>
      <c r="J7605" t="str">
        <f t="shared" si="592"/>
        <v>E:\PropInv\MF</v>
      </c>
      <c r="K7605" s="103" t="str">
        <f>HYPERLINK("E:\PropInv\MF\Houston\Law St_3810_Alexan West University_Houston_18917","Law St_3810_Alexan West University_Houston_18917" )</f>
        <v>Law St_3810_Alexan West University_Houston_18917</v>
      </c>
      <c r="L7605" s="104" t="s">
        <v>22253</v>
      </c>
      <c r="M7605" s="103" t="str">
        <f t="shared" si="593"/>
        <v>http://oconnordata.com/mlink/modules/profile/index.cfm?action=profile&amp;prop_id=18917</v>
      </c>
      <c r="N7605" s="1">
        <f t="shared" si="594"/>
        <v>18917</v>
      </c>
    </row>
    <row r="7606" spans="1:14" x14ac:dyDescent="0.3">
      <c r="A7606" s="1">
        <v>18918</v>
      </c>
      <c r="B7606" s="7" t="s">
        <v>333</v>
      </c>
      <c r="C7606" s="12">
        <v>3237</v>
      </c>
      <c r="D7606" s="7" t="s">
        <v>11387</v>
      </c>
      <c r="E7606" s="25" t="s">
        <v>1657</v>
      </c>
      <c r="F7606" t="str">
        <f t="shared" si="590"/>
        <v>Las</v>
      </c>
      <c r="G7606" t="str">
        <f t="shared" si="591"/>
        <v>Las3237Houston</v>
      </c>
      <c r="H7606" t="s">
        <v>38461</v>
      </c>
      <c r="I7606" t="s">
        <v>29875</v>
      </c>
      <c r="J7606" t="str">
        <f t="shared" si="592"/>
        <v>E:\PropInv\MF</v>
      </c>
      <c r="K7606" s="103" t="str">
        <f>HYPERLINK("E:\PropInv\MF\Houston\Las Palmas_3237_Willowick Court Redevelopment_Houston_18918","Las Palmas_3237_Willowick Court Redevelopment_Houston_18918" )</f>
        <v>Las Palmas_3237_Willowick Court Redevelopment_Houston_18918</v>
      </c>
      <c r="L7606" s="104" t="s">
        <v>22253</v>
      </c>
      <c r="M7606" s="103" t="str">
        <f t="shared" si="593"/>
        <v>http://oconnordata.com/mlink/modules/profile/index.cfm?action=profile&amp;prop_id=18918</v>
      </c>
      <c r="N7606" s="1">
        <f t="shared" si="594"/>
        <v>18918</v>
      </c>
    </row>
    <row r="7607" spans="1:14" x14ac:dyDescent="0.3">
      <c r="A7607" s="1">
        <v>18919</v>
      </c>
      <c r="B7607" s="7" t="s">
        <v>5371</v>
      </c>
      <c r="C7607" s="12" t="s">
        <v>2497</v>
      </c>
      <c r="D7607" s="7" t="s">
        <v>11388</v>
      </c>
      <c r="E7607" s="25" t="s">
        <v>3328</v>
      </c>
      <c r="F7607" t="str">
        <f t="shared" si="590"/>
        <v>Greenville</v>
      </c>
      <c r="G7607" t="str">
        <f t="shared" si="591"/>
        <v>GreenvilleNFRichardson</v>
      </c>
      <c r="H7607" t="s">
        <v>38462</v>
      </c>
      <c r="I7607" t="s">
        <v>29876</v>
      </c>
      <c r="J7607" t="str">
        <f t="shared" si="592"/>
        <v>E:\PropInv\MF</v>
      </c>
      <c r="K7607" s="103" t="str">
        <f>HYPERLINK("E:\PropInv\MF\Richardson\Greenville Ave N_NF_GreenVUE_Richardson_18919","Greenville Ave N_NF_GreenVUE_Richardson_18919" )</f>
        <v>Greenville Ave N_NF_GreenVUE_Richardson_18919</v>
      </c>
      <c r="L7607" s="104" t="s">
        <v>22253</v>
      </c>
      <c r="M7607" s="103" t="str">
        <f t="shared" si="593"/>
        <v>http://oconnordata.com/mlink/modules/profile/index.cfm?action=profile&amp;prop_id=18919</v>
      </c>
      <c r="N7607" s="1">
        <f t="shared" si="594"/>
        <v>18919</v>
      </c>
    </row>
    <row r="7608" spans="1:14" x14ac:dyDescent="0.3">
      <c r="A7608" s="1">
        <v>18920</v>
      </c>
      <c r="B7608" s="7" t="s">
        <v>11389</v>
      </c>
      <c r="C7608" s="12" t="s">
        <v>2497</v>
      </c>
      <c r="D7608" s="7" t="s">
        <v>11390</v>
      </c>
      <c r="E7608" s="25" t="s">
        <v>5055</v>
      </c>
      <c r="F7608" t="str">
        <f t="shared" si="590"/>
        <v>Lake</v>
      </c>
      <c r="G7608" t="str">
        <f t="shared" si="591"/>
        <v>LakeNFLewisville</v>
      </c>
      <c r="H7608" t="s">
        <v>38463</v>
      </c>
      <c r="I7608" t="s">
        <v>29877</v>
      </c>
      <c r="J7608" t="str">
        <f t="shared" si="592"/>
        <v>E:\PropInv\MF</v>
      </c>
      <c r="K7608" s="103" t="str">
        <f>HYPERLINK("E:\PropInv\MF\Lewisville\Lake Ridge Rd_NF_Pine Prairie I_Lewisville_18920","Lake Ridge Rd_NF_Pine Prairie I_Lewisville_18920" )</f>
        <v>Lake Ridge Rd_NF_Pine Prairie I_Lewisville_18920</v>
      </c>
      <c r="L7608" s="104" t="s">
        <v>22253</v>
      </c>
      <c r="M7608" s="103" t="str">
        <f t="shared" si="593"/>
        <v>http://oconnordata.com/mlink/modules/profile/index.cfm?action=profile&amp;prop_id=18920</v>
      </c>
      <c r="N7608" s="1">
        <f t="shared" si="594"/>
        <v>18920</v>
      </c>
    </row>
    <row r="7609" spans="1:14" x14ac:dyDescent="0.3">
      <c r="A7609" s="1">
        <v>18921</v>
      </c>
      <c r="B7609" s="7" t="s">
        <v>11389</v>
      </c>
      <c r="C7609" s="12" t="s">
        <v>2497</v>
      </c>
      <c r="D7609" s="7" t="s">
        <v>11391</v>
      </c>
      <c r="E7609" s="25" t="s">
        <v>5055</v>
      </c>
      <c r="F7609" t="str">
        <f t="shared" si="590"/>
        <v>Lake</v>
      </c>
      <c r="G7609" t="str">
        <f t="shared" si="591"/>
        <v>LakeNFLewisville</v>
      </c>
      <c r="H7609" t="s">
        <v>38464</v>
      </c>
      <c r="I7609" t="s">
        <v>29878</v>
      </c>
      <c r="J7609" t="str">
        <f t="shared" si="592"/>
        <v>E:\PropInv\MF</v>
      </c>
      <c r="K7609" s="103" t="str">
        <f>HYPERLINK("E:\PropInv\MF\Lewisville\Lake Ridge Rd_NF_Pine Prairie II_Lewisville_18921","Lake Ridge Rd_NF_Pine Prairie II_Lewisville_18921" )</f>
        <v>Lake Ridge Rd_NF_Pine Prairie II_Lewisville_18921</v>
      </c>
      <c r="L7609" s="104" t="s">
        <v>22253</v>
      </c>
      <c r="M7609" s="103" t="str">
        <f t="shared" si="593"/>
        <v>http://oconnordata.com/mlink/modules/profile/index.cfm?action=profile&amp;prop_id=18921</v>
      </c>
      <c r="N7609" s="1">
        <f t="shared" si="594"/>
        <v>18921</v>
      </c>
    </row>
    <row r="7610" spans="1:14" x14ac:dyDescent="0.3">
      <c r="A7610" s="1">
        <v>18922</v>
      </c>
      <c r="B7610" s="7" t="s">
        <v>8445</v>
      </c>
      <c r="C7610" s="12">
        <v>770</v>
      </c>
      <c r="D7610" s="7" t="s">
        <v>11392</v>
      </c>
      <c r="E7610" s="25" t="s">
        <v>1657</v>
      </c>
      <c r="F7610" t="str">
        <f t="shared" si="590"/>
        <v>Eldridge</v>
      </c>
      <c r="G7610" t="str">
        <f t="shared" si="591"/>
        <v>Eldridge770Houston</v>
      </c>
      <c r="H7610" t="s">
        <v>38465</v>
      </c>
      <c r="I7610" t="s">
        <v>29879</v>
      </c>
      <c r="J7610" t="str">
        <f t="shared" si="592"/>
        <v>E:\PropInv\MF</v>
      </c>
      <c r="K7610" s="103" t="str">
        <f>HYPERLINK("E:\PropInv\MF\Houston\Eldridge Pkwy N_770_Broadstone Energy Corridor_Houston_18922","Eldridge Pkwy N_770_Broadstone Energy Corridor_Houston_18922" )</f>
        <v>Eldridge Pkwy N_770_Broadstone Energy Corridor_Houston_18922</v>
      </c>
      <c r="L7610" s="104" t="s">
        <v>22253</v>
      </c>
      <c r="M7610" s="103" t="str">
        <f t="shared" si="593"/>
        <v>http://oconnordata.com/mlink/modules/profile/index.cfm?action=profile&amp;prop_id=18922</v>
      </c>
      <c r="N7610" s="1">
        <f t="shared" si="594"/>
        <v>18922</v>
      </c>
    </row>
    <row r="7611" spans="1:14" s="114" customFormat="1" x14ac:dyDescent="0.3">
      <c r="A7611" s="111">
        <v>18923</v>
      </c>
      <c r="B7611" s="127" t="s">
        <v>11393</v>
      </c>
      <c r="C7611" s="128">
        <v>5200</v>
      </c>
      <c r="D7611" s="127" t="s">
        <v>11394</v>
      </c>
      <c r="E7611" s="127" t="s">
        <v>5055</v>
      </c>
      <c r="F7611" s="114" t="str">
        <f t="shared" si="590"/>
        <v>Widnhaven</v>
      </c>
      <c r="G7611" s="114" t="str">
        <f t="shared" si="591"/>
        <v>Widnhaven5200Lewisville</v>
      </c>
      <c r="H7611" s="114" t="s">
        <v>38466</v>
      </c>
      <c r="I7611" s="114" t="s">
        <v>29880</v>
      </c>
      <c r="J7611" s="114" t="str">
        <f t="shared" si="592"/>
        <v>E:\PropInv\MF</v>
      </c>
      <c r="K7611" s="115" t="str">
        <f>HYPERLINK("E:\PropInv\MF\Lewisville\Widnhaven Pkwy_5200_Platinum Castle Hills_Lewisville_18923","Widnhaven Pkwy_5200_Platinum Castle Hills_Lewisville_18923" )</f>
        <v>Widnhaven Pkwy_5200_Platinum Castle Hills_Lewisville_18923</v>
      </c>
      <c r="L7611" s="116" t="s">
        <v>22253</v>
      </c>
      <c r="M7611" s="115" t="str">
        <f t="shared" si="593"/>
        <v>http://oconnordata.com/mlink/modules/profile/index.cfm?action=profile&amp;prop_id=18923</v>
      </c>
      <c r="N7611" s="111">
        <f t="shared" si="594"/>
        <v>18923</v>
      </c>
    </row>
    <row r="7612" spans="1:14" x14ac:dyDescent="0.3">
      <c r="A7612" s="1">
        <v>18927</v>
      </c>
      <c r="B7612" s="7" t="s">
        <v>11395</v>
      </c>
      <c r="C7612" s="12">
        <v>1415</v>
      </c>
      <c r="D7612" s="7" t="s">
        <v>11396</v>
      </c>
      <c r="E7612" s="25" t="s">
        <v>842</v>
      </c>
      <c r="F7612" t="str">
        <f t="shared" si="590"/>
        <v>Main</v>
      </c>
      <c r="G7612" t="str">
        <f t="shared" si="591"/>
        <v>Main1415San Antonio</v>
      </c>
      <c r="H7612" t="s">
        <v>38467</v>
      </c>
      <c r="I7612" t="s">
        <v>29881</v>
      </c>
      <c r="J7612" t="str">
        <f t="shared" si="592"/>
        <v>E:\PropInv\MF</v>
      </c>
      <c r="K7612" s="103" t="str">
        <f>HYPERLINK("E:\PropInv\MF\San Antonio\Main Ave_1415_Tobin Lofts_San Antonio_18927","Main Ave_1415_Tobin Lofts_San Antonio_18927" )</f>
        <v>Main Ave_1415_Tobin Lofts_San Antonio_18927</v>
      </c>
      <c r="L7612" s="104" t="s">
        <v>22253</v>
      </c>
      <c r="M7612" s="103" t="str">
        <f t="shared" si="593"/>
        <v>http://oconnordata.com/mlink/modules/profile/index.cfm?action=profile&amp;prop_id=18927</v>
      </c>
      <c r="N7612" s="1">
        <f t="shared" si="594"/>
        <v>18927</v>
      </c>
    </row>
    <row r="7613" spans="1:14" x14ac:dyDescent="0.3">
      <c r="A7613" s="1">
        <v>18928</v>
      </c>
      <c r="B7613" s="7" t="s">
        <v>6180</v>
      </c>
      <c r="C7613" s="12">
        <v>4110</v>
      </c>
      <c r="D7613" s="7" t="s">
        <v>11397</v>
      </c>
      <c r="E7613" s="25" t="s">
        <v>4996</v>
      </c>
      <c r="F7613" t="str">
        <f t="shared" si="590"/>
        <v>Fairmount</v>
      </c>
      <c r="G7613" t="str">
        <f t="shared" si="591"/>
        <v>Fairmount4110Dallas</v>
      </c>
      <c r="H7613" t="s">
        <v>38468</v>
      </c>
      <c r="I7613" t="s">
        <v>29882</v>
      </c>
      <c r="J7613" t="str">
        <f t="shared" si="592"/>
        <v>E:\PropInv\MF</v>
      </c>
      <c r="K7613" s="103" t="str">
        <f>HYPERLINK("E:\PropInv\MF\Dallas\Fairmount St_4110_Forty One Ten Fairmount_Dallas_18928","Fairmount St_4110_Forty One Ten Fairmount_Dallas_18928" )</f>
        <v>Fairmount St_4110_Forty One Ten Fairmount_Dallas_18928</v>
      </c>
      <c r="L7613" s="104" t="s">
        <v>22253</v>
      </c>
      <c r="M7613" s="103" t="str">
        <f t="shared" si="593"/>
        <v>http://oconnordata.com/mlink/modules/profile/index.cfm?action=profile&amp;prop_id=18928</v>
      </c>
      <c r="N7613" s="1">
        <f t="shared" si="594"/>
        <v>18928</v>
      </c>
    </row>
    <row r="7614" spans="1:14" x14ac:dyDescent="0.3">
      <c r="A7614" s="1">
        <v>30000</v>
      </c>
      <c r="B7614" s="37" t="s">
        <v>5003</v>
      </c>
      <c r="C7614" s="38">
        <v>5001</v>
      </c>
      <c r="D7614" s="29" t="s">
        <v>2497</v>
      </c>
      <c r="E7614" s="39" t="s">
        <v>5005</v>
      </c>
      <c r="F7614" t="str">
        <f t="shared" si="590"/>
        <v>Addison</v>
      </c>
      <c r="G7614" t="str">
        <f t="shared" si="591"/>
        <v>Addison5001Addison</v>
      </c>
      <c r="H7614" t="s">
        <v>38469</v>
      </c>
      <c r="I7614" t="s">
        <v>29883</v>
      </c>
      <c r="J7614" t="str">
        <f t="shared" si="592"/>
        <v>E:\PropInv\MF</v>
      </c>
      <c r="K7614" s="103" t="str">
        <f>HYPERLINK("E:\PropInv\MF\Addison\Addison Cir_5001_NF_Addison_60000","Addison Cir_5001_NF_Addison_60000" )</f>
        <v>Addison Cir_5001_NF_Addison_60000</v>
      </c>
      <c r="L7614" s="104" t="s">
        <v>22253</v>
      </c>
      <c r="N7614" s="1">
        <f t="shared" si="594"/>
        <v>60000</v>
      </c>
    </row>
    <row r="7615" spans="1:14" x14ac:dyDescent="0.3">
      <c r="A7615" s="1">
        <v>30001</v>
      </c>
      <c r="B7615" s="46" t="s">
        <v>22256</v>
      </c>
      <c r="C7615" s="47">
        <v>1451</v>
      </c>
      <c r="D7615" s="19" t="s">
        <v>2497</v>
      </c>
      <c r="E7615" s="48" t="s">
        <v>5140</v>
      </c>
      <c r="F7615" t="str">
        <f t="shared" si="590"/>
        <v>Greenville</v>
      </c>
      <c r="G7615" t="str">
        <f t="shared" si="591"/>
        <v>Greenville1451Allen</v>
      </c>
      <c r="H7615" t="s">
        <v>38470</v>
      </c>
      <c r="I7615" t="s">
        <v>29884</v>
      </c>
      <c r="J7615" t="str">
        <f t="shared" si="592"/>
        <v>E:\PropInv\MF</v>
      </c>
      <c r="K7615" s="103" t="str">
        <f>HYPERLINK("E:\PropInv\MF\Allen\Greenville Ave S_1451_NF_Allen_60001","Greenville Ave S_1451_NF_Allen_60001" )</f>
        <v>Greenville Ave S_1451_NF_Allen_60001</v>
      </c>
      <c r="L7615" s="104" t="s">
        <v>22253</v>
      </c>
      <c r="N7615" s="1">
        <f t="shared" si="594"/>
        <v>60001</v>
      </c>
    </row>
    <row r="7616" spans="1:14" x14ac:dyDescent="0.3">
      <c r="A7616" s="1">
        <v>30002</v>
      </c>
      <c r="B7616" s="19" t="s">
        <v>7737</v>
      </c>
      <c r="C7616" s="18">
        <v>816</v>
      </c>
      <c r="D7616" s="29" t="s">
        <v>11399</v>
      </c>
      <c r="E7616" s="39" t="s">
        <v>6555</v>
      </c>
      <c r="F7616" t="str">
        <f t="shared" si="590"/>
        <v>Benge</v>
      </c>
      <c r="G7616" t="str">
        <f t="shared" si="591"/>
        <v>Benge816Arlington</v>
      </c>
      <c r="H7616" t="s">
        <v>38471</v>
      </c>
      <c r="I7616" t="s">
        <v>29885</v>
      </c>
      <c r="J7616" t="str">
        <f t="shared" si="592"/>
        <v>E:\PropInv\MF</v>
      </c>
      <c r="K7616" s="103" t="str">
        <f>HYPERLINK("E:\PropInv\MF\Arlington\Benge Dr_816_Heritage-Cj Apt_Arlington_60002","Benge Dr_816_Heritage-Cj Apt_Arlington_60002" )</f>
        <v>Benge Dr_816_Heritage-Cj Apt_Arlington_60002</v>
      </c>
      <c r="L7616" s="104" t="s">
        <v>22253</v>
      </c>
      <c r="N7616" s="1">
        <f t="shared" si="594"/>
        <v>60002</v>
      </c>
    </row>
    <row r="7617" spans="1:14" x14ac:dyDescent="0.3">
      <c r="A7617" s="1">
        <v>30003</v>
      </c>
      <c r="B7617" s="19" t="s">
        <v>11400</v>
      </c>
      <c r="C7617" s="18">
        <v>435</v>
      </c>
      <c r="D7617" s="19" t="s">
        <v>11401</v>
      </c>
      <c r="E7617" s="39" t="s">
        <v>6555</v>
      </c>
      <c r="F7617" t="str">
        <f t="shared" si="590"/>
        <v>Bowen</v>
      </c>
      <c r="G7617" t="str">
        <f t="shared" si="591"/>
        <v>Bowen435Arlington</v>
      </c>
      <c r="H7617" t="s">
        <v>38472</v>
      </c>
      <c r="I7617" t="s">
        <v>29886</v>
      </c>
      <c r="J7617" t="str">
        <f t="shared" si="592"/>
        <v>E:\PropInv\MF</v>
      </c>
      <c r="K7617" s="103" t="str">
        <f>HYPERLINK("E:\PropInv\MF\Arlington\Bowen Rd_435_Bowen Square Apts_Arlington_60003","Bowen Rd_435_Bowen Square Apts_Arlington_60003" )</f>
        <v>Bowen Rd_435_Bowen Square Apts_Arlington_60003</v>
      </c>
      <c r="L7617" s="104" t="s">
        <v>22253</v>
      </c>
      <c r="N7617" s="1">
        <f t="shared" si="594"/>
        <v>60003</v>
      </c>
    </row>
    <row r="7618" spans="1:14" x14ac:dyDescent="0.3">
      <c r="A7618" s="1">
        <v>30004</v>
      </c>
      <c r="B7618" s="19" t="s">
        <v>11402</v>
      </c>
      <c r="C7618" s="38">
        <v>604</v>
      </c>
      <c r="D7618" s="19" t="s">
        <v>2513</v>
      </c>
      <c r="E7618" s="39" t="s">
        <v>6555</v>
      </c>
      <c r="F7618" t="str">
        <f t="shared" ref="F7618:F7681" si="595">IFERROR(LEFT(B7618,FIND(" ",B7618)-1),B7618)</f>
        <v>Causley</v>
      </c>
      <c r="G7618" t="str">
        <f t="shared" ref="G7618:G7681" si="596">F7618&amp;C7618&amp;E7618</f>
        <v>Causley604Arlington</v>
      </c>
      <c r="H7618" t="s">
        <v>38473</v>
      </c>
      <c r="I7618" t="s">
        <v>29887</v>
      </c>
      <c r="J7618" t="str">
        <f t="shared" ref="J7618:J7681" si="597">IF(L7618="TX",Folder_Path,Folder_Path&amp;"\State_"&amp;L7618)</f>
        <v>E:\PropInv\MF</v>
      </c>
      <c r="K7618" s="103" t="str">
        <f>HYPERLINK("E:\PropInv\MF\Arlington\Causley_604_Oxford_Arlington_60004","Causley_604_Oxford_Arlington_60004" )</f>
        <v>Causley_604_Oxford_Arlington_60004</v>
      </c>
      <c r="L7618" s="104" t="s">
        <v>22253</v>
      </c>
      <c r="N7618" s="1">
        <f t="shared" ref="N7618:N7681" si="598">IF(LEN(A7618)=1,"0000"&amp;A7618,IF(LEN(A7618)=2,"000"&amp;A7618,IF(LEN(A7618)=3,"00"&amp;A7618,IF(LEN(A7618)=4,"0"&amp;A7618,IF(LEN(A7618)=5,IF(LEFT(A7618,1)="3",A7618+30000,A7618))))))</f>
        <v>60004</v>
      </c>
    </row>
    <row r="7619" spans="1:14" x14ac:dyDescent="0.3">
      <c r="A7619" s="1">
        <v>30005</v>
      </c>
      <c r="B7619" s="7" t="s">
        <v>7743</v>
      </c>
      <c r="C7619" s="38">
        <v>111</v>
      </c>
      <c r="D7619" s="19" t="s">
        <v>11403</v>
      </c>
      <c r="E7619" s="39" t="s">
        <v>6555</v>
      </c>
      <c r="F7619" t="str">
        <f t="shared" si="595"/>
        <v>3rd</v>
      </c>
      <c r="G7619" t="str">
        <f t="shared" si="596"/>
        <v>3rd111Arlington</v>
      </c>
      <c r="H7619" t="s">
        <v>38474</v>
      </c>
      <c r="I7619" t="s">
        <v>29888</v>
      </c>
      <c r="J7619" t="str">
        <f t="shared" si="597"/>
        <v>E:\PropInv\MF</v>
      </c>
      <c r="K7619" s="103" t="str">
        <f>HYPERLINK("E:\PropInv\MF\Arlington\3rd St E_111_Center Chase Apts_Arlington_60005","3rd St E_111_Center Chase Apts_Arlington_60005" )</f>
        <v>3rd St E_111_Center Chase Apts_Arlington_60005</v>
      </c>
      <c r="L7619" s="104" t="s">
        <v>22253</v>
      </c>
      <c r="N7619" s="1">
        <f t="shared" si="598"/>
        <v>60005</v>
      </c>
    </row>
    <row r="7620" spans="1:14" x14ac:dyDescent="0.3">
      <c r="A7620" s="1">
        <v>30006</v>
      </c>
      <c r="B7620" s="19" t="s">
        <v>11404</v>
      </c>
      <c r="C7620" s="18">
        <v>2015</v>
      </c>
      <c r="D7620" s="19" t="s">
        <v>22259</v>
      </c>
      <c r="E7620" s="39" t="s">
        <v>6555</v>
      </c>
      <c r="F7620" t="str">
        <f t="shared" si="595"/>
        <v>Abram</v>
      </c>
      <c r="G7620" t="str">
        <f t="shared" si="596"/>
        <v>Abram2015Arlington</v>
      </c>
      <c r="H7620" t="s">
        <v>38475</v>
      </c>
      <c r="I7620" t="s">
        <v>29889</v>
      </c>
      <c r="J7620" t="str">
        <f t="shared" si="597"/>
        <v>E:\PropInv\MF</v>
      </c>
      <c r="K7620" s="103" t="str">
        <f>HYPERLINK("E:\PropInv\MF\Arlington\Abram St E_2015_Tanglewood Apts_Arlington_60006","Abram St E_2015_Tanglewood Apts_Arlington_60006" )</f>
        <v>Abram St E_2015_Tanglewood Apts_Arlington_60006</v>
      </c>
      <c r="L7620" s="104" t="s">
        <v>22253</v>
      </c>
      <c r="N7620" s="1">
        <f t="shared" si="598"/>
        <v>60006</v>
      </c>
    </row>
    <row r="7621" spans="1:14" x14ac:dyDescent="0.3">
      <c r="A7621" s="1">
        <v>30007</v>
      </c>
      <c r="B7621" s="19" t="s">
        <v>11405</v>
      </c>
      <c r="C7621" s="18">
        <v>3232</v>
      </c>
      <c r="D7621" s="19" t="s">
        <v>11406</v>
      </c>
      <c r="E7621" s="39" t="s">
        <v>6555</v>
      </c>
      <c r="F7621" t="str">
        <f t="shared" si="595"/>
        <v>Abrams</v>
      </c>
      <c r="G7621" t="str">
        <f t="shared" si="596"/>
        <v>Abrams3232Arlington</v>
      </c>
      <c r="H7621" t="s">
        <v>38476</v>
      </c>
      <c r="I7621" t="s">
        <v>29890</v>
      </c>
      <c r="J7621" t="str">
        <f t="shared" si="597"/>
        <v>E:\PropInv\MF</v>
      </c>
      <c r="K7621" s="103" t="str">
        <f>HYPERLINK("E:\PropInv\MF\Arlington\Abrams E_3232_Silver Belle Apts_Arlington_60007","Abrams E_3232_Silver Belle Apts_Arlington_60007" )</f>
        <v>Abrams E_3232_Silver Belle Apts_Arlington_60007</v>
      </c>
      <c r="L7621" s="104" t="s">
        <v>22253</v>
      </c>
      <c r="N7621" s="1">
        <f t="shared" si="598"/>
        <v>60007</v>
      </c>
    </row>
    <row r="7622" spans="1:14" x14ac:dyDescent="0.3">
      <c r="A7622" s="1">
        <v>30008</v>
      </c>
      <c r="B7622" s="19" t="s">
        <v>7683</v>
      </c>
      <c r="C7622" s="38">
        <v>1010</v>
      </c>
      <c r="D7622" s="19" t="s">
        <v>11407</v>
      </c>
      <c r="E7622" s="39" t="s">
        <v>6555</v>
      </c>
      <c r="F7622" t="str">
        <f t="shared" si="595"/>
        <v>Arkansas</v>
      </c>
      <c r="G7622" t="str">
        <f t="shared" si="596"/>
        <v>Arkansas1010Arlington</v>
      </c>
      <c r="H7622" t="s">
        <v>38477</v>
      </c>
      <c r="I7622" t="s">
        <v>29891</v>
      </c>
      <c r="J7622" t="str">
        <f t="shared" si="597"/>
        <v>E:\PropInv\MF</v>
      </c>
      <c r="K7622" s="103" t="str">
        <f>HYPERLINK("E:\PropInv\MF\Arlington\Arkansas Ln E_1010_The Arbors of Arlington_Arlington_60008","Arkansas Ln E_1010_The Arbors of Arlington_Arlington_60008" )</f>
        <v>Arkansas Ln E_1010_The Arbors of Arlington_Arlington_60008</v>
      </c>
      <c r="L7622" s="104" t="s">
        <v>22253</v>
      </c>
      <c r="N7622" s="1">
        <f t="shared" si="598"/>
        <v>60008</v>
      </c>
    </row>
    <row r="7623" spans="1:14" x14ac:dyDescent="0.3">
      <c r="A7623" s="1">
        <v>30009</v>
      </c>
      <c r="B7623" s="19" t="s">
        <v>7969</v>
      </c>
      <c r="C7623" s="38">
        <v>2411</v>
      </c>
      <c r="D7623" s="19" t="s">
        <v>11408</v>
      </c>
      <c r="E7623" s="39" t="s">
        <v>6555</v>
      </c>
      <c r="F7623" t="str">
        <f t="shared" si="595"/>
        <v>Park</v>
      </c>
      <c r="G7623" t="str">
        <f t="shared" si="596"/>
        <v>Park2411Arlington</v>
      </c>
      <c r="H7623" t="s">
        <v>38478</v>
      </c>
      <c r="I7623" t="s">
        <v>29892</v>
      </c>
      <c r="J7623" t="str">
        <f t="shared" si="597"/>
        <v>E:\PropInv\MF</v>
      </c>
      <c r="K7623" s="103" t="str">
        <f>HYPERLINK("E:\PropInv\MF\Arlington\Park Row E_2411_South Park Apts_Arlington_60009","Park Row E_2411_South Park Apts_Arlington_60009" )</f>
        <v>Park Row E_2411_South Park Apts_Arlington_60009</v>
      </c>
      <c r="L7623" s="104" t="s">
        <v>22253</v>
      </c>
      <c r="N7623" s="1">
        <f t="shared" si="598"/>
        <v>60009</v>
      </c>
    </row>
    <row r="7624" spans="1:14" x14ac:dyDescent="0.3">
      <c r="A7624" s="1">
        <v>30010</v>
      </c>
      <c r="B7624" s="19" t="s">
        <v>6598</v>
      </c>
      <c r="C7624" s="18">
        <v>2407</v>
      </c>
      <c r="D7624" s="19" t="s">
        <v>11409</v>
      </c>
      <c r="E7624" s="39" t="s">
        <v>6555</v>
      </c>
      <c r="F7624" t="str">
        <f t="shared" si="595"/>
        <v>Park</v>
      </c>
      <c r="G7624" t="str">
        <f t="shared" si="596"/>
        <v>Park2407Arlington</v>
      </c>
      <c r="H7624" t="s">
        <v>38479</v>
      </c>
      <c r="I7624" t="s">
        <v>29893</v>
      </c>
      <c r="J7624" t="str">
        <f t="shared" si="597"/>
        <v>E:\PropInv\MF</v>
      </c>
      <c r="K7624" s="103" t="str">
        <f>HYPERLINK("E:\PropInv\MF\Arlington\Park Row Dr E_2407_SouthPark Apts_Arlington_60010","Park Row Dr E_2407_SouthPark Apts_Arlington_60010" )</f>
        <v>Park Row Dr E_2407_SouthPark Apts_Arlington_60010</v>
      </c>
      <c r="L7624" s="104" t="s">
        <v>22253</v>
      </c>
      <c r="N7624" s="1">
        <f t="shared" si="598"/>
        <v>60010</v>
      </c>
    </row>
    <row r="7625" spans="1:14" x14ac:dyDescent="0.3">
      <c r="A7625" s="1">
        <v>30011</v>
      </c>
      <c r="B7625" s="37" t="s">
        <v>11410</v>
      </c>
      <c r="C7625" s="38">
        <v>201</v>
      </c>
      <c r="D7625" s="29" t="s">
        <v>11403</v>
      </c>
      <c r="E7625" s="39" t="s">
        <v>6555</v>
      </c>
      <c r="F7625" t="str">
        <f t="shared" si="595"/>
        <v>Third</v>
      </c>
      <c r="G7625" t="str">
        <f t="shared" si="596"/>
        <v>Third201Arlington</v>
      </c>
      <c r="H7625" t="s">
        <v>38480</v>
      </c>
      <c r="I7625" t="s">
        <v>29894</v>
      </c>
      <c r="J7625" t="str">
        <f t="shared" si="597"/>
        <v>E:\PropInv\MF</v>
      </c>
      <c r="K7625" s="103" t="str">
        <f>HYPERLINK("E:\PropInv\MF\Arlington\Third St E_201_Center Chase Apts_Arlington_60011","Third St E_201_Center Chase Apts_Arlington_60011" )</f>
        <v>Third St E_201_Center Chase Apts_Arlington_60011</v>
      </c>
      <c r="L7625" s="104" t="s">
        <v>22253</v>
      </c>
      <c r="N7625" s="1">
        <f t="shared" si="598"/>
        <v>60011</v>
      </c>
    </row>
    <row r="7626" spans="1:14" x14ac:dyDescent="0.3">
      <c r="A7626" s="1">
        <v>30012</v>
      </c>
      <c r="B7626" s="19" t="s">
        <v>11411</v>
      </c>
      <c r="C7626" s="38">
        <v>1900</v>
      </c>
      <c r="D7626" s="19" t="s">
        <v>11412</v>
      </c>
      <c r="E7626" s="39" t="s">
        <v>6555</v>
      </c>
      <c r="F7626" t="str">
        <f t="shared" si="595"/>
        <v>Melrose</v>
      </c>
      <c r="G7626" t="str">
        <f t="shared" si="596"/>
        <v>Melrose1900Arlington</v>
      </c>
      <c r="H7626" t="s">
        <v>38481</v>
      </c>
      <c r="I7626" t="s">
        <v>29895</v>
      </c>
      <c r="J7626" t="str">
        <f t="shared" si="597"/>
        <v>E:\PropInv\MF</v>
      </c>
      <c r="K7626" s="103" t="str">
        <f>HYPERLINK("E:\PropInv\MF\Arlington\Melrose_1900_Melrose Duplexes_Arlington_60012","Melrose_1900_Melrose Duplexes_Arlington_60012" )</f>
        <v>Melrose_1900_Melrose Duplexes_Arlington_60012</v>
      </c>
      <c r="L7626" s="104" t="s">
        <v>22253</v>
      </c>
      <c r="N7626" s="1">
        <f t="shared" si="598"/>
        <v>60012</v>
      </c>
    </row>
    <row r="7627" spans="1:14" x14ac:dyDescent="0.3">
      <c r="A7627" s="1">
        <v>30013</v>
      </c>
      <c r="B7627" s="46" t="s">
        <v>2475</v>
      </c>
      <c r="C7627" s="47">
        <v>2401</v>
      </c>
      <c r="D7627" s="19" t="s">
        <v>2497</v>
      </c>
      <c r="E7627" s="48" t="s">
        <v>6555</v>
      </c>
      <c r="F7627" t="str">
        <f t="shared" si="595"/>
        <v>Oak</v>
      </c>
      <c r="G7627" t="str">
        <f t="shared" si="596"/>
        <v>Oak2401Arlington</v>
      </c>
      <c r="H7627" t="s">
        <v>38482</v>
      </c>
      <c r="I7627" t="s">
        <v>29896</v>
      </c>
      <c r="J7627" t="str">
        <f t="shared" si="597"/>
        <v>E:\PropInv\MF</v>
      </c>
      <c r="K7627" s="103" t="str">
        <f>HYPERLINK("E:\PropInv\MF\Arlington\Oak Manor_2401_NF_Arlington_60013","Oak Manor_2401_NF_Arlington_60013" )</f>
        <v>Oak Manor_2401_NF_Arlington_60013</v>
      </c>
      <c r="L7627" s="104" t="s">
        <v>22253</v>
      </c>
      <c r="N7627" s="1">
        <f t="shared" si="598"/>
        <v>60013</v>
      </c>
    </row>
    <row r="7628" spans="1:14" x14ac:dyDescent="0.3">
      <c r="A7628" s="1">
        <v>30014</v>
      </c>
      <c r="B7628" s="19" t="s">
        <v>7842</v>
      </c>
      <c r="C7628" s="18">
        <v>1014</v>
      </c>
      <c r="D7628" s="7" t="s">
        <v>6591</v>
      </c>
      <c r="E7628" s="39" t="s">
        <v>6555</v>
      </c>
      <c r="F7628" t="str">
        <f t="shared" si="595"/>
        <v>Pioneer</v>
      </c>
      <c r="G7628" t="str">
        <f t="shared" si="596"/>
        <v>Pioneer1014Arlington</v>
      </c>
      <c r="H7628" t="s">
        <v>38483</v>
      </c>
      <c r="I7628" t="s">
        <v>29897</v>
      </c>
      <c r="J7628" t="str">
        <f t="shared" si="597"/>
        <v>E:\PropInv\MF</v>
      </c>
      <c r="K7628" s="103" t="str">
        <f>HYPERLINK("E:\PropInv\MF\Arlington\Pioneer Pkwy W_1014_Olive Branch Apts_Arlington_60014","Pioneer Pkwy W_1014_Olive Branch Apts_Arlington_60014" )</f>
        <v>Pioneer Pkwy W_1014_Olive Branch Apts_Arlington_60014</v>
      </c>
      <c r="L7628" s="104" t="s">
        <v>22253</v>
      </c>
      <c r="N7628" s="1">
        <f t="shared" si="598"/>
        <v>60014</v>
      </c>
    </row>
    <row r="7629" spans="1:14" x14ac:dyDescent="0.3">
      <c r="A7629" s="1">
        <v>30015</v>
      </c>
      <c r="B7629" s="19" t="s">
        <v>7786</v>
      </c>
      <c r="C7629" s="18">
        <v>1736</v>
      </c>
      <c r="D7629" s="19" t="s">
        <v>8688</v>
      </c>
      <c r="E7629" s="39" t="s">
        <v>6555</v>
      </c>
      <c r="F7629" t="str">
        <f t="shared" si="595"/>
        <v>Randol</v>
      </c>
      <c r="G7629" t="str">
        <f t="shared" si="596"/>
        <v>Randol1736Arlington</v>
      </c>
      <c r="H7629" t="s">
        <v>38484</v>
      </c>
      <c r="I7629" t="s">
        <v>29898</v>
      </c>
      <c r="J7629" t="str">
        <f t="shared" si="597"/>
        <v>E:\PropInv\MF</v>
      </c>
      <c r="K7629" s="103" t="str">
        <f>HYPERLINK("E:\PropInv\MF\Arlington\Randol Mill Rd W_1736_Wilshire Manor_Arlington_60015","Randol Mill Rd W_1736_Wilshire Manor_Arlington_60015" )</f>
        <v>Randol Mill Rd W_1736_Wilshire Manor_Arlington_60015</v>
      </c>
      <c r="L7629" s="104" t="s">
        <v>22253</v>
      </c>
      <c r="N7629" s="1">
        <f t="shared" si="598"/>
        <v>60015</v>
      </c>
    </row>
    <row r="7630" spans="1:14" x14ac:dyDescent="0.3">
      <c r="A7630" s="1">
        <v>30016</v>
      </c>
      <c r="B7630" s="36" t="s">
        <v>7797</v>
      </c>
      <c r="C7630" s="40">
        <v>2233</v>
      </c>
      <c r="D7630" s="36" t="s">
        <v>2497</v>
      </c>
      <c r="E7630" s="41" t="s">
        <v>6555</v>
      </c>
      <c r="F7630" t="str">
        <f t="shared" si="595"/>
        <v>Ridge</v>
      </c>
      <c r="G7630" t="str">
        <f t="shared" si="596"/>
        <v>Ridge2233Arlington</v>
      </c>
      <c r="H7630" t="s">
        <v>38485</v>
      </c>
      <c r="I7630" t="s">
        <v>29899</v>
      </c>
      <c r="J7630" t="str">
        <f t="shared" si="597"/>
        <v>E:\PropInv\MF</v>
      </c>
      <c r="K7630" s="103" t="str">
        <f>HYPERLINK("E:\PropInv\MF\Arlington\Ridge Run Rd_2233_NF_Arlington_60016","Ridge Run Rd_2233_NF_Arlington_60016" )</f>
        <v>Ridge Run Rd_2233_NF_Arlington_60016</v>
      </c>
      <c r="L7630" s="104" t="s">
        <v>22253</v>
      </c>
      <c r="N7630" s="1">
        <f t="shared" si="598"/>
        <v>60016</v>
      </c>
    </row>
    <row r="7631" spans="1:14" x14ac:dyDescent="0.3">
      <c r="A7631" s="1">
        <v>30017</v>
      </c>
      <c r="B7631" s="19" t="s">
        <v>11413</v>
      </c>
      <c r="C7631" s="18">
        <v>1001</v>
      </c>
      <c r="D7631" s="19" t="s">
        <v>11414</v>
      </c>
      <c r="E7631" s="39" t="s">
        <v>6555</v>
      </c>
      <c r="F7631" t="str">
        <f t="shared" si="595"/>
        <v>Center</v>
      </c>
      <c r="G7631" t="str">
        <f t="shared" si="596"/>
        <v>Center1001Arlington</v>
      </c>
      <c r="H7631" t="s">
        <v>38486</v>
      </c>
      <c r="I7631" t="s">
        <v>29900</v>
      </c>
      <c r="J7631" t="str">
        <f t="shared" si="597"/>
        <v>E:\PropInv\MF</v>
      </c>
      <c r="K7631" s="103" t="str">
        <f>HYPERLINK("E:\PropInv\MF\Arlington\Center St S_1001_Center Court Apts_Arlington_60017","Center St S_1001_Center Court Apts_Arlington_60017" )</f>
        <v>Center St S_1001_Center Court Apts_Arlington_60017</v>
      </c>
      <c r="L7631" s="104" t="s">
        <v>22253</v>
      </c>
      <c r="N7631" s="1">
        <f t="shared" si="598"/>
        <v>60017</v>
      </c>
    </row>
    <row r="7632" spans="1:14" x14ac:dyDescent="0.3">
      <c r="A7632" s="1">
        <v>30018</v>
      </c>
      <c r="B7632" s="36" t="s">
        <v>11415</v>
      </c>
      <c r="C7632" s="40">
        <v>5200</v>
      </c>
      <c r="D7632" s="36" t="s">
        <v>2497</v>
      </c>
      <c r="E7632" s="41" t="s">
        <v>6555</v>
      </c>
      <c r="F7632" t="str">
        <f t="shared" si="595"/>
        <v>Cooper</v>
      </c>
      <c r="G7632" t="str">
        <f t="shared" si="596"/>
        <v>Cooper5200Arlington</v>
      </c>
      <c r="H7632" t="s">
        <v>38487</v>
      </c>
      <c r="I7632" t="s">
        <v>29901</v>
      </c>
      <c r="J7632" t="str">
        <f t="shared" si="597"/>
        <v>E:\PropInv\MF</v>
      </c>
      <c r="K7632" s="103" t="str">
        <f>HYPERLINK("E:\PropInv\MF\Arlington\Cooper St S_5200_NF_Arlington_60018","Cooper St S_5200_NF_Arlington_60018" )</f>
        <v>Cooper St S_5200_NF_Arlington_60018</v>
      </c>
      <c r="L7632" s="104" t="s">
        <v>22253</v>
      </c>
      <c r="N7632" s="1">
        <f t="shared" si="598"/>
        <v>60018</v>
      </c>
    </row>
    <row r="7633" spans="1:14" x14ac:dyDescent="0.3">
      <c r="A7633" s="1">
        <v>30019</v>
      </c>
      <c r="B7633" s="19" t="s">
        <v>7741</v>
      </c>
      <c r="C7633" s="18">
        <v>1029</v>
      </c>
      <c r="D7633" s="19" t="s">
        <v>11416</v>
      </c>
      <c r="E7633" s="39" t="s">
        <v>6555</v>
      </c>
      <c r="F7633" t="str">
        <f t="shared" si="595"/>
        <v>Arkansas</v>
      </c>
      <c r="G7633" t="str">
        <f t="shared" si="596"/>
        <v>Arkansas1029Arlington</v>
      </c>
      <c r="H7633" t="s">
        <v>38488</v>
      </c>
      <c r="I7633" t="s">
        <v>29902</v>
      </c>
      <c r="J7633" t="str">
        <f t="shared" si="597"/>
        <v>E:\PropInv\MF</v>
      </c>
      <c r="K7633" s="103" t="str">
        <f>HYPERLINK("E:\PropInv\MF\Arlington\Arkansas Ln W_1029_Arbor Terrace_Arlington_60019","Arkansas Ln W_1029_Arbor Terrace_Arlington_60019" )</f>
        <v>Arkansas Ln W_1029_Arbor Terrace_Arlington_60019</v>
      </c>
      <c r="L7633" s="104" t="s">
        <v>22253</v>
      </c>
      <c r="N7633" s="1">
        <f t="shared" si="598"/>
        <v>60019</v>
      </c>
    </row>
    <row r="7634" spans="1:14" x14ac:dyDescent="0.3">
      <c r="A7634" s="1">
        <v>30020</v>
      </c>
      <c r="B7634" s="19" t="s">
        <v>11417</v>
      </c>
      <c r="C7634" s="18">
        <v>133</v>
      </c>
      <c r="D7634" s="19" t="s">
        <v>11418</v>
      </c>
      <c r="E7634" s="20" t="s">
        <v>7790</v>
      </c>
      <c r="F7634" t="str">
        <f t="shared" si="595"/>
        <v>Boyd</v>
      </c>
      <c r="G7634" t="str">
        <f t="shared" si="596"/>
        <v>Boyd133Azle</v>
      </c>
      <c r="H7634" t="s">
        <v>38489</v>
      </c>
      <c r="I7634" t="s">
        <v>29903</v>
      </c>
      <c r="J7634" t="str">
        <f t="shared" si="597"/>
        <v>E:\PropInv\MF</v>
      </c>
      <c r="K7634" s="103" t="str">
        <f>HYPERLINK("E:\PropInv\MF\Azle\Boyd Rd_133_Reata West MultiFamily Development_Azle_60020","Boyd Rd_133_Reata West MultiFamily Development_Azle_60020" )</f>
        <v>Boyd Rd_133_Reata West MultiFamily Development_Azle_60020</v>
      </c>
      <c r="L7634" s="104" t="s">
        <v>22253</v>
      </c>
      <c r="N7634" s="1">
        <f t="shared" si="598"/>
        <v>60020</v>
      </c>
    </row>
    <row r="7635" spans="1:14" x14ac:dyDescent="0.3">
      <c r="A7635" s="1">
        <v>30021</v>
      </c>
      <c r="B7635" s="19" t="s">
        <v>11419</v>
      </c>
      <c r="C7635" s="18">
        <v>3510</v>
      </c>
      <c r="D7635" s="19" t="s">
        <v>11420</v>
      </c>
      <c r="E7635" s="39" t="s">
        <v>6909</v>
      </c>
      <c r="F7635" t="str">
        <f t="shared" si="595"/>
        <v>Boston</v>
      </c>
      <c r="G7635" t="str">
        <f t="shared" si="596"/>
        <v>Boston3510Benbrook</v>
      </c>
      <c r="H7635" t="s">
        <v>38490</v>
      </c>
      <c r="I7635" t="s">
        <v>29904</v>
      </c>
      <c r="J7635" t="str">
        <f t="shared" si="597"/>
        <v>E:\PropInv\MF</v>
      </c>
      <c r="K7635" s="103" t="str">
        <f>HYPERLINK("E:\PropInv\MF\Benbrook\Boston Ave_3510_Boston Apts_Benbrook_60021","Boston Ave_3510_Boston Apts_Benbrook_60021" )</f>
        <v>Boston Ave_3510_Boston Apts_Benbrook_60021</v>
      </c>
      <c r="L7635" s="104" t="s">
        <v>22253</v>
      </c>
      <c r="N7635" s="1">
        <f t="shared" si="598"/>
        <v>60021</v>
      </c>
    </row>
    <row r="7636" spans="1:14" x14ac:dyDescent="0.3">
      <c r="A7636" s="1">
        <v>30022</v>
      </c>
      <c r="B7636" s="29" t="s">
        <v>11421</v>
      </c>
      <c r="C7636" s="38">
        <v>1801</v>
      </c>
      <c r="D7636" s="29" t="s">
        <v>11422</v>
      </c>
      <c r="E7636" s="39" t="s">
        <v>5060</v>
      </c>
      <c r="F7636" t="str">
        <f t="shared" si="595"/>
        <v>Cox</v>
      </c>
      <c r="G7636" t="str">
        <f t="shared" si="596"/>
        <v>Cox1801Carrollton</v>
      </c>
      <c r="H7636" t="s">
        <v>38491</v>
      </c>
      <c r="I7636" t="s">
        <v>29905</v>
      </c>
      <c r="J7636" t="str">
        <f t="shared" si="597"/>
        <v>E:\PropInv\MF</v>
      </c>
      <c r="K7636" s="103" t="str">
        <f>HYPERLINK("E:\PropInv\MF\Carrollton\Cox St_1801_New Orleans of Carrolton_Carrollton_60022","Cox St_1801_New Orleans of Carrolton_Carrollton_60022" )</f>
        <v>Cox St_1801_New Orleans of Carrolton_Carrollton_60022</v>
      </c>
      <c r="L7636" s="104" t="s">
        <v>22253</v>
      </c>
      <c r="N7636" s="1">
        <f t="shared" si="598"/>
        <v>60022</v>
      </c>
    </row>
    <row r="7637" spans="1:14" x14ac:dyDescent="0.3">
      <c r="A7637" s="1">
        <v>30023</v>
      </c>
      <c r="B7637" s="37" t="s">
        <v>11423</v>
      </c>
      <c r="C7637" s="38">
        <v>1920</v>
      </c>
      <c r="D7637" s="29" t="s">
        <v>11424</v>
      </c>
      <c r="E7637" s="39" t="s">
        <v>5060</v>
      </c>
      <c r="F7637" t="str">
        <f t="shared" si="595"/>
        <v>Josey</v>
      </c>
      <c r="G7637" t="str">
        <f t="shared" si="596"/>
        <v>Josey1920Carrollton</v>
      </c>
      <c r="H7637" t="s">
        <v>38492</v>
      </c>
      <c r="I7637" t="s">
        <v>29906</v>
      </c>
      <c r="J7637" t="str">
        <f t="shared" si="597"/>
        <v>E:\PropInv\MF</v>
      </c>
      <c r="K7637" s="103" t="str">
        <f>HYPERLINK("E:\PropInv\MF\Carrollton\Josey Ln S_1920_Fox creek _Carrollton_60023","Josey Ln S_1920_Fox creek _Carrollton_60023" )</f>
        <v>Josey Ln S_1920_Fox creek _Carrollton_60023</v>
      </c>
      <c r="L7637" s="104" t="s">
        <v>22253</v>
      </c>
      <c r="N7637" s="1">
        <f t="shared" si="598"/>
        <v>60023</v>
      </c>
    </row>
    <row r="7638" spans="1:14" x14ac:dyDescent="0.3">
      <c r="A7638" s="1">
        <v>30024</v>
      </c>
      <c r="B7638" s="19" t="s">
        <v>11425</v>
      </c>
      <c r="C7638" s="18">
        <v>101</v>
      </c>
      <c r="D7638" s="19" t="s">
        <v>11426</v>
      </c>
      <c r="E7638" s="20" t="s">
        <v>11427</v>
      </c>
      <c r="F7638" t="str">
        <f t="shared" si="595"/>
        <v>Westcourt</v>
      </c>
      <c r="G7638" t="str">
        <f t="shared" si="596"/>
        <v>Westcourt101Cleburne</v>
      </c>
      <c r="H7638" t="s">
        <v>38493</v>
      </c>
      <c r="I7638" t="s">
        <v>29907</v>
      </c>
      <c r="J7638" t="str">
        <f t="shared" si="597"/>
        <v>E:\PropInv\MF</v>
      </c>
      <c r="K7638" s="103" t="str">
        <f>HYPERLINK("E:\PropInv\MF\Cleburne\Westcourt Dr_101_Northridge Court Apts_Cleburne_60024","Westcourt Dr_101_Northridge Court Apts_Cleburne_60024" )</f>
        <v>Westcourt Dr_101_Northridge Court Apts_Cleburne_60024</v>
      </c>
      <c r="L7638" s="104" t="s">
        <v>22253</v>
      </c>
      <c r="N7638" s="1">
        <f t="shared" si="598"/>
        <v>60024</v>
      </c>
    </row>
    <row r="7639" spans="1:14" x14ac:dyDescent="0.3">
      <c r="A7639" s="1">
        <v>30025</v>
      </c>
      <c r="B7639" s="19" t="s">
        <v>11428</v>
      </c>
      <c r="C7639" s="18">
        <v>1661</v>
      </c>
      <c r="D7639" s="19" t="s">
        <v>11429</v>
      </c>
      <c r="E7639" s="20" t="s">
        <v>11427</v>
      </c>
      <c r="F7639" t="str">
        <f t="shared" si="595"/>
        <v>Woodard</v>
      </c>
      <c r="G7639" t="str">
        <f t="shared" si="596"/>
        <v>Woodard1661Cleburne</v>
      </c>
      <c r="H7639" t="s">
        <v>38494</v>
      </c>
      <c r="I7639" t="s">
        <v>29908</v>
      </c>
      <c r="J7639" t="str">
        <f t="shared" si="597"/>
        <v>E:\PropInv\MF</v>
      </c>
      <c r="K7639" s="103" t="str">
        <f>HYPERLINK("E:\PropInv\MF\Cleburne\Woodard Ave_1661_Cleburne Terrace Apts_Cleburne_60025","Woodard Ave_1661_Cleburne Terrace Apts_Cleburne_60025" )</f>
        <v>Woodard Ave_1661_Cleburne Terrace Apts_Cleburne_60025</v>
      </c>
      <c r="L7639" s="104" t="s">
        <v>22253</v>
      </c>
      <c r="N7639" s="1">
        <f t="shared" si="598"/>
        <v>60025</v>
      </c>
    </row>
    <row r="7640" spans="1:14" x14ac:dyDescent="0.3">
      <c r="A7640" s="1">
        <v>30026</v>
      </c>
      <c r="B7640" s="19" t="s">
        <v>11428</v>
      </c>
      <c r="C7640" s="18">
        <v>815</v>
      </c>
      <c r="D7640" s="19" t="s">
        <v>11430</v>
      </c>
      <c r="E7640" s="20" t="s">
        <v>11427</v>
      </c>
      <c r="F7640" t="str">
        <f t="shared" si="595"/>
        <v>Woodard</v>
      </c>
      <c r="G7640" t="str">
        <f t="shared" si="596"/>
        <v>Woodard815Cleburne</v>
      </c>
      <c r="H7640" t="s">
        <v>38495</v>
      </c>
      <c r="I7640" t="s">
        <v>29909</v>
      </c>
      <c r="J7640" t="str">
        <f t="shared" si="597"/>
        <v>E:\PropInv\MF</v>
      </c>
      <c r="K7640" s="103" t="str">
        <f>HYPERLINK("E:\PropInv\MF\Cleburne\Woodard Ave_815_The Arbors of Cleburne_Cleburne_60026","Woodard Ave_815_The Arbors of Cleburne_Cleburne_60026" )</f>
        <v>Woodard Ave_815_The Arbors of Cleburne_Cleburne_60026</v>
      </c>
      <c r="L7640" s="104" t="s">
        <v>22253</v>
      </c>
      <c r="N7640" s="1">
        <f t="shared" si="598"/>
        <v>60026</v>
      </c>
    </row>
    <row r="7641" spans="1:14" x14ac:dyDescent="0.3">
      <c r="A7641" s="1">
        <v>30027</v>
      </c>
      <c r="B7641" s="36" t="s">
        <v>11431</v>
      </c>
      <c r="C7641" s="40">
        <v>3301</v>
      </c>
      <c r="D7641" s="36" t="s">
        <v>11432</v>
      </c>
      <c r="E7641" s="41" t="s">
        <v>5434</v>
      </c>
      <c r="F7641" t="str">
        <f t="shared" si="595"/>
        <v>3218</v>
      </c>
      <c r="G7641" t="str">
        <f t="shared" si="596"/>
        <v>32183301Commerce</v>
      </c>
      <c r="H7641" t="s">
        <v>38496</v>
      </c>
      <c r="I7641" t="s">
        <v>29910</v>
      </c>
      <c r="J7641" t="str">
        <f t="shared" si="597"/>
        <v>E:\PropInv\MF</v>
      </c>
      <c r="K7641" s="103" t="str">
        <f>HYPERLINK("E:\PropInv\MF\Commerce\3218 FM_3301_Bradford Place Apts_Commerce_60027","3218 FM_3301_Bradford Place Apts_Commerce_60027" )</f>
        <v>3218 FM_3301_Bradford Place Apts_Commerce_60027</v>
      </c>
      <c r="L7641" s="104" t="s">
        <v>22253</v>
      </c>
      <c r="N7641" s="1">
        <f t="shared" si="598"/>
        <v>60027</v>
      </c>
    </row>
    <row r="7642" spans="1:14" x14ac:dyDescent="0.3">
      <c r="A7642" s="1">
        <v>30028</v>
      </c>
      <c r="B7642" s="19" t="s">
        <v>2632</v>
      </c>
      <c r="C7642" s="18">
        <v>2231</v>
      </c>
      <c r="D7642" s="19" t="s">
        <v>11433</v>
      </c>
      <c r="E7642" s="20" t="s">
        <v>5434</v>
      </c>
      <c r="F7642" t="str">
        <f t="shared" si="595"/>
        <v>Live</v>
      </c>
      <c r="G7642" t="str">
        <f t="shared" si="596"/>
        <v>Live2231Commerce</v>
      </c>
      <c r="H7642" t="s">
        <v>38497</v>
      </c>
      <c r="I7642" t="s">
        <v>29911</v>
      </c>
      <c r="J7642" t="str">
        <f t="shared" si="597"/>
        <v>E:\PropInv\MF</v>
      </c>
      <c r="K7642" s="103" t="str">
        <f>HYPERLINK("E:\PropInv\MF\Commerce\Live Oak_2231_Vinca Apts_Commerce_60028","Live Oak_2231_Vinca Apts_Commerce_60028" )</f>
        <v>Live Oak_2231_Vinca Apts_Commerce_60028</v>
      </c>
      <c r="L7642" s="104" t="s">
        <v>22253</v>
      </c>
      <c r="N7642" s="1">
        <f t="shared" si="598"/>
        <v>60028</v>
      </c>
    </row>
    <row r="7643" spans="1:14" x14ac:dyDescent="0.3">
      <c r="A7643" s="1">
        <v>30029</v>
      </c>
      <c r="B7643" s="19" t="s">
        <v>11434</v>
      </c>
      <c r="C7643" s="18">
        <v>2224</v>
      </c>
      <c r="D7643" s="19" t="s">
        <v>11435</v>
      </c>
      <c r="E7643" s="20" t="s">
        <v>5434</v>
      </c>
      <c r="F7643" t="str">
        <f t="shared" si="595"/>
        <v>Live</v>
      </c>
      <c r="G7643" t="str">
        <f t="shared" si="596"/>
        <v>Live2224Commerce</v>
      </c>
      <c r="H7643" t="s">
        <v>38498</v>
      </c>
      <c r="I7643" t="s">
        <v>29912</v>
      </c>
      <c r="J7643" t="str">
        <f t="shared" si="597"/>
        <v>E:\PropInv\MF</v>
      </c>
      <c r="K7643" s="103" t="str">
        <f>HYPERLINK("E:\PropInv\MF\Commerce\Live Oak St_2224_Ponderosa Apts_Commerce_60029","Live Oak St_2224_Ponderosa Apts_Commerce_60029" )</f>
        <v>Live Oak St_2224_Ponderosa Apts_Commerce_60029</v>
      </c>
      <c r="L7643" s="104" t="s">
        <v>22253</v>
      </c>
      <c r="N7643" s="1">
        <f t="shared" si="598"/>
        <v>60029</v>
      </c>
    </row>
    <row r="7644" spans="1:14" x14ac:dyDescent="0.3">
      <c r="A7644" s="1">
        <v>30030</v>
      </c>
      <c r="B7644" s="19" t="s">
        <v>11436</v>
      </c>
      <c r="C7644" s="18">
        <v>2309</v>
      </c>
      <c r="D7644" s="19" t="s">
        <v>11437</v>
      </c>
      <c r="E7644" s="20" t="s">
        <v>5434</v>
      </c>
      <c r="F7644" t="str">
        <f t="shared" si="595"/>
        <v>Washington</v>
      </c>
      <c r="G7644" t="str">
        <f t="shared" si="596"/>
        <v>Washington2309Commerce</v>
      </c>
      <c r="H7644" t="s">
        <v>38499</v>
      </c>
      <c r="I7644" t="s">
        <v>29913</v>
      </c>
      <c r="J7644" t="str">
        <f t="shared" si="597"/>
        <v>E:\PropInv\MF</v>
      </c>
      <c r="K7644" s="103" t="str">
        <f>HYPERLINK("E:\PropInv\MF\Commerce\Washington_2309_Regency Square Apts_Commerce_60030","Washington_2309_Regency Square Apts_Commerce_60030" )</f>
        <v>Washington_2309_Regency Square Apts_Commerce_60030</v>
      </c>
      <c r="L7644" s="104" t="s">
        <v>22253</v>
      </c>
      <c r="N7644" s="1">
        <f t="shared" si="598"/>
        <v>60030</v>
      </c>
    </row>
    <row r="7645" spans="1:14" x14ac:dyDescent="0.3">
      <c r="A7645" s="1">
        <v>30031</v>
      </c>
      <c r="B7645" s="19" t="s">
        <v>11438</v>
      </c>
      <c r="C7645" s="18">
        <v>2458</v>
      </c>
      <c r="D7645" s="19" t="s">
        <v>11439</v>
      </c>
      <c r="E7645" s="49" t="s">
        <v>5434</v>
      </c>
      <c r="F7645" t="str">
        <f t="shared" si="595"/>
        <v>Westgate</v>
      </c>
      <c r="G7645" t="str">
        <f t="shared" si="596"/>
        <v>Westgate2458Commerce</v>
      </c>
      <c r="H7645" t="s">
        <v>38500</v>
      </c>
      <c r="I7645" t="s">
        <v>29914</v>
      </c>
      <c r="J7645" t="str">
        <f t="shared" si="597"/>
        <v>E:\PropInv\MF</v>
      </c>
      <c r="K7645" s="103" t="str">
        <f>HYPERLINK("E:\PropInv\MF\Commerce\Westgate Dr_2458_Village Apts_Commerce_60031","Westgate Dr_2458_Village Apts_Commerce_60031" )</f>
        <v>Westgate Dr_2458_Village Apts_Commerce_60031</v>
      </c>
      <c r="L7645" s="104" t="s">
        <v>22253</v>
      </c>
      <c r="N7645" s="1">
        <f t="shared" si="598"/>
        <v>60031</v>
      </c>
    </row>
    <row r="7646" spans="1:14" x14ac:dyDescent="0.3">
      <c r="A7646" s="1">
        <v>30032</v>
      </c>
      <c r="B7646" s="37" t="s">
        <v>94</v>
      </c>
      <c r="C7646" s="38">
        <v>108</v>
      </c>
      <c r="D7646" s="29" t="s">
        <v>94</v>
      </c>
      <c r="E7646" s="39" t="s">
        <v>7438</v>
      </c>
      <c r="F7646" t="str">
        <f t="shared" si="595"/>
        <v>Centennial</v>
      </c>
      <c r="G7646" t="str">
        <f t="shared" si="596"/>
        <v>Centennial108Crowley</v>
      </c>
      <c r="H7646" t="s">
        <v>38501</v>
      </c>
      <c r="I7646" t="s">
        <v>14416</v>
      </c>
      <c r="J7646" t="str">
        <f t="shared" si="597"/>
        <v>E:\PropInv\MF</v>
      </c>
      <c r="K7646" s="103" t="str">
        <f>HYPERLINK("E:\PropInv\MF\Crowley\Centennial Place_108_Centennial Place_Crowley_60032","Centennial Place_108_Centennial Place_Crowley_60032" )</f>
        <v>Centennial Place_108_Centennial Place_Crowley_60032</v>
      </c>
      <c r="L7646" s="104" t="s">
        <v>22253</v>
      </c>
      <c r="N7646" s="1">
        <f t="shared" si="598"/>
        <v>60032</v>
      </c>
    </row>
    <row r="7647" spans="1:14" x14ac:dyDescent="0.3">
      <c r="A7647" s="1">
        <v>30033</v>
      </c>
      <c r="B7647" s="50" t="s">
        <v>11440</v>
      </c>
      <c r="C7647" s="38">
        <v>200</v>
      </c>
      <c r="D7647" s="51" t="s">
        <v>94</v>
      </c>
      <c r="E7647" s="49" t="s">
        <v>7438</v>
      </c>
      <c r="F7647" t="str">
        <f t="shared" si="595"/>
        <v>Kennedy</v>
      </c>
      <c r="G7647" t="str">
        <f t="shared" si="596"/>
        <v>Kennedy200Crowley</v>
      </c>
      <c r="H7647" t="s">
        <v>38502</v>
      </c>
      <c r="I7647" t="s">
        <v>29915</v>
      </c>
      <c r="J7647" t="str">
        <f t="shared" si="597"/>
        <v>E:\PropInv\MF</v>
      </c>
      <c r="K7647" s="103" t="str">
        <f>HYPERLINK("E:\PropInv\MF\Crowley\Kennedy Dr @ Edison Ln_200_Centennial Place_Crowley_60033","Kennedy Dr @ Edison Ln_200_Centennial Place_Crowley_60033" )</f>
        <v>Kennedy Dr @ Edison Ln_200_Centennial Place_Crowley_60033</v>
      </c>
      <c r="L7647" s="104" t="s">
        <v>22253</v>
      </c>
      <c r="N7647" s="1">
        <f t="shared" si="598"/>
        <v>60033</v>
      </c>
    </row>
    <row r="7648" spans="1:14" x14ac:dyDescent="0.3">
      <c r="A7648" s="1">
        <v>30034</v>
      </c>
      <c r="B7648" s="37" t="s">
        <v>11099</v>
      </c>
      <c r="C7648" s="38">
        <v>2607</v>
      </c>
      <c r="D7648" s="29" t="s">
        <v>11441</v>
      </c>
      <c r="E7648" s="39" t="s">
        <v>4996</v>
      </c>
      <c r="F7648" t="str">
        <f t="shared" si="595"/>
        <v>52nd</v>
      </c>
      <c r="G7648" t="str">
        <f t="shared" si="596"/>
        <v>52nd2607Dallas</v>
      </c>
      <c r="H7648" t="s">
        <v>38503</v>
      </c>
      <c r="I7648" t="s">
        <v>29916</v>
      </c>
      <c r="J7648" t="str">
        <f t="shared" si="597"/>
        <v>E:\PropInv\MF</v>
      </c>
      <c r="K7648" s="103" t="str">
        <f>HYPERLINK("E:\PropInv\MF\Dallas\52nd St_2607_Oak Glen Apts_Dallas_60034","52nd St_2607_Oak Glen Apts_Dallas_60034" )</f>
        <v>52nd St_2607_Oak Glen Apts_Dallas_60034</v>
      </c>
      <c r="L7648" s="104" t="s">
        <v>22253</v>
      </c>
      <c r="N7648" s="1">
        <f t="shared" si="598"/>
        <v>60034</v>
      </c>
    </row>
    <row r="7649" spans="1:14" x14ac:dyDescent="0.3">
      <c r="A7649" s="1">
        <v>30035</v>
      </c>
      <c r="B7649" s="7" t="s">
        <v>11099</v>
      </c>
      <c r="C7649" s="38">
        <v>2121</v>
      </c>
      <c r="D7649" s="29" t="s">
        <v>11442</v>
      </c>
      <c r="E7649" s="39" t="s">
        <v>4996</v>
      </c>
      <c r="F7649" t="str">
        <f t="shared" si="595"/>
        <v>52nd</v>
      </c>
      <c r="G7649" t="str">
        <f t="shared" si="596"/>
        <v>52nd2121Dallas</v>
      </c>
      <c r="H7649" t="s">
        <v>38504</v>
      </c>
      <c r="I7649" t="s">
        <v>29917</v>
      </c>
      <c r="J7649" t="str">
        <f t="shared" si="597"/>
        <v>E:\PropInv\MF</v>
      </c>
      <c r="K7649" s="103" t="str">
        <f>HYPERLINK("E:\PropInv\MF\Dallas\52nd St_2121_Rose Garden_Dallas_60035","52nd St_2121_Rose Garden_Dallas_60035" )</f>
        <v>52nd St_2121_Rose Garden_Dallas_60035</v>
      </c>
      <c r="L7649" s="104" t="s">
        <v>22253</v>
      </c>
      <c r="N7649" s="1">
        <f t="shared" si="598"/>
        <v>60035</v>
      </c>
    </row>
    <row r="7650" spans="1:14" x14ac:dyDescent="0.3">
      <c r="A7650" s="1">
        <v>30036</v>
      </c>
      <c r="B7650" s="36" t="s">
        <v>11443</v>
      </c>
      <c r="C7650" s="40">
        <v>11330</v>
      </c>
      <c r="D7650" s="36" t="s">
        <v>8500</v>
      </c>
      <c r="E7650" s="41" t="s">
        <v>4996</v>
      </c>
      <c r="F7650" t="str">
        <f t="shared" si="595"/>
        <v>Amanda</v>
      </c>
      <c r="G7650" t="str">
        <f t="shared" si="596"/>
        <v>Amanda11330Dallas</v>
      </c>
      <c r="H7650" t="s">
        <v>38505</v>
      </c>
      <c r="I7650" t="s">
        <v>29918</v>
      </c>
      <c r="J7650" t="str">
        <f t="shared" si="597"/>
        <v>E:\PropInv\MF</v>
      </c>
      <c r="K7650" s="103" t="str">
        <f>HYPERLINK("E:\PropInv\MF\Dallas\Amanda Ln_11330_Montecito Creek_Dallas_60036","Amanda Ln_11330_Montecito Creek_Dallas_60036" )</f>
        <v>Amanda Ln_11330_Montecito Creek_Dallas_60036</v>
      </c>
      <c r="L7650" s="104" t="s">
        <v>22253</v>
      </c>
      <c r="N7650" s="1">
        <f t="shared" si="598"/>
        <v>60036</v>
      </c>
    </row>
    <row r="7651" spans="1:14" x14ac:dyDescent="0.3">
      <c r="A7651" s="1">
        <v>30037</v>
      </c>
      <c r="B7651" s="7" t="s">
        <v>5201</v>
      </c>
      <c r="C7651" s="12">
        <v>12111</v>
      </c>
      <c r="D7651" s="7" t="s">
        <v>2497</v>
      </c>
      <c r="E7651" s="13" t="s">
        <v>4996</v>
      </c>
      <c r="F7651" t="str">
        <f t="shared" si="595"/>
        <v>Audelia</v>
      </c>
      <c r="G7651" t="str">
        <f t="shared" si="596"/>
        <v>Audelia12111Dallas</v>
      </c>
      <c r="H7651" t="s">
        <v>38506</v>
      </c>
      <c r="I7651" t="s">
        <v>29919</v>
      </c>
      <c r="J7651" t="str">
        <f t="shared" si="597"/>
        <v>E:\PropInv\MF</v>
      </c>
      <c r="K7651" s="103" t="str">
        <f>HYPERLINK("E:\PropInv\MF\Dallas\Audelia Rd_12111_NF_Dallas_60037","Audelia Rd_12111_NF_Dallas_60037" )</f>
        <v>Audelia Rd_12111_NF_Dallas_60037</v>
      </c>
      <c r="L7651" s="104" t="s">
        <v>22253</v>
      </c>
      <c r="N7651" s="1">
        <f t="shared" si="598"/>
        <v>60037</v>
      </c>
    </row>
    <row r="7652" spans="1:14" x14ac:dyDescent="0.3">
      <c r="A7652" s="1">
        <v>30038</v>
      </c>
      <c r="B7652" s="29" t="s">
        <v>11444</v>
      </c>
      <c r="C7652" s="52">
        <v>3823</v>
      </c>
      <c r="D7652" s="29" t="s">
        <v>11445</v>
      </c>
      <c r="E7652" s="53" t="s">
        <v>4996</v>
      </c>
      <c r="F7652" t="str">
        <f t="shared" si="595"/>
        <v>Bonnie</v>
      </c>
      <c r="G7652" t="str">
        <f t="shared" si="596"/>
        <v>Bonnie3823Dallas</v>
      </c>
      <c r="H7652" t="s">
        <v>38507</v>
      </c>
      <c r="I7652" t="s">
        <v>29920</v>
      </c>
      <c r="J7652" t="str">
        <f t="shared" si="597"/>
        <v>E:\PropInv\MF</v>
      </c>
      <c r="K7652" s="103" t="str">
        <f>HYPERLINK("E:\PropInv\MF\Dallas\Bonnie View Rd_3823_Bonnie View Apts_Dallas_60038","Bonnie View Rd_3823_Bonnie View Apts_Dallas_60038" )</f>
        <v>Bonnie View Rd_3823_Bonnie View Apts_Dallas_60038</v>
      </c>
      <c r="L7652" s="104" t="s">
        <v>22253</v>
      </c>
      <c r="N7652" s="1">
        <f t="shared" si="598"/>
        <v>60038</v>
      </c>
    </row>
    <row r="7653" spans="1:14" x14ac:dyDescent="0.3">
      <c r="A7653" s="1">
        <v>30039</v>
      </c>
      <c r="B7653" s="37" t="s">
        <v>11444</v>
      </c>
      <c r="C7653" s="38">
        <v>5821</v>
      </c>
      <c r="D7653" s="29" t="s">
        <v>11459</v>
      </c>
      <c r="E7653" s="39" t="s">
        <v>4996</v>
      </c>
      <c r="F7653" t="str">
        <f t="shared" si="595"/>
        <v>Bonnie</v>
      </c>
      <c r="G7653" t="str">
        <f t="shared" si="596"/>
        <v>Bonnie5821Dallas</v>
      </c>
      <c r="H7653" t="s">
        <v>38508</v>
      </c>
      <c r="I7653" t="s">
        <v>29921</v>
      </c>
      <c r="J7653" t="str">
        <f t="shared" si="597"/>
        <v>E:\PropInv\MF</v>
      </c>
      <c r="K7653" s="103" t="str">
        <f>HYPERLINK("E:\PropInv\MF\Dallas\Bonnie View Rd_5821_Highland Hills Apts_Dallas_60039","Bonnie View Rd_5821_Highland Hills Apts_Dallas_60039" )</f>
        <v>Bonnie View Rd_5821_Highland Hills Apts_Dallas_60039</v>
      </c>
      <c r="L7653" s="104" t="s">
        <v>22253</v>
      </c>
      <c r="N7653" s="1">
        <f t="shared" si="598"/>
        <v>60039</v>
      </c>
    </row>
    <row r="7654" spans="1:14" x14ac:dyDescent="0.3">
      <c r="A7654" s="1">
        <v>30040</v>
      </c>
      <c r="B7654" s="36" t="s">
        <v>11446</v>
      </c>
      <c r="C7654" s="40">
        <v>10223</v>
      </c>
      <c r="D7654" s="36" t="s">
        <v>2497</v>
      </c>
      <c r="E7654" s="41" t="s">
        <v>4996</v>
      </c>
      <c r="F7654" t="str">
        <f t="shared" si="595"/>
        <v>Budtime</v>
      </c>
      <c r="G7654" t="str">
        <f t="shared" si="596"/>
        <v>Budtime10223Dallas</v>
      </c>
      <c r="H7654" t="s">
        <v>38509</v>
      </c>
      <c r="I7654" t="s">
        <v>29922</v>
      </c>
      <c r="J7654" t="str">
        <f t="shared" si="597"/>
        <v>E:\PropInv\MF</v>
      </c>
      <c r="K7654" s="103" t="str">
        <f>HYPERLINK("E:\PropInv\MF\Dallas\Budtime_10223_NF_Dallas_60040","Budtime_10223_NF_Dallas_60040" )</f>
        <v>Budtime_10223_NF_Dallas_60040</v>
      </c>
      <c r="L7654" s="104" t="s">
        <v>22253</v>
      </c>
      <c r="N7654" s="1">
        <f t="shared" si="598"/>
        <v>60040</v>
      </c>
    </row>
    <row r="7655" spans="1:14" x14ac:dyDescent="0.3">
      <c r="A7655" s="1">
        <v>30041</v>
      </c>
      <c r="B7655" s="37" t="s">
        <v>5880</v>
      </c>
      <c r="C7655" s="38">
        <v>4625</v>
      </c>
      <c r="D7655" s="51" t="s">
        <v>11447</v>
      </c>
      <c r="E7655" s="49" t="s">
        <v>4996</v>
      </c>
      <c r="F7655" t="str">
        <f t="shared" si="595"/>
        <v>Cedar</v>
      </c>
      <c r="G7655" t="str">
        <f t="shared" si="596"/>
        <v>Cedar4625Dallas</v>
      </c>
      <c r="H7655" t="s">
        <v>38510</v>
      </c>
      <c r="I7655" t="s">
        <v>29923</v>
      </c>
      <c r="J7655" t="str">
        <f t="shared" si="597"/>
        <v>E:\PropInv\MF</v>
      </c>
      <c r="K7655" s="103" t="str">
        <f>HYPERLINK("E:\PropInv\MF\Dallas\Cedar Springs Rd_4625_Marrakesh &amp; Versailles_Dallas_60041","Cedar Springs Rd_4625_Marrakesh &amp; Versailles_Dallas_60041" )</f>
        <v>Cedar Springs Rd_4625_Marrakesh &amp; Versailles_Dallas_60041</v>
      </c>
      <c r="L7655" s="104" t="s">
        <v>22253</v>
      </c>
      <c r="N7655" s="1">
        <f t="shared" si="598"/>
        <v>60041</v>
      </c>
    </row>
    <row r="7656" spans="1:14" x14ac:dyDescent="0.3">
      <c r="A7656" s="1">
        <v>30042</v>
      </c>
      <c r="B7656" s="37" t="s">
        <v>7550</v>
      </c>
      <c r="C7656" s="38">
        <v>3232</v>
      </c>
      <c r="D7656" s="29" t="s">
        <v>11448</v>
      </c>
      <c r="E7656" s="39" t="s">
        <v>4996</v>
      </c>
      <c r="F7656" t="str">
        <f t="shared" si="595"/>
        <v>Chapel</v>
      </c>
      <c r="G7656" t="str">
        <f t="shared" si="596"/>
        <v>Chapel3232Dallas</v>
      </c>
      <c r="H7656" t="s">
        <v>38511</v>
      </c>
      <c r="I7656" t="s">
        <v>29924</v>
      </c>
      <c r="J7656" t="str">
        <f t="shared" si="597"/>
        <v>E:\PropInv\MF</v>
      </c>
      <c r="K7656" s="103" t="str">
        <f>HYPERLINK("E:\PropInv\MF\Dallas\Chapel Creek Dr_3232_Courtney Place Apts_Dallas_60042","Chapel Creek Dr_3232_Courtney Place Apts_Dallas_60042" )</f>
        <v>Chapel Creek Dr_3232_Courtney Place Apts_Dallas_60042</v>
      </c>
      <c r="L7656" s="104" t="s">
        <v>22253</v>
      </c>
      <c r="N7656" s="1">
        <f t="shared" si="598"/>
        <v>60042</v>
      </c>
    </row>
    <row r="7657" spans="1:14" x14ac:dyDescent="0.3">
      <c r="A7657" s="1">
        <v>30043</v>
      </c>
      <c r="B7657" s="37" t="s">
        <v>7343</v>
      </c>
      <c r="C7657" s="38">
        <v>7575</v>
      </c>
      <c r="D7657" s="19" t="s">
        <v>2497</v>
      </c>
      <c r="E7657" s="39" t="s">
        <v>4996</v>
      </c>
      <c r="F7657" t="str">
        <f t="shared" si="595"/>
        <v>Chaucer</v>
      </c>
      <c r="G7657" t="str">
        <f t="shared" si="596"/>
        <v>Chaucer7575Dallas</v>
      </c>
      <c r="H7657" t="s">
        <v>38512</v>
      </c>
      <c r="I7657" t="s">
        <v>29925</v>
      </c>
      <c r="J7657" t="str">
        <f t="shared" si="597"/>
        <v>E:\PropInv\MF</v>
      </c>
      <c r="K7657" s="103" t="str">
        <f>HYPERLINK("E:\PropInv\MF\Dallas\Chaucer_7575_NF_Dallas_60043","Chaucer_7575_NF_Dallas_60043" )</f>
        <v>Chaucer_7575_NF_Dallas_60043</v>
      </c>
      <c r="L7657" s="104" t="s">
        <v>22253</v>
      </c>
      <c r="N7657" s="1">
        <f t="shared" si="598"/>
        <v>60043</v>
      </c>
    </row>
    <row r="7658" spans="1:14" x14ac:dyDescent="0.3">
      <c r="A7658" s="1">
        <v>30044</v>
      </c>
      <c r="B7658" s="37" t="s">
        <v>7178</v>
      </c>
      <c r="C7658" s="38">
        <v>2620</v>
      </c>
      <c r="D7658" s="29" t="s">
        <v>11449</v>
      </c>
      <c r="E7658" s="39" t="s">
        <v>4996</v>
      </c>
      <c r="F7658" t="str">
        <f t="shared" si="595"/>
        <v>Colorado</v>
      </c>
      <c r="G7658" t="str">
        <f t="shared" si="596"/>
        <v>Colorado2620Dallas</v>
      </c>
      <c r="H7658" t="s">
        <v>38513</v>
      </c>
      <c r="I7658" t="s">
        <v>29926</v>
      </c>
      <c r="J7658" t="str">
        <f t="shared" si="597"/>
        <v>E:\PropInv\MF</v>
      </c>
      <c r="K7658" s="103" t="str">
        <f>HYPERLINK("E:\PropInv\MF\Dallas\Colorado Blvd_2620_Las palmas_Dallas_60044","Colorado Blvd_2620_Las palmas_Dallas_60044" )</f>
        <v>Colorado Blvd_2620_Las palmas_Dallas_60044</v>
      </c>
      <c r="L7658" s="104" t="s">
        <v>22253</v>
      </c>
      <c r="N7658" s="1">
        <f t="shared" si="598"/>
        <v>60044</v>
      </c>
    </row>
    <row r="7659" spans="1:14" x14ac:dyDescent="0.3">
      <c r="A7659" s="1">
        <v>30045</v>
      </c>
      <c r="B7659" s="19" t="s">
        <v>11450</v>
      </c>
      <c r="C7659" s="18">
        <v>321</v>
      </c>
      <c r="D7659" s="54" t="s">
        <v>2497</v>
      </c>
      <c r="E7659" s="20" t="s">
        <v>4996</v>
      </c>
      <c r="F7659" t="str">
        <f t="shared" si="595"/>
        <v>8th</v>
      </c>
      <c r="G7659" t="str">
        <f t="shared" si="596"/>
        <v>8th321Dallas</v>
      </c>
      <c r="H7659" t="s">
        <v>38514</v>
      </c>
      <c r="I7659" t="s">
        <v>29927</v>
      </c>
      <c r="J7659" t="str">
        <f t="shared" si="597"/>
        <v>E:\PropInv\MF</v>
      </c>
      <c r="K7659" s="103" t="str">
        <f>HYPERLINK("E:\PropInv\MF\Dallas\8th St E_321_NF_Dallas_60045","8th St E_321_NF_Dallas_60045" )</f>
        <v>8th St E_321_NF_Dallas_60045</v>
      </c>
      <c r="L7659" s="104" t="s">
        <v>22253</v>
      </c>
      <c r="N7659" s="1">
        <f t="shared" si="598"/>
        <v>60045</v>
      </c>
    </row>
    <row r="7660" spans="1:14" x14ac:dyDescent="0.3">
      <c r="A7660" s="1">
        <v>30046</v>
      </c>
      <c r="B7660" s="37" t="s">
        <v>7619</v>
      </c>
      <c r="C7660" s="38">
        <v>7751</v>
      </c>
      <c r="D7660" s="29" t="s">
        <v>7620</v>
      </c>
      <c r="E7660" s="39" t="s">
        <v>4996</v>
      </c>
      <c r="F7660" t="str">
        <f t="shared" si="595"/>
        <v>RL</v>
      </c>
      <c r="G7660" t="str">
        <f t="shared" si="596"/>
        <v>RL7751Dallas</v>
      </c>
      <c r="H7660" t="s">
        <v>38515</v>
      </c>
      <c r="I7660" t="s">
        <v>29928</v>
      </c>
      <c r="J7660" t="str">
        <f t="shared" si="597"/>
        <v>E:\PropInv\MF</v>
      </c>
      <c r="K7660" s="103" t="str">
        <f>HYPERLINK("E:\PropInv\MF\Dallas\RL Thornton Fwy E_7751_La Arboleda_Dallas_60046","RL Thornton Fwy E_7751_La Arboleda_Dallas_60046" )</f>
        <v>RL Thornton Fwy E_7751_La Arboleda_Dallas_60046</v>
      </c>
      <c r="L7660" s="104" t="s">
        <v>22253</v>
      </c>
      <c r="N7660" s="1">
        <f t="shared" si="598"/>
        <v>60046</v>
      </c>
    </row>
    <row r="7661" spans="1:14" x14ac:dyDescent="0.3">
      <c r="A7661" s="1">
        <v>30047</v>
      </c>
      <c r="B7661" s="36" t="s">
        <v>11451</v>
      </c>
      <c r="C7661" s="40">
        <v>5907</v>
      </c>
      <c r="D7661" s="36" t="s">
        <v>11613</v>
      </c>
      <c r="E7661" s="41" t="s">
        <v>4996</v>
      </c>
      <c r="F7661" t="str">
        <f t="shared" si="595"/>
        <v>UNIVERSITY</v>
      </c>
      <c r="G7661" t="str">
        <f t="shared" si="596"/>
        <v>UNIVERSITY5907Dallas</v>
      </c>
      <c r="H7661" t="s">
        <v>38516</v>
      </c>
      <c r="I7661" t="s">
        <v>29929</v>
      </c>
      <c r="J7661" t="str">
        <f t="shared" si="597"/>
        <v>E:\PropInv\MF</v>
      </c>
      <c r="K7661" s="103" t="str">
        <f>HYPERLINK("E:\PropInv\MF\Dallas\UNIVERSITY Dr E_5907_Spanish Trace Apts_Dallas_60047","UNIVERSITY Dr E_5907_Spanish Trace Apts_Dallas_60047" )</f>
        <v>UNIVERSITY Dr E_5907_Spanish Trace Apts_Dallas_60047</v>
      </c>
      <c r="L7661" s="104" t="s">
        <v>22253</v>
      </c>
      <c r="N7661" s="1">
        <f t="shared" si="598"/>
        <v>60047</v>
      </c>
    </row>
    <row r="7662" spans="1:14" x14ac:dyDescent="0.3">
      <c r="A7662" s="1">
        <v>30048</v>
      </c>
      <c r="B7662" s="37" t="s">
        <v>6914</v>
      </c>
      <c r="C7662" s="38">
        <v>7502</v>
      </c>
      <c r="D7662" s="29" t="s">
        <v>11452</v>
      </c>
      <c r="E7662" s="39" t="s">
        <v>4996</v>
      </c>
      <c r="F7662" t="str">
        <f t="shared" si="595"/>
        <v>Fair</v>
      </c>
      <c r="G7662" t="str">
        <f t="shared" si="596"/>
        <v>Fair7502Dallas</v>
      </c>
      <c r="H7662" t="s">
        <v>38517</v>
      </c>
      <c r="I7662" t="s">
        <v>29930</v>
      </c>
      <c r="J7662" t="str">
        <f t="shared" si="597"/>
        <v>E:\PropInv\MF</v>
      </c>
      <c r="K7662" s="103" t="str">
        <f>HYPERLINK("E:\PropInv\MF\Dallas\Fair Oaks Ave_7502_Sundance Apts_Dallas_60048","Fair Oaks Ave_7502_Sundance Apts_Dallas_60048" )</f>
        <v>Fair Oaks Ave_7502_Sundance Apts_Dallas_60048</v>
      </c>
      <c r="L7662" s="104" t="s">
        <v>22253</v>
      </c>
      <c r="N7662" s="1">
        <f t="shared" si="598"/>
        <v>60048</v>
      </c>
    </row>
    <row r="7663" spans="1:14" x14ac:dyDescent="0.3">
      <c r="A7663" s="1">
        <v>30049</v>
      </c>
      <c r="B7663" s="37" t="s">
        <v>11453</v>
      </c>
      <c r="C7663" s="38">
        <v>3504</v>
      </c>
      <c r="D7663" s="29" t="s">
        <v>1199</v>
      </c>
      <c r="E7663" s="39" t="s">
        <v>4996</v>
      </c>
      <c r="F7663" t="str">
        <f t="shared" si="595"/>
        <v>Fawn</v>
      </c>
      <c r="G7663" t="str">
        <f t="shared" si="596"/>
        <v>Fawn3504Dallas</v>
      </c>
      <c r="H7663" t="s">
        <v>38518</v>
      </c>
      <c r="I7663" t="s">
        <v>29931</v>
      </c>
      <c r="J7663" t="str">
        <f t="shared" si="597"/>
        <v>E:\PropInv\MF</v>
      </c>
      <c r="K7663" s="103" t="str">
        <f>HYPERLINK("E:\PropInv\MF\Dallas\Fawn Valley Dr_3504_Mesa Ridge_Dallas_60049","Fawn Valley Dr_3504_Mesa Ridge_Dallas_60049" )</f>
        <v>Fawn Valley Dr_3504_Mesa Ridge_Dallas_60049</v>
      </c>
      <c r="L7663" s="104" t="s">
        <v>22253</v>
      </c>
      <c r="N7663" s="1">
        <f t="shared" si="598"/>
        <v>60049</v>
      </c>
    </row>
    <row r="7664" spans="1:14" x14ac:dyDescent="0.3">
      <c r="A7664" s="1">
        <v>30050</v>
      </c>
      <c r="B7664" s="29" t="s">
        <v>6439</v>
      </c>
      <c r="C7664" s="52">
        <v>7323</v>
      </c>
      <c r="D7664" s="29" t="s">
        <v>11454</v>
      </c>
      <c r="E7664" s="39" t="s">
        <v>4996</v>
      </c>
      <c r="F7664" t="str">
        <f t="shared" si="595"/>
        <v>Ferguson</v>
      </c>
      <c r="G7664" t="str">
        <f t="shared" si="596"/>
        <v>Ferguson7323Dallas</v>
      </c>
      <c r="H7664" t="s">
        <v>38519</v>
      </c>
      <c r="I7664" t="s">
        <v>29932</v>
      </c>
      <c r="J7664" t="str">
        <f t="shared" si="597"/>
        <v>E:\PropInv\MF</v>
      </c>
      <c r="K7664" s="103" t="str">
        <f>HYPERLINK("E:\PropInv\MF\Dallas\Ferguson_7323_Cambridge Square Apts_Dallas_60050","Ferguson_7323_Cambridge Square Apts_Dallas_60050" )</f>
        <v>Ferguson_7323_Cambridge Square Apts_Dallas_60050</v>
      </c>
      <c r="L7664" s="104" t="s">
        <v>22253</v>
      </c>
      <c r="N7664" s="1">
        <f t="shared" si="598"/>
        <v>60050</v>
      </c>
    </row>
    <row r="7665" spans="1:14" x14ac:dyDescent="0.3">
      <c r="A7665" s="1">
        <v>30051</v>
      </c>
      <c r="B7665" s="29" t="s">
        <v>5080</v>
      </c>
      <c r="C7665" s="38">
        <v>7621</v>
      </c>
      <c r="D7665" s="29" t="s">
        <v>11455</v>
      </c>
      <c r="E7665" s="39" t="s">
        <v>4996</v>
      </c>
      <c r="F7665" t="str">
        <f t="shared" si="595"/>
        <v>Ferguson</v>
      </c>
      <c r="G7665" t="str">
        <f t="shared" si="596"/>
        <v>Ferguson7621Dallas</v>
      </c>
      <c r="H7665" t="s">
        <v>38520</v>
      </c>
      <c r="I7665" t="s">
        <v>29933</v>
      </c>
      <c r="J7665" t="str">
        <f t="shared" si="597"/>
        <v>E:\PropInv\MF</v>
      </c>
      <c r="K7665" s="103" t="str">
        <f>HYPERLINK("E:\PropInv\MF\Dallas\Ferguson Rd_7621_Casa Nueva Apts_Dallas_60051","Ferguson Rd_7621_Casa Nueva Apts_Dallas_60051" )</f>
        <v>Ferguson Rd_7621_Casa Nueva Apts_Dallas_60051</v>
      </c>
      <c r="L7665" s="104" t="s">
        <v>22253</v>
      </c>
      <c r="N7665" s="1">
        <f t="shared" si="598"/>
        <v>60051</v>
      </c>
    </row>
    <row r="7666" spans="1:14" x14ac:dyDescent="0.3">
      <c r="A7666" s="1">
        <v>30052</v>
      </c>
      <c r="B7666" s="37" t="s">
        <v>5129</v>
      </c>
      <c r="C7666" s="38">
        <v>9920</v>
      </c>
      <c r="D7666" s="29" t="s">
        <v>15571</v>
      </c>
      <c r="E7666" s="39" t="s">
        <v>4996</v>
      </c>
      <c r="F7666" t="str">
        <f t="shared" si="595"/>
        <v>Forest</v>
      </c>
      <c r="G7666" t="str">
        <f t="shared" si="596"/>
        <v>Forest9920Dallas</v>
      </c>
      <c r="H7666" t="s">
        <v>38521</v>
      </c>
      <c r="I7666" t="s">
        <v>29934</v>
      </c>
      <c r="J7666" t="str">
        <f t="shared" si="597"/>
        <v>E:\PropInv\MF</v>
      </c>
      <c r="K7666" s="103" t="str">
        <f>HYPERLINK("E:\PropInv\MF\Dallas\Forest Ln_9920_Village Oaks Condos_Dallas_60052","Forest Ln_9920_Village Oaks Condos_Dallas_60052" )</f>
        <v>Forest Ln_9920_Village Oaks Condos_Dallas_60052</v>
      </c>
      <c r="L7666" s="104" t="s">
        <v>22253</v>
      </c>
      <c r="N7666" s="1">
        <f t="shared" si="598"/>
        <v>60052</v>
      </c>
    </row>
    <row r="7667" spans="1:14" x14ac:dyDescent="0.3">
      <c r="A7667" s="1">
        <v>30053</v>
      </c>
      <c r="B7667" s="29" t="s">
        <v>11456</v>
      </c>
      <c r="C7667" s="52">
        <v>4328</v>
      </c>
      <c r="D7667" s="29" t="s">
        <v>11457</v>
      </c>
      <c r="E7667" s="39" t="s">
        <v>4996</v>
      </c>
      <c r="F7667" t="str">
        <f t="shared" si="595"/>
        <v>Hartford</v>
      </c>
      <c r="G7667" t="str">
        <f t="shared" si="596"/>
        <v>Hartford4328Dallas</v>
      </c>
      <c r="H7667" t="s">
        <v>38522</v>
      </c>
      <c r="I7667" t="s">
        <v>29935</v>
      </c>
      <c r="J7667" t="str">
        <f t="shared" si="597"/>
        <v>E:\PropInv\MF</v>
      </c>
      <c r="K7667" s="103" t="str">
        <f>HYPERLINK("E:\PropInv\MF\Dallas\Hartford_4328_Hartford Apts_Dallas_60053","Hartford_4328_Hartford Apts_Dallas_60053" )</f>
        <v>Hartford_4328_Hartford Apts_Dallas_60053</v>
      </c>
      <c r="L7667" s="104" t="s">
        <v>22253</v>
      </c>
      <c r="N7667" s="1">
        <f t="shared" si="598"/>
        <v>60053</v>
      </c>
    </row>
    <row r="7668" spans="1:14" x14ac:dyDescent="0.3">
      <c r="A7668" s="1">
        <v>30054</v>
      </c>
      <c r="B7668" s="36" t="s">
        <v>11458</v>
      </c>
      <c r="C7668" s="40">
        <v>5850</v>
      </c>
      <c r="D7668" s="36" t="s">
        <v>11459</v>
      </c>
      <c r="E7668" s="41" t="s">
        <v>4996</v>
      </c>
      <c r="F7668" t="str">
        <f t="shared" si="595"/>
        <v>Highland</v>
      </c>
      <c r="G7668" t="str">
        <f t="shared" si="596"/>
        <v>Highland5850Dallas</v>
      </c>
      <c r="H7668" t="s">
        <v>38523</v>
      </c>
      <c r="I7668" t="s">
        <v>29936</v>
      </c>
      <c r="J7668" t="str">
        <f t="shared" si="597"/>
        <v>E:\PropInv\MF</v>
      </c>
      <c r="K7668" s="103" t="str">
        <f>HYPERLINK("E:\PropInv\MF\Dallas\Highland Hills Dr_5850_Highland Hills Apts_Dallas_60054","Highland Hills Dr_5850_Highland Hills Apts_Dallas_60054" )</f>
        <v>Highland Hills Dr_5850_Highland Hills Apts_Dallas_60054</v>
      </c>
      <c r="L7668" s="104" t="s">
        <v>22253</v>
      </c>
      <c r="N7668" s="1">
        <f t="shared" si="598"/>
        <v>60054</v>
      </c>
    </row>
    <row r="7669" spans="1:14" x14ac:dyDescent="0.3">
      <c r="A7669" s="1">
        <v>30055</v>
      </c>
      <c r="B7669" s="29" t="s">
        <v>11460</v>
      </c>
      <c r="C7669" s="52">
        <v>12660</v>
      </c>
      <c r="D7669" s="29" t="s">
        <v>11461</v>
      </c>
      <c r="E7669" s="39" t="s">
        <v>4996</v>
      </c>
      <c r="F7669" t="str">
        <f t="shared" si="595"/>
        <v>Hillcrest</v>
      </c>
      <c r="G7669" t="str">
        <f t="shared" si="596"/>
        <v>Hillcrest12660Dallas</v>
      </c>
      <c r="H7669" t="s">
        <v>38524</v>
      </c>
      <c r="I7669" t="s">
        <v>29937</v>
      </c>
      <c r="J7669" t="str">
        <f t="shared" si="597"/>
        <v>E:\PropInv\MF</v>
      </c>
      <c r="K7669" s="103" t="str">
        <f>HYPERLINK("E:\PropInv\MF\Dallas\Hillcrest Rd_12660_The Williamsburg_Dallas_60055","Hillcrest Rd_12660_The Williamsburg_Dallas_60055" )</f>
        <v>Hillcrest Rd_12660_The Williamsburg_Dallas_60055</v>
      </c>
      <c r="L7669" s="104" t="s">
        <v>22253</v>
      </c>
      <c r="N7669" s="1">
        <f t="shared" si="598"/>
        <v>60055</v>
      </c>
    </row>
    <row r="7670" spans="1:14" x14ac:dyDescent="0.3">
      <c r="A7670" s="1">
        <v>30056</v>
      </c>
      <c r="B7670" s="7" t="s">
        <v>5164</v>
      </c>
      <c r="C7670" s="40">
        <v>4300</v>
      </c>
      <c r="D7670" s="36" t="s">
        <v>2497</v>
      </c>
      <c r="E7670" s="41" t="s">
        <v>4996</v>
      </c>
      <c r="F7670" t="str">
        <f t="shared" si="595"/>
        <v>Horizon</v>
      </c>
      <c r="G7670" t="str">
        <f t="shared" si="596"/>
        <v>Horizon4300Dallas</v>
      </c>
      <c r="H7670" t="s">
        <v>38525</v>
      </c>
      <c r="I7670" t="s">
        <v>29938</v>
      </c>
      <c r="J7670" t="str">
        <f t="shared" si="597"/>
        <v>E:\PropInv\MF</v>
      </c>
      <c r="K7670" s="103" t="str">
        <f>HYPERLINK("E:\PropInv\MF\Dallas\Horizon Pkwy N_4300_NF_Dallas_60056","Horizon Pkwy N_4300_NF_Dallas_60056" )</f>
        <v>Horizon Pkwy N_4300_NF_Dallas_60056</v>
      </c>
      <c r="L7670" s="104" t="s">
        <v>22253</v>
      </c>
      <c r="N7670" s="1">
        <f t="shared" si="598"/>
        <v>60056</v>
      </c>
    </row>
    <row r="7671" spans="1:14" x14ac:dyDescent="0.3">
      <c r="A7671" s="1">
        <v>30057</v>
      </c>
      <c r="B7671" s="19" t="s">
        <v>5216</v>
      </c>
      <c r="C7671" s="18">
        <v>10425</v>
      </c>
      <c r="D7671" s="19" t="s">
        <v>2497</v>
      </c>
      <c r="E7671" s="20" t="s">
        <v>4996</v>
      </c>
      <c r="F7671" t="str">
        <f t="shared" si="595"/>
        <v>NW</v>
      </c>
      <c r="G7671" t="str">
        <f t="shared" si="596"/>
        <v>NW10425Dallas</v>
      </c>
      <c r="H7671" t="s">
        <v>38526</v>
      </c>
      <c r="I7671" t="s">
        <v>29939</v>
      </c>
      <c r="J7671" t="str">
        <f t="shared" si="597"/>
        <v>E:\PropInv\MF</v>
      </c>
      <c r="K7671" s="103" t="str">
        <f>HYPERLINK("E:\PropInv\MF\Dallas\NW Hwy E_10425_NF_Dallas_60057","NW Hwy E_10425_NF_Dallas_60057" )</f>
        <v>NW Hwy E_10425_NF_Dallas_60057</v>
      </c>
      <c r="L7671" s="104" t="s">
        <v>22253</v>
      </c>
      <c r="N7671" s="1">
        <f t="shared" si="598"/>
        <v>60057</v>
      </c>
    </row>
    <row r="7672" spans="1:14" x14ac:dyDescent="0.3">
      <c r="A7672" s="1">
        <v>30058</v>
      </c>
      <c r="B7672" s="7" t="s">
        <v>5181</v>
      </c>
      <c r="C7672" s="18">
        <v>2800</v>
      </c>
      <c r="D7672" s="19" t="s">
        <v>2497</v>
      </c>
      <c r="E7672" s="20" t="s">
        <v>4996</v>
      </c>
      <c r="F7672" t="str">
        <f t="shared" si="595"/>
        <v>John</v>
      </c>
      <c r="G7672" t="str">
        <f t="shared" si="596"/>
        <v>John2800Dallas</v>
      </c>
      <c r="H7672" t="s">
        <v>38527</v>
      </c>
      <c r="I7672" t="s">
        <v>29940</v>
      </c>
      <c r="J7672" t="str">
        <f t="shared" si="597"/>
        <v>E:\PropInv\MF</v>
      </c>
      <c r="K7672" s="103" t="str">
        <f>HYPERLINK("E:\PropInv\MF\Dallas\John Rd W_2800_NF_Dallas_60058","John Rd W_2800_NF_Dallas_60058" )</f>
        <v>John Rd W_2800_NF_Dallas_60058</v>
      </c>
      <c r="L7672" s="104" t="s">
        <v>22253</v>
      </c>
      <c r="N7672" s="1">
        <f t="shared" si="598"/>
        <v>60058</v>
      </c>
    </row>
    <row r="7673" spans="1:14" x14ac:dyDescent="0.3">
      <c r="A7673" s="1">
        <v>30059</v>
      </c>
      <c r="B7673" s="37" t="s">
        <v>5761</v>
      </c>
      <c r="C7673" s="38">
        <v>2787</v>
      </c>
      <c r="D7673" s="29" t="s">
        <v>11462</v>
      </c>
      <c r="E7673" s="39" t="s">
        <v>4996</v>
      </c>
      <c r="F7673" t="str">
        <f t="shared" si="595"/>
        <v>Kings</v>
      </c>
      <c r="G7673" t="str">
        <f t="shared" si="596"/>
        <v>Kings2787Dallas</v>
      </c>
      <c r="H7673" t="s">
        <v>38528</v>
      </c>
      <c r="I7673" t="s">
        <v>29941</v>
      </c>
      <c r="J7673" t="str">
        <f t="shared" si="597"/>
        <v>E:\PropInv\MF</v>
      </c>
      <c r="K7673" s="103" t="str">
        <f>HYPERLINK("E:\PropInv\MF\Dallas\Kings Rd_2787_Kings Quarter_Dallas_60059","Kings Rd_2787_Kings Quarter_Dallas_60059" )</f>
        <v>Kings Rd_2787_Kings Quarter_Dallas_60059</v>
      </c>
      <c r="L7673" s="104" t="s">
        <v>22253</v>
      </c>
      <c r="N7673" s="1">
        <f t="shared" si="598"/>
        <v>60059</v>
      </c>
    </row>
    <row r="7674" spans="1:14" x14ac:dyDescent="0.3">
      <c r="A7674" s="1">
        <v>30060</v>
      </c>
      <c r="B7674" s="37" t="s">
        <v>5761</v>
      </c>
      <c r="C7674" s="38">
        <v>3102</v>
      </c>
      <c r="D7674" s="19" t="s">
        <v>11463</v>
      </c>
      <c r="E7674" s="39" t="s">
        <v>4996</v>
      </c>
      <c r="F7674" t="str">
        <f t="shared" si="595"/>
        <v>Kings</v>
      </c>
      <c r="G7674" t="str">
        <f t="shared" si="596"/>
        <v>Kings3102Dallas</v>
      </c>
      <c r="H7674" t="s">
        <v>38529</v>
      </c>
      <c r="I7674" t="s">
        <v>29942</v>
      </c>
      <c r="J7674" t="str">
        <f t="shared" si="597"/>
        <v>E:\PropInv\MF</v>
      </c>
      <c r="K7674" s="103" t="str">
        <f>HYPERLINK("E:\PropInv\MF\Dallas\Kings Rd_3102_Piazza Siena_Dallas_60060","Kings Rd_3102_Piazza Siena_Dallas_60060" )</f>
        <v>Kings Rd_3102_Piazza Siena_Dallas_60060</v>
      </c>
      <c r="L7674" s="104" t="s">
        <v>22253</v>
      </c>
      <c r="N7674" s="1">
        <f t="shared" si="598"/>
        <v>60060</v>
      </c>
    </row>
    <row r="7675" spans="1:14" x14ac:dyDescent="0.3">
      <c r="A7675" s="1">
        <v>30061</v>
      </c>
      <c r="B7675" s="29" t="s">
        <v>11464</v>
      </c>
      <c r="C7675" s="52">
        <v>9707</v>
      </c>
      <c r="D7675" s="29" t="s">
        <v>11465</v>
      </c>
      <c r="E7675" s="39" t="s">
        <v>4996</v>
      </c>
      <c r="F7675" t="str">
        <f t="shared" si="595"/>
        <v>Kingsley</v>
      </c>
      <c r="G7675" t="str">
        <f t="shared" si="596"/>
        <v>Kingsley9707Dallas</v>
      </c>
      <c r="H7675" t="s">
        <v>38530</v>
      </c>
      <c r="I7675" t="s">
        <v>29943</v>
      </c>
      <c r="J7675" t="str">
        <f t="shared" si="597"/>
        <v>E:\PropInv\MF</v>
      </c>
      <c r="K7675" s="103" t="str">
        <f>HYPERLINK("E:\PropInv\MF\Dallas\Kingsley Dr_9707_Highland House_Dallas_60061","Kingsley Dr_9707_Highland House_Dallas_60061" )</f>
        <v>Kingsley Dr_9707_Highland House_Dallas_60061</v>
      </c>
      <c r="L7675" s="104" t="s">
        <v>22253</v>
      </c>
      <c r="N7675" s="1">
        <f t="shared" si="598"/>
        <v>60061</v>
      </c>
    </row>
    <row r="7676" spans="1:14" x14ac:dyDescent="0.3">
      <c r="A7676" s="1">
        <v>30062</v>
      </c>
      <c r="B7676" s="36" t="s">
        <v>11466</v>
      </c>
      <c r="C7676" s="40">
        <v>11115</v>
      </c>
      <c r="D7676" s="36" t="s">
        <v>2497</v>
      </c>
      <c r="E7676" s="41" t="s">
        <v>4996</v>
      </c>
      <c r="F7676" t="str">
        <f t="shared" si="595"/>
        <v>Lake</v>
      </c>
      <c r="G7676" t="str">
        <f t="shared" si="596"/>
        <v>Lake11115Dallas</v>
      </c>
      <c r="H7676" t="s">
        <v>38531</v>
      </c>
      <c r="I7676" t="s">
        <v>29944</v>
      </c>
      <c r="J7676" t="str">
        <f t="shared" si="597"/>
        <v>E:\PropInv\MF</v>
      </c>
      <c r="K7676" s="103" t="str">
        <f>HYPERLINK("E:\PropInv\MF\Dallas\Lake Highlands Dr E_11115_NF_Dallas_60062","Lake Highlands Dr E_11115_NF_Dallas_60062" )</f>
        <v>Lake Highlands Dr E_11115_NF_Dallas_60062</v>
      </c>
      <c r="L7676" s="104" t="s">
        <v>22253</v>
      </c>
      <c r="N7676" s="1">
        <f t="shared" si="598"/>
        <v>60062</v>
      </c>
    </row>
    <row r="7677" spans="1:14" x14ac:dyDescent="0.3">
      <c r="A7677" s="1">
        <v>30063</v>
      </c>
      <c r="B7677" s="19" t="s">
        <v>11434</v>
      </c>
      <c r="C7677" s="18">
        <v>4207</v>
      </c>
      <c r="D7677" s="19" t="s">
        <v>2497</v>
      </c>
      <c r="E7677" s="53" t="s">
        <v>4996</v>
      </c>
      <c r="F7677" t="str">
        <f t="shared" si="595"/>
        <v>Live</v>
      </c>
      <c r="G7677" t="str">
        <f t="shared" si="596"/>
        <v>Live4207Dallas</v>
      </c>
      <c r="H7677" t="s">
        <v>38532</v>
      </c>
      <c r="I7677" t="s">
        <v>29945</v>
      </c>
      <c r="J7677" t="str">
        <f t="shared" si="597"/>
        <v>E:\PropInv\MF</v>
      </c>
      <c r="K7677" s="103" t="str">
        <f>HYPERLINK("E:\PropInv\MF\Dallas\Live Oak St_4207_NF_Dallas_60063","Live Oak St_4207_NF_Dallas_60063" )</f>
        <v>Live Oak St_4207_NF_Dallas_60063</v>
      </c>
      <c r="L7677" s="104" t="s">
        <v>22253</v>
      </c>
      <c r="N7677" s="1">
        <f t="shared" si="598"/>
        <v>60063</v>
      </c>
    </row>
    <row r="7678" spans="1:14" x14ac:dyDescent="0.3">
      <c r="A7678" s="1">
        <v>30064</v>
      </c>
      <c r="B7678" s="29" t="s">
        <v>11467</v>
      </c>
      <c r="C7678" s="38">
        <v>5909</v>
      </c>
      <c r="D7678" s="29" t="s">
        <v>11468</v>
      </c>
      <c r="E7678" s="39" t="s">
        <v>4996</v>
      </c>
      <c r="F7678" t="str">
        <f t="shared" si="595"/>
        <v>Luther</v>
      </c>
      <c r="G7678" t="str">
        <f t="shared" si="596"/>
        <v>Luther5909Dallas</v>
      </c>
      <c r="H7678" t="s">
        <v>38533</v>
      </c>
      <c r="I7678" t="s">
        <v>29946</v>
      </c>
      <c r="J7678" t="str">
        <f t="shared" si="597"/>
        <v>E:\PropInv\MF</v>
      </c>
      <c r="K7678" s="103" t="str">
        <f>HYPERLINK("E:\PropInv\MF\Dallas\Luther Ln_5909_The Shelton_Dallas_60064","Luther Ln_5909_The Shelton_Dallas_60064" )</f>
        <v>Luther Ln_5909_The Shelton_Dallas_60064</v>
      </c>
      <c r="L7678" s="104" t="s">
        <v>22253</v>
      </c>
      <c r="N7678" s="1">
        <f t="shared" si="598"/>
        <v>60064</v>
      </c>
    </row>
    <row r="7679" spans="1:14" x14ac:dyDescent="0.3">
      <c r="A7679" s="1">
        <v>30065</v>
      </c>
      <c r="B7679" s="7" t="s">
        <v>11469</v>
      </c>
      <c r="C7679" s="12">
        <v>7220</v>
      </c>
      <c r="D7679" s="7" t="s">
        <v>2497</v>
      </c>
      <c r="E7679" s="13" t="s">
        <v>4996</v>
      </c>
      <c r="F7679" t="str">
        <f t="shared" si="595"/>
        <v>Mccallum</v>
      </c>
      <c r="G7679" t="str">
        <f t="shared" si="596"/>
        <v>Mccallum7220Dallas</v>
      </c>
      <c r="H7679" t="s">
        <v>38534</v>
      </c>
      <c r="I7679" t="s">
        <v>29947</v>
      </c>
      <c r="J7679" t="str">
        <f t="shared" si="597"/>
        <v>E:\PropInv\MF</v>
      </c>
      <c r="K7679" s="103" t="str">
        <f>HYPERLINK("E:\PropInv\MF\Dallas\Mccallum Blvd_7220_NF_Dallas_60065","Mccallum Blvd_7220_NF_Dallas_60065" )</f>
        <v>Mccallum Blvd_7220_NF_Dallas_60065</v>
      </c>
      <c r="L7679" s="104" t="s">
        <v>22253</v>
      </c>
      <c r="N7679" s="1">
        <f t="shared" si="598"/>
        <v>60065</v>
      </c>
    </row>
    <row r="7680" spans="1:14" x14ac:dyDescent="0.3">
      <c r="A7680" s="1">
        <v>30066</v>
      </c>
      <c r="B7680" s="37" t="s">
        <v>11469</v>
      </c>
      <c r="C7680" s="38">
        <v>7740</v>
      </c>
      <c r="D7680" s="29" t="s">
        <v>11470</v>
      </c>
      <c r="E7680" s="39" t="s">
        <v>4996</v>
      </c>
      <c r="F7680" t="str">
        <f t="shared" si="595"/>
        <v>Mccallum</v>
      </c>
      <c r="G7680" t="str">
        <f t="shared" si="596"/>
        <v>Mccallum7740Dallas</v>
      </c>
      <c r="H7680" t="s">
        <v>38535</v>
      </c>
      <c r="I7680" t="s">
        <v>29948</v>
      </c>
      <c r="J7680" t="str">
        <f t="shared" si="597"/>
        <v>E:\PropInv\MF</v>
      </c>
      <c r="K7680" s="103" t="str">
        <f>HYPERLINK("E:\PropInv\MF\Dallas\Mccallum Blvd_7740_McCallum Glen_Dallas_60066","Mccallum Blvd_7740_McCallum Glen_Dallas_60066" )</f>
        <v>Mccallum Blvd_7740_McCallum Glen_Dallas_60066</v>
      </c>
      <c r="L7680" s="104" t="s">
        <v>22253</v>
      </c>
      <c r="N7680" s="1">
        <f t="shared" si="598"/>
        <v>60066</v>
      </c>
    </row>
    <row r="7681" spans="1:14" x14ac:dyDescent="0.3">
      <c r="A7681" s="1">
        <v>30067</v>
      </c>
      <c r="B7681" s="7" t="s">
        <v>5148</v>
      </c>
      <c r="C7681" s="12">
        <v>6347</v>
      </c>
      <c r="D7681" s="7" t="s">
        <v>8551</v>
      </c>
      <c r="E7681" s="13" t="s">
        <v>4996</v>
      </c>
      <c r="F7681" t="str">
        <f t="shared" si="595"/>
        <v>Melody</v>
      </c>
      <c r="G7681" t="str">
        <f t="shared" si="596"/>
        <v>Melody6347Dallas</v>
      </c>
      <c r="H7681" t="s">
        <v>38536</v>
      </c>
      <c r="I7681" t="s">
        <v>29949</v>
      </c>
      <c r="J7681" t="str">
        <f t="shared" si="597"/>
        <v>E:\PropInv\MF</v>
      </c>
      <c r="K7681" s="103" t="str">
        <f>HYPERLINK("E:\PropInv\MF\Dallas\Melody Ln_6347_Santa Fe Trails_Dallas_60067","Melody Ln_6347_Santa Fe Trails_Dallas_60067" )</f>
        <v>Melody Ln_6347_Santa Fe Trails_Dallas_60067</v>
      </c>
      <c r="L7681" s="104" t="s">
        <v>22253</v>
      </c>
      <c r="N7681" s="1">
        <f t="shared" si="598"/>
        <v>60067</v>
      </c>
    </row>
    <row r="7682" spans="1:14" x14ac:dyDescent="0.3">
      <c r="A7682" s="1">
        <v>30068</v>
      </c>
      <c r="B7682" s="37" t="s">
        <v>5446</v>
      </c>
      <c r="C7682" s="38">
        <v>14735</v>
      </c>
      <c r="D7682" s="29" t="s">
        <v>5147</v>
      </c>
      <c r="E7682" s="39" t="s">
        <v>4996</v>
      </c>
      <c r="F7682" t="str">
        <f t="shared" ref="F7682:F7745" si="599">IFERROR(LEFT(B7682,FIND(" ",B7682)-1),B7682)</f>
        <v>Montfort</v>
      </c>
      <c r="G7682" t="str">
        <f t="shared" ref="G7682:G7745" si="600">F7682&amp;C7682&amp;E7682</f>
        <v>Montfort14735Dallas</v>
      </c>
      <c r="H7682" t="s">
        <v>38537</v>
      </c>
      <c r="I7682" t="s">
        <v>14643</v>
      </c>
      <c r="J7682" t="str">
        <f t="shared" ref="J7682:J7745" si="601">IF(L7682="TX",Folder_Path,Folder_Path&amp;"\State_"&amp;L7682)</f>
        <v>E:\PropInv\MF</v>
      </c>
      <c r="K7682" s="103" t="str">
        <f>HYPERLINK("E:\PropInv\MF\Dallas\Montfort_14735_Biltmore_Dallas_60068","Montfort_14735_Biltmore_Dallas_60068" )</f>
        <v>Montfort_14735_Biltmore_Dallas_60068</v>
      </c>
      <c r="L7682" s="104" t="s">
        <v>22253</v>
      </c>
      <c r="N7682" s="1">
        <f t="shared" ref="N7682:N7745" si="602">IF(LEN(A7682)=1,"0000"&amp;A7682,IF(LEN(A7682)=2,"000"&amp;A7682,IF(LEN(A7682)=3,"00"&amp;A7682,IF(LEN(A7682)=4,"0"&amp;A7682,IF(LEN(A7682)=5,IF(LEFT(A7682,1)="3",A7682+30000,A7682))))))</f>
        <v>60068</v>
      </c>
    </row>
    <row r="7683" spans="1:14" x14ac:dyDescent="0.3">
      <c r="A7683" s="1">
        <v>30069</v>
      </c>
      <c r="B7683" s="37" t="s">
        <v>11471</v>
      </c>
      <c r="C7683" s="38">
        <v>3621</v>
      </c>
      <c r="D7683" s="29" t="s">
        <v>11472</v>
      </c>
      <c r="E7683" s="39" t="s">
        <v>4996</v>
      </c>
      <c r="F7683" t="str">
        <f t="shared" si="599"/>
        <v>Mt.</v>
      </c>
      <c r="G7683" t="str">
        <f t="shared" si="600"/>
        <v>Mt.3621Dallas</v>
      </c>
      <c r="H7683" t="s">
        <v>38538</v>
      </c>
      <c r="I7683" t="s">
        <v>29950</v>
      </c>
      <c r="J7683" t="str">
        <f t="shared" si="601"/>
        <v>E:\PropInv\MF</v>
      </c>
      <c r="K7683" s="103" t="str">
        <f>HYPERLINK("E:\PropInv\MF\Dallas\Mt. Raineer_3621_Indian Ridge Apts_Dallas_60069","Mt. Raineer_3621_Indian Ridge Apts_Dallas_60069" )</f>
        <v>Mt. Raineer_3621_Indian Ridge Apts_Dallas_60069</v>
      </c>
      <c r="L7683" s="104" t="s">
        <v>22253</v>
      </c>
      <c r="N7683" s="1">
        <f t="shared" si="602"/>
        <v>60069</v>
      </c>
    </row>
    <row r="7684" spans="1:14" x14ac:dyDescent="0.3">
      <c r="A7684" s="1">
        <v>30070</v>
      </c>
      <c r="B7684" s="19" t="s">
        <v>9043</v>
      </c>
      <c r="C7684" s="18">
        <v>318</v>
      </c>
      <c r="D7684" s="19" t="s">
        <v>9044</v>
      </c>
      <c r="E7684" s="20" t="s">
        <v>4996</v>
      </c>
      <c r="F7684" t="str">
        <f t="shared" si="599"/>
        <v>Akard</v>
      </c>
      <c r="G7684" t="str">
        <f t="shared" si="600"/>
        <v>Akard318Dallas</v>
      </c>
      <c r="H7684" t="s">
        <v>38539</v>
      </c>
      <c r="I7684" t="s">
        <v>29951</v>
      </c>
      <c r="J7684" t="str">
        <f t="shared" si="601"/>
        <v>E:\PropInv\MF</v>
      </c>
      <c r="K7684" s="103" t="str">
        <f>HYPERLINK("E:\PropInv\MF\Dallas\Akard St N_318_Mosaic_Dallas_60070","Akard St N_318_Mosaic_Dallas_60070" )</f>
        <v>Akard St N_318_Mosaic_Dallas_60070</v>
      </c>
      <c r="L7684" s="104" t="s">
        <v>22253</v>
      </c>
      <c r="N7684" s="1">
        <f t="shared" si="602"/>
        <v>60070</v>
      </c>
    </row>
    <row r="7685" spans="1:14" x14ac:dyDescent="0.3">
      <c r="A7685" s="1">
        <v>30071</v>
      </c>
      <c r="B7685" s="37" t="s">
        <v>7189</v>
      </c>
      <c r="C7685" s="38">
        <v>2714</v>
      </c>
      <c r="D7685" s="29" t="s">
        <v>11473</v>
      </c>
      <c r="E7685" s="39" t="s">
        <v>4996</v>
      </c>
      <c r="F7685" t="str">
        <f t="shared" si="599"/>
        <v>Buckner</v>
      </c>
      <c r="G7685" t="str">
        <f t="shared" si="600"/>
        <v>Buckner2714Dallas</v>
      </c>
      <c r="H7685" t="s">
        <v>38540</v>
      </c>
      <c r="I7685" t="s">
        <v>29952</v>
      </c>
      <c r="J7685" t="str">
        <f t="shared" si="601"/>
        <v>E:\PropInv\MF</v>
      </c>
      <c r="K7685" s="103" t="str">
        <f>HYPERLINK("E:\PropInv\MF\Dallas\Buckner Blvd N_2714_Timber Park Apts_Dallas_60071","Buckner Blvd N_2714_Timber Park Apts_Dallas_60071" )</f>
        <v>Buckner Blvd N_2714_Timber Park Apts_Dallas_60071</v>
      </c>
      <c r="L7685" s="104" t="s">
        <v>22253</v>
      </c>
      <c r="N7685" s="1">
        <f t="shared" si="602"/>
        <v>60071</v>
      </c>
    </row>
    <row r="7686" spans="1:14" x14ac:dyDescent="0.3">
      <c r="A7686" s="1">
        <v>30072</v>
      </c>
      <c r="B7686" s="37" t="s">
        <v>8940</v>
      </c>
      <c r="C7686" s="38">
        <v>2021</v>
      </c>
      <c r="D7686" s="51" t="s">
        <v>11474</v>
      </c>
      <c r="E7686" s="55" t="s">
        <v>4996</v>
      </c>
      <c r="F7686" t="str">
        <f t="shared" si="599"/>
        <v>Fitzhugh</v>
      </c>
      <c r="G7686" t="str">
        <f t="shared" si="600"/>
        <v>Fitzhugh2021Dallas</v>
      </c>
      <c r="H7686" t="s">
        <v>38541</v>
      </c>
      <c r="I7686" t="s">
        <v>29953</v>
      </c>
      <c r="J7686" t="str">
        <f t="shared" si="601"/>
        <v>E:\PropInv\MF</v>
      </c>
      <c r="K7686" s="103" t="str">
        <f>HYPERLINK("E:\PropInv\MF\Dallas\Fitzhugh Ave N_2021_N Fitzhugh Apts_Dallas_60072","Fitzhugh Ave N_2021_N Fitzhugh Apts_Dallas_60072" )</f>
        <v>Fitzhugh Ave N_2021_N Fitzhugh Apts_Dallas_60072</v>
      </c>
      <c r="L7686" s="104" t="s">
        <v>22253</v>
      </c>
      <c r="N7686" s="1">
        <f t="shared" si="602"/>
        <v>60072</v>
      </c>
    </row>
    <row r="7687" spans="1:14" x14ac:dyDescent="0.3">
      <c r="A7687" s="1">
        <v>30073</v>
      </c>
      <c r="B7687" s="37" t="s">
        <v>10420</v>
      </c>
      <c r="C7687" s="38">
        <v>1919</v>
      </c>
      <c r="D7687" s="29" t="s">
        <v>11475</v>
      </c>
      <c r="E7687" s="39" t="s">
        <v>4996</v>
      </c>
      <c r="F7687" t="str">
        <f t="shared" si="599"/>
        <v>Garrett</v>
      </c>
      <c r="G7687" t="str">
        <f t="shared" si="600"/>
        <v>Garrett1919Dallas</v>
      </c>
      <c r="H7687" t="s">
        <v>38542</v>
      </c>
      <c r="I7687" t="s">
        <v>29954</v>
      </c>
      <c r="J7687" t="str">
        <f t="shared" si="601"/>
        <v>E:\PropInv\MF</v>
      </c>
      <c r="K7687" s="103" t="str">
        <f>HYPERLINK("E:\PropInv\MF\Dallas\Garrett Ave N_1919_Villa Garrett_Dallas_60073","Garrett Ave N_1919_Villa Garrett_Dallas_60073" )</f>
        <v>Garrett Ave N_1919_Villa Garrett_Dallas_60073</v>
      </c>
      <c r="L7687" s="104" t="s">
        <v>22253</v>
      </c>
      <c r="N7687" s="1">
        <f t="shared" si="602"/>
        <v>60073</v>
      </c>
    </row>
    <row r="7688" spans="1:14" x14ac:dyDescent="0.3">
      <c r="A7688" s="1">
        <v>30074</v>
      </c>
      <c r="B7688" s="19" t="s">
        <v>11476</v>
      </c>
      <c r="C7688" s="18">
        <v>312</v>
      </c>
      <c r="D7688" s="19" t="s">
        <v>11472</v>
      </c>
      <c r="E7688" s="20" t="s">
        <v>4996</v>
      </c>
      <c r="F7688" t="str">
        <f t="shared" si="599"/>
        <v>Gilpin</v>
      </c>
      <c r="G7688" t="str">
        <f t="shared" si="600"/>
        <v>Gilpin312Dallas</v>
      </c>
      <c r="H7688" t="s">
        <v>38543</v>
      </c>
      <c r="I7688" t="s">
        <v>29955</v>
      </c>
      <c r="J7688" t="str">
        <f t="shared" si="601"/>
        <v>E:\PropInv\MF</v>
      </c>
      <c r="K7688" s="103" t="str">
        <f>HYPERLINK("E:\PropInv\MF\Dallas\Gilpin Rd N_312_Indian Ridge Apts_Dallas_60074","Gilpin Rd N_312_Indian Ridge Apts_Dallas_60074" )</f>
        <v>Gilpin Rd N_312_Indian Ridge Apts_Dallas_60074</v>
      </c>
      <c r="L7688" s="104" t="s">
        <v>22253</v>
      </c>
      <c r="N7688" s="1">
        <f t="shared" si="602"/>
        <v>60074</v>
      </c>
    </row>
    <row r="7689" spans="1:14" x14ac:dyDescent="0.3">
      <c r="A7689" s="1">
        <v>30075</v>
      </c>
      <c r="B7689" s="29" t="s">
        <v>22236</v>
      </c>
      <c r="C7689" s="52">
        <v>929</v>
      </c>
      <c r="D7689" s="51" t="s">
        <v>11477</v>
      </c>
      <c r="E7689" s="55" t="s">
        <v>4996</v>
      </c>
      <c r="F7689" t="str">
        <f t="shared" si="599"/>
        <v>Marsalis</v>
      </c>
      <c r="G7689" t="str">
        <f t="shared" si="600"/>
        <v>Marsalis929Dallas</v>
      </c>
      <c r="H7689" t="s">
        <v>38544</v>
      </c>
      <c r="I7689" t="s">
        <v>29956</v>
      </c>
      <c r="J7689" t="str">
        <f t="shared" si="601"/>
        <v>E:\PropInv\MF</v>
      </c>
      <c r="K7689" s="103" t="str">
        <f>HYPERLINK("E:\PropInv\MF\Dallas\Marsalis Ave N_929_Marsalis Apts_Dallas_60075","Marsalis Ave N_929_Marsalis Apts_Dallas_60075" )</f>
        <v>Marsalis Ave N_929_Marsalis Apts_Dallas_60075</v>
      </c>
      <c r="L7689" s="104" t="s">
        <v>22253</v>
      </c>
      <c r="N7689" s="1">
        <f t="shared" si="602"/>
        <v>60075</v>
      </c>
    </row>
    <row r="7690" spans="1:14" x14ac:dyDescent="0.3">
      <c r="A7690" s="1">
        <v>30076</v>
      </c>
      <c r="B7690" s="19" t="s">
        <v>5689</v>
      </c>
      <c r="C7690" s="18">
        <v>640</v>
      </c>
      <c r="D7690" s="19" t="s">
        <v>11478</v>
      </c>
      <c r="E7690" s="39" t="s">
        <v>4996</v>
      </c>
      <c r="F7690" t="str">
        <f t="shared" si="599"/>
        <v>Plymouth</v>
      </c>
      <c r="G7690" t="str">
        <f t="shared" si="600"/>
        <v>Plymouth640Dallas</v>
      </c>
      <c r="H7690" t="s">
        <v>38545</v>
      </c>
      <c r="I7690" t="s">
        <v>29957</v>
      </c>
      <c r="J7690" t="str">
        <f t="shared" si="601"/>
        <v>E:\PropInv\MF</v>
      </c>
      <c r="K7690" s="103" t="str">
        <f>HYPERLINK("E:\PropInv\MF\Dallas\Plymouth N_640_Northills_Dallas_60076","Plymouth N_640_Northills_Dallas_60076" )</f>
        <v>Plymouth N_640_Northills_Dallas_60076</v>
      </c>
      <c r="L7690" s="104" t="s">
        <v>22253</v>
      </c>
      <c r="N7690" s="1">
        <f t="shared" si="602"/>
        <v>60076</v>
      </c>
    </row>
    <row r="7691" spans="1:14" x14ac:dyDescent="0.3">
      <c r="A7691" s="1">
        <v>30077</v>
      </c>
      <c r="B7691" s="19" t="s">
        <v>5205</v>
      </c>
      <c r="C7691" s="18">
        <v>1305</v>
      </c>
      <c r="D7691" s="19" t="s">
        <v>2497</v>
      </c>
      <c r="E7691" s="39" t="s">
        <v>4996</v>
      </c>
      <c r="F7691" t="str">
        <f t="shared" si="599"/>
        <v>Plymouth</v>
      </c>
      <c r="G7691" t="str">
        <f t="shared" si="600"/>
        <v>Plymouth1305Dallas</v>
      </c>
      <c r="H7691" t="s">
        <v>38546</v>
      </c>
      <c r="I7691" t="s">
        <v>29958</v>
      </c>
      <c r="J7691" t="str">
        <f t="shared" si="601"/>
        <v>E:\PropInv\MF</v>
      </c>
      <c r="K7691" s="103" t="str">
        <f>HYPERLINK("E:\PropInv\MF\Dallas\Plymouth Rd N_1305_NF_Dallas_60077","Plymouth Rd N_1305_NF_Dallas_60077" )</f>
        <v>Plymouth Rd N_1305_NF_Dallas_60077</v>
      </c>
      <c r="L7691" s="104" t="s">
        <v>22253</v>
      </c>
      <c r="N7691" s="1">
        <f t="shared" si="602"/>
        <v>60077</v>
      </c>
    </row>
    <row r="7692" spans="1:14" x14ac:dyDescent="0.3">
      <c r="A7692" s="1">
        <v>30078</v>
      </c>
      <c r="B7692" s="19" t="s">
        <v>2497</v>
      </c>
      <c r="C7692" s="38" t="s">
        <v>2497</v>
      </c>
      <c r="D7692" s="51" t="s">
        <v>11479</v>
      </c>
      <c r="E7692" s="49" t="s">
        <v>4996</v>
      </c>
      <c r="F7692" t="str">
        <f t="shared" si="599"/>
        <v>NF</v>
      </c>
      <c r="G7692" t="str">
        <f t="shared" si="600"/>
        <v>NFNFDallas</v>
      </c>
      <c r="H7692" t="s">
        <v>38547</v>
      </c>
      <c r="I7692" t="s">
        <v>29959</v>
      </c>
      <c r="J7692" t="str">
        <f t="shared" si="601"/>
        <v>E:\PropInv\MF</v>
      </c>
      <c r="K7692" s="103" t="str">
        <f>HYPERLINK("E:\PropInv\MF\Dallas\NF_NF_Walnut Gardens_Dallas_60078","NF_NF_Walnut Gardens_Dallas_60078" )</f>
        <v>NF_NF_Walnut Gardens_Dallas_60078</v>
      </c>
      <c r="L7692" s="104" t="s">
        <v>22253</v>
      </c>
      <c r="N7692" s="1">
        <f t="shared" si="602"/>
        <v>60078</v>
      </c>
    </row>
    <row r="7693" spans="1:14" x14ac:dyDescent="0.3">
      <c r="A7693" s="1">
        <v>30079</v>
      </c>
      <c r="B7693" s="37" t="s">
        <v>11480</v>
      </c>
      <c r="C7693" s="38">
        <v>3514</v>
      </c>
      <c r="D7693" s="29" t="s">
        <v>11481</v>
      </c>
      <c r="E7693" s="39" t="s">
        <v>4996</v>
      </c>
      <c r="F7693" t="str">
        <f t="shared" si="599"/>
        <v>Nogales</v>
      </c>
      <c r="G7693" t="str">
        <f t="shared" si="600"/>
        <v>Nogales3514Dallas</v>
      </c>
      <c r="H7693" t="s">
        <v>38548</v>
      </c>
      <c r="I7693" t="s">
        <v>29960</v>
      </c>
      <c r="J7693" t="str">
        <f t="shared" si="601"/>
        <v>E:\PropInv\MF</v>
      </c>
      <c r="K7693" s="103" t="str">
        <f>HYPERLINK("E:\PropInv\MF\Dallas\Nogales Dr_3514_Arawak and Granada_Dallas_60079","Nogales Dr_3514_Arawak and Granada_Dallas_60079" )</f>
        <v>Nogales Dr_3514_Arawak and Granada_Dallas_60079</v>
      </c>
      <c r="L7693" s="104" t="s">
        <v>22253</v>
      </c>
      <c r="N7693" s="1">
        <f t="shared" si="602"/>
        <v>60079</v>
      </c>
    </row>
    <row r="7694" spans="1:14" x14ac:dyDescent="0.3">
      <c r="A7694" s="1">
        <v>30080</v>
      </c>
      <c r="B7694" s="37" t="s">
        <v>7583</v>
      </c>
      <c r="C7694" s="38">
        <v>3203</v>
      </c>
      <c r="D7694" s="29" t="s">
        <v>11482</v>
      </c>
      <c r="E7694" s="39" t="s">
        <v>4996</v>
      </c>
      <c r="F7694" t="str">
        <f t="shared" si="599"/>
        <v>Norwalk</v>
      </c>
      <c r="G7694" t="str">
        <f t="shared" si="600"/>
        <v>Norwalk3203Dallas</v>
      </c>
      <c r="H7694" t="s">
        <v>38549</v>
      </c>
      <c r="I7694" t="s">
        <v>29961</v>
      </c>
      <c r="J7694" t="str">
        <f t="shared" si="601"/>
        <v>E:\PropInv\MF</v>
      </c>
      <c r="K7694" s="103" t="str">
        <f>HYPERLINK("E:\PropInv\MF\Dallas\Norwalk_3203_Brooks AH_Dallas_60080","Norwalk_3203_Brooks AH_Dallas_60080" )</f>
        <v>Norwalk_3203_Brooks AH_Dallas_60080</v>
      </c>
      <c r="L7694" s="104" t="s">
        <v>22253</v>
      </c>
      <c r="N7694" s="1">
        <f t="shared" si="602"/>
        <v>60080</v>
      </c>
    </row>
    <row r="7695" spans="1:14" x14ac:dyDescent="0.3">
      <c r="A7695" s="1">
        <v>30081</v>
      </c>
      <c r="B7695" s="29" t="s">
        <v>11483</v>
      </c>
      <c r="C7695" s="52" t="s">
        <v>11484</v>
      </c>
      <c r="D7695" s="29" t="s">
        <v>11485</v>
      </c>
      <c r="E7695" s="39" t="s">
        <v>4996</v>
      </c>
      <c r="F7695" t="str">
        <f t="shared" si="599"/>
        <v>Norwalk</v>
      </c>
      <c r="G7695" t="str">
        <f t="shared" si="600"/>
        <v>Norwalk3131-3233Dallas</v>
      </c>
      <c r="H7695" t="s">
        <v>38550</v>
      </c>
      <c r="I7695" t="s">
        <v>29962</v>
      </c>
      <c r="J7695" t="str">
        <f t="shared" si="601"/>
        <v>E:\PropInv\MF</v>
      </c>
      <c r="K7695" s="103" t="str">
        <f>HYPERLINK("E:\PropInv\MF\Dallas\Norwalk Ave_3131-3233_Big block_Dallas_60081","Norwalk Ave_3131-3233_Big block_Dallas_60081" )</f>
        <v>Norwalk Ave_3131-3233_Big block_Dallas_60081</v>
      </c>
      <c r="L7695" s="104" t="s">
        <v>22253</v>
      </c>
      <c r="N7695" s="1">
        <f t="shared" si="602"/>
        <v>60081</v>
      </c>
    </row>
    <row r="7696" spans="1:14" x14ac:dyDescent="0.3">
      <c r="A7696" s="1">
        <v>30082</v>
      </c>
      <c r="B7696" s="37" t="s">
        <v>11483</v>
      </c>
      <c r="C7696" s="38">
        <v>3233</v>
      </c>
      <c r="D7696" s="29" t="s">
        <v>7583</v>
      </c>
      <c r="E7696" s="39" t="s">
        <v>4996</v>
      </c>
      <c r="F7696" t="str">
        <f t="shared" si="599"/>
        <v>Norwalk</v>
      </c>
      <c r="G7696" t="str">
        <f t="shared" si="600"/>
        <v>Norwalk3233Dallas</v>
      </c>
      <c r="H7696" t="s">
        <v>38551</v>
      </c>
      <c r="I7696" t="s">
        <v>29963</v>
      </c>
      <c r="J7696" t="str">
        <f t="shared" si="601"/>
        <v>E:\PropInv\MF</v>
      </c>
      <c r="K7696" s="103" t="str">
        <f>HYPERLINK("E:\PropInv\MF\Dallas\Norwalk Ave_3233_Norwalk_Dallas_60082","Norwalk Ave_3233_Norwalk_Dallas_60082" )</f>
        <v>Norwalk Ave_3233_Norwalk_Dallas_60082</v>
      </c>
      <c r="L7696" s="104" t="s">
        <v>22253</v>
      </c>
      <c r="N7696" s="1">
        <f t="shared" si="602"/>
        <v>60082</v>
      </c>
    </row>
    <row r="7697" spans="1:14" x14ac:dyDescent="0.3">
      <c r="A7697" s="1">
        <v>30083</v>
      </c>
      <c r="B7697" s="37" t="s">
        <v>6928</v>
      </c>
      <c r="C7697" s="38">
        <v>5423</v>
      </c>
      <c r="D7697" s="51" t="s">
        <v>11486</v>
      </c>
      <c r="E7697" s="49" t="s">
        <v>4996</v>
      </c>
      <c r="F7697" t="str">
        <f t="shared" si="599"/>
        <v>Peterson</v>
      </c>
      <c r="G7697" t="str">
        <f t="shared" si="600"/>
        <v>Peterson5423Dallas</v>
      </c>
      <c r="H7697" t="s">
        <v>38552</v>
      </c>
      <c r="I7697" t="s">
        <v>29964</v>
      </c>
      <c r="J7697" t="str">
        <f t="shared" si="601"/>
        <v>E:\PropInv\MF</v>
      </c>
      <c r="K7697" s="103" t="str">
        <f>HYPERLINK("E:\PropInv\MF\Dallas\Peterson Ln_5423_Peterson Place Apts_Dallas_60083","Peterson Ln_5423_Peterson Place Apts_Dallas_60083" )</f>
        <v>Peterson Ln_5423_Peterson Place Apts_Dallas_60083</v>
      </c>
      <c r="L7697" s="104" t="s">
        <v>22253</v>
      </c>
      <c r="N7697" s="1">
        <f t="shared" si="602"/>
        <v>60083</v>
      </c>
    </row>
    <row r="7698" spans="1:14" x14ac:dyDescent="0.3">
      <c r="A7698" s="1">
        <v>30084</v>
      </c>
      <c r="B7698" s="29" t="s">
        <v>11487</v>
      </c>
      <c r="C7698" s="38">
        <v>2928</v>
      </c>
      <c r="D7698" s="29" t="s">
        <v>11488</v>
      </c>
      <c r="E7698" s="39" t="s">
        <v>4996</v>
      </c>
      <c r="F7698" t="str">
        <f t="shared" si="599"/>
        <v>Remond</v>
      </c>
      <c r="G7698" t="str">
        <f t="shared" si="600"/>
        <v>Remond2928Dallas</v>
      </c>
      <c r="H7698" t="s">
        <v>38553</v>
      </c>
      <c r="I7698" t="s">
        <v>29965</v>
      </c>
      <c r="J7698" t="str">
        <f t="shared" si="601"/>
        <v>E:\PropInv\MF</v>
      </c>
      <c r="K7698" s="103" t="str">
        <f>HYPERLINK("E:\PropInv\MF\Dallas\Remond Dr_2928_Remond Cliff Plaza_Dallas_60084","Remond Dr_2928_Remond Cliff Plaza_Dallas_60084" )</f>
        <v>Remond Dr_2928_Remond Cliff Plaza_Dallas_60084</v>
      </c>
      <c r="L7698" s="104" t="s">
        <v>22253</v>
      </c>
      <c r="N7698" s="1">
        <f t="shared" si="602"/>
        <v>60084</v>
      </c>
    </row>
    <row r="7699" spans="1:14" x14ac:dyDescent="0.3">
      <c r="A7699" s="1">
        <v>30085</v>
      </c>
      <c r="B7699" s="37" t="s">
        <v>5550</v>
      </c>
      <c r="C7699" s="38">
        <v>10062</v>
      </c>
      <c r="D7699" s="29" t="s">
        <v>11489</v>
      </c>
      <c r="E7699" s="39" t="s">
        <v>4996</v>
      </c>
      <c r="F7699" t="str">
        <f t="shared" si="599"/>
        <v>Royal</v>
      </c>
      <c r="G7699" t="str">
        <f t="shared" si="600"/>
        <v>Royal10062Dallas</v>
      </c>
      <c r="H7699" t="s">
        <v>38554</v>
      </c>
      <c r="I7699" t="s">
        <v>29966</v>
      </c>
      <c r="J7699" t="str">
        <f t="shared" si="601"/>
        <v>E:\PropInv\MF</v>
      </c>
      <c r="K7699" s="103" t="str">
        <f>HYPERLINK("E:\PropInv\MF\Dallas\Royal Ln_10062_Country Squire_Dallas_60085","Royal Ln_10062_Country Squire_Dallas_60085" )</f>
        <v>Royal Ln_10062_Country Squire_Dallas_60085</v>
      </c>
      <c r="L7699" s="104" t="s">
        <v>22253</v>
      </c>
      <c r="N7699" s="1">
        <f t="shared" si="602"/>
        <v>60085</v>
      </c>
    </row>
    <row r="7700" spans="1:14" x14ac:dyDescent="0.3">
      <c r="A7700" s="1">
        <v>30086</v>
      </c>
      <c r="B7700" s="29" t="s">
        <v>11490</v>
      </c>
      <c r="C7700" s="38">
        <v>1315</v>
      </c>
      <c r="D7700" s="29" t="s">
        <v>11491</v>
      </c>
      <c r="E7700" s="39" t="s">
        <v>4996</v>
      </c>
      <c r="F7700" t="str">
        <f t="shared" si="599"/>
        <v>Barry</v>
      </c>
      <c r="G7700" t="str">
        <f t="shared" si="600"/>
        <v>Barry1315Dallas</v>
      </c>
      <c r="H7700" t="s">
        <v>38555</v>
      </c>
      <c r="I7700" t="s">
        <v>29967</v>
      </c>
      <c r="J7700" t="str">
        <f t="shared" si="601"/>
        <v>E:\PropInv\MF</v>
      </c>
      <c r="K7700" s="103" t="str">
        <f>HYPERLINK("E:\PropInv\MF\Dallas\Barry Ave S_1315_Barrymore Apts_Dallas_60086","Barry Ave S_1315_Barrymore Apts_Dallas_60086" )</f>
        <v>Barry Ave S_1315_Barrymore Apts_Dallas_60086</v>
      </c>
      <c r="L7700" s="104" t="s">
        <v>22253</v>
      </c>
      <c r="N7700" s="1">
        <f t="shared" si="602"/>
        <v>60086</v>
      </c>
    </row>
    <row r="7701" spans="1:14" x14ac:dyDescent="0.3">
      <c r="A7701" s="1">
        <v>30087</v>
      </c>
      <c r="B7701" s="37" t="s">
        <v>6481</v>
      </c>
      <c r="C7701" s="38">
        <v>4105</v>
      </c>
      <c r="D7701" s="19" t="s">
        <v>11492</v>
      </c>
      <c r="E7701" s="39" t="s">
        <v>4996</v>
      </c>
      <c r="F7701" t="str">
        <f t="shared" si="599"/>
        <v>Cockrell</v>
      </c>
      <c r="G7701" t="str">
        <f t="shared" si="600"/>
        <v>Cockrell4105Dallas</v>
      </c>
      <c r="H7701" t="s">
        <v>38556</v>
      </c>
      <c r="I7701" t="s">
        <v>29968</v>
      </c>
      <c r="J7701" t="str">
        <f t="shared" si="601"/>
        <v>E:\PropInv\MF</v>
      </c>
      <c r="K7701" s="103" t="str">
        <f>HYPERLINK("E:\PropInv\MF\Dallas\Cockrell Hill Rd S_4105_Timber Rock Apts_Dallas_60087","Cockrell Hill Rd S_4105_Timber Rock Apts_Dallas_60087" )</f>
        <v>Cockrell Hill Rd S_4105_Timber Rock Apts_Dallas_60087</v>
      </c>
      <c r="L7701" s="104" t="s">
        <v>22253</v>
      </c>
      <c r="N7701" s="1">
        <f t="shared" si="602"/>
        <v>60087</v>
      </c>
    </row>
    <row r="7702" spans="1:14" x14ac:dyDescent="0.3">
      <c r="A7702" s="1">
        <v>30088</v>
      </c>
      <c r="B7702" s="37" t="s">
        <v>8283</v>
      </c>
      <c r="C7702" s="38">
        <v>5000</v>
      </c>
      <c r="D7702" s="29" t="s">
        <v>11493</v>
      </c>
      <c r="E7702" s="39" t="s">
        <v>4996</v>
      </c>
      <c r="F7702" t="str">
        <f t="shared" si="599"/>
        <v>Hampton</v>
      </c>
      <c r="G7702" t="str">
        <f t="shared" si="600"/>
        <v>Hampton5000Dallas</v>
      </c>
      <c r="H7702" t="s">
        <v>38557</v>
      </c>
      <c r="I7702" t="s">
        <v>29969</v>
      </c>
      <c r="J7702" t="str">
        <f t="shared" si="601"/>
        <v>E:\PropInv\MF</v>
      </c>
      <c r="K7702" s="103" t="str">
        <f>HYPERLINK("E:\PropInv\MF\Dallas\Hampton Rd S_5000_Hampton Terrace_Dallas_60088","Hampton Rd S_5000_Hampton Terrace_Dallas_60088" )</f>
        <v>Hampton Rd S_5000_Hampton Terrace_Dallas_60088</v>
      </c>
      <c r="L7702" s="104" t="s">
        <v>22253</v>
      </c>
      <c r="N7702" s="1">
        <f t="shared" si="602"/>
        <v>60088</v>
      </c>
    </row>
    <row r="7703" spans="1:14" x14ac:dyDescent="0.3">
      <c r="A7703" s="1">
        <v>30089</v>
      </c>
      <c r="B7703" s="29" t="s">
        <v>11494</v>
      </c>
      <c r="C7703" s="52">
        <v>4810</v>
      </c>
      <c r="D7703" s="29" t="s">
        <v>11495</v>
      </c>
      <c r="E7703" s="39" t="s">
        <v>4996</v>
      </c>
      <c r="F7703" t="str">
        <f t="shared" si="599"/>
        <v>Lancaster</v>
      </c>
      <c r="G7703" t="str">
        <f t="shared" si="600"/>
        <v>Lancaster4810Dallas</v>
      </c>
      <c r="H7703" t="s">
        <v>38558</v>
      </c>
      <c r="I7703" t="s">
        <v>29970</v>
      </c>
      <c r="J7703" t="str">
        <f t="shared" si="601"/>
        <v>E:\PropInv\MF</v>
      </c>
      <c r="K7703" s="103" t="str">
        <f>HYPERLINK("E:\PropInv\MF\Dallas\Lancaster S_4810_Frances Place_Dallas_60089","Lancaster S_4810_Frances Place_Dallas_60089" )</f>
        <v>Lancaster S_4810_Frances Place_Dallas_60089</v>
      </c>
      <c r="L7703" s="104" t="s">
        <v>22253</v>
      </c>
      <c r="N7703" s="1">
        <f t="shared" si="602"/>
        <v>60089</v>
      </c>
    </row>
    <row r="7704" spans="1:14" x14ac:dyDescent="0.3">
      <c r="A7704" s="1">
        <v>30090</v>
      </c>
      <c r="B7704" s="19" t="s">
        <v>10854</v>
      </c>
      <c r="C7704" s="18" t="s">
        <v>11496</v>
      </c>
      <c r="D7704" s="19" t="s">
        <v>11497</v>
      </c>
      <c r="E7704" s="20" t="s">
        <v>4996</v>
      </c>
      <c r="F7704" t="str">
        <f t="shared" si="599"/>
        <v>Polk</v>
      </c>
      <c r="G7704" t="str">
        <f t="shared" si="600"/>
        <v>Polk3425-435Dallas</v>
      </c>
      <c r="H7704" t="s">
        <v>38559</v>
      </c>
      <c r="I7704" t="s">
        <v>29971</v>
      </c>
      <c r="J7704" t="str">
        <f t="shared" si="601"/>
        <v>E:\PropInv\MF</v>
      </c>
      <c r="K7704" s="103" t="str">
        <f>HYPERLINK("E:\PropInv\MF\Dallas\Polk St S_3425-435_Catalina Court_Dallas_60090","Polk St S_3425-435_Catalina Court_Dallas_60090" )</f>
        <v>Polk St S_3425-435_Catalina Court_Dallas_60090</v>
      </c>
      <c r="L7704" s="104" t="s">
        <v>22253</v>
      </c>
      <c r="N7704" s="1">
        <f t="shared" si="602"/>
        <v>60090</v>
      </c>
    </row>
    <row r="7705" spans="1:14" x14ac:dyDescent="0.3">
      <c r="A7705" s="1">
        <v>30091</v>
      </c>
      <c r="B7705" s="19" t="s">
        <v>11498</v>
      </c>
      <c r="C7705" s="18">
        <v>3211</v>
      </c>
      <c r="D7705" s="19" t="s">
        <v>11499</v>
      </c>
      <c r="E7705" s="39" t="s">
        <v>4996</v>
      </c>
      <c r="F7705" t="str">
        <f t="shared" si="599"/>
        <v>Vernon</v>
      </c>
      <c r="G7705" t="str">
        <f t="shared" si="600"/>
        <v>Vernon3211Dallas</v>
      </c>
      <c r="H7705" t="s">
        <v>38560</v>
      </c>
      <c r="I7705" t="s">
        <v>29972</v>
      </c>
      <c r="J7705" t="str">
        <f t="shared" si="601"/>
        <v>E:\PropInv\MF</v>
      </c>
      <c r="K7705" s="103" t="str">
        <f>HYPERLINK("E:\PropInv\MF\Dallas\Vernon Ave S_3211_Biscayne_Dallas_60091","Vernon Ave S_3211_Biscayne_Dallas_60091" )</f>
        <v>Vernon Ave S_3211_Biscayne_Dallas_60091</v>
      </c>
      <c r="L7705" s="104" t="s">
        <v>22253</v>
      </c>
      <c r="N7705" s="1">
        <f t="shared" si="602"/>
        <v>60091</v>
      </c>
    </row>
    <row r="7706" spans="1:14" x14ac:dyDescent="0.3">
      <c r="A7706" s="1">
        <v>30092</v>
      </c>
      <c r="B7706" s="29" t="s">
        <v>11498</v>
      </c>
      <c r="C7706" s="38">
        <v>3311</v>
      </c>
      <c r="D7706" s="29" t="s">
        <v>11500</v>
      </c>
      <c r="E7706" s="39" t="s">
        <v>4996</v>
      </c>
      <c r="F7706" t="str">
        <f t="shared" si="599"/>
        <v>Vernon</v>
      </c>
      <c r="G7706" t="str">
        <f t="shared" si="600"/>
        <v>Vernon3311Dallas</v>
      </c>
      <c r="H7706" t="s">
        <v>38561</v>
      </c>
      <c r="I7706" t="s">
        <v>29973</v>
      </c>
      <c r="J7706" t="str">
        <f t="shared" si="601"/>
        <v>E:\PropInv\MF</v>
      </c>
      <c r="K7706" s="103" t="str">
        <f>HYPERLINK("E:\PropInv\MF\Dallas\Vernon Ave S_3311_Kiest Park Estates_Dallas_60092","Vernon Ave S_3311_Kiest Park Estates_Dallas_60092" )</f>
        <v>Vernon Ave S_3311_Kiest Park Estates_Dallas_60092</v>
      </c>
      <c r="L7706" s="104" t="s">
        <v>22253</v>
      </c>
      <c r="N7706" s="1">
        <f t="shared" si="602"/>
        <v>60092</v>
      </c>
    </row>
    <row r="7707" spans="1:14" x14ac:dyDescent="0.3">
      <c r="A7707" s="1">
        <v>30093</v>
      </c>
      <c r="B7707" s="37" t="s">
        <v>11498</v>
      </c>
      <c r="C7707" s="38" t="s">
        <v>11501</v>
      </c>
      <c r="D7707" s="19" t="s">
        <v>11502</v>
      </c>
      <c r="E7707" s="39" t="s">
        <v>4996</v>
      </c>
      <c r="F7707" t="str">
        <f t="shared" si="599"/>
        <v>Vernon</v>
      </c>
      <c r="G7707" t="str">
        <f t="shared" si="600"/>
        <v>Vernon3233-3321Dallas</v>
      </c>
      <c r="H7707" t="s">
        <v>38562</v>
      </c>
      <c r="I7707" t="s">
        <v>29974</v>
      </c>
      <c r="J7707" t="str">
        <f t="shared" si="601"/>
        <v>E:\PropInv\MF</v>
      </c>
      <c r="K7707" s="103" t="str">
        <f>HYPERLINK("E:\PropInv\MF\Dallas\Vernon Ave S_3233-3321_Vernon Oaks-Kiest Park Estates_Dallas_60093","Vernon Ave S_3233-3321_Vernon Oaks-Kiest Park Estates_Dallas_60093" )</f>
        <v>Vernon Ave S_3233-3321_Vernon Oaks-Kiest Park Estates_Dallas_60093</v>
      </c>
      <c r="L7707" s="104" t="s">
        <v>22253</v>
      </c>
      <c r="N7707" s="1">
        <f t="shared" si="602"/>
        <v>60093</v>
      </c>
    </row>
    <row r="7708" spans="1:14" x14ac:dyDescent="0.3">
      <c r="A7708" s="1">
        <v>30094</v>
      </c>
      <c r="B7708" s="37" t="s">
        <v>11503</v>
      </c>
      <c r="C7708" s="38">
        <v>6727</v>
      </c>
      <c r="D7708" s="29" t="s">
        <v>7176</v>
      </c>
      <c r="E7708" s="39" t="s">
        <v>4996</v>
      </c>
      <c r="F7708" t="str">
        <f t="shared" si="599"/>
        <v>Shadybrook</v>
      </c>
      <c r="G7708" t="str">
        <f t="shared" si="600"/>
        <v>Shadybrook6727Dallas</v>
      </c>
      <c r="H7708" t="s">
        <v>38563</v>
      </c>
      <c r="I7708" t="s">
        <v>29975</v>
      </c>
      <c r="J7708" t="str">
        <f t="shared" si="601"/>
        <v>E:\PropInv\MF</v>
      </c>
      <c r="K7708" s="103" t="str">
        <f>HYPERLINK("E:\PropInv\MF\Dallas\Shadybrook Ln_6727_Park Vali Hai_Dallas_60094","Shadybrook Ln_6727_Park Vali Hai_Dallas_60094" )</f>
        <v>Shadybrook Ln_6727_Park Vali Hai_Dallas_60094</v>
      </c>
      <c r="L7708" s="104" t="s">
        <v>22253</v>
      </c>
      <c r="N7708" s="1">
        <f t="shared" si="602"/>
        <v>60094</v>
      </c>
    </row>
    <row r="7709" spans="1:14" x14ac:dyDescent="0.3">
      <c r="A7709" s="1">
        <v>30095</v>
      </c>
      <c r="B7709" s="29" t="s">
        <v>11504</v>
      </c>
      <c r="C7709" s="38">
        <v>2202</v>
      </c>
      <c r="D7709" s="29" t="s">
        <v>11505</v>
      </c>
      <c r="E7709" s="39" t="s">
        <v>4996</v>
      </c>
      <c r="F7709" t="str">
        <f t="shared" si="599"/>
        <v>Southland</v>
      </c>
      <c r="G7709" t="str">
        <f t="shared" si="600"/>
        <v>Southland2202Dallas</v>
      </c>
      <c r="H7709" t="s">
        <v>38564</v>
      </c>
      <c r="I7709" t="s">
        <v>29976</v>
      </c>
      <c r="J7709" t="str">
        <f t="shared" si="601"/>
        <v>E:\PropInv\MF</v>
      </c>
      <c r="K7709" s="103" t="str">
        <f>HYPERLINK("E:\PropInv\MF\Dallas\Southland_2202_Palms of Dallas_Dallas_60095","Southland_2202_Palms of Dallas_Dallas_60095" )</f>
        <v>Southland_2202_Palms of Dallas_Dallas_60095</v>
      </c>
      <c r="L7709" s="104" t="s">
        <v>22253</v>
      </c>
      <c r="N7709" s="1">
        <f t="shared" si="602"/>
        <v>60095</v>
      </c>
    </row>
    <row r="7710" spans="1:14" x14ac:dyDescent="0.3">
      <c r="A7710" s="1">
        <v>30096</v>
      </c>
      <c r="B7710" s="37" t="s">
        <v>5015</v>
      </c>
      <c r="C7710" s="38">
        <v>8376</v>
      </c>
      <c r="D7710" s="29" t="s">
        <v>11506</v>
      </c>
      <c r="E7710" s="39" t="s">
        <v>4996</v>
      </c>
      <c r="F7710" t="str">
        <f t="shared" si="599"/>
        <v>Spring</v>
      </c>
      <c r="G7710" t="str">
        <f t="shared" si="600"/>
        <v>Spring8376Dallas</v>
      </c>
      <c r="H7710" t="s">
        <v>38565</v>
      </c>
      <c r="I7710" t="s">
        <v>29977</v>
      </c>
      <c r="J7710" t="str">
        <f t="shared" si="601"/>
        <v>E:\PropInv\MF</v>
      </c>
      <c r="K7710" s="103" t="str">
        <f>HYPERLINK("E:\PropInv\MF\Dallas\Spring Valley_8376_Landmark on the valley_Dallas_60096","Spring Valley_8376_Landmark on the valley_Dallas_60096" )</f>
        <v>Spring Valley_8376_Landmark on the valley_Dallas_60096</v>
      </c>
      <c r="L7710" s="104" t="s">
        <v>22253</v>
      </c>
      <c r="N7710" s="1">
        <f t="shared" si="602"/>
        <v>60096</v>
      </c>
    </row>
    <row r="7711" spans="1:14" x14ac:dyDescent="0.3">
      <c r="A7711" s="1">
        <v>30097</v>
      </c>
      <c r="B7711" s="19" t="s">
        <v>11507</v>
      </c>
      <c r="C7711" s="18">
        <v>8360</v>
      </c>
      <c r="D7711" s="19" t="s">
        <v>11508</v>
      </c>
      <c r="E7711" s="39" t="s">
        <v>4996</v>
      </c>
      <c r="F7711" t="str">
        <f t="shared" si="599"/>
        <v>Springvalley</v>
      </c>
      <c r="G7711" t="str">
        <f t="shared" si="600"/>
        <v>Springvalley8360Dallas</v>
      </c>
      <c r="H7711" t="s">
        <v>38566</v>
      </c>
      <c r="I7711" t="s">
        <v>29978</v>
      </c>
      <c r="J7711" t="str">
        <f t="shared" si="601"/>
        <v>E:\PropInv\MF</v>
      </c>
      <c r="K7711" s="103" t="str">
        <f>HYPERLINK("E:\PropInv\MF\Dallas\Springvalley Rd_8360_Brookbend Village_Dallas_60097","Springvalley Rd_8360_Brookbend Village_Dallas_60097" )</f>
        <v>Springvalley Rd_8360_Brookbend Village_Dallas_60097</v>
      </c>
      <c r="L7711" s="104" t="s">
        <v>22253</v>
      </c>
      <c r="N7711" s="1">
        <f t="shared" si="602"/>
        <v>60097</v>
      </c>
    </row>
    <row r="7712" spans="1:14" x14ac:dyDescent="0.3">
      <c r="A7712" s="1">
        <v>30098</v>
      </c>
      <c r="B7712" s="29" t="s">
        <v>11509</v>
      </c>
      <c r="C7712" s="52">
        <v>3103</v>
      </c>
      <c r="D7712" s="29" t="s">
        <v>11510</v>
      </c>
      <c r="E7712" s="53" t="s">
        <v>4996</v>
      </c>
      <c r="F7712" t="str">
        <f t="shared" si="599"/>
        <v>SPRINGWOOD</v>
      </c>
      <c r="G7712" t="str">
        <f t="shared" si="600"/>
        <v>SPRINGWOOD3103Dallas</v>
      </c>
      <c r="H7712" t="s">
        <v>38567</v>
      </c>
      <c r="I7712" t="s">
        <v>29979</v>
      </c>
      <c r="J7712" t="str">
        <f t="shared" si="601"/>
        <v>E:\PropInv\MF</v>
      </c>
      <c r="K7712" s="103" t="str">
        <f>HYPERLINK("E:\PropInv\MF\Dallas\SPRINGWOOD Ln_3103_Boulder Ridge Apts_Dallas_60098","SPRINGWOOD Ln_3103_Boulder Ridge Apts_Dallas_60098" )</f>
        <v>SPRINGWOOD Ln_3103_Boulder Ridge Apts_Dallas_60098</v>
      </c>
      <c r="L7712" s="104" t="s">
        <v>22253</v>
      </c>
      <c r="N7712" s="1">
        <f t="shared" si="602"/>
        <v>60098</v>
      </c>
    </row>
    <row r="7713" spans="1:14" x14ac:dyDescent="0.3">
      <c r="A7713" s="1">
        <v>30099</v>
      </c>
      <c r="B7713" s="29" t="s">
        <v>11511</v>
      </c>
      <c r="C7713" s="52">
        <v>1818</v>
      </c>
      <c r="D7713" s="29" t="s">
        <v>11512</v>
      </c>
      <c r="E7713" s="53" t="s">
        <v>4996</v>
      </c>
      <c r="F7713" t="str">
        <f t="shared" si="599"/>
        <v>Stevens</v>
      </c>
      <c r="G7713" t="str">
        <f t="shared" si="600"/>
        <v>Stevens1818Dallas</v>
      </c>
      <c r="H7713" t="s">
        <v>38568</v>
      </c>
      <c r="I7713" t="s">
        <v>29980</v>
      </c>
      <c r="J7713" t="str">
        <f t="shared" si="601"/>
        <v>E:\PropInv\MF</v>
      </c>
      <c r="K7713" s="103" t="str">
        <f>HYPERLINK("E:\PropInv\MF\Dallas\Stevens Forest Dr_1818_Chateau Crete_Dallas_60099","Stevens Forest Dr_1818_Chateau Crete_Dallas_60099" )</f>
        <v>Stevens Forest Dr_1818_Chateau Crete_Dallas_60099</v>
      </c>
      <c r="L7713" s="104" t="s">
        <v>22253</v>
      </c>
      <c r="N7713" s="1">
        <f t="shared" si="602"/>
        <v>60099</v>
      </c>
    </row>
    <row r="7714" spans="1:14" x14ac:dyDescent="0.3">
      <c r="A7714" s="1">
        <v>30100</v>
      </c>
      <c r="B7714" s="19" t="s">
        <v>5708</v>
      </c>
      <c r="C7714" s="18">
        <v>9823</v>
      </c>
      <c r="D7714" s="19" t="s">
        <v>2497</v>
      </c>
      <c r="E7714" s="39" t="s">
        <v>4996</v>
      </c>
      <c r="F7714" t="str">
        <f t="shared" si="599"/>
        <v>Summerwood</v>
      </c>
      <c r="G7714" t="str">
        <f t="shared" si="600"/>
        <v>Summerwood9823Dallas</v>
      </c>
      <c r="H7714" t="s">
        <v>38569</v>
      </c>
      <c r="I7714" t="s">
        <v>29981</v>
      </c>
      <c r="J7714" t="str">
        <f t="shared" si="601"/>
        <v>E:\PropInv\MF</v>
      </c>
      <c r="K7714" s="103" t="str">
        <f>HYPERLINK("E:\PropInv\MF\Dallas\Summerwood Cir_9823_NF_Dallas_60100","Summerwood Cir_9823_NF_Dallas_60100" )</f>
        <v>Summerwood Cir_9823_NF_Dallas_60100</v>
      </c>
      <c r="L7714" s="104" t="s">
        <v>22253</v>
      </c>
      <c r="N7714" s="1">
        <f t="shared" si="602"/>
        <v>60100</v>
      </c>
    </row>
    <row r="7715" spans="1:14" x14ac:dyDescent="0.3">
      <c r="A7715" s="1">
        <v>30101</v>
      </c>
      <c r="B7715" s="29" t="s">
        <v>5742</v>
      </c>
      <c r="C7715" s="52">
        <v>4651</v>
      </c>
      <c r="D7715" s="29" t="s">
        <v>11513</v>
      </c>
      <c r="E7715" s="39" t="s">
        <v>4996</v>
      </c>
      <c r="F7715" t="str">
        <f t="shared" si="599"/>
        <v>Timberglen</v>
      </c>
      <c r="G7715" t="str">
        <f t="shared" si="600"/>
        <v>Timberglen4651Dallas</v>
      </c>
      <c r="H7715" t="s">
        <v>38570</v>
      </c>
      <c r="I7715" t="s">
        <v>29982</v>
      </c>
      <c r="J7715" t="str">
        <f t="shared" si="601"/>
        <v>E:\PropInv\MF</v>
      </c>
      <c r="K7715" s="103" t="str">
        <f>HYPERLINK("E:\PropInv\MF\Dallas\Timberglen Rd_4651_Jefferson at Timberglen_Dallas_60101","Timberglen Rd_4651_Jefferson at Timberglen_Dallas_60101" )</f>
        <v>Timberglen Rd_4651_Jefferson at Timberglen_Dallas_60101</v>
      </c>
      <c r="L7715" s="104" t="s">
        <v>22253</v>
      </c>
      <c r="N7715" s="1">
        <f t="shared" si="602"/>
        <v>60101</v>
      </c>
    </row>
    <row r="7716" spans="1:14" x14ac:dyDescent="0.3">
      <c r="A7716" s="1">
        <v>30102</v>
      </c>
      <c r="B7716" s="37" t="s">
        <v>5961</v>
      </c>
      <c r="C7716" s="38">
        <v>9640</v>
      </c>
      <c r="D7716" s="29" t="s">
        <v>5962</v>
      </c>
      <c r="E7716" s="39" t="s">
        <v>4996</v>
      </c>
      <c r="F7716" t="str">
        <f t="shared" si="599"/>
        <v>Timberline</v>
      </c>
      <c r="G7716" t="str">
        <f t="shared" si="600"/>
        <v>Timberline9640Dallas</v>
      </c>
      <c r="H7716" t="s">
        <v>38571</v>
      </c>
      <c r="I7716" t="s">
        <v>29983</v>
      </c>
      <c r="J7716" t="str">
        <f t="shared" si="601"/>
        <v>E:\PropInv\MF</v>
      </c>
      <c r="K7716" s="103" t="str">
        <f>HYPERLINK("E:\PropInv\MF\Dallas\Timberline Dr_9640_Northwest Crossing_Dallas_60102","Timberline Dr_9640_Northwest Crossing_Dallas_60102" )</f>
        <v>Timberline Dr_9640_Northwest Crossing_Dallas_60102</v>
      </c>
      <c r="L7716" s="104" t="s">
        <v>22253</v>
      </c>
      <c r="N7716" s="1">
        <f t="shared" si="602"/>
        <v>60102</v>
      </c>
    </row>
    <row r="7717" spans="1:14" x14ac:dyDescent="0.3">
      <c r="A7717" s="1">
        <v>30103</v>
      </c>
      <c r="B7717" s="7" t="s">
        <v>11514</v>
      </c>
      <c r="C7717" s="12">
        <v>9000</v>
      </c>
      <c r="D7717" s="7" t="s">
        <v>11515</v>
      </c>
      <c r="E7717" s="13" t="s">
        <v>4996</v>
      </c>
      <c r="F7717" t="str">
        <f t="shared" si="599"/>
        <v>Vantage</v>
      </c>
      <c r="G7717" t="str">
        <f t="shared" si="600"/>
        <v>Vantage9000Dallas</v>
      </c>
      <c r="H7717" t="s">
        <v>38572</v>
      </c>
      <c r="I7717" t="s">
        <v>29984</v>
      </c>
      <c r="J7717" t="str">
        <f t="shared" si="601"/>
        <v>E:\PropInv\MF</v>
      </c>
      <c r="K7717" s="103" t="str">
        <f>HYPERLINK("E:\PropInv\MF\Dallas\Vantage Point Dr_9000_Saint Andrews Apts II_Dallas_60103","Vantage Point Dr_9000_Saint Andrews Apts II_Dallas_60103" )</f>
        <v>Vantage Point Dr_9000_Saint Andrews Apts II_Dallas_60103</v>
      </c>
      <c r="L7717" s="104" t="s">
        <v>22253</v>
      </c>
      <c r="N7717" s="1">
        <f t="shared" si="602"/>
        <v>60103</v>
      </c>
    </row>
    <row r="7718" spans="1:14" x14ac:dyDescent="0.3">
      <c r="A7718" s="1">
        <v>30104</v>
      </c>
      <c r="B7718" s="29" t="s">
        <v>8742</v>
      </c>
      <c r="C7718" s="52">
        <v>2105</v>
      </c>
      <c r="D7718" s="29" t="s">
        <v>11516</v>
      </c>
      <c r="E7718" s="39" t="s">
        <v>4996</v>
      </c>
      <c r="F7718" t="str">
        <f t="shared" si="599"/>
        <v>Davis</v>
      </c>
      <c r="G7718" t="str">
        <f t="shared" si="600"/>
        <v>Davis2105Dallas</v>
      </c>
      <c r="H7718" t="s">
        <v>38573</v>
      </c>
      <c r="I7718" t="s">
        <v>29985</v>
      </c>
      <c r="J7718" t="str">
        <f t="shared" si="601"/>
        <v>E:\PropInv\MF</v>
      </c>
      <c r="K7718" s="103" t="str">
        <f>HYPERLINK("E:\PropInv\MF\Dallas\Davis St W_2105_Acorn Tree_Dallas_60104","Davis St W_2105_Acorn Tree_Dallas_60104" )</f>
        <v>Davis St W_2105_Acorn Tree_Dallas_60104</v>
      </c>
      <c r="L7718" s="104" t="s">
        <v>22253</v>
      </c>
      <c r="N7718" s="1">
        <f t="shared" si="602"/>
        <v>60104</v>
      </c>
    </row>
    <row r="7719" spans="1:14" x14ac:dyDescent="0.3">
      <c r="A7719" s="1">
        <v>30105</v>
      </c>
      <c r="B7719" s="37" t="s">
        <v>7600</v>
      </c>
      <c r="C7719" s="38">
        <v>950</v>
      </c>
      <c r="D7719" s="51" t="s">
        <v>11517</v>
      </c>
      <c r="E7719" s="49" t="s">
        <v>4996</v>
      </c>
      <c r="F7719" t="str">
        <f t="shared" si="599"/>
        <v>Kiest</v>
      </c>
      <c r="G7719" t="str">
        <f t="shared" si="600"/>
        <v>Kiest950Dallas</v>
      </c>
      <c r="H7719" t="s">
        <v>38574</v>
      </c>
      <c r="I7719" t="s">
        <v>29986</v>
      </c>
      <c r="J7719" t="str">
        <f t="shared" si="601"/>
        <v>E:\PropInv\MF</v>
      </c>
      <c r="K7719" s="103" t="str">
        <f>HYPERLINK("E:\PropInv\MF\Dallas\Kiest Blvd W_950_Fredricksburg Apts_Dallas_60105","Kiest Blvd W_950_Fredricksburg Apts_Dallas_60105" )</f>
        <v>Kiest Blvd W_950_Fredricksburg Apts_Dallas_60105</v>
      </c>
      <c r="L7719" s="104" t="s">
        <v>22253</v>
      </c>
      <c r="N7719" s="1">
        <f t="shared" si="602"/>
        <v>60105</v>
      </c>
    </row>
    <row r="7720" spans="1:14" x14ac:dyDescent="0.3">
      <c r="A7720" s="1">
        <v>30106</v>
      </c>
      <c r="B7720" s="19" t="s">
        <v>11518</v>
      </c>
      <c r="C7720" s="18">
        <v>2107</v>
      </c>
      <c r="D7720" s="19" t="s">
        <v>3728</v>
      </c>
      <c r="E7720" s="20" t="s">
        <v>4996</v>
      </c>
      <c r="F7720" t="str">
        <f t="shared" si="599"/>
        <v>Ledbetter</v>
      </c>
      <c r="G7720" t="str">
        <f t="shared" si="600"/>
        <v>Ledbetter2107Dallas</v>
      </c>
      <c r="H7720" t="s">
        <v>38575</v>
      </c>
      <c r="I7720" t="s">
        <v>29987</v>
      </c>
      <c r="J7720" t="str">
        <f t="shared" si="601"/>
        <v>E:\PropInv\MF</v>
      </c>
      <c r="K7720" s="103" t="str">
        <f>HYPERLINK("E:\PropInv\MF\Dallas\Ledbetter Dr W_2107_Westridge_Dallas_60106","Ledbetter Dr W_2107_Westridge_Dallas_60106" )</f>
        <v>Ledbetter Dr W_2107_Westridge_Dallas_60106</v>
      </c>
      <c r="L7720" s="104" t="s">
        <v>22253</v>
      </c>
      <c r="N7720" s="1">
        <f t="shared" si="602"/>
        <v>60106</v>
      </c>
    </row>
    <row r="7721" spans="1:14" x14ac:dyDescent="0.3">
      <c r="A7721" s="1">
        <v>30107</v>
      </c>
      <c r="B7721" s="7" t="s">
        <v>7450</v>
      </c>
      <c r="C7721" s="38">
        <v>919</v>
      </c>
      <c r="D7721" s="29" t="s">
        <v>151</v>
      </c>
      <c r="E7721" s="39" t="s">
        <v>4996</v>
      </c>
      <c r="F7721" t="str">
        <f t="shared" si="599"/>
        <v>Wheatland</v>
      </c>
      <c r="G7721" t="str">
        <f t="shared" si="600"/>
        <v>Wheatland919Dallas</v>
      </c>
      <c r="H7721" t="s">
        <v>38576</v>
      </c>
      <c r="I7721" t="s">
        <v>29988</v>
      </c>
      <c r="J7721" t="str">
        <f t="shared" si="601"/>
        <v>E:\PropInv\MF</v>
      </c>
      <c r="K7721" s="103" t="str">
        <f>HYPERLINK("E:\PropInv\MF\Dallas\Wheatland Rd W_919_Crystal Creek_Dallas_60107","Wheatland Rd W_919_Crystal Creek_Dallas_60107" )</f>
        <v>Wheatland Rd W_919_Crystal Creek_Dallas_60107</v>
      </c>
      <c r="L7721" s="104" t="s">
        <v>22253</v>
      </c>
      <c r="N7721" s="1">
        <f t="shared" si="602"/>
        <v>60107</v>
      </c>
    </row>
    <row r="7722" spans="1:14" x14ac:dyDescent="0.3">
      <c r="A7722" s="1">
        <v>30108</v>
      </c>
      <c r="B7722" s="37" t="s">
        <v>6965</v>
      </c>
      <c r="C7722" s="38">
        <v>10850</v>
      </c>
      <c r="D7722" s="29" t="s">
        <v>11519</v>
      </c>
      <c r="E7722" s="39" t="s">
        <v>4996</v>
      </c>
      <c r="F7722" t="str">
        <f t="shared" si="599"/>
        <v>Walnut</v>
      </c>
      <c r="G7722" t="str">
        <f t="shared" si="600"/>
        <v>Walnut10850Dallas</v>
      </c>
      <c r="H7722" t="s">
        <v>38577</v>
      </c>
      <c r="I7722" t="s">
        <v>29989</v>
      </c>
      <c r="J7722" t="str">
        <f t="shared" si="601"/>
        <v>E:\PropInv\MF</v>
      </c>
      <c r="K7722" s="103" t="str">
        <f>HYPERLINK("E:\PropInv\MF\Dallas\Walnut Hill Ln_10850_Principals only Listings_Dallas_60108","Walnut Hill Ln_10850_Principals only Listings_Dallas_60108" )</f>
        <v>Walnut Hill Ln_10850_Principals only Listings_Dallas_60108</v>
      </c>
      <c r="L7722" s="104" t="s">
        <v>22253</v>
      </c>
      <c r="N7722" s="1">
        <f t="shared" si="602"/>
        <v>60108</v>
      </c>
    </row>
    <row r="7723" spans="1:14" x14ac:dyDescent="0.3">
      <c r="A7723" s="1">
        <v>30109</v>
      </c>
      <c r="B7723" s="29" t="s">
        <v>5101</v>
      </c>
      <c r="C7723" s="38">
        <v>3131</v>
      </c>
      <c r="D7723" s="29" t="s">
        <v>11520</v>
      </c>
      <c r="E7723" s="39" t="s">
        <v>4996</v>
      </c>
      <c r="F7723" t="str">
        <f t="shared" si="599"/>
        <v>Webb</v>
      </c>
      <c r="G7723" t="str">
        <f t="shared" si="600"/>
        <v>Webb3131Dallas</v>
      </c>
      <c r="H7723" t="s">
        <v>38578</v>
      </c>
      <c r="I7723" t="s">
        <v>29990</v>
      </c>
      <c r="J7723" t="str">
        <f t="shared" si="601"/>
        <v>E:\PropInv\MF</v>
      </c>
      <c r="K7723" s="103" t="str">
        <f>HYPERLINK("E:\PropInv\MF\Dallas\Webb Chapel Extension_3131_Chapel court_Dallas_60109","Webb Chapel Extension_3131_Chapel court_Dallas_60109" )</f>
        <v>Webb Chapel Extension_3131_Chapel court_Dallas_60109</v>
      </c>
      <c r="L7723" s="104" t="s">
        <v>22253</v>
      </c>
      <c r="N7723" s="1">
        <f t="shared" si="602"/>
        <v>60109</v>
      </c>
    </row>
    <row r="7724" spans="1:14" x14ac:dyDescent="0.3">
      <c r="A7724" s="1">
        <v>30110</v>
      </c>
      <c r="B7724" s="19" t="s">
        <v>11521</v>
      </c>
      <c r="C7724" s="18">
        <v>3111</v>
      </c>
      <c r="D7724" s="19" t="s">
        <v>2497</v>
      </c>
      <c r="E7724" s="20" t="s">
        <v>4996</v>
      </c>
      <c r="F7724" t="str">
        <f t="shared" si="599"/>
        <v>Welborn</v>
      </c>
      <c r="G7724" t="str">
        <f t="shared" si="600"/>
        <v>Welborn3111Dallas</v>
      </c>
      <c r="H7724" t="s">
        <v>38579</v>
      </c>
      <c r="I7724" t="s">
        <v>29991</v>
      </c>
      <c r="J7724" t="str">
        <f t="shared" si="601"/>
        <v>E:\PropInv\MF</v>
      </c>
      <c r="K7724" s="103" t="str">
        <f>HYPERLINK("E:\PropInv\MF\Dallas\Welborn St_3111_NF_Dallas_60110","Welborn St_3111_NF_Dallas_60110" )</f>
        <v>Welborn St_3111_NF_Dallas_60110</v>
      </c>
      <c r="L7724" s="104" t="s">
        <v>22253</v>
      </c>
      <c r="N7724" s="1">
        <f t="shared" si="602"/>
        <v>60110</v>
      </c>
    </row>
    <row r="7725" spans="1:14" x14ac:dyDescent="0.3">
      <c r="A7725" s="1">
        <v>30111</v>
      </c>
      <c r="B7725" s="19" t="s">
        <v>7469</v>
      </c>
      <c r="C7725" s="18">
        <v>1248</v>
      </c>
      <c r="D7725" s="19" t="s">
        <v>11522</v>
      </c>
      <c r="E7725" s="39" t="s">
        <v>4996</v>
      </c>
      <c r="F7725" t="str">
        <f t="shared" si="599"/>
        <v>Westmount</v>
      </c>
      <c r="G7725" t="str">
        <f t="shared" si="600"/>
        <v>Westmount1248Dallas</v>
      </c>
      <c r="H7725" t="s">
        <v>38580</v>
      </c>
      <c r="I7725" t="s">
        <v>29992</v>
      </c>
      <c r="J7725" t="str">
        <f t="shared" si="601"/>
        <v>E:\PropInv\MF</v>
      </c>
      <c r="K7725" s="103" t="str">
        <f>HYPERLINK("E:\PropInv\MF\Dallas\Westmount Ave_1248_Mill Run Apts_Dallas_60111","Westmount Ave_1248_Mill Run Apts_Dallas_60111" )</f>
        <v>Westmount Ave_1248_Mill Run Apts_Dallas_60111</v>
      </c>
      <c r="L7725" s="104" t="s">
        <v>22253</v>
      </c>
      <c r="N7725" s="1">
        <f t="shared" si="602"/>
        <v>60111</v>
      </c>
    </row>
    <row r="7726" spans="1:14" x14ac:dyDescent="0.3">
      <c r="A7726" s="1">
        <v>30112</v>
      </c>
      <c r="B7726" s="29" t="s">
        <v>11523</v>
      </c>
      <c r="C7726" s="52">
        <v>3827</v>
      </c>
      <c r="D7726" s="29" t="s">
        <v>11445</v>
      </c>
      <c r="E7726" s="39" t="s">
        <v>11524</v>
      </c>
      <c r="F7726" t="str">
        <f t="shared" si="599"/>
        <v>Bonnie</v>
      </c>
      <c r="G7726" t="str">
        <f t="shared" si="600"/>
        <v xml:space="preserve">Bonnie3827Dallas </v>
      </c>
      <c r="H7726" t="s">
        <v>38581</v>
      </c>
      <c r="I7726" t="s">
        <v>29993</v>
      </c>
      <c r="J7726" t="str">
        <f t="shared" si="601"/>
        <v>E:\PropInv\MF</v>
      </c>
      <c r="K7726" s="103" t="str">
        <f>HYPERLINK("E:\PropInv\MF\Dallas \Bonnie View_3827_Bonnie View Apts_Dallas _60112","Bonnie View_3827_Bonnie View Apts_Dallas _60112" )</f>
        <v>Bonnie View_3827_Bonnie View Apts_Dallas _60112</v>
      </c>
      <c r="L7726" s="104" t="s">
        <v>22253</v>
      </c>
      <c r="N7726" s="1">
        <f t="shared" si="602"/>
        <v>60112</v>
      </c>
    </row>
    <row r="7727" spans="1:14" x14ac:dyDescent="0.3">
      <c r="A7727" s="1">
        <v>30113</v>
      </c>
      <c r="B7727" s="37" t="s">
        <v>11525</v>
      </c>
      <c r="C7727" s="38">
        <v>10028</v>
      </c>
      <c r="D7727" s="29" t="s">
        <v>11526</v>
      </c>
      <c r="E7727" s="39" t="s">
        <v>11524</v>
      </c>
      <c r="F7727" t="str">
        <f t="shared" si="599"/>
        <v>Royal</v>
      </c>
      <c r="G7727" t="str">
        <f t="shared" si="600"/>
        <v xml:space="preserve">Royal10028Dallas </v>
      </c>
      <c r="H7727" t="s">
        <v>38582</v>
      </c>
      <c r="I7727" t="s">
        <v>29994</v>
      </c>
      <c r="J7727" t="str">
        <f t="shared" si="601"/>
        <v>E:\PropInv\MF</v>
      </c>
      <c r="K7727" s="103" t="str">
        <f>HYPERLINK("E:\PropInv\MF\Dallas \Royal Ln _10028_Kingsborough TH_Dallas _60113","Royal Ln _10028_Kingsborough TH_Dallas _60113" )</f>
        <v>Royal Ln _10028_Kingsborough TH_Dallas _60113</v>
      </c>
      <c r="L7727" s="104" t="s">
        <v>22253</v>
      </c>
      <c r="N7727" s="1">
        <f t="shared" si="602"/>
        <v>60113</v>
      </c>
    </row>
    <row r="7728" spans="1:14" x14ac:dyDescent="0.3">
      <c r="A7728" s="1">
        <v>30114</v>
      </c>
      <c r="B7728" s="37" t="s">
        <v>6240</v>
      </c>
      <c r="C7728" s="38">
        <v>201</v>
      </c>
      <c r="D7728" s="29" t="s">
        <v>2687</v>
      </c>
      <c r="E7728" s="39" t="s">
        <v>5097</v>
      </c>
      <c r="F7728" t="str">
        <f t="shared" si="599"/>
        <v>Coronado</v>
      </c>
      <c r="G7728" t="str">
        <f t="shared" si="600"/>
        <v>Coronado201Denton</v>
      </c>
      <c r="H7728" t="s">
        <v>38583</v>
      </c>
      <c r="I7728" t="s">
        <v>29995</v>
      </c>
      <c r="J7728" t="str">
        <f t="shared" si="601"/>
        <v>E:\PropInv\MF</v>
      </c>
      <c r="K7728" s="103" t="str">
        <f>HYPERLINK("E:\PropInv\MF\Denton\Coronado_201_Country Place_Denton_60114","Coronado_201_Country Place_Denton_60114" )</f>
        <v>Coronado_201_Country Place_Denton_60114</v>
      </c>
      <c r="L7728" s="104" t="s">
        <v>22253</v>
      </c>
      <c r="N7728" s="1">
        <f t="shared" si="602"/>
        <v>60114</v>
      </c>
    </row>
    <row r="7729" spans="1:14" x14ac:dyDescent="0.3">
      <c r="A7729" s="1">
        <v>30115</v>
      </c>
      <c r="B7729" s="19" t="s">
        <v>11037</v>
      </c>
      <c r="C7729" s="18">
        <v>701</v>
      </c>
      <c r="D7729" s="19" t="s">
        <v>11527</v>
      </c>
      <c r="E7729" s="39" t="s">
        <v>5097</v>
      </c>
      <c r="F7729" t="str">
        <f t="shared" si="599"/>
        <v>Fort</v>
      </c>
      <c r="G7729" t="str">
        <f t="shared" si="600"/>
        <v>Fort701Denton</v>
      </c>
      <c r="H7729" t="s">
        <v>38584</v>
      </c>
      <c r="I7729" t="s">
        <v>29996</v>
      </c>
      <c r="J7729" t="str">
        <f t="shared" si="601"/>
        <v>E:\PropInv\MF</v>
      </c>
      <c r="K7729" s="103" t="str">
        <f>HYPERLINK("E:\PropInv\MF\Denton\Fort Worth Dr_701_Former Home Depot_Denton_60115","Fort Worth Dr_701_Former Home Depot_Denton_60115" )</f>
        <v>Fort Worth Dr_701_Former Home Depot_Denton_60115</v>
      </c>
      <c r="L7729" s="104" t="s">
        <v>22253</v>
      </c>
      <c r="N7729" s="1">
        <f t="shared" si="602"/>
        <v>60115</v>
      </c>
    </row>
    <row r="7730" spans="1:14" x14ac:dyDescent="0.3">
      <c r="A7730" s="1">
        <v>30116</v>
      </c>
      <c r="B7730" s="7" t="s">
        <v>7332</v>
      </c>
      <c r="C7730" s="38">
        <v>501</v>
      </c>
      <c r="D7730" s="29" t="s">
        <v>2497</v>
      </c>
      <c r="E7730" s="39" t="s">
        <v>5097</v>
      </c>
      <c r="F7730" t="str">
        <f t="shared" si="599"/>
        <v>Londonderry</v>
      </c>
      <c r="G7730" t="str">
        <f t="shared" si="600"/>
        <v>Londonderry501Denton</v>
      </c>
      <c r="H7730" t="s">
        <v>38585</v>
      </c>
      <c r="I7730" t="s">
        <v>29997</v>
      </c>
      <c r="J7730" t="str">
        <f t="shared" si="601"/>
        <v>E:\PropInv\MF</v>
      </c>
      <c r="K7730" s="103" t="str">
        <f>HYPERLINK("E:\PropInv\MF\Denton\Londonderry_501_NF_Denton_60116","Londonderry_501_NF_Denton_60116" )</f>
        <v>Londonderry_501_NF_Denton_60116</v>
      </c>
      <c r="L7730" s="104" t="s">
        <v>22253</v>
      </c>
      <c r="N7730" s="1">
        <f t="shared" si="602"/>
        <v>60116</v>
      </c>
    </row>
    <row r="7731" spans="1:14" x14ac:dyDescent="0.3">
      <c r="A7731" s="1">
        <v>30117</v>
      </c>
      <c r="B7731" s="37" t="s">
        <v>10085</v>
      </c>
      <c r="C7731" s="38" t="s">
        <v>11528</v>
      </c>
      <c r="D7731" s="29" t="s">
        <v>11529</v>
      </c>
      <c r="E7731" s="39" t="s">
        <v>5097</v>
      </c>
      <c r="F7731" t="str">
        <f t="shared" si="599"/>
        <v>Bell</v>
      </c>
      <c r="G7731" t="str">
        <f t="shared" si="600"/>
        <v>Bell2211-2221Denton</v>
      </c>
      <c r="H7731" t="s">
        <v>38586</v>
      </c>
      <c r="I7731" t="s">
        <v>29998</v>
      </c>
      <c r="J7731" t="str">
        <f t="shared" si="601"/>
        <v>E:\PropInv\MF</v>
      </c>
      <c r="K7731" s="103" t="str">
        <f>HYPERLINK("E:\PropInv\MF\Denton\Bell Ave N_2211-2221_Oaklawn Gardens_Denton_60117","Bell Ave N_2211-2221_Oaklawn Gardens_Denton_60117" )</f>
        <v>Bell Ave N_2211-2221_Oaklawn Gardens_Denton_60117</v>
      </c>
      <c r="L7731" s="104" t="s">
        <v>22253</v>
      </c>
      <c r="N7731" s="1">
        <f t="shared" si="602"/>
        <v>60117</v>
      </c>
    </row>
    <row r="7732" spans="1:14" x14ac:dyDescent="0.3">
      <c r="A7732" s="1">
        <v>30118</v>
      </c>
      <c r="B7732" s="37" t="s">
        <v>11530</v>
      </c>
      <c r="C7732" s="38">
        <v>307</v>
      </c>
      <c r="D7732" s="29" t="s">
        <v>15750</v>
      </c>
      <c r="E7732" s="39" t="s">
        <v>5097</v>
      </c>
      <c r="F7732" t="str">
        <f t="shared" si="599"/>
        <v>288</v>
      </c>
      <c r="G7732" t="str">
        <f t="shared" si="600"/>
        <v>288307Denton</v>
      </c>
      <c r="H7732" t="s">
        <v>38587</v>
      </c>
      <c r="I7732" t="s">
        <v>29999</v>
      </c>
      <c r="J7732" t="str">
        <f t="shared" si="601"/>
        <v>E:\PropInv\MF</v>
      </c>
      <c r="K7732" s="103" t="str">
        <f>HYPERLINK("E:\PropInv\MF\Denton\288 Loop N_307_Singing Oaks_Denton_60118","288 Loop N_307_Singing Oaks_Denton_60118" )</f>
        <v>288 Loop N_307_Singing Oaks_Denton_60118</v>
      </c>
      <c r="L7732" s="104" t="s">
        <v>22253</v>
      </c>
      <c r="N7732" s="1">
        <f t="shared" si="602"/>
        <v>60118</v>
      </c>
    </row>
    <row r="7733" spans="1:14" x14ac:dyDescent="0.3">
      <c r="A7733" s="1">
        <v>30119</v>
      </c>
      <c r="B7733" s="37" t="s">
        <v>11531</v>
      </c>
      <c r="C7733" s="52">
        <v>2601</v>
      </c>
      <c r="D7733" s="29" t="s">
        <v>7987</v>
      </c>
      <c r="E7733" s="39" t="s">
        <v>5097</v>
      </c>
      <c r="F7733" t="str">
        <f t="shared" si="599"/>
        <v>Mayhill</v>
      </c>
      <c r="G7733" t="str">
        <f t="shared" si="600"/>
        <v>Mayhill2601Denton</v>
      </c>
      <c r="H7733" t="s">
        <v>38588</v>
      </c>
      <c r="I7733" t="s">
        <v>30000</v>
      </c>
      <c r="J7733" t="str">
        <f t="shared" si="601"/>
        <v>E:\PropInv\MF</v>
      </c>
      <c r="K7733" s="103" t="str">
        <f>HYPERLINK("E:\PropInv\MF\Denton\Mayhill S_2601_Pecan Creek_Denton_60119","Mayhill S_2601_Pecan Creek_Denton_60119" )</f>
        <v>Mayhill S_2601_Pecan Creek_Denton_60119</v>
      </c>
      <c r="L7733" s="104" t="s">
        <v>22253</v>
      </c>
      <c r="N7733" s="1">
        <f t="shared" si="602"/>
        <v>60119</v>
      </c>
    </row>
    <row r="7734" spans="1:14" x14ac:dyDescent="0.3">
      <c r="A7734" s="1">
        <v>30120</v>
      </c>
      <c r="B7734" s="36" t="s">
        <v>11532</v>
      </c>
      <c r="C7734" s="40">
        <v>1310</v>
      </c>
      <c r="D7734" s="36" t="s">
        <v>2497</v>
      </c>
      <c r="E7734" s="41" t="s">
        <v>5097</v>
      </c>
      <c r="F7734" t="str">
        <f t="shared" si="599"/>
        <v>Scripture</v>
      </c>
      <c r="G7734" t="str">
        <f t="shared" si="600"/>
        <v>Scripture1310Denton</v>
      </c>
      <c r="H7734" t="s">
        <v>38589</v>
      </c>
      <c r="I7734" t="s">
        <v>30001</v>
      </c>
      <c r="J7734" t="str">
        <f t="shared" si="601"/>
        <v>E:\PropInv\MF</v>
      </c>
      <c r="K7734" s="103" t="str">
        <f>HYPERLINK("E:\PropInv\MF\Denton\Scripture St_1310_NF_Denton_60120","Scripture St_1310_NF_Denton_60120" )</f>
        <v>Scripture St_1310_NF_Denton_60120</v>
      </c>
      <c r="L7734" s="104" t="s">
        <v>22253</v>
      </c>
      <c r="N7734" s="1">
        <f t="shared" si="602"/>
        <v>60120</v>
      </c>
    </row>
    <row r="7735" spans="1:14" x14ac:dyDescent="0.3">
      <c r="A7735" s="1">
        <v>30121</v>
      </c>
      <c r="B7735" s="36" t="s">
        <v>11533</v>
      </c>
      <c r="C7735" s="40">
        <v>5401</v>
      </c>
      <c r="D7735" s="56" t="s">
        <v>11534</v>
      </c>
      <c r="E7735" s="41" t="s">
        <v>5097</v>
      </c>
      <c r="F7735" t="str">
        <f t="shared" si="599"/>
        <v>Soledad</v>
      </c>
      <c r="G7735" t="str">
        <f t="shared" si="600"/>
        <v>Soledad5401Denton</v>
      </c>
      <c r="H7735" t="s">
        <v>38590</v>
      </c>
      <c r="I7735" t="s">
        <v>30002</v>
      </c>
      <c r="J7735" t="str">
        <f t="shared" si="601"/>
        <v>E:\PropInv\MF</v>
      </c>
      <c r="K7735" s="103" t="str">
        <f>HYPERLINK("E:\PropInv\MF\Denton\Soledad Dr_5401_Strip Centers in DFW Metroplex_Denton_60121","Soledad Dr_5401_Strip Centers in DFW Metroplex_Denton_60121" )</f>
        <v>Soledad Dr_5401_Strip Centers in DFW Metroplex_Denton_60121</v>
      </c>
      <c r="L7735" s="104" t="s">
        <v>22253</v>
      </c>
      <c r="N7735" s="1">
        <f t="shared" si="602"/>
        <v>60121</v>
      </c>
    </row>
    <row r="7736" spans="1:14" x14ac:dyDescent="0.3">
      <c r="A7736" s="1">
        <v>30122</v>
      </c>
      <c r="B7736" s="37" t="s">
        <v>11535</v>
      </c>
      <c r="C7736" s="52">
        <v>2211</v>
      </c>
      <c r="D7736" s="29" t="s">
        <v>11536</v>
      </c>
      <c r="E7736" s="39" t="s">
        <v>5097</v>
      </c>
      <c r="F7736" t="str">
        <f t="shared" si="599"/>
        <v>Hickory</v>
      </c>
      <c r="G7736" t="str">
        <f t="shared" si="600"/>
        <v>Hickory2211Denton</v>
      </c>
      <c r="H7736" t="s">
        <v>38591</v>
      </c>
      <c r="I7736" t="s">
        <v>30003</v>
      </c>
      <c r="J7736" t="str">
        <f t="shared" si="601"/>
        <v>E:\PropInv\MF</v>
      </c>
      <c r="K7736" s="103" t="str">
        <f>HYPERLINK("E:\PropInv\MF\Denton\Hickory St W_2211_Hunt Club Apts_Denton_60122","Hickory St W_2211_Hunt Club Apts_Denton_60122" )</f>
        <v>Hickory St W_2211_Hunt Club Apts_Denton_60122</v>
      </c>
      <c r="L7736" s="104" t="s">
        <v>22253</v>
      </c>
      <c r="N7736" s="1">
        <f t="shared" si="602"/>
        <v>60122</v>
      </c>
    </row>
    <row r="7737" spans="1:14" x14ac:dyDescent="0.3">
      <c r="A7737" s="1">
        <v>30123</v>
      </c>
      <c r="B7737" s="7" t="s">
        <v>11031</v>
      </c>
      <c r="C7737" s="38">
        <v>1616</v>
      </c>
      <c r="D7737" s="29" t="s">
        <v>2497</v>
      </c>
      <c r="E7737" s="39" t="s">
        <v>5097</v>
      </c>
      <c r="F7737" t="str">
        <f t="shared" si="599"/>
        <v>Oak</v>
      </c>
      <c r="G7737" t="str">
        <f t="shared" si="600"/>
        <v>Oak1616Denton</v>
      </c>
      <c r="H7737" t="s">
        <v>38592</v>
      </c>
      <c r="I7737" t="s">
        <v>30004</v>
      </c>
      <c r="J7737" t="str">
        <f t="shared" si="601"/>
        <v>E:\PropInv\MF</v>
      </c>
      <c r="K7737" s="103" t="str">
        <f>HYPERLINK("E:\PropInv\MF\Denton\Oak St W_1616_NF_Denton_60123","Oak St W_1616_NF_Denton_60123" )</f>
        <v>Oak St W_1616_NF_Denton_60123</v>
      </c>
      <c r="L7737" s="104" t="s">
        <v>22253</v>
      </c>
      <c r="N7737" s="1">
        <f t="shared" si="602"/>
        <v>60123</v>
      </c>
    </row>
    <row r="7738" spans="1:14" x14ac:dyDescent="0.3">
      <c r="A7738" s="1">
        <v>30124</v>
      </c>
      <c r="B7738" s="37" t="s">
        <v>11537</v>
      </c>
      <c r="C7738" s="38">
        <v>2626</v>
      </c>
      <c r="D7738" s="29" t="s">
        <v>11538</v>
      </c>
      <c r="E7738" s="39" t="s">
        <v>5097</v>
      </c>
      <c r="F7738" t="str">
        <f t="shared" si="599"/>
        <v>Prairie</v>
      </c>
      <c r="G7738" t="str">
        <f t="shared" si="600"/>
        <v>Prairie2626Denton</v>
      </c>
      <c r="H7738" t="s">
        <v>38593</v>
      </c>
      <c r="I7738" t="s">
        <v>30005</v>
      </c>
      <c r="J7738" t="str">
        <f t="shared" si="601"/>
        <v>E:\PropInv\MF</v>
      </c>
      <c r="K7738" s="103" t="str">
        <f>HYPERLINK("E:\PropInv\MF\Denton\Prairie St W_2626_Prairie Hollow_Denton_60124","Prairie St W_2626_Prairie Hollow_Denton_60124" )</f>
        <v>Prairie St W_2626_Prairie Hollow_Denton_60124</v>
      </c>
      <c r="L7738" s="104" t="s">
        <v>22253</v>
      </c>
      <c r="N7738" s="1">
        <f t="shared" si="602"/>
        <v>60124</v>
      </c>
    </row>
    <row r="7739" spans="1:14" x14ac:dyDescent="0.3">
      <c r="A7739" s="1">
        <v>30125</v>
      </c>
      <c r="B7739" s="37" t="s">
        <v>11539</v>
      </c>
      <c r="C7739" s="38">
        <v>901</v>
      </c>
      <c r="D7739" s="29" t="s">
        <v>11540</v>
      </c>
      <c r="E7739" s="39" t="s">
        <v>6570</v>
      </c>
      <c r="F7739" t="str">
        <f t="shared" si="599"/>
        <v>45</v>
      </c>
      <c r="G7739" t="str">
        <f t="shared" si="600"/>
        <v>45901Ennis</v>
      </c>
      <c r="H7739" t="s">
        <v>38594</v>
      </c>
      <c r="I7739" t="s">
        <v>30006</v>
      </c>
      <c r="J7739" t="str">
        <f t="shared" si="601"/>
        <v>E:\PropInv\MF</v>
      </c>
      <c r="K7739" s="103" t="str">
        <f>HYPERLINK("E:\PropInv\MF\Ennis\45 IH N _901_Bluebonnet Place_Ennis_60125","45 IH N _901_Bluebonnet Place_Ennis_60125" )</f>
        <v>45 IH N _901_Bluebonnet Place_Ennis_60125</v>
      </c>
      <c r="L7739" s="104" t="s">
        <v>22253</v>
      </c>
      <c r="N7739" s="1">
        <f t="shared" si="602"/>
        <v>60125</v>
      </c>
    </row>
    <row r="7740" spans="1:14" x14ac:dyDescent="0.3">
      <c r="A7740" s="1">
        <v>30126</v>
      </c>
      <c r="B7740" s="37" t="s">
        <v>11541</v>
      </c>
      <c r="C7740" s="38">
        <v>1001</v>
      </c>
      <c r="D7740" s="29" t="s">
        <v>11542</v>
      </c>
      <c r="E7740" s="39" t="s">
        <v>6570</v>
      </c>
      <c r="F7740" t="str">
        <f t="shared" si="599"/>
        <v>Biloxi</v>
      </c>
      <c r="G7740" t="str">
        <f t="shared" si="600"/>
        <v>Biloxi1001Ennis</v>
      </c>
      <c r="H7740" t="s">
        <v>38595</v>
      </c>
      <c r="I7740" t="s">
        <v>30007</v>
      </c>
      <c r="J7740" t="str">
        <f t="shared" si="601"/>
        <v>E:\PropInv\MF</v>
      </c>
      <c r="K7740" s="103" t="str">
        <f>HYPERLINK("E:\PropInv\MF\Ennis\Biloxi Dr_1001_Townhouse Apts_Ennis_60126","Biloxi Dr_1001_Townhouse Apts_Ennis_60126" )</f>
        <v>Biloxi Dr_1001_Townhouse Apts_Ennis_60126</v>
      </c>
      <c r="L7740" s="104" t="s">
        <v>22253</v>
      </c>
      <c r="N7740" s="1">
        <f t="shared" si="602"/>
        <v>60126</v>
      </c>
    </row>
    <row r="7741" spans="1:14" x14ac:dyDescent="0.3">
      <c r="A7741" s="1">
        <v>30127</v>
      </c>
      <c r="B7741" s="37" t="s">
        <v>11543</v>
      </c>
      <c r="C7741" s="38">
        <v>1600</v>
      </c>
      <c r="D7741" s="29" t="s">
        <v>11544</v>
      </c>
      <c r="E7741" s="39" t="s">
        <v>6570</v>
      </c>
      <c r="F7741" t="str">
        <f t="shared" si="599"/>
        <v>Lake</v>
      </c>
      <c r="G7741" t="str">
        <f t="shared" si="600"/>
        <v>Lake1600Ennis</v>
      </c>
      <c r="H7741" t="s">
        <v>38596</v>
      </c>
      <c r="I7741" t="s">
        <v>30008</v>
      </c>
      <c r="J7741" t="str">
        <f t="shared" si="601"/>
        <v>E:\PropInv\MF</v>
      </c>
      <c r="K7741" s="103" t="str">
        <f>HYPERLINK("E:\PropInv\MF\Ennis\Lake Bardwell Dr_1600_Oak Timbers_Ennis_60127","Lake Bardwell Dr_1600_Oak Timbers_Ennis_60127" )</f>
        <v>Lake Bardwell Dr_1600_Oak Timbers_Ennis_60127</v>
      </c>
      <c r="L7741" s="104" t="s">
        <v>22253</v>
      </c>
      <c r="N7741" s="1">
        <f t="shared" si="602"/>
        <v>60127</v>
      </c>
    </row>
    <row r="7742" spans="1:14" x14ac:dyDescent="0.3">
      <c r="A7742" s="1">
        <v>30128</v>
      </c>
      <c r="B7742" s="19" t="s">
        <v>11545</v>
      </c>
      <c r="C7742" s="38">
        <v>2300</v>
      </c>
      <c r="D7742" s="19" t="s">
        <v>11546</v>
      </c>
      <c r="E7742" s="39" t="s">
        <v>6570</v>
      </c>
      <c r="F7742" t="str">
        <f t="shared" si="599"/>
        <v>Yorkstown</v>
      </c>
      <c r="G7742" t="str">
        <f t="shared" si="600"/>
        <v>Yorkstown2300Ennis</v>
      </c>
      <c r="H7742" t="s">
        <v>38597</v>
      </c>
      <c r="I7742" t="s">
        <v>30009</v>
      </c>
      <c r="J7742" t="str">
        <f t="shared" si="601"/>
        <v>E:\PropInv\MF</v>
      </c>
      <c r="K7742" s="103" t="str">
        <f>HYPERLINK("E:\PropInv\MF\Ennis\Yorkstown Dr_2300_The Willows Apts_Ennis_60128","Yorkstown Dr_2300_The Willows Apts_Ennis_60128" )</f>
        <v>Yorkstown Dr_2300_The Willows Apts_Ennis_60128</v>
      </c>
      <c r="L7742" s="104" t="s">
        <v>22253</v>
      </c>
      <c r="N7742" s="1">
        <f t="shared" si="602"/>
        <v>60128</v>
      </c>
    </row>
    <row r="7743" spans="1:14" x14ac:dyDescent="0.3">
      <c r="A7743" s="1">
        <v>30129</v>
      </c>
      <c r="B7743" s="7" t="s">
        <v>6734</v>
      </c>
      <c r="C7743" s="12">
        <v>1300</v>
      </c>
      <c r="D7743" s="19" t="s">
        <v>2497</v>
      </c>
      <c r="E7743" s="13" t="s">
        <v>5781</v>
      </c>
      <c r="F7743" t="str">
        <f t="shared" si="599"/>
        <v>Bear</v>
      </c>
      <c r="G7743" t="str">
        <f t="shared" si="600"/>
        <v>Bear1300Euless</v>
      </c>
      <c r="H7743" t="s">
        <v>38598</v>
      </c>
      <c r="I7743" t="s">
        <v>30010</v>
      </c>
      <c r="J7743" t="str">
        <f t="shared" si="601"/>
        <v>E:\PropInv\MF</v>
      </c>
      <c r="K7743" s="103" t="str">
        <f>HYPERLINK("E:\PropInv\MF\Euless\Bear Creek Pkwy_1300_NF_Euless_60129","Bear Creek Pkwy_1300_NF_Euless_60129" )</f>
        <v>Bear Creek Pkwy_1300_NF_Euless_60129</v>
      </c>
      <c r="L7743" s="104" t="s">
        <v>22253</v>
      </c>
      <c r="N7743" s="1">
        <f t="shared" si="602"/>
        <v>60129</v>
      </c>
    </row>
    <row r="7744" spans="1:14" x14ac:dyDescent="0.3">
      <c r="A7744" s="1">
        <v>30130</v>
      </c>
      <c r="B7744" s="29" t="s">
        <v>8178</v>
      </c>
      <c r="C7744" s="38">
        <v>601</v>
      </c>
      <c r="D7744" s="29" t="s">
        <v>11547</v>
      </c>
      <c r="E7744" s="39" t="s">
        <v>5781</v>
      </c>
      <c r="F7744" t="str">
        <f t="shared" si="599"/>
        <v>Del</v>
      </c>
      <c r="G7744" t="str">
        <f t="shared" si="600"/>
        <v>Del601Euless</v>
      </c>
      <c r="H7744" t="s">
        <v>38599</v>
      </c>
      <c r="I7744" t="s">
        <v>30011</v>
      </c>
      <c r="J7744" t="str">
        <f t="shared" si="601"/>
        <v>E:\PropInv\MF</v>
      </c>
      <c r="K7744" s="103" t="str">
        <f>HYPERLINK("E:\PropInv\MF\Euless\Del Paso_601_Twin Bridge Apts_Euless_60130","Del Paso_601_Twin Bridge Apts_Euless_60130" )</f>
        <v>Del Paso_601_Twin Bridge Apts_Euless_60130</v>
      </c>
      <c r="L7744" s="104" t="s">
        <v>22253</v>
      </c>
      <c r="N7744" s="1">
        <f t="shared" si="602"/>
        <v>60130</v>
      </c>
    </row>
    <row r="7745" spans="1:14" x14ac:dyDescent="0.3">
      <c r="A7745" s="1">
        <v>30131</v>
      </c>
      <c r="B7745" s="29" t="s">
        <v>11548</v>
      </c>
      <c r="C7745" s="52">
        <v>304</v>
      </c>
      <c r="D7745" s="29" t="s">
        <v>11549</v>
      </c>
      <c r="E7745" s="39" t="s">
        <v>5781</v>
      </c>
      <c r="F7745" t="str">
        <f t="shared" si="599"/>
        <v>Norman</v>
      </c>
      <c r="G7745" t="str">
        <f t="shared" si="600"/>
        <v>Norman304Euless</v>
      </c>
      <c r="H7745" t="s">
        <v>38600</v>
      </c>
      <c r="I7745" t="s">
        <v>30012</v>
      </c>
      <c r="J7745" t="str">
        <f t="shared" si="601"/>
        <v>E:\PropInv\MF</v>
      </c>
      <c r="K7745" s="103" t="str">
        <f>HYPERLINK("E:\PropInv\MF\Euless\Norman Dr_304_Southwest Apts_Euless_60131","Norman Dr_304_Southwest Apts_Euless_60131" )</f>
        <v>Norman Dr_304_Southwest Apts_Euless_60131</v>
      </c>
      <c r="L7745" s="104" t="s">
        <v>22253</v>
      </c>
      <c r="N7745" s="1">
        <f t="shared" si="602"/>
        <v>60131</v>
      </c>
    </row>
    <row r="7746" spans="1:14" x14ac:dyDescent="0.3">
      <c r="A7746" s="1">
        <v>30132</v>
      </c>
      <c r="B7746" s="37" t="s">
        <v>10524</v>
      </c>
      <c r="C7746" s="38">
        <v>9301</v>
      </c>
      <c r="D7746" s="54" t="s">
        <v>2497</v>
      </c>
      <c r="E7746" s="49" t="s">
        <v>7325</v>
      </c>
      <c r="F7746" t="str">
        <f t="shared" ref="F7746:F7809" si="603">IFERROR(LEFT(B7746,FIND(" ",B7746)-1),B7746)</f>
        <v>Michael</v>
      </c>
      <c r="G7746" t="str">
        <f t="shared" ref="G7746:G7809" si="604">F7746&amp;C7746&amp;E7746</f>
        <v>Michael9301Everman</v>
      </c>
      <c r="H7746" t="s">
        <v>38601</v>
      </c>
      <c r="I7746" t="s">
        <v>30013</v>
      </c>
      <c r="J7746" t="str">
        <f t="shared" ref="J7746:J7809" si="605">IF(L7746="TX",Folder_Path,Folder_Path&amp;"\State_"&amp;L7746)</f>
        <v>E:\PropInv\MF</v>
      </c>
      <c r="K7746" s="103" t="str">
        <f>HYPERLINK("E:\PropInv\MF\Everman\Michael Dr_9301_NF_Everman_60132","Michael Dr_9301_NF_Everman_60132" )</f>
        <v>Michael Dr_9301_NF_Everman_60132</v>
      </c>
      <c r="L7746" s="104" t="s">
        <v>22253</v>
      </c>
      <c r="N7746" s="1">
        <f t="shared" ref="N7746:N7809" si="606">IF(LEN(A7746)=1,"0000"&amp;A7746,IF(LEN(A7746)=2,"000"&amp;A7746,IF(LEN(A7746)=3,"00"&amp;A7746,IF(LEN(A7746)=4,"0"&amp;A7746,IF(LEN(A7746)=5,IF(LEFT(A7746,1)="3",A7746+30000,A7746))))))</f>
        <v>60132</v>
      </c>
    </row>
    <row r="7747" spans="1:14" x14ac:dyDescent="0.3">
      <c r="A7747" s="1">
        <v>30133</v>
      </c>
      <c r="B7747" s="37" t="s">
        <v>10524</v>
      </c>
      <c r="C7747" s="38">
        <v>9301</v>
      </c>
      <c r="D7747" s="29" t="s">
        <v>11550</v>
      </c>
      <c r="E7747" s="39" t="s">
        <v>7325</v>
      </c>
      <c r="F7747" t="str">
        <f t="shared" si="603"/>
        <v>Michael</v>
      </c>
      <c r="G7747" t="str">
        <f t="shared" si="604"/>
        <v>Michael9301Everman</v>
      </c>
      <c r="H7747" t="s">
        <v>38602</v>
      </c>
      <c r="I7747" t="s">
        <v>30014</v>
      </c>
      <c r="J7747" t="str">
        <f t="shared" si="605"/>
        <v>E:\PropInv\MF</v>
      </c>
      <c r="K7747" s="103" t="str">
        <f>HYPERLINK("E:\PropInv\MF\Everman\Michael Dr_9301_Varaison Village Apts_Everman_60133","Michael Dr_9301_Varaison Village Apts_Everman_60133" )</f>
        <v>Michael Dr_9301_Varaison Village Apts_Everman_60133</v>
      </c>
      <c r="L7747" s="104" t="s">
        <v>22253</v>
      </c>
      <c r="N7747" s="1">
        <f t="shared" si="606"/>
        <v>60133</v>
      </c>
    </row>
    <row r="7748" spans="1:14" x14ac:dyDescent="0.3">
      <c r="A7748" s="1">
        <v>30134</v>
      </c>
      <c r="B7748" s="37" t="s">
        <v>11551</v>
      </c>
      <c r="C7748" s="38">
        <v>5500</v>
      </c>
      <c r="D7748" s="29" t="s">
        <v>11552</v>
      </c>
      <c r="E7748" s="39" t="s">
        <v>5014</v>
      </c>
      <c r="F7748" t="str">
        <f t="shared" si="603"/>
        <v>Beaty</v>
      </c>
      <c r="G7748" t="str">
        <f t="shared" si="604"/>
        <v>Beaty5500Fort Worth</v>
      </c>
      <c r="H7748" t="s">
        <v>38603</v>
      </c>
      <c r="I7748" t="s">
        <v>30015</v>
      </c>
      <c r="J7748" t="str">
        <f t="shared" si="605"/>
        <v>E:\PropInv\MF</v>
      </c>
      <c r="K7748" s="103" t="str">
        <f>HYPERLINK("E:\PropInv\MF\Fort Worth\Beaty St_5500_Beaty St. Apts_Fort Worth_60134","Beaty St_5500_Beaty St. Apts_Fort Worth_60134" )</f>
        <v>Beaty St_5500_Beaty St. Apts_Fort Worth_60134</v>
      </c>
      <c r="L7748" s="104" t="s">
        <v>22253</v>
      </c>
      <c r="N7748" s="1">
        <f t="shared" si="606"/>
        <v>60134</v>
      </c>
    </row>
    <row r="7749" spans="1:14" x14ac:dyDescent="0.3">
      <c r="A7749" s="1">
        <v>30135</v>
      </c>
      <c r="B7749" s="29" t="s">
        <v>11553</v>
      </c>
      <c r="C7749" s="52">
        <v>5130</v>
      </c>
      <c r="D7749" s="29" t="s">
        <v>6909</v>
      </c>
      <c r="E7749" s="39" t="s">
        <v>5014</v>
      </c>
      <c r="F7749" t="str">
        <f t="shared" si="603"/>
        <v>Ben</v>
      </c>
      <c r="G7749" t="str">
        <f t="shared" si="604"/>
        <v>Ben5130Fort Worth</v>
      </c>
      <c r="H7749" t="s">
        <v>38604</v>
      </c>
      <c r="I7749" t="s">
        <v>30016</v>
      </c>
      <c r="J7749" t="str">
        <f t="shared" si="605"/>
        <v>E:\PropInv\MF</v>
      </c>
      <c r="K7749" s="103" t="str">
        <f>HYPERLINK("E:\PropInv\MF\Fort Worth\Ben Day Murrin Rd_5130_Benbrook_Fort Worth_60135","Ben Day Murrin Rd_5130_Benbrook_Fort Worth_60135" )</f>
        <v>Ben Day Murrin Rd_5130_Benbrook_Fort Worth_60135</v>
      </c>
      <c r="L7749" s="104" t="s">
        <v>22253</v>
      </c>
      <c r="N7749" s="1">
        <f t="shared" si="606"/>
        <v>60135</v>
      </c>
    </row>
    <row r="7750" spans="1:14" x14ac:dyDescent="0.3">
      <c r="A7750" s="1">
        <v>30136</v>
      </c>
      <c r="B7750" s="29" t="s">
        <v>7285</v>
      </c>
      <c r="C7750" s="52">
        <v>5416</v>
      </c>
      <c r="D7750" s="29" t="s">
        <v>11554</v>
      </c>
      <c r="E7750" s="39" t="s">
        <v>5014</v>
      </c>
      <c r="F7750" t="str">
        <f t="shared" si="603"/>
        <v>Boca</v>
      </c>
      <c r="G7750" t="str">
        <f t="shared" si="604"/>
        <v>Boca5416Fort Worth</v>
      </c>
      <c r="H7750" t="s">
        <v>38605</v>
      </c>
      <c r="I7750" t="s">
        <v>30017</v>
      </c>
      <c r="J7750" t="str">
        <f t="shared" si="605"/>
        <v>E:\PropInv\MF</v>
      </c>
      <c r="K7750" s="103" t="str">
        <f>HYPERLINK("E:\PropInv\MF\Fort Worth\Boca Raton Blvd_5416_Hillside View_Fort Worth_60136","Boca Raton Blvd_5416_Hillside View_Fort Worth_60136" )</f>
        <v>Boca Raton Blvd_5416_Hillside View_Fort Worth_60136</v>
      </c>
      <c r="L7750" s="104" t="s">
        <v>22253</v>
      </c>
      <c r="N7750" s="1">
        <f t="shared" si="606"/>
        <v>60136</v>
      </c>
    </row>
    <row r="7751" spans="1:14" x14ac:dyDescent="0.3">
      <c r="A7751" s="1">
        <v>30137</v>
      </c>
      <c r="B7751" s="36" t="s">
        <v>6605</v>
      </c>
      <c r="C7751" s="40">
        <v>5255</v>
      </c>
      <c r="D7751" s="36" t="s">
        <v>2497</v>
      </c>
      <c r="E7751" s="41" t="s">
        <v>5014</v>
      </c>
      <c r="F7751" t="str">
        <f t="shared" si="603"/>
        <v>Bryant</v>
      </c>
      <c r="G7751" t="str">
        <f t="shared" si="604"/>
        <v>Bryant5255Fort Worth</v>
      </c>
      <c r="H7751" t="s">
        <v>38606</v>
      </c>
      <c r="I7751" t="s">
        <v>30018</v>
      </c>
      <c r="J7751" t="str">
        <f t="shared" si="605"/>
        <v>E:\PropInv\MF</v>
      </c>
      <c r="K7751" s="103" t="str">
        <f>HYPERLINK("E:\PropInv\MF\Fort Worth\Bryant Irvin Rd_5255_NF_Fort Worth_60137","Bryant Irvin Rd_5255_NF_Fort Worth_60137" )</f>
        <v>Bryant Irvin Rd_5255_NF_Fort Worth_60137</v>
      </c>
      <c r="L7751" s="104" t="s">
        <v>22253</v>
      </c>
      <c r="N7751" s="1">
        <f t="shared" si="606"/>
        <v>60137</v>
      </c>
    </row>
    <row r="7752" spans="1:14" x14ac:dyDescent="0.3">
      <c r="A7752" s="1">
        <v>30138</v>
      </c>
      <c r="B7752" s="7" t="s">
        <v>7328</v>
      </c>
      <c r="C7752" s="18">
        <v>8222</v>
      </c>
      <c r="D7752" s="19" t="s">
        <v>6989</v>
      </c>
      <c r="E7752" s="20" t="s">
        <v>5014</v>
      </c>
      <c r="F7752" t="str">
        <f t="shared" si="603"/>
        <v>Calmont</v>
      </c>
      <c r="G7752" t="str">
        <f t="shared" si="604"/>
        <v>Calmont8222Fort Worth</v>
      </c>
      <c r="H7752" t="s">
        <v>38607</v>
      </c>
      <c r="I7752" t="s">
        <v>30019</v>
      </c>
      <c r="J7752" t="str">
        <f t="shared" si="605"/>
        <v>E:\PropInv\MF</v>
      </c>
      <c r="K7752" s="103" t="str">
        <f>HYPERLINK("E:\PropInv\MF\Fort Worth\Calmont Ave_8222_Calmont Villas_Fort Worth_60138","Calmont Ave_8222_Calmont Villas_Fort Worth_60138" )</f>
        <v>Calmont Ave_8222_Calmont Villas_Fort Worth_60138</v>
      </c>
      <c r="L7752" s="104" t="s">
        <v>22253</v>
      </c>
      <c r="N7752" s="1">
        <f t="shared" si="606"/>
        <v>60138</v>
      </c>
    </row>
    <row r="7753" spans="1:14" x14ac:dyDescent="0.3">
      <c r="A7753" s="1">
        <v>30139</v>
      </c>
      <c r="B7753" s="19" t="s">
        <v>11555</v>
      </c>
      <c r="C7753" s="18">
        <v>6136</v>
      </c>
      <c r="D7753" s="19" t="s">
        <v>2497</v>
      </c>
      <c r="E7753" s="20" t="s">
        <v>5014</v>
      </c>
      <c r="F7753" t="str">
        <f t="shared" si="603"/>
        <v>Cardinal</v>
      </c>
      <c r="G7753" t="str">
        <f t="shared" si="604"/>
        <v>Cardinal6136Fort Worth</v>
      </c>
      <c r="H7753" t="s">
        <v>38608</v>
      </c>
      <c r="I7753" t="s">
        <v>30020</v>
      </c>
      <c r="J7753" t="str">
        <f t="shared" si="605"/>
        <v>E:\PropInv\MF</v>
      </c>
      <c r="K7753" s="103" t="str">
        <f>HYPERLINK("E:\PropInv\MF\Fort Worth\Cardinal Wood Ct_6136_NF_Fort Worth_60139","Cardinal Wood Ct_6136_NF_Fort Worth_60139" )</f>
        <v>Cardinal Wood Ct_6136_NF_Fort Worth_60139</v>
      </c>
      <c r="L7753" s="104" t="s">
        <v>22253</v>
      </c>
      <c r="N7753" s="1">
        <f t="shared" si="606"/>
        <v>60139</v>
      </c>
    </row>
    <row r="7754" spans="1:14" x14ac:dyDescent="0.3">
      <c r="A7754" s="1">
        <v>30140</v>
      </c>
      <c r="B7754" s="29" t="s">
        <v>11556</v>
      </c>
      <c r="C7754" s="52">
        <v>1701</v>
      </c>
      <c r="D7754" s="29" t="s">
        <v>11557</v>
      </c>
      <c r="E7754" s="39" t="s">
        <v>5014</v>
      </c>
      <c r="F7754" t="str">
        <f t="shared" si="603"/>
        <v>Robert</v>
      </c>
      <c r="G7754" t="str">
        <f t="shared" si="604"/>
        <v>Robert1701Fort Worth</v>
      </c>
      <c r="H7754" t="s">
        <v>38609</v>
      </c>
      <c r="I7754" t="s">
        <v>30021</v>
      </c>
      <c r="J7754" t="str">
        <f t="shared" si="605"/>
        <v>E:\PropInv\MF</v>
      </c>
      <c r="K7754" s="103" t="str">
        <f>HYPERLINK("E:\PropInv\MF\Fort Worth\Robert St E_1701_Pilgrim Valley Manor_Fort Worth_60140","Robert St E_1701_Pilgrim Valley Manor_Fort Worth_60140" )</f>
        <v>Robert St E_1701_Pilgrim Valley Manor_Fort Worth_60140</v>
      </c>
      <c r="L7754" s="104" t="s">
        <v>22253</v>
      </c>
      <c r="N7754" s="1">
        <f t="shared" si="606"/>
        <v>60140</v>
      </c>
    </row>
    <row r="7755" spans="1:14" x14ac:dyDescent="0.3">
      <c r="A7755" s="1">
        <v>30141</v>
      </c>
      <c r="B7755" s="29" t="s">
        <v>11558</v>
      </c>
      <c r="C7755" s="38">
        <v>5320</v>
      </c>
      <c r="D7755" s="29" t="s">
        <v>11559</v>
      </c>
      <c r="E7755" s="39" t="s">
        <v>5014</v>
      </c>
      <c r="F7755" t="str">
        <f t="shared" si="603"/>
        <v>Rosedale</v>
      </c>
      <c r="G7755" t="str">
        <f t="shared" si="604"/>
        <v>Rosedale5320Fort Worth</v>
      </c>
      <c r="H7755" t="s">
        <v>38610</v>
      </c>
      <c r="I7755" t="s">
        <v>30022</v>
      </c>
      <c r="J7755" t="str">
        <f t="shared" si="605"/>
        <v>E:\PropInv\MF</v>
      </c>
      <c r="K7755" s="103" t="str">
        <f>HYPERLINK("E:\PropInv\MF\Fort Worth\Rosedale E_5320_Ala Casa Apts_Fort Worth_60141","Rosedale E_5320_Ala Casa Apts_Fort Worth_60141" )</f>
        <v>Rosedale E_5320_Ala Casa Apts_Fort Worth_60141</v>
      </c>
      <c r="L7755" s="104" t="s">
        <v>22253</v>
      </c>
      <c r="N7755" s="1">
        <f t="shared" si="606"/>
        <v>60141</v>
      </c>
    </row>
    <row r="7756" spans="1:14" x14ac:dyDescent="0.3">
      <c r="A7756" s="1">
        <v>30142</v>
      </c>
      <c r="B7756" s="29" t="s">
        <v>11558</v>
      </c>
      <c r="C7756" s="52">
        <v>5308</v>
      </c>
      <c r="D7756" s="29" t="s">
        <v>2497</v>
      </c>
      <c r="E7756" s="39" t="s">
        <v>5014</v>
      </c>
      <c r="F7756" t="str">
        <f t="shared" si="603"/>
        <v>Rosedale</v>
      </c>
      <c r="G7756" t="str">
        <f t="shared" si="604"/>
        <v>Rosedale5308Fort Worth</v>
      </c>
      <c r="H7756" t="s">
        <v>38611</v>
      </c>
      <c r="I7756" t="s">
        <v>30023</v>
      </c>
      <c r="J7756" t="str">
        <f t="shared" si="605"/>
        <v>E:\PropInv\MF</v>
      </c>
      <c r="K7756" s="103" t="str">
        <f>HYPERLINK("E:\PropInv\MF\Fort Worth\Rosedale E_5308_NF_Fort Worth_60142","Rosedale E_5308_NF_Fort Worth_60142" )</f>
        <v>Rosedale E_5308_NF_Fort Worth_60142</v>
      </c>
      <c r="L7756" s="104" t="s">
        <v>22253</v>
      </c>
      <c r="N7756" s="1">
        <f t="shared" si="606"/>
        <v>60142</v>
      </c>
    </row>
    <row r="7757" spans="1:14" x14ac:dyDescent="0.3">
      <c r="A7757" s="1">
        <v>30143</v>
      </c>
      <c r="B7757" s="29" t="s">
        <v>11560</v>
      </c>
      <c r="C7757" s="52">
        <v>1350</v>
      </c>
      <c r="D7757" s="29" t="s">
        <v>11561</v>
      </c>
      <c r="E7757" s="39" t="s">
        <v>5014</v>
      </c>
      <c r="F7757" t="str">
        <f t="shared" si="603"/>
        <v>Seminary</v>
      </c>
      <c r="G7757" t="str">
        <f t="shared" si="604"/>
        <v>Seminary1350Fort Worth</v>
      </c>
      <c r="H7757" t="s">
        <v>38612</v>
      </c>
      <c r="I7757" t="s">
        <v>30024</v>
      </c>
      <c r="J7757" t="str">
        <f t="shared" si="605"/>
        <v>E:\PropInv\MF</v>
      </c>
      <c r="K7757" s="103" t="str">
        <f>HYPERLINK("E:\PropInv\MF\Fort Worth\Seminary Dr E_1350_Spanish Gate Apts_Fort Worth_60143","Seminary Dr E_1350_Spanish Gate Apts_Fort Worth_60143" )</f>
        <v>Seminary Dr E_1350_Spanish Gate Apts_Fort Worth_60143</v>
      </c>
      <c r="L7757" s="104" t="s">
        <v>22253</v>
      </c>
      <c r="N7757" s="1">
        <f t="shared" si="606"/>
        <v>60143</v>
      </c>
    </row>
    <row r="7758" spans="1:14" x14ac:dyDescent="0.3">
      <c r="A7758" s="1">
        <v>30144</v>
      </c>
      <c r="B7758" s="29" t="s">
        <v>11562</v>
      </c>
      <c r="C7758" s="52">
        <v>2333</v>
      </c>
      <c r="D7758" s="29" t="s">
        <v>2497</v>
      </c>
      <c r="E7758" s="39" t="s">
        <v>5014</v>
      </c>
      <c r="F7758" t="str">
        <f t="shared" si="603"/>
        <v>Escalante</v>
      </c>
      <c r="G7758" t="str">
        <f t="shared" si="604"/>
        <v>Escalante2333Fort Worth</v>
      </c>
      <c r="H7758" t="s">
        <v>38613</v>
      </c>
      <c r="I7758" t="s">
        <v>30025</v>
      </c>
      <c r="J7758" t="str">
        <f t="shared" si="605"/>
        <v>E:\PropInv\MF</v>
      </c>
      <c r="K7758" s="103" t="str">
        <f>HYPERLINK("E:\PropInv\MF\Fort Worth\Escalante Ave_2333_NF_Fort Worth_60144","Escalante Ave_2333_NF_Fort Worth_60144" )</f>
        <v>Escalante Ave_2333_NF_Fort Worth_60144</v>
      </c>
      <c r="L7758" s="104" t="s">
        <v>22253</v>
      </c>
      <c r="N7758" s="1">
        <f t="shared" si="606"/>
        <v>60144</v>
      </c>
    </row>
    <row r="7759" spans="1:14" x14ac:dyDescent="0.3">
      <c r="A7759" s="1">
        <v>30145</v>
      </c>
      <c r="B7759" s="29" t="s">
        <v>11563</v>
      </c>
      <c r="C7759" s="52">
        <v>2120</v>
      </c>
      <c r="D7759" s="29" t="s">
        <v>11564</v>
      </c>
      <c r="E7759" s="39" t="s">
        <v>5014</v>
      </c>
      <c r="F7759" t="str">
        <f t="shared" si="603"/>
        <v>Handley</v>
      </c>
      <c r="G7759" t="str">
        <f t="shared" si="604"/>
        <v>Handley2120Fort Worth</v>
      </c>
      <c r="H7759" t="s">
        <v>38614</v>
      </c>
      <c r="I7759" t="s">
        <v>30026</v>
      </c>
      <c r="J7759" t="str">
        <f t="shared" si="605"/>
        <v>E:\PropInv\MF</v>
      </c>
      <c r="K7759" s="103" t="str">
        <f>HYPERLINK("E:\PropInv\MF\Fort Worth\Handley St_2120_Handley Oaks_Fort Worth_60145","Handley St_2120_Handley Oaks_Fort Worth_60145" )</f>
        <v>Handley St_2120_Handley Oaks_Fort Worth_60145</v>
      </c>
      <c r="L7759" s="104" t="s">
        <v>22253</v>
      </c>
      <c r="N7759" s="1">
        <f t="shared" si="606"/>
        <v>60145</v>
      </c>
    </row>
    <row r="7760" spans="1:14" x14ac:dyDescent="0.3">
      <c r="A7760" s="97">
        <v>30146</v>
      </c>
      <c r="B7760" s="37" t="s">
        <v>11565</v>
      </c>
      <c r="C7760" s="38">
        <v>3400</v>
      </c>
      <c r="D7760" s="29" t="s">
        <v>4825</v>
      </c>
      <c r="E7760" s="39" t="s">
        <v>5014</v>
      </c>
      <c r="F7760" t="str">
        <f t="shared" si="603"/>
        <v>Heatherbend</v>
      </c>
      <c r="G7760" t="str">
        <f t="shared" si="604"/>
        <v>Heatherbend3400Fort Worth</v>
      </c>
      <c r="H7760" t="s">
        <v>38615</v>
      </c>
      <c r="I7760" t="s">
        <v>30027</v>
      </c>
      <c r="J7760" t="str">
        <f t="shared" si="605"/>
        <v>E:\PropInv\MF</v>
      </c>
      <c r="K7760" s="103" t="str">
        <f>HYPERLINK("E:\PropInv\MF\Fort Worth\Heatherbend_3400_Windsor Park_Fort Worth_60146","Heatherbend_3400_Windsor Park_Fort Worth_60146" )</f>
        <v>Heatherbend_3400_Windsor Park_Fort Worth_60146</v>
      </c>
      <c r="L7760" s="104" t="s">
        <v>22253</v>
      </c>
      <c r="N7760" s="1">
        <f t="shared" si="606"/>
        <v>60146</v>
      </c>
    </row>
    <row r="7761" spans="1:14" x14ac:dyDescent="0.3">
      <c r="A7761" s="1">
        <v>30147</v>
      </c>
      <c r="B7761" s="29" t="s">
        <v>11566</v>
      </c>
      <c r="C7761" s="38">
        <v>525</v>
      </c>
      <c r="D7761" s="29" t="s">
        <v>11567</v>
      </c>
      <c r="E7761" s="39" t="s">
        <v>5014</v>
      </c>
      <c r="F7761" t="str">
        <f t="shared" si="603"/>
        <v>King</v>
      </c>
      <c r="G7761" t="str">
        <f t="shared" si="604"/>
        <v>King525Fort Worth</v>
      </c>
      <c r="H7761" t="s">
        <v>38616</v>
      </c>
      <c r="I7761" t="s">
        <v>30028</v>
      </c>
      <c r="J7761" t="str">
        <f t="shared" si="605"/>
        <v>E:\PropInv\MF</v>
      </c>
      <c r="K7761" s="103" t="str">
        <f>HYPERLINK("E:\PropInv\MF\Fort Worth\King George Dr_525_Oaks Apts_Fort Worth_60147","King George Dr_525_Oaks Apts_Fort Worth_60147" )</f>
        <v>King George Dr_525_Oaks Apts_Fort Worth_60147</v>
      </c>
      <c r="L7761" s="104" t="s">
        <v>22253</v>
      </c>
      <c r="N7761" s="1">
        <f t="shared" si="606"/>
        <v>60147</v>
      </c>
    </row>
    <row r="7762" spans="1:14" x14ac:dyDescent="0.3">
      <c r="A7762" s="1">
        <v>30148</v>
      </c>
      <c r="B7762" s="19" t="s">
        <v>11568</v>
      </c>
      <c r="C7762" s="18">
        <v>3223</v>
      </c>
      <c r="D7762" s="19" t="s">
        <v>11569</v>
      </c>
      <c r="E7762" s="20" t="s">
        <v>5014</v>
      </c>
      <c r="F7762" t="str">
        <f t="shared" si="603"/>
        <v>Lackland</v>
      </c>
      <c r="G7762" t="str">
        <f t="shared" si="604"/>
        <v>Lackland3223Fort Worth</v>
      </c>
      <c r="H7762" t="s">
        <v>38617</v>
      </c>
      <c r="I7762" t="s">
        <v>30029</v>
      </c>
      <c r="J7762" t="str">
        <f t="shared" si="605"/>
        <v>E:\PropInv\MF</v>
      </c>
      <c r="K7762" s="103" t="str">
        <f>HYPERLINK("E:\PropInv\MF\Fort Worth\Lackland Rd_3223_Lackland Court_Fort Worth_60148","Lackland Rd_3223_Lackland Court_Fort Worth_60148" )</f>
        <v>Lackland Rd_3223_Lackland Court_Fort Worth_60148</v>
      </c>
      <c r="L7762" s="104" t="s">
        <v>22253</v>
      </c>
      <c r="N7762" s="1">
        <f t="shared" si="606"/>
        <v>60148</v>
      </c>
    </row>
    <row r="7763" spans="1:14" x14ac:dyDescent="0.3">
      <c r="A7763" s="1">
        <v>30149</v>
      </c>
      <c r="B7763" s="29" t="s">
        <v>11570</v>
      </c>
      <c r="C7763" s="52">
        <v>2400</v>
      </c>
      <c r="D7763" s="29" t="s">
        <v>7414</v>
      </c>
      <c r="E7763" s="39" t="s">
        <v>5014</v>
      </c>
      <c r="F7763" t="str">
        <f t="shared" si="603"/>
        <v>Mccurdy</v>
      </c>
      <c r="G7763" t="str">
        <f t="shared" si="604"/>
        <v>Mccurdy2400Fort Worth</v>
      </c>
      <c r="H7763" t="s">
        <v>38618</v>
      </c>
      <c r="I7763" t="s">
        <v>30030</v>
      </c>
      <c r="J7763" t="str">
        <f t="shared" si="605"/>
        <v>E:\PropInv\MF</v>
      </c>
      <c r="K7763" s="103" t="str">
        <f>HYPERLINK("E:\PropInv\MF\Fort Worth\Mccurdy St_2400_Park Terrace_Fort Worth_60149","Mccurdy St_2400_Park Terrace_Fort Worth_60149" )</f>
        <v>Mccurdy St_2400_Park Terrace_Fort Worth_60149</v>
      </c>
      <c r="L7763" s="104" t="s">
        <v>22253</v>
      </c>
      <c r="N7763" s="1">
        <f t="shared" si="606"/>
        <v>60149</v>
      </c>
    </row>
    <row r="7764" spans="1:14" x14ac:dyDescent="0.3">
      <c r="A7764" s="1">
        <v>30150</v>
      </c>
      <c r="B7764" s="19" t="s">
        <v>10524</v>
      </c>
      <c r="C7764" s="18">
        <v>9413</v>
      </c>
      <c r="D7764" s="19" t="s">
        <v>10525</v>
      </c>
      <c r="E7764" s="39" t="s">
        <v>5014</v>
      </c>
      <c r="F7764" t="str">
        <f t="shared" si="603"/>
        <v>Michael</v>
      </c>
      <c r="G7764" t="str">
        <f t="shared" si="604"/>
        <v>Michael9413Fort Worth</v>
      </c>
      <c r="H7764" t="s">
        <v>38619</v>
      </c>
      <c r="I7764" t="s">
        <v>30031</v>
      </c>
      <c r="J7764" t="str">
        <f t="shared" si="605"/>
        <v>E:\PropInv\MF</v>
      </c>
      <c r="K7764" s="103" t="str">
        <f>HYPERLINK("E:\PropInv\MF\Fort Worth\Michael Dr_9413_Veraison Village_Fort Worth_60150","Michael Dr_9413_Veraison Village_Fort Worth_60150" )</f>
        <v>Michael Dr_9413_Veraison Village_Fort Worth_60150</v>
      </c>
      <c r="L7764" s="104" t="s">
        <v>22253</v>
      </c>
      <c r="N7764" s="1">
        <f t="shared" si="606"/>
        <v>60150</v>
      </c>
    </row>
    <row r="7765" spans="1:14" x14ac:dyDescent="0.3">
      <c r="A7765" s="1">
        <v>30151</v>
      </c>
      <c r="B7765" s="29" t="s">
        <v>11571</v>
      </c>
      <c r="C7765" s="52">
        <v>6025</v>
      </c>
      <c r="D7765" s="29" t="s">
        <v>11572</v>
      </c>
      <c r="E7765" s="39" t="s">
        <v>5014</v>
      </c>
      <c r="F7765" t="str">
        <f t="shared" si="603"/>
        <v>Milburn</v>
      </c>
      <c r="G7765" t="str">
        <f t="shared" si="604"/>
        <v>Milburn6025Fort Worth</v>
      </c>
      <c r="H7765" t="s">
        <v>38620</v>
      </c>
      <c r="I7765" t="s">
        <v>30032</v>
      </c>
      <c r="J7765" t="str">
        <f t="shared" si="605"/>
        <v>E:\PropInv\MF</v>
      </c>
      <c r="K7765" s="103" t="str">
        <f>HYPERLINK("E:\PropInv\MF\Fort Worth\Milburn St_6025_Cumberland at Ridglea_Fort Worth_60151","Milburn St_6025_Cumberland at Ridglea_Fort Worth_60151" )</f>
        <v>Milburn St_6025_Cumberland at Ridglea_Fort Worth_60151</v>
      </c>
      <c r="L7765" s="104" t="s">
        <v>22253</v>
      </c>
      <c r="N7765" s="1">
        <f t="shared" si="606"/>
        <v>60151</v>
      </c>
    </row>
    <row r="7766" spans="1:14" x14ac:dyDescent="0.3">
      <c r="A7766" s="1">
        <v>30152</v>
      </c>
      <c r="B7766" s="37" t="s">
        <v>11573</v>
      </c>
      <c r="C7766" s="38">
        <v>8700</v>
      </c>
      <c r="D7766" s="29" t="s">
        <v>11574</v>
      </c>
      <c r="E7766" s="39" t="s">
        <v>5014</v>
      </c>
      <c r="F7766" t="str">
        <f t="shared" si="603"/>
        <v>Normandale</v>
      </c>
      <c r="G7766" t="str">
        <f t="shared" si="604"/>
        <v>Normandale8700Fort Worth</v>
      </c>
      <c r="H7766" t="s">
        <v>38621</v>
      </c>
      <c r="I7766" t="s">
        <v>30033</v>
      </c>
      <c r="J7766" t="str">
        <f t="shared" si="605"/>
        <v>E:\PropInv\MF</v>
      </c>
      <c r="K7766" s="103" t="str">
        <f>HYPERLINK("E:\PropInv\MF\Fort Worth\Normandale St N_8700_Normandale Manor_Fort Worth_60152","Normandale St N_8700_Normandale Manor_Fort Worth_60152" )</f>
        <v>Normandale St N_8700_Normandale Manor_Fort Worth_60152</v>
      </c>
      <c r="L7766" s="104" t="s">
        <v>22253</v>
      </c>
      <c r="N7766" s="1">
        <f t="shared" si="606"/>
        <v>60152</v>
      </c>
    </row>
    <row r="7767" spans="1:14" x14ac:dyDescent="0.3">
      <c r="A7767" s="97">
        <v>30153</v>
      </c>
      <c r="B7767" s="29" t="s">
        <v>7542</v>
      </c>
      <c r="C7767" s="52">
        <v>5931</v>
      </c>
      <c r="D7767" s="29" t="s">
        <v>11575</v>
      </c>
      <c r="E7767" s="39" t="s">
        <v>5014</v>
      </c>
      <c r="F7767" t="str">
        <f t="shared" si="603"/>
        <v>Oakland</v>
      </c>
      <c r="G7767" t="str">
        <f t="shared" si="604"/>
        <v>Oakland5931Fort Worth</v>
      </c>
      <c r="H7767" t="s">
        <v>38622</v>
      </c>
      <c r="I7767" t="s">
        <v>30034</v>
      </c>
      <c r="J7767" t="str">
        <f t="shared" si="605"/>
        <v>E:\PropInv\MF</v>
      </c>
      <c r="K7767" s="103" t="str">
        <f>HYPERLINK("E:\PropInv\MF\Fort Worth\Oakland Hills_5931_Woodhaven Crossroads_Fort Worth_60153","Oakland Hills_5931_Woodhaven Crossroads_Fort Worth_60153" )</f>
        <v>Oakland Hills_5931_Woodhaven Crossroads_Fort Worth_60153</v>
      </c>
      <c r="L7767" s="104" t="s">
        <v>22253</v>
      </c>
      <c r="N7767" s="1">
        <f t="shared" si="606"/>
        <v>60153</v>
      </c>
    </row>
    <row r="7768" spans="1:14" x14ac:dyDescent="0.3">
      <c r="A7768" s="1">
        <v>30154</v>
      </c>
      <c r="B7768" s="7" t="s">
        <v>8948</v>
      </c>
      <c r="C7768" s="12">
        <v>7001</v>
      </c>
      <c r="D7768" s="7" t="s">
        <v>2497</v>
      </c>
      <c r="E7768" s="13" t="s">
        <v>5014</v>
      </c>
      <c r="F7768" t="str">
        <f t="shared" si="603"/>
        <v>Old</v>
      </c>
      <c r="G7768" t="str">
        <f t="shared" si="604"/>
        <v>Old7001Fort Worth</v>
      </c>
      <c r="H7768" t="s">
        <v>38623</v>
      </c>
      <c r="I7768" t="s">
        <v>30035</v>
      </c>
      <c r="J7768" t="str">
        <f t="shared" si="605"/>
        <v>E:\PropInv\MF</v>
      </c>
      <c r="K7768" s="103" t="str">
        <f>HYPERLINK("E:\PropInv\MF\Fort Worth\Old Decatur Rd_7001_NF_Fort Worth_60154","Old Decatur Rd_7001_NF_Fort Worth_60154" )</f>
        <v>Old Decatur Rd_7001_NF_Fort Worth_60154</v>
      </c>
      <c r="L7768" s="104" t="s">
        <v>22253</v>
      </c>
      <c r="N7768" s="1">
        <f t="shared" si="606"/>
        <v>60154</v>
      </c>
    </row>
    <row r="7769" spans="1:14" x14ac:dyDescent="0.3">
      <c r="A7769" s="1">
        <v>30155</v>
      </c>
      <c r="B7769" s="29" t="s">
        <v>11576</v>
      </c>
      <c r="C7769" s="52">
        <v>5400</v>
      </c>
      <c r="D7769" s="29" t="s">
        <v>5722</v>
      </c>
      <c r="E7769" s="39" t="s">
        <v>5014</v>
      </c>
      <c r="F7769" t="str">
        <f t="shared" si="603"/>
        <v>Parker</v>
      </c>
      <c r="G7769" t="str">
        <f t="shared" si="604"/>
        <v>Parker5400Fort Worth</v>
      </c>
      <c r="H7769" t="s">
        <v>38624</v>
      </c>
      <c r="I7769" t="s">
        <v>30036</v>
      </c>
      <c r="J7769" t="str">
        <f t="shared" si="605"/>
        <v>E:\PropInv\MF</v>
      </c>
      <c r="K7769" s="103" t="str">
        <f>HYPERLINK("E:\PropInv\MF\Fort Worth\Parker Henderson Rd_5400_Indian Creek_Fort Worth_60155","Parker Henderson Rd_5400_Indian Creek_Fort Worth_60155" )</f>
        <v>Parker Henderson Rd_5400_Indian Creek_Fort Worth_60155</v>
      </c>
      <c r="L7769" s="104" t="s">
        <v>22253</v>
      </c>
      <c r="N7769" s="1">
        <f t="shared" si="606"/>
        <v>60155</v>
      </c>
    </row>
    <row r="7770" spans="1:14" x14ac:dyDescent="0.3">
      <c r="A7770" s="1">
        <v>30156</v>
      </c>
      <c r="B7770" s="36" t="s">
        <v>7479</v>
      </c>
      <c r="C7770" s="40">
        <v>3300</v>
      </c>
      <c r="D7770" s="36" t="s">
        <v>11577</v>
      </c>
      <c r="E7770" s="41" t="s">
        <v>5014</v>
      </c>
      <c r="F7770" t="str">
        <f t="shared" si="603"/>
        <v>River</v>
      </c>
      <c r="G7770" t="str">
        <f t="shared" si="604"/>
        <v>River3300Fort Worth</v>
      </c>
      <c r="H7770" t="s">
        <v>38625</v>
      </c>
      <c r="I7770" t="s">
        <v>30037</v>
      </c>
      <c r="J7770" t="str">
        <f t="shared" si="605"/>
        <v>E:\PropInv\MF</v>
      </c>
      <c r="K7770" s="103" t="str">
        <f>HYPERLINK("E:\PropInv\MF\Fort Worth\River Park_3300_Riverpark_Fort Worth_60156","River Park_3300_Riverpark_Fort Worth_60156" )</f>
        <v>River Park_3300_Riverpark_Fort Worth_60156</v>
      </c>
      <c r="L7770" s="104" t="s">
        <v>22253</v>
      </c>
      <c r="N7770" s="1">
        <f t="shared" si="606"/>
        <v>60156</v>
      </c>
    </row>
    <row r="7771" spans="1:14" x14ac:dyDescent="0.3">
      <c r="A7771" s="1">
        <v>30157</v>
      </c>
      <c r="B7771" s="29" t="s">
        <v>11578</v>
      </c>
      <c r="C7771" s="52">
        <v>4225</v>
      </c>
      <c r="D7771" s="29" t="s">
        <v>11579</v>
      </c>
      <c r="E7771" s="39" t="s">
        <v>5014</v>
      </c>
      <c r="F7771" t="str">
        <f t="shared" si="603"/>
        <v>Cravens</v>
      </c>
      <c r="G7771" t="str">
        <f t="shared" si="604"/>
        <v>Cravens4225Fort Worth</v>
      </c>
      <c r="H7771" t="s">
        <v>38626</v>
      </c>
      <c r="I7771" t="s">
        <v>30038</v>
      </c>
      <c r="J7771" t="str">
        <f t="shared" si="605"/>
        <v>E:\PropInv\MF</v>
      </c>
      <c r="K7771" s="103" t="str">
        <f>HYPERLINK("E:\PropInv\MF\Fort Worth\Cravens Rd S_4225_Summer Lakes Estates_Fort Worth_60157","Cravens Rd S_4225_Summer Lakes Estates_Fort Worth_60157" )</f>
        <v>Cravens Rd S_4225_Summer Lakes Estates_Fort Worth_60157</v>
      </c>
      <c r="L7771" s="104" t="s">
        <v>22253</v>
      </c>
      <c r="N7771" s="1">
        <f t="shared" si="606"/>
        <v>60157</v>
      </c>
    </row>
    <row r="7772" spans="1:14" x14ac:dyDescent="0.3">
      <c r="A7772" s="1">
        <v>30158</v>
      </c>
      <c r="B7772" s="36" t="s">
        <v>8538</v>
      </c>
      <c r="C7772" s="40">
        <v>8901</v>
      </c>
      <c r="D7772" s="36" t="s">
        <v>2497</v>
      </c>
      <c r="E7772" s="41" t="s">
        <v>5014</v>
      </c>
      <c r="F7772" t="str">
        <f t="shared" si="603"/>
        <v>Normandale</v>
      </c>
      <c r="G7772" t="str">
        <f t="shared" si="604"/>
        <v>Normandale8901Fort Worth</v>
      </c>
      <c r="H7772" t="s">
        <v>38627</v>
      </c>
      <c r="I7772" t="s">
        <v>30039</v>
      </c>
      <c r="J7772" t="str">
        <f t="shared" si="605"/>
        <v>E:\PropInv\MF</v>
      </c>
      <c r="K7772" s="103" t="str">
        <f>HYPERLINK("E:\PropInv\MF\Fort Worth\Normandale St S_8901_NF_Fort Worth_60158","Normandale St S_8901_NF_Fort Worth_60158" )</f>
        <v>Normandale St S_8901_NF_Fort Worth_60158</v>
      </c>
      <c r="L7772" s="104" t="s">
        <v>22253</v>
      </c>
      <c r="N7772" s="1">
        <f t="shared" si="606"/>
        <v>60158</v>
      </c>
    </row>
    <row r="7773" spans="1:14" x14ac:dyDescent="0.3">
      <c r="A7773" s="1">
        <v>30159</v>
      </c>
      <c r="B7773" s="7" t="s">
        <v>8543</v>
      </c>
      <c r="C7773" s="12">
        <v>2601</v>
      </c>
      <c r="D7773" s="7" t="s">
        <v>2497</v>
      </c>
      <c r="E7773" s="13" t="s">
        <v>5014</v>
      </c>
      <c r="F7773" t="str">
        <f t="shared" si="603"/>
        <v>Riverside</v>
      </c>
      <c r="G7773" t="str">
        <f t="shared" si="604"/>
        <v>Riverside2601Fort Worth</v>
      </c>
      <c r="H7773" t="s">
        <v>38628</v>
      </c>
      <c r="I7773" t="s">
        <v>30040</v>
      </c>
      <c r="J7773" t="str">
        <f t="shared" si="605"/>
        <v>E:\PropInv\MF</v>
      </c>
      <c r="K7773" s="103" t="str">
        <f>HYPERLINK("E:\PropInv\MF\Fort Worth\Riverside Dr S_2601_NF_Fort Worth_60159","Riverside Dr S_2601_NF_Fort Worth_60159" )</f>
        <v>Riverside Dr S_2601_NF_Fort Worth_60159</v>
      </c>
      <c r="L7773" s="104" t="s">
        <v>22253</v>
      </c>
      <c r="N7773" s="1">
        <f t="shared" si="606"/>
        <v>60159</v>
      </c>
    </row>
    <row r="7774" spans="1:14" x14ac:dyDescent="0.3">
      <c r="A7774" s="1">
        <v>30160</v>
      </c>
      <c r="B7774" s="37" t="s">
        <v>6686</v>
      </c>
      <c r="C7774" s="38">
        <v>411</v>
      </c>
      <c r="D7774" s="29" t="s">
        <v>11580</v>
      </c>
      <c r="E7774" s="39" t="s">
        <v>5014</v>
      </c>
      <c r="F7774" t="str">
        <f t="shared" si="603"/>
        <v>7th</v>
      </c>
      <c r="G7774" t="str">
        <f t="shared" si="604"/>
        <v>7th411Fort Worth</v>
      </c>
      <c r="H7774" t="s">
        <v>38629</v>
      </c>
      <c r="I7774" t="s">
        <v>30041</v>
      </c>
      <c r="J7774" t="str">
        <f t="shared" si="605"/>
        <v>E:\PropInv\MF</v>
      </c>
      <c r="K7774" s="103" t="str">
        <f>HYPERLINK("E:\PropInv\MF\Fort Worth\7th St W_411_The Neil P. at Burnett Park_Fort Worth_60160","7th St W_411_The Neil P. at Burnett Park_Fort Worth_60160" )</f>
        <v>7th St W_411_The Neil P. at Burnett Park_Fort Worth_60160</v>
      </c>
      <c r="L7774" s="104" t="s">
        <v>22253</v>
      </c>
      <c r="N7774" s="1">
        <f t="shared" si="606"/>
        <v>60160</v>
      </c>
    </row>
    <row r="7775" spans="1:14" x14ac:dyDescent="0.3">
      <c r="A7775" s="1">
        <v>30161</v>
      </c>
      <c r="B7775" s="37" t="s">
        <v>11581</v>
      </c>
      <c r="C7775" s="38" t="s">
        <v>2497</v>
      </c>
      <c r="D7775" s="57" t="s">
        <v>2497</v>
      </c>
      <c r="E7775" s="39" t="s">
        <v>5014</v>
      </c>
      <c r="F7775" t="str">
        <f t="shared" si="603"/>
        <v>Fort</v>
      </c>
      <c r="G7775" t="str">
        <f t="shared" si="604"/>
        <v>FortNFFort Worth</v>
      </c>
      <c r="H7775" t="s">
        <v>38630</v>
      </c>
      <c r="I7775" t="s">
        <v>30042</v>
      </c>
      <c r="J7775" t="str">
        <f t="shared" si="605"/>
        <v>E:\PropInv\MF</v>
      </c>
      <c r="K7775" s="103" t="str">
        <f>HYPERLINK("E:\PropInv\MF\Fort Worth\Fort Worth W_NF_NF_Fort Worth_60161","Fort Worth W_NF_NF_Fort Worth_60161" )</f>
        <v>Fort Worth W_NF_NF_Fort Worth_60161</v>
      </c>
      <c r="L7775" s="104" t="s">
        <v>22253</v>
      </c>
      <c r="N7775" s="1">
        <f t="shared" si="606"/>
        <v>60161</v>
      </c>
    </row>
    <row r="7776" spans="1:14" x14ac:dyDescent="0.3">
      <c r="A7776" s="1">
        <v>30162</v>
      </c>
      <c r="B7776" s="29" t="s">
        <v>11582</v>
      </c>
      <c r="C7776" s="52">
        <v>1445</v>
      </c>
      <c r="D7776" s="29" t="s">
        <v>11583</v>
      </c>
      <c r="E7776" s="53" t="s">
        <v>5014</v>
      </c>
      <c r="F7776" t="str">
        <f t="shared" si="603"/>
        <v>Weiler</v>
      </c>
      <c r="G7776" t="str">
        <f t="shared" si="604"/>
        <v>Weiler1445Fort Worth</v>
      </c>
      <c r="H7776" t="s">
        <v>38631</v>
      </c>
      <c r="I7776" t="s">
        <v>30043</v>
      </c>
      <c r="J7776" t="str">
        <f t="shared" si="605"/>
        <v>E:\PropInv\MF</v>
      </c>
      <c r="K7776" s="103" t="str">
        <f>HYPERLINK("E:\PropInv\MF\Fort Worth\Weiler_1445_Weiler TH_Fort Worth_60162","Weiler_1445_Weiler TH_Fort Worth_60162" )</f>
        <v>Weiler_1445_Weiler TH_Fort Worth_60162</v>
      </c>
      <c r="L7776" s="104" t="s">
        <v>22253</v>
      </c>
      <c r="N7776" s="1">
        <f t="shared" si="606"/>
        <v>60162</v>
      </c>
    </row>
    <row r="7777" spans="1:14" x14ac:dyDescent="0.3">
      <c r="A7777" s="1">
        <v>30163</v>
      </c>
      <c r="B7777" s="29" t="s">
        <v>7366</v>
      </c>
      <c r="C7777" s="52" t="s">
        <v>11584</v>
      </c>
      <c r="D7777" s="29" t="s">
        <v>11585</v>
      </c>
      <c r="E7777" s="49" t="s">
        <v>5014</v>
      </c>
      <c r="F7777" t="str">
        <f t="shared" si="603"/>
        <v>Wellesley</v>
      </c>
      <c r="G7777" t="str">
        <f t="shared" si="604"/>
        <v>Wellesley4700-4724Fort Worth</v>
      </c>
      <c r="H7777" t="s">
        <v>38632</v>
      </c>
      <c r="I7777" t="s">
        <v>30044</v>
      </c>
      <c r="J7777" t="str">
        <f t="shared" si="605"/>
        <v>E:\PropInv\MF</v>
      </c>
      <c r="K7777" s="103" t="str">
        <f>HYPERLINK("E:\PropInv\MF\Fort Worth\Wellesley Ave_4700-4724_Hulen Hills Apts_Fort Worth_60163","Wellesley Ave_4700-4724_Hulen Hills Apts_Fort Worth_60163" )</f>
        <v>Wellesley Ave_4700-4724_Hulen Hills Apts_Fort Worth_60163</v>
      </c>
      <c r="L7777" s="104" t="s">
        <v>22253</v>
      </c>
      <c r="N7777" s="1">
        <f t="shared" si="606"/>
        <v>60163</v>
      </c>
    </row>
    <row r="7778" spans="1:14" x14ac:dyDescent="0.3">
      <c r="A7778" s="1">
        <v>30164</v>
      </c>
      <c r="B7778" s="36" t="s">
        <v>6586</v>
      </c>
      <c r="C7778" s="40">
        <v>3440</v>
      </c>
      <c r="D7778" s="7" t="s">
        <v>6587</v>
      </c>
      <c r="E7778" s="41" t="s">
        <v>5014</v>
      </c>
      <c r="F7778" t="str">
        <f t="shared" si="603"/>
        <v>Western</v>
      </c>
      <c r="G7778" t="str">
        <f t="shared" si="604"/>
        <v>Western3440Fort Worth</v>
      </c>
      <c r="H7778" t="s">
        <v>38633</v>
      </c>
      <c r="I7778" t="s">
        <v>30045</v>
      </c>
      <c r="J7778" t="str">
        <f t="shared" si="605"/>
        <v>E:\PropInv\MF</v>
      </c>
      <c r="K7778" s="103" t="str">
        <f>HYPERLINK("E:\PropInv\MF\Fort Worth\Western Center Blvd_3440_The Club at Fossil Creek_Fort Worth_60164","Western Center Blvd_3440_The Club at Fossil Creek_Fort Worth_60164" )</f>
        <v>Western Center Blvd_3440_The Club at Fossil Creek_Fort Worth_60164</v>
      </c>
      <c r="L7778" s="104" t="s">
        <v>22253</v>
      </c>
      <c r="N7778" s="1">
        <f t="shared" si="606"/>
        <v>60164</v>
      </c>
    </row>
    <row r="7779" spans="1:14" x14ac:dyDescent="0.3">
      <c r="A7779" s="1">
        <v>30165</v>
      </c>
      <c r="B7779" s="37" t="s">
        <v>5784</v>
      </c>
      <c r="C7779" s="38">
        <v>4412</v>
      </c>
      <c r="D7779" s="19" t="s">
        <v>2497</v>
      </c>
      <c r="E7779" s="49" t="s">
        <v>5019</v>
      </c>
      <c r="F7779" t="str">
        <f t="shared" si="603"/>
        <v>Chaha</v>
      </c>
      <c r="G7779" t="str">
        <f t="shared" si="604"/>
        <v>Chaha4412Garland</v>
      </c>
      <c r="H7779" t="s">
        <v>38634</v>
      </c>
      <c r="I7779" t="s">
        <v>30046</v>
      </c>
      <c r="J7779" t="str">
        <f t="shared" si="605"/>
        <v>E:\PropInv\MF</v>
      </c>
      <c r="K7779" s="103" t="str">
        <f>HYPERLINK("E:\PropInv\MF\Garland\Chaha Rd_4412_NF_Garland_60165","Chaha Rd_4412_NF_Garland_60165" )</f>
        <v>Chaha Rd_4412_NF_Garland_60165</v>
      </c>
      <c r="L7779" s="104" t="s">
        <v>22253</v>
      </c>
      <c r="N7779" s="1">
        <f t="shared" si="606"/>
        <v>60165</v>
      </c>
    </row>
    <row r="7780" spans="1:14" x14ac:dyDescent="0.3">
      <c r="A7780" s="1">
        <v>30166</v>
      </c>
      <c r="B7780" s="7" t="s">
        <v>11586</v>
      </c>
      <c r="C7780" s="12">
        <v>1245</v>
      </c>
      <c r="D7780" s="19" t="s">
        <v>2497</v>
      </c>
      <c r="E7780" s="13" t="s">
        <v>5019</v>
      </c>
      <c r="F7780" t="str">
        <f t="shared" si="603"/>
        <v>Colonel</v>
      </c>
      <c r="G7780" t="str">
        <f t="shared" si="604"/>
        <v>Colonel1245Garland</v>
      </c>
      <c r="H7780" t="s">
        <v>38635</v>
      </c>
      <c r="I7780" t="s">
        <v>30047</v>
      </c>
      <c r="J7780" t="str">
        <f t="shared" si="605"/>
        <v>E:\PropInv\MF</v>
      </c>
      <c r="K7780" s="103" t="str">
        <f>HYPERLINK("E:\PropInv\MF\Garland\Colonel Dr_1245_NF_Garland_60166","Colonel Dr_1245_NF_Garland_60166" )</f>
        <v>Colonel Dr_1245_NF_Garland_60166</v>
      </c>
      <c r="L7780" s="104" t="s">
        <v>22253</v>
      </c>
      <c r="N7780" s="1">
        <f t="shared" si="606"/>
        <v>60166</v>
      </c>
    </row>
    <row r="7781" spans="1:14" x14ac:dyDescent="0.3">
      <c r="A7781" s="1">
        <v>30167</v>
      </c>
      <c r="B7781" s="36" t="s">
        <v>5775</v>
      </c>
      <c r="C7781" s="40">
        <v>801</v>
      </c>
      <c r="D7781" s="36" t="s">
        <v>2497</v>
      </c>
      <c r="E7781" s="41" t="s">
        <v>5019</v>
      </c>
      <c r="F7781" t="str">
        <f t="shared" si="603"/>
        <v>La</v>
      </c>
      <c r="G7781" t="str">
        <f t="shared" si="604"/>
        <v>La801Garland</v>
      </c>
      <c r="H7781" t="s">
        <v>38636</v>
      </c>
      <c r="I7781" t="s">
        <v>30048</v>
      </c>
      <c r="J7781" t="str">
        <f t="shared" si="605"/>
        <v>E:\PropInv\MF</v>
      </c>
      <c r="K7781" s="103" t="str">
        <f>HYPERLINK("E:\PropInv\MF\Garland\La Prada Dr_801_NF_Garland_60167","La Prada Dr_801_NF_Garland_60167" )</f>
        <v>La Prada Dr_801_NF_Garland_60167</v>
      </c>
      <c r="L7781" s="104" t="s">
        <v>22253</v>
      </c>
      <c r="N7781" s="1">
        <f t="shared" si="606"/>
        <v>60167</v>
      </c>
    </row>
    <row r="7782" spans="1:14" x14ac:dyDescent="0.3">
      <c r="A7782" s="1">
        <v>30168</v>
      </c>
      <c r="B7782" s="19" t="s">
        <v>11587</v>
      </c>
      <c r="C7782" s="18">
        <v>3520</v>
      </c>
      <c r="D7782" s="19" t="s">
        <v>11588</v>
      </c>
      <c r="E7782" s="20" t="s">
        <v>5019</v>
      </c>
      <c r="F7782" t="str">
        <f t="shared" si="603"/>
        <v>Buckingham</v>
      </c>
      <c r="G7782" t="str">
        <f t="shared" si="604"/>
        <v>Buckingham3520Garland</v>
      </c>
      <c r="H7782" t="s">
        <v>38637</v>
      </c>
      <c r="I7782" t="s">
        <v>30049</v>
      </c>
      <c r="J7782" t="str">
        <f t="shared" si="605"/>
        <v>E:\PropInv\MF</v>
      </c>
      <c r="K7782" s="103" t="str">
        <f>HYPERLINK("E:\PropInv\MF\Garland\Buckingham Rd W_3520_Buckingham Court_Garland_60168","Buckingham Rd W_3520_Buckingham Court_Garland_60168" )</f>
        <v>Buckingham Rd W_3520_Buckingham Court_Garland_60168</v>
      </c>
      <c r="L7782" s="104" t="s">
        <v>22253</v>
      </c>
      <c r="N7782" s="1">
        <f t="shared" si="606"/>
        <v>60168</v>
      </c>
    </row>
    <row r="7783" spans="1:14" x14ac:dyDescent="0.3">
      <c r="A7783" s="1">
        <v>30169</v>
      </c>
      <c r="B7783" s="37" t="s">
        <v>11589</v>
      </c>
      <c r="C7783" s="38" t="s">
        <v>2497</v>
      </c>
      <c r="D7783" s="29" t="s">
        <v>22238</v>
      </c>
      <c r="E7783" s="39" t="s">
        <v>11589</v>
      </c>
      <c r="F7783" t="str">
        <f t="shared" si="603"/>
        <v>Glenn</v>
      </c>
      <c r="G7783" t="str">
        <f t="shared" si="604"/>
        <v>GlennNFGlenn Heights</v>
      </c>
      <c r="H7783" t="s">
        <v>38638</v>
      </c>
      <c r="I7783" t="s">
        <v>30050</v>
      </c>
      <c r="J7783" t="str">
        <f t="shared" si="605"/>
        <v>E:\PropInv\MF</v>
      </c>
      <c r="K7783" s="103" t="str">
        <f>HYPERLINK("E:\PropInv\MF\Glenn Heights\Glenn Heights_NF_Glenn Heights Duplex_Glenn Heights_60169","Glenn Heights_NF_Glenn Heights Duplex_Glenn Heights_60169" )</f>
        <v>Glenn Heights_NF_Glenn Heights Duplex_Glenn Heights_60169</v>
      </c>
      <c r="L7783" s="104" t="s">
        <v>22253</v>
      </c>
      <c r="N7783" s="1">
        <f t="shared" si="606"/>
        <v>60169</v>
      </c>
    </row>
    <row r="7784" spans="1:14" x14ac:dyDescent="0.3">
      <c r="A7784" s="1">
        <v>30170</v>
      </c>
      <c r="B7784" s="19" t="s">
        <v>11590</v>
      </c>
      <c r="C7784" s="18">
        <v>1201</v>
      </c>
      <c r="D7784" s="19" t="s">
        <v>11591</v>
      </c>
      <c r="E7784" s="20" t="s">
        <v>6604</v>
      </c>
      <c r="F7784" t="str">
        <f t="shared" si="603"/>
        <v>Pearl</v>
      </c>
      <c r="G7784" t="str">
        <f t="shared" si="604"/>
        <v>Pearl1201Granbury</v>
      </c>
      <c r="H7784" t="s">
        <v>38639</v>
      </c>
      <c r="I7784" t="s">
        <v>30051</v>
      </c>
      <c r="J7784" t="str">
        <f t="shared" si="605"/>
        <v>E:\PropInv\MF</v>
      </c>
      <c r="K7784" s="103" t="str">
        <f>HYPERLINK("E:\PropInv\MF\Granbury\Pearl St W_1201_Spanish Oaks Apts_Granbury_60170","Pearl St W_1201_Spanish Oaks Apts_Granbury_60170" )</f>
        <v>Pearl St W_1201_Spanish Oaks Apts_Granbury_60170</v>
      </c>
      <c r="L7784" s="104" t="s">
        <v>22253</v>
      </c>
      <c r="N7784" s="1">
        <f t="shared" si="606"/>
        <v>60170</v>
      </c>
    </row>
    <row r="7785" spans="1:14" x14ac:dyDescent="0.3">
      <c r="A7785" s="1">
        <v>30171</v>
      </c>
      <c r="B7785" s="29" t="s">
        <v>7748</v>
      </c>
      <c r="C7785" s="52">
        <v>575</v>
      </c>
      <c r="D7785" s="29" t="s">
        <v>11592</v>
      </c>
      <c r="E7785" s="39" t="s">
        <v>5076</v>
      </c>
      <c r="F7785" t="str">
        <f t="shared" si="603"/>
        <v>Dickey</v>
      </c>
      <c r="G7785" t="str">
        <f t="shared" si="604"/>
        <v>Dickey575Grand Prairie</v>
      </c>
      <c r="H7785" t="s">
        <v>38640</v>
      </c>
      <c r="I7785" t="s">
        <v>30052</v>
      </c>
      <c r="J7785" t="str">
        <f t="shared" si="605"/>
        <v>E:\PropInv\MF</v>
      </c>
      <c r="K7785" s="103" t="str">
        <f>HYPERLINK("E:\PropInv\MF\Grand Prairie\Dickey Rd_575_Cottonwood Park_Grand Prairie_60171","Dickey Rd_575_Cottonwood Park_Grand Prairie_60171" )</f>
        <v>Dickey Rd_575_Cottonwood Park_Grand Prairie_60171</v>
      </c>
      <c r="L7785" s="104" t="s">
        <v>22253</v>
      </c>
      <c r="N7785" s="1">
        <f t="shared" si="606"/>
        <v>60171</v>
      </c>
    </row>
    <row r="7786" spans="1:14" x14ac:dyDescent="0.3">
      <c r="A7786" s="1">
        <v>30172</v>
      </c>
      <c r="B7786" s="29" t="s">
        <v>11593</v>
      </c>
      <c r="C7786" s="52">
        <v>2337</v>
      </c>
      <c r="D7786" s="29" t="s">
        <v>11594</v>
      </c>
      <c r="E7786" s="39" t="s">
        <v>5076</v>
      </c>
      <c r="F7786" t="str">
        <f t="shared" si="603"/>
        <v>Doreen</v>
      </c>
      <c r="G7786" t="str">
        <f t="shared" si="604"/>
        <v>Doreen2337Grand Prairie</v>
      </c>
      <c r="H7786" t="s">
        <v>38641</v>
      </c>
      <c r="I7786" t="s">
        <v>30053</v>
      </c>
      <c r="J7786" t="str">
        <f t="shared" si="605"/>
        <v>E:\PropInv\MF</v>
      </c>
      <c r="K7786" s="103" t="str">
        <f>HYPERLINK("E:\PropInv\MF\Grand Prairie\Doreen_2337_Investment Property_Grand Prairie_60172","Doreen_2337_Investment Property_Grand Prairie_60172" )</f>
        <v>Doreen_2337_Investment Property_Grand Prairie_60172</v>
      </c>
      <c r="L7786" s="104" t="s">
        <v>22253</v>
      </c>
      <c r="N7786" s="1">
        <f t="shared" si="606"/>
        <v>60172</v>
      </c>
    </row>
    <row r="7787" spans="1:14" x14ac:dyDescent="0.3">
      <c r="A7787" s="1">
        <v>30173</v>
      </c>
      <c r="B7787" s="7" t="s">
        <v>6311</v>
      </c>
      <c r="C7787" s="12" t="s">
        <v>2497</v>
      </c>
      <c r="D7787" s="19" t="s">
        <v>2497</v>
      </c>
      <c r="E7787" s="13" t="s">
        <v>5076</v>
      </c>
      <c r="F7787" t="str">
        <f t="shared" si="603"/>
        <v>Duncan</v>
      </c>
      <c r="G7787" t="str">
        <f t="shared" si="604"/>
        <v>DuncanNFGrand Prairie</v>
      </c>
      <c r="H7787" t="s">
        <v>38642</v>
      </c>
      <c r="I7787" t="s">
        <v>30054</v>
      </c>
      <c r="J7787" t="str">
        <f t="shared" si="605"/>
        <v>E:\PropInv\MF</v>
      </c>
      <c r="K7787" s="103" t="str">
        <f>HYPERLINK("E:\PropInv\MF\Grand Prairie\Duncan Perry_NF_NF_Grand Prairie_60173","Duncan Perry_NF_NF_Grand Prairie_60173" )</f>
        <v>Duncan Perry_NF_NF_Grand Prairie_60173</v>
      </c>
      <c r="L7787" s="104" t="s">
        <v>22253</v>
      </c>
      <c r="N7787" s="1">
        <f t="shared" si="606"/>
        <v>60173</v>
      </c>
    </row>
    <row r="7788" spans="1:14" x14ac:dyDescent="0.3">
      <c r="A7788" s="1">
        <v>30174</v>
      </c>
      <c r="B7788" s="19" t="s">
        <v>11595</v>
      </c>
      <c r="C7788" s="38">
        <v>403</v>
      </c>
      <c r="D7788" s="19" t="s">
        <v>11596</v>
      </c>
      <c r="E7788" s="20" t="s">
        <v>5076</v>
      </c>
      <c r="F7788" t="str">
        <f t="shared" si="603"/>
        <v>Small</v>
      </c>
      <c r="G7788" t="str">
        <f t="shared" si="604"/>
        <v>Small403Grand Prairie</v>
      </c>
      <c r="H7788" t="s">
        <v>38643</v>
      </c>
      <c r="I7788" t="s">
        <v>30055</v>
      </c>
      <c r="J7788" t="str">
        <f t="shared" si="605"/>
        <v>E:\PropInv\MF</v>
      </c>
      <c r="K7788" s="103" t="str">
        <f>HYPERLINK("E:\PropInv\MF\Grand Prairie\Small Hill Rd_403_Greenhill Apts_Grand Prairie_60174","Small Hill Rd_403_Greenhill Apts_Grand Prairie_60174" )</f>
        <v>Small Hill Rd_403_Greenhill Apts_Grand Prairie_60174</v>
      </c>
      <c r="L7788" s="104" t="s">
        <v>22253</v>
      </c>
      <c r="N7788" s="1">
        <f t="shared" si="606"/>
        <v>60174</v>
      </c>
    </row>
    <row r="7789" spans="1:14" x14ac:dyDescent="0.3">
      <c r="A7789" s="1">
        <v>30175</v>
      </c>
      <c r="B7789" s="16" t="s">
        <v>11597</v>
      </c>
      <c r="C7789" s="38">
        <v>511</v>
      </c>
      <c r="D7789" s="19" t="s">
        <v>11598</v>
      </c>
      <c r="E7789" s="20" t="s">
        <v>5076</v>
      </c>
      <c r="F7789" t="str">
        <f t="shared" si="603"/>
        <v>Dickey</v>
      </c>
      <c r="G7789" t="str">
        <f t="shared" si="604"/>
        <v>Dickey511Grand Prairie</v>
      </c>
      <c r="H7789" t="s">
        <v>38644</v>
      </c>
      <c r="I7789" t="s">
        <v>30056</v>
      </c>
      <c r="J7789" t="str">
        <f t="shared" si="605"/>
        <v>E:\PropInv\MF</v>
      </c>
      <c r="K7789" s="103" t="str">
        <f>HYPERLINK("E:\PropInv\MF\Grand Prairie\Dickey W_511_Village on the Park_Grand Prairie_60175","Dickey W_511_Village on the Park_Grand Prairie_60175" )</f>
        <v>Dickey W_511_Village on the Park_Grand Prairie_60175</v>
      </c>
      <c r="L7789" s="104" t="s">
        <v>22253</v>
      </c>
      <c r="N7789" s="1">
        <f t="shared" si="606"/>
        <v>60175</v>
      </c>
    </row>
    <row r="7790" spans="1:14" x14ac:dyDescent="0.3">
      <c r="A7790" s="1">
        <v>30176</v>
      </c>
      <c r="B7790" s="44" t="s">
        <v>11599</v>
      </c>
      <c r="C7790" s="32">
        <v>2650</v>
      </c>
      <c r="D7790" s="31" t="s">
        <v>11600</v>
      </c>
      <c r="E7790" s="33" t="s">
        <v>8626</v>
      </c>
      <c r="F7790" t="str">
        <f t="shared" si="603"/>
        <v>Anderson</v>
      </c>
      <c r="G7790" t="str">
        <f t="shared" si="604"/>
        <v>Anderson2650Greenville</v>
      </c>
      <c r="H7790" t="s">
        <v>38645</v>
      </c>
      <c r="I7790" t="s">
        <v>30057</v>
      </c>
      <c r="J7790" t="str">
        <f t="shared" si="605"/>
        <v>E:\PropInv\MF</v>
      </c>
      <c r="K7790" s="103" t="str">
        <f>HYPERLINK("E:\PropInv\MF\Greenville\Anderson Gibson Rd_2650_Grapevine Diamond Condominums_Greenville_60176","Anderson Gibson Rd_2650_Grapevine Diamond Condominums_Greenville_60176" )</f>
        <v>Anderson Gibson Rd_2650_Grapevine Diamond Condominums_Greenville_60176</v>
      </c>
      <c r="L7790" s="104" t="s">
        <v>22253</v>
      </c>
      <c r="N7790" s="1">
        <f t="shared" si="606"/>
        <v>60176</v>
      </c>
    </row>
    <row r="7791" spans="1:14" x14ac:dyDescent="0.3">
      <c r="A7791" s="1">
        <v>30177</v>
      </c>
      <c r="B7791" s="19" t="s">
        <v>11601</v>
      </c>
      <c r="C7791" s="18">
        <v>6011</v>
      </c>
      <c r="D7791" s="19" t="s">
        <v>11602</v>
      </c>
      <c r="E7791" s="20" t="s">
        <v>8626</v>
      </c>
      <c r="F7791" t="str">
        <f t="shared" si="603"/>
        <v>30</v>
      </c>
      <c r="G7791" t="str">
        <f t="shared" si="604"/>
        <v>306011Greenville</v>
      </c>
      <c r="H7791" t="s">
        <v>38646</v>
      </c>
      <c r="I7791" t="s">
        <v>30058</v>
      </c>
      <c r="J7791" t="str">
        <f t="shared" si="605"/>
        <v>E:\PropInv\MF</v>
      </c>
      <c r="K7791" s="103" t="str">
        <f>HYPERLINK("E:\PropInv\MF\Greenville\30 IH_6011_Lakeway Apts_Greenville_60177","30 IH_6011_Lakeway Apts_Greenville_60177" )</f>
        <v>30 IH_6011_Lakeway Apts_Greenville_60177</v>
      </c>
      <c r="L7791" s="104" t="s">
        <v>22253</v>
      </c>
      <c r="N7791" s="1">
        <f t="shared" si="606"/>
        <v>60177</v>
      </c>
    </row>
    <row r="7792" spans="1:14" x14ac:dyDescent="0.3">
      <c r="A7792" s="1">
        <v>30178</v>
      </c>
      <c r="B7792" s="19" t="s">
        <v>11603</v>
      </c>
      <c r="C7792" s="38">
        <v>6775</v>
      </c>
      <c r="D7792" s="19" t="s">
        <v>11604</v>
      </c>
      <c r="E7792" s="20" t="s">
        <v>8626</v>
      </c>
      <c r="F7792" t="str">
        <f t="shared" si="603"/>
        <v>Jack</v>
      </c>
      <c r="G7792" t="str">
        <f t="shared" si="604"/>
        <v>Jack6775Greenville</v>
      </c>
      <c r="H7792" t="s">
        <v>38647</v>
      </c>
      <c r="I7792" t="s">
        <v>30059</v>
      </c>
      <c r="J7792" t="str">
        <f t="shared" si="605"/>
        <v>E:\PropInv\MF</v>
      </c>
      <c r="K7792" s="103" t="str">
        <f>HYPERLINK("E:\PropInv\MF\Greenville\Jack Finney Blvd_6775_Chalet_Greenville_60178","Jack Finney Blvd_6775_Chalet_Greenville_60178" )</f>
        <v>Jack Finney Blvd_6775_Chalet_Greenville_60178</v>
      </c>
      <c r="L7792" s="104" t="s">
        <v>22253</v>
      </c>
      <c r="N7792" s="1">
        <f t="shared" si="606"/>
        <v>60178</v>
      </c>
    </row>
    <row r="7793" spans="1:14" x14ac:dyDescent="0.3">
      <c r="A7793" s="1">
        <v>30179</v>
      </c>
      <c r="B7793" s="19" t="s">
        <v>11603</v>
      </c>
      <c r="C7793" s="18">
        <v>6115</v>
      </c>
      <c r="D7793" s="19" t="s">
        <v>11605</v>
      </c>
      <c r="E7793" s="20" t="s">
        <v>8626</v>
      </c>
      <c r="F7793" t="str">
        <f t="shared" si="603"/>
        <v>Jack</v>
      </c>
      <c r="G7793" t="str">
        <f t="shared" si="604"/>
        <v>Jack6115Greenville</v>
      </c>
      <c r="H7793" t="s">
        <v>38648</v>
      </c>
      <c r="I7793" t="s">
        <v>30060</v>
      </c>
      <c r="J7793" t="str">
        <f t="shared" si="605"/>
        <v>E:\PropInv\MF</v>
      </c>
      <c r="K7793" s="103" t="str">
        <f>HYPERLINK("E:\PropInv\MF\Greenville\Jack Finney Blvd_6115_Chalet AH_Greenville_60179","Jack Finney Blvd_6115_Chalet AH_Greenville_60179" )</f>
        <v>Jack Finney Blvd_6115_Chalet AH_Greenville_60179</v>
      </c>
      <c r="L7793" s="104" t="s">
        <v>22253</v>
      </c>
      <c r="N7793" s="1">
        <f t="shared" si="606"/>
        <v>60179</v>
      </c>
    </row>
    <row r="7794" spans="1:14" x14ac:dyDescent="0.3">
      <c r="A7794" s="1">
        <v>30180</v>
      </c>
      <c r="B7794" s="37" t="s">
        <v>10910</v>
      </c>
      <c r="C7794" s="38">
        <v>5015</v>
      </c>
      <c r="D7794" s="51" t="s">
        <v>11606</v>
      </c>
      <c r="E7794" s="49" t="s">
        <v>8626</v>
      </c>
      <c r="F7794" t="str">
        <f t="shared" si="603"/>
        <v>Joe</v>
      </c>
      <c r="G7794" t="str">
        <f t="shared" si="604"/>
        <v>Joe5015Greenville</v>
      </c>
      <c r="H7794" t="s">
        <v>38649</v>
      </c>
      <c r="I7794" t="s">
        <v>30061</v>
      </c>
      <c r="J7794" t="str">
        <f t="shared" si="605"/>
        <v>E:\PropInv\MF</v>
      </c>
      <c r="K7794" s="103" t="str">
        <f>HYPERLINK("E:\PropInv\MF\Greenville\Joe Ramsey Blvd_5015_Galleria Apts_Greenville_60180","Joe Ramsey Blvd_5015_Galleria Apts_Greenville_60180" )</f>
        <v>Joe Ramsey Blvd_5015_Galleria Apts_Greenville_60180</v>
      </c>
      <c r="L7794" s="104" t="s">
        <v>22253</v>
      </c>
      <c r="N7794" s="1">
        <f t="shared" si="606"/>
        <v>60180</v>
      </c>
    </row>
    <row r="7795" spans="1:14" x14ac:dyDescent="0.3">
      <c r="A7795" s="1">
        <v>30181</v>
      </c>
      <c r="B7795" s="19" t="s">
        <v>11607</v>
      </c>
      <c r="C7795" s="18">
        <v>4701</v>
      </c>
      <c r="D7795" s="19" t="s">
        <v>11608</v>
      </c>
      <c r="E7795" s="39" t="s">
        <v>8626</v>
      </c>
      <c r="F7795" t="str">
        <f t="shared" si="603"/>
        <v>Moulton</v>
      </c>
      <c r="G7795" t="str">
        <f t="shared" si="604"/>
        <v>Moulton4701Greenville</v>
      </c>
      <c r="H7795" t="s">
        <v>38650</v>
      </c>
      <c r="I7795" t="s">
        <v>30062</v>
      </c>
      <c r="J7795" t="str">
        <f t="shared" si="605"/>
        <v>E:\PropInv\MF</v>
      </c>
      <c r="K7795" s="103" t="str">
        <f>HYPERLINK("E:\PropInv\MF\Greenville\Moulton St_4701_Town East Apts_Greenville_60181","Moulton St_4701_Town East Apts_Greenville_60181" )</f>
        <v>Moulton St_4701_Town East Apts_Greenville_60181</v>
      </c>
      <c r="L7795" s="104" t="s">
        <v>22253</v>
      </c>
      <c r="N7795" s="1">
        <f t="shared" si="606"/>
        <v>60181</v>
      </c>
    </row>
    <row r="7796" spans="1:14" x14ac:dyDescent="0.3">
      <c r="A7796" s="1">
        <v>30182</v>
      </c>
      <c r="B7796" s="37" t="s">
        <v>11609</v>
      </c>
      <c r="C7796" s="38">
        <v>1600</v>
      </c>
      <c r="D7796" s="29" t="s">
        <v>11610</v>
      </c>
      <c r="E7796" s="39" t="s">
        <v>8626</v>
      </c>
      <c r="F7796" t="str">
        <f t="shared" si="603"/>
        <v>Joe</v>
      </c>
      <c r="G7796" t="str">
        <f t="shared" si="604"/>
        <v>Joe1600Greenville</v>
      </c>
      <c r="H7796" t="s">
        <v>38651</v>
      </c>
      <c r="I7796" t="s">
        <v>30063</v>
      </c>
      <c r="J7796" t="str">
        <f t="shared" si="605"/>
        <v>E:\PropInv\MF</v>
      </c>
      <c r="K7796" s="103" t="str">
        <f>HYPERLINK("E:\PropInv\MF\Greenville\Joe Ramsey Blvd N_1600_Arbors Apts_Greenville_60182","Joe Ramsey Blvd N_1600_Arbors Apts_Greenville_60182" )</f>
        <v>Joe Ramsey Blvd N_1600_Arbors Apts_Greenville_60182</v>
      </c>
      <c r="L7796" s="104" t="s">
        <v>22253</v>
      </c>
      <c r="N7796" s="1">
        <f t="shared" si="606"/>
        <v>60182</v>
      </c>
    </row>
    <row r="7797" spans="1:14" x14ac:dyDescent="0.3">
      <c r="A7797" s="1">
        <v>30183</v>
      </c>
      <c r="B7797" s="19" t="s">
        <v>10573</v>
      </c>
      <c r="C7797" s="18">
        <v>4701</v>
      </c>
      <c r="D7797" s="19" t="s">
        <v>11611</v>
      </c>
      <c r="E7797" s="39" t="s">
        <v>8626</v>
      </c>
      <c r="F7797" t="str">
        <f t="shared" si="603"/>
        <v>Sayle</v>
      </c>
      <c r="G7797" t="str">
        <f t="shared" si="604"/>
        <v>Sayle4701Greenville</v>
      </c>
      <c r="H7797" t="s">
        <v>38652</v>
      </c>
      <c r="I7797" t="s">
        <v>30064</v>
      </c>
      <c r="J7797" t="str">
        <f t="shared" si="605"/>
        <v>E:\PropInv\MF</v>
      </c>
      <c r="K7797" s="103" t="str">
        <f>HYPERLINK("E:\PropInv\MF\Greenville\Sayle St_4701_Sayle Gardens Apts_Greenville_60183","Sayle St_4701_Sayle Gardens Apts_Greenville_60183" )</f>
        <v>Sayle St_4701_Sayle Gardens Apts_Greenville_60183</v>
      </c>
      <c r="L7797" s="104" t="s">
        <v>22253</v>
      </c>
      <c r="N7797" s="1">
        <f t="shared" si="606"/>
        <v>60183</v>
      </c>
    </row>
    <row r="7798" spans="1:14" x14ac:dyDescent="0.3">
      <c r="A7798" s="1">
        <v>30184</v>
      </c>
      <c r="B7798" s="19" t="s">
        <v>11612</v>
      </c>
      <c r="C7798" s="18">
        <v>6002</v>
      </c>
      <c r="D7798" s="19" t="s">
        <v>11613</v>
      </c>
      <c r="E7798" s="20" t="s">
        <v>8626</v>
      </c>
      <c r="F7798" t="str">
        <f t="shared" si="603"/>
        <v>StoNewall</v>
      </c>
      <c r="G7798" t="str">
        <f t="shared" si="604"/>
        <v>StoNewall6002Greenville</v>
      </c>
      <c r="H7798" t="s">
        <v>38653</v>
      </c>
      <c r="I7798" t="s">
        <v>30065</v>
      </c>
      <c r="J7798" t="str">
        <f t="shared" si="605"/>
        <v>E:\PropInv\MF</v>
      </c>
      <c r="K7798" s="103" t="str">
        <f>HYPERLINK("E:\PropInv\MF\Greenville\StoNewall St_6002_Spanish Trace Apts_Greenville_60184","StoNewall St_6002_Spanish Trace Apts_Greenville_60184" )</f>
        <v>StoNewall St_6002_Spanish Trace Apts_Greenville_60184</v>
      </c>
      <c r="L7798" s="104" t="s">
        <v>22253</v>
      </c>
      <c r="N7798" s="1">
        <f t="shared" si="606"/>
        <v>60184</v>
      </c>
    </row>
    <row r="7799" spans="1:14" x14ac:dyDescent="0.3">
      <c r="A7799" s="1">
        <v>30185</v>
      </c>
      <c r="B7799" s="37" t="s">
        <v>8079</v>
      </c>
      <c r="C7799" s="38">
        <v>4816</v>
      </c>
      <c r="D7799" s="29" t="s">
        <v>11614</v>
      </c>
      <c r="E7799" s="39" t="s">
        <v>6581</v>
      </c>
      <c r="F7799" t="str">
        <f t="shared" si="603"/>
        <v>Waldemar</v>
      </c>
      <c r="G7799" t="str">
        <f t="shared" si="604"/>
        <v>Waldemar4816Haltom City</v>
      </c>
      <c r="H7799" t="s">
        <v>38654</v>
      </c>
      <c r="I7799" t="s">
        <v>30066</v>
      </c>
      <c r="J7799" t="str">
        <f t="shared" si="605"/>
        <v>E:\PropInv\MF</v>
      </c>
      <c r="K7799" s="103" t="str">
        <f>HYPERLINK("E:\PropInv\MF\Haltom City\Waldemar_4816_Villages of Savannah_Haltom City_60185","Waldemar_4816_Villages of Savannah_Haltom City_60185" )</f>
        <v>Waldemar_4816_Villages of Savannah_Haltom City_60185</v>
      </c>
      <c r="L7799" s="104" t="s">
        <v>22253</v>
      </c>
      <c r="N7799" s="1">
        <f t="shared" si="606"/>
        <v>60185</v>
      </c>
    </row>
    <row r="7800" spans="1:14" x14ac:dyDescent="0.3">
      <c r="A7800" s="1">
        <v>30186</v>
      </c>
      <c r="B7800" s="37" t="s">
        <v>8200</v>
      </c>
      <c r="C7800" s="38">
        <v>1232</v>
      </c>
      <c r="D7800" s="29" t="s">
        <v>11615</v>
      </c>
      <c r="E7800" s="39" t="s">
        <v>6612</v>
      </c>
      <c r="F7800" t="str">
        <f t="shared" si="603"/>
        <v>Cavender</v>
      </c>
      <c r="G7800" t="str">
        <f t="shared" si="604"/>
        <v>Cavender1232Hurst</v>
      </c>
      <c r="H7800" t="s">
        <v>38655</v>
      </c>
      <c r="I7800" t="s">
        <v>30067</v>
      </c>
      <c r="J7800" t="str">
        <f t="shared" si="605"/>
        <v>E:\PropInv\MF</v>
      </c>
      <c r="K7800" s="103" t="str">
        <f>HYPERLINK("E:\PropInv\MF\Hurst\Cavender Dr_1232_Cavender Manor_Hurst_60186","Cavender Dr_1232_Cavender Manor_Hurst_60186" )</f>
        <v>Cavender Dr_1232_Cavender Manor_Hurst_60186</v>
      </c>
      <c r="L7800" s="104" t="s">
        <v>22253</v>
      </c>
      <c r="N7800" s="1">
        <f t="shared" si="606"/>
        <v>60186</v>
      </c>
    </row>
    <row r="7801" spans="1:14" x14ac:dyDescent="0.3">
      <c r="A7801" s="1">
        <v>30187</v>
      </c>
      <c r="B7801" s="37" t="s">
        <v>11616</v>
      </c>
      <c r="C7801" s="38">
        <v>450</v>
      </c>
      <c r="D7801" s="29" t="s">
        <v>11617</v>
      </c>
      <c r="E7801" s="39" t="s">
        <v>6612</v>
      </c>
      <c r="F7801" t="str">
        <f t="shared" si="603"/>
        <v>Hurst</v>
      </c>
      <c r="G7801" t="str">
        <f t="shared" si="604"/>
        <v>Hurst450Hurst</v>
      </c>
      <c r="H7801" t="s">
        <v>38656</v>
      </c>
      <c r="I7801" t="s">
        <v>30068</v>
      </c>
      <c r="J7801" t="str">
        <f t="shared" si="605"/>
        <v>E:\PropInv\MF</v>
      </c>
      <c r="K7801" s="103" t="str">
        <f>HYPERLINK("E:\PropInv\MF\Hurst\Hurst E_450_Aspen Square Apts_Hurst_60187","Hurst E_450_Aspen Square Apts_Hurst_60187" )</f>
        <v>Hurst E_450_Aspen Square Apts_Hurst_60187</v>
      </c>
      <c r="L7801" s="104" t="s">
        <v>22253</v>
      </c>
      <c r="N7801" s="1">
        <f t="shared" si="606"/>
        <v>60187</v>
      </c>
    </row>
    <row r="7802" spans="1:14" x14ac:dyDescent="0.3">
      <c r="A7802" s="1">
        <v>30188</v>
      </c>
      <c r="B7802" s="37" t="s">
        <v>11618</v>
      </c>
      <c r="C7802" s="38">
        <v>825</v>
      </c>
      <c r="D7802" s="29" t="s">
        <v>11619</v>
      </c>
      <c r="E7802" s="39" t="s">
        <v>6612</v>
      </c>
      <c r="F7802" t="str">
        <f t="shared" si="603"/>
        <v>Norwood</v>
      </c>
      <c r="G7802" t="str">
        <f t="shared" si="604"/>
        <v>Norwood825Hurst</v>
      </c>
      <c r="H7802" t="s">
        <v>38657</v>
      </c>
      <c r="I7802" t="s">
        <v>30069</v>
      </c>
      <c r="J7802" t="str">
        <f t="shared" si="605"/>
        <v>E:\PropInv\MF</v>
      </c>
      <c r="K7802" s="103" t="str">
        <f>HYPERLINK("E:\PropInv\MF\Hurst\Norwood Dr_825_Manchester Apts_Hurst_60188","Norwood Dr_825_Manchester Apts_Hurst_60188" )</f>
        <v>Norwood Dr_825_Manchester Apts_Hurst_60188</v>
      </c>
      <c r="L7802" s="104" t="s">
        <v>22253</v>
      </c>
      <c r="N7802" s="1">
        <f t="shared" si="606"/>
        <v>60188</v>
      </c>
    </row>
    <row r="7803" spans="1:14" x14ac:dyDescent="0.3">
      <c r="A7803" s="1">
        <v>30189</v>
      </c>
      <c r="B7803" s="19" t="s">
        <v>11620</v>
      </c>
      <c r="C7803" s="38">
        <v>310</v>
      </c>
      <c r="D7803" s="19" t="s">
        <v>11621</v>
      </c>
      <c r="E7803" s="39" t="s">
        <v>5046</v>
      </c>
      <c r="F7803" t="str">
        <f t="shared" si="603"/>
        <v>Brown</v>
      </c>
      <c r="G7803" t="str">
        <f t="shared" si="604"/>
        <v>Brown310Irving</v>
      </c>
      <c r="H7803" t="s">
        <v>38658</v>
      </c>
      <c r="I7803" t="s">
        <v>30070</v>
      </c>
      <c r="J7803" t="str">
        <f t="shared" si="605"/>
        <v>E:\PropInv\MF</v>
      </c>
      <c r="K7803" s="103" t="str">
        <f>HYPERLINK("E:\PropInv\MF\Irving\Brown Dr_310_Villas Apts_Irving_60189","Brown Dr_310_Villas Apts_Irving_60189" )</f>
        <v>Brown Dr_310_Villas Apts_Irving_60189</v>
      </c>
      <c r="L7803" s="104" t="s">
        <v>22253</v>
      </c>
      <c r="N7803" s="1">
        <f t="shared" si="606"/>
        <v>60189</v>
      </c>
    </row>
    <row r="7804" spans="1:14" x14ac:dyDescent="0.3">
      <c r="A7804" s="1">
        <v>30190</v>
      </c>
      <c r="B7804" s="29" t="s">
        <v>11622</v>
      </c>
      <c r="C7804" s="52">
        <v>215</v>
      </c>
      <c r="D7804" s="29" t="s">
        <v>11623</v>
      </c>
      <c r="E7804" s="39" t="s">
        <v>5046</v>
      </c>
      <c r="F7804" t="str">
        <f t="shared" si="603"/>
        <v>Airport</v>
      </c>
      <c r="G7804" t="str">
        <f t="shared" si="604"/>
        <v>Airport215Irving</v>
      </c>
      <c r="H7804" t="s">
        <v>38659</v>
      </c>
      <c r="I7804" t="s">
        <v>30071</v>
      </c>
      <c r="J7804" t="str">
        <f t="shared" si="605"/>
        <v>E:\PropInv\MF</v>
      </c>
      <c r="K7804" s="103" t="str">
        <f>HYPERLINK("E:\PropInv\MF\Irving\Airport Fwy E_215_America Best Value Inn &amp; Suites_Irving_60190","Airport Fwy E_215_America Best Value Inn &amp; Suites_Irving_60190" )</f>
        <v>Airport Fwy E_215_America Best Value Inn &amp; Suites_Irving_60190</v>
      </c>
      <c r="L7804" s="104" t="s">
        <v>22253</v>
      </c>
      <c r="N7804" s="1">
        <f t="shared" si="606"/>
        <v>60190</v>
      </c>
    </row>
    <row r="7805" spans="1:14" x14ac:dyDescent="0.3">
      <c r="A7805" s="1">
        <v>30191</v>
      </c>
      <c r="B7805" s="19" t="s">
        <v>6416</v>
      </c>
      <c r="C7805" s="18">
        <v>801</v>
      </c>
      <c r="D7805" s="19" t="s">
        <v>7602</v>
      </c>
      <c r="E7805" s="20" t="s">
        <v>5046</v>
      </c>
      <c r="F7805" t="str">
        <f t="shared" si="603"/>
        <v>Grauwyler</v>
      </c>
      <c r="G7805" t="str">
        <f t="shared" si="604"/>
        <v>Grauwyler801Irving</v>
      </c>
      <c r="H7805" t="s">
        <v>38660</v>
      </c>
      <c r="I7805" t="s">
        <v>30072</v>
      </c>
      <c r="J7805" t="str">
        <f t="shared" si="605"/>
        <v>E:\PropInv\MF</v>
      </c>
      <c r="K7805" s="103" t="str">
        <f>HYPERLINK("E:\PropInv\MF\Irving\Grauwyler Rd E_801_Kings Manor_Irving_60191","Grauwyler Rd E_801_Kings Manor_Irving_60191" )</f>
        <v>Grauwyler Rd E_801_Kings Manor_Irving_60191</v>
      </c>
      <c r="L7805" s="104" t="s">
        <v>22253</v>
      </c>
      <c r="N7805" s="1">
        <f t="shared" si="606"/>
        <v>60191</v>
      </c>
    </row>
    <row r="7806" spans="1:14" x14ac:dyDescent="0.3">
      <c r="A7806" s="1">
        <v>30192</v>
      </c>
      <c r="B7806" s="36" t="s">
        <v>6416</v>
      </c>
      <c r="C7806" s="40">
        <v>136</v>
      </c>
      <c r="D7806" s="36" t="s">
        <v>6272</v>
      </c>
      <c r="E7806" s="41" t="s">
        <v>5046</v>
      </c>
      <c r="F7806" t="str">
        <f t="shared" si="603"/>
        <v>Grauwyler</v>
      </c>
      <c r="G7806" t="str">
        <f t="shared" si="604"/>
        <v>Grauwyler136Irving</v>
      </c>
      <c r="H7806" t="s">
        <v>38661</v>
      </c>
      <c r="I7806" t="s">
        <v>30073</v>
      </c>
      <c r="J7806" t="str">
        <f t="shared" si="605"/>
        <v>E:\PropInv\MF</v>
      </c>
      <c r="K7806" s="103" t="str">
        <f>HYPERLINK("E:\PropInv\MF\Irving\Grauwyler Rd E_136_Spanish Trace_Irving_60192","Grauwyler Rd E_136_Spanish Trace_Irving_60192" )</f>
        <v>Grauwyler Rd E_136_Spanish Trace_Irving_60192</v>
      </c>
      <c r="L7806" s="104" t="s">
        <v>22253</v>
      </c>
      <c r="N7806" s="1">
        <f t="shared" si="606"/>
        <v>60192</v>
      </c>
    </row>
    <row r="7807" spans="1:14" x14ac:dyDescent="0.3">
      <c r="A7807" s="1">
        <v>30193</v>
      </c>
      <c r="B7807" s="36" t="s">
        <v>11624</v>
      </c>
      <c r="C7807" s="40">
        <v>720</v>
      </c>
      <c r="D7807" s="36" t="s">
        <v>2497</v>
      </c>
      <c r="E7807" s="41" t="s">
        <v>5046</v>
      </c>
      <c r="F7807" t="str">
        <f t="shared" si="603"/>
        <v>Britain</v>
      </c>
      <c r="G7807" t="str">
        <f t="shared" si="604"/>
        <v>Britain720Irving</v>
      </c>
      <c r="H7807" t="s">
        <v>38662</v>
      </c>
      <c r="I7807" t="s">
        <v>30074</v>
      </c>
      <c r="J7807" t="str">
        <f t="shared" si="605"/>
        <v>E:\PropInv\MF</v>
      </c>
      <c r="K7807" s="103" t="str">
        <f>HYPERLINK("E:\PropInv\MF\Irving\Britain Rd N_720_NF_Irving_60193","Britain Rd N_720_NF_Irving_60193" )</f>
        <v>Britain Rd N_720_NF_Irving_60193</v>
      </c>
      <c r="L7807" s="104" t="s">
        <v>22253</v>
      </c>
      <c r="N7807" s="1">
        <f t="shared" si="606"/>
        <v>60193</v>
      </c>
    </row>
    <row r="7808" spans="1:14" x14ac:dyDescent="0.3">
      <c r="A7808" s="1">
        <v>30194</v>
      </c>
      <c r="B7808" s="36" t="s">
        <v>6303</v>
      </c>
      <c r="C7808" s="40">
        <v>9937</v>
      </c>
      <c r="D7808" s="36" t="s">
        <v>2497</v>
      </c>
      <c r="E7808" s="41" t="s">
        <v>5046</v>
      </c>
      <c r="F7808" t="str">
        <f t="shared" si="603"/>
        <v>Macarthur</v>
      </c>
      <c r="G7808" t="str">
        <f t="shared" si="604"/>
        <v>Macarthur9937Irving</v>
      </c>
      <c r="H7808" t="s">
        <v>38663</v>
      </c>
      <c r="I7808" t="s">
        <v>30075</v>
      </c>
      <c r="J7808" t="str">
        <f t="shared" si="605"/>
        <v>E:\PropInv\MF</v>
      </c>
      <c r="K7808" s="103" t="str">
        <f>HYPERLINK("E:\PropInv\MF\Irving\Macarthur Blvd N_9937_NF_Irving_60194","Macarthur Blvd N_9937_NF_Irving_60194" )</f>
        <v>Macarthur Blvd N_9937_NF_Irving_60194</v>
      </c>
      <c r="L7808" s="104" t="s">
        <v>22253</v>
      </c>
      <c r="N7808" s="1">
        <f t="shared" si="606"/>
        <v>60194</v>
      </c>
    </row>
    <row r="7809" spans="1:14" x14ac:dyDescent="0.3">
      <c r="A7809" s="1">
        <v>30195</v>
      </c>
      <c r="B7809" s="29" t="s">
        <v>5470</v>
      </c>
      <c r="C7809" s="52">
        <v>1010</v>
      </c>
      <c r="D7809" s="29" t="s">
        <v>11625</v>
      </c>
      <c r="E7809" s="39" t="s">
        <v>5046</v>
      </c>
      <c r="F7809" t="str">
        <f t="shared" si="603"/>
        <v>Nursery</v>
      </c>
      <c r="G7809" t="str">
        <f t="shared" si="604"/>
        <v>Nursery1010Irving</v>
      </c>
      <c r="H7809" t="s">
        <v>38664</v>
      </c>
      <c r="I7809" t="s">
        <v>30076</v>
      </c>
      <c r="J7809" t="str">
        <f t="shared" si="605"/>
        <v>E:\PropInv\MF</v>
      </c>
      <c r="K7809" s="103" t="str">
        <f>HYPERLINK("E:\PropInv\MF\Irving\Nursery Rd N_1010_Jamestown Colony House_Irving_60195","Nursery Rd N_1010_Jamestown Colony House_Irving_60195" )</f>
        <v>Nursery Rd N_1010_Jamestown Colony House_Irving_60195</v>
      </c>
      <c r="L7809" s="104" t="s">
        <v>22253</v>
      </c>
      <c r="N7809" s="1">
        <f t="shared" si="606"/>
        <v>60195</v>
      </c>
    </row>
    <row r="7810" spans="1:14" x14ac:dyDescent="0.3">
      <c r="A7810" s="1">
        <v>30196</v>
      </c>
      <c r="B7810" s="7" t="s">
        <v>6108</v>
      </c>
      <c r="C7810" s="12">
        <v>4000</v>
      </c>
      <c r="D7810" s="19" t="s">
        <v>2497</v>
      </c>
      <c r="E7810" s="13" t="s">
        <v>5046</v>
      </c>
      <c r="F7810" t="str">
        <f t="shared" ref="F7810:F7873" si="607">IFERROR(LEFT(B7810,FIND(" ",B7810)-1),B7810)</f>
        <v>Story</v>
      </c>
      <c r="G7810" t="str">
        <f t="shared" ref="G7810:G7873" si="608">F7810&amp;C7810&amp;E7810</f>
        <v>Story4000Irving</v>
      </c>
      <c r="H7810" t="s">
        <v>38665</v>
      </c>
      <c r="I7810" t="s">
        <v>30077</v>
      </c>
      <c r="J7810" t="str">
        <f t="shared" ref="J7810:J7873" si="609">IF(L7810="TX",Folder_Path,Folder_Path&amp;"\State_"&amp;L7810)</f>
        <v>E:\PropInv\MF</v>
      </c>
      <c r="K7810" s="103" t="str">
        <f>HYPERLINK("E:\PropInv\MF\Irving\Story Rd N_4000_NF_Irving_60196","Story Rd N_4000_NF_Irving_60196" )</f>
        <v>Story Rd N_4000_NF_Irving_60196</v>
      </c>
      <c r="L7810" s="104" t="s">
        <v>22253</v>
      </c>
      <c r="N7810" s="1">
        <f t="shared" ref="N7810:N7873" si="610">IF(LEN(A7810)=1,"0000"&amp;A7810,IF(LEN(A7810)=2,"000"&amp;A7810,IF(LEN(A7810)=3,"00"&amp;A7810,IF(LEN(A7810)=4,"0"&amp;A7810,IF(LEN(A7810)=5,IF(LEFT(A7810,1)="3",A7810+30000,A7810))))))</f>
        <v>60196</v>
      </c>
    </row>
    <row r="7811" spans="1:14" x14ac:dyDescent="0.3">
      <c r="A7811" s="1">
        <v>30197</v>
      </c>
      <c r="B7811" s="37" t="s">
        <v>11626</v>
      </c>
      <c r="C7811" s="38">
        <v>1025</v>
      </c>
      <c r="D7811" s="29" t="s">
        <v>2497</v>
      </c>
      <c r="E7811" s="39" t="s">
        <v>5046</v>
      </c>
      <c r="F7811" t="str">
        <f t="shared" si="607"/>
        <v>Nursey</v>
      </c>
      <c r="G7811" t="str">
        <f t="shared" si="608"/>
        <v>Nursey1025Irving</v>
      </c>
      <c r="H7811" t="s">
        <v>38666</v>
      </c>
      <c r="I7811" t="s">
        <v>30078</v>
      </c>
      <c r="J7811" t="str">
        <f t="shared" si="609"/>
        <v>E:\PropInv\MF</v>
      </c>
      <c r="K7811" s="103" t="str">
        <f>HYPERLINK("E:\PropInv\MF\Irving\Nursey Rd N_1025_NF_Irving_60197","Nursey Rd N_1025_NF_Irving_60197" )</f>
        <v>Nursey Rd N_1025_NF_Irving_60197</v>
      </c>
      <c r="L7811" s="104" t="s">
        <v>22253</v>
      </c>
      <c r="N7811" s="1">
        <f t="shared" si="610"/>
        <v>60197</v>
      </c>
    </row>
    <row r="7812" spans="1:14" x14ac:dyDescent="0.3">
      <c r="A7812" s="1">
        <v>30198</v>
      </c>
      <c r="B7812" s="29" t="s">
        <v>11627</v>
      </c>
      <c r="C7812" s="38">
        <v>1013</v>
      </c>
      <c r="D7812" s="29" t="s">
        <v>11628</v>
      </c>
      <c r="E7812" s="39" t="s">
        <v>5046</v>
      </c>
      <c r="F7812" t="str">
        <f t="shared" si="607"/>
        <v>Pioneer</v>
      </c>
      <c r="G7812" t="str">
        <f t="shared" si="608"/>
        <v>Pioneer1013Irving</v>
      </c>
      <c r="H7812" t="s">
        <v>38667</v>
      </c>
      <c r="I7812" t="s">
        <v>30079</v>
      </c>
      <c r="J7812" t="str">
        <f t="shared" si="609"/>
        <v>E:\PropInv\MF</v>
      </c>
      <c r="K7812" s="103" t="str">
        <f>HYPERLINK("E:\PropInv\MF\Irving\Pioneer Dr E_1013_Texan_Irving_60198","Pioneer Dr E_1013_Texan_Irving_60198" )</f>
        <v>Pioneer Dr E_1013_Texan_Irving_60198</v>
      </c>
      <c r="L7812" s="104" t="s">
        <v>22253</v>
      </c>
      <c r="N7812" s="1">
        <f t="shared" si="610"/>
        <v>60198</v>
      </c>
    </row>
    <row r="7813" spans="1:14" x14ac:dyDescent="0.3">
      <c r="A7813" s="1">
        <v>30199</v>
      </c>
      <c r="B7813" s="29" t="s">
        <v>6196</v>
      </c>
      <c r="C7813" s="52">
        <v>1900</v>
      </c>
      <c r="D7813" s="29" t="s">
        <v>11629</v>
      </c>
      <c r="E7813" s="39" t="s">
        <v>5046</v>
      </c>
      <c r="F7813" t="str">
        <f t="shared" si="607"/>
        <v>Rock</v>
      </c>
      <c r="G7813" t="str">
        <f t="shared" si="608"/>
        <v>Rock1900Irving</v>
      </c>
      <c r="H7813" t="s">
        <v>38668</v>
      </c>
      <c r="I7813" t="s">
        <v>30080</v>
      </c>
      <c r="J7813" t="str">
        <f t="shared" si="609"/>
        <v>E:\PropInv\MF</v>
      </c>
      <c r="K7813" s="103" t="str">
        <f>HYPERLINK("E:\PropInv\MF\Irving\Rock Island_1900_Irving Oaks Apts_Irving_60199","Rock Island_1900_Irving Oaks Apts_Irving_60199" )</f>
        <v>Rock Island_1900_Irving Oaks Apts_Irving_60199</v>
      </c>
      <c r="L7813" s="104" t="s">
        <v>22253</v>
      </c>
      <c r="N7813" s="1">
        <f t="shared" si="610"/>
        <v>60199</v>
      </c>
    </row>
    <row r="7814" spans="1:14" x14ac:dyDescent="0.3">
      <c r="A7814" s="1">
        <v>30200</v>
      </c>
      <c r="B7814" s="7" t="s">
        <v>5453</v>
      </c>
      <c r="C7814" s="40">
        <v>3102</v>
      </c>
      <c r="D7814" s="36" t="s">
        <v>2497</v>
      </c>
      <c r="E7814" s="41" t="s">
        <v>5046</v>
      </c>
      <c r="F7814" t="str">
        <f t="shared" si="607"/>
        <v>Northgate</v>
      </c>
      <c r="G7814" t="str">
        <f t="shared" si="608"/>
        <v>Northgate3102Irving</v>
      </c>
      <c r="H7814" t="s">
        <v>38669</v>
      </c>
      <c r="I7814" t="s">
        <v>30081</v>
      </c>
      <c r="J7814" t="str">
        <f t="shared" si="609"/>
        <v>E:\PropInv\MF</v>
      </c>
      <c r="K7814" s="103" t="str">
        <f>HYPERLINK("E:\PropInv\MF\Irving\Northgate Dr W_3102_NF_Irving_60200","Northgate Dr W_3102_NF_Irving_60200" )</f>
        <v>Northgate Dr W_3102_NF_Irving_60200</v>
      </c>
      <c r="L7814" s="104" t="s">
        <v>22253</v>
      </c>
      <c r="N7814" s="1">
        <f t="shared" si="610"/>
        <v>60200</v>
      </c>
    </row>
    <row r="7815" spans="1:14" x14ac:dyDescent="0.3">
      <c r="A7815" s="1">
        <v>30201</v>
      </c>
      <c r="B7815" s="7" t="s">
        <v>5453</v>
      </c>
      <c r="C7815" s="18">
        <v>3703</v>
      </c>
      <c r="D7815" s="19" t="s">
        <v>2497</v>
      </c>
      <c r="E7815" s="39" t="s">
        <v>5046</v>
      </c>
      <c r="F7815" t="str">
        <f t="shared" si="607"/>
        <v>Northgate</v>
      </c>
      <c r="G7815" t="str">
        <f t="shared" si="608"/>
        <v>Northgate3703Irving</v>
      </c>
      <c r="H7815" t="s">
        <v>38670</v>
      </c>
      <c r="I7815" t="s">
        <v>30082</v>
      </c>
      <c r="J7815" t="str">
        <f t="shared" si="609"/>
        <v>E:\PropInv\MF</v>
      </c>
      <c r="K7815" s="103" t="str">
        <f>HYPERLINK("E:\PropInv\MF\Irving\Northgate Dr W_3703_NF_Irving_60201","Northgate Dr W_3703_NF_Irving_60201" )</f>
        <v>Northgate Dr W_3703_NF_Irving_60201</v>
      </c>
      <c r="L7815" s="104" t="s">
        <v>22253</v>
      </c>
      <c r="N7815" s="1">
        <f t="shared" si="610"/>
        <v>60201</v>
      </c>
    </row>
    <row r="7816" spans="1:14" x14ac:dyDescent="0.3">
      <c r="A7816" s="1">
        <v>30202</v>
      </c>
      <c r="B7816" s="7" t="s">
        <v>5453</v>
      </c>
      <c r="C7816" s="52">
        <v>4500</v>
      </c>
      <c r="D7816" s="29" t="s">
        <v>2497</v>
      </c>
      <c r="E7816" s="39" t="s">
        <v>5046</v>
      </c>
      <c r="F7816" t="str">
        <f t="shared" si="607"/>
        <v>Northgate</v>
      </c>
      <c r="G7816" t="str">
        <f t="shared" si="608"/>
        <v>Northgate4500Irving</v>
      </c>
      <c r="H7816" t="s">
        <v>38671</v>
      </c>
      <c r="I7816" t="s">
        <v>30083</v>
      </c>
      <c r="J7816" t="str">
        <f t="shared" si="609"/>
        <v>E:\PropInv\MF</v>
      </c>
      <c r="K7816" s="103" t="str">
        <f>HYPERLINK("E:\PropInv\MF\Irving\Northgate Dr W_4500_NF_Irving_60202","Northgate Dr W_4500_NF_Irving_60202" )</f>
        <v>Northgate Dr W_4500_NF_Irving_60202</v>
      </c>
      <c r="L7816" s="104" t="s">
        <v>22253</v>
      </c>
      <c r="N7816" s="1">
        <f t="shared" si="610"/>
        <v>60202</v>
      </c>
    </row>
    <row r="7817" spans="1:14" x14ac:dyDescent="0.3">
      <c r="A7817" s="1">
        <v>30203</v>
      </c>
      <c r="B7817" s="19" t="s">
        <v>5408</v>
      </c>
      <c r="C7817" s="52">
        <v>2701</v>
      </c>
      <c r="D7817" s="29" t="s">
        <v>2497</v>
      </c>
      <c r="E7817" s="39" t="s">
        <v>5046</v>
      </c>
      <c r="F7817" t="str">
        <f t="shared" si="607"/>
        <v>Pioneer</v>
      </c>
      <c r="G7817" t="str">
        <f t="shared" si="608"/>
        <v>Pioneer2701Irving</v>
      </c>
      <c r="H7817" t="s">
        <v>38672</v>
      </c>
      <c r="I7817" t="s">
        <v>30084</v>
      </c>
      <c r="J7817" t="str">
        <f t="shared" si="609"/>
        <v>E:\PropInv\MF</v>
      </c>
      <c r="K7817" s="103" t="str">
        <f>HYPERLINK("E:\PropInv\MF\Irving\Pioneer Dr W_2701_NF_Irving_60203","Pioneer Dr W_2701_NF_Irving_60203" )</f>
        <v>Pioneer Dr W_2701_NF_Irving_60203</v>
      </c>
      <c r="L7817" s="104" t="s">
        <v>22253</v>
      </c>
      <c r="N7817" s="1">
        <f t="shared" si="610"/>
        <v>60203</v>
      </c>
    </row>
    <row r="7818" spans="1:14" x14ac:dyDescent="0.3">
      <c r="A7818" s="1">
        <v>30204</v>
      </c>
      <c r="B7818" s="19" t="s">
        <v>5408</v>
      </c>
      <c r="C7818" s="18">
        <v>4500</v>
      </c>
      <c r="D7818" s="19" t="s">
        <v>2497</v>
      </c>
      <c r="E7818" s="39" t="s">
        <v>5046</v>
      </c>
      <c r="F7818" t="str">
        <f t="shared" si="607"/>
        <v>Pioneer</v>
      </c>
      <c r="G7818" t="str">
        <f t="shared" si="608"/>
        <v>Pioneer4500Irving</v>
      </c>
      <c r="H7818" t="s">
        <v>38673</v>
      </c>
      <c r="I7818" t="s">
        <v>30085</v>
      </c>
      <c r="J7818" t="str">
        <f t="shared" si="609"/>
        <v>E:\PropInv\MF</v>
      </c>
      <c r="K7818" s="103" t="str">
        <f>HYPERLINK("E:\PropInv\MF\Irving\Pioneer Dr W_4500_NF_Irving_60204","Pioneer Dr W_4500_NF_Irving_60204" )</f>
        <v>Pioneer Dr W_4500_NF_Irving_60204</v>
      </c>
      <c r="L7818" s="104" t="s">
        <v>22253</v>
      </c>
      <c r="N7818" s="1">
        <f t="shared" si="610"/>
        <v>60204</v>
      </c>
    </row>
    <row r="7819" spans="1:14" x14ac:dyDescent="0.3">
      <c r="A7819" s="1">
        <v>30205</v>
      </c>
      <c r="B7819" s="19" t="s">
        <v>5408</v>
      </c>
      <c r="C7819" s="38">
        <v>3200</v>
      </c>
      <c r="D7819" s="19" t="s">
        <v>11630</v>
      </c>
      <c r="E7819" s="39" t="s">
        <v>5046</v>
      </c>
      <c r="F7819" t="str">
        <f t="shared" si="607"/>
        <v>Pioneer</v>
      </c>
      <c r="G7819" t="str">
        <f t="shared" si="608"/>
        <v>Pioneer3200Irving</v>
      </c>
      <c r="H7819" t="s">
        <v>38674</v>
      </c>
      <c r="I7819" t="s">
        <v>30086</v>
      </c>
      <c r="J7819" t="str">
        <f t="shared" si="609"/>
        <v>E:\PropInv\MF</v>
      </c>
      <c r="K7819" s="103" t="str">
        <f>HYPERLINK("E:\PropInv\MF\Irving\Pioneer Dr W_3200_Spanish Chase Apts_Irving_60205","Pioneer Dr W_3200_Spanish Chase Apts_Irving_60205" )</f>
        <v>Pioneer Dr W_3200_Spanish Chase Apts_Irving_60205</v>
      </c>
      <c r="L7819" s="104" t="s">
        <v>22253</v>
      </c>
      <c r="N7819" s="1">
        <f t="shared" si="610"/>
        <v>60205</v>
      </c>
    </row>
    <row r="7820" spans="1:14" x14ac:dyDescent="0.3">
      <c r="A7820" s="1">
        <v>30206</v>
      </c>
      <c r="B7820" s="19" t="s">
        <v>5408</v>
      </c>
      <c r="C7820" s="18">
        <v>722</v>
      </c>
      <c r="D7820" s="19" t="s">
        <v>11631</v>
      </c>
      <c r="E7820" s="20" t="s">
        <v>5046</v>
      </c>
      <c r="F7820" t="str">
        <f t="shared" si="607"/>
        <v>Pioneer</v>
      </c>
      <c r="G7820" t="str">
        <f t="shared" si="608"/>
        <v>Pioneer722Irving</v>
      </c>
      <c r="H7820" t="s">
        <v>38675</v>
      </c>
      <c r="I7820" t="s">
        <v>30087</v>
      </c>
      <c r="J7820" t="str">
        <f t="shared" si="609"/>
        <v>E:\PropInv\MF</v>
      </c>
      <c r="K7820" s="103" t="str">
        <f>HYPERLINK("E:\PropInv\MF\Irving\Pioneer Dr W_722_Tree Country Apts_Irving_60206","Pioneer Dr W_722_Tree Country Apts_Irving_60206" )</f>
        <v>Pioneer Dr W_722_Tree Country Apts_Irving_60206</v>
      </c>
      <c r="L7820" s="104" t="s">
        <v>22253</v>
      </c>
      <c r="N7820" s="1">
        <f t="shared" si="610"/>
        <v>60206</v>
      </c>
    </row>
    <row r="7821" spans="1:14" x14ac:dyDescent="0.3">
      <c r="A7821" s="1">
        <v>30207</v>
      </c>
      <c r="B7821" s="36" t="s">
        <v>5678</v>
      </c>
      <c r="C7821" s="40">
        <v>3101</v>
      </c>
      <c r="D7821" s="36" t="s">
        <v>2497</v>
      </c>
      <c r="E7821" s="41" t="s">
        <v>5046</v>
      </c>
      <c r="F7821" t="str">
        <f t="shared" si="607"/>
        <v>Walnut</v>
      </c>
      <c r="G7821" t="str">
        <f t="shared" si="608"/>
        <v>Walnut3101Irving</v>
      </c>
      <c r="H7821" t="s">
        <v>38676</v>
      </c>
      <c r="I7821" t="s">
        <v>30088</v>
      </c>
      <c r="J7821" t="str">
        <f t="shared" si="609"/>
        <v>E:\PropInv\MF</v>
      </c>
      <c r="K7821" s="103" t="str">
        <f>HYPERLINK("E:\PropInv\MF\Irving\Walnut Hill Ln W_3101_NF_Irving_60207","Walnut Hill Ln W_3101_NF_Irving_60207" )</f>
        <v>Walnut Hill Ln W_3101_NF_Irving_60207</v>
      </c>
      <c r="L7821" s="104" t="s">
        <v>22253</v>
      </c>
      <c r="N7821" s="1">
        <f t="shared" si="610"/>
        <v>60207</v>
      </c>
    </row>
    <row r="7822" spans="1:14" x14ac:dyDescent="0.3">
      <c r="A7822" s="1">
        <v>30208</v>
      </c>
      <c r="B7822" s="36" t="s">
        <v>5678</v>
      </c>
      <c r="C7822" s="18">
        <v>3501</v>
      </c>
      <c r="D7822" s="29" t="s">
        <v>7577</v>
      </c>
      <c r="E7822" s="49" t="s">
        <v>5046</v>
      </c>
      <c r="F7822" t="str">
        <f t="shared" si="607"/>
        <v>Walnut</v>
      </c>
      <c r="G7822" t="str">
        <f t="shared" si="608"/>
        <v>Walnut3501Irving</v>
      </c>
      <c r="H7822" t="s">
        <v>38677</v>
      </c>
      <c r="I7822" t="s">
        <v>30089</v>
      </c>
      <c r="J7822" t="str">
        <f t="shared" si="609"/>
        <v>E:\PropInv\MF</v>
      </c>
      <c r="K7822" s="103" t="str">
        <f>HYPERLINK("E:\PropInv\MF\Irving\Walnut Hill Ln W_3501_San Simeon_Irving_60208","Walnut Hill Ln W_3501_San Simeon_Irving_60208" )</f>
        <v>Walnut Hill Ln W_3501_San Simeon_Irving_60208</v>
      </c>
      <c r="L7822" s="104" t="s">
        <v>22253</v>
      </c>
      <c r="N7822" s="1">
        <f t="shared" si="610"/>
        <v>60208</v>
      </c>
    </row>
    <row r="7823" spans="1:14" x14ac:dyDescent="0.3">
      <c r="A7823" s="1">
        <v>30209</v>
      </c>
      <c r="B7823" s="37" t="s">
        <v>69</v>
      </c>
      <c r="C7823" s="38">
        <v>3315</v>
      </c>
      <c r="D7823" s="29" t="s">
        <v>11632</v>
      </c>
      <c r="E7823" s="39" t="s">
        <v>5046</v>
      </c>
      <c r="F7823" t="str">
        <f t="shared" si="607"/>
        <v>Willow</v>
      </c>
      <c r="G7823" t="str">
        <f t="shared" si="608"/>
        <v>Willow3315Irving</v>
      </c>
      <c r="H7823" t="s">
        <v>38678</v>
      </c>
      <c r="I7823" t="s">
        <v>30090</v>
      </c>
      <c r="J7823" t="str">
        <f t="shared" si="609"/>
        <v>E:\PropInv\MF</v>
      </c>
      <c r="K7823" s="103" t="str">
        <f>HYPERLINK("E:\PropInv\MF\Irving\Willow Creek Dr_3315_Tanner Place Apts_Irving_60209","Willow Creek Dr_3315_Tanner Place Apts_Irving_60209" )</f>
        <v>Willow Creek Dr_3315_Tanner Place Apts_Irving_60209</v>
      </c>
      <c r="L7823" s="104" t="s">
        <v>22253</v>
      </c>
      <c r="N7823" s="1">
        <f t="shared" si="610"/>
        <v>60209</v>
      </c>
    </row>
    <row r="7824" spans="1:14" x14ac:dyDescent="0.3">
      <c r="A7824" s="1">
        <v>30210</v>
      </c>
      <c r="B7824" s="37" t="s">
        <v>6670</v>
      </c>
      <c r="C7824" s="38">
        <v>1870</v>
      </c>
      <c r="D7824" s="29" t="s">
        <v>11633</v>
      </c>
      <c r="E7824" s="39" t="s">
        <v>6672</v>
      </c>
      <c r="F7824" t="str">
        <f t="shared" si="607"/>
        <v>Keller</v>
      </c>
      <c r="G7824" t="str">
        <f t="shared" si="608"/>
        <v>Keller1870Keller</v>
      </c>
      <c r="H7824" t="s">
        <v>38679</v>
      </c>
      <c r="I7824" t="s">
        <v>30091</v>
      </c>
      <c r="J7824" t="str">
        <f t="shared" si="609"/>
        <v>E:\PropInv\MF</v>
      </c>
      <c r="K7824" s="103" t="str">
        <f>HYPERLINK("E:\PropInv\MF\Keller\Keller Pkwy_1870_Crosstimbers Office Park_Keller_60210","Keller Pkwy_1870_Crosstimbers Office Park_Keller_60210" )</f>
        <v>Keller Pkwy_1870_Crosstimbers Office Park_Keller_60210</v>
      </c>
      <c r="L7824" s="104" t="s">
        <v>22253</v>
      </c>
      <c r="N7824" s="1">
        <f t="shared" si="610"/>
        <v>60210</v>
      </c>
    </row>
    <row r="7825" spans="1:14" x14ac:dyDescent="0.3">
      <c r="A7825" s="1">
        <v>30211</v>
      </c>
      <c r="B7825" s="37" t="s">
        <v>6670</v>
      </c>
      <c r="C7825" s="38">
        <v>1745</v>
      </c>
      <c r="D7825" s="29" t="s">
        <v>11634</v>
      </c>
      <c r="E7825" s="39" t="s">
        <v>6672</v>
      </c>
      <c r="F7825" t="str">
        <f t="shared" si="607"/>
        <v>Keller</v>
      </c>
      <c r="G7825" t="str">
        <f t="shared" si="608"/>
        <v>Keller1745Keller</v>
      </c>
      <c r="H7825" t="s">
        <v>38680</v>
      </c>
      <c r="I7825" t="s">
        <v>30092</v>
      </c>
      <c r="J7825" t="str">
        <f t="shared" si="609"/>
        <v>E:\PropInv\MF</v>
      </c>
      <c r="K7825" s="103" t="str">
        <f>HYPERLINK("E:\PropInv\MF\Keller\Keller Pkwy_1745_Villages of Tuscany Residences_Keller_60211","Keller Pkwy_1745_Villages of Tuscany Residences_Keller_60211" )</f>
        <v>Keller Pkwy_1745_Villages of Tuscany Residences_Keller_60211</v>
      </c>
      <c r="L7825" s="104" t="s">
        <v>22253</v>
      </c>
      <c r="N7825" s="1">
        <f t="shared" si="610"/>
        <v>60211</v>
      </c>
    </row>
    <row r="7826" spans="1:14" x14ac:dyDescent="0.3">
      <c r="A7826" s="1">
        <v>30212</v>
      </c>
      <c r="B7826" s="19" t="s">
        <v>11635</v>
      </c>
      <c r="C7826" s="18">
        <v>18630</v>
      </c>
      <c r="D7826" s="19" t="s">
        <v>11636</v>
      </c>
      <c r="E7826" s="20" t="s">
        <v>11637</v>
      </c>
      <c r="F7826" t="str">
        <f t="shared" si="607"/>
        <v>274</v>
      </c>
      <c r="G7826" t="str">
        <f t="shared" si="608"/>
        <v>27418630Kemp</v>
      </c>
      <c r="H7826" t="s">
        <v>38681</v>
      </c>
      <c r="I7826" t="s">
        <v>30093</v>
      </c>
      <c r="J7826" t="str">
        <f t="shared" si="609"/>
        <v>E:\PropInv\MF</v>
      </c>
      <c r="K7826" s="103" t="str">
        <f>HYPERLINK("E:\PropInv\MF\Kemp\274 Hwy_18630_The Hamlins @ Cedar Creek_Kemp_60212","274 Hwy_18630_The Hamlins @ Cedar Creek_Kemp_60212" )</f>
        <v>274 Hwy_18630_The Hamlins @ Cedar Creek_Kemp_60212</v>
      </c>
      <c r="L7826" s="104" t="s">
        <v>22253</v>
      </c>
      <c r="N7826" s="1">
        <f t="shared" si="610"/>
        <v>60212</v>
      </c>
    </row>
    <row r="7827" spans="1:14" x14ac:dyDescent="0.3">
      <c r="A7827" s="1">
        <v>30213</v>
      </c>
      <c r="B7827" s="37" t="s">
        <v>10934</v>
      </c>
      <c r="C7827" s="38">
        <v>4891</v>
      </c>
      <c r="D7827" s="29" t="s">
        <v>17704</v>
      </c>
      <c r="E7827" s="39" t="s">
        <v>10936</v>
      </c>
      <c r="F7827" t="str">
        <f t="shared" si="607"/>
        <v>Masch</v>
      </c>
      <c r="G7827" t="str">
        <f t="shared" si="608"/>
        <v>Masch4891Krum</v>
      </c>
      <c r="H7827" t="s">
        <v>38682</v>
      </c>
      <c r="I7827" t="s">
        <v>30094</v>
      </c>
      <c r="J7827" t="str">
        <f t="shared" si="609"/>
        <v>E:\PropInv\MF</v>
      </c>
      <c r="K7827" s="103" t="str">
        <f>HYPERLINK("E:\PropInv\MF\Krum\Masch Branch Rd_4891_Estate Villas_Krum_60213","Masch Branch Rd_4891_Estate Villas_Krum_60213" )</f>
        <v>Masch Branch Rd_4891_Estate Villas_Krum_60213</v>
      </c>
      <c r="L7827" s="104" t="s">
        <v>22253</v>
      </c>
      <c r="N7827" s="1">
        <f t="shared" si="610"/>
        <v>60213</v>
      </c>
    </row>
    <row r="7828" spans="1:14" x14ac:dyDescent="0.3">
      <c r="A7828" s="1">
        <v>30214</v>
      </c>
      <c r="B7828" s="37" t="s">
        <v>11638</v>
      </c>
      <c r="C7828" s="38">
        <v>500</v>
      </c>
      <c r="D7828" s="29" t="s">
        <v>11639</v>
      </c>
      <c r="E7828" s="39" t="s">
        <v>5074</v>
      </c>
      <c r="F7828" t="str">
        <f t="shared" si="607"/>
        <v>Water's</v>
      </c>
      <c r="G7828" t="str">
        <f t="shared" si="608"/>
        <v>Water's500Lake Dallas</v>
      </c>
      <c r="H7828" t="s">
        <v>38683</v>
      </c>
      <c r="I7828" t="s">
        <v>17716</v>
      </c>
      <c r="J7828" t="str">
        <f t="shared" si="609"/>
        <v>E:\PropInv\MF</v>
      </c>
      <c r="K7828" s="103" t="str">
        <f>HYPERLINK("E:\PropInv\MF\Lake Dallas\Water's Edge_500_Luxury Senior Living Facility_Lake Dallas_60214","Water's Edge_500_Luxury Senior Living Facility_Lake Dallas_60214" )</f>
        <v>Water's Edge_500_Luxury Senior Living Facility_Lake Dallas_60214</v>
      </c>
      <c r="L7828" s="104" t="s">
        <v>22253</v>
      </c>
      <c r="N7828" s="1">
        <f t="shared" si="610"/>
        <v>60214</v>
      </c>
    </row>
    <row r="7829" spans="1:14" x14ac:dyDescent="0.3">
      <c r="A7829" s="1">
        <v>30215</v>
      </c>
      <c r="B7829" s="37" t="s">
        <v>11640</v>
      </c>
      <c r="C7829" s="38">
        <v>331</v>
      </c>
      <c r="D7829" s="29" t="s">
        <v>11641</v>
      </c>
      <c r="E7829" s="39" t="s">
        <v>11642</v>
      </c>
      <c r="F7829" t="str">
        <f t="shared" si="607"/>
        <v>Armstrong</v>
      </c>
      <c r="G7829" t="str">
        <f t="shared" si="608"/>
        <v>Armstrong331Lavon</v>
      </c>
      <c r="H7829" t="s">
        <v>38684</v>
      </c>
      <c r="I7829" t="s">
        <v>30095</v>
      </c>
      <c r="J7829" t="str">
        <f t="shared" si="609"/>
        <v>E:\PropInv\MF</v>
      </c>
      <c r="K7829" s="103" t="str">
        <f>HYPERLINK("E:\PropInv\MF\Lavon\Armstrong Ln_331_Grand Heritage Estates_Lavon_60215","Armstrong Ln_331_Grand Heritage Estates_Lavon_60215" )</f>
        <v>Armstrong Ln_331_Grand Heritage Estates_Lavon_60215</v>
      </c>
      <c r="L7829" s="104" t="s">
        <v>22253</v>
      </c>
      <c r="N7829" s="1">
        <f t="shared" si="610"/>
        <v>60215</v>
      </c>
    </row>
    <row r="7830" spans="1:14" x14ac:dyDescent="0.3">
      <c r="A7830" s="1">
        <v>30216</v>
      </c>
      <c r="B7830" s="19" t="s">
        <v>11643</v>
      </c>
      <c r="C7830" s="18">
        <v>1090</v>
      </c>
      <c r="D7830" s="19" t="s">
        <v>7908</v>
      </c>
      <c r="E7830" s="20" t="s">
        <v>5055</v>
      </c>
      <c r="F7830" t="str">
        <f t="shared" si="607"/>
        <v>Charles</v>
      </c>
      <c r="G7830" t="str">
        <f t="shared" si="608"/>
        <v>Charles1090Lewisville</v>
      </c>
      <c r="H7830" t="s">
        <v>38685</v>
      </c>
      <c r="I7830" t="s">
        <v>30096</v>
      </c>
      <c r="J7830" t="str">
        <f t="shared" si="609"/>
        <v>E:\PropInv\MF</v>
      </c>
      <c r="K7830" s="103" t="str">
        <f>HYPERLINK("E:\PropInv\MF\Lewisville\Charles St S_1090_St. Charles Place_Lewisville_60216","Charles St S_1090_St. Charles Place_Lewisville_60216" )</f>
        <v>Charles St S_1090_St. Charles Place_Lewisville_60216</v>
      </c>
      <c r="L7830" s="104" t="s">
        <v>22253</v>
      </c>
      <c r="N7830" s="1">
        <f t="shared" si="610"/>
        <v>60216</v>
      </c>
    </row>
    <row r="7831" spans="1:14" x14ac:dyDescent="0.3">
      <c r="A7831" s="1">
        <v>30217</v>
      </c>
      <c r="B7831" s="37" t="s">
        <v>5863</v>
      </c>
      <c r="C7831" s="38">
        <v>2500</v>
      </c>
      <c r="D7831" s="29" t="s">
        <v>11644</v>
      </c>
      <c r="E7831" s="39" t="s">
        <v>5055</v>
      </c>
      <c r="F7831" t="str">
        <f t="shared" si="607"/>
        <v>Windhaven</v>
      </c>
      <c r="G7831" t="str">
        <f t="shared" si="608"/>
        <v>Windhaven2500Lewisville</v>
      </c>
      <c r="H7831" t="s">
        <v>38686</v>
      </c>
      <c r="I7831" t="s">
        <v>30097</v>
      </c>
      <c r="J7831" t="str">
        <f t="shared" si="609"/>
        <v>E:\PropInv\MF</v>
      </c>
      <c r="K7831" s="103" t="str">
        <f>HYPERLINK("E:\PropInv\MF\Lewisville\Windhaven Pkwy_2500_Amaranth @544_Lewisville_60217","Windhaven Pkwy_2500_Amaranth @544_Lewisville_60217" )</f>
        <v>Windhaven Pkwy_2500_Amaranth @544_Lewisville_60217</v>
      </c>
      <c r="L7831" s="104" t="s">
        <v>22253</v>
      </c>
      <c r="N7831" s="1">
        <f t="shared" si="610"/>
        <v>60217</v>
      </c>
    </row>
    <row r="7832" spans="1:14" x14ac:dyDescent="0.3">
      <c r="A7832" s="1">
        <v>30218</v>
      </c>
      <c r="B7832" s="19" t="s">
        <v>11645</v>
      </c>
      <c r="C7832" s="18">
        <v>370</v>
      </c>
      <c r="D7832" s="19" t="s">
        <v>2497</v>
      </c>
      <c r="E7832" s="20" t="s">
        <v>8765</v>
      </c>
      <c r="F7832" t="str">
        <f t="shared" si="607"/>
        <v>36</v>
      </c>
      <c r="G7832" t="str">
        <f t="shared" si="608"/>
        <v>36370Mansfield</v>
      </c>
      <c r="H7832" t="s">
        <v>38687</v>
      </c>
      <c r="I7832" t="s">
        <v>30098</v>
      </c>
      <c r="J7832" t="str">
        <f t="shared" si="609"/>
        <v>E:\PropInv\MF</v>
      </c>
      <c r="K7832" s="103" t="str">
        <f>HYPERLINK("E:\PropInv\MF\Mansfield\36 SH N_370_NF_Mansfield_60218","36 SH N_370_NF_Mansfield_60218" )</f>
        <v>36 SH N_370_NF_Mansfield_60218</v>
      </c>
      <c r="L7832" s="104" t="s">
        <v>22253</v>
      </c>
      <c r="N7832" s="1">
        <f t="shared" si="610"/>
        <v>60218</v>
      </c>
    </row>
    <row r="7833" spans="1:14" x14ac:dyDescent="0.3">
      <c r="A7833" s="1">
        <v>30219</v>
      </c>
      <c r="B7833" s="37" t="s">
        <v>11646</v>
      </c>
      <c r="C7833" s="38">
        <v>1</v>
      </c>
      <c r="D7833" s="29" t="s">
        <v>11647</v>
      </c>
      <c r="E7833" s="39" t="s">
        <v>5043</v>
      </c>
      <c r="F7833" t="str">
        <f t="shared" si="607"/>
        <v>Custer</v>
      </c>
      <c r="G7833" t="str">
        <f t="shared" si="608"/>
        <v>Custer1McKinney</v>
      </c>
      <c r="H7833" t="s">
        <v>38688</v>
      </c>
      <c r="I7833" t="s">
        <v>30099</v>
      </c>
      <c r="J7833" t="str">
        <f t="shared" si="609"/>
        <v>E:\PropInv\MF</v>
      </c>
      <c r="K7833" s="103" t="str">
        <f>HYPERLINK("E:\PropInv\MF\McKinney\Custer NE_1_Stonebridge_McKinney_60219","Custer NE_1_Stonebridge_McKinney_60219" )</f>
        <v>Custer NE_1_Stonebridge_McKinney_60219</v>
      </c>
      <c r="L7833" s="104" t="s">
        <v>22253</v>
      </c>
      <c r="N7833" s="1">
        <f t="shared" si="610"/>
        <v>60219</v>
      </c>
    </row>
    <row r="7834" spans="1:14" x14ac:dyDescent="0.3">
      <c r="A7834" s="1">
        <v>30220</v>
      </c>
      <c r="B7834" s="37" t="s">
        <v>5041</v>
      </c>
      <c r="C7834" s="38">
        <v>5701</v>
      </c>
      <c r="D7834" s="29" t="s">
        <v>11648</v>
      </c>
      <c r="E7834" s="39" t="s">
        <v>5043</v>
      </c>
      <c r="F7834" t="str">
        <f t="shared" si="607"/>
        <v>Virginia</v>
      </c>
      <c r="G7834" t="str">
        <f t="shared" si="608"/>
        <v>Virginia5701McKinney</v>
      </c>
      <c r="H7834" t="s">
        <v>38689</v>
      </c>
      <c r="I7834" t="s">
        <v>30100</v>
      </c>
      <c r="J7834" t="str">
        <f t="shared" si="609"/>
        <v>E:\PropInv\MF</v>
      </c>
      <c r="K7834" s="103" t="str">
        <f>HYPERLINK("E:\PropInv\MF\McKinney\Virginia Pkwy_5701_Village of Stone Brooke_McKinney_60220","Virginia Pkwy_5701_Village of Stone Brooke_McKinney_60220" )</f>
        <v>Virginia Pkwy_5701_Village of Stone Brooke_McKinney_60220</v>
      </c>
      <c r="L7834" s="104" t="s">
        <v>22253</v>
      </c>
      <c r="N7834" s="1">
        <f t="shared" si="610"/>
        <v>60220</v>
      </c>
    </row>
    <row r="7835" spans="1:14" x14ac:dyDescent="0.3">
      <c r="A7835" s="1">
        <v>30221</v>
      </c>
      <c r="B7835" s="37" t="s">
        <v>4820</v>
      </c>
      <c r="C7835" s="38">
        <v>1802</v>
      </c>
      <c r="D7835" s="29" t="s">
        <v>5103</v>
      </c>
      <c r="E7835" s="39" t="s">
        <v>5088</v>
      </c>
      <c r="F7835" t="str">
        <f t="shared" si="607"/>
        <v>Baker</v>
      </c>
      <c r="G7835" t="str">
        <f t="shared" si="608"/>
        <v>Baker1802Mesquite</v>
      </c>
      <c r="H7835" t="s">
        <v>38690</v>
      </c>
      <c r="I7835" t="s">
        <v>30101</v>
      </c>
      <c r="J7835" t="str">
        <f t="shared" si="609"/>
        <v>E:\PropInv\MF</v>
      </c>
      <c r="K7835" s="103" t="str">
        <f>HYPERLINK("E:\PropInv\MF\Mesquite\Baker Dr_1802_Baker Square_Mesquite_60221","Baker Dr_1802_Baker Square_Mesquite_60221" )</f>
        <v>Baker Dr_1802_Baker Square_Mesquite_60221</v>
      </c>
      <c r="L7835" s="104" t="s">
        <v>22253</v>
      </c>
      <c r="N7835" s="1">
        <f t="shared" si="610"/>
        <v>60221</v>
      </c>
    </row>
    <row r="7836" spans="1:14" x14ac:dyDescent="0.3">
      <c r="A7836" s="1">
        <v>30222</v>
      </c>
      <c r="B7836" s="37" t="s">
        <v>5109</v>
      </c>
      <c r="C7836" s="38">
        <v>2707</v>
      </c>
      <c r="D7836" s="29" t="s">
        <v>11649</v>
      </c>
      <c r="E7836" s="39" t="s">
        <v>5088</v>
      </c>
      <c r="F7836" t="str">
        <f t="shared" si="607"/>
        <v>80</v>
      </c>
      <c r="G7836" t="str">
        <f t="shared" si="608"/>
        <v>802707Mesquite</v>
      </c>
      <c r="H7836" t="s">
        <v>38691</v>
      </c>
      <c r="I7836" t="s">
        <v>30102</v>
      </c>
      <c r="J7836" t="str">
        <f t="shared" si="609"/>
        <v>E:\PropInv\MF</v>
      </c>
      <c r="K7836" s="103" t="str">
        <f>HYPERLINK("E:\PropInv\MF\Mesquite\80 US Hwy E_2707_Oakwood Village Apts_Mesquite_60222","80 US Hwy E_2707_Oakwood Village Apts_Mesquite_60222" )</f>
        <v>80 US Hwy E_2707_Oakwood Village Apts_Mesquite_60222</v>
      </c>
      <c r="L7836" s="104" t="s">
        <v>22253</v>
      </c>
      <c r="N7836" s="1">
        <f t="shared" si="610"/>
        <v>60222</v>
      </c>
    </row>
    <row r="7837" spans="1:14" x14ac:dyDescent="0.3">
      <c r="A7837" s="1">
        <v>30223</v>
      </c>
      <c r="B7837" s="7" t="s">
        <v>5249</v>
      </c>
      <c r="C7837" s="40">
        <v>2119</v>
      </c>
      <c r="D7837" s="36" t="s">
        <v>2497</v>
      </c>
      <c r="E7837" s="41" t="s">
        <v>5088</v>
      </c>
      <c r="F7837" t="str">
        <f t="shared" si="607"/>
        <v>Hillcrest</v>
      </c>
      <c r="G7837" t="str">
        <f t="shared" si="608"/>
        <v>Hillcrest2119Mesquite</v>
      </c>
      <c r="H7837" t="s">
        <v>38692</v>
      </c>
      <c r="I7837" t="s">
        <v>30103</v>
      </c>
      <c r="J7837" t="str">
        <f t="shared" si="609"/>
        <v>E:\PropInv\MF</v>
      </c>
      <c r="K7837" s="103" t="str">
        <f>HYPERLINK("E:\PropInv\MF\Mesquite\Hillcrest St_2119_NF_Mesquite_60223","Hillcrest St_2119_NF_Mesquite_60223" )</f>
        <v>Hillcrest St_2119_NF_Mesquite_60223</v>
      </c>
      <c r="L7837" s="104" t="s">
        <v>22253</v>
      </c>
      <c r="N7837" s="1">
        <f t="shared" si="610"/>
        <v>60223</v>
      </c>
    </row>
    <row r="7838" spans="1:14" x14ac:dyDescent="0.3">
      <c r="A7838" s="1">
        <v>30224</v>
      </c>
      <c r="B7838" s="37" t="s">
        <v>22241</v>
      </c>
      <c r="C7838" s="52">
        <v>721</v>
      </c>
      <c r="D7838" s="29" t="s">
        <v>9104</v>
      </c>
      <c r="E7838" s="39" t="s">
        <v>8116</v>
      </c>
      <c r="F7838" t="str">
        <f t="shared" si="607"/>
        <v>Eastridge</v>
      </c>
      <c r="G7838" t="str">
        <f t="shared" si="608"/>
        <v>Eastridge721Midlothian</v>
      </c>
      <c r="H7838" t="s">
        <v>38693</v>
      </c>
      <c r="I7838" t="s">
        <v>30104</v>
      </c>
      <c r="J7838" t="str">
        <f t="shared" si="609"/>
        <v>E:\PropInv\MF</v>
      </c>
      <c r="K7838" s="103" t="str">
        <f>HYPERLINK("E:\PropInv\MF\Midlothian\Eastridge Dr_721_Timber Oaks Apts_Midlothian_60224","Eastridge Dr_721_Timber Oaks Apts_Midlothian_60224" )</f>
        <v>Eastridge Dr_721_Timber Oaks Apts_Midlothian_60224</v>
      </c>
      <c r="L7838" s="104" t="s">
        <v>22253</v>
      </c>
      <c r="N7838" s="1">
        <f t="shared" si="610"/>
        <v>60224</v>
      </c>
    </row>
    <row r="7839" spans="1:14" x14ac:dyDescent="0.3">
      <c r="A7839" s="1">
        <v>30225</v>
      </c>
      <c r="B7839" s="37" t="s">
        <v>11650</v>
      </c>
      <c r="C7839" s="52">
        <v>9101</v>
      </c>
      <c r="D7839" s="29" t="s">
        <v>11651</v>
      </c>
      <c r="E7839" s="39" t="s">
        <v>6541</v>
      </c>
      <c r="F7839" t="str">
        <f t="shared" si="607"/>
        <v>26</v>
      </c>
      <c r="G7839" t="str">
        <f t="shared" si="608"/>
        <v>269101North Richland Hills</v>
      </c>
      <c r="H7839" t="s">
        <v>38694</v>
      </c>
      <c r="I7839" t="s">
        <v>30105</v>
      </c>
      <c r="J7839" t="str">
        <f t="shared" si="609"/>
        <v>E:\PropInv\MF</v>
      </c>
      <c r="K7839" s="103" t="str">
        <f>HYPERLINK("E:\PropInv\MF\North Richland Hills\26 Blvd_9101_Venue at Hometown_North Richland Hills_60225","26 Blvd_9101_Venue at Hometown_North Richland Hills_60225" )</f>
        <v>26 Blvd_9101_Venue at Hometown_North Richland Hills_60225</v>
      </c>
      <c r="L7839" s="104" t="s">
        <v>22253</v>
      </c>
      <c r="N7839" s="1">
        <f t="shared" si="610"/>
        <v>60225</v>
      </c>
    </row>
    <row r="7840" spans="1:14" x14ac:dyDescent="0.3">
      <c r="A7840" s="1">
        <v>30226</v>
      </c>
      <c r="B7840" s="7" t="s">
        <v>879</v>
      </c>
      <c r="C7840" s="12">
        <v>8435</v>
      </c>
      <c r="D7840" s="7" t="s">
        <v>2497</v>
      </c>
      <c r="E7840" s="13" t="s">
        <v>6541</v>
      </c>
      <c r="F7840" t="str">
        <f t="shared" si="607"/>
        <v>Thousand</v>
      </c>
      <c r="G7840" t="str">
        <f t="shared" si="608"/>
        <v>Thousand8435North Richland Hills</v>
      </c>
      <c r="H7840" t="s">
        <v>38695</v>
      </c>
      <c r="I7840" t="s">
        <v>30106</v>
      </c>
      <c r="J7840" t="str">
        <f t="shared" si="609"/>
        <v>E:\PropInv\MF</v>
      </c>
      <c r="K7840" s="103" t="str">
        <f>HYPERLINK("E:\PropInv\MF\North Richland Hills\Thousand Oaks Dr_8435_NF_North Richland Hills_60226","Thousand Oaks Dr_8435_NF_North Richland Hills_60226" )</f>
        <v>Thousand Oaks Dr_8435_NF_North Richland Hills_60226</v>
      </c>
      <c r="L7840" s="104" t="s">
        <v>22253</v>
      </c>
      <c r="N7840" s="1">
        <f t="shared" si="610"/>
        <v>60226</v>
      </c>
    </row>
    <row r="7841" spans="1:14" x14ac:dyDescent="0.3">
      <c r="A7841" s="1">
        <v>30227</v>
      </c>
      <c r="B7841" s="19" t="s">
        <v>11652</v>
      </c>
      <c r="C7841" s="18">
        <v>3206</v>
      </c>
      <c r="D7841" s="19" t="s">
        <v>11653</v>
      </c>
      <c r="E7841" s="20" t="s">
        <v>11654</v>
      </c>
      <c r="F7841" t="str">
        <f t="shared" si="607"/>
        <v>Green</v>
      </c>
      <c r="G7841" t="str">
        <f t="shared" si="608"/>
        <v>Green3206Pantego</v>
      </c>
      <c r="H7841" t="s">
        <v>38696</v>
      </c>
      <c r="I7841" t="s">
        <v>30107</v>
      </c>
      <c r="J7841" t="str">
        <f t="shared" si="609"/>
        <v>E:\PropInv\MF</v>
      </c>
      <c r="K7841" s="103" t="str">
        <f>HYPERLINK("E:\PropInv\MF\Pantego\Green Tee Dr_3206_Shady Valley Square_Pantego_60227","Green Tee Dr_3206_Shady Valley Square_Pantego_60227" )</f>
        <v>Green Tee Dr_3206_Shady Valley Square_Pantego_60227</v>
      </c>
      <c r="L7841" s="104" t="s">
        <v>22253</v>
      </c>
      <c r="N7841" s="1">
        <f t="shared" si="610"/>
        <v>60227</v>
      </c>
    </row>
    <row r="7842" spans="1:14" x14ac:dyDescent="0.3">
      <c r="A7842" s="1">
        <v>30228</v>
      </c>
      <c r="B7842" s="7" t="s">
        <v>2181</v>
      </c>
      <c r="C7842" s="40">
        <v>4800</v>
      </c>
      <c r="D7842" s="36" t="s">
        <v>11655</v>
      </c>
      <c r="E7842" s="41" t="s">
        <v>5009</v>
      </c>
      <c r="F7842" t="str">
        <f t="shared" si="607"/>
        <v>Parker</v>
      </c>
      <c r="G7842" t="str">
        <f t="shared" si="608"/>
        <v>Parker4800Plano</v>
      </c>
      <c r="H7842" t="s">
        <v>38697</v>
      </c>
      <c r="I7842" t="s">
        <v>30108</v>
      </c>
      <c r="J7842" t="str">
        <f t="shared" si="609"/>
        <v>E:\PropInv\MF</v>
      </c>
      <c r="K7842" s="103" t="str">
        <f>HYPERLINK("E:\PropInv\MF\Plano\Parker Rd W_4800_Sunrise Of Plano Apts_Plano_60228","Parker Rd W_4800_Sunrise Of Plano Apts_Plano_60228" )</f>
        <v>Parker Rd W_4800_Sunrise Of Plano Apts_Plano_60228</v>
      </c>
      <c r="L7842" s="104" t="s">
        <v>22253</v>
      </c>
      <c r="N7842" s="1">
        <f t="shared" si="610"/>
        <v>60228</v>
      </c>
    </row>
    <row r="7843" spans="1:14" x14ac:dyDescent="0.3">
      <c r="A7843" s="1">
        <v>30229</v>
      </c>
      <c r="B7843" s="7" t="s">
        <v>5609</v>
      </c>
      <c r="C7843" s="40">
        <v>1940</v>
      </c>
      <c r="D7843" s="36" t="s">
        <v>11656</v>
      </c>
      <c r="E7843" s="41" t="s">
        <v>5009</v>
      </c>
      <c r="F7843" t="str">
        <f t="shared" si="607"/>
        <v>Spring</v>
      </c>
      <c r="G7843" t="str">
        <f t="shared" si="608"/>
        <v>Spring1940Plano</v>
      </c>
      <c r="H7843" t="s">
        <v>38698</v>
      </c>
      <c r="I7843" t="s">
        <v>30109</v>
      </c>
      <c r="J7843" t="str">
        <f t="shared" si="609"/>
        <v>E:\PropInv\MF</v>
      </c>
      <c r="K7843" s="103" t="str">
        <f>HYPERLINK("E:\PropInv\MF\Plano\Spring Creek Pkwy W_1940_Cottonwood Estates_Plano_60229","Spring Creek Pkwy W_1940_Cottonwood Estates_Plano_60229" )</f>
        <v>Spring Creek Pkwy W_1940_Cottonwood Estates_Plano_60229</v>
      </c>
      <c r="L7843" s="104" t="s">
        <v>22253</v>
      </c>
      <c r="N7843" s="1">
        <f t="shared" si="610"/>
        <v>60229</v>
      </c>
    </row>
    <row r="7844" spans="1:14" x14ac:dyDescent="0.3">
      <c r="A7844" s="1">
        <v>30230</v>
      </c>
      <c r="B7844" s="19" t="s">
        <v>11657</v>
      </c>
      <c r="C7844" s="18">
        <v>407</v>
      </c>
      <c r="D7844" s="54" t="s">
        <v>11658</v>
      </c>
      <c r="E7844" s="20" t="s">
        <v>5862</v>
      </c>
      <c r="F7844" t="str">
        <f t="shared" si="607"/>
        <v>Red</v>
      </c>
      <c r="G7844" t="str">
        <f t="shared" si="608"/>
        <v>Red407Red Oak</v>
      </c>
      <c r="H7844" t="s">
        <v>38699</v>
      </c>
      <c r="I7844" t="s">
        <v>30110</v>
      </c>
      <c r="J7844" t="str">
        <f t="shared" si="609"/>
        <v>E:\PropInv\MF</v>
      </c>
      <c r="K7844" s="103" t="str">
        <f>HYPERLINK("E:\PropInv\MF\Red Oak\Red Oak Rd W_407_Red Oak Portfolio_Red Oak_60230","Red Oak Rd W_407_Red Oak Portfolio_Red Oak_60230" )</f>
        <v>Red Oak Rd W_407_Red Oak Portfolio_Red Oak_60230</v>
      </c>
      <c r="L7844" s="104" t="s">
        <v>22253</v>
      </c>
      <c r="N7844" s="1">
        <f t="shared" si="610"/>
        <v>60230</v>
      </c>
    </row>
    <row r="7845" spans="1:14" x14ac:dyDescent="0.3">
      <c r="A7845" s="1">
        <v>30231</v>
      </c>
      <c r="B7845" s="19" t="s">
        <v>11659</v>
      </c>
      <c r="C7845" s="18">
        <v>1400</v>
      </c>
      <c r="D7845" s="19" t="s">
        <v>2497</v>
      </c>
      <c r="E7845" s="39" t="s">
        <v>3328</v>
      </c>
      <c r="F7845" t="str">
        <f t="shared" si="607"/>
        <v>Cavalier</v>
      </c>
      <c r="G7845" t="str">
        <f t="shared" si="608"/>
        <v>Cavalier1400Richardson</v>
      </c>
      <c r="H7845" t="s">
        <v>38700</v>
      </c>
      <c r="I7845" t="s">
        <v>30111</v>
      </c>
      <c r="J7845" t="str">
        <f t="shared" si="609"/>
        <v>E:\PropInv\MF</v>
      </c>
      <c r="K7845" s="103" t="str">
        <f>HYPERLINK("E:\PropInv\MF\Richardson\Cavalier Dr_1400_NF_Richardson_60231","Cavalier Dr_1400_NF_Richardson_60231" )</f>
        <v>Cavalier Dr_1400_NF_Richardson_60231</v>
      </c>
      <c r="L7845" s="104" t="s">
        <v>22253</v>
      </c>
      <c r="N7845" s="1">
        <f t="shared" si="610"/>
        <v>60231</v>
      </c>
    </row>
    <row r="7846" spans="1:14" x14ac:dyDescent="0.3">
      <c r="A7846" s="1">
        <v>30232</v>
      </c>
      <c r="B7846" s="36" t="s">
        <v>10855</v>
      </c>
      <c r="C7846" s="40">
        <v>951</v>
      </c>
      <c r="D7846" s="36" t="s">
        <v>2497</v>
      </c>
      <c r="E7846" s="41" t="s">
        <v>3328</v>
      </c>
      <c r="F7846" t="str">
        <f t="shared" si="607"/>
        <v>Greenside</v>
      </c>
      <c r="G7846" t="str">
        <f t="shared" si="608"/>
        <v>Greenside951Richardson</v>
      </c>
      <c r="H7846" t="s">
        <v>38701</v>
      </c>
      <c r="I7846" t="s">
        <v>30112</v>
      </c>
      <c r="J7846" t="str">
        <f t="shared" si="609"/>
        <v>E:\PropInv\MF</v>
      </c>
      <c r="K7846" s="103" t="str">
        <f>HYPERLINK("E:\PropInv\MF\Richardson\Greenside Dr_951_NF_Richardson_60232","Greenside Dr_951_NF_Richardson_60232" )</f>
        <v>Greenside Dr_951_NF_Richardson_60232</v>
      </c>
      <c r="L7846" s="104" t="s">
        <v>22253</v>
      </c>
      <c r="N7846" s="1">
        <f t="shared" si="610"/>
        <v>60232</v>
      </c>
    </row>
    <row r="7847" spans="1:14" x14ac:dyDescent="0.3">
      <c r="A7847" s="1">
        <v>30233</v>
      </c>
      <c r="B7847" s="7" t="s">
        <v>11318</v>
      </c>
      <c r="C7847" s="12">
        <v>3500</v>
      </c>
      <c r="D7847" s="19" t="s">
        <v>2497</v>
      </c>
      <c r="E7847" s="13" t="s">
        <v>3328</v>
      </c>
      <c r="F7847" t="str">
        <f t="shared" si="607"/>
        <v>Star</v>
      </c>
      <c r="G7847" t="str">
        <f t="shared" si="608"/>
        <v>Star3500Richardson</v>
      </c>
      <c r="H7847" t="s">
        <v>38702</v>
      </c>
      <c r="I7847" t="s">
        <v>30113</v>
      </c>
      <c r="J7847" t="str">
        <f t="shared" si="609"/>
        <v>E:\PropInv\MF</v>
      </c>
      <c r="K7847" s="103" t="str">
        <f>HYPERLINK("E:\PropInv\MF\Richardson\Star Rd N_3500_NF_Richardson_60233","Star Rd N_3500_NF_Richardson_60233" )</f>
        <v>Star Rd N_3500_NF_Richardson_60233</v>
      </c>
      <c r="L7847" s="104" t="s">
        <v>22253</v>
      </c>
      <c r="N7847" s="1">
        <f t="shared" si="610"/>
        <v>60233</v>
      </c>
    </row>
    <row r="7848" spans="1:14" x14ac:dyDescent="0.3">
      <c r="A7848" s="1">
        <v>30234</v>
      </c>
      <c r="B7848" s="29" t="s">
        <v>548</v>
      </c>
      <c r="C7848" s="52">
        <v>6505</v>
      </c>
      <c r="D7848" s="29" t="s">
        <v>11660</v>
      </c>
      <c r="E7848" s="39" t="s">
        <v>6799</v>
      </c>
      <c r="F7848" t="str">
        <f t="shared" si="607"/>
        <v>Park</v>
      </c>
      <c r="G7848" t="str">
        <f t="shared" si="608"/>
        <v>Park6505Richland Hills</v>
      </c>
      <c r="H7848" t="s">
        <v>38703</v>
      </c>
      <c r="I7848" t="s">
        <v>30114</v>
      </c>
      <c r="J7848" t="str">
        <f t="shared" si="609"/>
        <v>E:\PropInv\MF</v>
      </c>
      <c r="K7848" s="103" t="str">
        <f>HYPERLINK("E:\PropInv\MF\Richland Hills\Park Place_6505_Richland Place Apts_Richland Hills_60234","Park Place_6505_Richland Place Apts_Richland Hills_60234" )</f>
        <v>Park Place_6505_Richland Place Apts_Richland Hills_60234</v>
      </c>
      <c r="L7848" s="104" t="s">
        <v>22253</v>
      </c>
      <c r="N7848" s="1">
        <f t="shared" si="610"/>
        <v>60234</v>
      </c>
    </row>
    <row r="7849" spans="1:14" x14ac:dyDescent="0.3">
      <c r="A7849" s="1">
        <v>30235</v>
      </c>
      <c r="B7849" s="29" t="s">
        <v>5787</v>
      </c>
      <c r="C7849" s="52">
        <v>108</v>
      </c>
      <c r="D7849" s="29" t="s">
        <v>11661</v>
      </c>
      <c r="E7849" s="39" t="s">
        <v>5236</v>
      </c>
      <c r="F7849" t="str">
        <f t="shared" si="607"/>
        <v>Lake</v>
      </c>
      <c r="G7849" t="str">
        <f t="shared" si="608"/>
        <v>Lake108Rockwall</v>
      </c>
      <c r="H7849" t="s">
        <v>38704</v>
      </c>
      <c r="I7849" t="s">
        <v>18589</v>
      </c>
      <c r="J7849" t="str">
        <f t="shared" si="609"/>
        <v>E:\PropInv\MF</v>
      </c>
      <c r="K7849" s="103" t="str">
        <f>HYPERLINK("E:\PropInv\MF\Rockwall\Lake Meadows_108_Rockwall Condos_Rockwall_60235","Lake Meadows_108_Rockwall Condos_Rockwall_60235" )</f>
        <v>Lake Meadows_108_Rockwall Condos_Rockwall_60235</v>
      </c>
      <c r="L7849" s="104" t="s">
        <v>22253</v>
      </c>
      <c r="N7849" s="1">
        <f t="shared" si="610"/>
        <v>60235</v>
      </c>
    </row>
    <row r="7850" spans="1:14" x14ac:dyDescent="0.3">
      <c r="A7850" s="1">
        <v>30236</v>
      </c>
      <c r="B7850" s="29" t="s">
        <v>11662</v>
      </c>
      <c r="C7850" s="52">
        <v>7400</v>
      </c>
      <c r="D7850" s="29" t="s">
        <v>11663</v>
      </c>
      <c r="E7850" s="39" t="s">
        <v>7964</v>
      </c>
      <c r="F7850" t="str">
        <f t="shared" si="607"/>
        <v>Chiesa</v>
      </c>
      <c r="G7850" t="str">
        <f t="shared" si="608"/>
        <v>Chiesa7400Rowlett</v>
      </c>
      <c r="H7850" t="s">
        <v>38705</v>
      </c>
      <c r="I7850" t="s">
        <v>30115</v>
      </c>
      <c r="J7850" t="str">
        <f t="shared" si="609"/>
        <v>E:\PropInv\MF</v>
      </c>
      <c r="K7850" s="103" t="str">
        <f>HYPERLINK("E:\PropInv\MF\Rowlett\Chiesa Rd_7400_Chiesa Estates-Hillcrest_Rowlett_60236","Chiesa Rd_7400_Chiesa Estates-Hillcrest_Rowlett_60236" )</f>
        <v>Chiesa Rd_7400_Chiesa Estates-Hillcrest_Rowlett_60236</v>
      </c>
      <c r="L7850" s="104" t="s">
        <v>22253</v>
      </c>
      <c r="N7850" s="1">
        <f t="shared" si="610"/>
        <v>60236</v>
      </c>
    </row>
    <row r="7851" spans="1:14" x14ac:dyDescent="0.3">
      <c r="A7851" s="1">
        <v>30237</v>
      </c>
      <c r="B7851" s="29" t="s">
        <v>11664</v>
      </c>
      <c r="C7851" s="52">
        <v>805</v>
      </c>
      <c r="D7851" s="29" t="s">
        <v>7535</v>
      </c>
      <c r="E7851" s="39" t="s">
        <v>8395</v>
      </c>
      <c r="F7851" t="str">
        <f t="shared" si="607"/>
        <v>Lilian</v>
      </c>
      <c r="G7851" t="str">
        <f t="shared" si="608"/>
        <v>Lilian805Stephenville</v>
      </c>
      <c r="H7851" t="s">
        <v>38706</v>
      </c>
      <c r="I7851" t="s">
        <v>30116</v>
      </c>
      <c r="J7851" t="str">
        <f t="shared" si="609"/>
        <v>E:\PropInv\MF</v>
      </c>
      <c r="K7851" s="103" t="str">
        <f>HYPERLINK("E:\PropInv\MF\Stephenville\Lilian N_805_University Village_Stephenville_60237","Lilian N_805_University Village_Stephenville_60237" )</f>
        <v>Lilian N_805_University Village_Stephenville_60237</v>
      </c>
      <c r="L7851" s="104" t="s">
        <v>22253</v>
      </c>
      <c r="N7851" s="1">
        <f t="shared" si="610"/>
        <v>60237</v>
      </c>
    </row>
    <row r="7852" spans="1:14" x14ac:dyDescent="0.3">
      <c r="A7852" s="1">
        <v>30238</v>
      </c>
      <c r="B7852" s="29" t="s">
        <v>11665</v>
      </c>
      <c r="C7852" s="52">
        <v>100</v>
      </c>
      <c r="D7852" s="29" t="s">
        <v>11666</v>
      </c>
      <c r="E7852" s="39" t="s">
        <v>8395</v>
      </c>
      <c r="F7852" t="str">
        <f t="shared" si="607"/>
        <v>Bluebonnet</v>
      </c>
      <c r="G7852" t="str">
        <f t="shared" si="608"/>
        <v>Bluebonnet100Stephenville</v>
      </c>
      <c r="H7852" t="s">
        <v>38707</v>
      </c>
      <c r="I7852" t="s">
        <v>30117</v>
      </c>
      <c r="J7852" t="str">
        <f t="shared" si="609"/>
        <v>E:\PropInv\MF</v>
      </c>
      <c r="K7852" s="103" t="str">
        <f>HYPERLINK("E:\PropInv\MF\Stephenville\Bluebonnet W_100_Bluebonnet_Stephenville_60238","Bluebonnet W_100_Bluebonnet_Stephenville_60238" )</f>
        <v>Bluebonnet W_100_Bluebonnet_Stephenville_60238</v>
      </c>
      <c r="L7852" s="104" t="s">
        <v>22253</v>
      </c>
      <c r="N7852" s="1">
        <f t="shared" si="610"/>
        <v>60238</v>
      </c>
    </row>
    <row r="7853" spans="1:14" x14ac:dyDescent="0.3">
      <c r="A7853" s="1">
        <v>30239</v>
      </c>
      <c r="B7853" s="29" t="s">
        <v>11667</v>
      </c>
      <c r="C7853" s="38">
        <v>1400</v>
      </c>
      <c r="D7853" s="29" t="s">
        <v>11668</v>
      </c>
      <c r="E7853" s="39" t="s">
        <v>8395</v>
      </c>
      <c r="F7853" t="str">
        <f t="shared" si="607"/>
        <v>Swan</v>
      </c>
      <c r="G7853" t="str">
        <f t="shared" si="608"/>
        <v>Swan1400Stephenville</v>
      </c>
      <c r="H7853" t="s">
        <v>38708</v>
      </c>
      <c r="I7853" t="s">
        <v>30118</v>
      </c>
      <c r="J7853" t="str">
        <f t="shared" si="609"/>
        <v>E:\PropInv\MF</v>
      </c>
      <c r="K7853" s="103" t="str">
        <f>HYPERLINK("E:\PropInv\MF\Stephenville\Swan St W_1400_Royal ManorApts_Stephenville_60239","Swan St W_1400_Royal ManorApts_Stephenville_60239" )</f>
        <v>Swan St W_1400_Royal ManorApts_Stephenville_60239</v>
      </c>
      <c r="L7853" s="104" t="s">
        <v>22253</v>
      </c>
      <c r="N7853" s="1">
        <f t="shared" si="610"/>
        <v>60239</v>
      </c>
    </row>
    <row r="7854" spans="1:14" x14ac:dyDescent="0.3">
      <c r="A7854" s="1">
        <v>30240</v>
      </c>
      <c r="B7854" s="29" t="s">
        <v>11669</v>
      </c>
      <c r="C7854" s="52">
        <v>1451</v>
      </c>
      <c r="D7854" s="29" t="s">
        <v>11670</v>
      </c>
      <c r="E7854" s="39" t="s">
        <v>5638</v>
      </c>
      <c r="F7854" t="str">
        <f t="shared" si="607"/>
        <v>Colquitt</v>
      </c>
      <c r="G7854" t="str">
        <f t="shared" si="608"/>
        <v>Colquitt1451Terrell</v>
      </c>
      <c r="H7854" t="s">
        <v>38709</v>
      </c>
      <c r="I7854" t="s">
        <v>30119</v>
      </c>
      <c r="J7854" t="str">
        <f t="shared" si="609"/>
        <v>E:\PropInv\MF</v>
      </c>
      <c r="K7854" s="103" t="str">
        <f>HYPERLINK("E:\PropInv\MF\Terrell\Colquitt Rd_1451_Country Club Manor_Terrell_60240","Colquitt Rd_1451_Country Club Manor_Terrell_60240" )</f>
        <v>Colquitt Rd_1451_Country Club Manor_Terrell_60240</v>
      </c>
      <c r="L7854" s="104" t="s">
        <v>22253</v>
      </c>
      <c r="N7854" s="1">
        <f t="shared" si="610"/>
        <v>60240</v>
      </c>
    </row>
    <row r="7855" spans="1:14" x14ac:dyDescent="0.3">
      <c r="A7855" s="1">
        <v>30241</v>
      </c>
      <c r="B7855" s="29" t="s">
        <v>6021</v>
      </c>
      <c r="C7855" s="38">
        <v>100</v>
      </c>
      <c r="D7855" s="29" t="s">
        <v>11671</v>
      </c>
      <c r="E7855" s="39" t="s">
        <v>5638</v>
      </c>
      <c r="F7855" t="str">
        <f t="shared" si="607"/>
        <v>Lovers</v>
      </c>
      <c r="G7855" t="str">
        <f t="shared" si="608"/>
        <v>Lovers100Terrell</v>
      </c>
      <c r="H7855" t="s">
        <v>38710</v>
      </c>
      <c r="I7855" t="s">
        <v>30120</v>
      </c>
      <c r="J7855" t="str">
        <f t="shared" si="609"/>
        <v>E:\PropInv\MF</v>
      </c>
      <c r="K7855" s="103" t="str">
        <f>HYPERLINK("E:\PropInv\MF\Terrell\Lovers Ln_100_Virginia Anne Apts_Terrell_60241","Lovers Ln_100_Virginia Anne Apts_Terrell_60241" )</f>
        <v>Lovers Ln_100_Virginia Anne Apts_Terrell_60241</v>
      </c>
      <c r="L7855" s="104" t="s">
        <v>22253</v>
      </c>
      <c r="N7855" s="1">
        <f t="shared" si="610"/>
        <v>60241</v>
      </c>
    </row>
    <row r="7856" spans="1:14" x14ac:dyDescent="0.3">
      <c r="A7856" s="1">
        <v>30242</v>
      </c>
      <c r="B7856" s="29" t="s">
        <v>11672</v>
      </c>
      <c r="C7856" s="52">
        <v>1001</v>
      </c>
      <c r="D7856" s="29" t="s">
        <v>11673</v>
      </c>
      <c r="E7856" s="39" t="s">
        <v>5638</v>
      </c>
      <c r="F7856" t="str">
        <f t="shared" si="607"/>
        <v>Mineral</v>
      </c>
      <c r="G7856" t="str">
        <f t="shared" si="608"/>
        <v>Mineral1001Terrell</v>
      </c>
      <c r="H7856" t="s">
        <v>38711</v>
      </c>
      <c r="I7856" t="s">
        <v>30121</v>
      </c>
      <c r="J7856" t="str">
        <f t="shared" si="609"/>
        <v>E:\PropInv\MF</v>
      </c>
      <c r="K7856" s="103" t="str">
        <f>HYPERLINK("E:\PropInv\MF\Terrell\Mineral Wells St_1001_Texas Apts_Terrell_60242","Mineral Wells St_1001_Texas Apts_Terrell_60242" )</f>
        <v>Mineral Wells St_1001_Texas Apts_Terrell_60242</v>
      </c>
      <c r="L7856" s="104" t="s">
        <v>22253</v>
      </c>
      <c r="N7856" s="1">
        <f t="shared" si="610"/>
        <v>60242</v>
      </c>
    </row>
    <row r="7857" spans="1:14" x14ac:dyDescent="0.3">
      <c r="A7857" s="1">
        <v>30243</v>
      </c>
      <c r="B7857" s="29" t="s">
        <v>11674</v>
      </c>
      <c r="C7857" s="52">
        <v>2390</v>
      </c>
      <c r="D7857" s="29" t="s">
        <v>11675</v>
      </c>
      <c r="E7857" s="39" t="s">
        <v>5638</v>
      </c>
      <c r="F7857" t="str">
        <f t="shared" si="607"/>
        <v>Moore</v>
      </c>
      <c r="G7857" t="str">
        <f t="shared" si="608"/>
        <v>Moore2390Terrell</v>
      </c>
      <c r="H7857" t="s">
        <v>38712</v>
      </c>
      <c r="I7857" t="s">
        <v>30122</v>
      </c>
      <c r="J7857" t="str">
        <f t="shared" si="609"/>
        <v>E:\PropInv\MF</v>
      </c>
      <c r="K7857" s="103" t="str">
        <f>HYPERLINK("E:\PropInv\MF\Terrell\Moore Ave W_2390_Terrell Crossing-Parcel 71_Terrell_60243","Moore Ave W_2390_Terrell Crossing-Parcel 71_Terrell_60243" )</f>
        <v>Moore Ave W_2390_Terrell Crossing-Parcel 71_Terrell_60243</v>
      </c>
      <c r="L7857" s="104" t="s">
        <v>22253</v>
      </c>
      <c r="N7857" s="1">
        <f t="shared" si="610"/>
        <v>60243</v>
      </c>
    </row>
    <row r="7858" spans="1:14" x14ac:dyDescent="0.3">
      <c r="A7858" s="1">
        <v>30244</v>
      </c>
      <c r="B7858" s="19" t="s">
        <v>11676</v>
      </c>
      <c r="C7858" s="18">
        <v>3351</v>
      </c>
      <c r="D7858" s="19" t="s">
        <v>11677</v>
      </c>
      <c r="E7858" s="20" t="s">
        <v>9012</v>
      </c>
      <c r="F7858" t="str">
        <f t="shared" si="607"/>
        <v>Cascades</v>
      </c>
      <c r="G7858" t="str">
        <f t="shared" si="608"/>
        <v>Cascades3351Tyler</v>
      </c>
      <c r="H7858" t="s">
        <v>38713</v>
      </c>
      <c r="I7858" t="s">
        <v>30123</v>
      </c>
      <c r="J7858" t="str">
        <f t="shared" si="609"/>
        <v>E:\PropInv\MF</v>
      </c>
      <c r="K7858" s="103" t="str">
        <f>HYPERLINK("E:\PropInv\MF\Tyler\Cascades Ct_3351_Cascades Lake Towers_Tyler_60244","Cascades Ct_3351_Cascades Lake Towers_Tyler_60244" )</f>
        <v>Cascades Ct_3351_Cascades Lake Towers_Tyler_60244</v>
      </c>
      <c r="L7858" s="104" t="s">
        <v>22253</v>
      </c>
      <c r="N7858" s="1">
        <f t="shared" si="610"/>
        <v>60244</v>
      </c>
    </row>
    <row r="7859" spans="1:14" x14ac:dyDescent="0.3">
      <c r="A7859" s="1">
        <v>30245</v>
      </c>
      <c r="B7859" s="7" t="s">
        <v>9994</v>
      </c>
      <c r="C7859" s="12">
        <v>4141</v>
      </c>
      <c r="D7859" s="19" t="s">
        <v>2497</v>
      </c>
      <c r="E7859" s="13" t="s">
        <v>9012</v>
      </c>
      <c r="F7859" t="str">
        <f t="shared" si="607"/>
        <v>Hogan</v>
      </c>
      <c r="G7859" t="str">
        <f t="shared" si="608"/>
        <v>Hogan4141Tyler</v>
      </c>
      <c r="H7859" t="s">
        <v>38714</v>
      </c>
      <c r="I7859" t="s">
        <v>30124</v>
      </c>
      <c r="J7859" t="str">
        <f t="shared" si="609"/>
        <v>E:\PropInv\MF</v>
      </c>
      <c r="K7859" s="103" t="str">
        <f>HYPERLINK("E:\PropInv\MF\Tyler\Hogan Dr_4141_NF_Tyler_60245","Hogan Dr_4141_NF_Tyler_60245" )</f>
        <v>Hogan Dr_4141_NF_Tyler_60245</v>
      </c>
      <c r="L7859" s="104" t="s">
        <v>22253</v>
      </c>
      <c r="N7859" s="1">
        <f t="shared" si="610"/>
        <v>60245</v>
      </c>
    </row>
    <row r="7860" spans="1:14" x14ac:dyDescent="0.3">
      <c r="A7860" s="1">
        <v>30246</v>
      </c>
      <c r="B7860" s="7" t="s">
        <v>11678</v>
      </c>
      <c r="C7860" s="12">
        <v>6100</v>
      </c>
      <c r="D7860" s="19" t="s">
        <v>2497</v>
      </c>
      <c r="E7860" s="13" t="s">
        <v>9012</v>
      </c>
      <c r="F7860" t="str">
        <f t="shared" si="607"/>
        <v>Hollytree</v>
      </c>
      <c r="G7860" t="str">
        <f t="shared" si="608"/>
        <v>Hollytree6100Tyler</v>
      </c>
      <c r="H7860" t="s">
        <v>38715</v>
      </c>
      <c r="I7860" t="s">
        <v>30125</v>
      </c>
      <c r="J7860" t="str">
        <f t="shared" si="609"/>
        <v>E:\PropInv\MF</v>
      </c>
      <c r="K7860" s="103" t="str">
        <f>HYPERLINK("E:\PropInv\MF\Tyler\Hollytree Dr_6100_NF_Tyler_60246","Hollytree Dr_6100_NF_Tyler_60246" )</f>
        <v>Hollytree Dr_6100_NF_Tyler_60246</v>
      </c>
      <c r="L7860" s="104" t="s">
        <v>22253</v>
      </c>
      <c r="N7860" s="1">
        <f t="shared" si="610"/>
        <v>60246</v>
      </c>
    </row>
    <row r="7861" spans="1:14" x14ac:dyDescent="0.3">
      <c r="A7861" s="1">
        <v>30247</v>
      </c>
      <c r="B7861" s="7" t="s">
        <v>9973</v>
      </c>
      <c r="C7861" s="12">
        <v>3900</v>
      </c>
      <c r="D7861" s="19" t="s">
        <v>2497</v>
      </c>
      <c r="E7861" s="13" t="s">
        <v>9012</v>
      </c>
      <c r="F7861" t="str">
        <f t="shared" si="607"/>
        <v>Old</v>
      </c>
      <c r="G7861" t="str">
        <f t="shared" si="608"/>
        <v>Old3900Tyler</v>
      </c>
      <c r="H7861" t="s">
        <v>38716</v>
      </c>
      <c r="I7861" t="s">
        <v>30126</v>
      </c>
      <c r="J7861" t="str">
        <f t="shared" si="609"/>
        <v>E:\PropInv\MF</v>
      </c>
      <c r="K7861" s="103" t="str">
        <f>HYPERLINK("E:\PropInv\MF\Tyler\Old Bullard Rd_3900_NF_Tyler_60247","Old Bullard Rd_3900_NF_Tyler_60247" )</f>
        <v>Old Bullard Rd_3900_NF_Tyler_60247</v>
      </c>
      <c r="L7861" s="104" t="s">
        <v>22253</v>
      </c>
      <c r="N7861" s="1">
        <f t="shared" si="610"/>
        <v>60247</v>
      </c>
    </row>
    <row r="7862" spans="1:14" x14ac:dyDescent="0.3">
      <c r="A7862" s="1">
        <v>30248</v>
      </c>
      <c r="B7862" s="10" t="s">
        <v>11679</v>
      </c>
      <c r="C7862" s="9">
        <v>5348</v>
      </c>
      <c r="D7862" s="16" t="s">
        <v>2497</v>
      </c>
      <c r="E7862" s="11" t="s">
        <v>9012</v>
      </c>
      <c r="F7862" t="str">
        <f t="shared" si="607"/>
        <v>Old</v>
      </c>
      <c r="G7862" t="str">
        <f t="shared" si="608"/>
        <v>Old5348Tyler</v>
      </c>
      <c r="H7862" t="s">
        <v>38717</v>
      </c>
      <c r="I7862" t="s">
        <v>30127</v>
      </c>
      <c r="J7862" t="str">
        <f t="shared" si="609"/>
        <v>E:\PropInv\MF</v>
      </c>
      <c r="K7862" s="103" t="str">
        <f>HYPERLINK("E:\PropInv\MF\Tyler\Old Jacksonville Hwy_5348_NF_Tyler_60248","Old Jacksonville Hwy_5348_NF_Tyler_60248" )</f>
        <v>Old Jacksonville Hwy_5348_NF_Tyler_60248</v>
      </c>
      <c r="L7862" s="104" t="s">
        <v>22253</v>
      </c>
      <c r="N7862" s="1">
        <f t="shared" si="610"/>
        <v>60248</v>
      </c>
    </row>
    <row r="7863" spans="1:14" x14ac:dyDescent="0.3">
      <c r="A7863" s="1">
        <v>30249</v>
      </c>
      <c r="B7863" s="7" t="s">
        <v>10009</v>
      </c>
      <c r="C7863" s="12">
        <v>4200</v>
      </c>
      <c r="D7863" s="19" t="s">
        <v>2497</v>
      </c>
      <c r="E7863" s="13" t="s">
        <v>9012</v>
      </c>
      <c r="F7863" t="str">
        <f t="shared" si="607"/>
        <v>Old</v>
      </c>
      <c r="G7863" t="str">
        <f t="shared" si="608"/>
        <v>Old4200Tyler</v>
      </c>
      <c r="H7863" t="s">
        <v>38718</v>
      </c>
      <c r="I7863" t="s">
        <v>30128</v>
      </c>
      <c r="J7863" t="str">
        <f t="shared" si="609"/>
        <v>E:\PropInv\MF</v>
      </c>
      <c r="K7863" s="103" t="str">
        <f>HYPERLINK("E:\PropInv\MF\Tyler\Old Omen Rd_4200_NF_Tyler_60249","Old Omen Rd_4200_NF_Tyler_60249" )</f>
        <v>Old Omen Rd_4200_NF_Tyler_60249</v>
      </c>
      <c r="L7863" s="104" t="s">
        <v>22253</v>
      </c>
      <c r="N7863" s="1">
        <f t="shared" si="610"/>
        <v>60249</v>
      </c>
    </row>
    <row r="7864" spans="1:14" x14ac:dyDescent="0.3">
      <c r="A7864" s="1">
        <v>30250</v>
      </c>
      <c r="B7864" s="29" t="s">
        <v>4238</v>
      </c>
      <c r="C7864" s="52">
        <v>5315</v>
      </c>
      <c r="D7864" s="29" t="s">
        <v>11680</v>
      </c>
      <c r="E7864" s="20" t="s">
        <v>9012</v>
      </c>
      <c r="F7864" t="str">
        <f t="shared" si="607"/>
        <v>Broadway</v>
      </c>
      <c r="G7864" t="str">
        <f t="shared" si="608"/>
        <v>Broadway5315Tyler</v>
      </c>
      <c r="H7864" t="s">
        <v>38719</v>
      </c>
      <c r="I7864" t="s">
        <v>30129</v>
      </c>
      <c r="J7864" t="str">
        <f t="shared" si="609"/>
        <v>E:\PropInv\MF</v>
      </c>
      <c r="K7864" s="103" t="str">
        <f>HYPERLINK("E:\PropInv\MF\Tyler\Broadway S_5315_The Village on Broadway_Tyler_60250","Broadway S_5315_The Village on Broadway_Tyler_60250" )</f>
        <v>Broadway S_5315_The Village on Broadway_Tyler_60250</v>
      </c>
      <c r="L7864" s="104" t="s">
        <v>22253</v>
      </c>
      <c r="N7864" s="1">
        <f t="shared" si="610"/>
        <v>60250</v>
      </c>
    </row>
    <row r="7865" spans="1:14" x14ac:dyDescent="0.3">
      <c r="A7865" s="1">
        <v>30251</v>
      </c>
      <c r="B7865" s="7" t="s">
        <v>9429</v>
      </c>
      <c r="C7865" s="12">
        <v>1717</v>
      </c>
      <c r="D7865" s="19" t="s">
        <v>2497</v>
      </c>
      <c r="E7865" s="13" t="s">
        <v>9012</v>
      </c>
      <c r="F7865" t="str">
        <f t="shared" si="607"/>
        <v>Shiloh</v>
      </c>
      <c r="G7865" t="str">
        <f t="shared" si="608"/>
        <v>Shiloh1717Tyler</v>
      </c>
      <c r="H7865" t="s">
        <v>38720</v>
      </c>
      <c r="I7865" t="s">
        <v>30130</v>
      </c>
      <c r="J7865" t="str">
        <f t="shared" si="609"/>
        <v>E:\PropInv\MF</v>
      </c>
      <c r="K7865" s="103" t="str">
        <f>HYPERLINK("E:\PropInv\MF\Tyler\Shiloh Rd_1717_NF_Tyler_60251","Shiloh Rd_1717_NF_Tyler_60251" )</f>
        <v>Shiloh Rd_1717_NF_Tyler_60251</v>
      </c>
      <c r="L7865" s="104" t="s">
        <v>22253</v>
      </c>
      <c r="N7865" s="1">
        <f t="shared" si="610"/>
        <v>60251</v>
      </c>
    </row>
    <row r="7866" spans="1:14" x14ac:dyDescent="0.3">
      <c r="A7866" s="1">
        <v>30252</v>
      </c>
      <c r="B7866" s="29" t="s">
        <v>11681</v>
      </c>
      <c r="C7866" s="52">
        <v>2500</v>
      </c>
      <c r="D7866" s="29" t="s">
        <v>11682</v>
      </c>
      <c r="E7866" s="39" t="s">
        <v>9012</v>
      </c>
      <c r="F7866" t="str">
        <f t="shared" si="607"/>
        <v>Erwin</v>
      </c>
      <c r="G7866" t="str">
        <f t="shared" si="608"/>
        <v>Erwin2500Tyler</v>
      </c>
      <c r="H7866" t="s">
        <v>38721</v>
      </c>
      <c r="I7866" t="s">
        <v>30131</v>
      </c>
      <c r="J7866" t="str">
        <f t="shared" si="609"/>
        <v>E:\PropInv\MF</v>
      </c>
      <c r="K7866" s="103" t="str">
        <f>HYPERLINK("E:\PropInv\MF\Tyler\Erwin W_2500_Tyler Affordable Living_Tyler_60252","Erwin W_2500_Tyler Affordable Living_Tyler_60252" )</f>
        <v>Erwin W_2500_Tyler Affordable Living_Tyler_60252</v>
      </c>
      <c r="L7866" s="104" t="s">
        <v>22253</v>
      </c>
      <c r="N7866" s="1">
        <f t="shared" si="610"/>
        <v>60252</v>
      </c>
    </row>
    <row r="7867" spans="1:14" x14ac:dyDescent="0.3">
      <c r="A7867" s="1">
        <v>30253</v>
      </c>
      <c r="B7867" s="7" t="s">
        <v>274</v>
      </c>
      <c r="C7867" s="52">
        <v>501</v>
      </c>
      <c r="D7867" s="29" t="s">
        <v>2497</v>
      </c>
      <c r="E7867" s="39" t="s">
        <v>6559</v>
      </c>
      <c r="F7867" t="str">
        <f t="shared" si="607"/>
        <v>Houston</v>
      </c>
      <c r="G7867" t="str">
        <f t="shared" si="608"/>
        <v>Houston501Waxahachie</v>
      </c>
      <c r="H7867" t="s">
        <v>38722</v>
      </c>
      <c r="I7867" t="s">
        <v>30132</v>
      </c>
      <c r="J7867" t="str">
        <f t="shared" si="609"/>
        <v>E:\PropInv\MF</v>
      </c>
      <c r="K7867" s="103" t="str">
        <f>HYPERLINK("E:\PropInv\MF\Waxahachie\Houston St_501_NF_Waxahachie_60253","Houston St_501_NF_Waxahachie_60253" )</f>
        <v>Houston St_501_NF_Waxahachie_60253</v>
      </c>
      <c r="L7867" s="104" t="s">
        <v>22253</v>
      </c>
      <c r="N7867" s="1">
        <f t="shared" si="610"/>
        <v>60253</v>
      </c>
    </row>
    <row r="7868" spans="1:14" x14ac:dyDescent="0.3">
      <c r="A7868" s="1">
        <v>30254</v>
      </c>
      <c r="B7868" s="29" t="s">
        <v>11683</v>
      </c>
      <c r="C7868" s="52">
        <v>804</v>
      </c>
      <c r="D7868" s="29" t="s">
        <v>2497</v>
      </c>
      <c r="E7868" s="39" t="s">
        <v>6559</v>
      </c>
      <c r="F7868" t="str">
        <f t="shared" si="607"/>
        <v>Nandina</v>
      </c>
      <c r="G7868" t="str">
        <f t="shared" si="608"/>
        <v>Nandina804Waxahachie</v>
      </c>
      <c r="H7868" t="s">
        <v>38723</v>
      </c>
      <c r="I7868" t="s">
        <v>30133</v>
      </c>
      <c r="J7868" t="str">
        <f t="shared" si="609"/>
        <v>E:\PropInv\MF</v>
      </c>
      <c r="K7868" s="103" t="str">
        <f>HYPERLINK("E:\PropInv\MF\Waxahachie\Nandina Way_804_NF_Waxahachie_60254","Nandina Way_804_NF_Waxahachie_60254" )</f>
        <v>Nandina Way_804_NF_Waxahachie_60254</v>
      </c>
      <c r="L7868" s="104" t="s">
        <v>22253</v>
      </c>
      <c r="N7868" s="1">
        <f t="shared" si="610"/>
        <v>60254</v>
      </c>
    </row>
    <row r="7869" spans="1:14" x14ac:dyDescent="0.3">
      <c r="A7869" s="1">
        <v>30255</v>
      </c>
      <c r="B7869" s="29" t="s">
        <v>6558</v>
      </c>
      <c r="C7869" s="52">
        <v>803</v>
      </c>
      <c r="D7869" s="29" t="s">
        <v>11684</v>
      </c>
      <c r="E7869" s="39" t="s">
        <v>6559</v>
      </c>
      <c r="F7869" t="str">
        <f t="shared" si="607"/>
        <v>35</v>
      </c>
      <c r="G7869" t="str">
        <f t="shared" si="608"/>
        <v>35803Waxahachie</v>
      </c>
      <c r="H7869" t="s">
        <v>38724</v>
      </c>
      <c r="I7869" t="s">
        <v>30134</v>
      </c>
      <c r="J7869" t="str">
        <f t="shared" si="609"/>
        <v>E:\PropInv\MF</v>
      </c>
      <c r="K7869" s="103" t="str">
        <f>HYPERLINK("E:\PropInv\MF\Waxahachie\35 IH E S_803_Knights Inn and Suites_Waxahachie_60255","35 IH E S_803_Knights Inn and Suites_Waxahachie_60255" )</f>
        <v>35 IH E S_803_Knights Inn and Suites_Waxahachie_60255</v>
      </c>
      <c r="L7869" s="104" t="s">
        <v>22253</v>
      </c>
      <c r="N7869" s="1">
        <f t="shared" si="610"/>
        <v>60255</v>
      </c>
    </row>
    <row r="7870" spans="1:14" x14ac:dyDescent="0.3">
      <c r="A7870" s="1">
        <v>30256</v>
      </c>
      <c r="B7870" s="37" t="s">
        <v>11685</v>
      </c>
      <c r="C7870" s="38" t="s">
        <v>2497</v>
      </c>
      <c r="D7870" s="29" t="s">
        <v>11686</v>
      </c>
      <c r="E7870" s="39" t="s">
        <v>7522</v>
      </c>
      <c r="F7870" t="str">
        <f t="shared" si="607"/>
        <v>Holly</v>
      </c>
      <c r="G7870" t="str">
        <f t="shared" si="608"/>
        <v>HollyNFWeatherford</v>
      </c>
      <c r="H7870" t="s">
        <v>38725</v>
      </c>
      <c r="I7870" t="s">
        <v>30135</v>
      </c>
      <c r="J7870" t="str">
        <f t="shared" si="609"/>
        <v>E:\PropInv\MF</v>
      </c>
      <c r="K7870" s="103" t="str">
        <f>HYPERLINK("E:\PropInv\MF\Weatherford\Holly Oaks Rd_NF_Holly Oaks Apts_Weatherford_60256","Holly Oaks Rd_NF_Holly Oaks Apts_Weatherford_60256" )</f>
        <v>Holly Oaks Rd_NF_Holly Oaks Apts_Weatherford_60256</v>
      </c>
      <c r="L7870" s="104" t="s">
        <v>22253</v>
      </c>
      <c r="N7870" s="1">
        <f t="shared" si="610"/>
        <v>60256</v>
      </c>
    </row>
    <row r="7871" spans="1:14" x14ac:dyDescent="0.3">
      <c r="A7871" s="1">
        <v>30257</v>
      </c>
      <c r="B7871" s="58" t="s">
        <v>11685</v>
      </c>
      <c r="C7871" s="15">
        <v>2101</v>
      </c>
      <c r="D7871" s="59" t="s">
        <v>11687</v>
      </c>
      <c r="E7871" s="60" t="s">
        <v>7522</v>
      </c>
      <c r="F7871" t="str">
        <f t="shared" si="607"/>
        <v>Holly</v>
      </c>
      <c r="G7871" t="str">
        <f t="shared" si="608"/>
        <v>Holly2101Weatherford</v>
      </c>
      <c r="H7871" t="s">
        <v>38726</v>
      </c>
      <c r="I7871" t="s">
        <v>30136</v>
      </c>
      <c r="J7871" t="str">
        <f t="shared" si="609"/>
        <v>E:\PropInv\MF</v>
      </c>
      <c r="K7871" s="103" t="str">
        <f>HYPERLINK("E:\PropInv\MF\Weatherford\Holly Oaks Rd_2101_Residences at Holly Oaks_Weatherford_60257","Holly Oaks Rd_2101_Residences at Holly Oaks_Weatherford_60257" )</f>
        <v>Holly Oaks Rd_2101_Residences at Holly Oaks_Weatherford_60257</v>
      </c>
      <c r="L7871" s="104" t="s">
        <v>22253</v>
      </c>
      <c r="N7871" s="1">
        <f t="shared" si="610"/>
        <v>60257</v>
      </c>
    </row>
    <row r="7872" spans="1:14" x14ac:dyDescent="0.3">
      <c r="A7872" s="1">
        <v>30258</v>
      </c>
      <c r="B7872" s="29" t="s">
        <v>11688</v>
      </c>
      <c r="C7872" s="52">
        <v>1121</v>
      </c>
      <c r="D7872" s="29" t="s">
        <v>11689</v>
      </c>
      <c r="E7872" s="39" t="s">
        <v>7522</v>
      </c>
      <c r="F7872" t="str">
        <f t="shared" si="607"/>
        <v>Jameson</v>
      </c>
      <c r="G7872" t="str">
        <f t="shared" si="608"/>
        <v>Jameson1121Weatherford</v>
      </c>
      <c r="H7872" t="s">
        <v>38727</v>
      </c>
      <c r="I7872" t="s">
        <v>30137</v>
      </c>
      <c r="J7872" t="str">
        <f t="shared" si="609"/>
        <v>E:\PropInv\MF</v>
      </c>
      <c r="K7872" s="103" t="str">
        <f>HYPERLINK("E:\PropInv\MF\Weatherford\Jameson St_1121_Jameson Street Apts_Weatherford_60258","Jameson St_1121_Jameson Street Apts_Weatherford_60258" )</f>
        <v>Jameson St_1121_Jameson Street Apts_Weatherford_60258</v>
      </c>
      <c r="L7872" s="104" t="s">
        <v>22253</v>
      </c>
      <c r="N7872" s="1">
        <f t="shared" si="610"/>
        <v>60258</v>
      </c>
    </row>
    <row r="7873" spans="1:14" x14ac:dyDescent="0.3">
      <c r="A7873" s="1">
        <v>30259</v>
      </c>
      <c r="B7873" s="31" t="s">
        <v>11690</v>
      </c>
      <c r="C7873" s="61">
        <v>2216</v>
      </c>
      <c r="D7873" s="31" t="s">
        <v>11691</v>
      </c>
      <c r="E7873" s="33" t="s">
        <v>7522</v>
      </c>
      <c r="F7873" t="str">
        <f t="shared" si="607"/>
        <v>Marilyn</v>
      </c>
      <c r="G7873" t="str">
        <f t="shared" si="608"/>
        <v>Marilyn2216Weatherford</v>
      </c>
      <c r="H7873" t="s">
        <v>38728</v>
      </c>
      <c r="I7873" t="s">
        <v>30138</v>
      </c>
      <c r="J7873" t="str">
        <f t="shared" si="609"/>
        <v>E:\PropInv\MF</v>
      </c>
      <c r="K7873" s="103" t="str">
        <f>HYPERLINK("E:\PropInv\MF\Weatherford\Marilyn St_2216_Parker County Properties_Weatherford_60259","Marilyn St_2216_Parker County Properties_Weatherford_60259" )</f>
        <v>Marilyn St_2216_Parker County Properties_Weatherford_60259</v>
      </c>
      <c r="L7873" s="104" t="s">
        <v>22253</v>
      </c>
      <c r="N7873" s="1">
        <f t="shared" si="610"/>
        <v>60259</v>
      </c>
    </row>
    <row r="7874" spans="1:14" x14ac:dyDescent="0.3">
      <c r="A7874" s="1">
        <v>30260</v>
      </c>
      <c r="B7874" s="29" t="s">
        <v>11692</v>
      </c>
      <c r="C7874" s="52">
        <v>711</v>
      </c>
      <c r="D7874" s="29" t="s">
        <v>11693</v>
      </c>
      <c r="E7874" s="39" t="s">
        <v>7522</v>
      </c>
      <c r="F7874" t="str">
        <f t="shared" ref="F7874:F7935" si="611">IFERROR(LEFT(B7874,FIND(" ",B7874)-1),B7874)</f>
        <v>Santa</v>
      </c>
      <c r="G7874" t="str">
        <f t="shared" ref="G7874:G7935" si="612">F7874&amp;C7874&amp;E7874</f>
        <v>Santa711Weatherford</v>
      </c>
      <c r="H7874" t="s">
        <v>38729</v>
      </c>
      <c r="I7874" t="s">
        <v>30139</v>
      </c>
      <c r="J7874" t="str">
        <f t="shared" ref="J7874:J7935" si="613">IF(L7874="TX",Folder_Path,Folder_Path&amp;"\State_"&amp;L7874)</f>
        <v>E:\PropInv\MF</v>
      </c>
      <c r="K7874" s="103" t="str">
        <f>HYPERLINK("E:\PropInv\MF\Weatherford\Santa Fe Dr_711_Santa Fe Apts_Weatherford_60260","Santa Fe Dr_711_Santa Fe Apts_Weatherford_60260" )</f>
        <v>Santa Fe Dr_711_Santa Fe Apts_Weatherford_60260</v>
      </c>
      <c r="L7874" s="104" t="s">
        <v>22253</v>
      </c>
      <c r="N7874" s="1">
        <f t="shared" ref="N7874:N7937" si="614">IF(LEN(A7874)=1,"0000"&amp;A7874,IF(LEN(A7874)=2,"000"&amp;A7874,IF(LEN(A7874)=3,"00"&amp;A7874,IF(LEN(A7874)=4,"0"&amp;A7874,IF(LEN(A7874)=5,IF(LEFT(A7874,1)="3",A7874+30000,A7874))))))</f>
        <v>60260</v>
      </c>
    </row>
    <row r="7875" spans="1:14" x14ac:dyDescent="0.3">
      <c r="A7875" s="1">
        <v>30261</v>
      </c>
      <c r="B7875" s="29" t="s">
        <v>11694</v>
      </c>
      <c r="C7875" s="52">
        <v>2024</v>
      </c>
      <c r="D7875" s="29" t="s">
        <v>11695</v>
      </c>
      <c r="E7875" s="39" t="s">
        <v>7522</v>
      </c>
      <c r="F7875" t="str">
        <f t="shared" si="611"/>
        <v>Tin</v>
      </c>
      <c r="G7875" t="str">
        <f t="shared" si="612"/>
        <v>Tin2024Weatherford</v>
      </c>
      <c r="H7875" t="s">
        <v>38730</v>
      </c>
      <c r="I7875" t="s">
        <v>30140</v>
      </c>
      <c r="J7875" t="str">
        <f t="shared" si="613"/>
        <v>E:\PropInv\MF</v>
      </c>
      <c r="K7875" s="103" t="str">
        <f>HYPERLINK("E:\PropInv\MF\Weatherford\Tin Top Rd_2024_Weatherford Town Center Senior Apts_Weatherford_60261","Tin Top Rd_2024_Weatherford Town Center Senior Apts_Weatherford_60261" )</f>
        <v>Tin Top Rd_2024_Weatherford Town Center Senior Apts_Weatherford_60261</v>
      </c>
      <c r="L7875" s="104" t="s">
        <v>22253</v>
      </c>
      <c r="N7875" s="1">
        <f t="shared" si="614"/>
        <v>60261</v>
      </c>
    </row>
    <row r="7876" spans="1:14" x14ac:dyDescent="0.3">
      <c r="A7876" s="1">
        <v>30262</v>
      </c>
      <c r="B7876" s="19" t="s">
        <v>22243</v>
      </c>
      <c r="C7876" s="38">
        <v>1</v>
      </c>
      <c r="D7876" s="29" t="s">
        <v>22288</v>
      </c>
      <c r="E7876" s="39" t="s">
        <v>6215</v>
      </c>
      <c r="F7876" t="str">
        <f t="shared" si="611"/>
        <v>Trails</v>
      </c>
      <c r="G7876" t="str">
        <f t="shared" si="612"/>
        <v>Trails1Wylie</v>
      </c>
      <c r="H7876" t="s">
        <v>38731</v>
      </c>
      <c r="I7876" t="s">
        <v>30141</v>
      </c>
      <c r="J7876" t="str">
        <f t="shared" si="613"/>
        <v>E:\PropInv\MF</v>
      </c>
      <c r="K7876" s="103" t="str">
        <f>HYPERLINK("E:\PropInv\MF\Wylie\Trails Pl_1_Trails Place TH_Wylie_60262","Trails Pl_1_Trails Place TH_Wylie_60262" )</f>
        <v>Trails Pl_1_Trails Place TH_Wylie_60262</v>
      </c>
      <c r="L7876" s="104" t="s">
        <v>22253</v>
      </c>
      <c r="N7876" s="1">
        <f t="shared" si="614"/>
        <v>60262</v>
      </c>
    </row>
    <row r="7877" spans="1:14" x14ac:dyDescent="0.3">
      <c r="A7877" s="1">
        <v>30263</v>
      </c>
      <c r="B7877" s="19" t="s">
        <v>11696</v>
      </c>
      <c r="C7877" s="18">
        <v>211</v>
      </c>
      <c r="D7877" s="19" t="s">
        <v>11697</v>
      </c>
      <c r="E7877" s="20" t="s">
        <v>11698</v>
      </c>
      <c r="F7877" t="str">
        <f t="shared" si="611"/>
        <v>Meadow</v>
      </c>
      <c r="G7877" t="str">
        <f t="shared" si="612"/>
        <v>Meadow211Castroville</v>
      </c>
      <c r="H7877" t="s">
        <v>38732</v>
      </c>
      <c r="I7877" t="s">
        <v>30142</v>
      </c>
      <c r="J7877" t="str">
        <f t="shared" si="613"/>
        <v>E:\PropInv\MF</v>
      </c>
      <c r="K7877" s="103" t="str">
        <f>HYPERLINK("E:\PropInv\MF\Castroville\Meadow Dr_211_Country Villa Apts_Castroville_60263","Meadow Dr_211_Country Villa Apts_Castroville_60263" )</f>
        <v>Meadow Dr_211_Country Villa Apts_Castroville_60263</v>
      </c>
      <c r="L7877" s="104" t="s">
        <v>22253</v>
      </c>
      <c r="N7877" s="1">
        <f t="shared" si="614"/>
        <v>60263</v>
      </c>
    </row>
    <row r="7878" spans="1:14" x14ac:dyDescent="0.3">
      <c r="A7878" s="1">
        <v>30264</v>
      </c>
      <c r="B7878" s="19" t="s">
        <v>11699</v>
      </c>
      <c r="C7878" s="18">
        <v>1019</v>
      </c>
      <c r="D7878" s="19" t="s">
        <v>5662</v>
      </c>
      <c r="E7878" s="20" t="s">
        <v>11700</v>
      </c>
      <c r="F7878" t="str">
        <f t="shared" si="611"/>
        <v>Friendship</v>
      </c>
      <c r="G7878" t="str">
        <f t="shared" si="612"/>
        <v>Friendship1019Fredericksburg</v>
      </c>
      <c r="H7878" t="s">
        <v>38733</v>
      </c>
      <c r="I7878" t="s">
        <v>30143</v>
      </c>
      <c r="J7878" t="str">
        <f t="shared" si="613"/>
        <v>E:\PropInv\MF</v>
      </c>
      <c r="K7878" s="103" t="str">
        <f>HYPERLINK("E:\PropInv\MF\Fredericksburg\Friendship Ln_1019_Highland Oaks_Fredericksburg_60264","Friendship Ln_1019_Highland Oaks_Fredericksburg_60264" )</f>
        <v>Friendship Ln_1019_Highland Oaks_Fredericksburg_60264</v>
      </c>
      <c r="L7878" s="104" t="s">
        <v>22253</v>
      </c>
      <c r="N7878" s="1">
        <f t="shared" si="614"/>
        <v>60264</v>
      </c>
    </row>
    <row r="7879" spans="1:14" x14ac:dyDescent="0.3">
      <c r="A7879" s="1">
        <v>30265</v>
      </c>
      <c r="B7879" s="37" t="s">
        <v>11701</v>
      </c>
      <c r="C7879" s="38">
        <v>2805</v>
      </c>
      <c r="D7879" s="29" t="s">
        <v>11702</v>
      </c>
      <c r="E7879" s="39" t="s">
        <v>5695</v>
      </c>
      <c r="F7879" t="str">
        <f t="shared" si="611"/>
        <v>Ave</v>
      </c>
      <c r="G7879" t="str">
        <f t="shared" si="612"/>
        <v>Ave2805Hondo</v>
      </c>
      <c r="H7879" t="s">
        <v>38734</v>
      </c>
      <c r="I7879" t="s">
        <v>30144</v>
      </c>
      <c r="J7879" t="str">
        <f t="shared" si="613"/>
        <v>E:\PropInv\MF</v>
      </c>
      <c r="K7879" s="103" t="str">
        <f>HYPERLINK("E:\PropInv\MF\Hondo\Ave U_2805_Encinito Apts_Hondo_60265","Ave U_2805_Encinito Apts_Hondo_60265" )</f>
        <v>Ave U_2805_Encinito Apts_Hondo_60265</v>
      </c>
      <c r="L7879" s="104" t="s">
        <v>22253</v>
      </c>
      <c r="N7879" s="1">
        <f t="shared" si="614"/>
        <v>60265</v>
      </c>
    </row>
    <row r="7880" spans="1:14" x14ac:dyDescent="0.3">
      <c r="A7880" s="1">
        <v>30267</v>
      </c>
      <c r="B7880" s="7" t="s">
        <v>6176</v>
      </c>
      <c r="C7880" s="18">
        <v>155</v>
      </c>
      <c r="D7880" s="19" t="s">
        <v>22265</v>
      </c>
      <c r="E7880" s="20" t="s">
        <v>11705</v>
      </c>
      <c r="F7880" t="str">
        <f t="shared" si="611"/>
        <v>Walnut</v>
      </c>
      <c r="G7880" t="str">
        <f t="shared" si="612"/>
        <v>Walnut155Blossom</v>
      </c>
      <c r="H7880" t="s">
        <v>38735</v>
      </c>
      <c r="I7880" t="s">
        <v>30145</v>
      </c>
      <c r="J7880" t="str">
        <f t="shared" si="613"/>
        <v>E:\PropInv\MF</v>
      </c>
      <c r="K7880" s="103" t="str">
        <f>HYPERLINK("E:\PropInv\MF\Blossom\Walnut St_155_Blossom Duplexes_Blossom_60267","Walnut St_155_Blossom Duplexes_Blossom_60267" )</f>
        <v>Walnut St_155_Blossom Duplexes_Blossom_60267</v>
      </c>
      <c r="L7880" s="104" t="s">
        <v>22253</v>
      </c>
      <c r="N7880" s="1">
        <f t="shared" si="614"/>
        <v>60267</v>
      </c>
    </row>
    <row r="7881" spans="1:14" x14ac:dyDescent="0.3">
      <c r="A7881" s="1">
        <v>30268</v>
      </c>
      <c r="B7881" s="19" t="s">
        <v>11706</v>
      </c>
      <c r="C7881" s="18">
        <v>607</v>
      </c>
      <c r="D7881" s="19" t="s">
        <v>11707</v>
      </c>
      <c r="E7881" s="20" t="s">
        <v>11708</v>
      </c>
      <c r="F7881" t="str">
        <f t="shared" si="611"/>
        <v>Pecan</v>
      </c>
      <c r="G7881" t="str">
        <f t="shared" si="612"/>
        <v>Pecan607Hughes Springs</v>
      </c>
      <c r="H7881" t="s">
        <v>38736</v>
      </c>
      <c r="I7881" t="s">
        <v>30146</v>
      </c>
      <c r="J7881" t="str">
        <f t="shared" si="613"/>
        <v>E:\PropInv\MF</v>
      </c>
      <c r="K7881" s="103" t="str">
        <f>HYPERLINK("E:\PropInv\MF\Hughes Springs\Pecan S_607_Patman Switch_Hughes Springs_60268","Pecan S_607_Patman Switch_Hughes Springs_60268" )</f>
        <v>Pecan S_607_Patman Switch_Hughes Springs_60268</v>
      </c>
      <c r="L7881" s="104" t="s">
        <v>22253</v>
      </c>
      <c r="N7881" s="1">
        <f t="shared" si="614"/>
        <v>60268</v>
      </c>
    </row>
    <row r="7882" spans="1:14" x14ac:dyDescent="0.3">
      <c r="A7882" s="1">
        <v>30269</v>
      </c>
      <c r="B7882" s="19" t="s">
        <v>11709</v>
      </c>
      <c r="C7882" s="18">
        <v>635</v>
      </c>
      <c r="D7882" s="19" t="s">
        <v>11710</v>
      </c>
      <c r="E7882" s="39" t="s">
        <v>11711</v>
      </c>
      <c r="F7882" t="str">
        <f t="shared" si="611"/>
        <v>7th</v>
      </c>
      <c r="G7882" t="str">
        <f t="shared" si="612"/>
        <v>7th635Paris</v>
      </c>
      <c r="H7882" t="s">
        <v>38737</v>
      </c>
      <c r="I7882" t="s">
        <v>30147</v>
      </c>
      <c r="J7882" t="str">
        <f t="shared" si="613"/>
        <v>E:\PropInv\MF</v>
      </c>
      <c r="K7882" s="103" t="str">
        <f>HYPERLINK("E:\PropInv\MF\Paris\7th St_635_Westgate Apts_Paris_60269","7th St_635_Westgate Apts_Paris_60269" )</f>
        <v>7th St_635_Westgate Apts_Paris_60269</v>
      </c>
      <c r="L7882" s="104" t="s">
        <v>22253</v>
      </c>
      <c r="N7882" s="1">
        <f t="shared" si="614"/>
        <v>60269</v>
      </c>
    </row>
    <row r="7883" spans="1:14" x14ac:dyDescent="0.3">
      <c r="A7883" s="1">
        <v>30270</v>
      </c>
      <c r="B7883" s="19" t="s">
        <v>11712</v>
      </c>
      <c r="C7883" s="18">
        <v>3125</v>
      </c>
      <c r="D7883" s="19" t="s">
        <v>1354</v>
      </c>
      <c r="E7883" s="20" t="s">
        <v>11711</v>
      </c>
      <c r="F7883" t="str">
        <f t="shared" si="611"/>
        <v>Clarksville</v>
      </c>
      <c r="G7883" t="str">
        <f t="shared" si="612"/>
        <v>Clarksville3125Paris</v>
      </c>
      <c r="H7883" t="s">
        <v>38738</v>
      </c>
      <c r="I7883" t="s">
        <v>30148</v>
      </c>
      <c r="J7883" t="str">
        <f t="shared" si="613"/>
        <v>E:\PropInv\MF</v>
      </c>
      <c r="K7883" s="103" t="str">
        <f>HYPERLINK("E:\PropInv\MF\Paris\Clarksville_3125_Spanish Oaks_Paris_60270","Clarksville_3125_Spanish Oaks_Paris_60270" )</f>
        <v>Clarksville_3125_Spanish Oaks_Paris_60270</v>
      </c>
      <c r="L7883" s="104" t="s">
        <v>22253</v>
      </c>
      <c r="N7883" s="1">
        <f t="shared" si="614"/>
        <v>60270</v>
      </c>
    </row>
    <row r="7884" spans="1:14" x14ac:dyDescent="0.3">
      <c r="A7884" s="1">
        <v>30271</v>
      </c>
      <c r="B7884" s="19" t="s">
        <v>11713</v>
      </c>
      <c r="C7884" s="18">
        <v>2193</v>
      </c>
      <c r="D7884" s="19" t="s">
        <v>11714</v>
      </c>
      <c r="E7884" s="39" t="s">
        <v>11711</v>
      </c>
      <c r="F7884" t="str">
        <f t="shared" si="611"/>
        <v>Cherry</v>
      </c>
      <c r="G7884" t="str">
        <f t="shared" si="612"/>
        <v>Cherry2193Paris</v>
      </c>
      <c r="H7884" t="s">
        <v>38739</v>
      </c>
      <c r="I7884" t="s">
        <v>30149</v>
      </c>
      <c r="J7884" t="str">
        <f t="shared" si="613"/>
        <v>E:\PropInv\MF</v>
      </c>
      <c r="K7884" s="103" t="str">
        <f>HYPERLINK("E:\PropInv\MF\Paris\Cherry E_2193_Cherry Street_Paris_60271","Cherry E_2193_Cherry Street_Paris_60271" )</f>
        <v>Cherry E_2193_Cherry Street_Paris_60271</v>
      </c>
      <c r="L7884" s="104" t="s">
        <v>22253</v>
      </c>
      <c r="N7884" s="1">
        <f t="shared" si="614"/>
        <v>60271</v>
      </c>
    </row>
    <row r="7885" spans="1:14" x14ac:dyDescent="0.3">
      <c r="A7885" s="1">
        <v>30272</v>
      </c>
      <c r="B7885" s="19" t="s">
        <v>11715</v>
      </c>
      <c r="C7885" s="18">
        <v>2526</v>
      </c>
      <c r="D7885" s="19" t="s">
        <v>11716</v>
      </c>
      <c r="E7885" s="39" t="s">
        <v>11711</v>
      </c>
      <c r="F7885" t="str">
        <f t="shared" si="611"/>
        <v>Lamar</v>
      </c>
      <c r="G7885" t="str">
        <f t="shared" si="612"/>
        <v>Lamar2526Paris</v>
      </c>
      <c r="H7885" t="s">
        <v>38740</v>
      </c>
      <c r="I7885" t="s">
        <v>30150</v>
      </c>
      <c r="J7885" t="str">
        <f t="shared" si="613"/>
        <v>E:\PropInv\MF</v>
      </c>
      <c r="K7885" s="103" t="str">
        <f>HYPERLINK("E:\PropInv\MF\Paris\Lamar Ave_2526_The Regency Apts_Paris_60272","Lamar Ave_2526_The Regency Apts_Paris_60272" )</f>
        <v>Lamar Ave_2526_The Regency Apts_Paris_60272</v>
      </c>
      <c r="L7885" s="104" t="s">
        <v>22253</v>
      </c>
      <c r="N7885" s="1">
        <f t="shared" si="614"/>
        <v>60272</v>
      </c>
    </row>
    <row r="7886" spans="1:14" x14ac:dyDescent="0.3">
      <c r="A7886" s="1">
        <v>30273</v>
      </c>
      <c r="B7886" s="19" t="s">
        <v>11717</v>
      </c>
      <c r="C7886" s="18">
        <v>311</v>
      </c>
      <c r="D7886" s="19" t="s">
        <v>6127</v>
      </c>
      <c r="E7886" s="20" t="s">
        <v>11718</v>
      </c>
      <c r="F7886" t="str">
        <f t="shared" si="611"/>
        <v>Helm</v>
      </c>
      <c r="G7886" t="str">
        <f t="shared" si="612"/>
        <v>Helm311Sulphur Springs</v>
      </c>
      <c r="H7886" t="s">
        <v>38741</v>
      </c>
      <c r="I7886" t="s">
        <v>30151</v>
      </c>
      <c r="J7886" t="str">
        <f t="shared" si="613"/>
        <v>E:\PropInv\MF</v>
      </c>
      <c r="K7886" s="103" t="str">
        <f>HYPERLINK("E:\PropInv\MF\Sulphur Springs\Helm Ln_311_Quail Ridge_Sulphur Springs_60273","Helm Ln_311_Quail Ridge_Sulphur Springs_60273" )</f>
        <v>Helm Ln_311_Quail Ridge_Sulphur Springs_60273</v>
      </c>
      <c r="L7886" s="104" t="s">
        <v>22253</v>
      </c>
      <c r="N7886" s="1">
        <f t="shared" si="614"/>
        <v>60273</v>
      </c>
    </row>
    <row r="7887" spans="1:14" x14ac:dyDescent="0.3">
      <c r="A7887" s="1">
        <v>30274</v>
      </c>
      <c r="B7887" s="19" t="s">
        <v>11717</v>
      </c>
      <c r="C7887" s="18">
        <v>309</v>
      </c>
      <c r="D7887" s="19" t="s">
        <v>11719</v>
      </c>
      <c r="E7887" s="20" t="s">
        <v>11718</v>
      </c>
      <c r="F7887" t="str">
        <f t="shared" si="611"/>
        <v>Helm</v>
      </c>
      <c r="G7887" t="str">
        <f t="shared" si="612"/>
        <v>Helm309Sulphur Springs</v>
      </c>
      <c r="H7887" t="s">
        <v>38742</v>
      </c>
      <c r="I7887" t="s">
        <v>30152</v>
      </c>
      <c r="J7887" t="str">
        <f t="shared" si="613"/>
        <v>E:\PropInv\MF</v>
      </c>
      <c r="K7887" s="103" t="str">
        <f>HYPERLINK("E:\PropInv\MF\Sulphur Springs\Helm Ln_309_Quail Ridge-Green Tree Apts_Sulphur Springs_60274","Helm Ln_309_Quail Ridge-Green Tree Apts_Sulphur Springs_60274" )</f>
        <v>Helm Ln_309_Quail Ridge-Green Tree Apts_Sulphur Springs_60274</v>
      </c>
      <c r="L7887" s="104" t="s">
        <v>22253</v>
      </c>
      <c r="N7887" s="1">
        <f t="shared" si="614"/>
        <v>60274</v>
      </c>
    </row>
    <row r="7888" spans="1:14" x14ac:dyDescent="0.3">
      <c r="A7888" s="1">
        <v>30275</v>
      </c>
      <c r="B7888" s="19" t="s">
        <v>11720</v>
      </c>
      <c r="C7888" s="18">
        <v>1230</v>
      </c>
      <c r="D7888" s="19" t="s">
        <v>11721</v>
      </c>
      <c r="E7888" s="20" t="s">
        <v>7</v>
      </c>
      <c r="F7888" t="str">
        <f t="shared" si="611"/>
        <v>38.5</v>
      </c>
      <c r="G7888" t="str">
        <f t="shared" si="612"/>
        <v>38.51230Austin</v>
      </c>
      <c r="H7888" t="s">
        <v>38743</v>
      </c>
      <c r="I7888" t="s">
        <v>30153</v>
      </c>
      <c r="J7888" t="str">
        <f t="shared" si="613"/>
        <v>E:\PropInv\MF</v>
      </c>
      <c r="K7888" s="103" t="str">
        <f>HYPERLINK("E:\PropInv\MF\Austin\38.5 St_1230_Silver Ridge Apts_Austin_60275","38.5 St_1230_Silver Ridge Apts_Austin_60275" )</f>
        <v>38.5 St_1230_Silver Ridge Apts_Austin_60275</v>
      </c>
      <c r="L7888" s="104" t="s">
        <v>22253</v>
      </c>
      <c r="N7888" s="1">
        <f t="shared" si="614"/>
        <v>60275</v>
      </c>
    </row>
    <row r="7889" spans="1:14" x14ac:dyDescent="0.3">
      <c r="A7889" s="1">
        <v>30276</v>
      </c>
      <c r="B7889" s="10" t="s">
        <v>11722</v>
      </c>
      <c r="C7889" s="9">
        <v>3144</v>
      </c>
      <c r="D7889" s="16" t="s">
        <v>2497</v>
      </c>
      <c r="E7889" s="11" t="s">
        <v>7</v>
      </c>
      <c r="F7889" t="str">
        <f t="shared" si="611"/>
        <v>Above</v>
      </c>
      <c r="G7889" t="str">
        <f t="shared" si="612"/>
        <v>Above3144Austin</v>
      </c>
      <c r="H7889" t="s">
        <v>38744</v>
      </c>
      <c r="I7889" t="s">
        <v>30154</v>
      </c>
      <c r="J7889" t="str">
        <f t="shared" si="613"/>
        <v>E:\PropInv\MF</v>
      </c>
      <c r="K7889" s="103" t="str">
        <f>HYPERLINK("E:\PropInv\MF\Austin\Above Stratford Place_3144_NF_Austin_60276","Above Stratford Place_3144_NF_Austin_60276" )</f>
        <v>Above Stratford Place_3144_NF_Austin_60276</v>
      </c>
      <c r="L7889" s="104" t="s">
        <v>22253</v>
      </c>
      <c r="N7889" s="1">
        <f t="shared" si="614"/>
        <v>60276</v>
      </c>
    </row>
    <row r="7890" spans="1:14" x14ac:dyDescent="0.3">
      <c r="A7890" s="1">
        <v>30277</v>
      </c>
      <c r="B7890" s="19" t="s">
        <v>11723</v>
      </c>
      <c r="C7890" s="18">
        <v>8750</v>
      </c>
      <c r="D7890" s="19" t="s">
        <v>11724</v>
      </c>
      <c r="E7890" s="20" t="s">
        <v>7</v>
      </c>
      <c r="F7890" t="str">
        <f t="shared" si="611"/>
        <v>BIRMINGHAM</v>
      </c>
      <c r="G7890" t="str">
        <f t="shared" si="612"/>
        <v>BIRMINGHAM8750Austin</v>
      </c>
      <c r="H7890" t="s">
        <v>38745</v>
      </c>
      <c r="I7890" t="s">
        <v>30155</v>
      </c>
      <c r="J7890" t="str">
        <f t="shared" si="613"/>
        <v>E:\PropInv\MF</v>
      </c>
      <c r="K7890" s="103" t="str">
        <f>HYPERLINK("E:\PropInv\MF\Austin\BIRMINGHAM Dr_8750_SECTION 8 PACKAGE_Austin_60277","BIRMINGHAM Dr_8750_SECTION 8 PACKAGE_Austin_60277" )</f>
        <v>BIRMINGHAM Dr_8750_SECTION 8 PACKAGE_Austin_60277</v>
      </c>
      <c r="L7890" s="104" t="s">
        <v>22253</v>
      </c>
      <c r="N7890" s="1">
        <f t="shared" si="614"/>
        <v>60277</v>
      </c>
    </row>
    <row r="7891" spans="1:14" x14ac:dyDescent="0.3">
      <c r="A7891" s="1">
        <v>30278</v>
      </c>
      <c r="B7891" s="19" t="s">
        <v>11725</v>
      </c>
      <c r="C7891" s="18">
        <v>10100</v>
      </c>
      <c r="D7891" s="19" t="s">
        <v>2497</v>
      </c>
      <c r="E7891" s="20" t="s">
        <v>7</v>
      </c>
      <c r="F7891" t="str">
        <f t="shared" si="611"/>
        <v>Brownie</v>
      </c>
      <c r="G7891" t="str">
        <f t="shared" si="612"/>
        <v>Brownie10100Austin</v>
      </c>
      <c r="H7891" t="s">
        <v>38746</v>
      </c>
      <c r="I7891" t="s">
        <v>30156</v>
      </c>
      <c r="J7891" t="str">
        <f t="shared" si="613"/>
        <v>E:\PropInv\MF</v>
      </c>
      <c r="K7891" s="103" t="str">
        <f>HYPERLINK("E:\PropInv\MF\Austin\Brownie Dr_10100_NF_Austin_60278","Brownie Dr_10100_NF_Austin_60278" )</f>
        <v>Brownie Dr_10100_NF_Austin_60278</v>
      </c>
      <c r="L7891" s="104" t="s">
        <v>22253</v>
      </c>
      <c r="N7891" s="1">
        <f t="shared" si="614"/>
        <v>60278</v>
      </c>
    </row>
    <row r="7892" spans="1:14" x14ac:dyDescent="0.3">
      <c r="A7892" s="1">
        <v>30279</v>
      </c>
      <c r="B7892" s="19" t="s">
        <v>7267</v>
      </c>
      <c r="C7892" s="18">
        <v>2020</v>
      </c>
      <c r="D7892" s="19" t="s">
        <v>2497</v>
      </c>
      <c r="E7892" s="20" t="s">
        <v>7</v>
      </c>
      <c r="F7892" t="str">
        <f t="shared" si="611"/>
        <v>Congress</v>
      </c>
      <c r="G7892" t="str">
        <f t="shared" si="612"/>
        <v>Congress2020Austin</v>
      </c>
      <c r="H7892" t="s">
        <v>38747</v>
      </c>
      <c r="I7892" t="s">
        <v>30157</v>
      </c>
      <c r="J7892" t="str">
        <f t="shared" si="613"/>
        <v>E:\PropInv\MF</v>
      </c>
      <c r="K7892" s="103" t="str">
        <f>HYPERLINK("E:\PropInv\MF\Austin\Congress Ave_2020_NF_Austin_60279","Congress Ave_2020_NF_Austin_60279" )</f>
        <v>Congress Ave_2020_NF_Austin_60279</v>
      </c>
      <c r="L7892" s="104" t="s">
        <v>22253</v>
      </c>
      <c r="N7892" s="1">
        <f t="shared" si="614"/>
        <v>60279</v>
      </c>
    </row>
    <row r="7893" spans="1:14" x14ac:dyDescent="0.3">
      <c r="A7893" s="1">
        <v>30280</v>
      </c>
      <c r="B7893" s="19" t="s">
        <v>11726</v>
      </c>
      <c r="C7893" s="18">
        <v>5704</v>
      </c>
      <c r="D7893" s="19" t="s">
        <v>3547</v>
      </c>
      <c r="E7893" s="20" t="s">
        <v>7</v>
      </c>
      <c r="F7893" t="str">
        <f t="shared" si="611"/>
        <v>Cougar</v>
      </c>
      <c r="G7893" t="str">
        <f t="shared" si="612"/>
        <v>Cougar5704Austin</v>
      </c>
      <c r="H7893" t="s">
        <v>38748</v>
      </c>
      <c r="I7893" t="s">
        <v>30158</v>
      </c>
      <c r="J7893" t="str">
        <f t="shared" si="613"/>
        <v>E:\PropInv\MF</v>
      </c>
      <c r="K7893" s="103" t="str">
        <f>HYPERLINK("E:\PropInv\MF\Austin\Cougar Dr_5704_Heatherwood_Austin_60280","Cougar Dr_5704_Heatherwood_Austin_60280" )</f>
        <v>Cougar Dr_5704_Heatherwood_Austin_60280</v>
      </c>
      <c r="L7893" s="104" t="s">
        <v>22253</v>
      </c>
      <c r="N7893" s="1">
        <f t="shared" si="614"/>
        <v>60280</v>
      </c>
    </row>
    <row r="7894" spans="1:14" x14ac:dyDescent="0.3">
      <c r="A7894" s="1">
        <v>30281</v>
      </c>
      <c r="B7894" s="7" t="s">
        <v>693</v>
      </c>
      <c r="C7894" s="12" t="s">
        <v>2497</v>
      </c>
      <c r="D7894" s="19" t="s">
        <v>2497</v>
      </c>
      <c r="E7894" s="13" t="s">
        <v>7</v>
      </c>
      <c r="F7894" t="str">
        <f t="shared" si="611"/>
        <v>Crossing</v>
      </c>
      <c r="G7894" t="str">
        <f t="shared" si="612"/>
        <v>CrossingNFAustin</v>
      </c>
      <c r="H7894" t="s">
        <v>38749</v>
      </c>
      <c r="I7894" t="s">
        <v>30159</v>
      </c>
      <c r="J7894" t="str">
        <f t="shared" si="613"/>
        <v>E:\PropInv\MF</v>
      </c>
      <c r="K7894" s="103" t="str">
        <f>HYPERLINK("E:\PropInv\MF\Austin\Crossing Place_NF_NF_Austin_60281","Crossing Place_NF_NF_Austin_60281" )</f>
        <v>Crossing Place_NF_NF_Austin_60281</v>
      </c>
      <c r="L7894" s="104" t="s">
        <v>22253</v>
      </c>
      <c r="N7894" s="1">
        <f t="shared" si="614"/>
        <v>60281</v>
      </c>
    </row>
    <row r="7895" spans="1:14" x14ac:dyDescent="0.3">
      <c r="A7895" s="1">
        <v>30282</v>
      </c>
      <c r="B7895" s="19" t="s">
        <v>11727</v>
      </c>
      <c r="C7895" s="18">
        <v>1900</v>
      </c>
      <c r="D7895" s="19" t="s">
        <v>11728</v>
      </c>
      <c r="E7895" s="20" t="s">
        <v>7</v>
      </c>
      <c r="F7895" t="str">
        <f t="shared" si="611"/>
        <v>Cuernavaca</v>
      </c>
      <c r="G7895" t="str">
        <f t="shared" si="612"/>
        <v>Cuernavaca1900Austin</v>
      </c>
      <c r="H7895" t="s">
        <v>38750</v>
      </c>
      <c r="I7895" t="s">
        <v>30160</v>
      </c>
      <c r="J7895" t="str">
        <f t="shared" si="613"/>
        <v>E:\PropInv\MF</v>
      </c>
      <c r="K7895" s="103" t="str">
        <f>HYPERLINK("E:\PropInv\MF\Austin\Cuernavaca_1900_Lake Austin Package_Austin_60282","Cuernavaca_1900_Lake Austin Package_Austin_60282" )</f>
        <v>Cuernavaca_1900_Lake Austin Package_Austin_60282</v>
      </c>
      <c r="L7895" s="104" t="s">
        <v>22253</v>
      </c>
      <c r="N7895" s="1">
        <f t="shared" si="614"/>
        <v>60282</v>
      </c>
    </row>
    <row r="7896" spans="1:14" x14ac:dyDescent="0.3">
      <c r="A7896" s="1">
        <v>30283</v>
      </c>
      <c r="B7896" s="7" t="s">
        <v>703</v>
      </c>
      <c r="C7896" s="12" t="s">
        <v>2497</v>
      </c>
      <c r="D7896" s="19" t="s">
        <v>2497</v>
      </c>
      <c r="E7896" s="13" t="s">
        <v>7</v>
      </c>
      <c r="F7896" t="str">
        <f t="shared" si="611"/>
        <v>Cypress</v>
      </c>
      <c r="G7896" t="str">
        <f t="shared" si="612"/>
        <v>CypressNFAustin</v>
      </c>
      <c r="H7896" t="s">
        <v>38751</v>
      </c>
      <c r="I7896" t="s">
        <v>30161</v>
      </c>
      <c r="J7896" t="str">
        <f t="shared" si="613"/>
        <v>E:\PropInv\MF</v>
      </c>
      <c r="K7896" s="103" t="str">
        <f>HYPERLINK("E:\PropInv\MF\Austin\Cypress Creek Rd_NF_NF_Austin_60283","Cypress Creek Rd_NF_NF_Austin_60283" )</f>
        <v>Cypress Creek Rd_NF_NF_Austin_60283</v>
      </c>
      <c r="L7896" s="104" t="s">
        <v>22253</v>
      </c>
      <c r="N7896" s="1">
        <f t="shared" si="614"/>
        <v>60283</v>
      </c>
    </row>
    <row r="7897" spans="1:14" x14ac:dyDescent="0.3">
      <c r="A7897" s="1">
        <v>30285</v>
      </c>
      <c r="B7897" s="19" t="s">
        <v>544</v>
      </c>
      <c r="C7897" s="18">
        <v>910</v>
      </c>
      <c r="D7897" s="19" t="s">
        <v>11730</v>
      </c>
      <c r="E7897" s="20" t="s">
        <v>7</v>
      </c>
      <c r="F7897" t="str">
        <f t="shared" si="611"/>
        <v>40th</v>
      </c>
      <c r="G7897" t="str">
        <f t="shared" si="612"/>
        <v>40th910Austin</v>
      </c>
      <c r="H7897" t="s">
        <v>38752</v>
      </c>
      <c r="I7897" t="s">
        <v>30162</v>
      </c>
      <c r="J7897" t="str">
        <f t="shared" si="613"/>
        <v>E:\PropInv\MF</v>
      </c>
      <c r="K7897" s="103" t="str">
        <f>HYPERLINK("E:\PropInv\MF\Austin\40th St E_910_Turnberry_Austin_60285","40th St E_910_Turnberry_Austin_60285" )</f>
        <v>40th St E_910_Turnberry_Austin_60285</v>
      </c>
      <c r="L7897" s="104" t="s">
        <v>22253</v>
      </c>
      <c r="N7897" s="1">
        <f t="shared" si="614"/>
        <v>60285</v>
      </c>
    </row>
    <row r="7898" spans="1:14" x14ac:dyDescent="0.3">
      <c r="A7898" s="1">
        <v>30286</v>
      </c>
      <c r="B7898" s="19" t="s">
        <v>11731</v>
      </c>
      <c r="C7898" s="18">
        <v>2101</v>
      </c>
      <c r="D7898" s="19" t="s">
        <v>11732</v>
      </c>
      <c r="E7898" s="20" t="s">
        <v>7</v>
      </c>
      <c r="F7898" t="str">
        <f t="shared" si="611"/>
        <v>Elmont</v>
      </c>
      <c r="G7898" t="str">
        <f t="shared" si="612"/>
        <v>Elmont2101Austin</v>
      </c>
      <c r="H7898" t="s">
        <v>38753</v>
      </c>
      <c r="I7898" t="s">
        <v>30163</v>
      </c>
      <c r="J7898" t="str">
        <f t="shared" si="613"/>
        <v>E:\PropInv\MF</v>
      </c>
      <c r="K7898" s="103" t="str">
        <f>HYPERLINK("E:\PropInv\MF\Austin\Elmont_2101_Barcelona and Metropolitan Apts_Austin_60286","Elmont_2101_Barcelona and Metropolitan Apts_Austin_60286" )</f>
        <v>Elmont_2101_Barcelona and Metropolitan Apts_Austin_60286</v>
      </c>
      <c r="L7898" s="104" t="s">
        <v>22253</v>
      </c>
      <c r="N7898" s="1">
        <f t="shared" si="614"/>
        <v>60286</v>
      </c>
    </row>
    <row r="7899" spans="1:14" x14ac:dyDescent="0.3">
      <c r="A7899" s="1">
        <v>30287</v>
      </c>
      <c r="B7899" s="19" t="s">
        <v>11733</v>
      </c>
      <c r="C7899" s="18">
        <v>833</v>
      </c>
      <c r="D7899" s="19" t="s">
        <v>11734</v>
      </c>
      <c r="E7899" s="20" t="s">
        <v>7</v>
      </c>
      <c r="F7899" t="str">
        <f t="shared" si="611"/>
        <v>Fairfield</v>
      </c>
      <c r="G7899" t="str">
        <f t="shared" si="612"/>
        <v>Fairfield833Austin</v>
      </c>
      <c r="H7899" t="s">
        <v>38754</v>
      </c>
      <c r="I7899" t="s">
        <v>30164</v>
      </c>
      <c r="J7899" t="str">
        <f t="shared" si="613"/>
        <v>E:\PropInv\MF</v>
      </c>
      <c r="K7899" s="103" t="str">
        <f>HYPERLINK("E:\PropInv\MF\Austin\Fairfield Dr_833_Summer Wind Condominiums_Austin_60287","Fairfield Dr_833_Summer Wind Condominiums_Austin_60287" )</f>
        <v>Fairfield Dr_833_Summer Wind Condominiums_Austin_60287</v>
      </c>
      <c r="L7899" s="104" t="s">
        <v>22253</v>
      </c>
      <c r="N7899" s="1">
        <f t="shared" si="614"/>
        <v>60287</v>
      </c>
    </row>
    <row r="7900" spans="1:14" x14ac:dyDescent="0.3">
      <c r="A7900" s="1">
        <v>30288</v>
      </c>
      <c r="B7900" s="19" t="s">
        <v>11735</v>
      </c>
      <c r="C7900" s="18" t="s">
        <v>11736</v>
      </c>
      <c r="D7900" s="19" t="s">
        <v>8126</v>
      </c>
      <c r="E7900" s="20" t="s">
        <v>7</v>
      </c>
      <c r="F7900" t="str">
        <f t="shared" si="611"/>
        <v>620</v>
      </c>
      <c r="G7900" t="str">
        <f t="shared" si="612"/>
        <v>6208801 &amp; 10320Austin</v>
      </c>
      <c r="H7900" t="s">
        <v>38755</v>
      </c>
      <c r="I7900" t="s">
        <v>30165</v>
      </c>
      <c r="J7900" t="str">
        <f t="shared" si="613"/>
        <v>E:\PropInv\MF</v>
      </c>
      <c r="K7900" s="103" t="str">
        <f>HYPERLINK("E:\PropInv\MF\Austin\620 FM N and Boulder Ln_8801 &amp; 10320_Sonterra_Austin_60288","620 FM N and Boulder Ln_8801 &amp; 10320_Sonterra_Austin_60288" )</f>
        <v>620 FM N and Boulder Ln_8801 &amp; 10320_Sonterra_Austin_60288</v>
      </c>
      <c r="L7900" s="104" t="s">
        <v>22253</v>
      </c>
      <c r="N7900" s="1">
        <f t="shared" si="614"/>
        <v>60288</v>
      </c>
    </row>
    <row r="7901" spans="1:14" x14ac:dyDescent="0.3">
      <c r="A7901" s="1">
        <v>30289</v>
      </c>
      <c r="B7901" s="19" t="s">
        <v>11737</v>
      </c>
      <c r="C7901" s="18">
        <v>3706</v>
      </c>
      <c r="D7901" s="19" t="s">
        <v>22263</v>
      </c>
      <c r="E7901" s="39" t="s">
        <v>7</v>
      </c>
      <c r="F7901" t="str">
        <f t="shared" si="611"/>
        <v>Goodwin</v>
      </c>
      <c r="G7901" t="str">
        <f t="shared" si="612"/>
        <v>Goodwin3706Austin</v>
      </c>
      <c r="H7901" t="s">
        <v>38756</v>
      </c>
      <c r="I7901" t="s">
        <v>30166</v>
      </c>
      <c r="J7901" t="str">
        <f t="shared" si="613"/>
        <v>E:\PropInv\MF</v>
      </c>
      <c r="K7901" s="103" t="str">
        <f>HYPERLINK("E:\PropInv\MF\Austin\Goodwin Ave_3706_Grant Villas Apts_Austin_60289","Goodwin Ave_3706_Grant Villas Apts_Austin_60289" )</f>
        <v>Goodwin Ave_3706_Grant Villas Apts_Austin_60289</v>
      </c>
      <c r="L7901" s="104" t="s">
        <v>22253</v>
      </c>
      <c r="N7901" s="1">
        <f t="shared" si="614"/>
        <v>60289</v>
      </c>
    </row>
    <row r="7902" spans="1:14" x14ac:dyDescent="0.3">
      <c r="A7902" s="1">
        <v>30290</v>
      </c>
      <c r="B7902" s="19" t="s">
        <v>11738</v>
      </c>
      <c r="C7902" s="18">
        <v>6409</v>
      </c>
      <c r="D7902" s="19" t="s">
        <v>13736</v>
      </c>
      <c r="E7902" s="20" t="s">
        <v>7</v>
      </c>
      <c r="F7902" t="str">
        <f t="shared" si="611"/>
        <v>Hudson</v>
      </c>
      <c r="G7902" t="str">
        <f t="shared" si="612"/>
        <v>Hudson6409Austin</v>
      </c>
      <c r="H7902" t="s">
        <v>38757</v>
      </c>
      <c r="I7902" t="s">
        <v>30167</v>
      </c>
      <c r="J7902" t="str">
        <f t="shared" si="613"/>
        <v>E:\PropInv\MF</v>
      </c>
      <c r="K7902" s="103" t="str">
        <f>HYPERLINK("E:\PropInv\MF\Austin\Hudson Bend Rd_6409_Sanctuary @ Hudson Harbor_Austin_60290","Hudson Bend Rd_6409_Sanctuary @ Hudson Harbor_Austin_60290" )</f>
        <v>Hudson Bend Rd_6409_Sanctuary @ Hudson Harbor_Austin_60290</v>
      </c>
      <c r="L7902" s="104" t="s">
        <v>22253</v>
      </c>
      <c r="N7902" s="1">
        <f t="shared" si="614"/>
        <v>60290</v>
      </c>
    </row>
    <row r="7903" spans="1:14" x14ac:dyDescent="0.3">
      <c r="A7903" s="1">
        <v>30291</v>
      </c>
      <c r="B7903" s="7" t="s">
        <v>87</v>
      </c>
      <c r="C7903" s="12">
        <v>11604</v>
      </c>
      <c r="D7903" s="19" t="s">
        <v>2497</v>
      </c>
      <c r="E7903" s="13" t="s">
        <v>7</v>
      </c>
      <c r="F7903" t="str">
        <f t="shared" si="611"/>
        <v>Jollyville</v>
      </c>
      <c r="G7903" t="str">
        <f t="shared" si="612"/>
        <v>Jollyville11604Austin</v>
      </c>
      <c r="H7903" t="s">
        <v>38758</v>
      </c>
      <c r="I7903" t="s">
        <v>30168</v>
      </c>
      <c r="J7903" t="str">
        <f t="shared" si="613"/>
        <v>E:\PropInv\MF</v>
      </c>
      <c r="K7903" s="103" t="str">
        <f>HYPERLINK("E:\PropInv\MF\Austin\Jollyville Rd_11604_NF_Austin_60291","Jollyville Rd_11604_NF_Austin_60291" )</f>
        <v>Jollyville Rd_11604_NF_Austin_60291</v>
      </c>
      <c r="L7903" s="104" t="s">
        <v>22253</v>
      </c>
      <c r="N7903" s="1">
        <f t="shared" si="614"/>
        <v>60291</v>
      </c>
    </row>
    <row r="7904" spans="1:14" x14ac:dyDescent="0.3">
      <c r="A7904" s="1">
        <v>30292</v>
      </c>
      <c r="B7904" s="19" t="s">
        <v>8750</v>
      </c>
      <c r="C7904" s="18">
        <v>1701</v>
      </c>
      <c r="D7904" s="54" t="s">
        <v>2497</v>
      </c>
      <c r="E7904" s="20" t="s">
        <v>7</v>
      </c>
      <c r="F7904" t="str">
        <f t="shared" si="611"/>
        <v>Lavaca</v>
      </c>
      <c r="G7904" t="str">
        <f t="shared" si="612"/>
        <v>Lavaca1701Austin</v>
      </c>
      <c r="H7904" t="s">
        <v>38759</v>
      </c>
      <c r="I7904" t="s">
        <v>30169</v>
      </c>
      <c r="J7904" t="str">
        <f t="shared" si="613"/>
        <v>E:\PropInv\MF</v>
      </c>
      <c r="K7904" s="103" t="str">
        <f>HYPERLINK("E:\PropInv\MF\Austin\Lavaca St_1701_NF_Austin_60292","Lavaca St_1701_NF_Austin_60292" )</f>
        <v>Lavaca St_1701_NF_Austin_60292</v>
      </c>
      <c r="L7904" s="104" t="s">
        <v>22253</v>
      </c>
      <c r="N7904" s="1">
        <f t="shared" si="614"/>
        <v>60292</v>
      </c>
    </row>
    <row r="7905" spans="1:14" x14ac:dyDescent="0.3">
      <c r="A7905" s="1">
        <v>30293</v>
      </c>
      <c r="B7905" s="10" t="s">
        <v>31</v>
      </c>
      <c r="C7905" s="9">
        <v>2510</v>
      </c>
      <c r="D7905" s="16" t="s">
        <v>2497</v>
      </c>
      <c r="E7905" s="11" t="s">
        <v>7</v>
      </c>
      <c r="F7905" t="str">
        <f t="shared" si="611"/>
        <v>Leon</v>
      </c>
      <c r="G7905" t="str">
        <f t="shared" si="612"/>
        <v>Leon2510Austin</v>
      </c>
      <c r="H7905" t="s">
        <v>38760</v>
      </c>
      <c r="I7905" t="s">
        <v>30170</v>
      </c>
      <c r="J7905" t="str">
        <f t="shared" si="613"/>
        <v>E:\PropInv\MF</v>
      </c>
      <c r="K7905" s="103" t="str">
        <f>HYPERLINK("E:\PropInv\MF\Austin\Leon St_2510_NF_Austin_60293","Leon St_2510_NF_Austin_60293" )</f>
        <v>Leon St_2510_NF_Austin_60293</v>
      </c>
      <c r="L7905" s="104" t="s">
        <v>22253</v>
      </c>
      <c r="N7905" s="1">
        <f t="shared" si="614"/>
        <v>60293</v>
      </c>
    </row>
    <row r="7906" spans="1:14" x14ac:dyDescent="0.3">
      <c r="A7906" s="1">
        <v>30294</v>
      </c>
      <c r="B7906" s="19" t="s">
        <v>347</v>
      </c>
      <c r="C7906" s="18">
        <v>3300</v>
      </c>
      <c r="D7906" s="19" t="s">
        <v>11739</v>
      </c>
      <c r="E7906" s="20" t="s">
        <v>7</v>
      </c>
      <c r="F7906" t="str">
        <f t="shared" si="611"/>
        <v>Manor</v>
      </c>
      <c r="G7906" t="str">
        <f t="shared" si="612"/>
        <v>Manor3300Austin</v>
      </c>
      <c r="H7906" t="s">
        <v>38761</v>
      </c>
      <c r="I7906" t="s">
        <v>30171</v>
      </c>
      <c r="J7906" t="str">
        <f t="shared" si="613"/>
        <v>E:\PropInv\MF</v>
      </c>
      <c r="K7906" s="103" t="str">
        <f>HYPERLINK("E:\PropInv\MF\Austin\Manor Rd_3300_Kensington_Austin_60294","Manor Rd_3300_Kensington_Austin_60294" )</f>
        <v>Manor Rd_3300_Kensington_Austin_60294</v>
      </c>
      <c r="L7906" s="104" t="s">
        <v>22253</v>
      </c>
      <c r="N7906" s="1">
        <f t="shared" si="614"/>
        <v>60294</v>
      </c>
    </row>
    <row r="7907" spans="1:14" x14ac:dyDescent="0.3">
      <c r="A7907" s="1">
        <v>30295</v>
      </c>
      <c r="B7907" s="19" t="s">
        <v>347</v>
      </c>
      <c r="C7907" s="18">
        <v>2401</v>
      </c>
      <c r="D7907" s="19" t="s">
        <v>11740</v>
      </c>
      <c r="E7907" s="20" t="s">
        <v>7</v>
      </c>
      <c r="F7907" t="str">
        <f t="shared" si="611"/>
        <v>Manor</v>
      </c>
      <c r="G7907" t="str">
        <f t="shared" si="612"/>
        <v>Manor2401Austin</v>
      </c>
      <c r="H7907" t="s">
        <v>38762</v>
      </c>
      <c r="I7907" t="s">
        <v>30172</v>
      </c>
      <c r="J7907" t="str">
        <f t="shared" si="613"/>
        <v>E:\PropInv\MF</v>
      </c>
      <c r="K7907" s="103" t="str">
        <f>HYPERLINK("E:\PropInv\MF\Austin\Manor Rd_2401_Sea Breeze Apts_Austin_60295","Manor Rd_2401_Sea Breeze Apts_Austin_60295" )</f>
        <v>Manor Rd_2401_Sea Breeze Apts_Austin_60295</v>
      </c>
      <c r="L7907" s="104" t="s">
        <v>22253</v>
      </c>
      <c r="N7907" s="1">
        <f t="shared" si="614"/>
        <v>60295</v>
      </c>
    </row>
    <row r="7908" spans="1:14" x14ac:dyDescent="0.3">
      <c r="A7908" s="1">
        <v>30296</v>
      </c>
      <c r="B7908" s="7" t="s">
        <v>286</v>
      </c>
      <c r="C7908" s="12">
        <v>5815</v>
      </c>
      <c r="D7908" s="19" t="s">
        <v>2497</v>
      </c>
      <c r="E7908" s="13" t="s">
        <v>7</v>
      </c>
      <c r="F7908" t="str">
        <f t="shared" si="611"/>
        <v>Mesa</v>
      </c>
      <c r="G7908" t="str">
        <f t="shared" si="612"/>
        <v>Mesa5815Austin</v>
      </c>
      <c r="H7908" t="s">
        <v>38763</v>
      </c>
      <c r="I7908" t="s">
        <v>30173</v>
      </c>
      <c r="J7908" t="str">
        <f t="shared" si="613"/>
        <v>E:\PropInv\MF</v>
      </c>
      <c r="K7908" s="103" t="str">
        <f>HYPERLINK("E:\PropInv\MF\Austin\Mesa Dr_5815_NF_Austin_60296","Mesa Dr_5815_NF_Austin_60296" )</f>
        <v>Mesa Dr_5815_NF_Austin_60296</v>
      </c>
      <c r="L7908" s="104" t="s">
        <v>22253</v>
      </c>
      <c r="N7908" s="1">
        <f t="shared" si="614"/>
        <v>60296</v>
      </c>
    </row>
    <row r="7909" spans="1:14" x14ac:dyDescent="0.3">
      <c r="A7909" s="1">
        <v>30297</v>
      </c>
      <c r="B7909" s="7" t="s">
        <v>11741</v>
      </c>
      <c r="C7909" s="12">
        <v>9715</v>
      </c>
      <c r="D7909" s="19" t="s">
        <v>2497</v>
      </c>
      <c r="E7909" s="13" t="s">
        <v>7</v>
      </c>
      <c r="F7909" t="str">
        <f t="shared" si="611"/>
        <v>62</v>
      </c>
      <c r="G7909" t="str">
        <f t="shared" si="612"/>
        <v>629715Austin</v>
      </c>
      <c r="H7909" t="s">
        <v>38764</v>
      </c>
      <c r="I7909" t="s">
        <v>30174</v>
      </c>
      <c r="J7909" t="str">
        <f t="shared" si="613"/>
        <v>E:\PropInv\MF</v>
      </c>
      <c r="K7909" s="103" t="str">
        <f>HYPERLINK("E:\PropInv\MF\Austin\62 FM N_9715_NF_Austin_60297","62 FM N_9715_NF_Austin_60297" )</f>
        <v>62 FM N_9715_NF_Austin_60297</v>
      </c>
      <c r="L7909" s="104" t="s">
        <v>22253</v>
      </c>
      <c r="N7909" s="1">
        <f t="shared" si="614"/>
        <v>60297</v>
      </c>
    </row>
    <row r="7910" spans="1:14" x14ac:dyDescent="0.3">
      <c r="A7910" s="1">
        <v>30298</v>
      </c>
      <c r="B7910" s="16" t="s">
        <v>795</v>
      </c>
      <c r="C7910" s="15">
        <v>13145</v>
      </c>
      <c r="D7910" s="16" t="s">
        <v>11742</v>
      </c>
      <c r="E7910" s="17" t="s">
        <v>7</v>
      </c>
      <c r="F7910" t="str">
        <f t="shared" si="611"/>
        <v>183</v>
      </c>
      <c r="G7910" t="str">
        <f t="shared" si="612"/>
        <v>18313145Austin</v>
      </c>
      <c r="H7910" t="s">
        <v>38765</v>
      </c>
      <c r="I7910" t="s">
        <v>30175</v>
      </c>
      <c r="J7910" t="str">
        <f t="shared" si="613"/>
        <v>E:\PropInv\MF</v>
      </c>
      <c r="K7910" s="103" t="str">
        <f>HYPERLINK("E:\PropInv\MF\Austin\183 Hwy N_13145_Balcones Ranch_Austin_60298","183 Hwy N_13145_Balcones Ranch_Austin_60298" )</f>
        <v>183 Hwy N_13145_Balcones Ranch_Austin_60298</v>
      </c>
      <c r="L7910" s="104" t="s">
        <v>22253</v>
      </c>
      <c r="N7910" s="1">
        <f t="shared" si="614"/>
        <v>60298</v>
      </c>
    </row>
    <row r="7911" spans="1:14" x14ac:dyDescent="0.3">
      <c r="A7911" s="1">
        <v>30299</v>
      </c>
      <c r="B7911" s="7" t="s">
        <v>11743</v>
      </c>
      <c r="C7911" s="12">
        <v>2501</v>
      </c>
      <c r="D7911" s="19" t="s">
        <v>2497</v>
      </c>
      <c r="E7911" s="13" t="s">
        <v>7</v>
      </c>
      <c r="F7911" t="str">
        <f t="shared" si="611"/>
        <v>Pearl</v>
      </c>
      <c r="G7911" t="str">
        <f t="shared" si="612"/>
        <v>Pearl2501Austin</v>
      </c>
      <c r="H7911" t="s">
        <v>38766</v>
      </c>
      <c r="I7911" t="s">
        <v>30176</v>
      </c>
      <c r="J7911" t="str">
        <f t="shared" si="613"/>
        <v>E:\PropInv\MF</v>
      </c>
      <c r="K7911" s="103" t="str">
        <f>HYPERLINK("E:\PropInv\MF\Austin\Pearl St_2501_NF_Austin_60299","Pearl St_2501_NF_Austin_60299" )</f>
        <v>Pearl St_2501_NF_Austin_60299</v>
      </c>
      <c r="L7911" s="104" t="s">
        <v>22253</v>
      </c>
      <c r="N7911" s="1">
        <f t="shared" si="614"/>
        <v>60299</v>
      </c>
    </row>
    <row r="7912" spans="1:14" x14ac:dyDescent="0.3">
      <c r="A7912" s="1">
        <v>30300</v>
      </c>
      <c r="B7912" s="19" t="s">
        <v>186</v>
      </c>
      <c r="C7912" s="18">
        <v>1106</v>
      </c>
      <c r="D7912" s="19" t="s">
        <v>11744</v>
      </c>
      <c r="E7912" s="20" t="s">
        <v>7</v>
      </c>
      <c r="F7912" t="str">
        <f t="shared" si="611"/>
        <v>Reinli</v>
      </c>
      <c r="G7912" t="str">
        <f t="shared" si="612"/>
        <v>Reinli1106Austin</v>
      </c>
      <c r="H7912" t="s">
        <v>38767</v>
      </c>
      <c r="I7912" t="s">
        <v>30177</v>
      </c>
      <c r="J7912" t="str">
        <f t="shared" si="613"/>
        <v>E:\PropInv\MF</v>
      </c>
      <c r="K7912" s="103" t="str">
        <f>HYPERLINK("E:\PropInv\MF\Austin\Reinli St_1106_The Legacy Apts_Austin_60300","Reinli St_1106_The Legacy Apts_Austin_60300" )</f>
        <v>Reinli St_1106_The Legacy Apts_Austin_60300</v>
      </c>
      <c r="L7912" s="104" t="s">
        <v>22253</v>
      </c>
      <c r="N7912" s="1">
        <f t="shared" si="614"/>
        <v>60300</v>
      </c>
    </row>
    <row r="7913" spans="1:14" x14ac:dyDescent="0.3">
      <c r="A7913" s="1">
        <v>30301</v>
      </c>
      <c r="B7913" s="10" t="s">
        <v>171</v>
      </c>
      <c r="C7913" s="9">
        <v>2728</v>
      </c>
      <c r="D7913" s="16" t="s">
        <v>2497</v>
      </c>
      <c r="E7913" s="11" t="s">
        <v>7</v>
      </c>
      <c r="F7913" t="str">
        <f t="shared" si="611"/>
        <v>Rio</v>
      </c>
      <c r="G7913" t="str">
        <f t="shared" si="612"/>
        <v>Rio2728Austin</v>
      </c>
      <c r="H7913" t="s">
        <v>38768</v>
      </c>
      <c r="I7913" t="s">
        <v>30178</v>
      </c>
      <c r="J7913" t="str">
        <f t="shared" si="613"/>
        <v>E:\PropInv\MF</v>
      </c>
      <c r="K7913" s="103" t="str">
        <f>HYPERLINK("E:\PropInv\MF\Austin\Rio Grande St_2728_NF_Austin_60301","Rio Grande St_2728_NF_Austin_60301" )</f>
        <v>Rio Grande St_2728_NF_Austin_60301</v>
      </c>
      <c r="L7913" s="104" t="s">
        <v>22253</v>
      </c>
      <c r="N7913" s="1">
        <f t="shared" si="614"/>
        <v>60301</v>
      </c>
    </row>
    <row r="7914" spans="1:14" x14ac:dyDescent="0.3">
      <c r="A7914" s="1">
        <v>30302</v>
      </c>
      <c r="B7914" s="7" t="s">
        <v>146</v>
      </c>
      <c r="C7914" s="12">
        <v>1727</v>
      </c>
      <c r="D7914" s="19" t="s">
        <v>2497</v>
      </c>
      <c r="E7914" s="13" t="s">
        <v>7</v>
      </c>
      <c r="F7914" t="str">
        <f t="shared" si="611"/>
        <v>Rutland</v>
      </c>
      <c r="G7914" t="str">
        <f t="shared" si="612"/>
        <v>Rutland1727Austin</v>
      </c>
      <c r="H7914" t="s">
        <v>38769</v>
      </c>
      <c r="I7914" t="s">
        <v>30179</v>
      </c>
      <c r="J7914" t="str">
        <f t="shared" si="613"/>
        <v>E:\PropInv\MF</v>
      </c>
      <c r="K7914" s="103" t="str">
        <f>HYPERLINK("E:\PropInv\MF\Austin\Rutland Dr_1727_NF_Austin_60302","Rutland Dr_1727_NF_Austin_60302" )</f>
        <v>Rutland Dr_1727_NF_Austin_60302</v>
      </c>
      <c r="L7914" s="104" t="s">
        <v>22253</v>
      </c>
      <c r="N7914" s="1">
        <f t="shared" si="614"/>
        <v>60302</v>
      </c>
    </row>
    <row r="7915" spans="1:14" x14ac:dyDescent="0.3">
      <c r="A7915" s="1">
        <v>30303</v>
      </c>
      <c r="B7915" s="19" t="s">
        <v>11745</v>
      </c>
      <c r="C7915" s="18">
        <v>2616</v>
      </c>
      <c r="D7915" s="19" t="s">
        <v>11746</v>
      </c>
      <c r="E7915" s="39" t="s">
        <v>7</v>
      </c>
      <c r="F7915" t="str">
        <f t="shared" si="611"/>
        <v>Salado</v>
      </c>
      <c r="G7915" t="str">
        <f t="shared" si="612"/>
        <v>Salado2616Austin</v>
      </c>
      <c r="H7915" t="s">
        <v>38770</v>
      </c>
      <c r="I7915" t="s">
        <v>30180</v>
      </c>
      <c r="J7915" t="str">
        <f t="shared" si="613"/>
        <v>E:\PropInv\MF</v>
      </c>
      <c r="K7915" s="103" t="str">
        <f>HYPERLINK("E:\PropInv\MF\Austin\Salado_2616_Texan West Campus_Austin_60303","Salado_2616_Texan West Campus_Austin_60303" )</f>
        <v>Salado_2616_Texan West Campus_Austin_60303</v>
      </c>
      <c r="L7915" s="104" t="s">
        <v>22253</v>
      </c>
      <c r="N7915" s="1">
        <f t="shared" si="614"/>
        <v>60303</v>
      </c>
    </row>
    <row r="7916" spans="1:14" x14ac:dyDescent="0.3">
      <c r="A7916" s="1">
        <v>30304</v>
      </c>
      <c r="B7916" s="19" t="s">
        <v>381</v>
      </c>
      <c r="C7916" s="18">
        <v>554</v>
      </c>
      <c r="D7916" s="19" t="s">
        <v>517</v>
      </c>
      <c r="E7916" s="20" t="s">
        <v>7</v>
      </c>
      <c r="F7916" t="str">
        <f t="shared" si="611"/>
        <v>Springdale</v>
      </c>
      <c r="G7916" t="str">
        <f t="shared" si="612"/>
        <v>Springdale554Austin</v>
      </c>
      <c r="H7916" t="s">
        <v>38771</v>
      </c>
      <c r="I7916" t="s">
        <v>30181</v>
      </c>
      <c r="J7916" t="str">
        <f t="shared" si="613"/>
        <v>E:\PropInv\MF</v>
      </c>
      <c r="K7916" s="103" t="str">
        <f>HYPERLINK("E:\PropInv\MF\Austin\Springdale Rd_554_Springdale Gardens_Austin_60304","Springdale Rd_554_Springdale Gardens_Austin_60304" )</f>
        <v>Springdale Rd_554_Springdale Gardens_Austin_60304</v>
      </c>
      <c r="L7916" s="104" t="s">
        <v>22253</v>
      </c>
      <c r="N7916" s="1">
        <f t="shared" si="614"/>
        <v>60304</v>
      </c>
    </row>
    <row r="7917" spans="1:14" x14ac:dyDescent="0.3">
      <c r="A7917" s="1">
        <v>30305</v>
      </c>
      <c r="B7917" s="7" t="s">
        <v>316</v>
      </c>
      <c r="C7917" s="12">
        <v>14318</v>
      </c>
      <c r="D7917" s="7" t="s">
        <v>2497</v>
      </c>
      <c r="E7917" s="13" t="s">
        <v>7</v>
      </c>
      <c r="F7917" t="str">
        <f t="shared" si="611"/>
        <v>Tandem</v>
      </c>
      <c r="G7917" t="str">
        <f t="shared" si="612"/>
        <v>Tandem14318Austin</v>
      </c>
      <c r="H7917" t="s">
        <v>38772</v>
      </c>
      <c r="I7917" t="s">
        <v>30182</v>
      </c>
      <c r="J7917" t="str">
        <f t="shared" si="613"/>
        <v>E:\PropInv\MF</v>
      </c>
      <c r="K7917" s="103" t="str">
        <f>HYPERLINK("E:\PropInv\MF\Austin\Tandem Blvd_14318_NF_Austin_60305","Tandem Blvd_14318_NF_Austin_60305" )</f>
        <v>Tandem Blvd_14318_NF_Austin_60305</v>
      </c>
      <c r="L7917" s="104" t="s">
        <v>22253</v>
      </c>
      <c r="N7917" s="1">
        <f t="shared" si="614"/>
        <v>60305</v>
      </c>
    </row>
    <row r="7918" spans="1:14" x14ac:dyDescent="0.3">
      <c r="A7918" s="1">
        <v>30306</v>
      </c>
      <c r="B7918" s="19" t="s">
        <v>8602</v>
      </c>
      <c r="C7918" s="18">
        <v>4703</v>
      </c>
      <c r="D7918" s="19" t="s">
        <v>2497</v>
      </c>
      <c r="E7918" s="20" t="s">
        <v>7</v>
      </c>
      <c r="F7918" t="str">
        <f t="shared" si="611"/>
        <v>Teri</v>
      </c>
      <c r="G7918" t="str">
        <f t="shared" si="612"/>
        <v>Teri4703Austin</v>
      </c>
      <c r="H7918" t="s">
        <v>38773</v>
      </c>
      <c r="I7918" t="s">
        <v>30183</v>
      </c>
      <c r="J7918" t="str">
        <f t="shared" si="613"/>
        <v>E:\PropInv\MF</v>
      </c>
      <c r="K7918" s="103" t="str">
        <f>HYPERLINK("E:\PropInv\MF\Austin\Teri Rd_4703_NF_Austin_60306","Teri Rd_4703_NF_Austin_60306" )</f>
        <v>Teri Rd_4703_NF_Austin_60306</v>
      </c>
      <c r="L7918" s="104" t="s">
        <v>22253</v>
      </c>
      <c r="N7918" s="1">
        <f t="shared" si="614"/>
        <v>60306</v>
      </c>
    </row>
    <row r="7919" spans="1:14" x14ac:dyDescent="0.3">
      <c r="A7919" s="1">
        <v>30307</v>
      </c>
      <c r="B7919" s="7" t="s">
        <v>11747</v>
      </c>
      <c r="C7919" s="12">
        <v>904</v>
      </c>
      <c r="D7919" s="7" t="s">
        <v>11748</v>
      </c>
      <c r="E7919" s="13" t="s">
        <v>7</v>
      </c>
      <c r="F7919" t="str">
        <f t="shared" si="611"/>
        <v>22.5</v>
      </c>
      <c r="G7919" t="str">
        <f t="shared" si="612"/>
        <v>22.5904Austin</v>
      </c>
      <c r="H7919" t="s">
        <v>38774</v>
      </c>
      <c r="I7919" t="s">
        <v>30184</v>
      </c>
      <c r="J7919" t="str">
        <f t="shared" si="613"/>
        <v>E:\PropInv\MF</v>
      </c>
      <c r="K7919" s="103" t="str">
        <f>HYPERLINK("E:\PropInv\MF\Austin\22.5 St W_904_Vintage West Campus_Austin_60307","22.5 St W_904_Vintage West Campus_Austin_60307" )</f>
        <v>22.5 St W_904_Vintage West Campus_Austin_60307</v>
      </c>
      <c r="L7919" s="104" t="s">
        <v>22253</v>
      </c>
      <c r="N7919" s="1">
        <f t="shared" si="614"/>
        <v>60307</v>
      </c>
    </row>
    <row r="7920" spans="1:14" x14ac:dyDescent="0.3">
      <c r="A7920" s="1">
        <v>30308</v>
      </c>
      <c r="B7920" s="7" t="s">
        <v>727</v>
      </c>
      <c r="C7920" s="12">
        <v>900</v>
      </c>
      <c r="D7920" s="7" t="s">
        <v>11749</v>
      </c>
      <c r="E7920" s="13" t="s">
        <v>7</v>
      </c>
      <c r="F7920" t="str">
        <f t="shared" si="611"/>
        <v>22nd</v>
      </c>
      <c r="G7920" t="str">
        <f t="shared" si="612"/>
        <v>22nd900Austin</v>
      </c>
      <c r="H7920" t="s">
        <v>38775</v>
      </c>
      <c r="I7920" t="s">
        <v>30185</v>
      </c>
      <c r="J7920" t="str">
        <f t="shared" si="613"/>
        <v>E:\PropInv\MF</v>
      </c>
      <c r="K7920" s="103" t="str">
        <f>HYPERLINK("E:\PropInv\MF\Austin\22nd St W_900_Pearl 22_Austin_60308","22nd St W_900_Pearl 22_Austin_60308" )</f>
        <v>22nd St W_900_Pearl 22_Austin_60308</v>
      </c>
      <c r="L7920" s="104" t="s">
        <v>22253</v>
      </c>
      <c r="N7920" s="1">
        <f t="shared" si="614"/>
        <v>60308</v>
      </c>
    </row>
    <row r="7921" spans="1:14" x14ac:dyDescent="0.3">
      <c r="A7921" s="1">
        <v>30309</v>
      </c>
      <c r="B7921" s="7" t="s">
        <v>2426</v>
      </c>
      <c r="C7921" s="12">
        <v>708</v>
      </c>
      <c r="D7921" s="7" t="s">
        <v>2497</v>
      </c>
      <c r="E7921" s="13" t="s">
        <v>7</v>
      </c>
      <c r="F7921" t="str">
        <f t="shared" si="611"/>
        <v>25th</v>
      </c>
      <c r="G7921" t="str">
        <f t="shared" si="612"/>
        <v>25th708Austin</v>
      </c>
      <c r="H7921" t="s">
        <v>38776</v>
      </c>
      <c r="I7921" t="s">
        <v>30186</v>
      </c>
      <c r="J7921" t="str">
        <f t="shared" si="613"/>
        <v>E:\PropInv\MF</v>
      </c>
      <c r="K7921" s="103" t="str">
        <f>HYPERLINK("E:\PropInv\MF\Austin\25th St W_708_NF_Austin_60309","25th St W_708_NF_Austin_60309" )</f>
        <v>25th St W_708_NF_Austin_60309</v>
      </c>
      <c r="L7921" s="104" t="s">
        <v>22253</v>
      </c>
      <c r="N7921" s="1">
        <f t="shared" si="614"/>
        <v>60309</v>
      </c>
    </row>
    <row r="7922" spans="1:14" x14ac:dyDescent="0.3">
      <c r="A7922" s="1">
        <v>30310</v>
      </c>
      <c r="B7922" s="19" t="s">
        <v>9454</v>
      </c>
      <c r="C7922" s="18">
        <v>800</v>
      </c>
      <c r="D7922" s="19" t="s">
        <v>2497</v>
      </c>
      <c r="E7922" s="20" t="s">
        <v>7</v>
      </c>
      <c r="F7922" t="str">
        <f t="shared" si="611"/>
        <v>3rd</v>
      </c>
      <c r="G7922" t="str">
        <f t="shared" si="612"/>
        <v>3rd800Austin</v>
      </c>
      <c r="H7922" t="s">
        <v>38777</v>
      </c>
      <c r="I7922" t="s">
        <v>30187</v>
      </c>
      <c r="J7922" t="str">
        <f t="shared" si="613"/>
        <v>E:\PropInv\MF</v>
      </c>
      <c r="K7922" s="103" t="str">
        <f>HYPERLINK("E:\PropInv\MF\Austin\3rd St W_800_NF_Austin_60310","3rd St W_800_NF_Austin_60310" )</f>
        <v>3rd St W_800_NF_Austin_60310</v>
      </c>
      <c r="L7922" s="104" t="s">
        <v>22253</v>
      </c>
      <c r="N7922" s="1">
        <f t="shared" si="614"/>
        <v>60310</v>
      </c>
    </row>
    <row r="7923" spans="1:14" x14ac:dyDescent="0.3">
      <c r="A7923" s="1">
        <v>30311</v>
      </c>
      <c r="B7923" s="19" t="s">
        <v>5655</v>
      </c>
      <c r="C7923" s="18">
        <v>1316</v>
      </c>
      <c r="D7923" s="19" t="s">
        <v>2497</v>
      </c>
      <c r="E7923" s="20" t="s">
        <v>7</v>
      </c>
      <c r="F7923" t="str">
        <f t="shared" si="611"/>
        <v>5th</v>
      </c>
      <c r="G7923" t="str">
        <f t="shared" si="612"/>
        <v>5th1316Austin</v>
      </c>
      <c r="H7923" t="s">
        <v>38778</v>
      </c>
      <c r="I7923" t="s">
        <v>30188</v>
      </c>
      <c r="J7923" t="str">
        <f t="shared" si="613"/>
        <v>E:\PropInv\MF</v>
      </c>
      <c r="K7923" s="103" t="str">
        <f>HYPERLINK("E:\PropInv\MF\Austin\5th St W_1316_NF_Austin_60311","5th St W_1316_NF_Austin_60311" )</f>
        <v>5th St W_1316_NF_Austin_60311</v>
      </c>
      <c r="L7923" s="104" t="s">
        <v>22253</v>
      </c>
      <c r="N7923" s="1">
        <f t="shared" si="614"/>
        <v>60311</v>
      </c>
    </row>
    <row r="7924" spans="1:14" x14ac:dyDescent="0.3">
      <c r="A7924" s="1">
        <v>30312</v>
      </c>
      <c r="B7924" s="19" t="s">
        <v>21</v>
      </c>
      <c r="C7924" s="18">
        <v>2801</v>
      </c>
      <c r="D7924" s="19" t="s">
        <v>697</v>
      </c>
      <c r="E7924" s="20" t="s">
        <v>7</v>
      </c>
      <c r="F7924" t="str">
        <f t="shared" si="611"/>
        <v>Wells</v>
      </c>
      <c r="G7924" t="str">
        <f t="shared" si="612"/>
        <v>Wells2801Austin</v>
      </c>
      <c r="H7924" t="s">
        <v>38779</v>
      </c>
      <c r="I7924" t="s">
        <v>30189</v>
      </c>
      <c r="J7924" t="str">
        <f t="shared" si="613"/>
        <v>E:\PropInv\MF</v>
      </c>
      <c r="K7924" s="103" t="str">
        <f>HYPERLINK("E:\PropInv\MF\Austin\Wells Branch Pkwy_2801_IMT Wells Branch_Austin_60312","Wells Branch Pkwy_2801_IMT Wells Branch_Austin_60312" )</f>
        <v>Wells Branch Pkwy_2801_IMT Wells Branch_Austin_60312</v>
      </c>
      <c r="L7924" s="104" t="s">
        <v>22253</v>
      </c>
      <c r="N7924" s="1">
        <f t="shared" si="614"/>
        <v>60312</v>
      </c>
    </row>
    <row r="7925" spans="1:14" x14ac:dyDescent="0.3">
      <c r="A7925" s="1">
        <v>30313</v>
      </c>
      <c r="B7925" s="19" t="s">
        <v>8105</v>
      </c>
      <c r="C7925" s="18">
        <v>1515</v>
      </c>
      <c r="D7925" s="19" t="s">
        <v>11751</v>
      </c>
      <c r="E7925" s="39" t="s">
        <v>7</v>
      </c>
      <c r="F7925" t="str">
        <f t="shared" si="611"/>
        <v>Wickersham</v>
      </c>
      <c r="G7925" t="str">
        <f t="shared" si="612"/>
        <v>Wickersham1515Austin</v>
      </c>
      <c r="H7925" t="s">
        <v>38780</v>
      </c>
      <c r="I7925" t="s">
        <v>30190</v>
      </c>
      <c r="J7925" t="str">
        <f t="shared" si="613"/>
        <v>E:\PropInv\MF</v>
      </c>
      <c r="K7925" s="103" t="str">
        <f>HYPERLINK("E:\PropInv\MF\Austin\Wickersham_1515_Longhorn Landing_Austin_60313","Wickersham_1515_Longhorn Landing_Austin_60313" )</f>
        <v>Wickersham_1515_Longhorn Landing_Austin_60313</v>
      </c>
      <c r="L7925" s="104" t="s">
        <v>22253</v>
      </c>
      <c r="N7925" s="1">
        <f t="shared" si="614"/>
        <v>60313</v>
      </c>
    </row>
    <row r="7926" spans="1:14" x14ac:dyDescent="0.3">
      <c r="A7926" s="1">
        <v>30314</v>
      </c>
      <c r="B7926" s="19" t="s">
        <v>11752</v>
      </c>
      <c r="C7926" s="18">
        <v>101</v>
      </c>
      <c r="D7926" s="19" t="s">
        <v>11753</v>
      </c>
      <c r="E7926" s="20" t="s">
        <v>18</v>
      </c>
      <c r="F7926" t="str">
        <f t="shared" si="611"/>
        <v>Bowman</v>
      </c>
      <c r="G7926" t="str">
        <f t="shared" si="612"/>
        <v>Bowman101Round Rock</v>
      </c>
      <c r="H7926" t="s">
        <v>38781</v>
      </c>
      <c r="I7926" t="s">
        <v>30191</v>
      </c>
      <c r="J7926" t="str">
        <f t="shared" si="613"/>
        <v>E:\PropInv\MF</v>
      </c>
      <c r="K7926" s="103" t="str">
        <f>HYPERLINK("E:\PropInv\MF\Round Rock\Bowman Dr E_101_Bowman's Walk_Round Rock_60314","Bowman Dr E_101_Bowman's Walk_Round Rock_60314" )</f>
        <v>Bowman Dr E_101_Bowman's Walk_Round Rock_60314</v>
      </c>
      <c r="L7926" s="104" t="s">
        <v>22253</v>
      </c>
      <c r="N7926" s="1">
        <f t="shared" si="614"/>
        <v>60314</v>
      </c>
    </row>
    <row r="7927" spans="1:14" x14ac:dyDescent="0.3">
      <c r="A7927" s="1">
        <v>30315</v>
      </c>
      <c r="B7927" s="19" t="s">
        <v>22284</v>
      </c>
      <c r="C7927" s="18">
        <v>1623</v>
      </c>
      <c r="D7927" s="19" t="s">
        <v>22285</v>
      </c>
      <c r="E7927" s="20" t="s">
        <v>498</v>
      </c>
      <c r="F7927" t="str">
        <f t="shared" si="611"/>
        <v>Aquarena</v>
      </c>
      <c r="G7927" t="str">
        <f t="shared" si="612"/>
        <v>Aquarena1623San Marcos</v>
      </c>
      <c r="H7927" t="s">
        <v>38782</v>
      </c>
      <c r="I7927" t="s">
        <v>30192</v>
      </c>
      <c r="J7927" t="str">
        <f t="shared" si="613"/>
        <v>E:\PropInv\MF</v>
      </c>
      <c r="K7927" s="103" t="str">
        <f>HYPERLINK("E:\PropInv\MF\San Marcos\Aquarena Springs_1623_Spring West-Post Road Place_San Marcos_60315","Aquarena Springs_1623_Spring West-Post Road Place_San Marcos_60315" )</f>
        <v>Aquarena Springs_1623_Spring West-Post Road Place_San Marcos_60315</v>
      </c>
      <c r="L7927" s="104" t="s">
        <v>22253</v>
      </c>
      <c r="N7927" s="1">
        <f t="shared" si="614"/>
        <v>60315</v>
      </c>
    </row>
    <row r="7928" spans="1:14" x14ac:dyDescent="0.3">
      <c r="A7928" s="1">
        <v>30316</v>
      </c>
      <c r="B7928" s="19" t="s">
        <v>496</v>
      </c>
      <c r="C7928" s="18">
        <v>1850</v>
      </c>
      <c r="D7928" s="19" t="s">
        <v>11754</v>
      </c>
      <c r="E7928" s="20" t="s">
        <v>498</v>
      </c>
      <c r="F7928" t="str">
        <f t="shared" si="611"/>
        <v>Aquarena</v>
      </c>
      <c r="G7928" t="str">
        <f t="shared" si="612"/>
        <v>Aquarena1850San Marcos</v>
      </c>
      <c r="H7928" t="s">
        <v>38783</v>
      </c>
      <c r="I7928" t="s">
        <v>30193</v>
      </c>
      <c r="J7928" t="str">
        <f t="shared" si="613"/>
        <v>E:\PropInv\MF</v>
      </c>
      <c r="K7928" s="103" t="str">
        <f>HYPERLINK("E:\PropInv\MF\San Marcos\Aquarena Springs Dr_1850_Villagio Student Apts_San Marcos_60316","Aquarena Springs Dr_1850_Villagio Student Apts_San Marcos_60316" )</f>
        <v>Aquarena Springs Dr_1850_Villagio Student Apts_San Marcos_60316</v>
      </c>
      <c r="L7928" s="104" t="s">
        <v>22253</v>
      </c>
      <c r="N7928" s="1">
        <f t="shared" si="614"/>
        <v>60316</v>
      </c>
    </row>
    <row r="7929" spans="1:14" x14ac:dyDescent="0.3">
      <c r="A7929" s="1">
        <v>30317</v>
      </c>
      <c r="B7929" s="19" t="s">
        <v>11755</v>
      </c>
      <c r="C7929" s="18">
        <v>1637</v>
      </c>
      <c r="D7929" s="19" t="s">
        <v>11756</v>
      </c>
      <c r="E7929" s="20" t="s">
        <v>498</v>
      </c>
      <c r="F7929" t="str">
        <f t="shared" si="611"/>
        <v>Old</v>
      </c>
      <c r="G7929" t="str">
        <f t="shared" si="612"/>
        <v>Old1637San Marcos</v>
      </c>
      <c r="H7929" t="s">
        <v>38784</v>
      </c>
      <c r="I7929" t="s">
        <v>30194</v>
      </c>
      <c r="J7929" t="str">
        <f t="shared" si="613"/>
        <v>E:\PropInv\MF</v>
      </c>
      <c r="K7929" s="103" t="str">
        <f>HYPERLINK("E:\PropInv\MF\San Marcos\Old Post Rd_1637_Mosscliff Apts_San Marcos_60317","Old Post Rd_1637_Mosscliff Apts_San Marcos_60317" )</f>
        <v>Old Post Rd_1637_Mosscliff Apts_San Marcos_60317</v>
      </c>
      <c r="L7929" s="104" t="s">
        <v>22253</v>
      </c>
      <c r="N7929" s="1">
        <f t="shared" si="614"/>
        <v>60317</v>
      </c>
    </row>
    <row r="7930" spans="1:14" x14ac:dyDescent="0.3">
      <c r="A7930" s="1">
        <v>30318</v>
      </c>
      <c r="B7930" s="19" t="s">
        <v>1472</v>
      </c>
      <c r="C7930" s="38">
        <v>940</v>
      </c>
      <c r="D7930" s="19" t="s">
        <v>11757</v>
      </c>
      <c r="E7930" s="39" t="s">
        <v>6898</v>
      </c>
      <c r="F7930" t="str">
        <f t="shared" si="611"/>
        <v>Walnut</v>
      </c>
      <c r="G7930" t="str">
        <f t="shared" si="612"/>
        <v>Walnut940Burleson</v>
      </c>
      <c r="H7930" t="s">
        <v>38785</v>
      </c>
      <c r="I7930" t="s">
        <v>14121</v>
      </c>
      <c r="J7930" t="str">
        <f t="shared" si="613"/>
        <v>E:\PropInv\MF</v>
      </c>
      <c r="K7930" s="103" t="str">
        <f>HYPERLINK("E:\PropInv\MF\Burleson\Walnut Hill_940_Mistletoe Hill Duplexes_Burleson_60318","Walnut Hill_940_Mistletoe Hill Duplexes_Burleson_60318" )</f>
        <v>Walnut Hill_940_Mistletoe Hill Duplexes_Burleson_60318</v>
      </c>
      <c r="L7930" s="104" t="s">
        <v>22253</v>
      </c>
      <c r="N7930" s="1">
        <f t="shared" si="614"/>
        <v>60318</v>
      </c>
    </row>
    <row r="7931" spans="1:14" x14ac:dyDescent="0.3">
      <c r="A7931" s="1">
        <v>30319</v>
      </c>
      <c r="B7931" s="19" t="s">
        <v>11758</v>
      </c>
      <c r="C7931" s="18">
        <v>2400</v>
      </c>
      <c r="D7931" s="19" t="s">
        <v>11759</v>
      </c>
      <c r="E7931" s="20" t="s">
        <v>11760</v>
      </c>
      <c r="F7931" t="str">
        <f t="shared" si="611"/>
        <v>Buffalo</v>
      </c>
      <c r="G7931" t="str">
        <f t="shared" si="612"/>
        <v>Buffalo2400Abilene</v>
      </c>
      <c r="H7931" t="s">
        <v>38786</v>
      </c>
      <c r="I7931" t="s">
        <v>30195</v>
      </c>
      <c r="J7931" t="str">
        <f t="shared" si="613"/>
        <v>E:\PropInv\MF</v>
      </c>
      <c r="K7931" s="103" t="str">
        <f>HYPERLINK("E:\PropInv\MF\Abilene\Buffalo Gap_2400_Highland Oaks Apts_Abilene_60319","Buffalo Gap_2400_Highland Oaks Apts_Abilene_60319" )</f>
        <v>Buffalo Gap_2400_Highland Oaks Apts_Abilene_60319</v>
      </c>
      <c r="L7931" s="104" t="s">
        <v>22253</v>
      </c>
      <c r="N7931" s="1">
        <f t="shared" si="614"/>
        <v>60319</v>
      </c>
    </row>
    <row r="7932" spans="1:14" x14ac:dyDescent="0.3">
      <c r="A7932" s="1">
        <v>30320</v>
      </c>
      <c r="B7932" s="19" t="s">
        <v>11761</v>
      </c>
      <c r="C7932" s="18">
        <v>3500</v>
      </c>
      <c r="D7932" s="19" t="s">
        <v>11762</v>
      </c>
      <c r="E7932" s="20" t="s">
        <v>11760</v>
      </c>
      <c r="F7932" t="str">
        <f t="shared" si="611"/>
        <v>Cedar</v>
      </c>
      <c r="G7932" t="str">
        <f t="shared" si="612"/>
        <v>Cedar3500Abilene</v>
      </c>
      <c r="H7932" t="s">
        <v>38787</v>
      </c>
      <c r="I7932" t="s">
        <v>30196</v>
      </c>
      <c r="J7932" t="str">
        <f t="shared" si="613"/>
        <v>E:\PropInv\MF</v>
      </c>
      <c r="K7932" s="103" t="str">
        <f>HYPERLINK("E:\PropInv\MF\Abilene\Cedar Run Rd_3500_Indian Run_Abilene_60320","Cedar Run Rd_3500_Indian Run_Abilene_60320" )</f>
        <v>Cedar Run Rd_3500_Indian Run_Abilene_60320</v>
      </c>
      <c r="L7932" s="104" t="s">
        <v>22253</v>
      </c>
      <c r="N7932" s="1">
        <f t="shared" si="614"/>
        <v>60320</v>
      </c>
    </row>
    <row r="7933" spans="1:14" x14ac:dyDescent="0.3">
      <c r="A7933" s="97">
        <v>30321</v>
      </c>
      <c r="B7933" s="19" t="s">
        <v>11763</v>
      </c>
      <c r="C7933" s="18">
        <v>3501</v>
      </c>
      <c r="D7933" s="19" t="s">
        <v>11764</v>
      </c>
      <c r="E7933" s="20" t="s">
        <v>11760</v>
      </c>
      <c r="F7933" t="str">
        <f t="shared" si="611"/>
        <v>Curry</v>
      </c>
      <c r="G7933" t="str">
        <f t="shared" si="612"/>
        <v>Curry3501Abilene</v>
      </c>
      <c r="H7933" t="s">
        <v>38788</v>
      </c>
      <c r="I7933" t="s">
        <v>30197</v>
      </c>
      <c r="J7933" t="str">
        <f t="shared" si="613"/>
        <v>E:\PropInv\MF</v>
      </c>
      <c r="K7933" s="103" t="str">
        <f>HYPERLINK("E:\PropInv\MF\Abilene\Curry Ln_3501_Windsor Place_Abilene_60321","Curry Ln_3501_Windsor Place_Abilene_60321" )</f>
        <v>Curry Ln_3501_Windsor Place_Abilene_60321</v>
      </c>
      <c r="L7933" s="104" t="s">
        <v>22253</v>
      </c>
      <c r="N7933" s="1">
        <f t="shared" si="614"/>
        <v>60321</v>
      </c>
    </row>
    <row r="7934" spans="1:14" x14ac:dyDescent="0.3">
      <c r="A7934" s="1">
        <v>30322</v>
      </c>
      <c r="B7934" s="16" t="s">
        <v>11765</v>
      </c>
      <c r="C7934" s="15">
        <v>1948</v>
      </c>
      <c r="D7934" s="16" t="s">
        <v>11766</v>
      </c>
      <c r="E7934" s="17" t="s">
        <v>11760</v>
      </c>
      <c r="F7934" t="str">
        <f t="shared" si="611"/>
        <v>Denton</v>
      </c>
      <c r="G7934" t="str">
        <f t="shared" si="612"/>
        <v>Denton1948Abilene</v>
      </c>
      <c r="H7934" t="s">
        <v>38789</v>
      </c>
      <c r="I7934" t="s">
        <v>30198</v>
      </c>
      <c r="J7934" t="str">
        <f t="shared" si="613"/>
        <v>E:\PropInv\MF</v>
      </c>
      <c r="K7934" s="103" t="str">
        <f>HYPERLINK("E:\PropInv\MF\Abilene\Denton St_1948_Cedar Creek Apts_Abilene_60322","Denton St_1948_Cedar Creek Apts_Abilene_60322" )</f>
        <v>Denton St_1948_Cedar Creek Apts_Abilene_60322</v>
      </c>
      <c r="L7934" s="104" t="s">
        <v>22253</v>
      </c>
      <c r="N7934" s="1">
        <f t="shared" si="614"/>
        <v>60322</v>
      </c>
    </row>
    <row r="7935" spans="1:14" x14ac:dyDescent="0.3">
      <c r="A7935" s="1">
        <v>30323</v>
      </c>
      <c r="B7935" s="19" t="s">
        <v>11767</v>
      </c>
      <c r="C7935" s="18">
        <v>5249</v>
      </c>
      <c r="D7935" s="19" t="s">
        <v>1678</v>
      </c>
      <c r="E7935" s="20" t="s">
        <v>11760</v>
      </c>
      <c r="F7935" t="str">
        <f t="shared" si="611"/>
        <v>277</v>
      </c>
      <c r="G7935" t="str">
        <f t="shared" si="612"/>
        <v>2775249Abilene</v>
      </c>
      <c r="H7935" t="s">
        <v>38790</v>
      </c>
      <c r="I7935" t="s">
        <v>30199</v>
      </c>
      <c r="J7935" t="str">
        <f t="shared" si="613"/>
        <v>E:\PropInv\MF</v>
      </c>
      <c r="K7935" s="103" t="str">
        <f>HYPERLINK("E:\PropInv\MF\Abilene\277 Hwy_5249_Mill Creek_Abilene_60323","277 Hwy_5249_Mill Creek_Abilene_60323" )</f>
        <v>277 Hwy_5249_Mill Creek_Abilene_60323</v>
      </c>
      <c r="L7935" s="104" t="s">
        <v>22253</v>
      </c>
      <c r="N7935" s="1">
        <f t="shared" si="614"/>
        <v>60323</v>
      </c>
    </row>
    <row r="7936" spans="1:14" x14ac:dyDescent="0.3">
      <c r="A7936" s="1">
        <v>30324</v>
      </c>
      <c r="B7936" s="19" t="s">
        <v>11768</v>
      </c>
      <c r="C7936" s="18">
        <v>1000</v>
      </c>
      <c r="D7936" s="19" t="s">
        <v>22255</v>
      </c>
      <c r="E7936" s="20" t="s">
        <v>11760</v>
      </c>
      <c r="F7936" t="str">
        <f t="shared" ref="F7936:F7998" si="615">IFERROR(LEFT(B7936,FIND(" ",B7936)-1),B7936)</f>
        <v>Justice</v>
      </c>
      <c r="G7936" t="str">
        <f t="shared" ref="G7936:G7998" si="616">F7936&amp;C7936&amp;E7936</f>
        <v>Justice1000Abilene</v>
      </c>
      <c r="H7936" t="s">
        <v>38791</v>
      </c>
      <c r="I7936" t="s">
        <v>30200</v>
      </c>
      <c r="J7936" t="str">
        <f t="shared" ref="J7936:J7998" si="617">IF(L7936="TX",Folder_Path,Folder_Path&amp;"\State_"&amp;L7936)</f>
        <v>E:\PropInv\MF</v>
      </c>
      <c r="K7936" s="103" t="str">
        <f>HYPERLINK("E:\PropInv\MF\Abilene\Justice Way_1000_Country Place Apts_Abilene_60324","Justice Way_1000_Country Place Apts_Abilene_60324" )</f>
        <v>Justice Way_1000_Country Place Apts_Abilene_60324</v>
      </c>
      <c r="L7936" s="104" t="s">
        <v>22253</v>
      </c>
      <c r="N7936" s="1">
        <f t="shared" si="614"/>
        <v>60324</v>
      </c>
    </row>
    <row r="7937" spans="1:14" x14ac:dyDescent="0.3">
      <c r="A7937" s="1">
        <v>30325</v>
      </c>
      <c r="B7937" s="16" t="s">
        <v>11769</v>
      </c>
      <c r="C7937" s="15">
        <v>1111</v>
      </c>
      <c r="D7937" s="16" t="s">
        <v>11770</v>
      </c>
      <c r="E7937" s="17" t="s">
        <v>11760</v>
      </c>
      <c r="F7937" t="str">
        <f t="shared" si="615"/>
        <v>Musken</v>
      </c>
      <c r="G7937" t="str">
        <f t="shared" si="616"/>
        <v>Musken1111Abilene</v>
      </c>
      <c r="H7937" t="s">
        <v>38792</v>
      </c>
      <c r="I7937" t="s">
        <v>30201</v>
      </c>
      <c r="J7937" t="str">
        <f t="shared" si="617"/>
        <v>E:\PropInv\MF</v>
      </c>
      <c r="K7937" s="103" t="str">
        <f>HYPERLINK("E:\PropInv\MF\Abilene\Musken Rd_1111_Riatta Ranch_Abilene_60325","Musken Rd_1111_Riatta Ranch_Abilene_60325" )</f>
        <v>Musken Rd_1111_Riatta Ranch_Abilene_60325</v>
      </c>
      <c r="L7937" s="104" t="s">
        <v>22253</v>
      </c>
      <c r="N7937" s="1">
        <f t="shared" si="614"/>
        <v>60325</v>
      </c>
    </row>
    <row r="7938" spans="1:14" x14ac:dyDescent="0.3">
      <c r="A7938" s="1">
        <v>30326</v>
      </c>
      <c r="B7938" s="19" t="s">
        <v>11771</v>
      </c>
      <c r="C7938" s="18">
        <v>3201</v>
      </c>
      <c r="D7938" s="19" t="s">
        <v>11772</v>
      </c>
      <c r="E7938" s="20" t="s">
        <v>11760</v>
      </c>
      <c r="F7938" t="str">
        <f t="shared" si="615"/>
        <v>3rd</v>
      </c>
      <c r="G7938" t="str">
        <f t="shared" si="616"/>
        <v>3rd3201Abilene</v>
      </c>
      <c r="H7938" t="s">
        <v>38793</v>
      </c>
      <c r="I7938" t="s">
        <v>30202</v>
      </c>
      <c r="J7938" t="str">
        <f t="shared" si="617"/>
        <v>E:\PropInv\MF</v>
      </c>
      <c r="K7938" s="103" t="str">
        <f>HYPERLINK("E:\PropInv\MF\Abilene\3rd N_3201_Landmark Properties_Abilene_60326","3rd N_3201_Landmark Properties_Abilene_60326" )</f>
        <v>3rd N_3201_Landmark Properties_Abilene_60326</v>
      </c>
      <c r="L7938" s="104" t="s">
        <v>22253</v>
      </c>
      <c r="N7938" s="1">
        <f t="shared" ref="N7938:N8001" si="618">IF(LEN(A7938)=1,"0000"&amp;A7938,IF(LEN(A7938)=2,"000"&amp;A7938,IF(LEN(A7938)=3,"00"&amp;A7938,IF(LEN(A7938)=4,"0"&amp;A7938,IF(LEN(A7938)=5,IF(LEFT(A7938,1)="3",A7938+30000,A7938))))))</f>
        <v>60326</v>
      </c>
    </row>
    <row r="7939" spans="1:14" x14ac:dyDescent="0.3">
      <c r="A7939" s="1">
        <v>30327</v>
      </c>
      <c r="B7939" s="16" t="s">
        <v>11773</v>
      </c>
      <c r="C7939" s="15">
        <v>2410</v>
      </c>
      <c r="D7939" s="16" t="s">
        <v>9157</v>
      </c>
      <c r="E7939" s="17" t="s">
        <v>11760</v>
      </c>
      <c r="F7939" t="str">
        <f t="shared" si="615"/>
        <v>Willis</v>
      </c>
      <c r="G7939" t="str">
        <f t="shared" si="616"/>
        <v>Willis2410Abilene</v>
      </c>
      <c r="H7939" t="s">
        <v>38794</v>
      </c>
      <c r="I7939" t="s">
        <v>30203</v>
      </c>
      <c r="J7939" t="str">
        <f t="shared" si="617"/>
        <v>E:\PropInv\MF</v>
      </c>
      <c r="K7939" s="103" t="str">
        <f>HYPERLINK("E:\PropInv\MF\Abilene\Willis N_2410_Willow Park_Abilene_60327","Willis N_2410_Willow Park_Abilene_60327" )</f>
        <v>Willis N_2410_Willow Park_Abilene_60327</v>
      </c>
      <c r="L7939" s="104" t="s">
        <v>22253</v>
      </c>
      <c r="N7939" s="1">
        <f t="shared" si="618"/>
        <v>60327</v>
      </c>
    </row>
    <row r="7940" spans="1:14" x14ac:dyDescent="0.3">
      <c r="A7940" s="1">
        <v>30328</v>
      </c>
      <c r="B7940" s="19" t="s">
        <v>11774</v>
      </c>
      <c r="C7940" s="18">
        <v>2601</v>
      </c>
      <c r="D7940" s="19" t="s">
        <v>3657</v>
      </c>
      <c r="E7940" s="20" t="s">
        <v>11760</v>
      </c>
      <c r="F7940" t="str">
        <f t="shared" si="615"/>
        <v>Nonesuch</v>
      </c>
      <c r="G7940" t="str">
        <f t="shared" si="616"/>
        <v>Nonesuch2601Abilene</v>
      </c>
      <c r="H7940" t="s">
        <v>38795</v>
      </c>
      <c r="I7940" t="s">
        <v>30204</v>
      </c>
      <c r="J7940" t="str">
        <f t="shared" si="617"/>
        <v>E:\PropInv\MF</v>
      </c>
      <c r="K7940" s="103" t="str">
        <f>HYPERLINK("E:\PropInv\MF\Abilene\Nonesuch Rd_2601_Fairmont Apts_Abilene_60328","Nonesuch Rd_2601_Fairmont Apts_Abilene_60328" )</f>
        <v>Nonesuch Rd_2601_Fairmont Apts_Abilene_60328</v>
      </c>
      <c r="L7940" s="104" t="s">
        <v>22253</v>
      </c>
      <c r="N7940" s="1">
        <f t="shared" si="618"/>
        <v>60328</v>
      </c>
    </row>
    <row r="7941" spans="1:14" x14ac:dyDescent="0.3">
      <c r="A7941" s="1">
        <v>30329</v>
      </c>
      <c r="B7941" s="19" t="s">
        <v>11774</v>
      </c>
      <c r="C7941" s="18">
        <v>2500</v>
      </c>
      <c r="D7941" s="19" t="s">
        <v>11775</v>
      </c>
      <c r="E7941" s="20" t="s">
        <v>11760</v>
      </c>
      <c r="F7941" t="str">
        <f t="shared" si="615"/>
        <v>Nonesuch</v>
      </c>
      <c r="G7941" t="str">
        <f t="shared" si="616"/>
        <v>Nonesuch2500Abilene</v>
      </c>
      <c r="H7941" t="s">
        <v>38796</v>
      </c>
      <c r="I7941" t="s">
        <v>30205</v>
      </c>
      <c r="J7941" t="str">
        <f t="shared" si="617"/>
        <v>E:\PropInv\MF</v>
      </c>
      <c r="K7941" s="103" t="str">
        <f>HYPERLINK("E:\PropInv\MF\Abilene\Nonesuch Rd_2500_Pine Meadows Apts_Abilene_60329","Nonesuch Rd_2500_Pine Meadows Apts_Abilene_60329" )</f>
        <v>Nonesuch Rd_2500_Pine Meadows Apts_Abilene_60329</v>
      </c>
      <c r="L7941" s="104" t="s">
        <v>22253</v>
      </c>
      <c r="N7941" s="1">
        <f t="shared" si="618"/>
        <v>60329</v>
      </c>
    </row>
    <row r="7942" spans="1:14" x14ac:dyDescent="0.3">
      <c r="A7942" s="1">
        <v>30330</v>
      </c>
      <c r="B7942" s="19" t="s">
        <v>11776</v>
      </c>
      <c r="C7942" s="18">
        <v>2800</v>
      </c>
      <c r="D7942" s="19" t="s">
        <v>11777</v>
      </c>
      <c r="E7942" s="20" t="s">
        <v>11760</v>
      </c>
      <c r="F7942" t="str">
        <f t="shared" si="615"/>
        <v>25th</v>
      </c>
      <c r="G7942" t="str">
        <f t="shared" si="616"/>
        <v>25th2800Abilene</v>
      </c>
      <c r="H7942" t="s">
        <v>38797</v>
      </c>
      <c r="I7942" t="s">
        <v>30206</v>
      </c>
      <c r="J7942" t="str">
        <f t="shared" si="617"/>
        <v>E:\PropInv\MF</v>
      </c>
      <c r="K7942" s="103" t="str">
        <f>HYPERLINK("E:\PropInv\MF\Abilene\25th St S_2800_Bent Tree Apts_Abilene_60330","25th St S_2800_Bent Tree Apts_Abilene_60330" )</f>
        <v>25th St S_2800_Bent Tree Apts_Abilene_60330</v>
      </c>
      <c r="L7942" s="104" t="s">
        <v>22253</v>
      </c>
      <c r="N7942" s="1">
        <f t="shared" si="618"/>
        <v>60330</v>
      </c>
    </row>
    <row r="7943" spans="1:14" x14ac:dyDescent="0.3">
      <c r="A7943" s="1">
        <v>30331</v>
      </c>
      <c r="B7943" s="16" t="s">
        <v>11778</v>
      </c>
      <c r="C7943" s="15">
        <v>1000</v>
      </c>
      <c r="D7943" s="16" t="s">
        <v>1865</v>
      </c>
      <c r="E7943" s="17" t="s">
        <v>11760</v>
      </c>
      <c r="F7943" t="str">
        <f t="shared" si="615"/>
        <v>Clack</v>
      </c>
      <c r="G7943" t="str">
        <f t="shared" si="616"/>
        <v>Clack1000Abilene</v>
      </c>
      <c r="H7943" t="s">
        <v>38798</v>
      </c>
      <c r="I7943" t="s">
        <v>30207</v>
      </c>
      <c r="J7943" t="str">
        <f t="shared" si="617"/>
        <v>E:\PropInv\MF</v>
      </c>
      <c r="K7943" s="103" t="str">
        <f>HYPERLINK("E:\PropInv\MF\Abilene\Clack St S_1000_Pebble Creek_Abilene_60331","Clack St S_1000_Pebble Creek_Abilene_60331" )</f>
        <v>Clack St S_1000_Pebble Creek_Abilene_60331</v>
      </c>
      <c r="L7943" s="104" t="s">
        <v>22253</v>
      </c>
      <c r="N7943" s="1">
        <f t="shared" si="618"/>
        <v>60331</v>
      </c>
    </row>
    <row r="7944" spans="1:14" x14ac:dyDescent="0.3">
      <c r="A7944" s="1">
        <v>30332</v>
      </c>
      <c r="B7944" s="19" t="s">
        <v>11779</v>
      </c>
      <c r="C7944" s="18">
        <v>610</v>
      </c>
      <c r="D7944" s="19" t="s">
        <v>11780</v>
      </c>
      <c r="E7944" s="20" t="s">
        <v>11760</v>
      </c>
      <c r="F7944" t="str">
        <f t="shared" si="615"/>
        <v>Leggett</v>
      </c>
      <c r="G7944" t="str">
        <f t="shared" si="616"/>
        <v>Leggett610Abilene</v>
      </c>
      <c r="H7944" t="s">
        <v>38799</v>
      </c>
      <c r="I7944" t="s">
        <v>30208</v>
      </c>
      <c r="J7944" t="str">
        <f t="shared" si="617"/>
        <v>E:\PropInv\MF</v>
      </c>
      <c r="K7944" s="103" t="str">
        <f>HYPERLINK("E:\PropInv\MF\Abilene\Leggett S_610_The Chaparral_Abilene_60332","Leggett S_610_The Chaparral_Abilene_60332" )</f>
        <v>Leggett S_610_The Chaparral_Abilene_60332</v>
      </c>
      <c r="L7944" s="104" t="s">
        <v>22253</v>
      </c>
      <c r="N7944" s="1">
        <f t="shared" si="618"/>
        <v>60332</v>
      </c>
    </row>
    <row r="7945" spans="1:14" x14ac:dyDescent="0.3">
      <c r="A7945" s="1">
        <v>30333</v>
      </c>
      <c r="B7945" s="30" t="s">
        <v>11781</v>
      </c>
      <c r="C7945" s="15">
        <v>2701</v>
      </c>
      <c r="D7945" s="16" t="s">
        <v>11782</v>
      </c>
      <c r="E7945" s="17" t="s">
        <v>11760</v>
      </c>
      <c r="F7945" t="str">
        <f t="shared" si="615"/>
        <v>SW</v>
      </c>
      <c r="G7945" t="str">
        <f t="shared" si="616"/>
        <v>SW2701Abilene</v>
      </c>
      <c r="H7945" t="s">
        <v>38800</v>
      </c>
      <c r="I7945" t="s">
        <v>30209</v>
      </c>
      <c r="J7945" t="str">
        <f t="shared" si="617"/>
        <v>E:\PropInv\MF</v>
      </c>
      <c r="K7945" s="103" t="str">
        <f>HYPERLINK("E:\PropInv\MF\Abilene\SW Dr_2701_Royale Orleans Apts_Abilene_60333","SW Dr_2701_Royale Orleans Apts_Abilene_60333" )</f>
        <v>SW Dr_2701_Royale Orleans Apts_Abilene_60333</v>
      </c>
      <c r="L7945" s="104" t="s">
        <v>22253</v>
      </c>
      <c r="N7945" s="1">
        <f t="shared" si="618"/>
        <v>60333</v>
      </c>
    </row>
    <row r="7946" spans="1:14" x14ac:dyDescent="0.3">
      <c r="A7946" s="1">
        <v>30334</v>
      </c>
      <c r="B7946" s="19" t="s">
        <v>3103</v>
      </c>
      <c r="C7946" s="18">
        <v>5450</v>
      </c>
      <c r="D7946" s="19" t="s">
        <v>7406</v>
      </c>
      <c r="E7946" s="20" t="s">
        <v>11760</v>
      </c>
      <c r="F7946" t="str">
        <f t="shared" si="615"/>
        <v>Texas</v>
      </c>
      <c r="G7946" t="str">
        <f t="shared" si="616"/>
        <v>Texas5450Abilene</v>
      </c>
      <c r="H7946" t="s">
        <v>38801</v>
      </c>
      <c r="I7946" t="s">
        <v>30210</v>
      </c>
      <c r="J7946" t="str">
        <f t="shared" si="617"/>
        <v>E:\PropInv\MF</v>
      </c>
      <c r="K7946" s="103" t="str">
        <f>HYPERLINK("E:\PropInv\MF\Abilene\Texas Ave_5450_Hunter's Ridge_Abilene_60334","Texas Ave_5450_Hunter's Ridge_Abilene_60334" )</f>
        <v>Texas Ave_5450_Hunter's Ridge_Abilene_60334</v>
      </c>
      <c r="L7946" s="104" t="s">
        <v>22253</v>
      </c>
      <c r="N7946" s="1">
        <f t="shared" si="618"/>
        <v>60334</v>
      </c>
    </row>
    <row r="7947" spans="1:14" x14ac:dyDescent="0.3">
      <c r="A7947" s="1">
        <v>30335</v>
      </c>
      <c r="B7947" s="19" t="s">
        <v>11783</v>
      </c>
      <c r="C7947" s="18">
        <v>201</v>
      </c>
      <c r="D7947" s="19" t="s">
        <v>11784</v>
      </c>
      <c r="E7947" s="20" t="s">
        <v>11785</v>
      </c>
      <c r="F7947" t="str">
        <f t="shared" si="615"/>
        <v>Lookout</v>
      </c>
      <c r="G7947" t="str">
        <f t="shared" si="616"/>
        <v>Lookout201Harker Heights</v>
      </c>
      <c r="H7947" t="s">
        <v>38802</v>
      </c>
      <c r="I7947" t="s">
        <v>30211</v>
      </c>
      <c r="J7947" t="str">
        <f t="shared" si="617"/>
        <v>E:\PropInv\MF</v>
      </c>
      <c r="K7947" s="103" t="str">
        <f>HYPERLINK("E:\PropInv\MF\Harker Heights\Lookout Ridge Blvd_201_Lookout Ridge Apts_Harker Heights_60335","Lookout Ridge Blvd_201_Lookout Ridge Apts_Harker Heights_60335" )</f>
        <v>Lookout Ridge Blvd_201_Lookout Ridge Apts_Harker Heights_60335</v>
      </c>
      <c r="L7947" s="104" t="s">
        <v>22253</v>
      </c>
      <c r="N7947" s="1">
        <f t="shared" si="618"/>
        <v>60335</v>
      </c>
    </row>
    <row r="7948" spans="1:14" x14ac:dyDescent="0.3">
      <c r="A7948" s="1">
        <v>30336</v>
      </c>
      <c r="B7948" s="19" t="s">
        <v>11786</v>
      </c>
      <c r="C7948" s="18">
        <v>2710</v>
      </c>
      <c r="D7948" s="19" t="s">
        <v>11787</v>
      </c>
      <c r="E7948" s="20" t="s">
        <v>11788</v>
      </c>
      <c r="F7948" t="str">
        <f t="shared" si="615"/>
        <v>Cunningham</v>
      </c>
      <c r="G7948" t="str">
        <f t="shared" si="616"/>
        <v>Cunningham2710Killeen</v>
      </c>
      <c r="H7948" t="s">
        <v>38803</v>
      </c>
      <c r="I7948" t="s">
        <v>30212</v>
      </c>
      <c r="J7948" t="str">
        <f t="shared" si="617"/>
        <v>E:\PropInv\MF</v>
      </c>
      <c r="K7948" s="103" t="str">
        <f>HYPERLINK("E:\PropInv\MF\Killeen\Cunningham Rd_2710_The Bridgemoor At Killeen_Killeen_60336","Cunningham Rd_2710_The Bridgemoor At Killeen_Killeen_60336" )</f>
        <v>Cunningham Rd_2710_The Bridgemoor At Killeen_Killeen_60336</v>
      </c>
      <c r="L7948" s="104" t="s">
        <v>22253</v>
      </c>
      <c r="N7948" s="1">
        <f t="shared" si="618"/>
        <v>60336</v>
      </c>
    </row>
    <row r="7949" spans="1:14" x14ac:dyDescent="0.3">
      <c r="A7949" s="1">
        <v>30337</v>
      </c>
      <c r="B7949" s="37" t="s">
        <v>11789</v>
      </c>
      <c r="C7949" s="38">
        <v>1105</v>
      </c>
      <c r="D7949" s="29" t="s">
        <v>11790</v>
      </c>
      <c r="E7949" s="39" t="s">
        <v>11788</v>
      </c>
      <c r="F7949" t="str">
        <f t="shared" si="615"/>
        <v>18th</v>
      </c>
      <c r="G7949" t="str">
        <f t="shared" si="616"/>
        <v>18th1105Killeen</v>
      </c>
      <c r="H7949" t="s">
        <v>38804</v>
      </c>
      <c r="I7949" t="s">
        <v>30213</v>
      </c>
      <c r="J7949" t="str">
        <f t="shared" si="617"/>
        <v>E:\PropInv\MF</v>
      </c>
      <c r="K7949" s="103" t="str">
        <f>HYPERLINK("E:\PropInv\MF\Killeen\18th St N_1105_Willowwood Apts_Killeen_60337","18th St N_1105_Willowwood Apts_Killeen_60337" )</f>
        <v>18th St N_1105_Willowwood Apts_Killeen_60337</v>
      </c>
      <c r="L7949" s="104" t="s">
        <v>22253</v>
      </c>
      <c r="N7949" s="1">
        <f t="shared" si="618"/>
        <v>60337</v>
      </c>
    </row>
    <row r="7950" spans="1:14" x14ac:dyDescent="0.3">
      <c r="A7950" s="1">
        <v>30338</v>
      </c>
      <c r="B7950" s="16" t="s">
        <v>11791</v>
      </c>
      <c r="C7950" s="15">
        <v>1001</v>
      </c>
      <c r="D7950" s="16" t="s">
        <v>11792</v>
      </c>
      <c r="E7950" s="17" t="s">
        <v>11788</v>
      </c>
      <c r="F7950" t="str">
        <f t="shared" si="615"/>
        <v>Twin</v>
      </c>
      <c r="G7950" t="str">
        <f t="shared" si="616"/>
        <v>Twin1001Killeen</v>
      </c>
      <c r="H7950" t="s">
        <v>38805</v>
      </c>
      <c r="I7950" t="s">
        <v>30214</v>
      </c>
      <c r="J7950" t="str">
        <f t="shared" si="617"/>
        <v>E:\PropInv\MF</v>
      </c>
      <c r="K7950" s="103" t="str">
        <f>HYPERLINK("E:\PropInv\MF\Killeen\Twin Creek Dr N_1001_Remington_Killeen_60338","Twin Creek Dr N_1001_Remington_Killeen_60338" )</f>
        <v>Twin Creek Dr N_1001_Remington_Killeen_60338</v>
      </c>
      <c r="L7950" s="104" t="s">
        <v>22253</v>
      </c>
      <c r="N7950" s="1">
        <f t="shared" si="618"/>
        <v>60338</v>
      </c>
    </row>
    <row r="7951" spans="1:14" x14ac:dyDescent="0.3">
      <c r="A7951" s="1">
        <v>30339</v>
      </c>
      <c r="B7951" s="19" t="s">
        <v>11793</v>
      </c>
      <c r="C7951" s="18">
        <v>1121</v>
      </c>
      <c r="D7951" s="19" t="s">
        <v>2664</v>
      </c>
      <c r="E7951" s="20" t="s">
        <v>11788</v>
      </c>
      <c r="F7951" t="str">
        <f t="shared" si="615"/>
        <v>440</v>
      </c>
      <c r="G7951" t="str">
        <f t="shared" si="616"/>
        <v>4401121Killeen</v>
      </c>
      <c r="H7951" t="s">
        <v>38806</v>
      </c>
      <c r="I7951" t="s">
        <v>30215</v>
      </c>
      <c r="J7951" t="str">
        <f t="shared" si="617"/>
        <v>E:\PropInv\MF</v>
      </c>
      <c r="K7951" s="103" t="str">
        <f>HYPERLINK("E:\PropInv\MF\Killeen\440 Old FM Rd_1121_Ashton Park_Killeen_60339","440 Old FM Rd_1121_Ashton Park_Killeen_60339" )</f>
        <v>440 Old FM Rd_1121_Ashton Park_Killeen_60339</v>
      </c>
      <c r="L7951" s="104" t="s">
        <v>22253</v>
      </c>
      <c r="N7951" s="1">
        <f t="shared" si="618"/>
        <v>60339</v>
      </c>
    </row>
    <row r="7952" spans="1:14" x14ac:dyDescent="0.3">
      <c r="A7952" s="1">
        <v>30340</v>
      </c>
      <c r="B7952" s="19" t="s">
        <v>11794</v>
      </c>
      <c r="C7952" s="18">
        <v>1701</v>
      </c>
      <c r="D7952" s="19" t="s">
        <v>11795</v>
      </c>
      <c r="E7952" s="20" t="s">
        <v>11788</v>
      </c>
      <c r="F7952" t="str">
        <f t="shared" si="615"/>
        <v>Terrace</v>
      </c>
      <c r="G7952" t="str">
        <f t="shared" si="616"/>
        <v>Terrace1701Killeen</v>
      </c>
      <c r="H7952" t="s">
        <v>38807</v>
      </c>
      <c r="I7952" t="s">
        <v>30216</v>
      </c>
      <c r="J7952" t="str">
        <f t="shared" si="617"/>
        <v>E:\PropInv\MF</v>
      </c>
      <c r="K7952" s="103" t="str">
        <f>HYPERLINK("E:\PropInv\MF\Killeen\Terrace Dr_1701_Terrace Heights Apts_Killeen_60340","Terrace Dr_1701_Terrace Heights Apts_Killeen_60340" )</f>
        <v>Terrace Dr_1701_Terrace Heights Apts_Killeen_60340</v>
      </c>
      <c r="L7952" s="104" t="s">
        <v>22253</v>
      </c>
      <c r="N7952" s="1">
        <f t="shared" si="618"/>
        <v>60340</v>
      </c>
    </row>
    <row r="7953" spans="1:14" x14ac:dyDescent="0.3">
      <c r="A7953" s="1">
        <v>30341</v>
      </c>
      <c r="B7953" s="19" t="s">
        <v>11796</v>
      </c>
      <c r="C7953" s="18">
        <v>2700</v>
      </c>
      <c r="D7953" s="19" t="s">
        <v>11797</v>
      </c>
      <c r="E7953" s="20" t="s">
        <v>11788</v>
      </c>
      <c r="F7953" t="str">
        <f t="shared" si="615"/>
        <v>Trimmier</v>
      </c>
      <c r="G7953" t="str">
        <f t="shared" si="616"/>
        <v>Trimmier2700Killeen</v>
      </c>
      <c r="H7953" t="s">
        <v>38808</v>
      </c>
      <c r="I7953" t="s">
        <v>30217</v>
      </c>
      <c r="J7953" t="str">
        <f t="shared" si="617"/>
        <v>E:\PropInv\MF</v>
      </c>
      <c r="K7953" s="103" t="str">
        <f>HYPERLINK("E:\PropInv\MF\Killeen\Trimmier Rd_2700_Stone Creek Apts_Killeen_60341","Trimmier Rd_2700_Stone Creek Apts_Killeen_60341" )</f>
        <v>Trimmier Rd_2700_Stone Creek Apts_Killeen_60341</v>
      </c>
      <c r="L7953" s="104" t="s">
        <v>22253</v>
      </c>
      <c r="N7953" s="1">
        <f t="shared" si="618"/>
        <v>60341</v>
      </c>
    </row>
    <row r="7954" spans="1:14" x14ac:dyDescent="0.3">
      <c r="A7954" s="1">
        <v>30342</v>
      </c>
      <c r="B7954" s="19" t="s">
        <v>11798</v>
      </c>
      <c r="C7954" s="18">
        <v>463</v>
      </c>
      <c r="D7954" s="19" t="s">
        <v>11799</v>
      </c>
      <c r="E7954" s="20" t="s">
        <v>11788</v>
      </c>
      <c r="F7954" t="str">
        <f t="shared" si="615"/>
        <v>Westfield</v>
      </c>
      <c r="G7954" t="str">
        <f t="shared" si="616"/>
        <v>Westfield463Killeen</v>
      </c>
      <c r="H7954" t="s">
        <v>38809</v>
      </c>
      <c r="I7954" t="s">
        <v>30218</v>
      </c>
      <c r="J7954" t="str">
        <f t="shared" si="617"/>
        <v>E:\PropInv\MF</v>
      </c>
      <c r="K7954" s="103" t="str">
        <f>HYPERLINK("E:\PropInv\MF\Killeen\Westfield Blvd_463_Pecan Pointe_Killeen_60342","Westfield Blvd_463_Pecan Pointe_Killeen_60342" )</f>
        <v>Westfield Blvd_463_Pecan Pointe_Killeen_60342</v>
      </c>
      <c r="L7954" s="104" t="s">
        <v>22253</v>
      </c>
      <c r="N7954" s="1">
        <f t="shared" si="618"/>
        <v>60342</v>
      </c>
    </row>
    <row r="7955" spans="1:14" x14ac:dyDescent="0.3">
      <c r="A7955" s="1">
        <v>30343</v>
      </c>
      <c r="B7955" s="16" t="s">
        <v>11800</v>
      </c>
      <c r="C7955" s="15">
        <v>3007</v>
      </c>
      <c r="D7955" s="16" t="s">
        <v>11801</v>
      </c>
      <c r="E7955" s="17" t="s">
        <v>11802</v>
      </c>
      <c r="F7955" t="str">
        <f t="shared" si="615"/>
        <v>Antelope</v>
      </c>
      <c r="G7955" t="str">
        <f t="shared" si="616"/>
        <v>Antelope3007Temple</v>
      </c>
      <c r="H7955" t="s">
        <v>38810</v>
      </c>
      <c r="I7955" t="s">
        <v>30219</v>
      </c>
      <c r="J7955" t="str">
        <f t="shared" si="617"/>
        <v>E:\PropInv\MF</v>
      </c>
      <c r="K7955" s="103" t="str">
        <f>HYPERLINK("E:\PropInv\MF\Temple\Antelope Trl_3007_WESTGATE Apts_Temple_60343","Antelope Trl_3007_WESTGATE Apts_Temple_60343" )</f>
        <v>Antelope Trl_3007_WESTGATE Apts_Temple_60343</v>
      </c>
      <c r="L7955" s="104" t="s">
        <v>22253</v>
      </c>
      <c r="N7955" s="1">
        <f t="shared" si="618"/>
        <v>60343</v>
      </c>
    </row>
    <row r="7956" spans="1:14" x14ac:dyDescent="0.3">
      <c r="A7956" s="1">
        <v>30344</v>
      </c>
      <c r="B7956" s="19" t="s">
        <v>11803</v>
      </c>
      <c r="C7956" s="18" t="s">
        <v>11804</v>
      </c>
      <c r="D7956" s="19" t="s">
        <v>11805</v>
      </c>
      <c r="E7956" s="20" t="s">
        <v>11802</v>
      </c>
      <c r="F7956" t="str">
        <f t="shared" si="615"/>
        <v>Fryers</v>
      </c>
      <c r="G7956" t="str">
        <f t="shared" si="616"/>
        <v>Fryers400 &amp; 2115Temple</v>
      </c>
      <c r="H7956" t="s">
        <v>38811</v>
      </c>
      <c r="I7956" t="s">
        <v>30220</v>
      </c>
      <c r="J7956" t="str">
        <f t="shared" si="617"/>
        <v>E:\PropInv\MF</v>
      </c>
      <c r="K7956" s="103" t="str">
        <f>HYPERLINK("E:\PropInv\MF\Temple\Fryers Creek &amp; 5th St S_400 &amp; 2115_C&amp;C Apts_Temple_60344","Fryers Creek &amp; 5th St S_400 &amp; 2115_C&amp;C Apts_Temple_60344" )</f>
        <v>Fryers Creek &amp; 5th St S_400 &amp; 2115_C&amp;C Apts_Temple_60344</v>
      </c>
      <c r="L7956" s="104" t="s">
        <v>22253</v>
      </c>
      <c r="N7956" s="1">
        <f t="shared" si="618"/>
        <v>60344</v>
      </c>
    </row>
    <row r="7957" spans="1:14" x14ac:dyDescent="0.3">
      <c r="A7957" s="1">
        <v>30345</v>
      </c>
      <c r="B7957" s="19" t="s">
        <v>11806</v>
      </c>
      <c r="C7957" s="18">
        <v>1810</v>
      </c>
      <c r="D7957" s="19" t="s">
        <v>11807</v>
      </c>
      <c r="E7957" s="20" t="s">
        <v>11802</v>
      </c>
      <c r="F7957" t="str">
        <f t="shared" si="615"/>
        <v>Marlandwood</v>
      </c>
      <c r="G7957" t="str">
        <f t="shared" si="616"/>
        <v>Marlandwood1810Temple</v>
      </c>
      <c r="H7957" t="s">
        <v>38812</v>
      </c>
      <c r="I7957" t="s">
        <v>30221</v>
      </c>
      <c r="J7957" t="str">
        <f t="shared" si="617"/>
        <v>E:\PropInv\MF</v>
      </c>
      <c r="K7957" s="103" t="str">
        <f>HYPERLINK("E:\PropInv\MF\Temple\Marlandwood Rd_1810_The Village Apts_Temple_60345","Marlandwood Rd_1810_The Village Apts_Temple_60345" )</f>
        <v>Marlandwood Rd_1810_The Village Apts_Temple_60345</v>
      </c>
      <c r="L7957" s="104" t="s">
        <v>22253</v>
      </c>
      <c r="N7957" s="1">
        <f t="shared" si="618"/>
        <v>60345</v>
      </c>
    </row>
    <row r="7958" spans="1:14" x14ac:dyDescent="0.3">
      <c r="A7958" s="1">
        <v>30346</v>
      </c>
      <c r="B7958" s="19" t="s">
        <v>11808</v>
      </c>
      <c r="C7958" s="18">
        <v>2602</v>
      </c>
      <c r="D7958" s="19" t="s">
        <v>11809</v>
      </c>
      <c r="E7958" s="20" t="s">
        <v>11802</v>
      </c>
      <c r="F7958" t="str">
        <f t="shared" si="615"/>
        <v>39th</v>
      </c>
      <c r="G7958" t="str">
        <f t="shared" si="616"/>
        <v>39th2602Temple</v>
      </c>
      <c r="H7958" t="s">
        <v>38813</v>
      </c>
      <c r="I7958" t="s">
        <v>30222</v>
      </c>
      <c r="J7958" t="str">
        <f t="shared" si="617"/>
        <v>E:\PropInv\MF</v>
      </c>
      <c r="K7958" s="103" t="str">
        <f>HYPERLINK("E:\PropInv\MF\Temple\39th St S_2602_The Glen_Temple_60346","39th St S_2602_The Glen_Temple_60346" )</f>
        <v>39th St S_2602_The Glen_Temple_60346</v>
      </c>
      <c r="L7958" s="104" t="s">
        <v>22253</v>
      </c>
      <c r="N7958" s="1">
        <f t="shared" si="618"/>
        <v>60346</v>
      </c>
    </row>
    <row r="7959" spans="1:14" x14ac:dyDescent="0.3">
      <c r="A7959" s="1">
        <v>30347</v>
      </c>
      <c r="B7959" s="16" t="s">
        <v>11810</v>
      </c>
      <c r="C7959" s="15">
        <v>3320</v>
      </c>
      <c r="D7959" s="16" t="s">
        <v>11811</v>
      </c>
      <c r="E7959" s="17" t="s">
        <v>11802</v>
      </c>
      <c r="F7959" t="str">
        <f t="shared" si="615"/>
        <v>Thornton</v>
      </c>
      <c r="G7959" t="str">
        <f t="shared" si="616"/>
        <v>Thornton3320Temple</v>
      </c>
      <c r="H7959" t="s">
        <v>38814</v>
      </c>
      <c r="I7959" t="s">
        <v>30223</v>
      </c>
      <c r="J7959" t="str">
        <f t="shared" si="617"/>
        <v>E:\PropInv\MF</v>
      </c>
      <c r="K7959" s="103" t="str">
        <f>HYPERLINK("E:\PropInv\MF\Temple\Thornton Ln_3320_Holly Oaks_Temple_60347","Thornton Ln_3320_Holly Oaks_Temple_60347" )</f>
        <v>Thornton Ln_3320_Holly Oaks_Temple_60347</v>
      </c>
      <c r="L7959" s="104" t="s">
        <v>22253</v>
      </c>
      <c r="N7959" s="1">
        <f t="shared" si="618"/>
        <v>60347</v>
      </c>
    </row>
    <row r="7960" spans="1:14" x14ac:dyDescent="0.3">
      <c r="A7960" s="1">
        <v>30348</v>
      </c>
      <c r="B7960" s="19" t="s">
        <v>11812</v>
      </c>
      <c r="C7960" s="18">
        <v>4102</v>
      </c>
      <c r="D7960" s="19" t="s">
        <v>8154</v>
      </c>
      <c r="E7960" s="20" t="s">
        <v>11802</v>
      </c>
      <c r="F7960" t="str">
        <f t="shared" si="615"/>
        <v>Adams</v>
      </c>
      <c r="G7960" t="str">
        <f t="shared" si="616"/>
        <v>Adams4102Temple</v>
      </c>
      <c r="H7960" t="s">
        <v>38815</v>
      </c>
      <c r="I7960" t="s">
        <v>30224</v>
      </c>
      <c r="J7960" t="str">
        <f t="shared" si="617"/>
        <v>E:\PropInv\MF</v>
      </c>
      <c r="K7960" s="103" t="str">
        <f>HYPERLINK("E:\PropInv\MF\Temple\Adams Ave W_4102_The Bluffs_Temple_60348","Adams Ave W_4102_The Bluffs_Temple_60348" )</f>
        <v>Adams Ave W_4102_The Bluffs_Temple_60348</v>
      </c>
      <c r="L7960" s="104" t="s">
        <v>22253</v>
      </c>
      <c r="N7960" s="1">
        <f t="shared" si="618"/>
        <v>60348</v>
      </c>
    </row>
    <row r="7961" spans="1:14" x14ac:dyDescent="0.3">
      <c r="A7961" s="1">
        <v>30349</v>
      </c>
      <c r="B7961" s="19" t="s">
        <v>11813</v>
      </c>
      <c r="C7961" s="18">
        <v>620</v>
      </c>
      <c r="D7961" s="19" t="s">
        <v>11814</v>
      </c>
      <c r="E7961" s="20" t="s">
        <v>11802</v>
      </c>
      <c r="F7961" t="str">
        <f t="shared" si="615"/>
        <v>Elm</v>
      </c>
      <c r="G7961" t="str">
        <f t="shared" si="616"/>
        <v>Elm620Temple</v>
      </c>
      <c r="H7961" t="s">
        <v>38816</v>
      </c>
      <c r="I7961" t="s">
        <v>30225</v>
      </c>
      <c r="J7961" t="str">
        <f t="shared" si="617"/>
        <v>E:\PropInv\MF</v>
      </c>
      <c r="K7961" s="103" t="str">
        <f>HYPERLINK("E:\PropInv\MF\Temple\Elm Ave W_620_Temple Gardens Apts_Temple_60349","Elm Ave W_620_Temple Gardens Apts_Temple_60349" )</f>
        <v>Elm Ave W_620_Temple Gardens Apts_Temple_60349</v>
      </c>
      <c r="L7961" s="104" t="s">
        <v>22253</v>
      </c>
      <c r="N7961" s="1">
        <f t="shared" si="618"/>
        <v>60349</v>
      </c>
    </row>
    <row r="7962" spans="1:14" x14ac:dyDescent="0.3">
      <c r="A7962" s="97">
        <v>30350</v>
      </c>
      <c r="B7962" s="19" t="s">
        <v>11815</v>
      </c>
      <c r="C7962" s="18">
        <v>202</v>
      </c>
      <c r="D7962" s="19" t="s">
        <v>3278</v>
      </c>
      <c r="E7962" s="20" t="s">
        <v>11802</v>
      </c>
      <c r="F7962" t="str">
        <f t="shared" si="615"/>
        <v>Woodbridge</v>
      </c>
      <c r="G7962" t="str">
        <f t="shared" si="616"/>
        <v>Woodbridge202Temple</v>
      </c>
      <c r="H7962" t="s">
        <v>38817</v>
      </c>
      <c r="I7962" t="s">
        <v>30226</v>
      </c>
      <c r="J7962" t="str">
        <f t="shared" si="617"/>
        <v>E:\PropInv\MF</v>
      </c>
      <c r="K7962" s="103" t="str">
        <f>HYPERLINK("E:\PropInv\MF\Temple\Woodbridge Blvd_202_Woodbridge Crossing_Temple_60350","Woodbridge Blvd_202_Woodbridge Crossing_Temple_60350" )</f>
        <v>Woodbridge Blvd_202_Woodbridge Crossing_Temple_60350</v>
      </c>
      <c r="L7962" s="104" t="s">
        <v>22253</v>
      </c>
      <c r="N7962" s="1">
        <f t="shared" si="618"/>
        <v>60350</v>
      </c>
    </row>
    <row r="7963" spans="1:14" x14ac:dyDescent="0.3">
      <c r="A7963" s="1">
        <v>30351</v>
      </c>
      <c r="B7963" s="19" t="s">
        <v>11816</v>
      </c>
      <c r="C7963" s="18">
        <v>203</v>
      </c>
      <c r="D7963" s="19" t="s">
        <v>11817</v>
      </c>
      <c r="E7963" s="20" t="s">
        <v>11818</v>
      </c>
      <c r="F7963" t="str">
        <f t="shared" si="615"/>
        <v>Ransom</v>
      </c>
      <c r="G7963" t="str">
        <f t="shared" si="616"/>
        <v>Ransom203Aransas Pass</v>
      </c>
      <c r="H7963" t="s">
        <v>38818</v>
      </c>
      <c r="I7963" t="s">
        <v>30227</v>
      </c>
      <c r="J7963" t="str">
        <f t="shared" si="617"/>
        <v>E:\PropInv\MF</v>
      </c>
      <c r="K7963" s="103" t="str">
        <f>HYPERLINK("E:\PropInv\MF\Aransas Pass\Ransom Rd E_203_Bayshore and Rockport_Aransas Pass_60351","Ransom Rd E_203_Bayshore and Rockport_Aransas Pass_60351" )</f>
        <v>Ransom Rd E_203_Bayshore and Rockport_Aransas Pass_60351</v>
      </c>
      <c r="L7963" s="104" t="s">
        <v>22253</v>
      </c>
      <c r="N7963" s="1">
        <f t="shared" si="618"/>
        <v>60351</v>
      </c>
    </row>
    <row r="7964" spans="1:14" x14ac:dyDescent="0.3">
      <c r="A7964" s="97">
        <v>30352</v>
      </c>
      <c r="B7964" s="19" t="s">
        <v>11819</v>
      </c>
      <c r="C7964" s="18">
        <v>2001</v>
      </c>
      <c r="D7964" s="19" t="s">
        <v>11820</v>
      </c>
      <c r="E7964" s="20" t="s">
        <v>11818</v>
      </c>
      <c r="F7964" t="str">
        <f t="shared" si="615"/>
        <v>McMullen</v>
      </c>
      <c r="G7964" t="str">
        <f t="shared" si="616"/>
        <v>McMullen2001Aransas Pass</v>
      </c>
      <c r="H7964" t="s">
        <v>38819</v>
      </c>
      <c r="I7964" t="s">
        <v>30228</v>
      </c>
      <c r="J7964" t="str">
        <f t="shared" si="617"/>
        <v>E:\PropInv\MF</v>
      </c>
      <c r="K7964" s="103" t="str">
        <f>HYPERLINK("E:\PropInv\MF\Aransas Pass\McMullen_2001_Windy Shores_Aransas Pass_60352","McMullen_2001_Windy Shores_Aransas Pass_60352" )</f>
        <v>McMullen_2001_Windy Shores_Aransas Pass_60352</v>
      </c>
      <c r="L7964" s="104" t="s">
        <v>22253</v>
      </c>
      <c r="N7964" s="1">
        <f t="shared" si="618"/>
        <v>60352</v>
      </c>
    </row>
    <row r="7965" spans="1:14" x14ac:dyDescent="0.3">
      <c r="A7965" s="1">
        <v>30353</v>
      </c>
      <c r="B7965" s="19" t="s">
        <v>11821</v>
      </c>
      <c r="C7965" s="18">
        <v>4000</v>
      </c>
      <c r="D7965" s="19" t="s">
        <v>11822</v>
      </c>
      <c r="E7965" s="20" t="s">
        <v>11823</v>
      </c>
      <c r="F7965" t="str">
        <f t="shared" si="615"/>
        <v>Saint</v>
      </c>
      <c r="G7965" t="str">
        <f t="shared" si="616"/>
        <v>Saint4000Beeville</v>
      </c>
      <c r="H7965" t="s">
        <v>38820</v>
      </c>
      <c r="I7965" t="s">
        <v>30229</v>
      </c>
      <c r="J7965" t="str">
        <f t="shared" si="617"/>
        <v>E:\PropInv\MF</v>
      </c>
      <c r="K7965" s="103" t="str">
        <f>HYPERLINK("E:\PropInv\MF\Beeville\Saint Mary's St N_4000_Imperial Apts_Beeville_60353","Saint Mary's St N_4000_Imperial Apts_Beeville_60353" )</f>
        <v>Saint Mary's St N_4000_Imperial Apts_Beeville_60353</v>
      </c>
      <c r="L7965" s="104" t="s">
        <v>22253</v>
      </c>
      <c r="N7965" s="1">
        <f t="shared" si="618"/>
        <v>60353</v>
      </c>
    </row>
    <row r="7966" spans="1:14" x14ac:dyDescent="0.3">
      <c r="A7966" s="97">
        <v>30354</v>
      </c>
      <c r="B7966" s="16" t="s">
        <v>11824</v>
      </c>
      <c r="C7966" s="15">
        <v>802</v>
      </c>
      <c r="D7966" s="16" t="s">
        <v>11825</v>
      </c>
      <c r="E7966" s="17" t="s">
        <v>11826</v>
      </c>
      <c r="F7966" t="str">
        <f t="shared" si="615"/>
        <v>Barry</v>
      </c>
      <c r="G7966" t="str">
        <f t="shared" si="616"/>
        <v>Barry802Corpus Christi</v>
      </c>
      <c r="H7966" t="s">
        <v>38821</v>
      </c>
      <c r="I7966" t="s">
        <v>30230</v>
      </c>
      <c r="J7966" t="str">
        <f t="shared" si="617"/>
        <v>E:\PropInv\MF</v>
      </c>
      <c r="K7966" s="103" t="str">
        <f>HYPERLINK("E:\PropInv\MF\Corpus Christi\Barry St_802_Woodbury Apts_Corpus Christi_60354","Barry St_802_Woodbury Apts_Corpus Christi_60354" )</f>
        <v>Barry St_802_Woodbury Apts_Corpus Christi_60354</v>
      </c>
      <c r="L7966" s="104" t="s">
        <v>22253</v>
      </c>
      <c r="N7966" s="1">
        <f t="shared" si="618"/>
        <v>60354</v>
      </c>
    </row>
    <row r="7967" spans="1:14" x14ac:dyDescent="0.3">
      <c r="A7967" s="1">
        <v>30355</v>
      </c>
      <c r="B7967" s="16" t="s">
        <v>11827</v>
      </c>
      <c r="C7967" s="15">
        <v>3701</v>
      </c>
      <c r="D7967" s="16" t="s">
        <v>22266</v>
      </c>
      <c r="E7967" s="17" t="s">
        <v>11826</v>
      </c>
      <c r="F7967" t="str">
        <f t="shared" si="615"/>
        <v>Cimarron</v>
      </c>
      <c r="G7967" t="str">
        <f t="shared" si="616"/>
        <v>Cimarron3701Corpus Christi</v>
      </c>
      <c r="H7967" t="s">
        <v>38822</v>
      </c>
      <c r="I7967" t="s">
        <v>30231</v>
      </c>
      <c r="J7967" t="str">
        <f t="shared" si="617"/>
        <v>E:\PropInv\MF</v>
      </c>
      <c r="K7967" s="103" t="str">
        <f>HYPERLINK("E:\PropInv\MF\Corpus Christi\Cimarron Blvd_3701_Lipes Apts_Corpus Christi_60355","Cimarron Blvd_3701_Lipes Apts_Corpus Christi_60355" )</f>
        <v>Cimarron Blvd_3701_Lipes Apts_Corpus Christi_60355</v>
      </c>
      <c r="L7967" s="104" t="s">
        <v>22253</v>
      </c>
      <c r="N7967" s="1">
        <f t="shared" si="618"/>
        <v>60355</v>
      </c>
    </row>
    <row r="7968" spans="1:14" x14ac:dyDescent="0.3">
      <c r="A7968" s="1">
        <v>30356</v>
      </c>
      <c r="B7968" s="19" t="s">
        <v>11828</v>
      </c>
      <c r="C7968" s="18">
        <v>4502</v>
      </c>
      <c r="D7968" s="19" t="s">
        <v>11829</v>
      </c>
      <c r="E7968" s="20" t="s">
        <v>11826</v>
      </c>
      <c r="F7968" t="str">
        <f t="shared" si="615"/>
        <v>Corona</v>
      </c>
      <c r="G7968" t="str">
        <f t="shared" si="616"/>
        <v>Corona4502Corpus Christi</v>
      </c>
      <c r="H7968" t="s">
        <v>38823</v>
      </c>
      <c r="I7968" t="s">
        <v>30232</v>
      </c>
      <c r="J7968" t="str">
        <f t="shared" si="617"/>
        <v>E:\PropInv\MF</v>
      </c>
      <c r="K7968" s="103" t="str">
        <f>HYPERLINK("E:\PropInv\MF\Corpus Christi\Corona Dr_4502_Embassy House_Corpus Christi_60356","Corona Dr_4502_Embassy House_Corpus Christi_60356" )</f>
        <v>Corona Dr_4502_Embassy House_Corpus Christi_60356</v>
      </c>
      <c r="L7968" s="104" t="s">
        <v>22253</v>
      </c>
      <c r="N7968" s="1">
        <f t="shared" si="618"/>
        <v>60356</v>
      </c>
    </row>
    <row r="7969" spans="1:14" x14ac:dyDescent="0.3">
      <c r="A7969" s="1">
        <v>30357</v>
      </c>
      <c r="B7969" s="16" t="s">
        <v>11830</v>
      </c>
      <c r="C7969" s="15">
        <v>1701</v>
      </c>
      <c r="D7969" s="16" t="s">
        <v>11831</v>
      </c>
      <c r="E7969" s="17" t="s">
        <v>11826</v>
      </c>
      <c r="F7969" t="str">
        <f t="shared" si="615"/>
        <v>Ennis</v>
      </c>
      <c r="G7969" t="str">
        <f t="shared" si="616"/>
        <v>Ennis1701Corpus Christi</v>
      </c>
      <c r="H7969" t="s">
        <v>38824</v>
      </c>
      <c r="I7969" t="s">
        <v>30233</v>
      </c>
      <c r="J7969" t="str">
        <f t="shared" si="617"/>
        <v>E:\PropInv\MF</v>
      </c>
      <c r="K7969" s="103" t="str">
        <f>HYPERLINK("E:\PropInv\MF\Corpus Christi\Ennis Joslin Rd_1701_Alta Bayside_Corpus Christi_60357","Ennis Joslin Rd_1701_Alta Bayside_Corpus Christi_60357" )</f>
        <v>Ennis Joslin Rd_1701_Alta Bayside_Corpus Christi_60357</v>
      </c>
      <c r="L7969" s="104" t="s">
        <v>22253</v>
      </c>
      <c r="N7969" s="1">
        <f t="shared" si="618"/>
        <v>60357</v>
      </c>
    </row>
    <row r="7970" spans="1:14" x14ac:dyDescent="0.3">
      <c r="A7970" s="1">
        <v>30358</v>
      </c>
      <c r="B7970" s="16" t="s">
        <v>11832</v>
      </c>
      <c r="C7970" s="15">
        <v>6730</v>
      </c>
      <c r="D7970" s="16" t="s">
        <v>11833</v>
      </c>
      <c r="E7970" s="17" t="s">
        <v>11826</v>
      </c>
      <c r="F7970" t="str">
        <f t="shared" si="615"/>
        <v>Everhart</v>
      </c>
      <c r="G7970" t="str">
        <f t="shared" si="616"/>
        <v>Everhart6730Corpus Christi</v>
      </c>
      <c r="H7970" t="s">
        <v>38825</v>
      </c>
      <c r="I7970" t="s">
        <v>30234</v>
      </c>
      <c r="J7970" t="str">
        <f t="shared" si="617"/>
        <v>E:\PropInv\MF</v>
      </c>
      <c r="K7970" s="103" t="str">
        <f>HYPERLINK("E:\PropInv\MF\Corpus Christi\Everhart Rd_6730_Valhalla Aparmtnets_Corpus Christi_60358","Everhart Rd_6730_Valhalla Aparmtnets_Corpus Christi_60358" )</f>
        <v>Everhart Rd_6730_Valhalla Aparmtnets_Corpus Christi_60358</v>
      </c>
      <c r="L7970" s="104" t="s">
        <v>22253</v>
      </c>
      <c r="N7970" s="1">
        <f t="shared" si="618"/>
        <v>60358</v>
      </c>
    </row>
    <row r="7971" spans="1:14" x14ac:dyDescent="0.3">
      <c r="A7971" s="1">
        <v>30359</v>
      </c>
      <c r="B7971" s="19" t="s">
        <v>11834</v>
      </c>
      <c r="C7971" s="18">
        <v>522</v>
      </c>
      <c r="D7971" s="19" t="s">
        <v>11835</v>
      </c>
      <c r="E7971" s="20" t="s">
        <v>11826</v>
      </c>
      <c r="F7971" t="str">
        <f t="shared" si="615"/>
        <v>Hancock</v>
      </c>
      <c r="G7971" t="str">
        <f t="shared" si="616"/>
        <v>Hancock522Corpus Christi</v>
      </c>
      <c r="H7971" t="s">
        <v>38826</v>
      </c>
      <c r="I7971" t="s">
        <v>30235</v>
      </c>
      <c r="J7971" t="str">
        <f t="shared" si="617"/>
        <v>E:\PropInv\MF</v>
      </c>
      <c r="K7971" s="103" t="str">
        <f>HYPERLINK("E:\PropInv\MF\Corpus Christi\Hancock_522_Bay Vista_Corpus Christi_60359","Hancock_522_Bay Vista_Corpus Christi_60359" )</f>
        <v>Hancock_522_Bay Vista_Corpus Christi_60359</v>
      </c>
      <c r="L7971" s="104" t="s">
        <v>22253</v>
      </c>
      <c r="N7971" s="1">
        <f t="shared" si="618"/>
        <v>60359</v>
      </c>
    </row>
    <row r="7972" spans="1:14" x14ac:dyDescent="0.3">
      <c r="A7972" s="1">
        <v>30360</v>
      </c>
      <c r="B7972" s="44" t="s">
        <v>11836</v>
      </c>
      <c r="C7972" s="32">
        <v>4625</v>
      </c>
      <c r="D7972" s="31" t="s">
        <v>11837</v>
      </c>
      <c r="E7972" s="33" t="s">
        <v>11826</v>
      </c>
      <c r="F7972" t="str">
        <f t="shared" si="615"/>
        <v>Kostoryz</v>
      </c>
      <c r="G7972" t="str">
        <f t="shared" si="616"/>
        <v>Kostoryz4625Corpus Christi</v>
      </c>
      <c r="H7972" t="s">
        <v>38827</v>
      </c>
      <c r="I7972" t="s">
        <v>30236</v>
      </c>
      <c r="J7972" t="str">
        <f t="shared" si="617"/>
        <v>E:\PropInv\MF</v>
      </c>
      <c r="K7972" s="103" t="str">
        <f>HYPERLINK("E:\PropInv\MF\Corpus Christi\Kostoryz_4625_Gaslight Apts_Corpus Christi_60360","Kostoryz_4625_Gaslight Apts_Corpus Christi_60360" )</f>
        <v>Kostoryz_4625_Gaslight Apts_Corpus Christi_60360</v>
      </c>
      <c r="L7972" s="104" t="s">
        <v>22253</v>
      </c>
      <c r="N7972" s="1">
        <f t="shared" si="618"/>
        <v>60360</v>
      </c>
    </row>
    <row r="7973" spans="1:14" x14ac:dyDescent="0.3">
      <c r="A7973" s="1">
        <v>30361</v>
      </c>
      <c r="B7973" s="19" t="s">
        <v>11838</v>
      </c>
      <c r="C7973" s="18">
        <v>4222</v>
      </c>
      <c r="D7973" s="19" t="s">
        <v>11839</v>
      </c>
      <c r="E7973" s="20" t="s">
        <v>11826</v>
      </c>
      <c r="F7973" t="str">
        <f t="shared" si="615"/>
        <v>Ocean</v>
      </c>
      <c r="G7973" t="str">
        <f t="shared" si="616"/>
        <v>Ocean4222Corpus Christi</v>
      </c>
      <c r="H7973" t="s">
        <v>38828</v>
      </c>
      <c r="I7973" t="s">
        <v>30237</v>
      </c>
      <c r="J7973" t="str">
        <f t="shared" si="617"/>
        <v>E:\PropInv\MF</v>
      </c>
      <c r="K7973" s="103" t="str">
        <f>HYPERLINK("E:\PropInv\MF\Corpus Christi\Ocean Dr_4222_Resort By The Sea Apts_Corpus Christi_60361","Ocean Dr_4222_Resort By The Sea Apts_Corpus Christi_60361" )</f>
        <v>Ocean Dr_4222_Resort By The Sea Apts_Corpus Christi_60361</v>
      </c>
      <c r="L7973" s="104" t="s">
        <v>22253</v>
      </c>
      <c r="N7973" s="1">
        <f t="shared" si="618"/>
        <v>60361</v>
      </c>
    </row>
    <row r="7974" spans="1:14" x14ac:dyDescent="0.3">
      <c r="A7974" s="1">
        <v>30362</v>
      </c>
      <c r="B7974" s="19" t="s">
        <v>11840</v>
      </c>
      <c r="C7974" s="18">
        <v>6533</v>
      </c>
      <c r="D7974" s="19" t="s">
        <v>11841</v>
      </c>
      <c r="E7974" s="20" t="s">
        <v>11826</v>
      </c>
      <c r="F7974" t="str">
        <f t="shared" si="615"/>
        <v>Patti</v>
      </c>
      <c r="G7974" t="str">
        <f t="shared" si="616"/>
        <v>Patti6533Corpus Christi</v>
      </c>
      <c r="H7974" t="s">
        <v>38829</v>
      </c>
      <c r="I7974" t="s">
        <v>30238</v>
      </c>
      <c r="J7974" t="str">
        <f t="shared" si="617"/>
        <v>E:\PropInv\MF</v>
      </c>
      <c r="K7974" s="103" t="str">
        <f>HYPERLINK("E:\PropInv\MF\Corpus Christi\Patti Dr_6533_Gulf Breeze_Corpus Christi_60362","Patti Dr_6533_Gulf Breeze_Corpus Christi_60362" )</f>
        <v>Patti Dr_6533_Gulf Breeze_Corpus Christi_60362</v>
      </c>
      <c r="L7974" s="104" t="s">
        <v>22253</v>
      </c>
      <c r="N7974" s="1">
        <f t="shared" si="618"/>
        <v>60362</v>
      </c>
    </row>
    <row r="7975" spans="1:14" x14ac:dyDescent="0.3">
      <c r="A7975" s="1">
        <v>30363</v>
      </c>
      <c r="B7975" s="19" t="s">
        <v>11842</v>
      </c>
      <c r="C7975" s="18">
        <v>3401</v>
      </c>
      <c r="D7975" s="19" t="s">
        <v>11843</v>
      </c>
      <c r="E7975" s="20" t="s">
        <v>11826</v>
      </c>
      <c r="F7975" t="str">
        <f t="shared" si="615"/>
        <v>Alameda</v>
      </c>
      <c r="G7975" t="str">
        <f t="shared" si="616"/>
        <v>Alameda3401Corpus Christi</v>
      </c>
      <c r="H7975" t="s">
        <v>38830</v>
      </c>
      <c r="I7975" t="s">
        <v>30239</v>
      </c>
      <c r="J7975" t="str">
        <f t="shared" si="617"/>
        <v>E:\PropInv\MF</v>
      </c>
      <c r="K7975" s="103" t="str">
        <f>HYPERLINK("E:\PropInv\MF\Corpus Christi\Alameda St S_3401_Cathedral of the Palms_Corpus Christi_60363","Alameda St S_3401_Cathedral of the Palms_Corpus Christi_60363" )</f>
        <v>Alameda St S_3401_Cathedral of the Palms_Corpus Christi_60363</v>
      </c>
      <c r="L7975" s="104" t="s">
        <v>22253</v>
      </c>
      <c r="N7975" s="1">
        <f t="shared" si="618"/>
        <v>60363</v>
      </c>
    </row>
    <row r="7976" spans="1:14" x14ac:dyDescent="0.3">
      <c r="A7976" s="1">
        <v>30364</v>
      </c>
      <c r="B7976" s="16" t="s">
        <v>11842</v>
      </c>
      <c r="C7976" s="15">
        <v>5525</v>
      </c>
      <c r="D7976" s="16" t="s">
        <v>11844</v>
      </c>
      <c r="E7976" s="17" t="s">
        <v>11826</v>
      </c>
      <c r="F7976" t="str">
        <f t="shared" si="615"/>
        <v>Alameda</v>
      </c>
      <c r="G7976" t="str">
        <f t="shared" si="616"/>
        <v>Alameda5525Corpus Christi</v>
      </c>
      <c r="H7976" t="s">
        <v>38831</v>
      </c>
      <c r="I7976" t="s">
        <v>30240</v>
      </c>
      <c r="J7976" t="str">
        <f t="shared" si="617"/>
        <v>E:\PropInv\MF</v>
      </c>
      <c r="K7976" s="103" t="str">
        <f>HYPERLINK("E:\PropInv\MF\Corpus Christi\Alameda St S_5525_Islander Village_Corpus Christi_60364","Alameda St S_5525_Islander Village_Corpus Christi_60364" )</f>
        <v>Alameda St S_5525_Islander Village_Corpus Christi_60364</v>
      </c>
      <c r="L7976" s="104" t="s">
        <v>22253</v>
      </c>
      <c r="N7976" s="1">
        <f t="shared" si="618"/>
        <v>60364</v>
      </c>
    </row>
    <row r="7977" spans="1:14" x14ac:dyDescent="0.3">
      <c r="A7977" s="1">
        <v>30365</v>
      </c>
      <c r="B7977" s="16" t="s">
        <v>11845</v>
      </c>
      <c r="C7977" s="15">
        <v>5701</v>
      </c>
      <c r="D7977" s="16" t="s">
        <v>11846</v>
      </c>
      <c r="E7977" s="17" t="s">
        <v>11826</v>
      </c>
      <c r="F7977" t="str">
        <f t="shared" si="615"/>
        <v>Saratoga</v>
      </c>
      <c r="G7977" t="str">
        <f t="shared" si="616"/>
        <v>Saratoga5701Corpus Christi</v>
      </c>
      <c r="H7977" t="s">
        <v>38832</v>
      </c>
      <c r="I7977" t="s">
        <v>30241</v>
      </c>
      <c r="J7977" t="str">
        <f t="shared" si="617"/>
        <v>E:\PropInv\MF</v>
      </c>
      <c r="K7977" s="103" t="str">
        <f>HYPERLINK("E:\PropInv\MF\Corpus Christi\Saratoga Blvd_5701_Reserve at Saratoga_Corpus Christi_60365","Saratoga Blvd_5701_Reserve at Saratoga_Corpus Christi_60365" )</f>
        <v>Saratoga Blvd_5701_Reserve at Saratoga_Corpus Christi_60365</v>
      </c>
      <c r="L7977" s="104" t="s">
        <v>22253</v>
      </c>
      <c r="N7977" s="1">
        <f t="shared" si="618"/>
        <v>60365</v>
      </c>
    </row>
    <row r="7978" spans="1:14" x14ac:dyDescent="0.3">
      <c r="A7978" s="1">
        <v>30366</v>
      </c>
      <c r="B7978" s="19" t="s">
        <v>11847</v>
      </c>
      <c r="C7978" s="18">
        <v>4040</v>
      </c>
      <c r="D7978" s="19" t="s">
        <v>11848</v>
      </c>
      <c r="E7978" s="20" t="s">
        <v>11826</v>
      </c>
      <c r="F7978" t="str">
        <f t="shared" si="615"/>
        <v>Schanen</v>
      </c>
      <c r="G7978" t="str">
        <f t="shared" si="616"/>
        <v>Schanen4040Corpus Christi</v>
      </c>
      <c r="H7978" t="s">
        <v>38833</v>
      </c>
      <c r="I7978" t="s">
        <v>30242</v>
      </c>
      <c r="J7978" t="str">
        <f t="shared" si="617"/>
        <v>E:\PropInv\MF</v>
      </c>
      <c r="K7978" s="103" t="str">
        <f>HYPERLINK("E:\PropInv\MF\Corpus Christi\Schanen Blvd_4040_The Park Apts_Corpus Christi_60366","Schanen Blvd_4040_The Park Apts_Corpus Christi_60366" )</f>
        <v>Schanen Blvd_4040_The Park Apts_Corpus Christi_60366</v>
      </c>
      <c r="L7978" s="104" t="s">
        <v>22253</v>
      </c>
      <c r="N7978" s="1">
        <f t="shared" si="618"/>
        <v>60366</v>
      </c>
    </row>
    <row r="7979" spans="1:14" x14ac:dyDescent="0.3">
      <c r="A7979" s="1">
        <v>30367</v>
      </c>
      <c r="B7979" s="16" t="s">
        <v>11849</v>
      </c>
      <c r="C7979" s="15">
        <v>5901</v>
      </c>
      <c r="D7979" s="16" t="s">
        <v>11850</v>
      </c>
      <c r="E7979" s="17" t="s">
        <v>11826</v>
      </c>
      <c r="F7979" t="str">
        <f t="shared" si="615"/>
        <v>Weber</v>
      </c>
      <c r="G7979" t="str">
        <f t="shared" si="616"/>
        <v>Weber5901Corpus Christi</v>
      </c>
      <c r="H7979" t="s">
        <v>38834</v>
      </c>
      <c r="I7979" t="s">
        <v>30243</v>
      </c>
      <c r="J7979" t="str">
        <f t="shared" si="617"/>
        <v>E:\PropInv\MF</v>
      </c>
      <c r="K7979" s="103" t="str">
        <f>HYPERLINK("E:\PropInv\MF\Corpus Christi\Weber Rd_5901_Paradise Bay_Corpus Christi_60367","Weber Rd_5901_Paradise Bay_Corpus Christi_60367" )</f>
        <v>Weber Rd_5901_Paradise Bay_Corpus Christi_60367</v>
      </c>
      <c r="L7979" s="104" t="s">
        <v>22253</v>
      </c>
      <c r="N7979" s="1">
        <f t="shared" si="618"/>
        <v>60367</v>
      </c>
    </row>
    <row r="7980" spans="1:14" x14ac:dyDescent="0.3">
      <c r="A7980" s="1">
        <v>30368</v>
      </c>
      <c r="B7980" s="44" t="s">
        <v>11851</v>
      </c>
      <c r="C7980" s="32">
        <v>14721</v>
      </c>
      <c r="D7980" s="31" t="s">
        <v>11852</v>
      </c>
      <c r="E7980" s="33" t="s">
        <v>11826</v>
      </c>
      <c r="F7980" t="str">
        <f t="shared" si="615"/>
        <v>Whitecap</v>
      </c>
      <c r="G7980" t="str">
        <f t="shared" si="616"/>
        <v>Whitecap14721Corpus Christi</v>
      </c>
      <c r="H7980" t="s">
        <v>38835</v>
      </c>
      <c r="I7980" t="s">
        <v>30244</v>
      </c>
      <c r="J7980" t="str">
        <f t="shared" si="617"/>
        <v>E:\PropInv\MF</v>
      </c>
      <c r="K7980" s="103" t="str">
        <f>HYPERLINK("E:\PropInv\MF\Corpus Christi\Whitecap Blvd_14721_Beach Club Condominiums_Corpus Christi_60368","Whitecap Blvd_14721_Beach Club Condominiums_Corpus Christi_60368" )</f>
        <v>Whitecap Blvd_14721_Beach Club Condominiums_Corpus Christi_60368</v>
      </c>
      <c r="L7980" s="104" t="s">
        <v>22253</v>
      </c>
      <c r="N7980" s="1">
        <f t="shared" si="618"/>
        <v>60368</v>
      </c>
    </row>
    <row r="7981" spans="1:14" x14ac:dyDescent="0.3">
      <c r="A7981" s="1">
        <v>30369</v>
      </c>
      <c r="B7981" s="19" t="s">
        <v>11853</v>
      </c>
      <c r="C7981" s="18">
        <v>5701</v>
      </c>
      <c r="D7981" s="19" t="s">
        <v>11854</v>
      </c>
      <c r="E7981" s="20" t="s">
        <v>11826</v>
      </c>
      <c r="F7981" t="str">
        <f t="shared" si="615"/>
        <v>Williams</v>
      </c>
      <c r="G7981" t="str">
        <f t="shared" si="616"/>
        <v>Williams5701Corpus Christi</v>
      </c>
      <c r="H7981" t="s">
        <v>38836</v>
      </c>
      <c r="I7981" t="s">
        <v>30245</v>
      </c>
      <c r="J7981" t="str">
        <f t="shared" si="617"/>
        <v>E:\PropInv\MF</v>
      </c>
      <c r="K7981" s="103" t="str">
        <f>HYPERLINK("E:\PropInv\MF\Corpus Christi\Williams Dr_5701_Arrowsmith Apts_Corpus Christi_60369","Williams Dr_5701_Arrowsmith Apts_Corpus Christi_60369" )</f>
        <v>Williams Dr_5701_Arrowsmith Apts_Corpus Christi_60369</v>
      </c>
      <c r="L7981" s="104" t="s">
        <v>22253</v>
      </c>
      <c r="N7981" s="1">
        <f t="shared" si="618"/>
        <v>60369</v>
      </c>
    </row>
    <row r="7982" spans="1:14" x14ac:dyDescent="0.3">
      <c r="A7982" s="97">
        <v>30370</v>
      </c>
      <c r="B7982" s="19" t="s">
        <v>11855</v>
      </c>
      <c r="C7982" s="18">
        <v>4021</v>
      </c>
      <c r="D7982" s="19" t="s">
        <v>11856</v>
      </c>
      <c r="E7982" s="20" t="s">
        <v>11826</v>
      </c>
      <c r="F7982" t="str">
        <f t="shared" si="615"/>
        <v>Wood</v>
      </c>
      <c r="G7982" t="str">
        <f t="shared" si="616"/>
        <v>Wood4021Corpus Christi</v>
      </c>
      <c r="H7982" t="s">
        <v>38837</v>
      </c>
      <c r="I7982" t="s">
        <v>30246</v>
      </c>
      <c r="J7982" t="str">
        <f t="shared" si="617"/>
        <v>E:\PropInv\MF</v>
      </c>
      <c r="K7982" s="103" t="str">
        <f>HYPERLINK("E:\PropInv\MF\Corpus Christi\Wood River Dr_4021_Wood River_Corpus Christi_60370","Wood River Dr_4021_Wood River_Corpus Christi_60370" )</f>
        <v>Wood River Dr_4021_Wood River_Corpus Christi_60370</v>
      </c>
      <c r="L7982" s="104" t="s">
        <v>22253</v>
      </c>
      <c r="N7982" s="1">
        <f t="shared" si="618"/>
        <v>60370</v>
      </c>
    </row>
    <row r="7983" spans="1:14" x14ac:dyDescent="0.3">
      <c r="A7983" s="1">
        <v>30371</v>
      </c>
      <c r="B7983" s="19" t="s">
        <v>11857</v>
      </c>
      <c r="C7983" s="18">
        <v>5757</v>
      </c>
      <c r="D7983" s="19" t="s">
        <v>11858</v>
      </c>
      <c r="E7983" s="20" t="s">
        <v>11826</v>
      </c>
      <c r="F7983" t="str">
        <f t="shared" si="615"/>
        <v>Wooldridge</v>
      </c>
      <c r="G7983" t="str">
        <f t="shared" si="616"/>
        <v>Wooldridge5757Corpus Christi</v>
      </c>
      <c r="H7983" t="s">
        <v>38838</v>
      </c>
      <c r="I7983" t="s">
        <v>30247</v>
      </c>
      <c r="J7983" t="str">
        <f t="shared" si="617"/>
        <v>E:\PropInv\MF</v>
      </c>
      <c r="K7983" s="103" t="str">
        <f>HYPERLINK("E:\PropInv\MF\Corpus Christi\Wooldridge Rd_5757_The Oasis_Corpus Christi_60371","Wooldridge Rd_5757_The Oasis_Corpus Christi_60371" )</f>
        <v>Wooldridge Rd_5757_The Oasis_Corpus Christi_60371</v>
      </c>
      <c r="L7983" s="104" t="s">
        <v>22253</v>
      </c>
      <c r="N7983" s="1">
        <f t="shared" si="618"/>
        <v>60371</v>
      </c>
    </row>
    <row r="7984" spans="1:14" x14ac:dyDescent="0.3">
      <c r="A7984" s="1">
        <v>30372</v>
      </c>
      <c r="B7984" s="19" t="s">
        <v>11859</v>
      </c>
      <c r="C7984" s="18">
        <v>1201</v>
      </c>
      <c r="D7984" s="19" t="s">
        <v>11860</v>
      </c>
      <c r="E7984" s="20" t="s">
        <v>11861</v>
      </c>
      <c r="F7984" t="str">
        <f t="shared" si="615"/>
        <v>Caesar</v>
      </c>
      <c r="G7984" t="str">
        <f t="shared" si="616"/>
        <v>Caesar1201Kingsville</v>
      </c>
      <c r="H7984" t="s">
        <v>38839</v>
      </c>
      <c r="I7984" t="s">
        <v>30248</v>
      </c>
      <c r="J7984" t="str">
        <f t="shared" si="617"/>
        <v>E:\PropInv\MF</v>
      </c>
      <c r="K7984" s="103" t="str">
        <f>HYPERLINK("E:\PropInv\MF\Kingsville\Caesar St E_1201_Kingsville Pointe_Kingsville_60372","Caesar St E_1201_Kingsville Pointe_Kingsville_60372" )</f>
        <v>Caesar St E_1201_Kingsville Pointe_Kingsville_60372</v>
      </c>
      <c r="L7984" s="104" t="s">
        <v>22253</v>
      </c>
      <c r="N7984" s="1">
        <f t="shared" si="618"/>
        <v>60372</v>
      </c>
    </row>
    <row r="7985" spans="1:14" x14ac:dyDescent="0.3">
      <c r="A7985" s="1">
        <v>30373</v>
      </c>
      <c r="B7985" s="19" t="s">
        <v>11862</v>
      </c>
      <c r="C7985" s="18">
        <v>2901</v>
      </c>
      <c r="D7985" s="19" t="s">
        <v>11863</v>
      </c>
      <c r="E7985" s="20" t="s">
        <v>11861</v>
      </c>
      <c r="F7985" t="str">
        <f t="shared" si="615"/>
        <v>Brahma</v>
      </c>
      <c r="G7985" t="str">
        <f t="shared" si="616"/>
        <v>Brahma2901Kingsville</v>
      </c>
      <c r="H7985" t="s">
        <v>38840</v>
      </c>
      <c r="I7985" t="s">
        <v>30249</v>
      </c>
      <c r="J7985" t="str">
        <f t="shared" si="617"/>
        <v>E:\PropInv\MF</v>
      </c>
      <c r="K7985" s="103" t="str">
        <f>HYPERLINK("E:\PropInv\MF\Kingsville\Brahma S_2901_Bordeaux Apts_Kingsville_60373","Brahma S_2901_Bordeaux Apts_Kingsville_60373" )</f>
        <v>Brahma S_2901_Bordeaux Apts_Kingsville_60373</v>
      </c>
      <c r="L7985" s="104" t="s">
        <v>22253</v>
      </c>
      <c r="N7985" s="1">
        <f t="shared" si="618"/>
        <v>60373</v>
      </c>
    </row>
    <row r="7986" spans="1:14" x14ac:dyDescent="0.3">
      <c r="A7986" s="1">
        <v>30374</v>
      </c>
      <c r="B7986" s="19" t="s">
        <v>11864</v>
      </c>
      <c r="C7986" s="18">
        <v>1100</v>
      </c>
      <c r="D7986" s="19" t="s">
        <v>8772</v>
      </c>
      <c r="E7986" s="20" t="s">
        <v>11861</v>
      </c>
      <c r="F7986" t="str">
        <f t="shared" si="615"/>
        <v>Corral</v>
      </c>
      <c r="G7986" t="str">
        <f t="shared" si="616"/>
        <v>Corral1100Kingsville</v>
      </c>
      <c r="H7986" t="s">
        <v>38841</v>
      </c>
      <c r="I7986" t="s">
        <v>30250</v>
      </c>
      <c r="J7986" t="str">
        <f t="shared" si="617"/>
        <v>E:\PropInv\MF</v>
      </c>
      <c r="K7986" s="103" t="str">
        <f>HYPERLINK("E:\PropInv\MF\Kingsville\Corral Ave W_1100_University Square_Kingsville_60374","Corral Ave W_1100_University Square_Kingsville_60374" )</f>
        <v>Corral Ave W_1100_University Square_Kingsville_60374</v>
      </c>
      <c r="L7986" s="104" t="s">
        <v>22253</v>
      </c>
      <c r="N7986" s="1">
        <f t="shared" si="618"/>
        <v>60374</v>
      </c>
    </row>
    <row r="7987" spans="1:14" x14ac:dyDescent="0.3">
      <c r="A7987" s="1">
        <v>30375</v>
      </c>
      <c r="B7987" s="19" t="s">
        <v>11865</v>
      </c>
      <c r="C7987" s="18">
        <v>1300</v>
      </c>
      <c r="D7987" s="19" t="s">
        <v>2497</v>
      </c>
      <c r="E7987" s="20" t="s">
        <v>11861</v>
      </c>
      <c r="F7987" t="str">
        <f t="shared" si="615"/>
        <v>Corral</v>
      </c>
      <c r="G7987" t="str">
        <f t="shared" si="616"/>
        <v>Corral1300Kingsville</v>
      </c>
      <c r="H7987" t="s">
        <v>38842</v>
      </c>
      <c r="I7987" t="s">
        <v>30251</v>
      </c>
      <c r="J7987" t="str">
        <f t="shared" si="617"/>
        <v>E:\PropInv\MF</v>
      </c>
      <c r="K7987" s="103" t="str">
        <f>HYPERLINK("E:\PropInv\MF\Kingsville\Corral St W_1300_NF_Kingsville_60375","Corral St W_1300_NF_Kingsville_60375" )</f>
        <v>Corral St W_1300_NF_Kingsville_60375</v>
      </c>
      <c r="L7987" s="104" t="s">
        <v>22253</v>
      </c>
      <c r="N7987" s="1">
        <f t="shared" si="618"/>
        <v>60375</v>
      </c>
    </row>
    <row r="7988" spans="1:14" x14ac:dyDescent="0.3">
      <c r="A7988" s="1">
        <v>30376</v>
      </c>
      <c r="B7988" s="19" t="s">
        <v>11866</v>
      </c>
      <c r="C7988" s="18">
        <v>1617</v>
      </c>
      <c r="D7988" s="19" t="s">
        <v>11867</v>
      </c>
      <c r="E7988" s="20" t="s">
        <v>3148</v>
      </c>
      <c r="F7988" t="str">
        <f t="shared" si="615"/>
        <v>Cimmarron</v>
      </c>
      <c r="G7988" t="str">
        <f t="shared" si="616"/>
        <v>Cimmarron1617Portland</v>
      </c>
      <c r="H7988" t="s">
        <v>38843</v>
      </c>
      <c r="I7988" t="s">
        <v>30252</v>
      </c>
      <c r="J7988" t="str">
        <f t="shared" si="617"/>
        <v>E:\PropInv\MF</v>
      </c>
      <c r="K7988" s="103" t="str">
        <f>HYPERLINK("E:\PropInv\MF\Portland\Cimmarron_1617_Sun Valley Apts_Portland_60376","Cimmarron_1617_Sun Valley Apts_Portland_60376" )</f>
        <v>Cimmarron_1617_Sun Valley Apts_Portland_60376</v>
      </c>
      <c r="L7988" s="104" t="s">
        <v>22253</v>
      </c>
      <c r="N7988" s="1">
        <f t="shared" si="618"/>
        <v>60376</v>
      </c>
    </row>
    <row r="7989" spans="1:14" x14ac:dyDescent="0.3">
      <c r="A7989" s="1">
        <v>30377</v>
      </c>
      <c r="B7989" s="19" t="s">
        <v>11868</v>
      </c>
      <c r="C7989" s="18">
        <v>2431</v>
      </c>
      <c r="D7989" s="19" t="s">
        <v>11869</v>
      </c>
      <c r="E7989" s="20" t="s">
        <v>11870</v>
      </c>
      <c r="F7989" t="str">
        <f t="shared" si="615"/>
        <v>College</v>
      </c>
      <c r="G7989" t="str">
        <f t="shared" si="616"/>
        <v>College2431San Angelo</v>
      </c>
      <c r="H7989" t="s">
        <v>38844</v>
      </c>
      <c r="I7989" t="s">
        <v>30253</v>
      </c>
      <c r="J7989" t="str">
        <f t="shared" si="617"/>
        <v>E:\PropInv\MF</v>
      </c>
      <c r="K7989" s="103" t="str">
        <f>HYPERLINK("E:\PropInv\MF\San Angelo\College Hills Blvd_2431_Arroyo Square Apts_San Angelo_60377","College Hills Blvd_2431_Arroyo Square Apts_San Angelo_60377" )</f>
        <v>College Hills Blvd_2431_Arroyo Square Apts_San Angelo_60377</v>
      </c>
      <c r="L7989" s="104" t="s">
        <v>22253</v>
      </c>
      <c r="N7989" s="1">
        <f t="shared" si="618"/>
        <v>60377</v>
      </c>
    </row>
    <row r="7990" spans="1:14" x14ac:dyDescent="0.3">
      <c r="A7990" s="1">
        <v>30378</v>
      </c>
      <c r="B7990" s="19" t="s">
        <v>11871</v>
      </c>
      <c r="C7990" s="18">
        <v>329</v>
      </c>
      <c r="D7990" s="19" t="s">
        <v>11872</v>
      </c>
      <c r="E7990" s="20" t="s">
        <v>11870</v>
      </c>
      <c r="F7990" t="str">
        <f t="shared" si="615"/>
        <v>Glenna</v>
      </c>
      <c r="G7990" t="str">
        <f t="shared" si="616"/>
        <v>Glenna329San Angelo</v>
      </c>
      <c r="H7990" t="s">
        <v>38845</v>
      </c>
      <c r="I7990" t="s">
        <v>30254</v>
      </c>
      <c r="J7990" t="str">
        <f t="shared" si="617"/>
        <v>E:\PropInv\MF</v>
      </c>
      <c r="K7990" s="103" t="str">
        <f>HYPERLINK("E:\PropInv\MF\San Angelo\Glenna Dr_329_West Gate Villa Apts_San Angelo_60378","Glenna Dr_329_West Gate Villa Apts_San Angelo_60378" )</f>
        <v>Glenna Dr_329_West Gate Villa Apts_San Angelo_60378</v>
      </c>
      <c r="L7990" s="104" t="s">
        <v>22253</v>
      </c>
      <c r="N7990" s="1">
        <f t="shared" si="618"/>
        <v>60378</v>
      </c>
    </row>
    <row r="7991" spans="1:14" x14ac:dyDescent="0.3">
      <c r="A7991" s="1">
        <v>30379</v>
      </c>
      <c r="B7991" s="19" t="s">
        <v>11873</v>
      </c>
      <c r="C7991" s="18">
        <v>1818</v>
      </c>
      <c r="D7991" s="19" t="s">
        <v>11165</v>
      </c>
      <c r="E7991" s="20" t="s">
        <v>11870</v>
      </c>
      <c r="F7991" t="str">
        <f t="shared" si="615"/>
        <v>Lincoln</v>
      </c>
      <c r="G7991" t="str">
        <f t="shared" si="616"/>
        <v>Lincoln1818San Angelo</v>
      </c>
      <c r="H7991" t="s">
        <v>38846</v>
      </c>
      <c r="I7991" t="s">
        <v>30255</v>
      </c>
      <c r="J7991" t="str">
        <f t="shared" si="617"/>
        <v>E:\PropInv\MF</v>
      </c>
      <c r="K7991" s="103" t="str">
        <f>HYPERLINK("E:\PropInv\MF\San Angelo\Lincoln_1818_University Park Apts_San Angelo_60379","Lincoln_1818_University Park Apts_San Angelo_60379" )</f>
        <v>Lincoln_1818_University Park Apts_San Angelo_60379</v>
      </c>
      <c r="L7991" s="104" t="s">
        <v>22253</v>
      </c>
      <c r="N7991" s="1">
        <f t="shared" si="618"/>
        <v>60379</v>
      </c>
    </row>
    <row r="7992" spans="1:14" x14ac:dyDescent="0.3">
      <c r="A7992" s="1">
        <v>30380</v>
      </c>
      <c r="B7992" s="19" t="s">
        <v>11874</v>
      </c>
      <c r="C7992" s="18">
        <v>3426</v>
      </c>
      <c r="D7992" s="19" t="s">
        <v>11875</v>
      </c>
      <c r="E7992" s="20" t="s">
        <v>11870</v>
      </c>
      <c r="F7992" t="str">
        <f t="shared" si="615"/>
        <v>Millbrook</v>
      </c>
      <c r="G7992" t="str">
        <f t="shared" si="616"/>
        <v>Millbrook3426San Angelo</v>
      </c>
      <c r="H7992" t="s">
        <v>38847</v>
      </c>
      <c r="I7992" t="s">
        <v>30256</v>
      </c>
      <c r="J7992" t="str">
        <f t="shared" si="617"/>
        <v>E:\PropInv\MF</v>
      </c>
      <c r="K7992" s="103" t="str">
        <f>HYPERLINK("E:\PropInv\MF\San Angelo\Millbrook Dr_3426_College Hills West_San Angelo_60380","Millbrook Dr_3426_College Hills West_San Angelo_60380" )</f>
        <v>Millbrook Dr_3426_College Hills West_San Angelo_60380</v>
      </c>
      <c r="L7992" s="104" t="s">
        <v>22253</v>
      </c>
      <c r="N7992" s="1">
        <f t="shared" si="618"/>
        <v>60380</v>
      </c>
    </row>
    <row r="7993" spans="1:14" x14ac:dyDescent="0.3">
      <c r="A7993" s="97">
        <v>30381</v>
      </c>
      <c r="B7993" s="19" t="s">
        <v>11876</v>
      </c>
      <c r="C7993" s="18">
        <v>1929</v>
      </c>
      <c r="D7993" s="19" t="s">
        <v>11877</v>
      </c>
      <c r="E7993" s="20" t="s">
        <v>11870</v>
      </c>
      <c r="F7993" t="str">
        <f t="shared" si="615"/>
        <v>Raney</v>
      </c>
      <c r="G7993" t="str">
        <f t="shared" si="616"/>
        <v>Raney1929San Angelo</v>
      </c>
      <c r="H7993" t="s">
        <v>38848</v>
      </c>
      <c r="I7993" t="s">
        <v>30257</v>
      </c>
      <c r="J7993" t="str">
        <f t="shared" si="617"/>
        <v>E:\PropInv\MF</v>
      </c>
      <c r="K7993" s="103" t="str">
        <f>HYPERLINK("E:\PropInv\MF\San Angelo\Raney St_1929_Windmill Apts_San Angelo_60381","Raney St_1929_Windmill Apts_San Angelo_60381" )</f>
        <v>Raney St_1929_Windmill Apts_San Angelo_60381</v>
      </c>
      <c r="L7993" s="104" t="s">
        <v>22253</v>
      </c>
      <c r="N7993" s="1">
        <f t="shared" si="618"/>
        <v>60381</v>
      </c>
    </row>
    <row r="7994" spans="1:14" x14ac:dyDescent="0.3">
      <c r="A7994" s="1">
        <v>30382</v>
      </c>
      <c r="B7994" s="19" t="s">
        <v>11878</v>
      </c>
      <c r="C7994" s="18">
        <v>555</v>
      </c>
      <c r="D7994" s="19" t="s">
        <v>941</v>
      </c>
      <c r="E7994" s="20" t="s">
        <v>11870</v>
      </c>
      <c r="F7994" t="str">
        <f t="shared" si="615"/>
        <v>Smith</v>
      </c>
      <c r="G7994" t="str">
        <f t="shared" si="616"/>
        <v>Smith555San Angelo</v>
      </c>
      <c r="H7994" t="s">
        <v>38849</v>
      </c>
      <c r="I7994" t="s">
        <v>30258</v>
      </c>
      <c r="J7994" t="str">
        <f t="shared" si="617"/>
        <v>E:\PropInv\MF</v>
      </c>
      <c r="K7994" s="103" t="str">
        <f>HYPERLINK("E:\PropInv\MF\San Angelo\Smith Blvd_555_Willow Run_San Angelo_60382","Smith Blvd_555_Willow Run_San Angelo_60382" )</f>
        <v>Smith Blvd_555_Willow Run_San Angelo_60382</v>
      </c>
      <c r="L7994" s="104" t="s">
        <v>22253</v>
      </c>
      <c r="N7994" s="1">
        <f t="shared" si="618"/>
        <v>60382</v>
      </c>
    </row>
    <row r="7995" spans="1:14" x14ac:dyDescent="0.3">
      <c r="A7995" s="1">
        <v>30383</v>
      </c>
      <c r="B7995" s="19" t="s">
        <v>11879</v>
      </c>
      <c r="C7995" s="18">
        <v>2901</v>
      </c>
      <c r="D7995" s="19" t="s">
        <v>11880</v>
      </c>
      <c r="E7995" s="20" t="s">
        <v>11870</v>
      </c>
      <c r="F7995" t="str">
        <f t="shared" si="615"/>
        <v>Sunset</v>
      </c>
      <c r="G7995" t="str">
        <f t="shared" si="616"/>
        <v>Sunset2901San Angelo</v>
      </c>
      <c r="H7995" t="s">
        <v>38850</v>
      </c>
      <c r="I7995" t="s">
        <v>30259</v>
      </c>
      <c r="J7995" t="str">
        <f t="shared" si="617"/>
        <v>E:\PropInv\MF</v>
      </c>
      <c r="K7995" s="103" t="str">
        <f>HYPERLINK("E:\PropInv\MF\San Angelo\Sunset Dr_2901_Newport Village_San Angelo_60383","Sunset Dr_2901_Newport Village_San Angelo_60383" )</f>
        <v>Sunset Dr_2901_Newport Village_San Angelo_60383</v>
      </c>
      <c r="L7995" s="104" t="s">
        <v>22253</v>
      </c>
      <c r="N7995" s="1">
        <f t="shared" si="618"/>
        <v>60383</v>
      </c>
    </row>
    <row r="7996" spans="1:14" x14ac:dyDescent="0.3">
      <c r="A7996" s="1">
        <v>30385</v>
      </c>
      <c r="B7996" s="19" t="s">
        <v>11882</v>
      </c>
      <c r="C7996" s="18">
        <v>101</v>
      </c>
      <c r="D7996" s="19" t="s">
        <v>11883</v>
      </c>
      <c r="E7996" s="20" t="s">
        <v>11881</v>
      </c>
      <c r="F7996" t="str">
        <f t="shared" si="615"/>
        <v>Shepherd</v>
      </c>
      <c r="G7996" t="str">
        <f t="shared" si="616"/>
        <v>Shepherd101Lufkin</v>
      </c>
      <c r="H7996" t="s">
        <v>38851</v>
      </c>
      <c r="I7996" t="s">
        <v>30260</v>
      </c>
      <c r="J7996" t="str">
        <f t="shared" si="617"/>
        <v>E:\PropInv\MF</v>
      </c>
      <c r="K7996" s="103" t="str">
        <f>HYPERLINK("E:\PropInv\MF\Lufkin\Shepherd W_101_Angelina House_Lufkin_60385","Shepherd W_101_Angelina House_Lufkin_60385" )</f>
        <v>Shepherd W_101_Angelina House_Lufkin_60385</v>
      </c>
      <c r="L7996" s="104" t="s">
        <v>22253</v>
      </c>
      <c r="N7996" s="1">
        <f t="shared" si="618"/>
        <v>60385</v>
      </c>
    </row>
    <row r="7997" spans="1:14" x14ac:dyDescent="0.3">
      <c r="A7997" s="97">
        <v>30386</v>
      </c>
      <c r="B7997" s="19" t="s">
        <v>11884</v>
      </c>
      <c r="C7997" s="18">
        <v>2614</v>
      </c>
      <c r="D7997" s="19" t="s">
        <v>3194</v>
      </c>
      <c r="E7997" s="20" t="s">
        <v>875</v>
      </c>
      <c r="F7997" t="str">
        <f t="shared" si="615"/>
        <v>University</v>
      </c>
      <c r="G7997" t="str">
        <f t="shared" si="616"/>
        <v>University2614Nacogdoches</v>
      </c>
      <c r="H7997" t="s">
        <v>38852</v>
      </c>
      <c r="I7997" t="s">
        <v>30261</v>
      </c>
      <c r="J7997" t="str">
        <f t="shared" si="617"/>
        <v>E:\PropInv\MF</v>
      </c>
      <c r="K7997" s="103" t="str">
        <f>HYPERLINK("E:\PropInv\MF\Nacogdoches\University N_2614_Woodforest_Nacogdoches_60386","University N_2614_Woodforest_Nacogdoches_60386" )</f>
        <v>University N_2614_Woodforest_Nacogdoches_60386</v>
      </c>
      <c r="L7997" s="104" t="s">
        <v>22253</v>
      </c>
      <c r="N7997" s="1">
        <f t="shared" si="618"/>
        <v>60386</v>
      </c>
    </row>
    <row r="7998" spans="1:14" x14ac:dyDescent="0.3">
      <c r="A7998" s="1">
        <v>30387</v>
      </c>
      <c r="B7998" s="19" t="s">
        <v>11885</v>
      </c>
      <c r="C7998" s="18">
        <v>1710</v>
      </c>
      <c r="D7998" s="19" t="s">
        <v>11886</v>
      </c>
      <c r="E7998" s="20" t="s">
        <v>875</v>
      </c>
      <c r="F7998" t="str">
        <f t="shared" si="615"/>
        <v>Starr</v>
      </c>
      <c r="G7998" t="str">
        <f t="shared" si="616"/>
        <v>Starr1710Nacogdoches</v>
      </c>
      <c r="H7998" t="s">
        <v>38853</v>
      </c>
      <c r="I7998" t="s">
        <v>30262</v>
      </c>
      <c r="J7998" t="str">
        <f t="shared" si="617"/>
        <v>E:\PropInv\MF</v>
      </c>
      <c r="K7998" s="103" t="str">
        <f>HYPERLINK("E:\PropInv\MF\Nacogdoches\Starr_1710_Chevy Chase Apts_Nacogdoches_60387","Starr_1710_Chevy Chase Apts_Nacogdoches_60387" )</f>
        <v>Starr_1710_Chevy Chase Apts_Nacogdoches_60387</v>
      </c>
      <c r="L7998" s="104" t="s">
        <v>22253</v>
      </c>
      <c r="N7998" s="1">
        <f t="shared" si="618"/>
        <v>60387</v>
      </c>
    </row>
    <row r="7999" spans="1:14" x14ac:dyDescent="0.3">
      <c r="A7999" s="1">
        <v>30388</v>
      </c>
      <c r="B7999" s="16" t="s">
        <v>11887</v>
      </c>
      <c r="C7999" s="61">
        <v>900</v>
      </c>
      <c r="D7999" s="16" t="s">
        <v>11888</v>
      </c>
      <c r="E7999" s="17" t="s">
        <v>11889</v>
      </c>
      <c r="F7999" t="str">
        <f t="shared" ref="F7999:F8061" si="619">IFERROR(LEFT(B7999,FIND(" ",B7999)-1),B7999)</f>
        <v>Corsicana</v>
      </c>
      <c r="G7999" t="str">
        <f t="shared" ref="G7999:G8061" si="620">F7999&amp;C7999&amp;E7999</f>
        <v>Corsicana900Athens</v>
      </c>
      <c r="H7999" t="s">
        <v>38854</v>
      </c>
      <c r="I7999" t="s">
        <v>30263</v>
      </c>
      <c r="J7999" t="str">
        <f t="shared" ref="J7999:J8061" si="621">IF(L7999="TX",Folder_Path,Folder_Path&amp;"\State_"&amp;L7999)</f>
        <v>E:\PropInv\MF</v>
      </c>
      <c r="K7999" s="103" t="str">
        <f>HYPERLINK("E:\PropInv\MF\Athens\Corsicana St E_900_Athena Gardens_Athens_60388","Corsicana St E_900_Athena Gardens_Athens_60388" )</f>
        <v>Corsicana St E_900_Athena Gardens_Athens_60388</v>
      </c>
      <c r="L7999" s="104" t="s">
        <v>22253</v>
      </c>
      <c r="N7999" s="1">
        <f t="shared" si="618"/>
        <v>60388</v>
      </c>
    </row>
    <row r="8000" spans="1:14" x14ac:dyDescent="0.3">
      <c r="A8000" s="1">
        <v>30389</v>
      </c>
      <c r="B8000" s="16" t="s">
        <v>11890</v>
      </c>
      <c r="C8000" s="15">
        <v>900</v>
      </c>
      <c r="D8000" s="16" t="s">
        <v>11891</v>
      </c>
      <c r="E8000" s="17" t="s">
        <v>4363</v>
      </c>
      <c r="F8000" t="str">
        <f t="shared" si="619"/>
        <v>Fordall</v>
      </c>
      <c r="G8000" t="str">
        <f t="shared" si="620"/>
        <v>Fordall900Henderson</v>
      </c>
      <c r="H8000" t="s">
        <v>38855</v>
      </c>
      <c r="I8000" t="s">
        <v>30264</v>
      </c>
      <c r="J8000" t="str">
        <f t="shared" si="621"/>
        <v>E:\PropInv\MF</v>
      </c>
      <c r="K8000" s="103" t="str">
        <f>HYPERLINK("E:\PropInv\MF\Henderson\Fordall W_900_Point North_Henderson_60389","Fordall W_900_Point North_Henderson_60389" )</f>
        <v>Fordall W_900_Point North_Henderson_60389</v>
      </c>
      <c r="L8000" s="104" t="s">
        <v>22253</v>
      </c>
      <c r="N8000" s="1">
        <f t="shared" si="618"/>
        <v>60389</v>
      </c>
    </row>
    <row r="8001" spans="1:14" x14ac:dyDescent="0.3">
      <c r="A8001" s="1">
        <v>30390</v>
      </c>
      <c r="B8001" s="44" t="s">
        <v>11892</v>
      </c>
      <c r="C8001" s="32" t="s">
        <v>11893</v>
      </c>
      <c r="D8001" s="31" t="s">
        <v>5406</v>
      </c>
      <c r="E8001" s="33" t="s">
        <v>11894</v>
      </c>
      <c r="F8001" t="str">
        <f t="shared" si="619"/>
        <v>Canada</v>
      </c>
      <c r="G8001" t="str">
        <f t="shared" si="620"/>
        <v>Canada701 &amp; 645Jacksonville</v>
      </c>
      <c r="H8001" t="s">
        <v>38856</v>
      </c>
      <c r="I8001" t="s">
        <v>30265</v>
      </c>
      <c r="J8001" t="str">
        <f t="shared" si="621"/>
        <v>E:\PropInv\MF</v>
      </c>
      <c r="K8001" s="103" t="str">
        <f>HYPERLINK("E:\PropInv\MF\Jacksonville\Canada St_701 &amp; 645_Little Creek Apts_Jacksonville_60390","Canada St_701 &amp; 645_Little Creek Apts_Jacksonville_60390" )</f>
        <v>Canada St_701 &amp; 645_Little Creek Apts_Jacksonville_60390</v>
      </c>
      <c r="L8001" s="104" t="s">
        <v>22253</v>
      </c>
      <c r="N8001" s="1">
        <f t="shared" si="618"/>
        <v>60390</v>
      </c>
    </row>
    <row r="8002" spans="1:14" x14ac:dyDescent="0.3">
      <c r="A8002" s="1">
        <v>30391</v>
      </c>
      <c r="B8002" s="16" t="s">
        <v>11895</v>
      </c>
      <c r="C8002" s="15">
        <v>1011</v>
      </c>
      <c r="D8002" s="16" t="s">
        <v>11896</v>
      </c>
      <c r="E8002" s="17" t="s">
        <v>11894</v>
      </c>
      <c r="F8002" t="str">
        <f t="shared" si="619"/>
        <v>Jackson</v>
      </c>
      <c r="G8002" t="str">
        <f t="shared" si="620"/>
        <v>Jackson1011Jacksonville</v>
      </c>
      <c r="H8002" t="s">
        <v>38857</v>
      </c>
      <c r="I8002" t="s">
        <v>30266</v>
      </c>
      <c r="J8002" t="str">
        <f t="shared" si="621"/>
        <v>E:\PropInv\MF</v>
      </c>
      <c r="K8002" s="103" t="str">
        <f>HYPERLINK("E:\PropInv\MF\Jacksonville\Jackson St N_1011_Sweet Union Apts_Jacksonville_60391","Jackson St N_1011_Sweet Union Apts_Jacksonville_60391" )</f>
        <v>Jackson St N_1011_Sweet Union Apts_Jacksonville_60391</v>
      </c>
      <c r="L8002" s="104" t="s">
        <v>22253</v>
      </c>
      <c r="N8002" s="1">
        <f t="shared" ref="N8002:N8065" si="622">IF(LEN(A8002)=1,"0000"&amp;A8002,IF(LEN(A8002)=2,"000"&amp;A8002,IF(LEN(A8002)=3,"00"&amp;A8002,IF(LEN(A8002)=4,"0"&amp;A8002,IF(LEN(A8002)=5,IF(LEFT(A8002,1)="3",A8002+30000,A8002))))))</f>
        <v>60391</v>
      </c>
    </row>
    <row r="8003" spans="1:14" x14ac:dyDescent="0.3">
      <c r="A8003" s="1">
        <v>30392</v>
      </c>
      <c r="B8003" s="16" t="s">
        <v>11897</v>
      </c>
      <c r="C8003" s="15">
        <v>1000</v>
      </c>
      <c r="D8003" s="16" t="s">
        <v>11898</v>
      </c>
      <c r="E8003" s="17" t="s">
        <v>11899</v>
      </c>
      <c r="F8003" t="str">
        <f t="shared" si="619"/>
        <v>Danville</v>
      </c>
      <c r="G8003" t="str">
        <f t="shared" si="620"/>
        <v>Danville1000Kilgore</v>
      </c>
      <c r="H8003" t="s">
        <v>38858</v>
      </c>
      <c r="I8003" t="s">
        <v>30267</v>
      </c>
      <c r="J8003" t="str">
        <f t="shared" si="621"/>
        <v>E:\PropInv\MF</v>
      </c>
      <c r="K8003" s="103" t="str">
        <f>HYPERLINK("E:\PropInv\MF\Kilgore\Danville Rd S_1000_Stoneridge Apts_Kilgore_60392","Danville Rd S_1000_Stoneridge Apts_Kilgore_60392" )</f>
        <v>Danville Rd S_1000_Stoneridge Apts_Kilgore_60392</v>
      </c>
      <c r="L8003" s="104" t="s">
        <v>22253</v>
      </c>
      <c r="N8003" s="1">
        <f t="shared" si="622"/>
        <v>60392</v>
      </c>
    </row>
    <row r="8004" spans="1:14" x14ac:dyDescent="0.3">
      <c r="A8004" s="1">
        <v>30393</v>
      </c>
      <c r="B8004" s="16" t="s">
        <v>11900</v>
      </c>
      <c r="C8004" s="15">
        <v>2801</v>
      </c>
      <c r="D8004" s="16" t="s">
        <v>11901</v>
      </c>
      <c r="E8004" s="17" t="s">
        <v>11902</v>
      </c>
      <c r="F8004" t="str">
        <f t="shared" si="619"/>
        <v>Bill</v>
      </c>
      <c r="G8004" t="str">
        <f t="shared" si="620"/>
        <v>Bill2801Longview</v>
      </c>
      <c r="H8004" t="s">
        <v>38859</v>
      </c>
      <c r="I8004" t="s">
        <v>30268</v>
      </c>
      <c r="J8004" t="str">
        <f t="shared" si="621"/>
        <v>E:\PropInv\MF</v>
      </c>
      <c r="K8004" s="103" t="str">
        <f>HYPERLINK("E:\PropInv\MF\Longview\Bill Owens Pkwy_2801_Hunters Crossing_Longview_60393","Bill Owens Pkwy_2801_Hunters Crossing_Longview_60393" )</f>
        <v>Bill Owens Pkwy_2801_Hunters Crossing_Longview_60393</v>
      </c>
      <c r="L8004" s="104" t="s">
        <v>22253</v>
      </c>
      <c r="N8004" s="1">
        <f t="shared" si="622"/>
        <v>60393</v>
      </c>
    </row>
    <row r="8005" spans="1:14" x14ac:dyDescent="0.3">
      <c r="A8005" s="1">
        <v>30394</v>
      </c>
      <c r="B8005" s="16" t="s">
        <v>11903</v>
      </c>
      <c r="C8005" s="15">
        <v>115</v>
      </c>
      <c r="D8005" s="16" t="s">
        <v>11904</v>
      </c>
      <c r="E8005" s="17" t="s">
        <v>11902</v>
      </c>
      <c r="F8005" t="str">
        <f t="shared" si="619"/>
        <v>Hawkins</v>
      </c>
      <c r="G8005" t="str">
        <f t="shared" si="620"/>
        <v>Hawkins115Longview</v>
      </c>
      <c r="H8005" t="s">
        <v>38860</v>
      </c>
      <c r="I8005" t="s">
        <v>30269</v>
      </c>
      <c r="J8005" t="str">
        <f t="shared" si="621"/>
        <v>E:\PropInv\MF</v>
      </c>
      <c r="K8005" s="103" t="str">
        <f>HYPERLINK("E:\PropInv\MF\Longview\Hawkins Pkwy E_115_Longfellow Arms_Longview_60394","Hawkins Pkwy E_115_Longfellow Arms_Longview_60394" )</f>
        <v>Hawkins Pkwy E_115_Longfellow Arms_Longview_60394</v>
      </c>
      <c r="L8005" s="104" t="s">
        <v>22253</v>
      </c>
      <c r="N8005" s="1">
        <f t="shared" si="622"/>
        <v>60394</v>
      </c>
    </row>
    <row r="8006" spans="1:14" x14ac:dyDescent="0.3">
      <c r="A8006" s="1">
        <v>30395</v>
      </c>
      <c r="B8006" s="16" t="s">
        <v>11903</v>
      </c>
      <c r="C8006" s="15">
        <v>110</v>
      </c>
      <c r="D8006" s="16" t="s">
        <v>11905</v>
      </c>
      <c r="E8006" s="17" t="s">
        <v>11902</v>
      </c>
      <c r="F8006" t="str">
        <f t="shared" si="619"/>
        <v>Hawkins</v>
      </c>
      <c r="G8006" t="str">
        <f t="shared" si="620"/>
        <v>Hawkins110Longview</v>
      </c>
      <c r="H8006" t="s">
        <v>38861</v>
      </c>
      <c r="I8006" t="s">
        <v>30270</v>
      </c>
      <c r="J8006" t="str">
        <f t="shared" si="621"/>
        <v>E:\PropInv\MF</v>
      </c>
      <c r="K8006" s="103" t="str">
        <f>HYPERLINK("E:\PropInv\MF\Longview\Hawkins Pkwy E_110_Summer Green_Longview_60395","Hawkins Pkwy E_110_Summer Green_Longview_60395" )</f>
        <v>Hawkins Pkwy E_110_Summer Green_Longview_60395</v>
      </c>
      <c r="L8006" s="104" t="s">
        <v>22253</v>
      </c>
      <c r="N8006" s="1">
        <f t="shared" si="622"/>
        <v>60395</v>
      </c>
    </row>
    <row r="8007" spans="1:14" x14ac:dyDescent="0.3">
      <c r="A8007" s="1">
        <v>30396</v>
      </c>
      <c r="B8007" s="16" t="s">
        <v>11906</v>
      </c>
      <c r="C8007" s="15">
        <v>203</v>
      </c>
      <c r="D8007" s="16" t="s">
        <v>11907</v>
      </c>
      <c r="E8007" s="17" t="s">
        <v>11902</v>
      </c>
      <c r="F8007" t="str">
        <f t="shared" si="619"/>
        <v>Eden</v>
      </c>
      <c r="G8007" t="str">
        <f t="shared" si="620"/>
        <v>Eden203Longview</v>
      </c>
      <c r="H8007" t="s">
        <v>38862</v>
      </c>
      <c r="I8007" t="s">
        <v>30271</v>
      </c>
      <c r="J8007" t="str">
        <f t="shared" si="621"/>
        <v>E:\PropInv\MF</v>
      </c>
      <c r="K8007" s="103" t="str">
        <f>HYPERLINK("E:\PropInv\MF\Longview\Eden Dr_203_WILLIAM TELL Apts_Longview_60396","Eden Dr_203_WILLIAM TELL Apts_Longview_60396" )</f>
        <v>Eden Dr_203_WILLIAM TELL Apts_Longview_60396</v>
      </c>
      <c r="L8007" s="104" t="s">
        <v>22253</v>
      </c>
      <c r="N8007" s="1">
        <f t="shared" si="622"/>
        <v>60396</v>
      </c>
    </row>
    <row r="8008" spans="1:14" x14ac:dyDescent="0.3">
      <c r="A8008" s="1">
        <v>30397</v>
      </c>
      <c r="B8008" s="16" t="s">
        <v>11908</v>
      </c>
      <c r="C8008" s="15">
        <v>300</v>
      </c>
      <c r="D8008" s="16" t="s">
        <v>3165</v>
      </c>
      <c r="E8008" s="17" t="s">
        <v>11902</v>
      </c>
      <c r="F8008" t="str">
        <f t="shared" si="619"/>
        <v>Lake</v>
      </c>
      <c r="G8008" t="str">
        <f t="shared" si="620"/>
        <v>Lake300Longview</v>
      </c>
      <c r="H8008" t="s">
        <v>38863</v>
      </c>
      <c r="I8008" t="s">
        <v>17831</v>
      </c>
      <c r="J8008" t="str">
        <f t="shared" si="621"/>
        <v>E:\PropInv\MF</v>
      </c>
      <c r="K8008" s="103" t="str">
        <f>HYPERLINK("E:\PropInv\MF\Longview\Lake Lamond_300_Autumnwood_Longview_60397","Lake Lamond_300_Autumnwood_Longview_60397" )</f>
        <v>Lake Lamond_300_Autumnwood_Longview_60397</v>
      </c>
      <c r="L8008" s="104" t="s">
        <v>22253</v>
      </c>
      <c r="N8008" s="1">
        <f t="shared" si="622"/>
        <v>60397</v>
      </c>
    </row>
    <row r="8009" spans="1:14" x14ac:dyDescent="0.3">
      <c r="A8009" s="1">
        <v>30398</v>
      </c>
      <c r="B8009" s="19" t="s">
        <v>11909</v>
      </c>
      <c r="C8009" s="18">
        <v>2900</v>
      </c>
      <c r="D8009" s="19" t="s">
        <v>11910</v>
      </c>
      <c r="E8009" s="20" t="s">
        <v>11902</v>
      </c>
      <c r="F8009" t="str">
        <f t="shared" si="619"/>
        <v>McCann</v>
      </c>
      <c r="G8009" t="str">
        <f t="shared" si="620"/>
        <v>McCann2900Longview</v>
      </c>
      <c r="H8009" t="s">
        <v>38864</v>
      </c>
      <c r="I8009" t="s">
        <v>30272</v>
      </c>
      <c r="J8009" t="str">
        <f t="shared" si="621"/>
        <v>E:\PropInv\MF</v>
      </c>
      <c r="K8009" s="103" t="str">
        <f>HYPERLINK("E:\PropInv\MF\Longview\McCann Rd_2900_Mill Park_Longview_60398","McCann Rd_2900_Mill Park_Longview_60398" )</f>
        <v>McCann Rd_2900_Mill Park_Longview_60398</v>
      </c>
      <c r="L8009" s="104" t="s">
        <v>22253</v>
      </c>
      <c r="N8009" s="1">
        <f t="shared" si="622"/>
        <v>60398</v>
      </c>
    </row>
    <row r="8010" spans="1:14" x14ac:dyDescent="0.3">
      <c r="A8010" s="1">
        <v>30399</v>
      </c>
      <c r="B8010" s="19" t="s">
        <v>11911</v>
      </c>
      <c r="C8010" s="18">
        <v>2500</v>
      </c>
      <c r="D8010" s="19" t="s">
        <v>11912</v>
      </c>
      <c r="E8010" s="20" t="s">
        <v>11902</v>
      </c>
      <c r="F8010" t="str">
        <f t="shared" si="619"/>
        <v>Eastman</v>
      </c>
      <c r="G8010" t="str">
        <f t="shared" si="620"/>
        <v>Eastman2500Longview</v>
      </c>
      <c r="H8010" t="s">
        <v>38865</v>
      </c>
      <c r="I8010" t="s">
        <v>30273</v>
      </c>
      <c r="J8010" t="str">
        <f t="shared" si="621"/>
        <v>E:\PropInv\MF</v>
      </c>
      <c r="K8010" s="103" t="str">
        <f>HYPERLINK("E:\PropInv\MF\Longview\Eastman Rd N_2500_North Huntington Hills Apts_Longview_60399","Eastman Rd N_2500_North Huntington Hills Apts_Longview_60399" )</f>
        <v>Eastman Rd N_2500_North Huntington Hills Apts_Longview_60399</v>
      </c>
      <c r="L8010" s="104" t="s">
        <v>22253</v>
      </c>
      <c r="N8010" s="1">
        <f t="shared" si="622"/>
        <v>60399</v>
      </c>
    </row>
    <row r="8011" spans="1:14" x14ac:dyDescent="0.3">
      <c r="A8011" s="1">
        <v>30400</v>
      </c>
      <c r="B8011" s="19" t="s">
        <v>11913</v>
      </c>
      <c r="C8011" s="18">
        <v>3401</v>
      </c>
      <c r="D8011" s="19" t="s">
        <v>10912</v>
      </c>
      <c r="E8011" s="20" t="s">
        <v>11902</v>
      </c>
      <c r="F8011" t="str">
        <f t="shared" si="619"/>
        <v>259</v>
      </c>
      <c r="G8011" t="str">
        <f t="shared" si="620"/>
        <v>2593401Longview</v>
      </c>
      <c r="H8011" t="s">
        <v>38866</v>
      </c>
      <c r="I8011" t="s">
        <v>30274</v>
      </c>
      <c r="J8011" t="str">
        <f t="shared" si="621"/>
        <v>E:\PropInv\MF</v>
      </c>
      <c r="K8011" s="103" t="str">
        <f>HYPERLINK("E:\PropInv\MF\Longview\259 Hwy N_3401_The Reserve_Longview_60400","259 Hwy N_3401_The Reserve_Longview_60400" )</f>
        <v>259 Hwy N_3401_The Reserve_Longview_60400</v>
      </c>
      <c r="L8011" s="104" t="s">
        <v>22253</v>
      </c>
      <c r="N8011" s="1">
        <f t="shared" si="622"/>
        <v>60400</v>
      </c>
    </row>
    <row r="8012" spans="1:14" x14ac:dyDescent="0.3">
      <c r="A8012" s="1">
        <v>30401</v>
      </c>
      <c r="B8012" s="19" t="s">
        <v>11914</v>
      </c>
      <c r="C8012" s="18">
        <v>803</v>
      </c>
      <c r="D8012" s="19" t="s">
        <v>22274</v>
      </c>
      <c r="E8012" s="20" t="s">
        <v>11902</v>
      </c>
      <c r="F8012" t="str">
        <f t="shared" si="619"/>
        <v>Pine</v>
      </c>
      <c r="G8012" t="str">
        <f t="shared" si="620"/>
        <v>Pine803Longview</v>
      </c>
      <c r="H8012" t="s">
        <v>38867</v>
      </c>
      <c r="I8012" t="s">
        <v>30275</v>
      </c>
      <c r="J8012" t="str">
        <f t="shared" si="621"/>
        <v>E:\PropInv\MF</v>
      </c>
      <c r="K8012" s="103" t="str">
        <f>HYPERLINK("E:\PropInv\MF\Longview\Pine Tree Rd_803_Longview Multi Family Group_Longview_60401","Pine Tree Rd_803_Longview Multi Family Group_Longview_60401" )</f>
        <v>Pine Tree Rd_803_Longview Multi Family Group_Longview_60401</v>
      </c>
      <c r="L8012" s="104" t="s">
        <v>22253</v>
      </c>
      <c r="N8012" s="1">
        <f t="shared" si="622"/>
        <v>60401</v>
      </c>
    </row>
    <row r="8013" spans="1:14" x14ac:dyDescent="0.3">
      <c r="A8013" s="1">
        <v>30402</v>
      </c>
      <c r="B8013" s="19" t="s">
        <v>11915</v>
      </c>
      <c r="C8013" s="18">
        <v>717</v>
      </c>
      <c r="D8013" s="19" t="s">
        <v>11916</v>
      </c>
      <c r="E8013" s="20" t="s">
        <v>11902</v>
      </c>
      <c r="F8013" t="str">
        <f t="shared" si="619"/>
        <v>Green</v>
      </c>
      <c r="G8013" t="str">
        <f t="shared" si="620"/>
        <v>Green717Longview</v>
      </c>
      <c r="H8013" t="s">
        <v>38868</v>
      </c>
      <c r="I8013" t="s">
        <v>30276</v>
      </c>
      <c r="J8013" t="str">
        <f t="shared" si="621"/>
        <v>E:\PropInv\MF</v>
      </c>
      <c r="K8013" s="103" t="str">
        <f>HYPERLINK("E:\PropInv\MF\Longview\Green St S_717_Village South_Longview_60402","Green St S_717_Village South_Longview_60402" )</f>
        <v>Green St S_717_Village South_Longview_60402</v>
      </c>
      <c r="L8013" s="104" t="s">
        <v>22253</v>
      </c>
      <c r="N8013" s="1">
        <f t="shared" si="622"/>
        <v>60402</v>
      </c>
    </row>
    <row r="8014" spans="1:14" x14ac:dyDescent="0.3">
      <c r="A8014" s="1">
        <v>30403</v>
      </c>
      <c r="B8014" s="19" t="s">
        <v>11917</v>
      </c>
      <c r="C8014" s="18">
        <v>502</v>
      </c>
      <c r="D8014" s="19" t="s">
        <v>11918</v>
      </c>
      <c r="E8014" s="20" t="s">
        <v>11902</v>
      </c>
      <c r="F8014" t="str">
        <f t="shared" si="619"/>
        <v>Scenic</v>
      </c>
      <c r="G8014" t="str">
        <f t="shared" si="620"/>
        <v>Scenic502Longview</v>
      </c>
      <c r="H8014" t="s">
        <v>38869</v>
      </c>
      <c r="I8014" t="s">
        <v>30277</v>
      </c>
      <c r="J8014" t="str">
        <f t="shared" si="621"/>
        <v>E:\PropInv\MF</v>
      </c>
      <c r="K8014" s="103" t="str">
        <f>HYPERLINK("E:\PropInv\MF\Longview\Scenic Dr_502_Penwood Apts_Longview_60403","Scenic Dr_502_Penwood Apts_Longview_60403" )</f>
        <v>Scenic Dr_502_Penwood Apts_Longview_60403</v>
      </c>
      <c r="L8014" s="104" t="s">
        <v>22253</v>
      </c>
      <c r="N8014" s="1">
        <f t="shared" si="622"/>
        <v>60403</v>
      </c>
    </row>
    <row r="8015" spans="1:14" x14ac:dyDescent="0.3">
      <c r="A8015" s="1">
        <v>30404</v>
      </c>
      <c r="B8015" s="19" t="s">
        <v>11919</v>
      </c>
      <c r="C8015" s="18" t="s">
        <v>11920</v>
      </c>
      <c r="D8015" s="19" t="s">
        <v>17853</v>
      </c>
      <c r="E8015" s="20" t="s">
        <v>11902</v>
      </c>
      <c r="F8015" t="str">
        <f t="shared" si="619"/>
        <v>Thelma</v>
      </c>
      <c r="G8015" t="str">
        <f t="shared" si="620"/>
        <v>Thelma100-115Longview</v>
      </c>
      <c r="H8015" t="s">
        <v>38870</v>
      </c>
      <c r="I8015" t="s">
        <v>30278</v>
      </c>
      <c r="J8015" t="str">
        <f t="shared" si="621"/>
        <v>E:\PropInv\MF</v>
      </c>
      <c r="K8015" s="103" t="str">
        <f>HYPERLINK("E:\PropInv\MF\Longview\Thelma Dr_100-115_Pine Tree Duplexes_Longview_60404","Thelma Dr_100-115_Pine Tree Duplexes_Longview_60404" )</f>
        <v>Thelma Dr_100-115_Pine Tree Duplexes_Longview_60404</v>
      </c>
      <c r="L8015" s="104" t="s">
        <v>22253</v>
      </c>
      <c r="N8015" s="1">
        <f t="shared" si="622"/>
        <v>60404</v>
      </c>
    </row>
    <row r="8016" spans="1:14" x14ac:dyDescent="0.3">
      <c r="A8016" s="1">
        <v>30405</v>
      </c>
      <c r="B8016" s="19" t="s">
        <v>11921</v>
      </c>
      <c r="C8016" s="18">
        <v>600</v>
      </c>
      <c r="D8016" s="19" t="s">
        <v>11922</v>
      </c>
      <c r="E8016" s="20" t="s">
        <v>11902</v>
      </c>
      <c r="F8016" t="str">
        <f t="shared" si="619"/>
        <v>Avalon</v>
      </c>
      <c r="G8016" t="str">
        <f t="shared" si="620"/>
        <v>Avalon600Longview</v>
      </c>
      <c r="H8016" t="s">
        <v>38871</v>
      </c>
      <c r="I8016" t="s">
        <v>30279</v>
      </c>
      <c r="J8016" t="str">
        <f t="shared" si="621"/>
        <v>E:\PropInv\MF</v>
      </c>
      <c r="K8016" s="103" t="str">
        <f>HYPERLINK("E:\PropInv\MF\Longview\Avalon Ave W_600_The Tree House Apts_Longview_60405","Avalon Ave W_600_The Tree House Apts_Longview_60405" )</f>
        <v>Avalon Ave W_600_The Tree House Apts_Longview_60405</v>
      </c>
      <c r="L8016" s="104" t="s">
        <v>22253</v>
      </c>
      <c r="N8016" s="1">
        <f t="shared" si="622"/>
        <v>60405</v>
      </c>
    </row>
    <row r="8017" spans="1:14" x14ac:dyDescent="0.3">
      <c r="A8017" s="1">
        <v>30406</v>
      </c>
      <c r="B8017" s="19" t="s">
        <v>11923</v>
      </c>
      <c r="C8017" s="18">
        <v>301</v>
      </c>
      <c r="D8017" s="19" t="s">
        <v>11924</v>
      </c>
      <c r="E8017" s="20" t="s">
        <v>11902</v>
      </c>
      <c r="F8017" t="str">
        <f t="shared" si="619"/>
        <v>Hawkins</v>
      </c>
      <c r="G8017" t="str">
        <f t="shared" si="620"/>
        <v>Hawkins301Longview</v>
      </c>
      <c r="H8017" t="s">
        <v>38872</v>
      </c>
      <c r="I8017" t="s">
        <v>30280</v>
      </c>
      <c r="J8017" t="str">
        <f t="shared" si="621"/>
        <v>E:\PropInv\MF</v>
      </c>
      <c r="K8017" s="103" t="str">
        <f>HYPERLINK("E:\PropInv\MF\Longview\Hawkins Pkwy W_301_Misty Ridge_Longview_60406","Hawkins Pkwy W_301_Misty Ridge_Longview_60406" )</f>
        <v>Hawkins Pkwy W_301_Misty Ridge_Longview_60406</v>
      </c>
      <c r="L8017" s="104" t="s">
        <v>22253</v>
      </c>
      <c r="N8017" s="1">
        <f t="shared" si="622"/>
        <v>60406</v>
      </c>
    </row>
    <row r="8018" spans="1:14" x14ac:dyDescent="0.3">
      <c r="A8018" s="1">
        <v>30407</v>
      </c>
      <c r="B8018" s="19" t="s">
        <v>11925</v>
      </c>
      <c r="C8018" s="18">
        <v>2800</v>
      </c>
      <c r="D8018" s="19" t="s">
        <v>11926</v>
      </c>
      <c r="E8018" s="20" t="s">
        <v>3136</v>
      </c>
      <c r="F8018" t="str">
        <f t="shared" si="619"/>
        <v>Victory</v>
      </c>
      <c r="G8018" t="str">
        <f t="shared" si="620"/>
        <v>Victory2800Marshall</v>
      </c>
      <c r="H8018" t="s">
        <v>38873</v>
      </c>
      <c r="I8018" t="s">
        <v>30281</v>
      </c>
      <c r="J8018" t="str">
        <f t="shared" si="621"/>
        <v>E:\PropInv\MF</v>
      </c>
      <c r="K8018" s="103" t="str">
        <f>HYPERLINK("E:\PropInv\MF\Marshall\Victory Rd_2800_Oak Manor Apts_Marshall_60407","Victory Rd_2800_Oak Manor Apts_Marshall_60407" )</f>
        <v>Victory Rd_2800_Oak Manor Apts_Marshall_60407</v>
      </c>
      <c r="L8018" s="104" t="s">
        <v>22253</v>
      </c>
      <c r="N8018" s="1">
        <f t="shared" si="622"/>
        <v>60407</v>
      </c>
    </row>
    <row r="8019" spans="1:14" x14ac:dyDescent="0.3">
      <c r="A8019" s="1">
        <v>30408</v>
      </c>
      <c r="B8019" s="19" t="s">
        <v>11927</v>
      </c>
      <c r="C8019" s="18">
        <v>2107</v>
      </c>
      <c r="D8019" s="19" t="s">
        <v>11928</v>
      </c>
      <c r="E8019" s="20" t="s">
        <v>3136</v>
      </c>
      <c r="F8019" t="str">
        <f t="shared" si="619"/>
        <v>Pinecrest</v>
      </c>
      <c r="G8019" t="str">
        <f t="shared" si="620"/>
        <v>Pinecrest2107Marshall</v>
      </c>
      <c r="H8019" t="s">
        <v>38874</v>
      </c>
      <c r="I8019" t="s">
        <v>30282</v>
      </c>
      <c r="J8019" t="str">
        <f t="shared" si="621"/>
        <v>E:\PropInv\MF</v>
      </c>
      <c r="K8019" s="103" t="str">
        <f>HYPERLINK("E:\PropInv\MF\Marshall\Pinecrest Dr W_2107_Seven Keys Apts_Marshall_60408","Pinecrest Dr W_2107_Seven Keys Apts_Marshall_60408" )</f>
        <v>Pinecrest Dr W_2107_Seven Keys Apts_Marshall_60408</v>
      </c>
      <c r="L8019" s="104" t="s">
        <v>22253</v>
      </c>
      <c r="N8019" s="1">
        <f t="shared" si="622"/>
        <v>60408</v>
      </c>
    </row>
    <row r="8020" spans="1:14" x14ac:dyDescent="0.3">
      <c r="A8020" s="1">
        <v>30409</v>
      </c>
      <c r="B8020" s="19" t="s">
        <v>11929</v>
      </c>
      <c r="C8020" s="18">
        <v>1020</v>
      </c>
      <c r="D8020" s="19" t="s">
        <v>11930</v>
      </c>
      <c r="E8020" s="20" t="s">
        <v>11931</v>
      </c>
      <c r="F8020" t="str">
        <f t="shared" si="619"/>
        <v>Sugar</v>
      </c>
      <c r="G8020" t="str">
        <f t="shared" si="620"/>
        <v>Sugar1020Palestine</v>
      </c>
      <c r="H8020" t="s">
        <v>38875</v>
      </c>
      <c r="I8020" t="s">
        <v>30283</v>
      </c>
      <c r="J8020" t="str">
        <f t="shared" si="621"/>
        <v>E:\PropInv\MF</v>
      </c>
      <c r="K8020" s="103" t="str">
        <f>HYPERLINK("E:\PropInv\MF\Palestine\Sugar Ln_1020_Timbercrest Apts_Palestine_60409","Sugar Ln_1020_Timbercrest Apts_Palestine_60409" )</f>
        <v>Sugar Ln_1020_Timbercrest Apts_Palestine_60409</v>
      </c>
      <c r="L8020" s="104" t="s">
        <v>22253</v>
      </c>
      <c r="N8020" s="1">
        <f t="shared" si="622"/>
        <v>60409</v>
      </c>
    </row>
    <row r="8021" spans="1:14" x14ac:dyDescent="0.3">
      <c r="A8021" s="1">
        <v>30410</v>
      </c>
      <c r="B8021" s="19" t="s">
        <v>11929</v>
      </c>
      <c r="C8021" s="18">
        <v>1010</v>
      </c>
      <c r="D8021" s="19" t="s">
        <v>11932</v>
      </c>
      <c r="E8021" s="20" t="s">
        <v>11931</v>
      </c>
      <c r="F8021" t="str">
        <f t="shared" si="619"/>
        <v>Sugar</v>
      </c>
      <c r="G8021" t="str">
        <f t="shared" si="620"/>
        <v>Sugar1010Palestine</v>
      </c>
      <c r="H8021" t="s">
        <v>38876</v>
      </c>
      <c r="I8021" t="s">
        <v>30284</v>
      </c>
      <c r="J8021" t="str">
        <f t="shared" si="621"/>
        <v>E:\PropInv\MF</v>
      </c>
      <c r="K8021" s="103" t="str">
        <f>HYPERLINK("E:\PropInv\MF\Palestine\Sugar Ln_1010_Whispering Pines_Palestine_60410","Sugar Ln_1010_Whispering Pines_Palestine_60410" )</f>
        <v>Sugar Ln_1010_Whispering Pines_Palestine_60410</v>
      </c>
      <c r="L8021" s="104" t="s">
        <v>22253</v>
      </c>
      <c r="N8021" s="1">
        <f t="shared" si="622"/>
        <v>60410</v>
      </c>
    </row>
    <row r="8022" spans="1:14" x14ac:dyDescent="0.3">
      <c r="A8022" s="1">
        <v>30411</v>
      </c>
      <c r="B8022" s="19" t="s">
        <v>11933</v>
      </c>
      <c r="C8022" s="18">
        <v>3207</v>
      </c>
      <c r="D8022" s="19" t="s">
        <v>11934</v>
      </c>
      <c r="E8022" s="53" t="s">
        <v>2525</v>
      </c>
      <c r="F8022" t="str">
        <f t="shared" si="619"/>
        <v>Airline</v>
      </c>
      <c r="G8022" t="str">
        <f t="shared" si="620"/>
        <v>Airline3207Victoria</v>
      </c>
      <c r="H8022" t="s">
        <v>38877</v>
      </c>
      <c r="I8022" t="s">
        <v>30285</v>
      </c>
      <c r="J8022" t="str">
        <f t="shared" si="621"/>
        <v>E:\PropInv\MF</v>
      </c>
      <c r="K8022" s="103" t="str">
        <f>HYPERLINK("E:\PropInv\MF\Victoria\Airline Rd E_3207_Stratford Place_Victoria_60411","Airline Rd E_3207_Stratford Place_Victoria_60411" )</f>
        <v>Airline Rd E_3207_Stratford Place_Victoria_60411</v>
      </c>
      <c r="L8022" s="104" t="s">
        <v>22253</v>
      </c>
      <c r="N8022" s="1">
        <f t="shared" si="622"/>
        <v>60411</v>
      </c>
    </row>
    <row r="8023" spans="1:14" x14ac:dyDescent="0.3">
      <c r="A8023" s="1">
        <v>30412</v>
      </c>
      <c r="B8023" s="16" t="s">
        <v>11935</v>
      </c>
      <c r="C8023" s="15">
        <v>1810</v>
      </c>
      <c r="D8023" s="16" t="s">
        <v>11936</v>
      </c>
      <c r="E8023" s="17" t="s">
        <v>2525</v>
      </c>
      <c r="F8023" t="str">
        <f t="shared" si="619"/>
        <v>Colorado</v>
      </c>
      <c r="G8023" t="str">
        <f t="shared" si="620"/>
        <v>Colorado1810Victoria</v>
      </c>
      <c r="H8023" t="s">
        <v>38878</v>
      </c>
      <c r="I8023" t="s">
        <v>30286</v>
      </c>
      <c r="J8023" t="str">
        <f t="shared" si="621"/>
        <v>E:\PropInv\MF</v>
      </c>
      <c r="K8023" s="103" t="str">
        <f>HYPERLINK("E:\PropInv\MF\Victoria\Colorado E_1810_Carriage Park_Victoria_60412","Colorado E_1810_Carriage Park_Victoria_60412" )</f>
        <v>Colorado E_1810_Carriage Park_Victoria_60412</v>
      </c>
      <c r="L8023" s="104" t="s">
        <v>22253</v>
      </c>
      <c r="N8023" s="1">
        <f t="shared" si="622"/>
        <v>60412</v>
      </c>
    </row>
    <row r="8024" spans="1:14" x14ac:dyDescent="0.3">
      <c r="A8024" s="1">
        <v>30413</v>
      </c>
      <c r="B8024" s="16" t="s">
        <v>11937</v>
      </c>
      <c r="C8024" s="15">
        <v>607</v>
      </c>
      <c r="D8024" s="16" t="s">
        <v>11938</v>
      </c>
      <c r="E8024" s="17" t="s">
        <v>2525</v>
      </c>
      <c r="F8024" t="str">
        <f t="shared" si="619"/>
        <v>Fillmore</v>
      </c>
      <c r="G8024" t="str">
        <f t="shared" si="620"/>
        <v>Fillmore607Victoria</v>
      </c>
      <c r="H8024" t="s">
        <v>38879</v>
      </c>
      <c r="I8024" t="s">
        <v>30287</v>
      </c>
      <c r="J8024" t="str">
        <f t="shared" si="621"/>
        <v>E:\PropInv\MF</v>
      </c>
      <c r="K8024" s="103" t="str">
        <f>HYPERLINK("E:\PropInv\MF\Victoria\Fillmore Ave_607_Sage Creek_Victoria_60413","Fillmore Ave_607_Sage Creek_Victoria_60413" )</f>
        <v>Fillmore Ave_607_Sage Creek_Victoria_60413</v>
      </c>
      <c r="L8024" s="104" t="s">
        <v>22253</v>
      </c>
      <c r="N8024" s="1">
        <f t="shared" si="622"/>
        <v>60413</v>
      </c>
    </row>
    <row r="8025" spans="1:14" x14ac:dyDescent="0.3">
      <c r="A8025" s="1">
        <v>30414</v>
      </c>
      <c r="B8025" s="16" t="s">
        <v>11939</v>
      </c>
      <c r="C8025" s="15">
        <v>2107</v>
      </c>
      <c r="D8025" s="16" t="s">
        <v>11940</v>
      </c>
      <c r="E8025" s="17" t="s">
        <v>2525</v>
      </c>
      <c r="F8025" t="str">
        <f t="shared" si="619"/>
        <v>Ben</v>
      </c>
      <c r="G8025" t="str">
        <f t="shared" si="620"/>
        <v>Ben2107Victoria</v>
      </c>
      <c r="H8025" t="s">
        <v>38880</v>
      </c>
      <c r="I8025" t="s">
        <v>30288</v>
      </c>
      <c r="J8025" t="str">
        <f t="shared" si="621"/>
        <v>E:\PropInv\MF</v>
      </c>
      <c r="K8025" s="103" t="str">
        <f>HYPERLINK("E:\PropInv\MF\Victoria\Ben Jordan St N_2107_Town Park Apts_Victoria_60414","Ben Jordan St N_2107_Town Park Apts_Victoria_60414" )</f>
        <v>Ben Jordan St N_2107_Town Park Apts_Victoria_60414</v>
      </c>
      <c r="L8025" s="104" t="s">
        <v>22253</v>
      </c>
      <c r="N8025" s="1">
        <f t="shared" si="622"/>
        <v>60414</v>
      </c>
    </row>
    <row r="8026" spans="1:14" x14ac:dyDescent="0.3">
      <c r="A8026" s="1">
        <v>30415</v>
      </c>
      <c r="B8026" s="16" t="s">
        <v>11941</v>
      </c>
      <c r="C8026" s="15">
        <v>2008</v>
      </c>
      <c r="D8026" s="16" t="s">
        <v>11942</v>
      </c>
      <c r="E8026" s="17" t="s">
        <v>2525</v>
      </c>
      <c r="F8026" t="str">
        <f t="shared" si="619"/>
        <v>Sam</v>
      </c>
      <c r="G8026" t="str">
        <f t="shared" si="620"/>
        <v>Sam2008Victoria</v>
      </c>
      <c r="H8026" t="s">
        <v>38881</v>
      </c>
      <c r="I8026" t="s">
        <v>30289</v>
      </c>
      <c r="J8026" t="str">
        <f t="shared" si="621"/>
        <v>E:\PropInv\MF</v>
      </c>
      <c r="K8026" s="103" t="str">
        <f>HYPERLINK("E:\PropInv\MF\Victoria\Sam Houston_2008_Fox Run Apts_Victoria_60415","Sam Houston_2008_Fox Run Apts_Victoria_60415" )</f>
        <v>Sam Houston_2008_Fox Run Apts_Victoria_60415</v>
      </c>
      <c r="L8026" s="104" t="s">
        <v>22253</v>
      </c>
      <c r="N8026" s="1">
        <f t="shared" si="622"/>
        <v>60415</v>
      </c>
    </row>
    <row r="8027" spans="1:14" x14ac:dyDescent="0.3">
      <c r="A8027" s="1">
        <v>30416</v>
      </c>
      <c r="B8027" s="16" t="s">
        <v>11943</v>
      </c>
      <c r="C8027" s="15">
        <v>1906</v>
      </c>
      <c r="D8027" s="16" t="s">
        <v>11944</v>
      </c>
      <c r="E8027" s="17" t="s">
        <v>2525</v>
      </c>
      <c r="F8027" t="str">
        <f t="shared" si="619"/>
        <v>Sam</v>
      </c>
      <c r="G8027" t="str">
        <f t="shared" si="620"/>
        <v>Sam1906Victoria</v>
      </c>
      <c r="H8027" t="s">
        <v>38882</v>
      </c>
      <c r="I8027" t="s">
        <v>30290</v>
      </c>
      <c r="J8027" t="str">
        <f t="shared" si="621"/>
        <v>E:\PropInv\MF</v>
      </c>
      <c r="K8027" s="103" t="str">
        <f>HYPERLINK("E:\PropInv\MF\Victoria\Sam Houston Dr_1906_Mosswood_Victoria_60416","Sam Houston Dr_1906_Mosswood_Victoria_60416" )</f>
        <v>Sam Houston Dr_1906_Mosswood_Victoria_60416</v>
      </c>
      <c r="L8027" s="104" t="s">
        <v>22253</v>
      </c>
      <c r="N8027" s="1">
        <f t="shared" si="622"/>
        <v>60416</v>
      </c>
    </row>
    <row r="8028" spans="1:14" x14ac:dyDescent="0.3">
      <c r="A8028" s="1">
        <v>30417</v>
      </c>
      <c r="B8028" s="16" t="s">
        <v>11945</v>
      </c>
      <c r="C8028" s="15">
        <v>1701</v>
      </c>
      <c r="D8028" s="16" t="s">
        <v>11946</v>
      </c>
      <c r="E8028" s="17" t="s">
        <v>2525</v>
      </c>
      <c r="F8028" t="str">
        <f t="shared" si="619"/>
        <v>Victoria</v>
      </c>
      <c r="G8028" t="str">
        <f t="shared" si="620"/>
        <v>Victoria1701Victoria</v>
      </c>
      <c r="H8028" t="s">
        <v>38883</v>
      </c>
      <c r="I8028" t="s">
        <v>30291</v>
      </c>
      <c r="J8028" t="str">
        <f t="shared" si="621"/>
        <v>E:\PropInv\MF</v>
      </c>
      <c r="K8028" s="103" t="str">
        <f>HYPERLINK("E:\PropInv\MF\Victoria\Victoria Station Dr_1701_Victoria Station Apts_Victoria_60417","Victoria Station Dr_1701_Victoria Station Apts_Victoria_60417" )</f>
        <v>Victoria Station Dr_1701_Victoria Station Apts_Victoria_60417</v>
      </c>
      <c r="L8028" s="104" t="s">
        <v>22253</v>
      </c>
      <c r="N8028" s="1">
        <f t="shared" si="622"/>
        <v>60417</v>
      </c>
    </row>
    <row r="8029" spans="1:14" x14ac:dyDescent="0.3">
      <c r="A8029" s="1">
        <v>30418</v>
      </c>
      <c r="B8029" s="37" t="s">
        <v>11947</v>
      </c>
      <c r="C8029" s="38">
        <v>604</v>
      </c>
      <c r="D8029" s="19" t="s">
        <v>2497</v>
      </c>
      <c r="E8029" s="39" t="s">
        <v>11948</v>
      </c>
      <c r="F8029" t="str">
        <f t="shared" si="619"/>
        <v>Mckinney</v>
      </c>
      <c r="G8029" t="str">
        <f t="shared" si="620"/>
        <v>Mckinney604Mexia</v>
      </c>
      <c r="H8029" t="s">
        <v>38884</v>
      </c>
      <c r="I8029" t="s">
        <v>30292</v>
      </c>
      <c r="J8029" t="str">
        <f t="shared" si="621"/>
        <v>E:\PropInv\MF</v>
      </c>
      <c r="K8029" s="103" t="str">
        <f>HYPERLINK("E:\PropInv\MF\Mexia\Mckinney S_604_NF_Mexia_60418","Mckinney S_604_NF_Mexia_60418" )</f>
        <v>Mckinney S_604_NF_Mexia_60418</v>
      </c>
      <c r="L8029" s="104" t="s">
        <v>22253</v>
      </c>
      <c r="N8029" s="1">
        <f t="shared" si="622"/>
        <v>60418</v>
      </c>
    </row>
    <row r="8030" spans="1:14" x14ac:dyDescent="0.3">
      <c r="A8030" s="1">
        <v>30419</v>
      </c>
      <c r="B8030" s="19" t="s">
        <v>11949</v>
      </c>
      <c r="C8030" s="18">
        <v>2513</v>
      </c>
      <c r="D8030" s="19" t="s">
        <v>11950</v>
      </c>
      <c r="E8030" s="20" t="s">
        <v>4707</v>
      </c>
      <c r="F8030" t="str">
        <f t="shared" si="619"/>
        <v>3rd</v>
      </c>
      <c r="G8030" t="str">
        <f t="shared" si="620"/>
        <v>3rd2513Waco</v>
      </c>
      <c r="H8030" t="s">
        <v>38885</v>
      </c>
      <c r="I8030" t="s">
        <v>30293</v>
      </c>
      <c r="J8030" t="str">
        <f t="shared" si="621"/>
        <v>E:\PropInv\MF</v>
      </c>
      <c r="K8030" s="103" t="str">
        <f>HYPERLINK("E:\PropInv\MF\Waco\3rd S_2513_University Woods I &amp; II_Waco_60419","3rd S_2513_University Woods I &amp; II_Waco_60419" )</f>
        <v>3rd S_2513_University Woods I &amp; II_Waco_60419</v>
      </c>
      <c r="L8030" s="104" t="s">
        <v>22253</v>
      </c>
      <c r="N8030" s="1">
        <f t="shared" si="622"/>
        <v>60419</v>
      </c>
    </row>
    <row r="8031" spans="1:14" x14ac:dyDescent="0.3">
      <c r="A8031" s="1">
        <v>30420</v>
      </c>
      <c r="B8031" s="19" t="s">
        <v>11951</v>
      </c>
      <c r="C8031" s="18">
        <v>400</v>
      </c>
      <c r="D8031" s="19" t="s">
        <v>11952</v>
      </c>
      <c r="E8031" s="39" t="s">
        <v>4707</v>
      </c>
      <c r="F8031" t="str">
        <f t="shared" si="619"/>
        <v>Austin</v>
      </c>
      <c r="G8031" t="str">
        <f t="shared" si="620"/>
        <v>Austin400Waco</v>
      </c>
      <c r="H8031" t="s">
        <v>38886</v>
      </c>
      <c r="I8031" t="s">
        <v>30294</v>
      </c>
      <c r="J8031" t="str">
        <f t="shared" si="621"/>
        <v>E:\PropInv\MF</v>
      </c>
      <c r="K8031" s="103" t="str">
        <f>HYPERLINK("E:\PropInv\MF\Waco\Austin Ave_400_Former Regis-St. Elizabeth_Waco_60420","Austin Ave_400_Former Regis-St. Elizabeth_Waco_60420" )</f>
        <v>Austin Ave_400_Former Regis-St. Elizabeth_Waco_60420</v>
      </c>
      <c r="L8031" s="104" t="s">
        <v>22253</v>
      </c>
      <c r="N8031" s="1">
        <f t="shared" si="622"/>
        <v>60420</v>
      </c>
    </row>
    <row r="8032" spans="1:14" x14ac:dyDescent="0.3">
      <c r="A8032" s="1">
        <v>30421</v>
      </c>
      <c r="B8032" s="19" t="s">
        <v>11953</v>
      </c>
      <c r="C8032" s="18">
        <v>5210</v>
      </c>
      <c r="D8032" s="19" t="s">
        <v>11954</v>
      </c>
      <c r="E8032" s="39" t="s">
        <v>4707</v>
      </c>
      <c r="F8032" t="str">
        <f t="shared" si="619"/>
        <v>Bagby</v>
      </c>
      <c r="G8032" t="str">
        <f t="shared" si="620"/>
        <v>Bagby5210Waco</v>
      </c>
      <c r="H8032" t="s">
        <v>38887</v>
      </c>
      <c r="I8032" t="s">
        <v>30295</v>
      </c>
      <c r="J8032" t="str">
        <f t="shared" si="621"/>
        <v>E:\PropInv\MF</v>
      </c>
      <c r="K8032" s="103" t="str">
        <f>HYPERLINK("E:\PropInv\MF\Waco\Bagby Ave_5210_The Residence at Central Texas Marketplace_Waco_60421","Bagby Ave_5210_The Residence at Central Texas Marketplace_Waco_60421" )</f>
        <v>Bagby Ave_5210_The Residence at Central Texas Marketplace_Waco_60421</v>
      </c>
      <c r="L8032" s="104" t="s">
        <v>22253</v>
      </c>
      <c r="N8032" s="1">
        <f t="shared" si="622"/>
        <v>60421</v>
      </c>
    </row>
    <row r="8033" spans="1:14" x14ac:dyDescent="0.3">
      <c r="A8033" s="1">
        <v>30422</v>
      </c>
      <c r="B8033" s="19" t="s">
        <v>11955</v>
      </c>
      <c r="C8033" s="18">
        <v>9900</v>
      </c>
      <c r="D8033" s="19" t="s">
        <v>22286</v>
      </c>
      <c r="E8033" s="20" t="s">
        <v>4707</v>
      </c>
      <c r="F8033" t="str">
        <f t="shared" si="619"/>
        <v>China</v>
      </c>
      <c r="G8033" t="str">
        <f t="shared" si="620"/>
        <v>China9900Waco</v>
      </c>
      <c r="H8033" t="s">
        <v>38888</v>
      </c>
      <c r="I8033" t="s">
        <v>30296</v>
      </c>
      <c r="J8033" t="str">
        <f t="shared" si="621"/>
        <v>E:\PropInv\MF</v>
      </c>
      <c r="K8033" s="103" t="str">
        <f>HYPERLINK("E:\PropInv\MF\Waco\China Spring Rd_9900_The Riviera Apts_Waco_60422","China Spring Rd_9900_The Riviera Apts_Waco_60422" )</f>
        <v>China Spring Rd_9900_The Riviera Apts_Waco_60422</v>
      </c>
      <c r="L8033" s="104" t="s">
        <v>22253</v>
      </c>
      <c r="N8033" s="1">
        <f t="shared" si="622"/>
        <v>60422</v>
      </c>
    </row>
    <row r="8034" spans="1:14" x14ac:dyDescent="0.3">
      <c r="A8034" s="1">
        <v>30423</v>
      </c>
      <c r="B8034" s="19" t="s">
        <v>11956</v>
      </c>
      <c r="C8034" s="18">
        <v>1704</v>
      </c>
      <c r="D8034" s="19" t="s">
        <v>11957</v>
      </c>
      <c r="E8034" s="39" t="s">
        <v>4707</v>
      </c>
      <c r="F8034" t="str">
        <f t="shared" si="619"/>
        <v>Daughtry</v>
      </c>
      <c r="G8034" t="str">
        <f t="shared" si="620"/>
        <v>Daughtry1704Waco</v>
      </c>
      <c r="H8034" t="s">
        <v>38889</v>
      </c>
      <c r="I8034" t="s">
        <v>19570</v>
      </c>
      <c r="J8034" t="str">
        <f t="shared" si="621"/>
        <v>E:\PropInv\MF</v>
      </c>
      <c r="K8034" s="103" t="str">
        <f>HYPERLINK("E:\PropInv\MF\Waco\Daughtry Ave_1704_Legacy Point Condominiums_Waco_60423","Daughtry Ave_1704_Legacy Point Condominiums_Waco_60423" )</f>
        <v>Daughtry Ave_1704_Legacy Point Condominiums_Waco_60423</v>
      </c>
      <c r="L8034" s="104" t="s">
        <v>22253</v>
      </c>
      <c r="N8034" s="1">
        <f t="shared" si="622"/>
        <v>60423</v>
      </c>
    </row>
    <row r="8035" spans="1:14" x14ac:dyDescent="0.3">
      <c r="A8035" s="1">
        <v>30424</v>
      </c>
      <c r="B8035" s="19" t="s">
        <v>11958</v>
      </c>
      <c r="C8035" s="18">
        <v>5100</v>
      </c>
      <c r="D8035" s="19" t="s">
        <v>11959</v>
      </c>
      <c r="E8035" s="39" t="s">
        <v>4707</v>
      </c>
      <c r="F8035" t="str">
        <f t="shared" si="619"/>
        <v>Hawthorne</v>
      </c>
      <c r="G8035" t="str">
        <f t="shared" si="620"/>
        <v>Hawthorne5100Waco</v>
      </c>
      <c r="H8035" t="s">
        <v>38890</v>
      </c>
      <c r="I8035" t="s">
        <v>30297</v>
      </c>
      <c r="J8035" t="str">
        <f t="shared" si="621"/>
        <v>E:\PropInv\MF</v>
      </c>
      <c r="K8035" s="103" t="str">
        <f>HYPERLINK("E:\PropInv\MF\Waco\Hawthorne Dr_5100_Ashton Oaks Apts_Waco_60424","Hawthorne Dr_5100_Ashton Oaks Apts_Waco_60424" )</f>
        <v>Hawthorne Dr_5100_Ashton Oaks Apts_Waco_60424</v>
      </c>
      <c r="L8035" s="104" t="s">
        <v>22253</v>
      </c>
      <c r="N8035" s="1">
        <f t="shared" si="622"/>
        <v>60424</v>
      </c>
    </row>
    <row r="8036" spans="1:14" x14ac:dyDescent="0.3">
      <c r="A8036" s="1">
        <v>30425</v>
      </c>
      <c r="B8036" s="16" t="s">
        <v>11960</v>
      </c>
      <c r="C8036" s="15">
        <v>4722</v>
      </c>
      <c r="D8036" s="16" t="s">
        <v>11961</v>
      </c>
      <c r="E8036" s="33" t="s">
        <v>4707</v>
      </c>
      <c r="F8036" t="str">
        <f t="shared" si="619"/>
        <v>Hodde</v>
      </c>
      <c r="G8036" t="str">
        <f t="shared" si="620"/>
        <v>Hodde4722Waco</v>
      </c>
      <c r="H8036" t="s">
        <v>38891</v>
      </c>
      <c r="I8036" t="s">
        <v>30298</v>
      </c>
      <c r="J8036" t="str">
        <f t="shared" si="621"/>
        <v>E:\PropInv\MF</v>
      </c>
      <c r="K8036" s="103" t="str">
        <f>HYPERLINK("E:\PropInv\MF\Waco\Hodde Dr_4722_Moderno Vivo Apts_Waco_60425","Hodde Dr_4722_Moderno Vivo Apts_Waco_60425" )</f>
        <v>Hodde Dr_4722_Moderno Vivo Apts_Waco_60425</v>
      </c>
      <c r="L8036" s="104" t="s">
        <v>22253</v>
      </c>
      <c r="N8036" s="1">
        <f t="shared" si="622"/>
        <v>60425</v>
      </c>
    </row>
    <row r="8037" spans="1:14" x14ac:dyDescent="0.3">
      <c r="A8037" s="1">
        <v>30426</v>
      </c>
      <c r="B8037" s="16" t="s">
        <v>11962</v>
      </c>
      <c r="C8037" s="15">
        <v>1600</v>
      </c>
      <c r="D8037" s="16" t="s">
        <v>11963</v>
      </c>
      <c r="E8037" s="33" t="s">
        <v>4707</v>
      </c>
      <c r="F8037" t="str">
        <f t="shared" si="619"/>
        <v>Lake</v>
      </c>
      <c r="G8037" t="str">
        <f t="shared" si="620"/>
        <v>Lake1600Waco</v>
      </c>
      <c r="H8037" t="s">
        <v>38892</v>
      </c>
      <c r="I8037" t="s">
        <v>30299</v>
      </c>
      <c r="J8037" t="str">
        <f t="shared" si="621"/>
        <v>E:\PropInv\MF</v>
      </c>
      <c r="K8037" s="103" t="str">
        <f>HYPERLINK("E:\PropInv\MF\Waco\Lake Shore Dr_1600_Lakeshore North_Waco_60426","Lake Shore Dr_1600_Lakeshore North_Waco_60426" )</f>
        <v>Lake Shore Dr_1600_Lakeshore North_Waco_60426</v>
      </c>
      <c r="L8037" s="104" t="s">
        <v>22253</v>
      </c>
      <c r="N8037" s="1">
        <f t="shared" si="622"/>
        <v>60426</v>
      </c>
    </row>
    <row r="8038" spans="1:14" x14ac:dyDescent="0.3">
      <c r="A8038" s="1">
        <v>30427</v>
      </c>
      <c r="B8038" s="16" t="s">
        <v>11964</v>
      </c>
      <c r="C8038" s="15">
        <v>620</v>
      </c>
      <c r="D8038" s="16" t="s">
        <v>11965</v>
      </c>
      <c r="E8038" s="33" t="s">
        <v>4707</v>
      </c>
      <c r="F8038" t="str">
        <f t="shared" si="619"/>
        <v>Hewitt</v>
      </c>
      <c r="G8038" t="str">
        <f t="shared" si="620"/>
        <v>Hewitt620Waco</v>
      </c>
      <c r="H8038" t="s">
        <v>38893</v>
      </c>
      <c r="I8038" t="s">
        <v>30300</v>
      </c>
      <c r="J8038" t="str">
        <f t="shared" si="621"/>
        <v>E:\PropInv\MF</v>
      </c>
      <c r="K8038" s="103" t="str">
        <f>HYPERLINK("E:\PropInv\MF\Waco\Hewitt Dr N_620_Four Seasons_Waco_60427","Hewitt Dr N_620_Four Seasons_Waco_60427" )</f>
        <v>Hewitt Dr N_620_Four Seasons_Waco_60427</v>
      </c>
      <c r="L8038" s="104" t="s">
        <v>22253</v>
      </c>
      <c r="N8038" s="1">
        <f t="shared" si="622"/>
        <v>60427</v>
      </c>
    </row>
    <row r="8039" spans="1:14" x14ac:dyDescent="0.3">
      <c r="A8039" s="1">
        <v>30428</v>
      </c>
      <c r="B8039" s="16" t="s">
        <v>11964</v>
      </c>
      <c r="C8039" s="15">
        <v>509</v>
      </c>
      <c r="D8039" s="16" t="s">
        <v>4419</v>
      </c>
      <c r="E8039" s="33" t="s">
        <v>4707</v>
      </c>
      <c r="F8039" t="str">
        <f t="shared" si="619"/>
        <v>Hewitt</v>
      </c>
      <c r="G8039" t="str">
        <f t="shared" si="620"/>
        <v>Hewitt509Waco</v>
      </c>
      <c r="H8039" t="s">
        <v>38894</v>
      </c>
      <c r="I8039" t="s">
        <v>30301</v>
      </c>
      <c r="J8039" t="str">
        <f t="shared" si="621"/>
        <v>E:\PropInv\MF</v>
      </c>
      <c r="K8039" s="103" t="str">
        <f>HYPERLINK("E:\PropInv\MF\Waco\Hewitt Dr N_509_Meadow Park_Waco_60428","Hewitt Dr N_509_Meadow Park_Waco_60428" )</f>
        <v>Hewitt Dr N_509_Meadow Park_Waco_60428</v>
      </c>
      <c r="L8039" s="104" t="s">
        <v>22253</v>
      </c>
      <c r="N8039" s="1">
        <f t="shared" si="622"/>
        <v>60428</v>
      </c>
    </row>
    <row r="8040" spans="1:14" x14ac:dyDescent="0.3">
      <c r="A8040" s="1">
        <v>30429</v>
      </c>
      <c r="B8040" s="16" t="s">
        <v>11966</v>
      </c>
      <c r="C8040" s="15">
        <v>1001</v>
      </c>
      <c r="D8040" s="16" t="s">
        <v>11967</v>
      </c>
      <c r="E8040" s="17" t="s">
        <v>4707</v>
      </c>
      <c r="F8040" t="str">
        <f t="shared" si="619"/>
        <v>Valley</v>
      </c>
      <c r="G8040" t="str">
        <f t="shared" si="620"/>
        <v>Valley1001Waco</v>
      </c>
      <c r="H8040" t="s">
        <v>38895</v>
      </c>
      <c r="I8040" t="s">
        <v>30302</v>
      </c>
      <c r="J8040" t="str">
        <f t="shared" si="621"/>
        <v>E:\PropInv\MF</v>
      </c>
      <c r="K8040" s="103" t="str">
        <f>HYPERLINK("E:\PropInv\MF\Waco\Valley Mills Dr N_1001_Valley Terrace Apts_Waco_60429","Valley Mills Dr N_1001_Valley Terrace Apts_Waco_60429" )</f>
        <v>Valley Mills Dr N_1001_Valley Terrace Apts_Waco_60429</v>
      </c>
      <c r="L8040" s="104" t="s">
        <v>22253</v>
      </c>
      <c r="N8040" s="1">
        <f t="shared" si="622"/>
        <v>60429</v>
      </c>
    </row>
    <row r="8041" spans="1:14" x14ac:dyDescent="0.3">
      <c r="A8041" s="1">
        <v>30430</v>
      </c>
      <c r="B8041" s="16" t="s">
        <v>11968</v>
      </c>
      <c r="C8041" s="15">
        <v>728</v>
      </c>
      <c r="D8041" s="16" t="s">
        <v>11969</v>
      </c>
      <c r="E8041" s="33" t="s">
        <v>4707</v>
      </c>
      <c r="F8041" t="str">
        <f t="shared" si="619"/>
        <v>Neil</v>
      </c>
      <c r="G8041" t="str">
        <f t="shared" si="620"/>
        <v>Neil728Waco</v>
      </c>
      <c r="H8041" t="s">
        <v>38896</v>
      </c>
      <c r="I8041" t="s">
        <v>30303</v>
      </c>
      <c r="J8041" t="str">
        <f t="shared" si="621"/>
        <v>E:\PropInv\MF</v>
      </c>
      <c r="K8041" s="103" t="str">
        <f>HYPERLINK("E:\PropInv\MF\Waco\Neil Dr_728_Villa Victoria_Waco_60430","Neil Dr_728_Villa Victoria_Waco_60430" )</f>
        <v>Neil Dr_728_Villa Victoria_Waco_60430</v>
      </c>
      <c r="L8041" s="104" t="s">
        <v>22253</v>
      </c>
      <c r="N8041" s="1">
        <f t="shared" si="622"/>
        <v>60430</v>
      </c>
    </row>
    <row r="8042" spans="1:14" x14ac:dyDescent="0.3">
      <c r="A8042" s="1">
        <v>30431</v>
      </c>
      <c r="B8042" s="16" t="s">
        <v>11970</v>
      </c>
      <c r="C8042" s="15">
        <v>410</v>
      </c>
      <c r="D8042" s="16" t="s">
        <v>11971</v>
      </c>
      <c r="E8042" s="33" t="s">
        <v>4707</v>
      </c>
      <c r="F8042" t="str">
        <f t="shared" si="619"/>
        <v>Owen</v>
      </c>
      <c r="G8042" t="str">
        <f t="shared" si="620"/>
        <v>Owen410Waco</v>
      </c>
      <c r="H8042" t="s">
        <v>38897</v>
      </c>
      <c r="I8042" t="s">
        <v>30304</v>
      </c>
      <c r="J8042" t="str">
        <f t="shared" si="621"/>
        <v>E:\PropInv\MF</v>
      </c>
      <c r="K8042" s="103" t="str">
        <f>HYPERLINK("E:\PropInv\MF\Waco\Owen Ln_410_Baxter Crossing_Waco_60431","Owen Ln_410_Baxter Crossing_Waco_60431" )</f>
        <v>Owen Ln_410_Baxter Crossing_Waco_60431</v>
      </c>
      <c r="L8042" s="104" t="s">
        <v>22253</v>
      </c>
      <c r="N8042" s="1">
        <f t="shared" si="622"/>
        <v>60431</v>
      </c>
    </row>
    <row r="8043" spans="1:14" x14ac:dyDescent="0.3">
      <c r="A8043" s="1">
        <v>30432</v>
      </c>
      <c r="B8043" s="16" t="s">
        <v>11970</v>
      </c>
      <c r="C8043" s="15">
        <v>416</v>
      </c>
      <c r="D8043" s="16" t="s">
        <v>11972</v>
      </c>
      <c r="E8043" s="33" t="s">
        <v>4707</v>
      </c>
      <c r="F8043" t="str">
        <f t="shared" si="619"/>
        <v>Owen</v>
      </c>
      <c r="G8043" t="str">
        <f t="shared" si="620"/>
        <v>Owen416Waco</v>
      </c>
      <c r="H8043" t="s">
        <v>38898</v>
      </c>
      <c r="I8043" t="s">
        <v>30305</v>
      </c>
      <c r="J8043" t="str">
        <f t="shared" si="621"/>
        <v>E:\PropInv\MF</v>
      </c>
      <c r="K8043" s="103" t="str">
        <f>HYPERLINK("E:\PropInv\MF\Waco\Owen Ln_416_Fleetwood Square_Waco_60432","Owen Ln_416_Fleetwood Square_Waco_60432" )</f>
        <v>Owen Ln_416_Fleetwood Square_Waco_60432</v>
      </c>
      <c r="L8043" s="104" t="s">
        <v>22253</v>
      </c>
      <c r="N8043" s="1">
        <f t="shared" si="622"/>
        <v>60432</v>
      </c>
    </row>
    <row r="8044" spans="1:14" x14ac:dyDescent="0.3">
      <c r="A8044" s="1">
        <v>30433</v>
      </c>
      <c r="B8044" s="16" t="s">
        <v>11973</v>
      </c>
      <c r="C8044" s="15">
        <v>1800</v>
      </c>
      <c r="D8044" s="16" t="s">
        <v>11974</v>
      </c>
      <c r="E8044" s="33" t="s">
        <v>4707</v>
      </c>
      <c r="F8044" t="str">
        <f t="shared" si="619"/>
        <v>Primrose</v>
      </c>
      <c r="G8044" t="str">
        <f t="shared" si="620"/>
        <v>Primrose1800Waco</v>
      </c>
      <c r="H8044" t="s">
        <v>38899</v>
      </c>
      <c r="I8044" t="s">
        <v>30306</v>
      </c>
      <c r="J8044" t="str">
        <f t="shared" si="621"/>
        <v>E:\PropInv\MF</v>
      </c>
      <c r="K8044" s="103" t="str">
        <f>HYPERLINK("E:\PropInv\MF\Waco\Primrose Dr_1800_Arlington Farms_Waco_60433","Primrose Dr_1800_Arlington Farms_Waco_60433" )</f>
        <v>Primrose Dr_1800_Arlington Farms_Waco_60433</v>
      </c>
      <c r="L8044" s="104" t="s">
        <v>22253</v>
      </c>
      <c r="N8044" s="1">
        <f t="shared" si="622"/>
        <v>60433</v>
      </c>
    </row>
    <row r="8045" spans="1:14" x14ac:dyDescent="0.3">
      <c r="A8045" s="1">
        <v>30434</v>
      </c>
      <c r="B8045" s="19" t="s">
        <v>11975</v>
      </c>
      <c r="C8045" s="38">
        <v>800</v>
      </c>
      <c r="D8045" s="19" t="s">
        <v>11976</v>
      </c>
      <c r="E8045" s="39" t="s">
        <v>4707</v>
      </c>
      <c r="F8045" t="str">
        <f t="shared" si="619"/>
        <v>Rambler</v>
      </c>
      <c r="G8045" t="str">
        <f t="shared" si="620"/>
        <v>Rambler800Waco</v>
      </c>
      <c r="H8045" t="s">
        <v>38900</v>
      </c>
      <c r="I8045" t="s">
        <v>30307</v>
      </c>
      <c r="J8045" t="str">
        <f t="shared" si="621"/>
        <v>E:\PropInv\MF</v>
      </c>
      <c r="K8045" s="103" t="str">
        <f>HYPERLINK("E:\PropInv\MF\Waco\Rambler Dr_800_Oaktree Apts_Waco_60434","Rambler Dr_800_Oaktree Apts_Waco_60434" )</f>
        <v>Rambler Dr_800_Oaktree Apts_Waco_60434</v>
      </c>
      <c r="L8045" s="104" t="s">
        <v>22253</v>
      </c>
      <c r="N8045" s="1">
        <f t="shared" si="622"/>
        <v>60434</v>
      </c>
    </row>
    <row r="8046" spans="1:14" x14ac:dyDescent="0.3">
      <c r="A8046" s="1">
        <v>30436</v>
      </c>
      <c r="B8046" s="19" t="s">
        <v>11978</v>
      </c>
      <c r="C8046" s="18">
        <v>344</v>
      </c>
      <c r="D8046" s="19" t="s">
        <v>11979</v>
      </c>
      <c r="E8046" s="39" t="s">
        <v>4707</v>
      </c>
      <c r="F8046" t="str">
        <f t="shared" si="619"/>
        <v>Richland</v>
      </c>
      <c r="G8046" t="str">
        <f t="shared" si="620"/>
        <v>Richland344Waco</v>
      </c>
      <c r="H8046" t="s">
        <v>38901</v>
      </c>
      <c r="I8046" t="s">
        <v>30308</v>
      </c>
      <c r="J8046" t="str">
        <f t="shared" si="621"/>
        <v>E:\PropInv\MF</v>
      </c>
      <c r="K8046" s="103" t="str">
        <f>HYPERLINK("E:\PropInv\MF\Waco\Richland Dr_344_Landmark Apts_Waco_60436","Richland Dr_344_Landmark Apts_Waco_60436" )</f>
        <v>Richland Dr_344_Landmark Apts_Waco_60436</v>
      </c>
      <c r="L8046" s="104" t="s">
        <v>22253</v>
      </c>
      <c r="N8046" s="1">
        <f t="shared" si="622"/>
        <v>60436</v>
      </c>
    </row>
    <row r="8047" spans="1:14" x14ac:dyDescent="0.3">
      <c r="A8047" s="1">
        <v>30437</v>
      </c>
      <c r="B8047" s="19" t="s">
        <v>11980</v>
      </c>
      <c r="C8047" s="18">
        <v>1901</v>
      </c>
      <c r="D8047" s="19" t="s">
        <v>11981</v>
      </c>
      <c r="E8047" s="39" t="s">
        <v>4707</v>
      </c>
      <c r="F8047" t="str">
        <f t="shared" si="619"/>
        <v>Richter</v>
      </c>
      <c r="G8047" t="str">
        <f t="shared" si="620"/>
        <v>Richter1901Waco</v>
      </c>
      <c r="H8047" t="s">
        <v>38902</v>
      </c>
      <c r="I8047" t="s">
        <v>30309</v>
      </c>
      <c r="J8047" t="str">
        <f t="shared" si="621"/>
        <v>E:\PropInv\MF</v>
      </c>
      <c r="K8047" s="103" t="str">
        <f>HYPERLINK("E:\PropInv\MF\Waco\Richter_1901_Southwind Apts_Waco_60437","Richter_1901_Southwind Apts_Waco_60437" )</f>
        <v>Richter_1901_Southwind Apts_Waco_60437</v>
      </c>
      <c r="L8047" s="104" t="s">
        <v>22253</v>
      </c>
      <c r="N8047" s="1">
        <f t="shared" si="622"/>
        <v>60437</v>
      </c>
    </row>
    <row r="8048" spans="1:14" x14ac:dyDescent="0.3">
      <c r="A8048" s="1">
        <v>30438</v>
      </c>
      <c r="B8048" s="19" t="s">
        <v>11982</v>
      </c>
      <c r="C8048" s="38">
        <v>2425</v>
      </c>
      <c r="D8048" s="19" t="s">
        <v>11983</v>
      </c>
      <c r="E8048" s="39" t="s">
        <v>4707</v>
      </c>
      <c r="F8048" t="str">
        <f t="shared" si="619"/>
        <v>21st</v>
      </c>
      <c r="G8048" t="str">
        <f t="shared" si="620"/>
        <v>21st2425Waco</v>
      </c>
      <c r="H8048" t="s">
        <v>38903</v>
      </c>
      <c r="I8048" t="s">
        <v>30310</v>
      </c>
      <c r="J8048" t="str">
        <f t="shared" si="621"/>
        <v>E:\PropInv\MF</v>
      </c>
      <c r="K8048" s="103" t="str">
        <f>HYPERLINK("E:\PropInv\MF\Waco\21st St S_2425_Blair's Cove Apts_Waco_60438","21st St S_2425_Blair's Cove Apts_Waco_60438" )</f>
        <v>21st St S_2425_Blair's Cove Apts_Waco_60438</v>
      </c>
      <c r="L8048" s="104" t="s">
        <v>22253</v>
      </c>
      <c r="N8048" s="1">
        <f t="shared" si="622"/>
        <v>60438</v>
      </c>
    </row>
    <row r="8049" spans="1:14" x14ac:dyDescent="0.3">
      <c r="A8049" s="1">
        <v>30439</v>
      </c>
      <c r="B8049" s="19" t="s">
        <v>11984</v>
      </c>
      <c r="C8049" s="18">
        <v>219</v>
      </c>
      <c r="D8049" s="19" t="s">
        <v>11985</v>
      </c>
      <c r="E8049" s="39" t="s">
        <v>4707</v>
      </c>
      <c r="F8049" t="str">
        <f t="shared" si="619"/>
        <v>4th</v>
      </c>
      <c r="G8049" t="str">
        <f t="shared" si="620"/>
        <v>4th219Waco</v>
      </c>
      <c r="H8049" t="s">
        <v>38904</v>
      </c>
      <c r="I8049" t="s">
        <v>30311</v>
      </c>
      <c r="J8049" t="str">
        <f t="shared" si="621"/>
        <v>E:\PropInv\MF</v>
      </c>
      <c r="K8049" s="103" t="str">
        <f>HYPERLINK("E:\PropInv\MF\Waco\4th St S_219_Behrens Lofts_Waco_60439","4th St S_219_Behrens Lofts_Waco_60439" )</f>
        <v>4th St S_219_Behrens Lofts_Waco_60439</v>
      </c>
      <c r="L8049" s="104" t="s">
        <v>22253</v>
      </c>
      <c r="N8049" s="1">
        <f t="shared" si="622"/>
        <v>60439</v>
      </c>
    </row>
    <row r="8050" spans="1:14" x14ac:dyDescent="0.3">
      <c r="A8050" s="1">
        <v>30440</v>
      </c>
      <c r="B8050" s="37" t="s">
        <v>8910</v>
      </c>
      <c r="C8050" s="38">
        <v>7301</v>
      </c>
      <c r="D8050" s="19" t="s">
        <v>11986</v>
      </c>
      <c r="E8050" s="39" t="s">
        <v>4707</v>
      </c>
      <c r="F8050" t="str">
        <f t="shared" si="619"/>
        <v>Sanger</v>
      </c>
      <c r="G8050" t="str">
        <f t="shared" si="620"/>
        <v>Sanger7301Waco</v>
      </c>
      <c r="H8050" t="s">
        <v>38905</v>
      </c>
      <c r="I8050" t="s">
        <v>30312</v>
      </c>
      <c r="J8050" t="str">
        <f t="shared" si="621"/>
        <v>E:\PropInv\MF</v>
      </c>
      <c r="K8050" s="103" t="str">
        <f>HYPERLINK("E:\PropInv\MF\Waco\Sanger_7301_Madeira Apts_Waco_60440","Sanger_7301_Madeira Apts_Waco_60440" )</f>
        <v>Sanger_7301_Madeira Apts_Waco_60440</v>
      </c>
      <c r="L8050" s="104" t="s">
        <v>22253</v>
      </c>
      <c r="N8050" s="1">
        <f t="shared" si="622"/>
        <v>60440</v>
      </c>
    </row>
    <row r="8051" spans="1:14" x14ac:dyDescent="0.3">
      <c r="A8051" s="1">
        <v>30441</v>
      </c>
      <c r="B8051" s="19" t="s">
        <v>11987</v>
      </c>
      <c r="C8051" s="18">
        <v>5101</v>
      </c>
      <c r="D8051" s="19" t="s">
        <v>11988</v>
      </c>
      <c r="E8051" s="39" t="s">
        <v>4707</v>
      </c>
      <c r="F8051" t="str">
        <f t="shared" si="619"/>
        <v>Sanger</v>
      </c>
      <c r="G8051" t="str">
        <f t="shared" si="620"/>
        <v>Sanger5101Waco</v>
      </c>
      <c r="H8051" t="s">
        <v>38906</v>
      </c>
      <c r="I8051" t="s">
        <v>30313</v>
      </c>
      <c r="J8051" t="str">
        <f t="shared" si="621"/>
        <v>E:\PropInv\MF</v>
      </c>
      <c r="K8051" s="103" t="str">
        <f>HYPERLINK("E:\PropInv\MF\Waco\Sanger Ave_5101_Sandstone Apts_Waco_60441","Sanger Ave_5101_Sandstone Apts_Waco_60441" )</f>
        <v>Sanger Ave_5101_Sandstone Apts_Waco_60441</v>
      </c>
      <c r="L8051" s="104" t="s">
        <v>22253</v>
      </c>
      <c r="N8051" s="1">
        <f t="shared" si="622"/>
        <v>60441</v>
      </c>
    </row>
    <row r="8052" spans="1:14" x14ac:dyDescent="0.3">
      <c r="A8052" s="1">
        <v>30442</v>
      </c>
      <c r="B8052" s="16" t="s">
        <v>11987</v>
      </c>
      <c r="C8052" s="15">
        <v>4801</v>
      </c>
      <c r="D8052" s="16" t="s">
        <v>6845</v>
      </c>
      <c r="E8052" s="33" t="s">
        <v>4707</v>
      </c>
      <c r="F8052" t="str">
        <f t="shared" si="619"/>
        <v>Sanger</v>
      </c>
      <c r="G8052" t="str">
        <f t="shared" si="620"/>
        <v>Sanger4801Waco</v>
      </c>
      <c r="H8052" t="s">
        <v>38907</v>
      </c>
      <c r="I8052" t="s">
        <v>30314</v>
      </c>
      <c r="J8052" t="str">
        <f t="shared" si="621"/>
        <v>E:\PropInv\MF</v>
      </c>
      <c r="K8052" s="103" t="str">
        <f>HYPERLINK("E:\PropInv\MF\Waco\Sanger Ave_4801_Towne Oaks_Waco_60442","Sanger Ave_4801_Towne Oaks_Waco_60442" )</f>
        <v>Sanger Ave_4801_Towne Oaks_Waco_60442</v>
      </c>
      <c r="L8052" s="104" t="s">
        <v>22253</v>
      </c>
      <c r="N8052" s="1">
        <f t="shared" si="622"/>
        <v>60442</v>
      </c>
    </row>
    <row r="8053" spans="1:14" x14ac:dyDescent="0.3">
      <c r="A8053" s="1">
        <v>30443</v>
      </c>
      <c r="B8053" s="19" t="s">
        <v>11989</v>
      </c>
      <c r="C8053" s="18">
        <v>1601</v>
      </c>
      <c r="D8053" s="19" t="s">
        <v>11990</v>
      </c>
      <c r="E8053" s="39" t="s">
        <v>4707</v>
      </c>
      <c r="F8053" t="str">
        <f t="shared" si="619"/>
        <v>Spring</v>
      </c>
      <c r="G8053" t="str">
        <f t="shared" si="620"/>
        <v>Spring1601Waco</v>
      </c>
      <c r="H8053" t="s">
        <v>38908</v>
      </c>
      <c r="I8053" t="s">
        <v>30315</v>
      </c>
      <c r="J8053" t="str">
        <f t="shared" si="621"/>
        <v>E:\PropInv\MF</v>
      </c>
      <c r="K8053" s="103" t="str">
        <f>HYPERLINK("E:\PropInv\MF\Waco\Spring St_1601_Former Pecan Gardens_Waco_60443","Spring St_1601_Former Pecan Gardens_Waco_60443" )</f>
        <v>Spring St_1601_Former Pecan Gardens_Waco_60443</v>
      </c>
      <c r="L8053" s="104" t="s">
        <v>22253</v>
      </c>
      <c r="N8053" s="1">
        <f t="shared" si="622"/>
        <v>60443</v>
      </c>
    </row>
    <row r="8054" spans="1:14" x14ac:dyDescent="0.3">
      <c r="A8054" s="1">
        <v>30444</v>
      </c>
      <c r="B8054" s="16" t="s">
        <v>11991</v>
      </c>
      <c r="C8054" s="32">
        <v>3426</v>
      </c>
      <c r="D8054" s="16" t="s">
        <v>11992</v>
      </c>
      <c r="E8054" s="33" t="s">
        <v>4707</v>
      </c>
      <c r="F8054" t="str">
        <f t="shared" si="619"/>
        <v>Brookview</v>
      </c>
      <c r="G8054" t="str">
        <f t="shared" si="620"/>
        <v>Brookview3426Waco</v>
      </c>
      <c r="H8054" t="s">
        <v>38909</v>
      </c>
      <c r="I8054" t="s">
        <v>30316</v>
      </c>
      <c r="J8054" t="str">
        <f t="shared" si="621"/>
        <v>E:\PropInv\MF</v>
      </c>
      <c r="K8054" s="103" t="str">
        <f>HYPERLINK("E:\PropInv\MF\Waco\Brookview W_3426_Brookview Hills Apts_Waco_60444","Brookview W_3426_Brookview Hills Apts_Waco_60444" )</f>
        <v>Brookview W_3426_Brookview Hills Apts_Waco_60444</v>
      </c>
      <c r="L8054" s="104" t="s">
        <v>22253</v>
      </c>
      <c r="N8054" s="1">
        <f t="shared" si="622"/>
        <v>60444</v>
      </c>
    </row>
    <row r="8055" spans="1:14" x14ac:dyDescent="0.3">
      <c r="A8055" s="97">
        <v>30445</v>
      </c>
      <c r="B8055" s="16" t="s">
        <v>11993</v>
      </c>
      <c r="C8055" s="15">
        <v>1500</v>
      </c>
      <c r="D8055" s="16" t="s">
        <v>11994</v>
      </c>
      <c r="E8055" s="33" t="s">
        <v>4707</v>
      </c>
      <c r="F8055" t="str">
        <f t="shared" si="619"/>
        <v>Western</v>
      </c>
      <c r="G8055" t="str">
        <f t="shared" si="620"/>
        <v>Western1500Waco</v>
      </c>
      <c r="H8055" t="s">
        <v>38910</v>
      </c>
      <c r="I8055" t="s">
        <v>30317</v>
      </c>
      <c r="J8055" t="str">
        <f t="shared" si="621"/>
        <v>E:\PropInv\MF</v>
      </c>
      <c r="K8055" s="103" t="str">
        <f>HYPERLINK("E:\PropInv\MF\Waco\Western Oaks Dr_1500_Woodway Park Condominiums_Waco_60445","Western Oaks Dr_1500_Woodway Park Condominiums_Waco_60445" )</f>
        <v>Western Oaks Dr_1500_Woodway Park Condominiums_Waco_60445</v>
      </c>
      <c r="L8055" s="104" t="s">
        <v>22253</v>
      </c>
      <c r="N8055" s="1">
        <f t="shared" si="622"/>
        <v>60445</v>
      </c>
    </row>
    <row r="8056" spans="1:14" x14ac:dyDescent="0.3">
      <c r="A8056" s="1">
        <v>30446</v>
      </c>
      <c r="B8056" s="19" t="s">
        <v>2321</v>
      </c>
      <c r="C8056" s="38">
        <v>700</v>
      </c>
      <c r="D8056" s="19" t="s">
        <v>2497</v>
      </c>
      <c r="E8056" s="20" t="s">
        <v>4707</v>
      </c>
      <c r="F8056" t="str">
        <f t="shared" si="619"/>
        <v>Westview</v>
      </c>
      <c r="G8056" t="str">
        <f t="shared" si="620"/>
        <v>Westview700Waco</v>
      </c>
      <c r="H8056" t="s">
        <v>38911</v>
      </c>
      <c r="I8056" t="s">
        <v>30318</v>
      </c>
      <c r="J8056" t="str">
        <f t="shared" si="621"/>
        <v>E:\PropInv\MF</v>
      </c>
      <c r="K8056" s="103" t="str">
        <f>HYPERLINK("E:\PropInv\MF\Waco\Westview Dr_700_NF_Waco_60446","Westview Dr_700_NF_Waco_60446" )</f>
        <v>Westview Dr_700_NF_Waco_60446</v>
      </c>
      <c r="L8056" s="104" t="s">
        <v>22253</v>
      </c>
      <c r="N8056" s="1">
        <f t="shared" si="622"/>
        <v>60446</v>
      </c>
    </row>
    <row r="8057" spans="1:14" x14ac:dyDescent="0.3">
      <c r="A8057" s="1">
        <v>30447</v>
      </c>
      <c r="B8057" s="7" t="s">
        <v>1761</v>
      </c>
      <c r="C8057" s="18">
        <v>7840</v>
      </c>
      <c r="D8057" s="54" t="s">
        <v>2497</v>
      </c>
      <c r="E8057" s="20" t="s">
        <v>1832</v>
      </c>
      <c r="F8057" t="str">
        <f t="shared" si="619"/>
        <v>1960</v>
      </c>
      <c r="G8057" t="str">
        <f t="shared" si="620"/>
        <v>19607840Atascocita</v>
      </c>
      <c r="H8057" t="s">
        <v>38912</v>
      </c>
      <c r="I8057" t="s">
        <v>30319</v>
      </c>
      <c r="J8057" t="str">
        <f t="shared" si="621"/>
        <v>E:\PropInv\MF</v>
      </c>
      <c r="K8057" s="103" t="str">
        <f>HYPERLINK("E:\PropInv\MF\Atascocita\1960 FM E_7840_NF_Atascocita_60447","1960 FM E_7840_NF_Atascocita_60447" )</f>
        <v>1960 FM E_7840_NF_Atascocita_60447</v>
      </c>
      <c r="L8057" s="104" t="s">
        <v>22253</v>
      </c>
      <c r="N8057" s="1">
        <f t="shared" si="622"/>
        <v>60447</v>
      </c>
    </row>
    <row r="8058" spans="1:14" x14ac:dyDescent="0.3">
      <c r="A8058" s="1">
        <v>30448</v>
      </c>
      <c r="B8058" s="19" t="s">
        <v>1223</v>
      </c>
      <c r="C8058" s="18">
        <v>1300</v>
      </c>
      <c r="D8058" s="19" t="s">
        <v>6733</v>
      </c>
      <c r="E8058" s="20" t="s">
        <v>2609</v>
      </c>
      <c r="F8058" t="str">
        <f t="shared" si="619"/>
        <v>Northwood</v>
      </c>
      <c r="G8058" t="str">
        <f t="shared" si="620"/>
        <v>Northwood1300Baytown</v>
      </c>
      <c r="H8058" t="s">
        <v>38913</v>
      </c>
      <c r="I8058" t="s">
        <v>30320</v>
      </c>
      <c r="J8058" t="str">
        <f t="shared" si="621"/>
        <v>E:\PropInv\MF</v>
      </c>
      <c r="K8058" s="103" t="str">
        <f>HYPERLINK("E:\PropInv\MF\Baytown\Northwood_1300_Lakeview Terrace_Baytown_60448","Northwood_1300_Lakeview Terrace_Baytown_60448" )</f>
        <v>Northwood_1300_Lakeview Terrace_Baytown_60448</v>
      </c>
      <c r="L8058" s="104" t="s">
        <v>22253</v>
      </c>
      <c r="N8058" s="1">
        <f t="shared" si="622"/>
        <v>60448</v>
      </c>
    </row>
    <row r="8059" spans="1:14" x14ac:dyDescent="0.3">
      <c r="A8059" s="1">
        <v>30449</v>
      </c>
      <c r="B8059" s="19" t="s">
        <v>11995</v>
      </c>
      <c r="C8059" s="18">
        <v>813</v>
      </c>
      <c r="D8059" s="19" t="s">
        <v>22264</v>
      </c>
      <c r="E8059" s="20" t="s">
        <v>2609</v>
      </c>
      <c r="F8059" t="str">
        <f t="shared" si="619"/>
        <v>Northwood</v>
      </c>
      <c r="G8059" t="str">
        <f t="shared" si="620"/>
        <v>Northwood813Baytown</v>
      </c>
      <c r="H8059" t="s">
        <v>38914</v>
      </c>
      <c r="I8059" t="s">
        <v>30321</v>
      </c>
      <c r="J8059" t="str">
        <f t="shared" si="621"/>
        <v>E:\PropInv\MF</v>
      </c>
      <c r="K8059" s="103" t="str">
        <f>HYPERLINK("E:\PropInv\MF\Baytown\Northwood Dr_813_Bay Pointe Apts_Baytown_60449","Northwood Dr_813_Bay Pointe Apts_Baytown_60449" )</f>
        <v>Northwood Dr_813_Bay Pointe Apts_Baytown_60449</v>
      </c>
      <c r="L8059" s="104" t="s">
        <v>22253</v>
      </c>
      <c r="N8059" s="1">
        <f t="shared" si="622"/>
        <v>60449</v>
      </c>
    </row>
    <row r="8060" spans="1:14" x14ac:dyDescent="0.3">
      <c r="A8060" s="1">
        <v>30450</v>
      </c>
      <c r="B8060" s="19" t="s">
        <v>9123</v>
      </c>
      <c r="C8060" s="18">
        <v>3200</v>
      </c>
      <c r="D8060" s="19" t="s">
        <v>9752</v>
      </c>
      <c r="E8060" s="20" t="s">
        <v>8774</v>
      </c>
      <c r="F8060" t="str">
        <f t="shared" si="619"/>
        <v>Finfeather</v>
      </c>
      <c r="G8060" t="str">
        <f t="shared" si="620"/>
        <v>Finfeather3200Bryan</v>
      </c>
      <c r="H8060" t="s">
        <v>38915</v>
      </c>
      <c r="I8060" t="s">
        <v>30322</v>
      </c>
      <c r="J8060" t="str">
        <f t="shared" si="621"/>
        <v>E:\PropInv\MF</v>
      </c>
      <c r="K8060" s="103" t="str">
        <f>HYPERLINK("E:\PropInv\MF\Bryan\Finfeather Rd_3200_Avalon Apts_Bryan_60450","Finfeather Rd_3200_Avalon Apts_Bryan_60450" )</f>
        <v>Finfeather Rd_3200_Avalon Apts_Bryan_60450</v>
      </c>
      <c r="L8060" s="104" t="s">
        <v>22253</v>
      </c>
      <c r="N8060" s="1">
        <f t="shared" si="622"/>
        <v>60450</v>
      </c>
    </row>
    <row r="8061" spans="1:14" x14ac:dyDescent="0.3">
      <c r="A8061" s="1">
        <v>30451</v>
      </c>
      <c r="B8061" s="19" t="s">
        <v>11996</v>
      </c>
      <c r="C8061" s="18">
        <v>1512</v>
      </c>
      <c r="D8061" s="19" t="s">
        <v>4762</v>
      </c>
      <c r="E8061" s="20" t="s">
        <v>8774</v>
      </c>
      <c r="F8061" t="str">
        <f t="shared" si="619"/>
        <v>Hollow</v>
      </c>
      <c r="G8061" t="str">
        <f t="shared" si="620"/>
        <v>Hollow1512Bryan</v>
      </c>
      <c r="H8061" t="s">
        <v>38916</v>
      </c>
      <c r="I8061" t="s">
        <v>30323</v>
      </c>
      <c r="J8061" t="str">
        <f t="shared" si="621"/>
        <v>E:\PropInv\MF</v>
      </c>
      <c r="K8061" s="103" t="str">
        <f>HYPERLINK("E:\PropInv\MF\Bryan\Hollow Hill Dr_1512_Autumn Woods_Bryan_60451","Hollow Hill Dr_1512_Autumn Woods_Bryan_60451" )</f>
        <v>Hollow Hill Dr_1512_Autumn Woods_Bryan_60451</v>
      </c>
      <c r="L8061" s="104" t="s">
        <v>22253</v>
      </c>
      <c r="N8061" s="1">
        <f t="shared" si="622"/>
        <v>60451</v>
      </c>
    </row>
    <row r="8062" spans="1:14" x14ac:dyDescent="0.3">
      <c r="A8062" s="1">
        <v>30452</v>
      </c>
      <c r="B8062" s="19" t="s">
        <v>11997</v>
      </c>
      <c r="C8062" s="18">
        <v>208</v>
      </c>
      <c r="D8062" s="19" t="s">
        <v>11998</v>
      </c>
      <c r="E8062" s="20" t="s">
        <v>8774</v>
      </c>
      <c r="F8062" t="str">
        <f t="shared" ref="F8062:F8125" si="623">IFERROR(LEFT(B8062,FIND(" ",B8062)-1),B8062)</f>
        <v>Lynn</v>
      </c>
      <c r="G8062" t="str">
        <f t="shared" ref="G8062:G8125" si="624">F8062&amp;C8062&amp;E8062</f>
        <v>Lynn208Bryan</v>
      </c>
      <c r="H8062" t="s">
        <v>38917</v>
      </c>
      <c r="I8062" t="s">
        <v>30324</v>
      </c>
      <c r="J8062" t="str">
        <f t="shared" ref="J8062:J8125" si="625">IF(L8062="TX",Folder_Path,Folder_Path&amp;"\State_"&amp;L8062)</f>
        <v>E:\PropInv\MF</v>
      </c>
      <c r="K8062" s="103" t="str">
        <f>HYPERLINK("E:\PropInv\MF\Bryan\Lynn St_208_Costa Mesa Residences_Bryan_60452","Lynn St_208_Costa Mesa Residences_Bryan_60452" )</f>
        <v>Lynn St_208_Costa Mesa Residences_Bryan_60452</v>
      </c>
      <c r="L8062" s="104" t="s">
        <v>22253</v>
      </c>
      <c r="N8062" s="1">
        <f t="shared" si="622"/>
        <v>60452</v>
      </c>
    </row>
    <row r="8063" spans="1:14" x14ac:dyDescent="0.3">
      <c r="A8063" s="1">
        <v>30453</v>
      </c>
      <c r="B8063" s="19" t="s">
        <v>11999</v>
      </c>
      <c r="C8063" s="18">
        <v>2903</v>
      </c>
      <c r="D8063" s="19" t="s">
        <v>2603</v>
      </c>
      <c r="E8063" s="20" t="s">
        <v>8774</v>
      </c>
      <c r="F8063" t="str">
        <f t="shared" si="623"/>
        <v>Silver</v>
      </c>
      <c r="G8063" t="str">
        <f t="shared" si="624"/>
        <v>Silver2903Bryan</v>
      </c>
      <c r="H8063" t="s">
        <v>38918</v>
      </c>
      <c r="I8063" t="s">
        <v>30325</v>
      </c>
      <c r="J8063" t="str">
        <f t="shared" si="625"/>
        <v>E:\PropInv\MF</v>
      </c>
      <c r="K8063" s="103" t="str">
        <f>HYPERLINK("E:\PropInv\MF\Bryan\Silver Spur Cir_2903_Forest Creek_Bryan_60453","Silver Spur Cir_2903_Forest Creek_Bryan_60453" )</f>
        <v>Silver Spur Cir_2903_Forest Creek_Bryan_60453</v>
      </c>
      <c r="L8063" s="104" t="s">
        <v>22253</v>
      </c>
      <c r="N8063" s="1">
        <f t="shared" si="622"/>
        <v>60453</v>
      </c>
    </row>
    <row r="8064" spans="1:14" x14ac:dyDescent="0.3">
      <c r="A8064" s="1">
        <v>30454</v>
      </c>
      <c r="B8064" s="19" t="s">
        <v>10213</v>
      </c>
      <c r="C8064" s="18">
        <v>202</v>
      </c>
      <c r="D8064" s="19" t="s">
        <v>280</v>
      </c>
      <c r="E8064" s="20" t="s">
        <v>4399</v>
      </c>
      <c r="F8064" t="str">
        <f t="shared" si="623"/>
        <v>Hackberry</v>
      </c>
      <c r="G8064" t="str">
        <f t="shared" si="624"/>
        <v>Hackberry202Clute</v>
      </c>
      <c r="H8064" t="s">
        <v>38919</v>
      </c>
      <c r="I8064" t="s">
        <v>30326</v>
      </c>
      <c r="J8064" t="str">
        <f t="shared" si="625"/>
        <v>E:\PropInv\MF</v>
      </c>
      <c r="K8064" s="103" t="str">
        <f>HYPERLINK("E:\PropInv\MF\Clute\Hackberry_202_Oak Park_Clute_60454","Hackberry_202_Oak Park_Clute_60454" )</f>
        <v>Hackberry_202_Oak Park_Clute_60454</v>
      </c>
      <c r="L8064" s="104" t="s">
        <v>22253</v>
      </c>
      <c r="N8064" s="1">
        <f t="shared" si="622"/>
        <v>60454</v>
      </c>
    </row>
    <row r="8065" spans="1:14" x14ac:dyDescent="0.3">
      <c r="A8065" s="1">
        <v>30455</v>
      </c>
      <c r="B8065" s="19" t="s">
        <v>12000</v>
      </c>
      <c r="C8065" s="18">
        <v>1903</v>
      </c>
      <c r="D8065" s="19" t="s">
        <v>12001</v>
      </c>
      <c r="E8065" s="20" t="s">
        <v>8612</v>
      </c>
      <c r="F8065" t="str">
        <f t="shared" si="623"/>
        <v>Dartmouth</v>
      </c>
      <c r="G8065" t="str">
        <f t="shared" si="624"/>
        <v>Dartmouth1903College Station</v>
      </c>
      <c r="H8065" t="s">
        <v>38920</v>
      </c>
      <c r="I8065" t="s">
        <v>30327</v>
      </c>
      <c r="J8065" t="str">
        <f t="shared" si="625"/>
        <v>E:\PropInv\MF</v>
      </c>
      <c r="K8065" s="103" t="str">
        <f>HYPERLINK("E:\PropInv\MF\College Station\Dartmouth_1903_Park Side Villas_College Station_60455","Dartmouth_1903_Park Side Villas_College Station_60455" )</f>
        <v>Dartmouth_1903_Park Side Villas_College Station_60455</v>
      </c>
      <c r="L8065" s="104" t="s">
        <v>22253</v>
      </c>
      <c r="N8065" s="1">
        <f t="shared" si="622"/>
        <v>60455</v>
      </c>
    </row>
    <row r="8066" spans="1:14" x14ac:dyDescent="0.3">
      <c r="A8066" s="1">
        <v>30456</v>
      </c>
      <c r="B8066" s="62" t="s">
        <v>686</v>
      </c>
      <c r="C8066" s="38">
        <v>205</v>
      </c>
      <c r="D8066" s="29" t="s">
        <v>12002</v>
      </c>
      <c r="E8066" s="39" t="s">
        <v>8612</v>
      </c>
      <c r="F8066" t="str">
        <f t="shared" si="623"/>
        <v>SW</v>
      </c>
      <c r="G8066" t="str">
        <f t="shared" si="624"/>
        <v>SW205College Station</v>
      </c>
      <c r="H8066" t="s">
        <v>38921</v>
      </c>
      <c r="I8066" t="s">
        <v>30328</v>
      </c>
      <c r="J8066" t="str">
        <f t="shared" si="625"/>
        <v>E:\PropInv\MF</v>
      </c>
      <c r="K8066" s="103" t="str">
        <f>HYPERLINK("E:\PropInv\MF\College Station\SW Pkwy_205_Copper Creek Apts_College Station_60456","SW Pkwy_205_Copper Creek Apts_College Station_60456" )</f>
        <v>SW Pkwy_205_Copper Creek Apts_College Station_60456</v>
      </c>
      <c r="L8066" s="104" t="s">
        <v>22253</v>
      </c>
      <c r="N8066" s="1">
        <f t="shared" ref="N8066:N8129" si="626">IF(LEN(A8066)=1,"0000"&amp;A8066,IF(LEN(A8066)=2,"000"&amp;A8066,IF(LEN(A8066)=3,"00"&amp;A8066,IF(LEN(A8066)=4,"0"&amp;A8066,IF(LEN(A8066)=5,IF(LEFT(A8066,1)="3",A8066+30000,A8066))))))</f>
        <v>60456</v>
      </c>
    </row>
    <row r="8067" spans="1:14" x14ac:dyDescent="0.3">
      <c r="A8067" s="1">
        <v>30457</v>
      </c>
      <c r="B8067" s="19" t="s">
        <v>10818</v>
      </c>
      <c r="C8067" s="18">
        <v>5301</v>
      </c>
      <c r="D8067" s="19" t="s">
        <v>4910</v>
      </c>
      <c r="E8067" s="20" t="s">
        <v>4559</v>
      </c>
      <c r="F8067" t="str">
        <f t="shared" si="623"/>
        <v>517</v>
      </c>
      <c r="G8067" t="str">
        <f t="shared" si="624"/>
        <v>5175301Dickinson</v>
      </c>
      <c r="H8067" t="s">
        <v>38922</v>
      </c>
      <c r="I8067" t="s">
        <v>30329</v>
      </c>
      <c r="J8067" t="str">
        <f t="shared" si="625"/>
        <v>E:\PropInv\MF</v>
      </c>
      <c r="K8067" s="103" t="str">
        <f>HYPERLINK("E:\PropInv\MF\Dickinson\517 FM_5301_Green River TH_Dickinson_60457","517 FM_5301_Green River TH_Dickinson_60457" )</f>
        <v>517 FM_5301_Green River TH_Dickinson_60457</v>
      </c>
      <c r="L8067" s="104" t="s">
        <v>22253</v>
      </c>
      <c r="N8067" s="1">
        <f t="shared" si="626"/>
        <v>60457</v>
      </c>
    </row>
    <row r="8068" spans="1:14" ht="15" thickBot="1" x14ac:dyDescent="0.35">
      <c r="A8068" s="97">
        <v>30458</v>
      </c>
      <c r="B8068" s="63" t="s">
        <v>12003</v>
      </c>
      <c r="C8068" s="64">
        <v>5425</v>
      </c>
      <c r="D8068" s="63" t="s">
        <v>12004</v>
      </c>
      <c r="E8068" s="65" t="s">
        <v>4559</v>
      </c>
      <c r="F8068" t="str">
        <f t="shared" si="623"/>
        <v>517</v>
      </c>
      <c r="G8068" t="str">
        <f t="shared" si="624"/>
        <v>5175425Dickinson</v>
      </c>
      <c r="H8068" t="s">
        <v>38923</v>
      </c>
      <c r="I8068" t="s">
        <v>30330</v>
      </c>
      <c r="J8068" t="str">
        <f t="shared" si="625"/>
        <v>E:\PropInv\MF</v>
      </c>
      <c r="K8068" s="103" t="str">
        <f>HYPERLINK("E:\PropInv\MF\Dickinson\517 Hwy_5425_Wise Investments_Dickinson_60458","517 Hwy_5425_Wise Investments_Dickinson_60458" )</f>
        <v>517 Hwy_5425_Wise Investments_Dickinson_60458</v>
      </c>
      <c r="L8068" s="104" t="s">
        <v>22253</v>
      </c>
      <c r="N8068" s="1">
        <f t="shared" si="626"/>
        <v>60458</v>
      </c>
    </row>
    <row r="8069" spans="1:14" ht="15" thickBot="1" x14ac:dyDescent="0.35">
      <c r="A8069" s="1">
        <v>30459</v>
      </c>
      <c r="B8069" s="16" t="s">
        <v>12005</v>
      </c>
      <c r="C8069" s="15">
        <v>705</v>
      </c>
      <c r="D8069" s="63" t="s">
        <v>2497</v>
      </c>
      <c r="E8069" s="66" t="s">
        <v>4565</v>
      </c>
      <c r="F8069" t="str">
        <f t="shared" si="623"/>
        <v>37th</v>
      </c>
      <c r="G8069" t="str">
        <f t="shared" si="624"/>
        <v>37th705Galveston</v>
      </c>
      <c r="H8069" t="s">
        <v>38924</v>
      </c>
      <c r="I8069" t="s">
        <v>30331</v>
      </c>
      <c r="J8069" t="str">
        <f t="shared" si="625"/>
        <v>E:\PropInv\MF</v>
      </c>
      <c r="K8069" s="103" t="str">
        <f>HYPERLINK("E:\PropInv\MF\Galveston\37th St_705_NF_Galveston_60459","37th St_705_NF_Galveston_60459" )</f>
        <v>37th St_705_NF_Galveston_60459</v>
      </c>
      <c r="L8069" s="104" t="s">
        <v>22253</v>
      </c>
      <c r="N8069" s="1">
        <f t="shared" si="626"/>
        <v>60459</v>
      </c>
    </row>
    <row r="8070" spans="1:14" ht="15" thickBot="1" x14ac:dyDescent="0.35">
      <c r="A8070" s="1">
        <v>30460</v>
      </c>
      <c r="B8070" s="16" t="s">
        <v>12006</v>
      </c>
      <c r="C8070" s="15">
        <v>302</v>
      </c>
      <c r="D8070" s="63" t="s">
        <v>12007</v>
      </c>
      <c r="E8070" s="17" t="s">
        <v>4565</v>
      </c>
      <c r="F8070" t="str">
        <f t="shared" si="623"/>
        <v>Moody</v>
      </c>
      <c r="G8070" t="str">
        <f t="shared" si="624"/>
        <v>Moody302Galveston</v>
      </c>
      <c r="H8070" t="s">
        <v>38925</v>
      </c>
      <c r="I8070" t="s">
        <v>30332</v>
      </c>
      <c r="J8070" t="str">
        <f t="shared" si="625"/>
        <v>E:\PropInv\MF</v>
      </c>
      <c r="K8070" s="103" t="str">
        <f>HYPERLINK("E:\PropInv\MF\Galveston\Moody Ave_302_Moody Plaza_Galveston_60460","Moody Ave_302_Moody Plaza_Galveston_60460" )</f>
        <v>Moody Ave_302_Moody Plaza_Galveston_60460</v>
      </c>
      <c r="L8070" s="104" t="s">
        <v>22253</v>
      </c>
      <c r="N8070" s="1">
        <f t="shared" si="626"/>
        <v>60460</v>
      </c>
    </row>
    <row r="8071" spans="1:14" x14ac:dyDescent="0.3">
      <c r="A8071" s="1">
        <v>30461</v>
      </c>
      <c r="B8071" s="16" t="s">
        <v>12008</v>
      </c>
      <c r="C8071" s="15">
        <v>805</v>
      </c>
      <c r="D8071" s="16" t="s">
        <v>12009</v>
      </c>
      <c r="E8071" s="17" t="s">
        <v>1657</v>
      </c>
      <c r="F8071" t="str">
        <f t="shared" si="623"/>
        <v>Autumn</v>
      </c>
      <c r="G8071" t="str">
        <f t="shared" si="624"/>
        <v>Autumn805Houston</v>
      </c>
      <c r="H8071" t="s">
        <v>38926</v>
      </c>
      <c r="I8071" t="s">
        <v>30333</v>
      </c>
      <c r="J8071" t="str">
        <f t="shared" si="625"/>
        <v>E:\PropInv\MF</v>
      </c>
      <c r="K8071" s="103" t="str">
        <f>HYPERLINK("E:\PropInv\MF\Houston\Autumn Wood_805_New Apts_Houston_60461","Autumn Wood_805_New Apts_Houston_60461" )</f>
        <v>Autumn Wood_805_New Apts_Houston_60461</v>
      </c>
      <c r="L8071" s="104" t="s">
        <v>22253</v>
      </c>
      <c r="N8071" s="1">
        <f t="shared" si="626"/>
        <v>60461</v>
      </c>
    </row>
    <row r="8072" spans="1:14" x14ac:dyDescent="0.3">
      <c r="A8072" s="1">
        <v>30462</v>
      </c>
      <c r="B8072" s="16" t="s">
        <v>12010</v>
      </c>
      <c r="C8072" s="15">
        <v>647</v>
      </c>
      <c r="D8072" s="16" t="s">
        <v>2497</v>
      </c>
      <c r="E8072" s="17" t="s">
        <v>1657</v>
      </c>
      <c r="F8072" t="str">
        <f t="shared" si="623"/>
        <v>BARRINGER</v>
      </c>
      <c r="G8072" t="str">
        <f t="shared" si="624"/>
        <v>BARRINGER647Houston</v>
      </c>
      <c r="H8072" t="s">
        <v>38927</v>
      </c>
      <c r="I8072" t="s">
        <v>30334</v>
      </c>
      <c r="J8072" t="str">
        <f t="shared" si="625"/>
        <v>E:\PropInv\MF</v>
      </c>
      <c r="K8072" s="103" t="str">
        <f>HYPERLINK("E:\PropInv\MF\Houston\BARRINGER_647_NF_Houston_60462","BARRINGER_647_NF_Houston_60462" )</f>
        <v>BARRINGER_647_NF_Houston_60462</v>
      </c>
      <c r="L8072" s="104" t="s">
        <v>22253</v>
      </c>
      <c r="N8072" s="1">
        <f t="shared" si="626"/>
        <v>60462</v>
      </c>
    </row>
    <row r="8073" spans="1:14" x14ac:dyDescent="0.3">
      <c r="A8073" s="1">
        <v>30463</v>
      </c>
      <c r="B8073" s="16" t="s">
        <v>3662</v>
      </c>
      <c r="C8073" s="15">
        <v>9600</v>
      </c>
      <c r="D8073" s="16" t="s">
        <v>12011</v>
      </c>
      <c r="E8073" s="17" t="s">
        <v>1657</v>
      </c>
      <c r="F8073" t="str">
        <f t="shared" si="623"/>
        <v>Birdwood</v>
      </c>
      <c r="G8073" t="str">
        <f t="shared" si="624"/>
        <v>Birdwood9600Houston</v>
      </c>
      <c r="H8073" t="s">
        <v>38928</v>
      </c>
      <c r="I8073" t="s">
        <v>30335</v>
      </c>
      <c r="J8073" t="str">
        <f t="shared" si="625"/>
        <v>E:\PropInv\MF</v>
      </c>
      <c r="K8073" s="103" t="str">
        <f>HYPERLINK("E:\PropInv\MF\Houston\Birdwood_9600_Spring Creek Apt_Houston_60463","Birdwood_9600_Spring Creek Apt_Houston_60463" )</f>
        <v>Birdwood_9600_Spring Creek Apt_Houston_60463</v>
      </c>
      <c r="L8073" s="104" t="s">
        <v>22253</v>
      </c>
      <c r="N8073" s="1">
        <f t="shared" si="626"/>
        <v>60463</v>
      </c>
    </row>
    <row r="8074" spans="1:14" x14ac:dyDescent="0.3">
      <c r="A8074" s="1">
        <v>30464</v>
      </c>
      <c r="B8074" s="16" t="s">
        <v>3060</v>
      </c>
      <c r="C8074" s="15">
        <v>9800</v>
      </c>
      <c r="D8074" s="16" t="s">
        <v>12012</v>
      </c>
      <c r="E8074" s="17" t="s">
        <v>1657</v>
      </c>
      <c r="F8074" t="str">
        <f t="shared" si="623"/>
        <v>Bissonnet</v>
      </c>
      <c r="G8074" t="str">
        <f t="shared" si="624"/>
        <v>Bissonnet9800Houston</v>
      </c>
      <c r="H8074" t="s">
        <v>38929</v>
      </c>
      <c r="I8074" t="s">
        <v>30336</v>
      </c>
      <c r="J8074" t="str">
        <f t="shared" si="625"/>
        <v>E:\PropInv\MF</v>
      </c>
      <c r="K8074" s="103" t="str">
        <f>HYPERLINK("E:\PropInv\MF\Houston\Bissonnet_9800_Houston Bayou Apt_Houston_60464","Bissonnet_9800_Houston Bayou Apt_Houston_60464" )</f>
        <v>Bissonnet_9800_Houston Bayou Apt_Houston_60464</v>
      </c>
      <c r="L8074" s="104" t="s">
        <v>22253</v>
      </c>
      <c r="N8074" s="1">
        <f t="shared" si="626"/>
        <v>60464</v>
      </c>
    </row>
    <row r="8075" spans="1:14" x14ac:dyDescent="0.3">
      <c r="A8075" s="1">
        <v>30465</v>
      </c>
      <c r="B8075" s="16" t="s">
        <v>12013</v>
      </c>
      <c r="C8075" s="15">
        <v>2255</v>
      </c>
      <c r="D8075" s="16" t="s">
        <v>12013</v>
      </c>
      <c r="E8075" s="17" t="s">
        <v>1657</v>
      </c>
      <c r="F8075" t="str">
        <f t="shared" si="623"/>
        <v>Braeswood</v>
      </c>
      <c r="G8075" t="str">
        <f t="shared" si="624"/>
        <v>Braeswood2255Houston</v>
      </c>
      <c r="H8075" t="s">
        <v>38930</v>
      </c>
      <c r="I8075" t="s">
        <v>30337</v>
      </c>
      <c r="J8075" t="str">
        <f t="shared" si="625"/>
        <v>E:\PropInv\MF</v>
      </c>
      <c r="K8075" s="103" t="str">
        <f>HYPERLINK("E:\PropInv\MF\Houston\Braeswood Park_2255_Braeswood Park_Houston_60465","Braeswood Park_2255_Braeswood Park_Houston_60465" )</f>
        <v>Braeswood Park_2255_Braeswood Park_Houston_60465</v>
      </c>
      <c r="L8075" s="104" t="s">
        <v>22253</v>
      </c>
      <c r="N8075" s="1">
        <f t="shared" si="626"/>
        <v>60465</v>
      </c>
    </row>
    <row r="8076" spans="1:14" x14ac:dyDescent="0.3">
      <c r="A8076" s="1">
        <v>30466</v>
      </c>
      <c r="B8076" s="16" t="s">
        <v>12014</v>
      </c>
      <c r="C8076" s="15">
        <v>5705</v>
      </c>
      <c r="D8076" s="16" t="s">
        <v>2497</v>
      </c>
      <c r="E8076" s="17" t="s">
        <v>1657</v>
      </c>
      <c r="F8076" t="str">
        <f t="shared" si="623"/>
        <v>Breen</v>
      </c>
      <c r="G8076" t="str">
        <f t="shared" si="624"/>
        <v>Breen5705Houston</v>
      </c>
      <c r="H8076" t="s">
        <v>38931</v>
      </c>
      <c r="I8076" t="s">
        <v>30338</v>
      </c>
      <c r="J8076" t="str">
        <f t="shared" si="625"/>
        <v>E:\PropInv\MF</v>
      </c>
      <c r="K8076" s="103" t="str">
        <f>HYPERLINK("E:\PropInv\MF\Houston\Breen_5705_NF_Houston_60466","Breen_5705_NF_Houston_60466" )</f>
        <v>Breen_5705_NF_Houston_60466</v>
      </c>
      <c r="L8076" s="104" t="s">
        <v>22253</v>
      </c>
      <c r="N8076" s="1">
        <f t="shared" si="626"/>
        <v>60466</v>
      </c>
    </row>
    <row r="8077" spans="1:14" x14ac:dyDescent="0.3">
      <c r="A8077" s="1">
        <v>30467</v>
      </c>
      <c r="B8077" s="16" t="s">
        <v>2337</v>
      </c>
      <c r="C8077" s="15">
        <v>1207</v>
      </c>
      <c r="D8077" s="16" t="s">
        <v>12015</v>
      </c>
      <c r="E8077" s="17" t="s">
        <v>1657</v>
      </c>
      <c r="F8077" t="str">
        <f t="shared" si="623"/>
        <v>Cedar</v>
      </c>
      <c r="G8077" t="str">
        <f t="shared" si="624"/>
        <v>Cedar1207Houston</v>
      </c>
      <c r="H8077" t="s">
        <v>38932</v>
      </c>
      <c r="I8077" t="s">
        <v>30339</v>
      </c>
      <c r="J8077" t="str">
        <f t="shared" si="625"/>
        <v>E:\PropInv\MF</v>
      </c>
      <c r="K8077" s="103" t="str">
        <f>HYPERLINK("E:\PropInv\MF\Houston\Cedar Post_1207_CEDAR BRANCH_Houston_60467","Cedar Post_1207_CEDAR BRANCH_Houston_60467" )</f>
        <v>Cedar Post_1207_CEDAR BRANCH_Houston_60467</v>
      </c>
      <c r="L8077" s="104" t="s">
        <v>22253</v>
      </c>
      <c r="N8077" s="1">
        <f t="shared" si="626"/>
        <v>60467</v>
      </c>
    </row>
    <row r="8078" spans="1:14" x14ac:dyDescent="0.3">
      <c r="A8078" s="1">
        <v>30468</v>
      </c>
      <c r="B8078" s="16" t="s">
        <v>12016</v>
      </c>
      <c r="C8078" s="15">
        <v>21</v>
      </c>
      <c r="D8078" s="16" t="s">
        <v>2497</v>
      </c>
      <c r="E8078" s="17" t="s">
        <v>1657</v>
      </c>
      <c r="F8078" t="str">
        <f t="shared" si="623"/>
        <v>Chenevert</v>
      </c>
      <c r="G8078" t="str">
        <f t="shared" si="624"/>
        <v>Chenevert21Houston</v>
      </c>
      <c r="H8078" t="s">
        <v>38933</v>
      </c>
      <c r="I8078" t="s">
        <v>30340</v>
      </c>
      <c r="J8078" t="str">
        <f t="shared" si="625"/>
        <v>E:\PropInv\MF</v>
      </c>
      <c r="K8078" s="103" t="str">
        <f>HYPERLINK("E:\PropInv\MF\Houston\Chenevert_21_NF_Houston_60468","Chenevert_21_NF_Houston_60468" )</f>
        <v>Chenevert_21_NF_Houston_60468</v>
      </c>
      <c r="L8078" s="104" t="s">
        <v>22253</v>
      </c>
      <c r="N8078" s="1">
        <f t="shared" si="626"/>
        <v>60468</v>
      </c>
    </row>
    <row r="8079" spans="1:14" x14ac:dyDescent="0.3">
      <c r="A8079" s="1">
        <v>30469</v>
      </c>
      <c r="B8079" s="16" t="s">
        <v>12017</v>
      </c>
      <c r="C8079" s="15">
        <v>15706</v>
      </c>
      <c r="D8079" s="16" t="s">
        <v>12018</v>
      </c>
      <c r="E8079" s="17" t="s">
        <v>1657</v>
      </c>
      <c r="F8079" t="str">
        <f t="shared" si="623"/>
        <v>Clarke</v>
      </c>
      <c r="G8079" t="str">
        <f t="shared" si="624"/>
        <v>Clarke15706Houston</v>
      </c>
      <c r="H8079" t="s">
        <v>38934</v>
      </c>
      <c r="I8079" t="s">
        <v>30341</v>
      </c>
      <c r="J8079" t="str">
        <f t="shared" si="625"/>
        <v>E:\PropInv\MF</v>
      </c>
      <c r="K8079" s="103" t="str">
        <f>HYPERLINK("E:\PropInv\MF\Houston\Clarke Springs Dr_15706_Clarke Springs_Houston_60469","Clarke Springs Dr_15706_Clarke Springs_Houston_60469" )</f>
        <v>Clarke Springs Dr_15706_Clarke Springs_Houston_60469</v>
      </c>
      <c r="L8079" s="104" t="s">
        <v>22253</v>
      </c>
      <c r="N8079" s="1">
        <f t="shared" si="626"/>
        <v>60469</v>
      </c>
    </row>
    <row r="8080" spans="1:14" x14ac:dyDescent="0.3">
      <c r="A8080" s="1">
        <v>30470</v>
      </c>
      <c r="B8080" s="16" t="s">
        <v>12019</v>
      </c>
      <c r="C8080" s="15">
        <v>16000</v>
      </c>
      <c r="D8080" s="16" t="s">
        <v>12020</v>
      </c>
      <c r="E8080" s="17" t="s">
        <v>1657</v>
      </c>
      <c r="F8080" t="str">
        <f t="shared" si="623"/>
        <v>Cotillion</v>
      </c>
      <c r="G8080" t="str">
        <f t="shared" si="624"/>
        <v>Cotillion16000Houston</v>
      </c>
      <c r="H8080" t="s">
        <v>38935</v>
      </c>
      <c r="I8080" t="s">
        <v>30342</v>
      </c>
      <c r="J8080" t="str">
        <f t="shared" si="625"/>
        <v>E:\PropInv\MF</v>
      </c>
      <c r="K8080" s="103" t="str">
        <f>HYPERLINK("E:\PropInv\MF\Houston\Cotillion Dr_16000_Siena Villas Condominiums_Houston_60470","Cotillion Dr_16000_Siena Villas Condominiums_Houston_60470" )</f>
        <v>Cotillion Dr_16000_Siena Villas Condominiums_Houston_60470</v>
      </c>
      <c r="L8080" s="104" t="s">
        <v>22253</v>
      </c>
      <c r="N8080" s="1">
        <f t="shared" si="626"/>
        <v>60470</v>
      </c>
    </row>
    <row r="8081" spans="1:14" x14ac:dyDescent="0.3">
      <c r="A8081" s="1">
        <v>30471</v>
      </c>
      <c r="B8081" s="16" t="s">
        <v>12021</v>
      </c>
      <c r="C8081" s="15">
        <v>7600</v>
      </c>
      <c r="D8081" s="16" t="s">
        <v>2497</v>
      </c>
      <c r="E8081" s="17" t="s">
        <v>1657</v>
      </c>
      <c r="F8081" t="str">
        <f t="shared" si="623"/>
        <v>Houston</v>
      </c>
      <c r="G8081" t="str">
        <f t="shared" si="624"/>
        <v>Houston7600Houston</v>
      </c>
      <c r="H8081" t="s">
        <v>38936</v>
      </c>
      <c r="I8081" t="s">
        <v>30343</v>
      </c>
      <c r="J8081" t="str">
        <f t="shared" si="625"/>
        <v>E:\PropInv\MF</v>
      </c>
      <c r="K8081" s="103" t="str">
        <f>HYPERLINK("E:\PropInv\MF\Houston\Houston Rd E_7600_NF_Houston_60471","Houston Rd E_7600_NF_Houston_60471" )</f>
        <v>Houston Rd E_7600_NF_Houston_60471</v>
      </c>
      <c r="L8081" s="104" t="s">
        <v>22253</v>
      </c>
      <c r="N8081" s="1">
        <f t="shared" si="626"/>
        <v>60471</v>
      </c>
    </row>
    <row r="8082" spans="1:14" x14ac:dyDescent="0.3">
      <c r="A8082" s="1">
        <v>30472</v>
      </c>
      <c r="B8082" s="16" t="s">
        <v>4303</v>
      </c>
      <c r="C8082" s="15">
        <v>16401</v>
      </c>
      <c r="D8082" s="16" t="s">
        <v>2497</v>
      </c>
      <c r="E8082" s="17" t="s">
        <v>1657</v>
      </c>
      <c r="F8082" t="str">
        <f t="shared" si="623"/>
        <v>El</v>
      </c>
      <c r="G8082" t="str">
        <f t="shared" si="624"/>
        <v>El16401Houston</v>
      </c>
      <c r="H8082" t="s">
        <v>38937</v>
      </c>
      <c r="I8082" t="s">
        <v>30344</v>
      </c>
      <c r="J8082" t="str">
        <f t="shared" si="625"/>
        <v>E:\PropInv\MF</v>
      </c>
      <c r="K8082" s="103" t="str">
        <f>HYPERLINK("E:\PropInv\MF\Houston\El Camino Real_16401_NF_Houston_60472","El Camino Real_16401_NF_Houston_60472" )</f>
        <v>El Camino Real_16401_NF_Houston_60472</v>
      </c>
      <c r="L8082" s="104" t="s">
        <v>22253</v>
      </c>
      <c r="N8082" s="1">
        <f t="shared" si="626"/>
        <v>60472</v>
      </c>
    </row>
    <row r="8083" spans="1:14" x14ac:dyDescent="0.3">
      <c r="A8083" s="1">
        <v>30473</v>
      </c>
      <c r="B8083" s="16" t="s">
        <v>3527</v>
      </c>
      <c r="C8083" s="15">
        <v>8200</v>
      </c>
      <c r="D8083" s="16" t="s">
        <v>2497</v>
      </c>
      <c r="E8083" s="17" t="s">
        <v>1657</v>
      </c>
      <c r="F8083" t="str">
        <f t="shared" si="623"/>
        <v>Gessner</v>
      </c>
      <c r="G8083" t="str">
        <f t="shared" si="624"/>
        <v>Gessner8200Houston</v>
      </c>
      <c r="H8083" t="s">
        <v>38938</v>
      </c>
      <c r="I8083" t="s">
        <v>30345</v>
      </c>
      <c r="J8083" t="str">
        <f t="shared" si="625"/>
        <v>E:\PropInv\MF</v>
      </c>
      <c r="K8083" s="103" t="str">
        <f>HYPERLINK("E:\PropInv\MF\Houston\Gessner Rd S_8200_NF_Houston_60473","Gessner Rd S_8200_NF_Houston_60473" )</f>
        <v>Gessner Rd S_8200_NF_Houston_60473</v>
      </c>
      <c r="L8083" s="104" t="s">
        <v>22253</v>
      </c>
      <c r="N8083" s="1">
        <f t="shared" si="626"/>
        <v>60473</v>
      </c>
    </row>
    <row r="8084" spans="1:14" x14ac:dyDescent="0.3">
      <c r="A8084" s="1">
        <v>30474</v>
      </c>
      <c r="B8084" s="16" t="s">
        <v>12022</v>
      </c>
      <c r="C8084" s="15">
        <v>1141</v>
      </c>
      <c r="D8084" s="16" t="s">
        <v>12023</v>
      </c>
      <c r="E8084" s="17" t="s">
        <v>1657</v>
      </c>
      <c r="F8084" t="str">
        <f t="shared" si="623"/>
        <v>Green</v>
      </c>
      <c r="G8084" t="str">
        <f t="shared" si="624"/>
        <v>Green1141Houston</v>
      </c>
      <c r="H8084" t="s">
        <v>38939</v>
      </c>
      <c r="I8084" t="s">
        <v>30346</v>
      </c>
      <c r="J8084" t="str">
        <f t="shared" si="625"/>
        <v>E:\PropInv\MF</v>
      </c>
      <c r="K8084" s="103" t="str">
        <f>HYPERLINK("E:\PropInv\MF\Houston\Green Plaza Dr_1141_Walnut Creek Apts_Houston_60474","Green Plaza Dr_1141_Walnut Creek Apts_Houston_60474" )</f>
        <v>Green Plaza Dr_1141_Walnut Creek Apts_Houston_60474</v>
      </c>
      <c r="L8084" s="104" t="s">
        <v>22253</v>
      </c>
      <c r="N8084" s="1">
        <f t="shared" si="626"/>
        <v>60474</v>
      </c>
    </row>
    <row r="8085" spans="1:14" x14ac:dyDescent="0.3">
      <c r="A8085" s="1">
        <v>30475</v>
      </c>
      <c r="B8085" s="16" t="s">
        <v>12024</v>
      </c>
      <c r="C8085" s="15">
        <v>8797</v>
      </c>
      <c r="D8085" s="16" t="s">
        <v>2314</v>
      </c>
      <c r="E8085" s="17" t="s">
        <v>12025</v>
      </c>
      <c r="F8085" t="str">
        <f t="shared" si="623"/>
        <v>Hammerly</v>
      </c>
      <c r="G8085" t="str">
        <f t="shared" si="624"/>
        <v>Hammerly8797houston</v>
      </c>
      <c r="H8085" t="s">
        <v>38940</v>
      </c>
      <c r="I8085" t="s">
        <v>30347</v>
      </c>
      <c r="J8085" t="str">
        <f t="shared" si="625"/>
        <v>E:\PropInv\MF</v>
      </c>
      <c r="K8085" s="103" t="str">
        <f>HYPERLINK("E:\PropInv\MF\houston\Hammerly Blvd_8797_Hammerly Oaks_houston_60475","Hammerly Blvd_8797_Hammerly Oaks_houston_60475" )</f>
        <v>Hammerly Blvd_8797_Hammerly Oaks_houston_60475</v>
      </c>
      <c r="L8085" s="104" t="s">
        <v>22253</v>
      </c>
      <c r="N8085" s="1">
        <f t="shared" si="626"/>
        <v>60475</v>
      </c>
    </row>
    <row r="8086" spans="1:14" x14ac:dyDescent="0.3">
      <c r="A8086" s="1">
        <v>30476</v>
      </c>
      <c r="B8086" s="16" t="s">
        <v>12026</v>
      </c>
      <c r="C8086" s="15">
        <v>46300</v>
      </c>
      <c r="D8086" s="16" t="s">
        <v>12027</v>
      </c>
      <c r="E8086" s="17" t="s">
        <v>1657</v>
      </c>
      <c r="F8086" t="str">
        <f t="shared" si="623"/>
        <v>10</v>
      </c>
      <c r="G8086" t="str">
        <f t="shared" si="624"/>
        <v>1046300Houston</v>
      </c>
      <c r="H8086" t="s">
        <v>38941</v>
      </c>
      <c r="I8086" t="s">
        <v>30348</v>
      </c>
      <c r="J8086" t="str">
        <f t="shared" si="625"/>
        <v>E:\PropInv\MF</v>
      </c>
      <c r="K8086" s="103" t="str">
        <f>HYPERLINK("E:\PropInv\MF\Houston\10 IH_46300_Bank Financed Apts_Houston_60476","10 IH_46300_Bank Financed Apts_Houston_60476" )</f>
        <v>10 IH_46300_Bank Financed Apts_Houston_60476</v>
      </c>
      <c r="L8086" s="104" t="s">
        <v>22253</v>
      </c>
      <c r="N8086" s="1">
        <f t="shared" si="626"/>
        <v>60476</v>
      </c>
    </row>
    <row r="8087" spans="1:14" x14ac:dyDescent="0.3">
      <c r="A8087" s="1">
        <v>30477</v>
      </c>
      <c r="B8087" s="16" t="s">
        <v>12028</v>
      </c>
      <c r="C8087" s="15">
        <v>3815</v>
      </c>
      <c r="D8087" s="16" t="s">
        <v>12029</v>
      </c>
      <c r="E8087" s="17" t="s">
        <v>1657</v>
      </c>
      <c r="F8087" t="str">
        <f t="shared" si="623"/>
        <v>45</v>
      </c>
      <c r="G8087" t="str">
        <f t="shared" si="624"/>
        <v>453815Houston</v>
      </c>
      <c r="H8087" t="s">
        <v>38942</v>
      </c>
      <c r="I8087" t="s">
        <v>30349</v>
      </c>
      <c r="J8087" t="str">
        <f t="shared" si="625"/>
        <v>E:\PropInv\MF</v>
      </c>
      <c r="K8087" s="103" t="str">
        <f>HYPERLINK("E:\PropInv\MF\Houston\45 IH S @ Cullen_3815_University Park_Houston_60477","45 IH S @ Cullen_3815_University Park_Houston_60477" )</f>
        <v>45 IH S @ Cullen_3815_University Park_Houston_60477</v>
      </c>
      <c r="L8087" s="104" t="s">
        <v>22253</v>
      </c>
      <c r="N8087" s="1">
        <f t="shared" si="626"/>
        <v>60477</v>
      </c>
    </row>
    <row r="8088" spans="1:14" x14ac:dyDescent="0.3">
      <c r="A8088" s="1">
        <v>30478</v>
      </c>
      <c r="B8088" s="16" t="s">
        <v>1941</v>
      </c>
      <c r="C8088" s="15">
        <v>13110</v>
      </c>
      <c r="D8088" s="16" t="s">
        <v>12030</v>
      </c>
      <c r="E8088" s="17" t="s">
        <v>1657</v>
      </c>
      <c r="F8088" t="str">
        <f t="shared" si="623"/>
        <v>Kuykendahl</v>
      </c>
      <c r="G8088" t="str">
        <f t="shared" si="624"/>
        <v>Kuykendahl13110Houston</v>
      </c>
      <c r="H8088" t="s">
        <v>38943</v>
      </c>
      <c r="I8088" t="s">
        <v>30350</v>
      </c>
      <c r="J8088" t="str">
        <f t="shared" si="625"/>
        <v>E:\PropInv\MF</v>
      </c>
      <c r="K8088" s="103" t="str">
        <f>HYPERLINK("E:\PropInv\MF\Houston\Kuykendahl Rd_13110_The Vanderbilt_Houston_60478","Kuykendahl Rd_13110_The Vanderbilt_Houston_60478" )</f>
        <v>Kuykendahl Rd_13110_The Vanderbilt_Houston_60478</v>
      </c>
      <c r="L8088" s="104" t="s">
        <v>22253</v>
      </c>
      <c r="N8088" s="1">
        <f t="shared" si="626"/>
        <v>60478</v>
      </c>
    </row>
    <row r="8089" spans="1:14" x14ac:dyDescent="0.3">
      <c r="A8089" s="1">
        <v>30479</v>
      </c>
      <c r="B8089" s="16" t="s">
        <v>12031</v>
      </c>
      <c r="C8089" s="15">
        <v>10200</v>
      </c>
      <c r="D8089" s="16" t="s">
        <v>12032</v>
      </c>
      <c r="E8089" s="17" t="s">
        <v>1657</v>
      </c>
      <c r="F8089" t="str">
        <f t="shared" si="623"/>
        <v>Lucore</v>
      </c>
      <c r="G8089" t="str">
        <f t="shared" si="624"/>
        <v>Lucore10200Houston</v>
      </c>
      <c r="H8089" t="s">
        <v>38944</v>
      </c>
      <c r="I8089" t="s">
        <v>30351</v>
      </c>
      <c r="J8089" t="str">
        <f t="shared" si="625"/>
        <v>E:\PropInv\MF</v>
      </c>
      <c r="K8089" s="103" t="str">
        <f>HYPERLINK("E:\PropInv\MF\Houston\Lucore_10200_Deerwood in the Park_Houston_60479","Lucore_10200_Deerwood in the Park_Houston_60479" )</f>
        <v>Lucore_10200_Deerwood in the Park_Houston_60479</v>
      </c>
      <c r="L8089" s="104" t="s">
        <v>22253</v>
      </c>
      <c r="N8089" s="1">
        <f t="shared" si="626"/>
        <v>60479</v>
      </c>
    </row>
    <row r="8090" spans="1:14" x14ac:dyDescent="0.3">
      <c r="A8090" s="1">
        <v>30480</v>
      </c>
      <c r="B8090" s="19" t="s">
        <v>4815</v>
      </c>
      <c r="C8090" s="18">
        <v>3300</v>
      </c>
      <c r="D8090" s="19" t="s">
        <v>12033</v>
      </c>
      <c r="E8090" s="20" t="s">
        <v>1657</v>
      </c>
      <c r="F8090" t="str">
        <f t="shared" si="623"/>
        <v>Memorial</v>
      </c>
      <c r="G8090" t="str">
        <f t="shared" si="624"/>
        <v>Memorial3300Houston</v>
      </c>
      <c r="H8090" t="s">
        <v>38945</v>
      </c>
      <c r="I8090" t="s">
        <v>30352</v>
      </c>
      <c r="J8090" t="str">
        <f t="shared" si="625"/>
        <v>E:\PropInv\MF</v>
      </c>
      <c r="K8090" s="103" t="str">
        <f>HYPERLINK("E:\PropInv\MF\Houston\Memorial Ct_3300_The Quarters at Memorial_Houston_60480","Memorial Ct_3300_The Quarters at Memorial_Houston_60480" )</f>
        <v>Memorial Ct_3300_The Quarters at Memorial_Houston_60480</v>
      </c>
      <c r="L8090" s="104" t="s">
        <v>22253</v>
      </c>
      <c r="N8090" s="1">
        <f t="shared" si="626"/>
        <v>60480</v>
      </c>
    </row>
    <row r="8091" spans="1:14" x14ac:dyDescent="0.3">
      <c r="A8091" s="1">
        <v>30481</v>
      </c>
      <c r="B8091" s="16" t="s">
        <v>2568</v>
      </c>
      <c r="C8091" s="15">
        <v>5292</v>
      </c>
      <c r="D8091" s="16" t="s">
        <v>12034</v>
      </c>
      <c r="E8091" s="17" t="s">
        <v>1657</v>
      </c>
      <c r="F8091" t="str">
        <f t="shared" si="623"/>
        <v>Memorial</v>
      </c>
      <c r="G8091" t="str">
        <f t="shared" si="624"/>
        <v>Memorial5292Houston</v>
      </c>
      <c r="H8091" t="s">
        <v>38946</v>
      </c>
      <c r="I8091" t="s">
        <v>30353</v>
      </c>
      <c r="J8091" t="str">
        <f t="shared" si="625"/>
        <v>E:\PropInv\MF</v>
      </c>
      <c r="K8091" s="103" t="str">
        <f>HYPERLINK("E:\PropInv\MF\Houston\Memorial Dr_5292_Park Memorial_Houston_60481","Memorial Dr_5292_Park Memorial_Houston_60481" )</f>
        <v>Memorial Dr_5292_Park Memorial_Houston_60481</v>
      </c>
      <c r="L8091" s="104" t="s">
        <v>22253</v>
      </c>
      <c r="N8091" s="1">
        <f t="shared" si="626"/>
        <v>60481</v>
      </c>
    </row>
    <row r="8092" spans="1:14" x14ac:dyDescent="0.3">
      <c r="A8092" s="1">
        <v>30482</v>
      </c>
      <c r="B8092" s="16" t="s">
        <v>2582</v>
      </c>
      <c r="C8092" s="15">
        <v>1111</v>
      </c>
      <c r="D8092" s="16" t="s">
        <v>12035</v>
      </c>
      <c r="E8092" s="17" t="s">
        <v>1657</v>
      </c>
      <c r="F8092" t="str">
        <f t="shared" si="623"/>
        <v>Mesa</v>
      </c>
      <c r="G8092" t="str">
        <f t="shared" si="624"/>
        <v>Mesa1111Houston</v>
      </c>
      <c r="H8092" t="s">
        <v>38947</v>
      </c>
      <c r="I8092" t="s">
        <v>30354</v>
      </c>
      <c r="J8092" t="str">
        <f t="shared" si="625"/>
        <v>E:\PropInv\MF</v>
      </c>
      <c r="K8092" s="103" t="str">
        <f>HYPERLINK("E:\PropInv\MF\Houston\Mesa_1111_Garden Apts_Houston_60482","Mesa_1111_Garden Apts_Houston_60482" )</f>
        <v>Mesa_1111_Garden Apts_Houston_60482</v>
      </c>
      <c r="L8092" s="104" t="s">
        <v>22253</v>
      </c>
      <c r="N8092" s="1">
        <f t="shared" si="626"/>
        <v>60482</v>
      </c>
    </row>
    <row r="8093" spans="1:14" x14ac:dyDescent="0.3">
      <c r="A8093" s="1">
        <v>30483</v>
      </c>
      <c r="B8093" s="16" t="s">
        <v>9341</v>
      </c>
      <c r="C8093" s="61">
        <v>3405</v>
      </c>
      <c r="D8093" s="16" t="s">
        <v>16934</v>
      </c>
      <c r="E8093" s="17" t="s">
        <v>1657</v>
      </c>
      <c r="F8093" t="str">
        <f t="shared" si="623"/>
        <v>Shepherd</v>
      </c>
      <c r="G8093" t="str">
        <f t="shared" si="624"/>
        <v>Shepherd3405Houston</v>
      </c>
      <c r="H8093" t="s">
        <v>38948</v>
      </c>
      <c r="I8093" t="s">
        <v>30355</v>
      </c>
      <c r="J8093" t="str">
        <f t="shared" si="625"/>
        <v>E:\PropInv\MF</v>
      </c>
      <c r="K8093" s="103" t="str">
        <f>HYPERLINK("E:\PropInv\MF\Houston\Shepherd Dr N_3405_Garden Oaks Condos_Houston_60483","Shepherd Dr N_3405_Garden Oaks Condos_Houston_60483" )</f>
        <v>Shepherd Dr N_3405_Garden Oaks Condos_Houston_60483</v>
      </c>
      <c r="L8093" s="104" t="s">
        <v>22253</v>
      </c>
      <c r="N8093" s="1">
        <f t="shared" si="626"/>
        <v>60483</v>
      </c>
    </row>
    <row r="8094" spans="1:14" x14ac:dyDescent="0.3">
      <c r="A8094" s="1">
        <v>30484</v>
      </c>
      <c r="B8094" s="16" t="s">
        <v>4156</v>
      </c>
      <c r="C8094" s="15">
        <v>9220</v>
      </c>
      <c r="D8094" s="16" t="s">
        <v>12036</v>
      </c>
      <c r="E8094" s="17" t="s">
        <v>1657</v>
      </c>
      <c r="F8094" t="str">
        <f t="shared" si="623"/>
        <v>Nathaniel</v>
      </c>
      <c r="G8094" t="str">
        <f t="shared" si="624"/>
        <v>Nathaniel9220Houston</v>
      </c>
      <c r="H8094" t="s">
        <v>38949</v>
      </c>
      <c r="I8094" t="s">
        <v>30356</v>
      </c>
      <c r="J8094" t="str">
        <f t="shared" si="625"/>
        <v>E:\PropInv\MF</v>
      </c>
      <c r="K8094" s="103" t="str">
        <f>HYPERLINK("E:\PropInv\MF\Houston\Nathaniel_9220_Indigo Falls_Houston_60484","Nathaniel_9220_Indigo Falls_Houston_60484" )</f>
        <v>Nathaniel_9220_Indigo Falls_Houston_60484</v>
      </c>
      <c r="L8094" s="104" t="s">
        <v>22253</v>
      </c>
      <c r="N8094" s="1">
        <f t="shared" si="626"/>
        <v>60484</v>
      </c>
    </row>
    <row r="8095" spans="1:14" x14ac:dyDescent="0.3">
      <c r="A8095" s="1">
        <v>30485</v>
      </c>
      <c r="B8095" s="10" t="s">
        <v>1971</v>
      </c>
      <c r="C8095" s="15" t="s">
        <v>12037</v>
      </c>
      <c r="D8095" s="16" t="s">
        <v>22272</v>
      </c>
      <c r="E8095" s="17" t="s">
        <v>12038</v>
      </c>
      <c r="F8095" t="str">
        <f t="shared" si="623"/>
        <v>Plaza</v>
      </c>
      <c r="G8095" t="str">
        <f t="shared" si="624"/>
        <v>Plaza202-218HOUSTON</v>
      </c>
      <c r="H8095" t="s">
        <v>38950</v>
      </c>
      <c r="I8095" t="s">
        <v>30357</v>
      </c>
      <c r="J8095" t="str">
        <f t="shared" si="625"/>
        <v>E:\PropInv\MF</v>
      </c>
      <c r="K8095" s="103" t="str">
        <f>HYPERLINK("E:\PropInv\MF\HOUSTON\Plaza Verde Dr_202-218_North Village Green Condos_HOUSTON_60485","Plaza Verde Dr_202-218_North Village Green Condos_HOUSTON_60485" )</f>
        <v>Plaza Verde Dr_202-218_North Village Green Condos_HOUSTON_60485</v>
      </c>
      <c r="L8095" s="104" t="s">
        <v>22253</v>
      </c>
      <c r="N8095" s="1">
        <f t="shared" si="626"/>
        <v>60485</v>
      </c>
    </row>
    <row r="8096" spans="1:14" x14ac:dyDescent="0.3">
      <c r="A8096" s="1">
        <v>30486</v>
      </c>
      <c r="B8096" s="10" t="s">
        <v>3456</v>
      </c>
      <c r="C8096" s="15">
        <v>6200</v>
      </c>
      <c r="D8096" s="16" t="s">
        <v>16949</v>
      </c>
      <c r="E8096" s="17" t="s">
        <v>1657</v>
      </c>
      <c r="F8096" t="str">
        <f t="shared" si="623"/>
        <v>Ranchester</v>
      </c>
      <c r="G8096" t="str">
        <f t="shared" si="624"/>
        <v>Ranchester6200Houston</v>
      </c>
      <c r="H8096" t="s">
        <v>38951</v>
      </c>
      <c r="I8096" t="s">
        <v>30358</v>
      </c>
      <c r="J8096" t="str">
        <f t="shared" si="625"/>
        <v>E:\PropInv\MF</v>
      </c>
      <c r="K8096" s="103" t="str">
        <f>HYPERLINK("E:\PropInv\MF\Houston\Ranchester_6200_Hamilton Court_Houston_60486","Ranchester_6200_Hamilton Court_Houston_60486" )</f>
        <v>Ranchester_6200_Hamilton Court_Houston_60486</v>
      </c>
      <c r="L8096" s="104" t="s">
        <v>22253</v>
      </c>
      <c r="N8096" s="1">
        <f t="shared" si="626"/>
        <v>60486</v>
      </c>
    </row>
    <row r="8097" spans="1:14" x14ac:dyDescent="0.3">
      <c r="A8097" s="1">
        <v>30487</v>
      </c>
      <c r="B8097" s="16" t="s">
        <v>12039</v>
      </c>
      <c r="C8097" s="15">
        <v>2801</v>
      </c>
      <c r="D8097" s="16" t="s">
        <v>2825</v>
      </c>
      <c r="E8097" s="17" t="s">
        <v>1657</v>
      </c>
      <c r="F8097" t="str">
        <f t="shared" si="623"/>
        <v>Rolido</v>
      </c>
      <c r="G8097" t="str">
        <f t="shared" si="624"/>
        <v>Rolido2801Houston</v>
      </c>
      <c r="H8097" t="s">
        <v>38952</v>
      </c>
      <c r="I8097" t="s">
        <v>30359</v>
      </c>
      <c r="J8097" t="str">
        <f t="shared" si="625"/>
        <v>E:\PropInv\MF</v>
      </c>
      <c r="K8097" s="103" t="str">
        <f>HYPERLINK("E:\PropInv\MF\Houston\Rolido Dr_2801_Rolido Parque_Houston_60487","Rolido Dr_2801_Rolido Parque_Houston_60487" )</f>
        <v>Rolido Dr_2801_Rolido Parque_Houston_60487</v>
      </c>
      <c r="L8097" s="104" t="s">
        <v>22253</v>
      </c>
      <c r="N8097" s="1">
        <f t="shared" si="626"/>
        <v>60487</v>
      </c>
    </row>
    <row r="8098" spans="1:14" x14ac:dyDescent="0.3">
      <c r="A8098" s="97">
        <v>30488</v>
      </c>
      <c r="B8098" s="16" t="s">
        <v>12040</v>
      </c>
      <c r="C8098" s="15">
        <v>6500</v>
      </c>
      <c r="D8098" s="16" t="s">
        <v>12041</v>
      </c>
      <c r="E8098" s="17" t="s">
        <v>1657</v>
      </c>
      <c r="F8098" t="str">
        <f t="shared" si="623"/>
        <v>Rookin</v>
      </c>
      <c r="G8098" t="str">
        <f t="shared" si="624"/>
        <v>Rookin6500Houston</v>
      </c>
      <c r="H8098" t="s">
        <v>38953</v>
      </c>
      <c r="I8098" t="s">
        <v>30360</v>
      </c>
      <c r="J8098" t="str">
        <f t="shared" si="625"/>
        <v>E:\PropInv\MF</v>
      </c>
      <c r="K8098" s="103" t="str">
        <f>HYPERLINK("E:\PropInv\MF\Houston\Rookin_6500_Windsor Place Care Center_Houston_60488","Rookin_6500_Windsor Place Care Center_Houston_60488" )</f>
        <v>Rookin_6500_Windsor Place Care Center_Houston_60488</v>
      </c>
      <c r="L8098" s="104" t="s">
        <v>22253</v>
      </c>
      <c r="N8098" s="1">
        <f t="shared" si="626"/>
        <v>60488</v>
      </c>
    </row>
    <row r="8099" spans="1:14" x14ac:dyDescent="0.3">
      <c r="A8099" s="1">
        <v>30489</v>
      </c>
      <c r="B8099" s="16" t="s">
        <v>2800</v>
      </c>
      <c r="C8099" s="15">
        <v>7415</v>
      </c>
      <c r="D8099" s="16" t="s">
        <v>12042</v>
      </c>
      <c r="E8099" s="17" t="s">
        <v>1657</v>
      </c>
      <c r="F8099" t="str">
        <f t="shared" si="623"/>
        <v>Gessner</v>
      </c>
      <c r="G8099" t="str">
        <f t="shared" si="624"/>
        <v>Gessner7415Houston</v>
      </c>
      <c r="H8099" t="s">
        <v>38954</v>
      </c>
      <c r="I8099" t="s">
        <v>30361</v>
      </c>
      <c r="J8099" t="str">
        <f t="shared" si="625"/>
        <v>E:\PropInv\MF</v>
      </c>
      <c r="K8099" s="103" t="str">
        <f>HYPERLINK("E:\PropInv\MF\Houston\Gessner S_7415_Summerfield Apts_Houston_60489","Gessner S_7415_Summerfield Apts_Houston_60489" )</f>
        <v>Gessner S_7415_Summerfield Apts_Houston_60489</v>
      </c>
      <c r="L8099" s="104" t="s">
        <v>22253</v>
      </c>
      <c r="N8099" s="1">
        <f t="shared" si="626"/>
        <v>60489</v>
      </c>
    </row>
    <row r="8100" spans="1:14" x14ac:dyDescent="0.3">
      <c r="A8100" s="1">
        <v>30490</v>
      </c>
      <c r="B8100" s="16" t="s">
        <v>4207</v>
      </c>
      <c r="C8100" s="15">
        <v>12601</v>
      </c>
      <c r="D8100" s="16" t="s">
        <v>2497</v>
      </c>
      <c r="E8100" s="17" t="s">
        <v>1657</v>
      </c>
      <c r="F8100" t="str">
        <f t="shared" si="623"/>
        <v>Green</v>
      </c>
      <c r="G8100" t="str">
        <f t="shared" si="624"/>
        <v>Green12601Houston</v>
      </c>
      <c r="H8100" t="s">
        <v>38955</v>
      </c>
      <c r="I8100" t="s">
        <v>30362</v>
      </c>
      <c r="J8100" t="str">
        <f t="shared" si="625"/>
        <v>E:\PropInv\MF</v>
      </c>
      <c r="K8100" s="103" t="str">
        <f>HYPERLINK("E:\PropInv\MF\Houston\Green Dr S_12601_NF_Houston_60490","Green Dr S_12601_NF_Houston_60490" )</f>
        <v>Green Dr S_12601_NF_Houston_60490</v>
      </c>
      <c r="L8100" s="104" t="s">
        <v>22253</v>
      </c>
      <c r="N8100" s="1">
        <f t="shared" si="626"/>
        <v>60490</v>
      </c>
    </row>
    <row r="8101" spans="1:14" x14ac:dyDescent="0.3">
      <c r="A8101" s="1">
        <v>30491</v>
      </c>
      <c r="B8101" s="16" t="s">
        <v>12043</v>
      </c>
      <c r="C8101" s="15">
        <v>801</v>
      </c>
      <c r="D8101" s="16" t="s">
        <v>12044</v>
      </c>
      <c r="E8101" s="17" t="s">
        <v>1657</v>
      </c>
      <c r="F8101" t="str">
        <f t="shared" si="623"/>
        <v>Saint</v>
      </c>
      <c r="G8101" t="str">
        <f t="shared" si="624"/>
        <v>Saint801Houston</v>
      </c>
      <c r="H8101" t="s">
        <v>38956</v>
      </c>
      <c r="I8101" t="s">
        <v>30363</v>
      </c>
      <c r="J8101" t="str">
        <f t="shared" si="625"/>
        <v>E:\PropInv\MF</v>
      </c>
      <c r="K8101" s="103" t="str">
        <f>HYPERLINK("E:\PropInv\MF\Houston\Saint Joseph Pkwy_801_Former Days Inn-vacant_Houston_60491","Saint Joseph Pkwy_801_Former Days Inn-vacant_Houston_60491" )</f>
        <v>Saint Joseph Pkwy_801_Former Days Inn-vacant_Houston_60491</v>
      </c>
      <c r="L8101" s="104" t="s">
        <v>22253</v>
      </c>
      <c r="N8101" s="1">
        <f t="shared" si="626"/>
        <v>60491</v>
      </c>
    </row>
    <row r="8102" spans="1:14" x14ac:dyDescent="0.3">
      <c r="A8102" s="1">
        <v>30492</v>
      </c>
      <c r="B8102" s="16" t="s">
        <v>4108</v>
      </c>
      <c r="C8102" s="15">
        <v>7006</v>
      </c>
      <c r="D8102" s="16" t="s">
        <v>3816</v>
      </c>
      <c r="E8102" s="17" t="s">
        <v>1657</v>
      </c>
      <c r="F8102" t="str">
        <f t="shared" si="623"/>
        <v>Scott</v>
      </c>
      <c r="G8102" t="str">
        <f t="shared" si="624"/>
        <v>Scott7006Houston</v>
      </c>
      <c r="H8102" t="s">
        <v>38957</v>
      </c>
      <c r="I8102" t="s">
        <v>30364</v>
      </c>
      <c r="J8102" t="str">
        <f t="shared" si="625"/>
        <v>E:\PropInv\MF</v>
      </c>
      <c r="K8102" s="103" t="str">
        <f>HYPERLINK("E:\PropInv\MF\Houston\Scott St_7006_Southlawn Palms_Houston_60492","Scott St_7006_Southlawn Palms_Houston_60492" )</f>
        <v>Scott St_7006_Southlawn Palms_Houston_60492</v>
      </c>
      <c r="L8102" s="104" t="s">
        <v>22253</v>
      </c>
      <c r="N8102" s="1">
        <f t="shared" si="626"/>
        <v>60492</v>
      </c>
    </row>
    <row r="8103" spans="1:14" x14ac:dyDescent="0.3">
      <c r="A8103" s="1">
        <v>30493</v>
      </c>
      <c r="B8103" s="16" t="s">
        <v>12045</v>
      </c>
      <c r="C8103" s="61">
        <v>123</v>
      </c>
      <c r="D8103" s="16" t="s">
        <v>2497</v>
      </c>
      <c r="E8103" s="17" t="s">
        <v>1657</v>
      </c>
      <c r="F8103" t="str">
        <f t="shared" si="623"/>
        <v>Houston</v>
      </c>
      <c r="G8103" t="str">
        <f t="shared" si="624"/>
        <v>Houston123Houston</v>
      </c>
      <c r="H8103" t="s">
        <v>38958</v>
      </c>
      <c r="I8103" t="s">
        <v>30365</v>
      </c>
      <c r="J8103" t="str">
        <f t="shared" si="625"/>
        <v>E:\PropInv\MF</v>
      </c>
      <c r="K8103" s="103" t="str">
        <f>HYPERLINK("E:\PropInv\MF\Houston\Houston SE_123_NF_Houston_60493","Houston SE_123_NF_Houston_60493" )</f>
        <v>Houston SE_123_NF_Houston_60493</v>
      </c>
      <c r="L8103" s="104" t="s">
        <v>22253</v>
      </c>
      <c r="N8103" s="1">
        <f t="shared" si="626"/>
        <v>60493</v>
      </c>
    </row>
    <row r="8104" spans="1:14" x14ac:dyDescent="0.3">
      <c r="A8104" s="1">
        <v>30494</v>
      </c>
      <c r="B8104" s="16" t="s">
        <v>4329</v>
      </c>
      <c r="C8104" s="15">
        <v>16200</v>
      </c>
      <c r="D8104" s="16" t="s">
        <v>12046</v>
      </c>
      <c r="E8104" s="17" t="s">
        <v>1657</v>
      </c>
      <c r="F8104" t="str">
        <f t="shared" si="623"/>
        <v>Space</v>
      </c>
      <c r="G8104" t="str">
        <f t="shared" si="624"/>
        <v>Space16200Houston</v>
      </c>
      <c r="H8104" t="s">
        <v>38959</v>
      </c>
      <c r="I8104" t="s">
        <v>30366</v>
      </c>
      <c r="J8104" t="str">
        <f t="shared" si="625"/>
        <v>E:\PropInv\MF</v>
      </c>
      <c r="K8104" s="103" t="str">
        <f>HYPERLINK("E:\PropInv\MF\Houston\Space Center Blvd_16200_Retreat of Clear Lake_Houston_60494","Space Center Blvd_16200_Retreat of Clear Lake_Houston_60494" )</f>
        <v>Space Center Blvd_16200_Retreat of Clear Lake_Houston_60494</v>
      </c>
      <c r="L8104" s="104" t="s">
        <v>22253</v>
      </c>
      <c r="N8104" s="1">
        <f t="shared" si="626"/>
        <v>60494</v>
      </c>
    </row>
    <row r="8105" spans="1:14" x14ac:dyDescent="0.3">
      <c r="A8105" s="1">
        <v>30495</v>
      </c>
      <c r="B8105" s="16" t="s">
        <v>12047</v>
      </c>
      <c r="C8105" s="15">
        <v>200</v>
      </c>
      <c r="D8105" s="16" t="s">
        <v>12048</v>
      </c>
      <c r="E8105" s="17" t="s">
        <v>1657</v>
      </c>
      <c r="F8105" t="str">
        <f t="shared" si="623"/>
        <v>Sunnyside</v>
      </c>
      <c r="G8105" t="str">
        <f t="shared" si="624"/>
        <v>Sunnyside200Houston</v>
      </c>
      <c r="H8105" t="s">
        <v>38960</v>
      </c>
      <c r="I8105" t="s">
        <v>30367</v>
      </c>
      <c r="J8105" t="str">
        <f t="shared" si="625"/>
        <v>E:\PropInv\MF</v>
      </c>
      <c r="K8105" s="103" t="str">
        <f>HYPERLINK("E:\PropInv\MF\Houston\Sunnyside St_200_La Casita_Houston_60495","Sunnyside St_200_La Casita_Houston_60495" )</f>
        <v>Sunnyside St_200_La Casita_Houston_60495</v>
      </c>
      <c r="L8105" s="104" t="s">
        <v>22253</v>
      </c>
      <c r="N8105" s="1">
        <f t="shared" si="626"/>
        <v>60495</v>
      </c>
    </row>
    <row r="8106" spans="1:14" x14ac:dyDescent="0.3">
      <c r="A8106" s="1">
        <v>30496</v>
      </c>
      <c r="B8106" s="67" t="s">
        <v>2968</v>
      </c>
      <c r="C8106" s="32">
        <v>6910</v>
      </c>
      <c r="D8106" s="31" t="s">
        <v>12049</v>
      </c>
      <c r="E8106" s="33" t="s">
        <v>1657</v>
      </c>
      <c r="F8106" t="str">
        <f t="shared" si="623"/>
        <v>SW</v>
      </c>
      <c r="G8106" t="str">
        <f t="shared" si="624"/>
        <v>SW6910Houston</v>
      </c>
      <c r="H8106" t="s">
        <v>38961</v>
      </c>
      <c r="I8106" t="s">
        <v>30368</v>
      </c>
      <c r="J8106" t="str">
        <f t="shared" si="625"/>
        <v>E:\PropInv\MF</v>
      </c>
      <c r="K8106" s="103" t="str">
        <f>HYPERLINK("E:\PropInv\MF\Houston\SW Fwy_6910_ARENA GARDENS_Houston_60496","SW Fwy_6910_ARENA GARDENS_Houston_60496" )</f>
        <v>SW Fwy_6910_ARENA GARDENS_Houston_60496</v>
      </c>
      <c r="L8106" s="104" t="s">
        <v>22253</v>
      </c>
      <c r="N8106" s="1">
        <f t="shared" si="626"/>
        <v>60496</v>
      </c>
    </row>
    <row r="8107" spans="1:14" x14ac:dyDescent="0.3">
      <c r="A8107" s="1">
        <v>30497</v>
      </c>
      <c r="B8107" s="16" t="s">
        <v>3103</v>
      </c>
      <c r="C8107" s="15">
        <v>1114</v>
      </c>
      <c r="D8107" s="16" t="s">
        <v>12050</v>
      </c>
      <c r="E8107" s="17" t="s">
        <v>1657</v>
      </c>
      <c r="F8107" t="str">
        <f t="shared" si="623"/>
        <v>Texas</v>
      </c>
      <c r="G8107" t="str">
        <f t="shared" si="624"/>
        <v>Texas1114Houston</v>
      </c>
      <c r="H8107" t="s">
        <v>38962</v>
      </c>
      <c r="I8107" t="s">
        <v>30369</v>
      </c>
      <c r="J8107" t="str">
        <f t="shared" si="625"/>
        <v>E:\PropInv\MF</v>
      </c>
      <c r="K8107" s="103" t="str">
        <f>HYPERLINK("E:\PropInv\MF\Houston\Texas Ave_1114_Downtown Houston_Houston_60497","Texas Ave_1114_Downtown Houston_Houston_60497" )</f>
        <v>Texas Ave_1114_Downtown Houston_Houston_60497</v>
      </c>
      <c r="L8107" s="104" t="s">
        <v>22253</v>
      </c>
      <c r="N8107" s="1">
        <f t="shared" si="626"/>
        <v>60497</v>
      </c>
    </row>
    <row r="8108" spans="1:14" x14ac:dyDescent="0.3">
      <c r="A8108" s="1">
        <v>30498</v>
      </c>
      <c r="B8108" s="16" t="s">
        <v>12051</v>
      </c>
      <c r="C8108" s="15">
        <v>13016</v>
      </c>
      <c r="D8108" s="16" t="s">
        <v>12052</v>
      </c>
      <c r="E8108" s="17" t="s">
        <v>1657</v>
      </c>
      <c r="F8108" t="str">
        <f t="shared" si="623"/>
        <v>Ticonderoga</v>
      </c>
      <c r="G8108" t="str">
        <f t="shared" si="624"/>
        <v>Ticonderoga13016Houston</v>
      </c>
      <c r="H8108" t="s">
        <v>38963</v>
      </c>
      <c r="I8108" t="s">
        <v>30370</v>
      </c>
      <c r="J8108" t="str">
        <f t="shared" si="625"/>
        <v>E:\PropInv\MF</v>
      </c>
      <c r="K8108" s="103" t="str">
        <f>HYPERLINK("E:\PropInv\MF\Houston\Ticonderoga_13016_Ticonderoga Pines_Houston_60498","Ticonderoga_13016_Ticonderoga Pines_Houston_60498" )</f>
        <v>Ticonderoga_13016_Ticonderoga Pines_Houston_60498</v>
      </c>
      <c r="L8108" s="104" t="s">
        <v>22253</v>
      </c>
      <c r="N8108" s="1">
        <f t="shared" si="626"/>
        <v>60498</v>
      </c>
    </row>
    <row r="8109" spans="1:14" x14ac:dyDescent="0.3">
      <c r="A8109" s="1">
        <v>30499</v>
      </c>
      <c r="B8109" s="16" t="s">
        <v>12053</v>
      </c>
      <c r="C8109" s="15">
        <v>7812</v>
      </c>
      <c r="D8109" s="16" t="s">
        <v>12054</v>
      </c>
      <c r="E8109" s="17" t="s">
        <v>1657</v>
      </c>
      <c r="F8109" t="str">
        <f t="shared" si="623"/>
        <v>Tierwester</v>
      </c>
      <c r="G8109" t="str">
        <f t="shared" si="624"/>
        <v>Tierwester7812Houston</v>
      </c>
      <c r="H8109" t="s">
        <v>38964</v>
      </c>
      <c r="I8109" t="s">
        <v>30371</v>
      </c>
      <c r="J8109" t="str">
        <f t="shared" si="625"/>
        <v>E:\PropInv\MF</v>
      </c>
      <c r="K8109" s="103" t="str">
        <f>HYPERLINK("E:\PropInv\MF\Houston\Tierwester_7812_Tierwester Village Apts_Houston_60499","Tierwester_7812_Tierwester Village Apts_Houston_60499" )</f>
        <v>Tierwester_7812_Tierwester Village Apts_Houston_60499</v>
      </c>
      <c r="L8109" s="104" t="s">
        <v>22253</v>
      </c>
      <c r="N8109" s="1">
        <f t="shared" si="626"/>
        <v>60499</v>
      </c>
    </row>
    <row r="8110" spans="1:14" x14ac:dyDescent="0.3">
      <c r="A8110" s="1">
        <v>30500</v>
      </c>
      <c r="B8110" s="16" t="s">
        <v>9277</v>
      </c>
      <c r="C8110" s="15">
        <v>8721</v>
      </c>
      <c r="D8110" s="16" t="s">
        <v>2497</v>
      </c>
      <c r="E8110" s="17" t="s">
        <v>1657</v>
      </c>
      <c r="F8110" t="str">
        <f t="shared" si="623"/>
        <v>Town</v>
      </c>
      <c r="G8110" t="str">
        <f t="shared" si="624"/>
        <v>Town8721Houston</v>
      </c>
      <c r="H8110" t="s">
        <v>38965</v>
      </c>
      <c r="I8110" t="s">
        <v>30372</v>
      </c>
      <c r="J8110" t="str">
        <f t="shared" si="625"/>
        <v>E:\PropInv\MF</v>
      </c>
      <c r="K8110" s="103" t="str">
        <f>HYPERLINK("E:\PropInv\MF\Houston\Town Park Dr_8721_NF_Houston_60500","Town Park Dr_8721_NF_Houston_60500" )</f>
        <v>Town Park Dr_8721_NF_Houston_60500</v>
      </c>
      <c r="L8110" s="104" t="s">
        <v>22253</v>
      </c>
      <c r="N8110" s="1">
        <f t="shared" si="626"/>
        <v>60500</v>
      </c>
    </row>
    <row r="8111" spans="1:14" x14ac:dyDescent="0.3">
      <c r="A8111" s="1">
        <v>30501</v>
      </c>
      <c r="B8111" s="44" t="s">
        <v>6258</v>
      </c>
      <c r="C8111" s="32">
        <v>2100</v>
      </c>
      <c r="D8111" s="31" t="s">
        <v>12055</v>
      </c>
      <c r="E8111" s="33" t="s">
        <v>1657</v>
      </c>
      <c r="F8111" t="str">
        <f t="shared" si="623"/>
        <v>Travis</v>
      </c>
      <c r="G8111" t="str">
        <f t="shared" si="624"/>
        <v>Travis2100Houston</v>
      </c>
      <c r="H8111" t="s">
        <v>38966</v>
      </c>
      <c r="I8111" t="s">
        <v>30373</v>
      </c>
      <c r="J8111" t="str">
        <f t="shared" si="625"/>
        <v>E:\PropInv\MF</v>
      </c>
      <c r="K8111" s="103" t="str">
        <f>HYPERLINK("E:\PropInv\MF\Houston\Travis_2100_Central Square Plaza_Houston_60501","Travis_2100_Central Square Plaza_Houston_60501" )</f>
        <v>Travis_2100_Central Square Plaza_Houston_60501</v>
      </c>
      <c r="L8111" s="104" t="s">
        <v>22253</v>
      </c>
      <c r="N8111" s="1">
        <f t="shared" si="626"/>
        <v>60501</v>
      </c>
    </row>
    <row r="8112" spans="1:14" x14ac:dyDescent="0.3">
      <c r="A8112" s="1">
        <v>30502</v>
      </c>
      <c r="B8112" s="16" t="s">
        <v>3053</v>
      </c>
      <c r="C8112" s="15">
        <v>1701</v>
      </c>
      <c r="D8112" s="16" t="s">
        <v>2497</v>
      </c>
      <c r="E8112" s="17" t="s">
        <v>1657</v>
      </c>
      <c r="F8112" t="str">
        <f t="shared" si="623"/>
        <v>Alabama</v>
      </c>
      <c r="G8112" t="str">
        <f t="shared" si="624"/>
        <v>Alabama1701Houston</v>
      </c>
      <c r="H8112" t="s">
        <v>38967</v>
      </c>
      <c r="I8112" t="s">
        <v>30374</v>
      </c>
      <c r="J8112" t="str">
        <f t="shared" si="625"/>
        <v>E:\PropInv\MF</v>
      </c>
      <c r="K8112" s="103" t="str">
        <f>HYPERLINK("E:\PropInv\MF\Houston\Alabama St W_1701_NF_Houston_60502","Alabama St W_1701_NF_Houston_60502" )</f>
        <v>Alabama St W_1701_NF_Houston_60502</v>
      </c>
      <c r="L8112" s="104" t="s">
        <v>22253</v>
      </c>
      <c r="N8112" s="1">
        <f t="shared" si="626"/>
        <v>60502</v>
      </c>
    </row>
    <row r="8113" spans="1:14" x14ac:dyDescent="0.3">
      <c r="A8113" s="1">
        <v>30503</v>
      </c>
      <c r="B8113" s="10" t="s">
        <v>2081</v>
      </c>
      <c r="C8113" s="15">
        <v>3434</v>
      </c>
      <c r="D8113" s="16" t="s">
        <v>12056</v>
      </c>
      <c r="E8113" s="17" t="s">
        <v>1657</v>
      </c>
      <c r="F8113" t="str">
        <f t="shared" si="623"/>
        <v>Little</v>
      </c>
      <c r="G8113" t="str">
        <f t="shared" si="624"/>
        <v>Little3434Houston</v>
      </c>
      <c r="H8113" t="s">
        <v>38968</v>
      </c>
      <c r="I8113" t="s">
        <v>30375</v>
      </c>
      <c r="J8113" t="str">
        <f t="shared" si="625"/>
        <v>E:\PropInv\MF</v>
      </c>
      <c r="K8113" s="103" t="str">
        <f>HYPERLINK("E:\PropInv\MF\Houston\Little York W_3434_Oak Villa Apts_Houston_60503","Little York W_3434_Oak Villa Apts_Houston_60503" )</f>
        <v>Little York W_3434_Oak Villa Apts_Houston_60503</v>
      </c>
      <c r="L8113" s="104" t="s">
        <v>22253</v>
      </c>
      <c r="N8113" s="1">
        <f t="shared" si="626"/>
        <v>60503</v>
      </c>
    </row>
    <row r="8114" spans="1:14" x14ac:dyDescent="0.3">
      <c r="A8114" s="1">
        <v>30504</v>
      </c>
      <c r="B8114" s="44" t="s">
        <v>12057</v>
      </c>
      <c r="C8114" s="32">
        <v>1121</v>
      </c>
      <c r="D8114" s="31" t="s">
        <v>12058</v>
      </c>
      <c r="E8114" s="33" t="s">
        <v>1657</v>
      </c>
      <c r="F8114" t="str">
        <f t="shared" si="623"/>
        <v>Walker</v>
      </c>
      <c r="G8114" t="str">
        <f t="shared" si="624"/>
        <v>Walker1121Houston</v>
      </c>
      <c r="H8114" t="s">
        <v>38969</v>
      </c>
      <c r="I8114" t="s">
        <v>30376</v>
      </c>
      <c r="J8114" t="str">
        <f t="shared" si="625"/>
        <v>E:\PropInv\MF</v>
      </c>
      <c r="K8114" s="103" t="str">
        <f>HYPERLINK("E:\PropInv\MF\Houston\Walker St_1121_Melrose Building_Houston_60504","Walker St_1121_Melrose Building_Houston_60504" )</f>
        <v>Walker St_1121_Melrose Building_Houston_60504</v>
      </c>
      <c r="L8114" s="104" t="s">
        <v>22253</v>
      </c>
      <c r="N8114" s="1">
        <f t="shared" si="626"/>
        <v>60504</v>
      </c>
    </row>
    <row r="8115" spans="1:14" x14ac:dyDescent="0.3">
      <c r="A8115" s="1">
        <v>30505</v>
      </c>
      <c r="B8115" s="16" t="s">
        <v>12059</v>
      </c>
      <c r="C8115" s="15">
        <v>2222</v>
      </c>
      <c r="D8115" s="16" t="s">
        <v>2497</v>
      </c>
      <c r="E8115" s="17" t="s">
        <v>1657</v>
      </c>
      <c r="F8115" t="str">
        <f t="shared" si="623"/>
        <v>White</v>
      </c>
      <c r="G8115" t="str">
        <f t="shared" si="624"/>
        <v>White2222Houston</v>
      </c>
      <c r="H8115" t="s">
        <v>38970</v>
      </c>
      <c r="I8115" t="s">
        <v>30377</v>
      </c>
      <c r="J8115" t="str">
        <f t="shared" si="625"/>
        <v>E:\PropInv\MF</v>
      </c>
      <c r="K8115" s="103" t="str">
        <f>HYPERLINK("E:\PropInv\MF\Houston\White Oak Dr_2222_NF_Houston_60505","White Oak Dr_2222_NF_Houston_60505" )</f>
        <v>White Oak Dr_2222_NF_Houston_60505</v>
      </c>
      <c r="L8115" s="104" t="s">
        <v>22253</v>
      </c>
      <c r="N8115" s="1">
        <f t="shared" si="626"/>
        <v>60505</v>
      </c>
    </row>
    <row r="8116" spans="1:14" x14ac:dyDescent="0.3">
      <c r="A8116" s="1">
        <v>30506</v>
      </c>
      <c r="B8116" s="16" t="s">
        <v>1494</v>
      </c>
      <c r="C8116" s="15">
        <v>1</v>
      </c>
      <c r="D8116" s="16" t="s">
        <v>2497</v>
      </c>
      <c r="E8116" s="17" t="s">
        <v>1657</v>
      </c>
      <c r="F8116" t="str">
        <f t="shared" si="623"/>
        <v>Windrush</v>
      </c>
      <c r="G8116" t="str">
        <f t="shared" si="624"/>
        <v>Windrush1Houston</v>
      </c>
      <c r="H8116" t="s">
        <v>38971</v>
      </c>
      <c r="I8116" t="s">
        <v>30378</v>
      </c>
      <c r="J8116" t="str">
        <f t="shared" si="625"/>
        <v>E:\PropInv\MF</v>
      </c>
      <c r="K8116" s="103" t="str">
        <f>HYPERLINK("E:\PropInv\MF\Houston\Windrush_1_NF_Houston_60506","Windrush_1_NF_Houston_60506" )</f>
        <v>Windrush_1_NF_Houston_60506</v>
      </c>
      <c r="L8116" s="104" t="s">
        <v>22253</v>
      </c>
      <c r="N8116" s="1">
        <f t="shared" si="626"/>
        <v>60506</v>
      </c>
    </row>
    <row r="8117" spans="1:14" x14ac:dyDescent="0.3">
      <c r="A8117" s="1">
        <v>30507</v>
      </c>
      <c r="B8117" s="16" t="s">
        <v>4211</v>
      </c>
      <c r="C8117" s="15">
        <v>9757</v>
      </c>
      <c r="D8117" s="16" t="s">
        <v>12060</v>
      </c>
      <c r="E8117" s="17" t="s">
        <v>12025</v>
      </c>
      <c r="F8117" t="str">
        <f t="shared" si="623"/>
        <v>Windwater</v>
      </c>
      <c r="G8117" t="str">
        <f t="shared" si="624"/>
        <v>Windwater9757houston</v>
      </c>
      <c r="H8117" t="s">
        <v>38972</v>
      </c>
      <c r="I8117" t="s">
        <v>30379</v>
      </c>
      <c r="J8117" t="str">
        <f t="shared" si="625"/>
        <v>E:\PropInv\MF</v>
      </c>
      <c r="K8117" s="103" t="str">
        <f>HYPERLINK("E:\PropInv\MF\houston\Windwater Dr_9757_The Windwater at Windmill Lakes_houston_60507","Windwater Dr_9757_The Windwater at Windmill Lakes_houston_60507" )</f>
        <v>Windwater Dr_9757_The Windwater at Windmill Lakes_houston_60507</v>
      </c>
      <c r="L8117" s="104" t="s">
        <v>22253</v>
      </c>
      <c r="N8117" s="1">
        <f t="shared" si="626"/>
        <v>60507</v>
      </c>
    </row>
    <row r="8118" spans="1:14" x14ac:dyDescent="0.3">
      <c r="A8118" s="1">
        <v>30508</v>
      </c>
      <c r="B8118" s="68" t="s">
        <v>2395</v>
      </c>
      <c r="C8118" s="69">
        <v>7000</v>
      </c>
      <c r="D8118" s="68" t="s">
        <v>12061</v>
      </c>
      <c r="E8118" s="70" t="s">
        <v>1657</v>
      </c>
      <c r="F8118" t="str">
        <f t="shared" si="623"/>
        <v>Wirt</v>
      </c>
      <c r="G8118" t="str">
        <f t="shared" si="624"/>
        <v>Wirt7000Houston</v>
      </c>
      <c r="H8118" t="s">
        <v>38973</v>
      </c>
      <c r="I8118" t="s">
        <v>30380</v>
      </c>
      <c r="J8118" t="str">
        <f t="shared" si="625"/>
        <v>E:\PropInv\MF</v>
      </c>
      <c r="K8118" s="103" t="str">
        <f>HYPERLINK("E:\PropInv\MF\Houston\Wirt Rd_7000_Residences_Houston_60508","Wirt Rd_7000_Residences_Houston_60508" )</f>
        <v>Wirt Rd_7000_Residences_Houston_60508</v>
      </c>
      <c r="L8118" s="104" t="s">
        <v>22253</v>
      </c>
      <c r="N8118" s="1">
        <f t="shared" si="626"/>
        <v>60508</v>
      </c>
    </row>
    <row r="8119" spans="1:14" x14ac:dyDescent="0.3">
      <c r="A8119" s="1">
        <v>30509</v>
      </c>
      <c r="B8119" s="16" t="s">
        <v>4303</v>
      </c>
      <c r="C8119" s="15">
        <v>16201</v>
      </c>
      <c r="D8119" s="16" t="s">
        <v>12062</v>
      </c>
      <c r="E8119" s="17" t="s">
        <v>1657</v>
      </c>
      <c r="F8119" t="str">
        <f t="shared" si="623"/>
        <v>El</v>
      </c>
      <c r="G8119" t="str">
        <f t="shared" si="624"/>
        <v>El16201Houston</v>
      </c>
      <c r="H8119" t="s">
        <v>38974</v>
      </c>
      <c r="I8119" t="s">
        <v>30381</v>
      </c>
      <c r="J8119" t="str">
        <f t="shared" si="625"/>
        <v>E:\PropInv\MF</v>
      </c>
      <c r="K8119" s="103" t="str">
        <f>HYPERLINK("E:\PropInv\MF\Houston\El Camino Real_16201_Chateaux Dijon_Houston_60509","El Camino Real_16201_Chateaux Dijon_Houston_60509" )</f>
        <v>El Camino Real_16201_Chateaux Dijon_Houston_60509</v>
      </c>
      <c r="L8119" s="104" t="s">
        <v>22253</v>
      </c>
      <c r="N8119" s="1">
        <f t="shared" si="626"/>
        <v>60509</v>
      </c>
    </row>
    <row r="8120" spans="1:14" x14ac:dyDescent="0.3">
      <c r="A8120" s="1">
        <v>30510</v>
      </c>
      <c r="B8120" s="16" t="s">
        <v>12063</v>
      </c>
      <c r="C8120" s="15">
        <v>5906</v>
      </c>
      <c r="D8120" s="16" t="s">
        <v>12064</v>
      </c>
      <c r="E8120" s="17" t="s">
        <v>2198</v>
      </c>
      <c r="F8120" t="str">
        <f t="shared" si="623"/>
        <v>Grand</v>
      </c>
      <c r="G8120" t="str">
        <f t="shared" si="624"/>
        <v>Grand5906Katy</v>
      </c>
      <c r="H8120" t="s">
        <v>38975</v>
      </c>
      <c r="I8120" t="s">
        <v>30382</v>
      </c>
      <c r="J8120" t="str">
        <f t="shared" si="625"/>
        <v>E:\PropInv\MF</v>
      </c>
      <c r="K8120" s="103" t="str">
        <f>HYPERLINK("E:\PropInv\MF\Katy\Grand Colony Dr_5906_Greenhouse Villas_Katy_60510","Grand Colony Dr_5906_Greenhouse Villas_Katy_60510" )</f>
        <v>Grand Colony Dr_5906_Greenhouse Villas_Katy_60510</v>
      </c>
      <c r="L8120" s="104" t="s">
        <v>22253</v>
      </c>
      <c r="N8120" s="1">
        <f t="shared" si="626"/>
        <v>60510</v>
      </c>
    </row>
    <row r="8121" spans="1:14" x14ac:dyDescent="0.3">
      <c r="A8121" s="1">
        <v>30511</v>
      </c>
      <c r="B8121" s="16" t="s">
        <v>12065</v>
      </c>
      <c r="C8121" s="15">
        <v>21077</v>
      </c>
      <c r="D8121" s="16" t="s">
        <v>12066</v>
      </c>
      <c r="E8121" s="17" t="s">
        <v>2198</v>
      </c>
      <c r="F8121" t="str">
        <f t="shared" si="623"/>
        <v>Kingsland</v>
      </c>
      <c r="G8121" t="str">
        <f t="shared" si="624"/>
        <v>Kingsland21077Katy</v>
      </c>
      <c r="H8121" t="s">
        <v>38976</v>
      </c>
      <c r="I8121" t="s">
        <v>30383</v>
      </c>
      <c r="J8121" t="str">
        <f t="shared" si="625"/>
        <v>E:\PropInv\MF</v>
      </c>
      <c r="K8121" s="103" t="str">
        <f>HYPERLINK("E:\PropInv\MF\Katy\Kingsland_21077_Westbrooke Apts_Katy_60511","Kingsland_21077_Westbrooke Apts_Katy_60511" )</f>
        <v>Kingsland_21077_Westbrooke Apts_Katy_60511</v>
      </c>
      <c r="L8121" s="104" t="s">
        <v>22253</v>
      </c>
      <c r="N8121" s="1">
        <f t="shared" si="626"/>
        <v>60511</v>
      </c>
    </row>
    <row r="8122" spans="1:14" x14ac:dyDescent="0.3">
      <c r="A8122" s="1">
        <v>30512</v>
      </c>
      <c r="B8122" s="16" t="s">
        <v>1660</v>
      </c>
      <c r="C8122" s="15">
        <v>3415</v>
      </c>
      <c r="D8122" s="16" t="s">
        <v>1661</v>
      </c>
      <c r="E8122" s="17" t="s">
        <v>1662</v>
      </c>
      <c r="F8122" t="str">
        <f t="shared" si="623"/>
        <v>Havenbrook</v>
      </c>
      <c r="G8122" t="str">
        <f t="shared" si="624"/>
        <v>Havenbrook3415Kingwood</v>
      </c>
      <c r="H8122" t="s">
        <v>38977</v>
      </c>
      <c r="I8122" t="s">
        <v>23380</v>
      </c>
      <c r="J8122" t="str">
        <f t="shared" si="625"/>
        <v>E:\PropInv\MF</v>
      </c>
      <c r="K8122" s="103" t="str">
        <f>HYPERLINK("E:\PropInv\MF\Kingwood\Havenbrook Dr_3415_Oaks of Kingwood I_Kingwood_60512","Havenbrook Dr_3415_Oaks of Kingwood I_Kingwood_60512" )</f>
        <v>Havenbrook Dr_3415_Oaks of Kingwood I_Kingwood_60512</v>
      </c>
      <c r="L8122" s="104" t="s">
        <v>22253</v>
      </c>
      <c r="N8122" s="1">
        <f t="shared" si="626"/>
        <v>60512</v>
      </c>
    </row>
    <row r="8123" spans="1:14" x14ac:dyDescent="0.3">
      <c r="A8123" s="1">
        <v>30513</v>
      </c>
      <c r="B8123" s="16" t="s">
        <v>22281</v>
      </c>
      <c r="C8123" s="15">
        <v>106</v>
      </c>
      <c r="D8123" s="16" t="s">
        <v>10239</v>
      </c>
      <c r="E8123" s="17" t="s">
        <v>3924</v>
      </c>
      <c r="F8123" t="str">
        <f t="shared" si="623"/>
        <v>Johnson</v>
      </c>
      <c r="G8123" t="str">
        <f t="shared" si="624"/>
        <v>Johnson106Pasadena</v>
      </c>
      <c r="H8123" t="s">
        <v>38978</v>
      </c>
      <c r="I8123" t="s">
        <v>30384</v>
      </c>
      <c r="J8123" t="str">
        <f t="shared" si="625"/>
        <v>E:\PropInv\MF</v>
      </c>
      <c r="K8123" s="103" t="str">
        <f>HYPERLINK("E:\PropInv\MF\Pasadena\Johnson N_106_Shady Oaks Apts_Pasadena_60513","Johnson N_106_Shady Oaks Apts_Pasadena_60513" )</f>
        <v>Johnson N_106_Shady Oaks Apts_Pasadena_60513</v>
      </c>
      <c r="L8123" s="104" t="s">
        <v>22253</v>
      </c>
      <c r="N8123" s="1">
        <f t="shared" si="626"/>
        <v>60513</v>
      </c>
    </row>
    <row r="8124" spans="1:14" x14ac:dyDescent="0.3">
      <c r="A8124" s="1">
        <v>30514</v>
      </c>
      <c r="B8124" s="44" t="s">
        <v>3936</v>
      </c>
      <c r="C8124" s="32">
        <v>407</v>
      </c>
      <c r="D8124" s="16" t="s">
        <v>3947</v>
      </c>
      <c r="E8124" s="33" t="s">
        <v>3924</v>
      </c>
      <c r="F8124" t="str">
        <f t="shared" si="623"/>
        <v>Richey</v>
      </c>
      <c r="G8124" t="str">
        <f t="shared" si="624"/>
        <v>Richey407Pasadena</v>
      </c>
      <c r="H8124" t="s">
        <v>38979</v>
      </c>
      <c r="I8124" t="s">
        <v>30385</v>
      </c>
      <c r="J8124" t="str">
        <f t="shared" si="625"/>
        <v>E:\PropInv\MF</v>
      </c>
      <c r="K8124" s="103" t="str">
        <f>HYPERLINK("E:\PropInv\MF\Pasadena\Richey S_407_Compton Court_Pasadena_60514","Richey S_407_Compton Court_Pasadena_60514" )</f>
        <v>Richey S_407_Compton Court_Pasadena_60514</v>
      </c>
      <c r="L8124" s="104" t="s">
        <v>22253</v>
      </c>
      <c r="N8124" s="1">
        <f t="shared" si="626"/>
        <v>60514</v>
      </c>
    </row>
    <row r="8125" spans="1:14" x14ac:dyDescent="0.3">
      <c r="A8125" s="1">
        <v>30515</v>
      </c>
      <c r="B8125" s="44" t="s">
        <v>12067</v>
      </c>
      <c r="C8125" s="32">
        <v>21899</v>
      </c>
      <c r="D8125" s="31" t="s">
        <v>12068</v>
      </c>
      <c r="E8125" s="33" t="s">
        <v>4688</v>
      </c>
      <c r="F8125" t="str">
        <f t="shared" si="623"/>
        <v>Valley</v>
      </c>
      <c r="G8125" t="str">
        <f t="shared" si="624"/>
        <v>Valley21899Porter</v>
      </c>
      <c r="H8125" t="s">
        <v>38980</v>
      </c>
      <c r="I8125" t="s">
        <v>30386</v>
      </c>
      <c r="J8125" t="str">
        <f t="shared" si="625"/>
        <v>E:\PropInv\MF</v>
      </c>
      <c r="K8125" s="103" t="str">
        <f>HYPERLINK("E:\PropInv\MF\Porter\Valley Ranch Crossing Dr_21899_The Villas at Valley Ranch_Porter_60515","Valley Ranch Crossing Dr_21899_The Villas at Valley Ranch_Porter_60515" )</f>
        <v>Valley Ranch Crossing Dr_21899_The Villas at Valley Ranch_Porter_60515</v>
      </c>
      <c r="L8125" s="104" t="s">
        <v>22253</v>
      </c>
      <c r="N8125" s="1">
        <f t="shared" si="626"/>
        <v>60515</v>
      </c>
    </row>
    <row r="8126" spans="1:14" x14ac:dyDescent="0.3">
      <c r="A8126" s="1">
        <v>30516</v>
      </c>
      <c r="B8126" s="16" t="s">
        <v>4908</v>
      </c>
      <c r="C8126" s="15">
        <v>8601</v>
      </c>
      <c r="D8126" s="16" t="s">
        <v>12069</v>
      </c>
      <c r="E8126" s="17" t="s">
        <v>4569</v>
      </c>
      <c r="F8126" t="str">
        <f t="shared" ref="F8126:F8188" si="627">IFERROR(LEFT(B8126,FIND(" ",B8126)-1),B8126)</f>
        <v>Emmett</v>
      </c>
      <c r="G8126" t="str">
        <f t="shared" ref="G8126:G8188" si="628">F8126&amp;C8126&amp;E8126</f>
        <v>Emmett8601Texas City</v>
      </c>
      <c r="H8126" t="s">
        <v>38981</v>
      </c>
      <c r="I8126" t="s">
        <v>30387</v>
      </c>
      <c r="J8126" t="str">
        <f t="shared" ref="J8126:J8188" si="629">IF(L8126="TX",Folder_Path,Folder_Path&amp;"\State_"&amp;L8126)</f>
        <v>E:\PropInv\MF</v>
      </c>
      <c r="K8126" s="103" t="str">
        <f>HYPERLINK("E:\PropInv\MF\Texas City\Emmett F Lowery Expwy_8601_Oaks at Texas City AH_Texas City_60516","Emmett F Lowery Expwy_8601_Oaks at Texas City AH_Texas City_60516" )</f>
        <v>Emmett F Lowery Expwy_8601_Oaks at Texas City AH_Texas City_60516</v>
      </c>
      <c r="L8126" s="104" t="s">
        <v>22253</v>
      </c>
      <c r="N8126" s="1">
        <f t="shared" si="626"/>
        <v>60516</v>
      </c>
    </row>
    <row r="8127" spans="1:14" x14ac:dyDescent="0.3">
      <c r="A8127" s="1">
        <v>30517</v>
      </c>
      <c r="B8127" s="16" t="s">
        <v>12070</v>
      </c>
      <c r="C8127" s="15">
        <v>1159</v>
      </c>
      <c r="D8127" s="16" t="s">
        <v>2497</v>
      </c>
      <c r="E8127" s="17" t="s">
        <v>1646</v>
      </c>
      <c r="F8127" t="str">
        <f t="shared" si="627"/>
        <v>Lovett</v>
      </c>
      <c r="G8127" t="str">
        <f t="shared" si="628"/>
        <v>Lovett1159Tomball</v>
      </c>
      <c r="H8127" t="s">
        <v>38982</v>
      </c>
      <c r="I8127" t="s">
        <v>30388</v>
      </c>
      <c r="J8127" t="str">
        <f t="shared" si="629"/>
        <v>E:\PropInv\MF</v>
      </c>
      <c r="K8127" s="103" t="str">
        <f>HYPERLINK("E:\PropInv\MF\Tomball\Lovett_1159_NF_Tomball_60517","Lovett_1159_NF_Tomball_60517" )</f>
        <v>Lovett_1159_NF_Tomball_60517</v>
      </c>
      <c r="L8127" s="104" t="s">
        <v>22253</v>
      </c>
      <c r="N8127" s="1">
        <f t="shared" si="626"/>
        <v>60517</v>
      </c>
    </row>
    <row r="8128" spans="1:14" x14ac:dyDescent="0.3">
      <c r="A8128" s="1">
        <v>30518</v>
      </c>
      <c r="B8128" s="16" t="s">
        <v>12071</v>
      </c>
      <c r="C8128" s="15">
        <v>5001</v>
      </c>
      <c r="D8128" s="16" t="s">
        <v>12072</v>
      </c>
      <c r="E8128" s="17" t="s">
        <v>4987</v>
      </c>
      <c r="F8128" t="str">
        <f t="shared" si="627"/>
        <v>Ave</v>
      </c>
      <c r="G8128" t="str">
        <f t="shared" si="628"/>
        <v>Ave5001Bay City</v>
      </c>
      <c r="H8128" t="s">
        <v>38983</v>
      </c>
      <c r="I8128" t="s">
        <v>30389</v>
      </c>
      <c r="J8128" t="str">
        <f t="shared" si="629"/>
        <v>E:\PropInv\MF</v>
      </c>
      <c r="K8128" s="103" t="str">
        <f>HYPERLINK("E:\PropInv\MF\Bay City\Ave F_5001_Baybrook_Bay City_60518","Ave F_5001_Baybrook_Bay City_60518" )</f>
        <v>Ave F_5001_Baybrook_Bay City_60518</v>
      </c>
      <c r="L8128" s="104" t="s">
        <v>22253</v>
      </c>
      <c r="N8128" s="1">
        <f t="shared" si="626"/>
        <v>60518</v>
      </c>
    </row>
    <row r="8129" spans="1:14" x14ac:dyDescent="0.3">
      <c r="A8129" s="1">
        <v>30519</v>
      </c>
      <c r="B8129" s="16" t="s">
        <v>12073</v>
      </c>
      <c r="C8129" s="15">
        <v>1700</v>
      </c>
      <c r="D8129" s="16" t="s">
        <v>12074</v>
      </c>
      <c r="E8129" s="17" t="s">
        <v>4987</v>
      </c>
      <c r="F8129" t="str">
        <f t="shared" si="627"/>
        <v>Baywood</v>
      </c>
      <c r="G8129" t="str">
        <f t="shared" si="628"/>
        <v>Baywood1700Bay City</v>
      </c>
      <c r="H8129" t="s">
        <v>38984</v>
      </c>
      <c r="I8129" t="s">
        <v>30390</v>
      </c>
      <c r="J8129" t="str">
        <f t="shared" si="629"/>
        <v>E:\PropInv\MF</v>
      </c>
      <c r="K8129" s="103" t="str">
        <f>HYPERLINK("E:\PropInv\MF\Bay City\Baywood Dr_1700_Baywood Square_Bay City_60519","Baywood Dr_1700_Baywood Square_Bay City_60519" )</f>
        <v>Baywood Dr_1700_Baywood Square_Bay City_60519</v>
      </c>
      <c r="L8129" s="104" t="s">
        <v>22253</v>
      </c>
      <c r="N8129" s="1">
        <f t="shared" si="626"/>
        <v>60519</v>
      </c>
    </row>
    <row r="8130" spans="1:14" x14ac:dyDescent="0.3">
      <c r="A8130" s="1">
        <v>30520</v>
      </c>
      <c r="B8130" s="16" t="s">
        <v>12075</v>
      </c>
      <c r="C8130" s="15">
        <v>2300</v>
      </c>
      <c r="D8130" s="16" t="s">
        <v>12076</v>
      </c>
      <c r="E8130" s="17" t="s">
        <v>4987</v>
      </c>
      <c r="F8130" t="str">
        <f t="shared" si="627"/>
        <v>Hamman</v>
      </c>
      <c r="G8130" t="str">
        <f t="shared" si="628"/>
        <v>Hamman2300Bay City</v>
      </c>
      <c r="H8130" t="s">
        <v>38985</v>
      </c>
      <c r="I8130" t="s">
        <v>30391</v>
      </c>
      <c r="J8130" t="str">
        <f t="shared" si="629"/>
        <v>E:\PropInv\MF</v>
      </c>
      <c r="K8130" s="103" t="str">
        <f>HYPERLINK("E:\PropInv\MF\Bay City\Hamman_2300_Wildwood Apts_Bay City_60520","Hamman_2300_Wildwood Apts_Bay City_60520" )</f>
        <v>Hamman_2300_Wildwood Apts_Bay City_60520</v>
      </c>
      <c r="L8130" s="104" t="s">
        <v>22253</v>
      </c>
      <c r="N8130" s="1">
        <f t="shared" ref="N8130:N8193" si="630">IF(LEN(A8130)=1,"0000"&amp;A8130,IF(LEN(A8130)=2,"000"&amp;A8130,IF(LEN(A8130)=3,"00"&amp;A8130,IF(LEN(A8130)=4,"0"&amp;A8130,IF(LEN(A8130)=5,IF(LEFT(A8130,1)="3",A8130+30000,A8130))))))</f>
        <v>60520</v>
      </c>
    </row>
    <row r="8131" spans="1:14" x14ac:dyDescent="0.3">
      <c r="A8131" s="1">
        <v>30521</v>
      </c>
      <c r="B8131" s="16" t="s">
        <v>12077</v>
      </c>
      <c r="C8131" s="15">
        <v>1909</v>
      </c>
      <c r="D8131" s="16" t="s">
        <v>12078</v>
      </c>
      <c r="E8131" s="17" t="s">
        <v>4987</v>
      </c>
      <c r="F8131" t="str">
        <f t="shared" si="627"/>
        <v>Hamman</v>
      </c>
      <c r="G8131" t="str">
        <f t="shared" si="628"/>
        <v>Hamman1909Bay City</v>
      </c>
      <c r="H8131" t="s">
        <v>38986</v>
      </c>
      <c r="I8131" t="s">
        <v>30392</v>
      </c>
      <c r="J8131" t="str">
        <f t="shared" si="629"/>
        <v>E:\PropInv\MF</v>
      </c>
      <c r="K8131" s="103" t="str">
        <f>HYPERLINK("E:\PropInv\MF\Bay City\Hamman Rd_1909_Riverway Apts_Bay City_60521","Hamman Rd_1909_Riverway Apts_Bay City_60521" )</f>
        <v>Hamman Rd_1909_Riverway Apts_Bay City_60521</v>
      </c>
      <c r="L8131" s="104" t="s">
        <v>22253</v>
      </c>
      <c r="N8131" s="1">
        <f t="shared" si="630"/>
        <v>60521</v>
      </c>
    </row>
    <row r="8132" spans="1:14" x14ac:dyDescent="0.3">
      <c r="A8132" s="1">
        <v>30522</v>
      </c>
      <c r="B8132" s="16" t="s">
        <v>12079</v>
      </c>
      <c r="C8132" s="15">
        <v>704</v>
      </c>
      <c r="D8132" s="16" t="s">
        <v>2468</v>
      </c>
      <c r="E8132" s="17" t="s">
        <v>7824</v>
      </c>
      <c r="F8132" t="str">
        <f t="shared" si="627"/>
        <v>Waring</v>
      </c>
      <c r="G8132" t="str">
        <f t="shared" si="628"/>
        <v>Waring704Dayton</v>
      </c>
      <c r="H8132" t="s">
        <v>38987</v>
      </c>
      <c r="I8132" t="s">
        <v>30393</v>
      </c>
      <c r="J8132" t="str">
        <f t="shared" si="629"/>
        <v>E:\PropInv\MF</v>
      </c>
      <c r="K8132" s="103" t="str">
        <f>HYPERLINK("E:\PropInv\MF\Dayton\Waring E_704_Brookhollow_Dayton_60522","Waring E_704_Brookhollow_Dayton_60522" )</f>
        <v>Waring E_704_Brookhollow_Dayton_60522</v>
      </c>
      <c r="L8132" s="104" t="s">
        <v>22253</v>
      </c>
      <c r="N8132" s="1">
        <f t="shared" si="630"/>
        <v>60522</v>
      </c>
    </row>
    <row r="8133" spans="1:14" x14ac:dyDescent="0.3">
      <c r="A8133" s="1">
        <v>30523</v>
      </c>
      <c r="B8133" s="16" t="s">
        <v>4343</v>
      </c>
      <c r="C8133" s="15">
        <v>4011</v>
      </c>
      <c r="D8133" s="16" t="s">
        <v>12080</v>
      </c>
      <c r="E8133" s="17" t="s">
        <v>5475</v>
      </c>
      <c r="F8133" t="str">
        <f t="shared" si="627"/>
        <v>Nasa</v>
      </c>
      <c r="G8133" t="str">
        <f t="shared" si="628"/>
        <v>Nasa4011El Lago</v>
      </c>
      <c r="H8133" t="s">
        <v>38988</v>
      </c>
      <c r="I8133" t="s">
        <v>30394</v>
      </c>
      <c r="J8133" t="str">
        <f t="shared" si="629"/>
        <v>E:\PropInv\MF</v>
      </c>
      <c r="K8133" s="103" t="str">
        <f>HYPERLINK("E:\PropInv\MF\El Lago\Nasa Pkwy_4011_The Lighthouse at 4011_El Lago_60523","Nasa Pkwy_4011_The Lighthouse at 4011_El Lago_60523" )</f>
        <v>Nasa Pkwy_4011_The Lighthouse at 4011_El Lago_60523</v>
      </c>
      <c r="L8133" s="104" t="s">
        <v>22253</v>
      </c>
      <c r="N8133" s="1">
        <f t="shared" si="630"/>
        <v>60523</v>
      </c>
    </row>
    <row r="8134" spans="1:14" x14ac:dyDescent="0.3">
      <c r="A8134" s="1">
        <v>30524</v>
      </c>
      <c r="B8134" s="16" t="s">
        <v>12081</v>
      </c>
      <c r="C8134" s="15">
        <v>1440</v>
      </c>
      <c r="D8134" s="16" t="s">
        <v>12082</v>
      </c>
      <c r="E8134" s="17" t="s">
        <v>12085</v>
      </c>
      <c r="F8134" t="str">
        <f t="shared" si="627"/>
        <v>Brazos</v>
      </c>
      <c r="G8134" t="str">
        <f t="shared" si="628"/>
        <v>Brazos1440Huntsville</v>
      </c>
      <c r="H8134" t="s">
        <v>38989</v>
      </c>
      <c r="I8134" t="s">
        <v>30395</v>
      </c>
      <c r="J8134" t="str">
        <f t="shared" si="629"/>
        <v>E:\PropInv\MF</v>
      </c>
      <c r="K8134" s="103" t="str">
        <f>HYPERLINK("E:\PropInv\MF\Huntsville\Brazos Dr_1440_Brazos Apts_Huntsville_60524","Brazos Dr_1440_Brazos Apts_Huntsville_60524" )</f>
        <v>Brazos Dr_1440_Brazos Apts_Huntsville_60524</v>
      </c>
      <c r="L8134" s="104" t="s">
        <v>22253</v>
      </c>
      <c r="N8134" s="1">
        <f t="shared" si="630"/>
        <v>60524</v>
      </c>
    </row>
    <row r="8135" spans="1:14" x14ac:dyDescent="0.3">
      <c r="A8135" s="1">
        <v>30525</v>
      </c>
      <c r="B8135" s="16" t="s">
        <v>12083</v>
      </c>
      <c r="C8135" s="15">
        <v>2002</v>
      </c>
      <c r="D8135" s="16" t="s">
        <v>12084</v>
      </c>
      <c r="E8135" s="17" t="s">
        <v>12085</v>
      </c>
      <c r="F8135" t="str">
        <f t="shared" si="627"/>
        <v>20th</v>
      </c>
      <c r="G8135" t="str">
        <f t="shared" si="628"/>
        <v>20th2002Huntsville</v>
      </c>
      <c r="H8135" t="s">
        <v>38990</v>
      </c>
      <c r="I8135" t="s">
        <v>30396</v>
      </c>
      <c r="J8135" t="str">
        <f t="shared" si="629"/>
        <v>E:\PropInv\MF</v>
      </c>
      <c r="K8135" s="103" t="str">
        <f>HYPERLINK("E:\PropInv\MF\Huntsville\20th St_2002_Huntsville Apts_Huntsville_60525","20th St_2002_Huntsville Apts_Huntsville_60525" )</f>
        <v>20th St_2002_Huntsville Apts_Huntsville_60525</v>
      </c>
      <c r="L8135" s="104" t="s">
        <v>22253</v>
      </c>
      <c r="N8135" s="1">
        <f t="shared" si="630"/>
        <v>60525</v>
      </c>
    </row>
    <row r="8136" spans="1:14" x14ac:dyDescent="0.3">
      <c r="A8136" s="1">
        <v>30526</v>
      </c>
      <c r="B8136" s="16" t="s">
        <v>12086</v>
      </c>
      <c r="C8136" s="15">
        <v>2209</v>
      </c>
      <c r="D8136" s="16" t="s">
        <v>980</v>
      </c>
      <c r="E8136" s="17" t="s">
        <v>12085</v>
      </c>
      <c r="F8136" t="str">
        <f t="shared" si="627"/>
        <v>Bobby</v>
      </c>
      <c r="G8136" t="str">
        <f t="shared" si="628"/>
        <v>Bobby2209Huntsville</v>
      </c>
      <c r="H8136" t="s">
        <v>38991</v>
      </c>
      <c r="I8136" t="s">
        <v>30397</v>
      </c>
      <c r="J8136" t="str">
        <f t="shared" si="629"/>
        <v>E:\PropInv\MF</v>
      </c>
      <c r="K8136" s="103" t="str">
        <f>HYPERLINK("E:\PropInv\MF\Huntsville\Bobby K Marks Dr_2209_Cornerstone_Huntsville_60526","Bobby K Marks Dr_2209_Cornerstone_Huntsville_60526" )</f>
        <v>Bobby K Marks Dr_2209_Cornerstone_Huntsville_60526</v>
      </c>
      <c r="L8136" s="104" t="s">
        <v>22253</v>
      </c>
      <c r="N8136" s="1">
        <f t="shared" si="630"/>
        <v>60526</v>
      </c>
    </row>
    <row r="8137" spans="1:14" x14ac:dyDescent="0.3">
      <c r="A8137" s="1">
        <v>30527</v>
      </c>
      <c r="B8137" s="16" t="s">
        <v>9158</v>
      </c>
      <c r="C8137" s="15">
        <v>1301</v>
      </c>
      <c r="D8137" s="16" t="s">
        <v>12087</v>
      </c>
      <c r="E8137" s="17" t="s">
        <v>12085</v>
      </c>
      <c r="F8137" t="str">
        <f t="shared" si="627"/>
        <v>45</v>
      </c>
      <c r="G8137" t="str">
        <f t="shared" si="628"/>
        <v>451301Huntsville</v>
      </c>
      <c r="H8137" t="s">
        <v>38992</v>
      </c>
      <c r="I8137" t="s">
        <v>30398</v>
      </c>
      <c r="J8137" t="str">
        <f t="shared" si="629"/>
        <v>E:\PropInv\MF</v>
      </c>
      <c r="K8137" s="103" t="str">
        <f>HYPERLINK("E:\PropInv\MF\Huntsville\45 IH_1301_Texas Apt Complex_Huntsville_60527","45 IH_1301_Texas Apt Complex_Huntsville_60527" )</f>
        <v>45 IH_1301_Texas Apt Complex_Huntsville_60527</v>
      </c>
      <c r="L8137" s="104" t="s">
        <v>22253</v>
      </c>
      <c r="N8137" s="1">
        <f t="shared" si="630"/>
        <v>60527</v>
      </c>
    </row>
    <row r="8138" spans="1:14" x14ac:dyDescent="0.3">
      <c r="A8138" s="97">
        <v>30528</v>
      </c>
      <c r="B8138" s="16" t="s">
        <v>12088</v>
      </c>
      <c r="C8138" s="15">
        <v>1235</v>
      </c>
      <c r="D8138" s="16" t="s">
        <v>8134</v>
      </c>
      <c r="E8138" s="17" t="s">
        <v>12085</v>
      </c>
      <c r="F8138" t="str">
        <f t="shared" si="627"/>
        <v>Josey</v>
      </c>
      <c r="G8138" t="str">
        <f t="shared" si="628"/>
        <v>Josey1235Huntsville</v>
      </c>
      <c r="H8138" t="s">
        <v>38993</v>
      </c>
      <c r="I8138" t="s">
        <v>30399</v>
      </c>
      <c r="J8138" t="str">
        <f t="shared" si="629"/>
        <v>E:\PropInv\MF</v>
      </c>
      <c r="K8138" s="103" t="str">
        <f>HYPERLINK("E:\PropInv\MF\Huntsville\Josey St_1235_Woodcreek_Huntsville_60528","Josey St_1235_Woodcreek_Huntsville_60528" )</f>
        <v>Josey St_1235_Woodcreek_Huntsville_60528</v>
      </c>
      <c r="L8138" s="104" t="s">
        <v>22253</v>
      </c>
      <c r="N8138" s="1">
        <f t="shared" si="630"/>
        <v>60528</v>
      </c>
    </row>
    <row r="8139" spans="1:14" x14ac:dyDescent="0.3">
      <c r="A8139" s="1">
        <v>30529</v>
      </c>
      <c r="B8139" s="16" t="s">
        <v>4480</v>
      </c>
      <c r="C8139" s="15">
        <v>2450</v>
      </c>
      <c r="D8139" s="16" t="s">
        <v>12089</v>
      </c>
      <c r="E8139" s="17" t="s">
        <v>12085</v>
      </c>
      <c r="F8139" t="str">
        <f t="shared" si="627"/>
        <v>Lake</v>
      </c>
      <c r="G8139" t="str">
        <f t="shared" si="628"/>
        <v>Lake2450Huntsville</v>
      </c>
      <c r="H8139" t="s">
        <v>38994</v>
      </c>
      <c r="I8139" t="s">
        <v>30400</v>
      </c>
      <c r="J8139" t="str">
        <f t="shared" si="629"/>
        <v>E:\PropInv\MF</v>
      </c>
      <c r="K8139" s="103" t="str">
        <f>HYPERLINK("E:\PropInv\MF\Huntsville\Lake Rd_2450_Huntsville Apt Complexes_Huntsville_60529","Lake Rd_2450_Huntsville Apt Complexes_Huntsville_60529" )</f>
        <v>Lake Rd_2450_Huntsville Apt Complexes_Huntsville_60529</v>
      </c>
      <c r="L8139" s="104" t="s">
        <v>22253</v>
      </c>
      <c r="N8139" s="1">
        <f t="shared" si="630"/>
        <v>60529</v>
      </c>
    </row>
    <row r="8140" spans="1:14" x14ac:dyDescent="0.3">
      <c r="A8140" s="1">
        <v>30530</v>
      </c>
      <c r="B8140" s="16" t="s">
        <v>12090</v>
      </c>
      <c r="C8140" s="15">
        <v>23242</v>
      </c>
      <c r="D8140" s="16" t="s">
        <v>2497</v>
      </c>
      <c r="E8140" s="17" t="s">
        <v>12091</v>
      </c>
      <c r="F8140" t="str">
        <f t="shared" si="627"/>
        <v>High</v>
      </c>
      <c r="G8140" t="str">
        <f t="shared" si="628"/>
        <v>High23242Prairie View</v>
      </c>
      <c r="H8140" t="s">
        <v>38995</v>
      </c>
      <c r="I8140" t="s">
        <v>30401</v>
      </c>
      <c r="J8140" t="str">
        <f t="shared" si="629"/>
        <v>E:\PropInv\MF</v>
      </c>
      <c r="K8140" s="103" t="str">
        <f>HYPERLINK("E:\PropInv\MF\Prairie View\High Point St_23242_NF_Prairie View_60530","High Point St_23242_NF_Prairie View_60530" )</f>
        <v>High Point St_23242_NF_Prairie View_60530</v>
      </c>
      <c r="L8140" s="104" t="s">
        <v>22253</v>
      </c>
      <c r="N8140" s="1">
        <f t="shared" si="630"/>
        <v>60530</v>
      </c>
    </row>
    <row r="8141" spans="1:14" x14ac:dyDescent="0.3">
      <c r="A8141" s="1">
        <v>30531</v>
      </c>
      <c r="B8141" s="16" t="s">
        <v>12071</v>
      </c>
      <c r="C8141" s="15">
        <v>2001</v>
      </c>
      <c r="D8141" s="16" t="s">
        <v>1080</v>
      </c>
      <c r="E8141" s="66" t="s">
        <v>12092</v>
      </c>
      <c r="F8141" t="str">
        <f t="shared" si="627"/>
        <v>Ave</v>
      </c>
      <c r="G8141" t="str">
        <f t="shared" si="628"/>
        <v>Ave2001Wharton</v>
      </c>
      <c r="H8141" t="s">
        <v>38996</v>
      </c>
      <c r="I8141" t="s">
        <v>30402</v>
      </c>
      <c r="J8141" t="str">
        <f t="shared" si="629"/>
        <v>E:\PropInv\MF</v>
      </c>
      <c r="K8141" s="103" t="str">
        <f>HYPERLINK("E:\PropInv\MF\Wharton\Ave F_2001_Greenbriar_Wharton_60531","Ave F_2001_Greenbriar_Wharton_60531" )</f>
        <v>Ave F_2001_Greenbriar_Wharton_60531</v>
      </c>
      <c r="L8141" s="104" t="s">
        <v>22253</v>
      </c>
      <c r="N8141" s="1">
        <f t="shared" si="630"/>
        <v>60531</v>
      </c>
    </row>
    <row r="8142" spans="1:14" x14ac:dyDescent="0.3">
      <c r="A8142" s="1">
        <v>30532</v>
      </c>
      <c r="B8142" s="16" t="s">
        <v>12093</v>
      </c>
      <c r="C8142" s="15">
        <v>1823</v>
      </c>
      <c r="D8142" s="16" t="s">
        <v>1678</v>
      </c>
      <c r="E8142" s="17" t="s">
        <v>12092</v>
      </c>
      <c r="F8142" t="str">
        <f t="shared" si="627"/>
        <v>Stadium</v>
      </c>
      <c r="G8142" t="str">
        <f t="shared" si="628"/>
        <v>Stadium1823Wharton</v>
      </c>
      <c r="H8142" t="s">
        <v>38997</v>
      </c>
      <c r="I8142" t="s">
        <v>30403</v>
      </c>
      <c r="J8142" t="str">
        <f t="shared" si="629"/>
        <v>E:\PropInv\MF</v>
      </c>
      <c r="K8142" s="103" t="str">
        <f>HYPERLINK("E:\PropInv\MF\Wharton\Stadium Rd_1823_Mill Creek_Wharton_60532","Stadium Rd_1823_Mill Creek_Wharton_60532" )</f>
        <v>Stadium Rd_1823_Mill Creek_Wharton_60532</v>
      </c>
      <c r="L8142" s="104" t="s">
        <v>22253</v>
      </c>
      <c r="N8142" s="1">
        <f t="shared" si="630"/>
        <v>60532</v>
      </c>
    </row>
    <row r="8143" spans="1:14" x14ac:dyDescent="0.3">
      <c r="A8143" s="1">
        <v>30533</v>
      </c>
      <c r="B8143" s="16" t="s">
        <v>12094</v>
      </c>
      <c r="C8143" s="15">
        <v>2700</v>
      </c>
      <c r="D8143" s="16" t="s">
        <v>12095</v>
      </c>
      <c r="E8143" s="33" t="s">
        <v>12096</v>
      </c>
      <c r="F8143" t="str">
        <f t="shared" si="627"/>
        <v>802</v>
      </c>
      <c r="G8143" t="str">
        <f t="shared" si="628"/>
        <v>8022700Brownsville</v>
      </c>
      <c r="H8143" t="s">
        <v>38998</v>
      </c>
      <c r="I8143" t="s">
        <v>30404</v>
      </c>
      <c r="J8143" t="str">
        <f t="shared" si="629"/>
        <v>E:\PropInv\MF</v>
      </c>
      <c r="K8143" s="103" t="str">
        <f>HYPERLINK("E:\PropInv\MF\Brownsville\802 FM_2700_La Mansion_Brownsville_60533","802 FM_2700_La Mansion_Brownsville_60533" )</f>
        <v>802 FM_2700_La Mansion_Brownsville_60533</v>
      </c>
      <c r="L8143" s="104" t="s">
        <v>22253</v>
      </c>
      <c r="N8143" s="1">
        <f t="shared" si="630"/>
        <v>60533</v>
      </c>
    </row>
    <row r="8144" spans="1:14" x14ac:dyDescent="0.3">
      <c r="A8144" s="1">
        <v>30534</v>
      </c>
      <c r="B8144" s="16" t="s">
        <v>12097</v>
      </c>
      <c r="C8144" s="15">
        <v>605</v>
      </c>
      <c r="D8144" s="16" t="s">
        <v>12098</v>
      </c>
      <c r="E8144" s="17" t="s">
        <v>12096</v>
      </c>
      <c r="F8144" t="str">
        <f t="shared" si="627"/>
        <v>Parades</v>
      </c>
      <c r="G8144" t="str">
        <f t="shared" si="628"/>
        <v>Parades605Brownsville</v>
      </c>
      <c r="H8144" t="s">
        <v>38999</v>
      </c>
      <c r="I8144" t="s">
        <v>30405</v>
      </c>
      <c r="J8144" t="str">
        <f t="shared" si="629"/>
        <v>E:\PropInv\MF</v>
      </c>
      <c r="K8144" s="103" t="str">
        <f>HYPERLINK("E:\PropInv\MF\Brownsville\Parades Line Rd_605_Brandywyne Apts_Brownsville_60534","Parades Line Rd_605_Brandywyne Apts_Brownsville_60534" )</f>
        <v>Parades Line Rd_605_Brandywyne Apts_Brownsville_60534</v>
      </c>
      <c r="L8144" s="104" t="s">
        <v>22253</v>
      </c>
      <c r="N8144" s="1">
        <f t="shared" si="630"/>
        <v>60534</v>
      </c>
    </row>
    <row r="8145" spans="1:14" x14ac:dyDescent="0.3">
      <c r="A8145" s="1">
        <v>30536</v>
      </c>
      <c r="B8145" s="16" t="s">
        <v>12100</v>
      </c>
      <c r="C8145" s="15" t="s">
        <v>12101</v>
      </c>
      <c r="D8145" s="16" t="s">
        <v>22271</v>
      </c>
      <c r="E8145" s="17" t="s">
        <v>12102</v>
      </c>
      <c r="F8145" t="str">
        <f t="shared" si="627"/>
        <v>Washington</v>
      </c>
      <c r="G8145" t="str">
        <f t="shared" si="628"/>
        <v>Washington1802-1804Harlingen</v>
      </c>
      <c r="H8145" t="s">
        <v>39000</v>
      </c>
      <c r="I8145" t="s">
        <v>30406</v>
      </c>
      <c r="J8145" t="str">
        <f t="shared" si="629"/>
        <v>E:\PropInv\MF</v>
      </c>
      <c r="K8145" s="103" t="str">
        <f>HYPERLINK("E:\PropInv\MF\Harlingen\Washington E_1802-1804_Casa Granda Apts_Harlingen_60536","Washington E_1802-1804_Casa Granda Apts_Harlingen_60536" )</f>
        <v>Washington E_1802-1804_Casa Granda Apts_Harlingen_60536</v>
      </c>
      <c r="L8145" s="104" t="s">
        <v>22253</v>
      </c>
      <c r="N8145" s="1">
        <f t="shared" si="630"/>
        <v>60536</v>
      </c>
    </row>
    <row r="8146" spans="1:14" x14ac:dyDescent="0.3">
      <c r="A8146" s="1">
        <v>30537</v>
      </c>
      <c r="B8146" s="16" t="s">
        <v>12103</v>
      </c>
      <c r="C8146" s="15">
        <v>4402</v>
      </c>
      <c r="D8146" s="16" t="s">
        <v>22270</v>
      </c>
      <c r="E8146" s="17" t="s">
        <v>12102</v>
      </c>
      <c r="F8146" t="str">
        <f t="shared" si="627"/>
        <v>Glasscock</v>
      </c>
      <c r="G8146" t="str">
        <f t="shared" si="628"/>
        <v>Glasscock4402Harlingen</v>
      </c>
      <c r="H8146" t="s">
        <v>39001</v>
      </c>
      <c r="I8146" t="s">
        <v>30407</v>
      </c>
      <c r="J8146" t="str">
        <f t="shared" si="629"/>
        <v>E:\PropInv\MF</v>
      </c>
      <c r="K8146" s="103" t="str">
        <f>HYPERLINK("E:\PropInv\MF\Harlingen\Glasscock St_4402_Somerset Apts_Harlingen_60537","Glasscock St_4402_Somerset Apts_Harlingen_60537" )</f>
        <v>Glasscock St_4402_Somerset Apts_Harlingen_60537</v>
      </c>
      <c r="L8146" s="104" t="s">
        <v>22253</v>
      </c>
      <c r="N8146" s="1">
        <f t="shared" si="630"/>
        <v>60537</v>
      </c>
    </row>
    <row r="8147" spans="1:14" x14ac:dyDescent="0.3">
      <c r="A8147" s="1">
        <v>30538</v>
      </c>
      <c r="B8147" s="16" t="s">
        <v>12104</v>
      </c>
      <c r="C8147" s="15">
        <v>2901</v>
      </c>
      <c r="D8147" s="16" t="s">
        <v>3554</v>
      </c>
      <c r="E8147" s="17" t="s">
        <v>12102</v>
      </c>
      <c r="F8147" t="str">
        <f t="shared" si="627"/>
        <v>Haine</v>
      </c>
      <c r="G8147" t="str">
        <f t="shared" si="628"/>
        <v>Haine2901Harlingen</v>
      </c>
      <c r="H8147" t="s">
        <v>39002</v>
      </c>
      <c r="I8147" t="s">
        <v>30408</v>
      </c>
      <c r="J8147" t="str">
        <f t="shared" si="629"/>
        <v>E:\PropInv\MF</v>
      </c>
      <c r="K8147" s="103" t="str">
        <f>HYPERLINK("E:\PropInv\MF\Harlingen\Haine Dr_2901_Sierra_Harlingen_60538","Haine Dr_2901_Sierra_Harlingen_60538" )</f>
        <v>Haine Dr_2901_Sierra_Harlingen_60538</v>
      </c>
      <c r="L8147" s="104" t="s">
        <v>22253</v>
      </c>
      <c r="N8147" s="1">
        <f t="shared" si="630"/>
        <v>60538</v>
      </c>
    </row>
    <row r="8148" spans="1:14" x14ac:dyDescent="0.3">
      <c r="A8148" s="1">
        <v>30539</v>
      </c>
      <c r="B8148" s="16" t="s">
        <v>12105</v>
      </c>
      <c r="C8148" s="15">
        <v>1410</v>
      </c>
      <c r="D8148" s="16" t="s">
        <v>5066</v>
      </c>
      <c r="E8148" s="17" t="s">
        <v>12102</v>
      </c>
      <c r="F8148" t="str">
        <f t="shared" si="627"/>
        <v>Morgan</v>
      </c>
      <c r="G8148" t="str">
        <f t="shared" si="628"/>
        <v>Morgan1410Harlingen</v>
      </c>
      <c r="H8148" t="s">
        <v>39003</v>
      </c>
      <c r="I8148" t="s">
        <v>30409</v>
      </c>
      <c r="J8148" t="str">
        <f t="shared" si="629"/>
        <v>E:\PropInv\MF</v>
      </c>
      <c r="K8148" s="103" t="str">
        <f>HYPERLINK("E:\PropInv\MF\Harlingen\Morgan Blvd_1410_Spring Creek_Harlingen_60539","Morgan Blvd_1410_Spring Creek_Harlingen_60539" )</f>
        <v>Morgan Blvd_1410_Spring Creek_Harlingen_60539</v>
      </c>
      <c r="L8148" s="104" t="s">
        <v>22253</v>
      </c>
      <c r="N8148" s="1">
        <f t="shared" si="630"/>
        <v>60539</v>
      </c>
    </row>
    <row r="8149" spans="1:14" x14ac:dyDescent="0.3">
      <c r="A8149" s="1">
        <v>30540</v>
      </c>
      <c r="B8149" s="16" t="s">
        <v>12106</v>
      </c>
      <c r="C8149" s="15">
        <v>902</v>
      </c>
      <c r="D8149" s="16" t="s">
        <v>1289</v>
      </c>
      <c r="E8149" s="17" t="s">
        <v>12102</v>
      </c>
      <c r="F8149" t="str">
        <f t="shared" si="627"/>
        <v>499</v>
      </c>
      <c r="G8149" t="str">
        <f t="shared" si="628"/>
        <v>499902Harlingen</v>
      </c>
      <c r="H8149" t="s">
        <v>39004</v>
      </c>
      <c r="I8149" t="s">
        <v>30410</v>
      </c>
      <c r="J8149" t="str">
        <f t="shared" si="629"/>
        <v>E:\PropInv\MF</v>
      </c>
      <c r="K8149" s="103" t="str">
        <f>HYPERLINK("E:\PropInv\MF\Harlingen\499 Loop S_902_Oak Terrace_Harlingen_60540","499 Loop S_902_Oak Terrace_Harlingen_60540" )</f>
        <v>499 Loop S_902_Oak Terrace_Harlingen_60540</v>
      </c>
      <c r="L8149" s="104" t="s">
        <v>22253</v>
      </c>
      <c r="N8149" s="1">
        <f t="shared" si="630"/>
        <v>60540</v>
      </c>
    </row>
    <row r="8150" spans="1:14" x14ac:dyDescent="0.3">
      <c r="A8150" s="1">
        <v>30541</v>
      </c>
      <c r="B8150" s="16" t="s">
        <v>11941</v>
      </c>
      <c r="C8150" s="15">
        <v>1501</v>
      </c>
      <c r="D8150" s="16" t="s">
        <v>12107</v>
      </c>
      <c r="E8150" s="17" t="s">
        <v>12102</v>
      </c>
      <c r="F8150" t="str">
        <f t="shared" si="627"/>
        <v>Sam</v>
      </c>
      <c r="G8150" t="str">
        <f t="shared" si="628"/>
        <v>Sam1501Harlingen</v>
      </c>
      <c r="H8150" t="s">
        <v>39005</v>
      </c>
      <c r="I8150" t="s">
        <v>30411</v>
      </c>
      <c r="J8150" t="str">
        <f t="shared" si="629"/>
        <v>E:\PropInv\MF</v>
      </c>
      <c r="K8150" s="103" t="str">
        <f>HYPERLINK("E:\PropInv\MF\Harlingen\Sam Houston_1501_Palm Terrace Apts_Harlingen_60541","Sam Houston_1501_Palm Terrace Apts_Harlingen_60541" )</f>
        <v>Sam Houston_1501_Palm Terrace Apts_Harlingen_60541</v>
      </c>
      <c r="L8150" s="104" t="s">
        <v>22253</v>
      </c>
      <c r="N8150" s="1">
        <f t="shared" si="630"/>
        <v>60541</v>
      </c>
    </row>
    <row r="8151" spans="1:14" x14ac:dyDescent="0.3">
      <c r="A8151" s="1">
        <v>30542</v>
      </c>
      <c r="B8151" s="16" t="s">
        <v>12108</v>
      </c>
      <c r="C8151" s="15">
        <v>700</v>
      </c>
      <c r="D8151" s="16" t="s">
        <v>12109</v>
      </c>
      <c r="E8151" s="17" t="s">
        <v>12110</v>
      </c>
      <c r="F8151" t="str">
        <f t="shared" si="627"/>
        <v>Bales</v>
      </c>
      <c r="G8151" t="str">
        <f t="shared" si="628"/>
        <v>Bales700McAllen</v>
      </c>
      <c r="H8151" t="s">
        <v>39006</v>
      </c>
      <c r="I8151" t="s">
        <v>30412</v>
      </c>
      <c r="J8151" t="str">
        <f t="shared" si="629"/>
        <v>E:\PropInv\MF</v>
      </c>
      <c r="K8151" s="103" t="str">
        <f>HYPERLINK("E:\PropInv\MF\McAllen\Bales Rd_700_Plaza Royale Apts_McAllen_60542","Bales Rd_700_Plaza Royale Apts_McAllen_60542" )</f>
        <v>Bales Rd_700_Plaza Royale Apts_McAllen_60542</v>
      </c>
      <c r="L8151" s="104" t="s">
        <v>22253</v>
      </c>
      <c r="N8151" s="1">
        <f t="shared" si="630"/>
        <v>60542</v>
      </c>
    </row>
    <row r="8152" spans="1:14" x14ac:dyDescent="0.3">
      <c r="A8152" s="1">
        <v>30543</v>
      </c>
      <c r="B8152" s="16" t="s">
        <v>12111</v>
      </c>
      <c r="C8152" s="15">
        <v>3601</v>
      </c>
      <c r="D8152" s="16" t="s">
        <v>12112</v>
      </c>
      <c r="E8152" s="17" t="s">
        <v>12110</v>
      </c>
      <c r="F8152" t="str">
        <f t="shared" si="627"/>
        <v>Bicentennial</v>
      </c>
      <c r="G8152" t="str">
        <f t="shared" si="628"/>
        <v>Bicentennial3601McAllen</v>
      </c>
      <c r="H8152" t="s">
        <v>39007</v>
      </c>
      <c r="I8152" t="s">
        <v>30413</v>
      </c>
      <c r="J8152" t="str">
        <f t="shared" si="629"/>
        <v>E:\PropInv\MF</v>
      </c>
      <c r="K8152" s="103" t="str">
        <f>HYPERLINK("E:\PropInv\MF\McAllen\Bicentennial Blvd_3601_Vintage Square_McAllen_60543","Bicentennial Blvd_3601_Vintage Square_McAllen_60543" )</f>
        <v>Bicentennial Blvd_3601_Vintage Square_McAllen_60543</v>
      </c>
      <c r="L8152" s="104" t="s">
        <v>22253</v>
      </c>
      <c r="N8152" s="1">
        <f t="shared" si="630"/>
        <v>60543</v>
      </c>
    </row>
    <row r="8153" spans="1:14" x14ac:dyDescent="0.3">
      <c r="A8153" s="1">
        <v>30544</v>
      </c>
      <c r="B8153" s="16" t="s">
        <v>12113</v>
      </c>
      <c r="C8153" s="15">
        <v>3101</v>
      </c>
      <c r="D8153" s="16" t="s">
        <v>22240</v>
      </c>
      <c r="E8153" s="17" t="s">
        <v>12110</v>
      </c>
      <c r="F8153" t="str">
        <f t="shared" si="627"/>
        <v>Eighth</v>
      </c>
      <c r="G8153" t="str">
        <f t="shared" si="628"/>
        <v>Eighth3101McAllen</v>
      </c>
      <c r="H8153" t="s">
        <v>39008</v>
      </c>
      <c r="I8153" t="s">
        <v>30414</v>
      </c>
      <c r="J8153" t="str">
        <f t="shared" si="629"/>
        <v>E:\PropInv\MF</v>
      </c>
      <c r="K8153" s="103" t="str">
        <f>HYPERLINK("E:\PropInv\MF\McAllen\Eighth E_3101_Greens Pointe Apts_McAllen_60544","Eighth E_3101_Greens Pointe Apts_McAllen_60544" )</f>
        <v>Eighth E_3101_Greens Pointe Apts_McAllen_60544</v>
      </c>
      <c r="L8153" s="104" t="s">
        <v>22253</v>
      </c>
      <c r="N8153" s="1">
        <f t="shared" si="630"/>
        <v>60544</v>
      </c>
    </row>
    <row r="8154" spans="1:14" x14ac:dyDescent="0.3">
      <c r="A8154" s="1">
        <v>30545</v>
      </c>
      <c r="B8154" s="16" t="s">
        <v>12114</v>
      </c>
      <c r="C8154" s="15">
        <v>121</v>
      </c>
      <c r="D8154" s="16" t="s">
        <v>12115</v>
      </c>
      <c r="E8154" s="17" t="s">
        <v>12110</v>
      </c>
      <c r="F8154" t="str">
        <f t="shared" si="627"/>
        <v>Quamasia</v>
      </c>
      <c r="G8154" t="str">
        <f t="shared" si="628"/>
        <v>Quamasia121McAllen</v>
      </c>
      <c r="H8154" t="s">
        <v>39009</v>
      </c>
      <c r="I8154" t="s">
        <v>30415</v>
      </c>
      <c r="J8154" t="str">
        <f t="shared" si="629"/>
        <v>E:\PropInv\MF</v>
      </c>
      <c r="K8154" s="103" t="str">
        <f>HYPERLINK("E:\PropInv\MF\McAllen\Quamasia E_121_Villas de Nolana_McAllen_60545","Quamasia E_121_Villas de Nolana_McAllen_60545" )</f>
        <v>Quamasia E_121_Villas de Nolana_McAllen_60545</v>
      </c>
      <c r="L8154" s="104" t="s">
        <v>22253</v>
      </c>
      <c r="N8154" s="1">
        <f t="shared" si="630"/>
        <v>60545</v>
      </c>
    </row>
    <row r="8155" spans="1:14" x14ac:dyDescent="0.3">
      <c r="A8155" s="1">
        <v>30546</v>
      </c>
      <c r="B8155" s="16" t="s">
        <v>22252</v>
      </c>
      <c r="C8155" s="15">
        <v>2501</v>
      </c>
      <c r="D8155" s="16" t="s">
        <v>12116</v>
      </c>
      <c r="E8155" s="17" t="s">
        <v>12110</v>
      </c>
      <c r="F8155" t="str">
        <f t="shared" si="627"/>
        <v>I</v>
      </c>
      <c r="G8155" t="str">
        <f t="shared" si="628"/>
        <v>I2501McAllen</v>
      </c>
      <c r="H8155" t="s">
        <v>39010</v>
      </c>
      <c r="I8155" t="s">
        <v>30416</v>
      </c>
      <c r="J8155" t="str">
        <f t="shared" si="629"/>
        <v>E:\PropInv\MF</v>
      </c>
      <c r="K8155" s="103" t="str">
        <f>HYPERLINK("E:\PropInv\MF\McAllen\I Rd N_2501_Clocktower Village_McAllen_60546","I Rd N_2501_Clocktower Village_McAllen_60546" )</f>
        <v>I Rd N_2501_Clocktower Village_McAllen_60546</v>
      </c>
      <c r="L8155" s="104" t="s">
        <v>22253</v>
      </c>
      <c r="N8155" s="1">
        <f t="shared" si="630"/>
        <v>60546</v>
      </c>
    </row>
    <row r="8156" spans="1:14" x14ac:dyDescent="0.3">
      <c r="A8156" s="1">
        <v>30547</v>
      </c>
      <c r="B8156" s="16" t="s">
        <v>12117</v>
      </c>
      <c r="C8156" s="15">
        <v>1101</v>
      </c>
      <c r="D8156" s="16" t="s">
        <v>12118</v>
      </c>
      <c r="E8156" s="17" t="s">
        <v>12110</v>
      </c>
      <c r="F8156" t="str">
        <f t="shared" si="627"/>
        <v>2nd</v>
      </c>
      <c r="G8156" t="str">
        <f t="shared" si="628"/>
        <v>2nd1101McAllen</v>
      </c>
      <c r="H8156" t="s">
        <v>39011</v>
      </c>
      <c r="I8156" t="s">
        <v>30417</v>
      </c>
      <c r="J8156" t="str">
        <f t="shared" si="629"/>
        <v>E:\PropInv\MF</v>
      </c>
      <c r="K8156" s="103" t="str">
        <f>HYPERLINK("E:\PropInv\MF\McAllen\2nd St N_1101_Tamarack Apts_McAllen_60547","2nd St N_1101_Tamarack Apts_McAllen_60547" )</f>
        <v>2nd St N_1101_Tamarack Apts_McAllen_60547</v>
      </c>
      <c r="L8156" s="104" t="s">
        <v>22253</v>
      </c>
      <c r="N8156" s="1">
        <f t="shared" si="630"/>
        <v>60547</v>
      </c>
    </row>
    <row r="8157" spans="1:14" x14ac:dyDescent="0.3">
      <c r="A8157" s="1">
        <v>30548</v>
      </c>
      <c r="B8157" s="10" t="s">
        <v>7913</v>
      </c>
      <c r="C8157" s="15">
        <v>4210</v>
      </c>
      <c r="D8157" s="16" t="s">
        <v>12119</v>
      </c>
      <c r="E8157" s="17" t="s">
        <v>12110</v>
      </c>
      <c r="F8157" t="str">
        <f t="shared" si="627"/>
        <v>Main</v>
      </c>
      <c r="G8157" t="str">
        <f t="shared" si="628"/>
        <v>Main4210McAllen</v>
      </c>
      <c r="H8157" t="s">
        <v>39012</v>
      </c>
      <c r="I8157" t="s">
        <v>30418</v>
      </c>
      <c r="J8157" t="str">
        <f t="shared" si="629"/>
        <v>E:\PropInv\MF</v>
      </c>
      <c r="K8157" s="103" t="str">
        <f>HYPERLINK("E:\PropInv\MF\McAllen\Main St N_4210_Paradise Village Apts_McAllen_60548","Main St N_4210_Paradise Village Apts_McAllen_60548" )</f>
        <v>Main St N_4210_Paradise Village Apts_McAllen_60548</v>
      </c>
      <c r="L8157" s="104" t="s">
        <v>22253</v>
      </c>
      <c r="N8157" s="1">
        <f t="shared" si="630"/>
        <v>60548</v>
      </c>
    </row>
    <row r="8158" spans="1:14" x14ac:dyDescent="0.3">
      <c r="A8158" s="1">
        <v>30549</v>
      </c>
      <c r="B8158" s="16" t="s">
        <v>12120</v>
      </c>
      <c r="C8158" s="15">
        <v>1901</v>
      </c>
      <c r="D8158" s="16" t="s">
        <v>12118</v>
      </c>
      <c r="E8158" s="17" t="s">
        <v>12110</v>
      </c>
      <c r="F8158" t="str">
        <f t="shared" si="627"/>
        <v>Second</v>
      </c>
      <c r="G8158" t="str">
        <f t="shared" si="628"/>
        <v>Second1901McAllen</v>
      </c>
      <c r="H8158" t="s">
        <v>39013</v>
      </c>
      <c r="I8158" t="s">
        <v>30419</v>
      </c>
      <c r="J8158" t="str">
        <f t="shared" si="629"/>
        <v>E:\PropInv\MF</v>
      </c>
      <c r="K8158" s="103" t="str">
        <f>HYPERLINK("E:\PropInv\MF\McAllen\Second St N_1901_Tamarack Apts_McAllen_60549","Second St N_1901_Tamarack Apts_McAllen_60549" )</f>
        <v>Second St N_1901_Tamarack Apts_McAllen_60549</v>
      </c>
      <c r="L8158" s="104" t="s">
        <v>22253</v>
      </c>
      <c r="N8158" s="1">
        <f t="shared" si="630"/>
        <v>60549</v>
      </c>
    </row>
    <row r="8159" spans="1:14" x14ac:dyDescent="0.3">
      <c r="A8159" s="1">
        <v>30550</v>
      </c>
      <c r="B8159" s="16" t="s">
        <v>12121</v>
      </c>
      <c r="C8159" s="15">
        <v>1200</v>
      </c>
      <c r="D8159" s="16" t="s">
        <v>22277</v>
      </c>
      <c r="E8159" s="17" t="s">
        <v>12110</v>
      </c>
      <c r="F8159" t="str">
        <f t="shared" si="627"/>
        <v>Nolana</v>
      </c>
      <c r="G8159" t="str">
        <f t="shared" si="628"/>
        <v>Nolana1200McAllen</v>
      </c>
      <c r="H8159" t="s">
        <v>39014</v>
      </c>
      <c r="I8159" t="s">
        <v>30420</v>
      </c>
      <c r="J8159" t="str">
        <f t="shared" si="629"/>
        <v>E:\PropInv\MF</v>
      </c>
      <c r="K8159" s="103" t="str">
        <f>HYPERLINK("E:\PropInv\MF\McAllen\Nolana Ave_1200_Nolana Apts_McAllen_60550","Nolana Ave_1200_Nolana Apts_McAllen_60550" )</f>
        <v>Nolana Ave_1200_Nolana Apts_McAllen_60550</v>
      </c>
      <c r="L8159" s="104" t="s">
        <v>22253</v>
      </c>
      <c r="N8159" s="1">
        <f t="shared" si="630"/>
        <v>60550</v>
      </c>
    </row>
    <row r="8160" spans="1:14" x14ac:dyDescent="0.3">
      <c r="A8160" s="1">
        <v>30551</v>
      </c>
      <c r="B8160" s="16" t="s">
        <v>12122</v>
      </c>
      <c r="C8160" s="15">
        <v>1600</v>
      </c>
      <c r="D8160" s="16" t="s">
        <v>22278</v>
      </c>
      <c r="E8160" s="17" t="s">
        <v>12110</v>
      </c>
      <c r="F8160" t="str">
        <f t="shared" si="627"/>
        <v>Tamarack</v>
      </c>
      <c r="G8160" t="str">
        <f t="shared" si="628"/>
        <v>Tamarack1600McAllen</v>
      </c>
      <c r="H8160" t="s">
        <v>39015</v>
      </c>
      <c r="I8160" t="s">
        <v>30421</v>
      </c>
      <c r="J8160" t="str">
        <f t="shared" si="629"/>
        <v>E:\PropInv\MF</v>
      </c>
      <c r="K8160" s="103" t="str">
        <f>HYPERLINK("E:\PropInv\MF\McAllen\Tamarack Ave_1600_El Camino Real Apts_McAllen_60551","Tamarack Ave_1600_El Camino Real Apts_McAllen_60551" )</f>
        <v>Tamarack Ave_1600_El Camino Real Apts_McAllen_60551</v>
      </c>
      <c r="L8160" s="104" t="s">
        <v>22253</v>
      </c>
      <c r="N8160" s="1">
        <f t="shared" si="630"/>
        <v>60551</v>
      </c>
    </row>
    <row r="8161" spans="1:14" x14ac:dyDescent="0.3">
      <c r="A8161" s="1">
        <v>30552</v>
      </c>
      <c r="B8161" s="16" t="s">
        <v>12123</v>
      </c>
      <c r="C8161" s="15">
        <v>3807</v>
      </c>
      <c r="D8161" s="16" t="s">
        <v>12124</v>
      </c>
      <c r="E8161" s="17" t="s">
        <v>12125</v>
      </c>
      <c r="F8161" t="str">
        <f t="shared" si="627"/>
        <v>Plantation</v>
      </c>
      <c r="G8161" t="str">
        <f t="shared" si="628"/>
        <v>Plantation3807Mission</v>
      </c>
      <c r="H8161" t="s">
        <v>39016</v>
      </c>
      <c r="I8161" t="s">
        <v>30422</v>
      </c>
      <c r="J8161" t="str">
        <f t="shared" si="629"/>
        <v>E:\PropInv\MF</v>
      </c>
      <c r="K8161" s="103" t="str">
        <f>HYPERLINK("E:\PropInv\MF\Mission\Plantation Grove Blvd_3807_Las Misiones Apts_Mission_60552","Plantation Grove Blvd_3807_Las Misiones Apts_Mission_60552" )</f>
        <v>Plantation Grove Blvd_3807_Las Misiones Apts_Mission_60552</v>
      </c>
      <c r="L8161" s="104" t="s">
        <v>22253</v>
      </c>
      <c r="N8161" s="1">
        <f t="shared" si="630"/>
        <v>60552</v>
      </c>
    </row>
    <row r="8162" spans="1:14" x14ac:dyDescent="0.3">
      <c r="A8162" s="1">
        <v>30553</v>
      </c>
      <c r="B8162" s="16" t="s">
        <v>277</v>
      </c>
      <c r="C8162" s="15">
        <v>20502</v>
      </c>
      <c r="D8162" s="16" t="s">
        <v>12126</v>
      </c>
      <c r="E8162" s="17" t="s">
        <v>12102</v>
      </c>
      <c r="F8162" t="str">
        <f t="shared" si="627"/>
        <v>Oak</v>
      </c>
      <c r="G8162" t="str">
        <f t="shared" si="628"/>
        <v>Oak20502Harlingen</v>
      </c>
      <c r="H8162" t="s">
        <v>39017</v>
      </c>
      <c r="I8162" t="s">
        <v>30423</v>
      </c>
      <c r="J8162" t="str">
        <f t="shared" si="629"/>
        <v>E:\PropInv\MF</v>
      </c>
      <c r="K8162" s="103" t="str">
        <f>HYPERLINK("E:\PropInv\MF\Harlingen\Oak Hollow_20502_Stone Oak TH_Harlingen_60553","Oak Hollow_20502_Stone Oak TH_Harlingen_60553" )</f>
        <v>Oak Hollow_20502_Stone Oak TH_Harlingen_60553</v>
      </c>
      <c r="L8162" s="104" t="s">
        <v>22253</v>
      </c>
      <c r="N8162" s="1">
        <f t="shared" si="630"/>
        <v>60553</v>
      </c>
    </row>
    <row r="8163" spans="1:14" x14ac:dyDescent="0.3">
      <c r="A8163" s="1">
        <v>30554</v>
      </c>
      <c r="B8163" s="16" t="s">
        <v>12127</v>
      </c>
      <c r="C8163" s="15">
        <v>1925</v>
      </c>
      <c r="D8163" s="16" t="s">
        <v>22268</v>
      </c>
      <c r="E8163" s="17" t="s">
        <v>12128</v>
      </c>
      <c r="F8163" t="str">
        <f t="shared" si="627"/>
        <v>Veterans</v>
      </c>
      <c r="G8163" t="str">
        <f t="shared" si="628"/>
        <v>Veterans1925Eagle Pass</v>
      </c>
      <c r="H8163" t="s">
        <v>39018</v>
      </c>
      <c r="I8163" t="s">
        <v>30424</v>
      </c>
      <c r="J8163" t="str">
        <f t="shared" si="629"/>
        <v>E:\PropInv\MF</v>
      </c>
      <c r="K8163" s="103" t="str">
        <f>HYPERLINK("E:\PropInv\MF\Eagle Pass\Veterans Blvd N_1925_Holly AH_Eagle Pass_60554","Veterans Blvd N_1925_Holly AH_Eagle Pass_60554" )</f>
        <v>Veterans Blvd N_1925_Holly AH_Eagle Pass_60554</v>
      </c>
      <c r="L8163" s="104" t="s">
        <v>22253</v>
      </c>
      <c r="N8163" s="1">
        <f t="shared" si="630"/>
        <v>60554</v>
      </c>
    </row>
    <row r="8164" spans="1:14" x14ac:dyDescent="0.3">
      <c r="A8164" s="1">
        <v>30555</v>
      </c>
      <c r="B8164" s="16" t="s">
        <v>12129</v>
      </c>
      <c r="C8164" s="15">
        <v>120</v>
      </c>
      <c r="D8164" s="16" t="s">
        <v>12130</v>
      </c>
      <c r="E8164" s="17" t="s">
        <v>3230</v>
      </c>
      <c r="F8164" t="str">
        <f t="shared" si="627"/>
        <v>Cherokee</v>
      </c>
      <c r="G8164" t="str">
        <f t="shared" si="628"/>
        <v>Cherokee120Texarkana</v>
      </c>
      <c r="H8164" t="s">
        <v>39019</v>
      </c>
      <c r="I8164" t="s">
        <v>30425</v>
      </c>
      <c r="J8164" t="str">
        <f t="shared" si="629"/>
        <v>E:\PropInv\MF</v>
      </c>
      <c r="K8164" s="103" t="str">
        <f>HYPERLINK("E:\PropInv\MF\Texarkana\Cherokee Trl_120_Krystal Plex Apts_Texarkana_60555","Cherokee Trl_120_Krystal Plex Apts_Texarkana_60555" )</f>
        <v>Cherokee Trl_120_Krystal Plex Apts_Texarkana_60555</v>
      </c>
      <c r="L8164" s="104" t="s">
        <v>22253</v>
      </c>
      <c r="N8164" s="1">
        <f t="shared" si="630"/>
        <v>60555</v>
      </c>
    </row>
    <row r="8165" spans="1:14" x14ac:dyDescent="0.3">
      <c r="A8165" s="1">
        <v>30556</v>
      </c>
      <c r="B8165" s="16" t="s">
        <v>12131</v>
      </c>
      <c r="C8165" s="15">
        <v>1023</v>
      </c>
      <c r="D8165" s="16" t="s">
        <v>1508</v>
      </c>
      <c r="E8165" s="17" t="s">
        <v>3230</v>
      </c>
      <c r="F8165" t="str">
        <f t="shared" si="627"/>
        <v>College</v>
      </c>
      <c r="G8165" t="str">
        <f t="shared" si="628"/>
        <v>College1023Texarkana</v>
      </c>
      <c r="H8165" t="s">
        <v>39020</v>
      </c>
      <c r="I8165" t="s">
        <v>30426</v>
      </c>
      <c r="J8165" t="str">
        <f t="shared" si="629"/>
        <v>E:\PropInv\MF</v>
      </c>
      <c r="K8165" s="103" t="str">
        <f>HYPERLINK("E:\PropInv\MF\Texarkana\College Dr_1023_The Woodlands_Texarkana_60556","College Dr_1023_The Woodlands_Texarkana_60556" )</f>
        <v>College Dr_1023_The Woodlands_Texarkana_60556</v>
      </c>
      <c r="L8165" s="104" t="s">
        <v>22253</v>
      </c>
      <c r="N8165" s="1">
        <f t="shared" si="630"/>
        <v>60556</v>
      </c>
    </row>
    <row r="8166" spans="1:14" x14ac:dyDescent="0.3">
      <c r="A8166" s="1">
        <v>30557</v>
      </c>
      <c r="B8166" s="16" t="s">
        <v>12132</v>
      </c>
      <c r="C8166" s="15">
        <v>2605</v>
      </c>
      <c r="D8166" s="16" t="s">
        <v>12133</v>
      </c>
      <c r="E8166" s="17" t="s">
        <v>3230</v>
      </c>
      <c r="F8166" t="str">
        <f t="shared" si="627"/>
        <v>Kennedy</v>
      </c>
      <c r="G8166" t="str">
        <f t="shared" si="628"/>
        <v>Kennedy2605Texarkana</v>
      </c>
      <c r="H8166" t="s">
        <v>39021</v>
      </c>
      <c r="I8166" t="s">
        <v>30427</v>
      </c>
      <c r="J8166" t="str">
        <f t="shared" si="629"/>
        <v>E:\PropInv\MF</v>
      </c>
      <c r="K8166" s="103" t="str">
        <f>HYPERLINK("E:\PropInv\MF\Texarkana\Kennedy Ln_2605_Forest Point Apts_Texarkana_60557","Kennedy Ln_2605_Forest Point Apts_Texarkana_60557" )</f>
        <v>Kennedy Ln_2605_Forest Point Apts_Texarkana_60557</v>
      </c>
      <c r="L8166" s="104" t="s">
        <v>22253</v>
      </c>
      <c r="N8166" s="1">
        <f t="shared" si="630"/>
        <v>60557</v>
      </c>
    </row>
    <row r="8167" spans="1:14" x14ac:dyDescent="0.3">
      <c r="A8167" s="1">
        <v>30558</v>
      </c>
      <c r="B8167" s="16" t="s">
        <v>12134</v>
      </c>
      <c r="C8167" s="15">
        <v>5911</v>
      </c>
      <c r="D8167" s="16" t="s">
        <v>12135</v>
      </c>
      <c r="E8167" s="17" t="s">
        <v>3230</v>
      </c>
      <c r="F8167" t="str">
        <f t="shared" si="627"/>
        <v>Richmond</v>
      </c>
      <c r="G8167" t="str">
        <f t="shared" si="628"/>
        <v>Richmond5911Texarkana</v>
      </c>
      <c r="H8167" t="s">
        <v>39022</v>
      </c>
      <c r="I8167" t="s">
        <v>30428</v>
      </c>
      <c r="J8167" t="str">
        <f t="shared" si="629"/>
        <v>E:\PropInv\MF</v>
      </c>
      <c r="K8167" s="103" t="str">
        <f>HYPERLINK("E:\PropInv\MF\Texarkana\Richmond Rd_5911_Legacy at Pleasant Grove_Texarkana_60558","Richmond Rd_5911_Legacy at Pleasant Grove_Texarkana_60558" )</f>
        <v>Richmond Rd_5911_Legacy at Pleasant Grove_Texarkana_60558</v>
      </c>
      <c r="L8167" s="104" t="s">
        <v>22253</v>
      </c>
      <c r="N8167" s="1">
        <f t="shared" si="630"/>
        <v>60558</v>
      </c>
    </row>
    <row r="8168" spans="1:14" x14ac:dyDescent="0.3">
      <c r="A8168" s="1">
        <v>30559</v>
      </c>
      <c r="B8168" s="16" t="s">
        <v>12134</v>
      </c>
      <c r="C8168" s="15">
        <v>1915</v>
      </c>
      <c r="D8168" s="16" t="s">
        <v>12136</v>
      </c>
      <c r="E8168" s="17" t="s">
        <v>3230</v>
      </c>
      <c r="F8168" t="str">
        <f t="shared" si="627"/>
        <v>Richmond</v>
      </c>
      <c r="G8168" t="str">
        <f t="shared" si="628"/>
        <v>Richmond1915Texarkana</v>
      </c>
      <c r="H8168" t="s">
        <v>39023</v>
      </c>
      <c r="I8168" t="s">
        <v>30429</v>
      </c>
      <c r="J8168" t="str">
        <f t="shared" si="629"/>
        <v>E:\PropInv\MF</v>
      </c>
      <c r="K8168" s="103" t="str">
        <f>HYPERLINK("E:\PropInv\MF\Texarkana\Richmond Rd_1915_Three Fountains Apts_Texarkana_60559","Richmond Rd_1915_Three Fountains Apts_Texarkana_60559" )</f>
        <v>Richmond Rd_1915_Three Fountains Apts_Texarkana_60559</v>
      </c>
      <c r="L8168" s="104" t="s">
        <v>22253</v>
      </c>
      <c r="N8168" s="1">
        <f t="shared" si="630"/>
        <v>60559</v>
      </c>
    </row>
    <row r="8169" spans="1:14" x14ac:dyDescent="0.3">
      <c r="A8169" s="1">
        <v>30560</v>
      </c>
      <c r="B8169" s="16" t="s">
        <v>12137</v>
      </c>
      <c r="C8169" s="15">
        <v>425</v>
      </c>
      <c r="D8169" s="16" t="s">
        <v>12138</v>
      </c>
      <c r="E8169" s="17" t="s">
        <v>3230</v>
      </c>
      <c r="F8169" t="str">
        <f t="shared" si="627"/>
        <v>Westlawn</v>
      </c>
      <c r="G8169" t="str">
        <f t="shared" si="628"/>
        <v>Westlawn425Texarkana</v>
      </c>
      <c r="H8169" t="s">
        <v>39024</v>
      </c>
      <c r="I8169" t="s">
        <v>30430</v>
      </c>
      <c r="J8169" t="str">
        <f t="shared" si="629"/>
        <v>E:\PropInv\MF</v>
      </c>
      <c r="K8169" s="103" t="str">
        <f>HYPERLINK("E:\PropInv\MF\Texarkana\Westlawn Dr_425_Westlawn Apts_Texarkana_60560","Westlawn Dr_425_Westlawn Apts_Texarkana_60560" )</f>
        <v>Westlawn Dr_425_Westlawn Apts_Texarkana_60560</v>
      </c>
      <c r="L8169" s="104" t="s">
        <v>22253</v>
      </c>
      <c r="N8169" s="1">
        <f t="shared" si="630"/>
        <v>60560</v>
      </c>
    </row>
    <row r="8170" spans="1:14" x14ac:dyDescent="0.3">
      <c r="A8170" s="1">
        <v>30561</v>
      </c>
      <c r="B8170" s="16" t="s">
        <v>12139</v>
      </c>
      <c r="C8170" s="15">
        <v>1601</v>
      </c>
      <c r="D8170" s="16" t="s">
        <v>2497</v>
      </c>
      <c r="E8170" s="17" t="s">
        <v>12140</v>
      </c>
      <c r="F8170" t="str">
        <f t="shared" si="627"/>
        <v>32nd</v>
      </c>
      <c r="G8170" t="str">
        <f t="shared" si="628"/>
        <v>32nd1601Wichita Falls</v>
      </c>
      <c r="H8170" t="s">
        <v>39025</v>
      </c>
      <c r="I8170" t="s">
        <v>30431</v>
      </c>
      <c r="J8170" t="str">
        <f t="shared" si="629"/>
        <v>E:\PropInv\MF</v>
      </c>
      <c r="K8170" s="103" t="str">
        <f>HYPERLINK("E:\PropInv\MF\Wichita Falls\32nd St R_1601_NF_Wichita Falls_60561","32nd St R_1601_NF_Wichita Falls_60561" )</f>
        <v>32nd St R_1601_NF_Wichita Falls_60561</v>
      </c>
      <c r="L8170" s="104" t="s">
        <v>22253</v>
      </c>
      <c r="N8170" s="1">
        <f t="shared" si="630"/>
        <v>60561</v>
      </c>
    </row>
    <row r="8171" spans="1:14" x14ac:dyDescent="0.3">
      <c r="A8171" s="1">
        <v>30562</v>
      </c>
      <c r="B8171" s="16" t="s">
        <v>12141</v>
      </c>
      <c r="C8171" s="15">
        <v>901</v>
      </c>
      <c r="D8171" s="16" t="s">
        <v>2497</v>
      </c>
      <c r="E8171" s="17" t="s">
        <v>12140</v>
      </c>
      <c r="F8171" t="str">
        <f t="shared" si="627"/>
        <v>Airport</v>
      </c>
      <c r="G8171" t="str">
        <f t="shared" si="628"/>
        <v>Airport901Wichita Falls</v>
      </c>
      <c r="H8171" t="s">
        <v>39026</v>
      </c>
      <c r="I8171" t="s">
        <v>30432</v>
      </c>
      <c r="J8171" t="str">
        <f t="shared" si="629"/>
        <v>E:\PropInv\MF</v>
      </c>
      <c r="K8171" s="103" t="str">
        <f>HYPERLINK("E:\PropInv\MF\Wichita Falls\Airport Dr_901_NF_Wichita Falls_60562","Airport Dr_901_NF_Wichita Falls_60562" )</f>
        <v>Airport Dr_901_NF_Wichita Falls_60562</v>
      </c>
      <c r="L8171" s="104" t="s">
        <v>22253</v>
      </c>
      <c r="N8171" s="1">
        <f t="shared" si="630"/>
        <v>60562</v>
      </c>
    </row>
    <row r="8172" spans="1:14" x14ac:dyDescent="0.3">
      <c r="A8172" s="1">
        <v>30563</v>
      </c>
      <c r="B8172" s="16" t="s">
        <v>12142</v>
      </c>
      <c r="C8172" s="15">
        <v>1501</v>
      </c>
      <c r="D8172" s="16" t="s">
        <v>2497</v>
      </c>
      <c r="E8172" s="17" t="s">
        <v>12140</v>
      </c>
      <c r="F8172" t="str">
        <f t="shared" si="627"/>
        <v>Archer</v>
      </c>
      <c r="G8172" t="str">
        <f t="shared" si="628"/>
        <v>Archer1501Wichita Falls</v>
      </c>
      <c r="H8172" t="s">
        <v>39027</v>
      </c>
      <c r="I8172" t="s">
        <v>30433</v>
      </c>
      <c r="J8172" t="str">
        <f t="shared" si="629"/>
        <v>E:\PropInv\MF</v>
      </c>
      <c r="K8172" s="103" t="str">
        <f>HYPERLINK("E:\PropInv\MF\Wichita Falls\Archer City Hwy_1501_NF_Wichita Falls_60563","Archer City Hwy_1501_NF_Wichita Falls_60563" )</f>
        <v>Archer City Hwy_1501_NF_Wichita Falls_60563</v>
      </c>
      <c r="L8172" s="104" t="s">
        <v>22253</v>
      </c>
      <c r="N8172" s="1">
        <f t="shared" si="630"/>
        <v>60563</v>
      </c>
    </row>
    <row r="8173" spans="1:14" x14ac:dyDescent="0.3">
      <c r="A8173" s="1">
        <v>30564</v>
      </c>
      <c r="B8173" s="16" t="s">
        <v>12143</v>
      </c>
      <c r="C8173" s="15">
        <v>4516</v>
      </c>
      <c r="D8173" s="16" t="s">
        <v>2497</v>
      </c>
      <c r="E8173" s="17" t="s">
        <v>12140</v>
      </c>
      <c r="F8173" t="str">
        <f t="shared" si="627"/>
        <v>Barnett</v>
      </c>
      <c r="G8173" t="str">
        <f t="shared" si="628"/>
        <v>Barnett4516Wichita Falls</v>
      </c>
      <c r="H8173" t="s">
        <v>39028</v>
      </c>
      <c r="I8173" t="s">
        <v>30434</v>
      </c>
      <c r="J8173" t="str">
        <f t="shared" si="629"/>
        <v>E:\PropInv\MF</v>
      </c>
      <c r="K8173" s="103" t="str">
        <f>HYPERLINK("E:\PropInv\MF\Wichita Falls\Barnett Rd_4516_NF_Wichita Falls_60564","Barnett Rd_4516_NF_Wichita Falls_60564" )</f>
        <v>Barnett Rd_4516_NF_Wichita Falls_60564</v>
      </c>
      <c r="L8173" s="104" t="s">
        <v>22253</v>
      </c>
      <c r="N8173" s="1">
        <f t="shared" si="630"/>
        <v>60564</v>
      </c>
    </row>
    <row r="8174" spans="1:14" x14ac:dyDescent="0.3">
      <c r="A8174" s="1">
        <v>30565</v>
      </c>
      <c r="B8174" s="16" t="s">
        <v>12143</v>
      </c>
      <c r="C8174" s="15">
        <v>4540</v>
      </c>
      <c r="D8174" s="16" t="s">
        <v>2497</v>
      </c>
      <c r="E8174" s="17" t="s">
        <v>12140</v>
      </c>
      <c r="F8174" t="str">
        <f t="shared" si="627"/>
        <v>Barnett</v>
      </c>
      <c r="G8174" t="str">
        <f t="shared" si="628"/>
        <v>Barnett4540Wichita Falls</v>
      </c>
      <c r="H8174" t="s">
        <v>39029</v>
      </c>
      <c r="I8174" t="s">
        <v>30435</v>
      </c>
      <c r="J8174" t="str">
        <f t="shared" si="629"/>
        <v>E:\PropInv\MF</v>
      </c>
      <c r="K8174" s="103" t="str">
        <f>HYPERLINK("E:\PropInv\MF\Wichita Falls\Barnett Rd_4540_NF_Wichita Falls_60565","Barnett Rd_4540_NF_Wichita Falls_60565" )</f>
        <v>Barnett Rd_4540_NF_Wichita Falls_60565</v>
      </c>
      <c r="L8174" s="104" t="s">
        <v>22253</v>
      </c>
      <c r="N8174" s="1">
        <f t="shared" si="630"/>
        <v>60565</v>
      </c>
    </row>
    <row r="8175" spans="1:14" x14ac:dyDescent="0.3">
      <c r="A8175" s="1">
        <v>30566</v>
      </c>
      <c r="B8175" s="16" t="s">
        <v>12143</v>
      </c>
      <c r="C8175" s="15">
        <v>4835</v>
      </c>
      <c r="D8175" s="16" t="s">
        <v>2497</v>
      </c>
      <c r="E8175" s="17" t="s">
        <v>12140</v>
      </c>
      <c r="F8175" t="str">
        <f t="shared" si="627"/>
        <v>Barnett</v>
      </c>
      <c r="G8175" t="str">
        <f t="shared" si="628"/>
        <v>Barnett4835Wichita Falls</v>
      </c>
      <c r="H8175" t="s">
        <v>39030</v>
      </c>
      <c r="I8175" t="s">
        <v>30436</v>
      </c>
      <c r="J8175" t="str">
        <f t="shared" si="629"/>
        <v>E:\PropInv\MF</v>
      </c>
      <c r="K8175" s="103" t="str">
        <f>HYPERLINK("E:\PropInv\MF\Wichita Falls\Barnett Rd_4835_NF_Wichita Falls_60566","Barnett Rd_4835_NF_Wichita Falls_60566" )</f>
        <v>Barnett Rd_4835_NF_Wichita Falls_60566</v>
      </c>
      <c r="L8175" s="104" t="s">
        <v>22253</v>
      </c>
      <c r="N8175" s="1">
        <f t="shared" si="630"/>
        <v>60566</v>
      </c>
    </row>
    <row r="8176" spans="1:14" x14ac:dyDescent="0.3">
      <c r="A8176" s="1">
        <v>30567</v>
      </c>
      <c r="B8176" s="44" t="s">
        <v>12143</v>
      </c>
      <c r="C8176" s="32">
        <v>3919</v>
      </c>
      <c r="D8176" s="31" t="s">
        <v>12144</v>
      </c>
      <c r="E8176" s="71" t="s">
        <v>12140</v>
      </c>
      <c r="F8176" t="str">
        <f t="shared" si="627"/>
        <v>Barnett</v>
      </c>
      <c r="G8176" t="str">
        <f t="shared" si="628"/>
        <v>Barnett3919Wichita Falls</v>
      </c>
      <c r="H8176" t="s">
        <v>39031</v>
      </c>
      <c r="I8176" t="s">
        <v>30437</v>
      </c>
      <c r="J8176" t="str">
        <f t="shared" si="629"/>
        <v>E:\PropInv\MF</v>
      </c>
      <c r="K8176" s="103" t="str">
        <f>HYPERLINK("E:\PropInv\MF\Wichita Falls\Barnett Rd_3919_Wellington on the lake_Wichita Falls_60567","Barnett Rd_3919_Wellington on the lake_Wichita Falls_60567" )</f>
        <v>Barnett Rd_3919_Wellington on the lake_Wichita Falls_60567</v>
      </c>
      <c r="L8176" s="104" t="s">
        <v>22253</v>
      </c>
      <c r="N8176" s="1">
        <f t="shared" si="630"/>
        <v>60567</v>
      </c>
    </row>
    <row r="8177" spans="1:14" x14ac:dyDescent="0.3">
      <c r="A8177" s="1">
        <v>30568</v>
      </c>
      <c r="B8177" s="16" t="s">
        <v>12145</v>
      </c>
      <c r="C8177" s="15">
        <v>4800</v>
      </c>
      <c r="D8177" s="16" t="s">
        <v>7891</v>
      </c>
      <c r="E8177" s="17" t="s">
        <v>12140</v>
      </c>
      <c r="F8177" t="str">
        <f t="shared" si="627"/>
        <v>Brookdale</v>
      </c>
      <c r="G8177" t="str">
        <f t="shared" si="628"/>
        <v>Brookdale4800Wichita Falls</v>
      </c>
      <c r="H8177" t="s">
        <v>39032</v>
      </c>
      <c r="I8177" t="s">
        <v>30438</v>
      </c>
      <c r="J8177" t="str">
        <f t="shared" si="629"/>
        <v>E:\PropInv\MF</v>
      </c>
      <c r="K8177" s="103" t="str">
        <f>HYPERLINK("E:\PropInv\MF\Wichita Falls\Brookdale Dr_4800_Parkway Villas_Wichita Falls_60568","Brookdale Dr_4800_Parkway Villas_Wichita Falls_60568" )</f>
        <v>Brookdale Dr_4800_Parkway Villas_Wichita Falls_60568</v>
      </c>
      <c r="L8177" s="104" t="s">
        <v>22253</v>
      </c>
      <c r="N8177" s="1">
        <f t="shared" si="630"/>
        <v>60568</v>
      </c>
    </row>
    <row r="8178" spans="1:14" x14ac:dyDescent="0.3">
      <c r="A8178" s="1">
        <v>30569</v>
      </c>
      <c r="B8178" s="16" t="s">
        <v>12146</v>
      </c>
      <c r="C8178" s="32">
        <v>4201</v>
      </c>
      <c r="D8178" s="16" t="s">
        <v>12147</v>
      </c>
      <c r="E8178" s="17" t="s">
        <v>12140</v>
      </c>
      <c r="F8178" t="str">
        <f t="shared" si="627"/>
        <v>Cedar</v>
      </c>
      <c r="G8178" t="str">
        <f t="shared" si="628"/>
        <v>Cedar4201Wichita Falls</v>
      </c>
      <c r="H8178" t="s">
        <v>39033</v>
      </c>
      <c r="I8178" t="s">
        <v>30439</v>
      </c>
      <c r="J8178" t="str">
        <f t="shared" si="629"/>
        <v>E:\PropInv\MF</v>
      </c>
      <c r="K8178" s="103" t="str">
        <f>HYPERLINK("E:\PropInv\MF\Wichita Falls\Cedar Elm_4201_French Quarter Apts_Wichita Falls_60569","Cedar Elm_4201_French Quarter Apts_Wichita Falls_60569" )</f>
        <v>Cedar Elm_4201_French Quarter Apts_Wichita Falls_60569</v>
      </c>
      <c r="L8178" s="104" t="s">
        <v>22253</v>
      </c>
      <c r="N8178" s="1">
        <f t="shared" si="630"/>
        <v>60569</v>
      </c>
    </row>
    <row r="8179" spans="1:14" x14ac:dyDescent="0.3">
      <c r="A8179" s="1">
        <v>30570</v>
      </c>
      <c r="B8179" s="16" t="s">
        <v>12148</v>
      </c>
      <c r="C8179" s="15">
        <v>5635</v>
      </c>
      <c r="D8179" s="16" t="s">
        <v>2497</v>
      </c>
      <c r="E8179" s="17" t="s">
        <v>12140</v>
      </c>
      <c r="F8179" t="str">
        <f t="shared" si="627"/>
        <v>Central</v>
      </c>
      <c r="G8179" t="str">
        <f t="shared" si="628"/>
        <v>Central5635Wichita Falls</v>
      </c>
      <c r="H8179" t="s">
        <v>39034</v>
      </c>
      <c r="I8179" t="s">
        <v>30440</v>
      </c>
      <c r="J8179" t="str">
        <f t="shared" si="629"/>
        <v>E:\PropInv\MF</v>
      </c>
      <c r="K8179" s="103" t="str">
        <f>HYPERLINK("E:\PropInv\MF\Wichita Falls\Central Fwy_5635_NF_Wichita Falls_60570","Central Fwy_5635_NF_Wichita Falls_60570" )</f>
        <v>Central Fwy_5635_NF_Wichita Falls_60570</v>
      </c>
      <c r="L8179" s="104" t="s">
        <v>22253</v>
      </c>
      <c r="N8179" s="1">
        <f t="shared" si="630"/>
        <v>60570</v>
      </c>
    </row>
    <row r="8180" spans="1:14" x14ac:dyDescent="0.3">
      <c r="A8180" s="1">
        <v>30571</v>
      </c>
      <c r="B8180" s="16" t="s">
        <v>12149</v>
      </c>
      <c r="C8180" s="15">
        <v>5601</v>
      </c>
      <c r="D8180" s="16" t="s">
        <v>12150</v>
      </c>
      <c r="E8180" s="17" t="s">
        <v>12140</v>
      </c>
      <c r="F8180" t="str">
        <f t="shared" si="627"/>
        <v>Central</v>
      </c>
      <c r="G8180" t="str">
        <f t="shared" si="628"/>
        <v>Central5601Wichita Falls</v>
      </c>
      <c r="H8180" t="s">
        <v>39035</v>
      </c>
      <c r="I8180" t="s">
        <v>30441</v>
      </c>
      <c r="J8180" t="str">
        <f t="shared" si="629"/>
        <v>E:\PropInv\MF</v>
      </c>
      <c r="K8180" s="103" t="str">
        <f>HYPERLINK("E:\PropInv\MF\Wichita Falls\Central Fwy N_5601_Northpark Village Apts_Wichita Falls_60571","Central Fwy N_5601_Northpark Village Apts_Wichita Falls_60571" )</f>
        <v>Central Fwy N_5601_Northpark Village Apts_Wichita Falls_60571</v>
      </c>
      <c r="L8180" s="104" t="s">
        <v>22253</v>
      </c>
      <c r="N8180" s="1">
        <f t="shared" si="630"/>
        <v>60571</v>
      </c>
    </row>
    <row r="8181" spans="1:14" x14ac:dyDescent="0.3">
      <c r="A8181" s="1">
        <v>30572</v>
      </c>
      <c r="B8181" s="16" t="s">
        <v>12151</v>
      </c>
      <c r="C8181" s="15">
        <v>4806</v>
      </c>
      <c r="D8181" s="16" t="s">
        <v>12152</v>
      </c>
      <c r="E8181" s="17" t="s">
        <v>12140</v>
      </c>
      <c r="F8181" t="str">
        <f t="shared" si="627"/>
        <v>Johnson</v>
      </c>
      <c r="G8181" t="str">
        <f t="shared" si="628"/>
        <v>Johnson4806Wichita Falls</v>
      </c>
      <c r="H8181" t="s">
        <v>39036</v>
      </c>
      <c r="I8181" t="s">
        <v>30442</v>
      </c>
      <c r="J8181" t="str">
        <f t="shared" si="629"/>
        <v>E:\PropInv\MF</v>
      </c>
      <c r="K8181" s="103" t="str">
        <f>HYPERLINK("E:\PropInv\MF\Wichita Falls\Johnson Rd_4806_Westmoreland Park Apts_Wichita Falls_60572","Johnson Rd_4806_Westmoreland Park Apts_Wichita Falls_60572" )</f>
        <v>Johnson Rd_4806_Westmoreland Park Apts_Wichita Falls_60572</v>
      </c>
      <c r="L8181" s="104" t="s">
        <v>22253</v>
      </c>
      <c r="N8181" s="1">
        <f t="shared" si="630"/>
        <v>60572</v>
      </c>
    </row>
    <row r="8182" spans="1:14" x14ac:dyDescent="0.3">
      <c r="A8182" s="1">
        <v>30573</v>
      </c>
      <c r="B8182" s="16" t="s">
        <v>12153</v>
      </c>
      <c r="C8182" s="15">
        <v>3001</v>
      </c>
      <c r="D8182" s="16" t="s">
        <v>2497</v>
      </c>
      <c r="E8182" s="17" t="s">
        <v>12140</v>
      </c>
      <c r="F8182" t="str">
        <f t="shared" si="627"/>
        <v>Kemp</v>
      </c>
      <c r="G8182" t="str">
        <f t="shared" si="628"/>
        <v>Kemp3001Wichita Falls</v>
      </c>
      <c r="H8182" t="s">
        <v>39037</v>
      </c>
      <c r="I8182" t="s">
        <v>30443</v>
      </c>
      <c r="J8182" t="str">
        <f t="shared" si="629"/>
        <v>E:\PropInv\MF</v>
      </c>
      <c r="K8182" s="103" t="str">
        <f>HYPERLINK("E:\PropInv\MF\Wichita Falls\Kemp Blvd_3001_NF_Wichita Falls_60573","Kemp Blvd_3001_NF_Wichita Falls_60573" )</f>
        <v>Kemp Blvd_3001_NF_Wichita Falls_60573</v>
      </c>
      <c r="L8182" s="104" t="s">
        <v>22253</v>
      </c>
      <c r="N8182" s="1">
        <f t="shared" si="630"/>
        <v>60573</v>
      </c>
    </row>
    <row r="8183" spans="1:14" x14ac:dyDescent="0.3">
      <c r="A8183" s="1">
        <v>30574</v>
      </c>
      <c r="B8183" s="16" t="s">
        <v>12154</v>
      </c>
      <c r="C8183" s="15">
        <v>5005</v>
      </c>
      <c r="D8183" s="16" t="s">
        <v>2497</v>
      </c>
      <c r="E8183" s="17" t="s">
        <v>12140</v>
      </c>
      <c r="F8183" t="str">
        <f t="shared" si="627"/>
        <v>Lake</v>
      </c>
      <c r="G8183" t="str">
        <f t="shared" si="628"/>
        <v>Lake5005Wichita Falls</v>
      </c>
      <c r="H8183" t="s">
        <v>39038</v>
      </c>
      <c r="I8183" t="s">
        <v>30444</v>
      </c>
      <c r="J8183" t="str">
        <f t="shared" si="629"/>
        <v>E:\PropInv\MF</v>
      </c>
      <c r="K8183" s="103" t="str">
        <f>HYPERLINK("E:\PropInv\MF\Wichita Falls\Lake Park Dr_5005_NF_Wichita Falls_60574","Lake Park Dr_5005_NF_Wichita Falls_60574" )</f>
        <v>Lake Park Dr_5005_NF_Wichita Falls_60574</v>
      </c>
      <c r="L8183" s="104" t="s">
        <v>22253</v>
      </c>
      <c r="N8183" s="1">
        <f t="shared" si="630"/>
        <v>60574</v>
      </c>
    </row>
    <row r="8184" spans="1:14" x14ac:dyDescent="0.3">
      <c r="A8184" s="1">
        <v>30575</v>
      </c>
      <c r="B8184" s="16" t="s">
        <v>7710</v>
      </c>
      <c r="C8184" s="15">
        <v>4515</v>
      </c>
      <c r="D8184" s="16" t="s">
        <v>2497</v>
      </c>
      <c r="E8184" s="17" t="s">
        <v>12140</v>
      </c>
      <c r="F8184" t="str">
        <f t="shared" si="627"/>
        <v>Maplewood</v>
      </c>
      <c r="G8184" t="str">
        <f t="shared" si="628"/>
        <v>Maplewood4515Wichita Falls</v>
      </c>
      <c r="H8184" t="s">
        <v>39039</v>
      </c>
      <c r="I8184" t="s">
        <v>30445</v>
      </c>
      <c r="J8184" t="str">
        <f t="shared" si="629"/>
        <v>E:\PropInv\MF</v>
      </c>
      <c r="K8184" s="103" t="str">
        <f>HYPERLINK("E:\PropInv\MF\Wichita Falls\Maplewood Ave_4515_NF_Wichita Falls_60575","Maplewood Ave_4515_NF_Wichita Falls_60575" )</f>
        <v>Maplewood Ave_4515_NF_Wichita Falls_60575</v>
      </c>
      <c r="L8184" s="104" t="s">
        <v>22253</v>
      </c>
      <c r="N8184" s="1">
        <f t="shared" si="630"/>
        <v>60575</v>
      </c>
    </row>
    <row r="8185" spans="1:14" x14ac:dyDescent="0.3">
      <c r="A8185" s="1">
        <v>30576</v>
      </c>
      <c r="B8185" s="16" t="s">
        <v>12155</v>
      </c>
      <c r="C8185" s="15">
        <v>1510</v>
      </c>
      <c r="D8185" s="16" t="s">
        <v>12156</v>
      </c>
      <c r="E8185" s="17" t="s">
        <v>12140</v>
      </c>
      <c r="F8185" t="str">
        <f t="shared" si="627"/>
        <v>Nunneley</v>
      </c>
      <c r="G8185" t="str">
        <f t="shared" si="628"/>
        <v>Nunneley1510Wichita Falls</v>
      </c>
      <c r="H8185" t="s">
        <v>39040</v>
      </c>
      <c r="I8185" t="s">
        <v>30446</v>
      </c>
      <c r="J8185" t="str">
        <f t="shared" si="629"/>
        <v>E:\PropInv\MF</v>
      </c>
      <c r="K8185" s="103" t="str">
        <f>HYPERLINK("E:\PropInv\MF\Wichita Falls\Nunneley Place_1510_Lincoln Heights Apts_Wichita Falls_60576","Nunneley Place_1510_Lincoln Heights Apts_Wichita Falls_60576" )</f>
        <v>Nunneley Place_1510_Lincoln Heights Apts_Wichita Falls_60576</v>
      </c>
      <c r="L8185" s="104" t="s">
        <v>22253</v>
      </c>
      <c r="N8185" s="1">
        <f t="shared" si="630"/>
        <v>60576</v>
      </c>
    </row>
    <row r="8186" spans="1:14" x14ac:dyDescent="0.3">
      <c r="A8186" s="1">
        <v>30577</v>
      </c>
      <c r="B8186" s="16" t="s">
        <v>12157</v>
      </c>
      <c r="C8186" s="15">
        <v>1701</v>
      </c>
      <c r="D8186" s="16" t="s">
        <v>12158</v>
      </c>
      <c r="E8186" s="17" t="s">
        <v>12140</v>
      </c>
      <c r="F8186" t="str">
        <f t="shared" si="627"/>
        <v>Pearlie</v>
      </c>
      <c r="G8186" t="str">
        <f t="shared" si="628"/>
        <v>Pearlie1701Wichita Falls</v>
      </c>
      <c r="H8186" t="s">
        <v>39041</v>
      </c>
      <c r="I8186" t="s">
        <v>30447</v>
      </c>
      <c r="J8186" t="str">
        <f t="shared" si="629"/>
        <v>E:\PropInv\MF</v>
      </c>
      <c r="K8186" s="103" t="str">
        <f>HYPERLINK("E:\PropInv\MF\Wichita Falls\Pearlie Dr_1701_Sheppard's Edge Apts_Wichita Falls_60577","Pearlie Dr_1701_Sheppard's Edge Apts_Wichita Falls_60577" )</f>
        <v>Pearlie Dr_1701_Sheppard's Edge Apts_Wichita Falls_60577</v>
      </c>
      <c r="L8186" s="104" t="s">
        <v>22253</v>
      </c>
      <c r="N8186" s="1">
        <f t="shared" si="630"/>
        <v>60577</v>
      </c>
    </row>
    <row r="8187" spans="1:14" x14ac:dyDescent="0.3">
      <c r="A8187" s="1">
        <v>30578</v>
      </c>
      <c r="B8187" s="16" t="s">
        <v>12159</v>
      </c>
      <c r="C8187" s="15">
        <v>5228</v>
      </c>
      <c r="D8187" s="16" t="s">
        <v>2497</v>
      </c>
      <c r="E8187" s="17" t="s">
        <v>12140</v>
      </c>
      <c r="F8187" t="str">
        <f t="shared" si="627"/>
        <v>Professional</v>
      </c>
      <c r="G8187" t="str">
        <f t="shared" si="628"/>
        <v>Professional5228Wichita Falls</v>
      </c>
      <c r="H8187" t="s">
        <v>39042</v>
      </c>
      <c r="I8187" t="s">
        <v>30448</v>
      </c>
      <c r="J8187" t="str">
        <f t="shared" si="629"/>
        <v>E:\PropInv\MF</v>
      </c>
      <c r="K8187" s="103" t="str">
        <f>HYPERLINK("E:\PropInv\MF\Wichita Falls\Professional Dr_5228_NF_Wichita Falls_60578","Professional Dr_5228_NF_Wichita Falls_60578" )</f>
        <v>Professional Dr_5228_NF_Wichita Falls_60578</v>
      </c>
      <c r="L8187" s="104" t="s">
        <v>22253</v>
      </c>
      <c r="N8187" s="1">
        <f t="shared" si="630"/>
        <v>60578</v>
      </c>
    </row>
    <row r="8188" spans="1:14" x14ac:dyDescent="0.3">
      <c r="A8188" s="1">
        <v>30579</v>
      </c>
      <c r="B8188" s="16" t="s">
        <v>12159</v>
      </c>
      <c r="C8188" s="15">
        <v>5282</v>
      </c>
      <c r="D8188" s="16" t="s">
        <v>2497</v>
      </c>
      <c r="E8188" s="17" t="s">
        <v>12140</v>
      </c>
      <c r="F8188" t="str">
        <f t="shared" si="627"/>
        <v>Professional</v>
      </c>
      <c r="G8188" t="str">
        <f t="shared" si="628"/>
        <v>Professional5282Wichita Falls</v>
      </c>
      <c r="H8188" t="s">
        <v>39043</v>
      </c>
      <c r="I8188" t="s">
        <v>30449</v>
      </c>
      <c r="J8188" t="str">
        <f t="shared" si="629"/>
        <v>E:\PropInv\MF</v>
      </c>
      <c r="K8188" s="103" t="str">
        <f>HYPERLINK("E:\PropInv\MF\Wichita Falls\Professional Dr_5282_NF_Wichita Falls_60579","Professional Dr_5282_NF_Wichita Falls_60579" )</f>
        <v>Professional Dr_5282_NF_Wichita Falls_60579</v>
      </c>
      <c r="L8188" s="104" t="s">
        <v>22253</v>
      </c>
      <c r="N8188" s="1">
        <f t="shared" si="630"/>
        <v>60579</v>
      </c>
    </row>
    <row r="8189" spans="1:14" x14ac:dyDescent="0.3">
      <c r="A8189" s="1">
        <v>30580</v>
      </c>
      <c r="B8189" s="16" t="s">
        <v>12159</v>
      </c>
      <c r="C8189" s="15">
        <v>5300</v>
      </c>
      <c r="D8189" s="16" t="s">
        <v>2497</v>
      </c>
      <c r="E8189" s="17" t="s">
        <v>12140</v>
      </c>
      <c r="F8189" t="str">
        <f t="shared" ref="F8189:F8252" si="631">IFERROR(LEFT(B8189,FIND(" ",B8189)-1),B8189)</f>
        <v>Professional</v>
      </c>
      <c r="G8189" t="str">
        <f t="shared" ref="G8189:G8252" si="632">F8189&amp;C8189&amp;E8189</f>
        <v>Professional5300Wichita Falls</v>
      </c>
      <c r="H8189" t="s">
        <v>39044</v>
      </c>
      <c r="I8189" t="s">
        <v>30450</v>
      </c>
      <c r="J8189" t="str">
        <f t="shared" ref="J8189:J8252" si="633">IF(L8189="TX",Folder_Path,Folder_Path&amp;"\State_"&amp;L8189)</f>
        <v>E:\PropInv\MF</v>
      </c>
      <c r="K8189" s="103" t="str">
        <f>HYPERLINK("E:\PropInv\MF\Wichita Falls\Professional Dr_5300_NF_Wichita Falls_60580","Professional Dr_5300_NF_Wichita Falls_60580" )</f>
        <v>Professional Dr_5300_NF_Wichita Falls_60580</v>
      </c>
      <c r="L8189" s="104" t="s">
        <v>22253</v>
      </c>
      <c r="N8189" s="1">
        <f t="shared" si="630"/>
        <v>60580</v>
      </c>
    </row>
    <row r="8190" spans="1:14" x14ac:dyDescent="0.3">
      <c r="A8190" s="1">
        <v>30581</v>
      </c>
      <c r="B8190" s="16" t="s">
        <v>12159</v>
      </c>
      <c r="C8190" s="15">
        <v>5500</v>
      </c>
      <c r="D8190" s="16" t="s">
        <v>2497</v>
      </c>
      <c r="E8190" s="17" t="s">
        <v>12140</v>
      </c>
      <c r="F8190" t="str">
        <f t="shared" si="631"/>
        <v>Professional</v>
      </c>
      <c r="G8190" t="str">
        <f t="shared" si="632"/>
        <v>Professional5500Wichita Falls</v>
      </c>
      <c r="H8190" t="s">
        <v>39045</v>
      </c>
      <c r="I8190" t="s">
        <v>30451</v>
      </c>
      <c r="J8190" t="str">
        <f t="shared" si="633"/>
        <v>E:\PropInv\MF</v>
      </c>
      <c r="K8190" s="103" t="str">
        <f>HYPERLINK("E:\PropInv\MF\Wichita Falls\Professional Dr_5500_NF_Wichita Falls_60581","Professional Dr_5500_NF_Wichita Falls_60581" )</f>
        <v>Professional Dr_5500_NF_Wichita Falls_60581</v>
      </c>
      <c r="L8190" s="104" t="s">
        <v>22253</v>
      </c>
      <c r="N8190" s="1">
        <f t="shared" si="630"/>
        <v>60581</v>
      </c>
    </row>
    <row r="8191" spans="1:14" x14ac:dyDescent="0.3">
      <c r="A8191" s="1">
        <v>30582</v>
      </c>
      <c r="B8191" s="16" t="s">
        <v>12160</v>
      </c>
      <c r="C8191" s="15">
        <v>1001</v>
      </c>
      <c r="D8191" s="16" t="s">
        <v>2497</v>
      </c>
      <c r="E8191" s="17" t="s">
        <v>12140</v>
      </c>
      <c r="F8191" t="str">
        <f t="shared" si="631"/>
        <v>Redwood</v>
      </c>
      <c r="G8191" t="str">
        <f t="shared" si="632"/>
        <v>Redwood1001Wichita Falls</v>
      </c>
      <c r="H8191" t="s">
        <v>39046</v>
      </c>
      <c r="I8191" t="s">
        <v>30452</v>
      </c>
      <c r="J8191" t="str">
        <f t="shared" si="633"/>
        <v>E:\PropInv\MF</v>
      </c>
      <c r="K8191" s="103" t="str">
        <f>HYPERLINK("E:\PropInv\MF\Wichita Falls\Redwood Ave_1001_NF_Wichita Falls_60582","Redwood Ave_1001_NF_Wichita Falls_60582" )</f>
        <v>Redwood Ave_1001_NF_Wichita Falls_60582</v>
      </c>
      <c r="L8191" s="104" t="s">
        <v>22253</v>
      </c>
      <c r="N8191" s="1">
        <f t="shared" si="630"/>
        <v>60582</v>
      </c>
    </row>
    <row r="8192" spans="1:14" x14ac:dyDescent="0.3">
      <c r="A8192" s="1">
        <v>30583</v>
      </c>
      <c r="B8192" s="16" t="s">
        <v>12161</v>
      </c>
      <c r="C8192" s="15">
        <v>1200</v>
      </c>
      <c r="D8192" s="16" t="s">
        <v>2497</v>
      </c>
      <c r="E8192" s="17" t="s">
        <v>12140</v>
      </c>
      <c r="F8192" t="str">
        <f t="shared" si="631"/>
        <v>Ridgeway</v>
      </c>
      <c r="G8192" t="str">
        <f t="shared" si="632"/>
        <v>Ridgeway1200Wichita Falls</v>
      </c>
      <c r="H8192" t="s">
        <v>39047</v>
      </c>
      <c r="I8192" t="s">
        <v>30453</v>
      </c>
      <c r="J8192" t="str">
        <f t="shared" si="633"/>
        <v>E:\PropInv\MF</v>
      </c>
      <c r="K8192" s="103" t="str">
        <f>HYPERLINK("E:\PropInv\MF\Wichita Falls\Ridgeway_1200_NF_Wichita Falls_60583","Ridgeway_1200_NF_Wichita Falls_60583" )</f>
        <v>Ridgeway_1200_NF_Wichita Falls_60583</v>
      </c>
      <c r="L8192" s="104" t="s">
        <v>22253</v>
      </c>
      <c r="N8192" s="1">
        <f t="shared" si="630"/>
        <v>60583</v>
      </c>
    </row>
    <row r="8193" spans="1:14" x14ac:dyDescent="0.3">
      <c r="A8193" s="1">
        <v>30584</v>
      </c>
      <c r="B8193" s="16" t="s">
        <v>12162</v>
      </c>
      <c r="C8193" s="15" t="s">
        <v>12163</v>
      </c>
      <c r="D8193" s="16" t="s">
        <v>12164</v>
      </c>
      <c r="E8193" s="17" t="s">
        <v>12140</v>
      </c>
      <c r="F8193" t="str">
        <f t="shared" si="631"/>
        <v>Santa</v>
      </c>
      <c r="G8193" t="str">
        <f t="shared" si="632"/>
        <v>Santa2010 &amp; 2020Wichita Falls</v>
      </c>
      <c r="H8193" t="s">
        <v>39048</v>
      </c>
      <c r="I8193" t="s">
        <v>30454</v>
      </c>
      <c r="J8193" t="str">
        <f t="shared" si="633"/>
        <v>E:\PropInv\MF</v>
      </c>
      <c r="K8193" s="103" t="str">
        <f>HYPERLINK("E:\PropInv\MF\Wichita Falls\Santa Fe St_2010 &amp; 2020_The Highlander &amp; Santa Fe Village_Wichita Falls_60584","Santa Fe St_2010 &amp; 2020_The Highlander &amp; Santa Fe Village_Wichita Falls_60584" )</f>
        <v>Santa Fe St_2010 &amp; 2020_The Highlander &amp; Santa Fe Village_Wichita Falls_60584</v>
      </c>
      <c r="L8193" s="104" t="s">
        <v>22253</v>
      </c>
      <c r="N8193" s="1">
        <f t="shared" si="630"/>
        <v>60584</v>
      </c>
    </row>
    <row r="8194" spans="1:14" x14ac:dyDescent="0.3">
      <c r="A8194" s="1">
        <v>30585</v>
      </c>
      <c r="B8194" s="16" t="s">
        <v>12165</v>
      </c>
      <c r="C8194" s="15">
        <v>4200</v>
      </c>
      <c r="D8194" s="16" t="s">
        <v>2497</v>
      </c>
      <c r="E8194" s="17" t="s">
        <v>12140</v>
      </c>
      <c r="F8194" t="str">
        <f t="shared" si="631"/>
        <v>Seabury</v>
      </c>
      <c r="G8194" t="str">
        <f t="shared" si="632"/>
        <v>Seabury4200Wichita Falls</v>
      </c>
      <c r="H8194" t="s">
        <v>39049</v>
      </c>
      <c r="I8194" t="s">
        <v>30455</v>
      </c>
      <c r="J8194" t="str">
        <f t="shared" si="633"/>
        <v>E:\PropInv\MF</v>
      </c>
      <c r="K8194" s="103" t="str">
        <f>HYPERLINK("E:\PropInv\MF\Wichita Falls\Seabury Dr_4200_NF_Wichita Falls_60585","Seabury Dr_4200_NF_Wichita Falls_60585" )</f>
        <v>Seabury Dr_4200_NF_Wichita Falls_60585</v>
      </c>
      <c r="L8194" s="104" t="s">
        <v>22253</v>
      </c>
      <c r="N8194" s="1">
        <f t="shared" ref="N8194:N8257" si="634">IF(LEN(A8194)=1,"0000"&amp;A8194,IF(LEN(A8194)=2,"000"&amp;A8194,IF(LEN(A8194)=3,"00"&amp;A8194,IF(LEN(A8194)=4,"0"&amp;A8194,IF(LEN(A8194)=5,IF(LEFT(A8194,1)="3",A8194+30000,A8194))))))</f>
        <v>60585</v>
      </c>
    </row>
    <row r="8195" spans="1:14" x14ac:dyDescent="0.3">
      <c r="A8195" s="1">
        <v>30586</v>
      </c>
      <c r="B8195" s="30" t="s">
        <v>686</v>
      </c>
      <c r="C8195" s="15">
        <v>2612</v>
      </c>
      <c r="D8195" s="16" t="s">
        <v>481</v>
      </c>
      <c r="E8195" s="17" t="s">
        <v>12140</v>
      </c>
      <c r="F8195" t="str">
        <f t="shared" si="631"/>
        <v>SW</v>
      </c>
      <c r="G8195" t="str">
        <f t="shared" si="632"/>
        <v>SW2612Wichita Falls</v>
      </c>
      <c r="H8195" t="s">
        <v>39050</v>
      </c>
      <c r="I8195" t="s">
        <v>30456</v>
      </c>
      <c r="J8195" t="str">
        <f t="shared" si="633"/>
        <v>E:\PropInv\MF</v>
      </c>
      <c r="K8195" s="103" t="str">
        <f>HYPERLINK("E:\PropInv\MF\Wichita Falls\SW Pkwy_2612_The Elms_Wichita Falls_60586","SW Pkwy_2612_The Elms_Wichita Falls_60586" )</f>
        <v>SW Pkwy_2612_The Elms_Wichita Falls_60586</v>
      </c>
      <c r="L8195" s="104" t="s">
        <v>22253</v>
      </c>
      <c r="N8195" s="1">
        <f t="shared" si="634"/>
        <v>60586</v>
      </c>
    </row>
    <row r="8196" spans="1:14" x14ac:dyDescent="0.3">
      <c r="A8196" s="1">
        <v>30587</v>
      </c>
      <c r="B8196" s="16" t="s">
        <v>12166</v>
      </c>
      <c r="C8196" s="15">
        <v>4011</v>
      </c>
      <c r="D8196" s="16" t="s">
        <v>2497</v>
      </c>
      <c r="E8196" s="17" t="s">
        <v>12140</v>
      </c>
      <c r="F8196" t="str">
        <f t="shared" si="631"/>
        <v>Taft</v>
      </c>
      <c r="G8196" t="str">
        <f t="shared" si="632"/>
        <v>Taft4011Wichita Falls</v>
      </c>
      <c r="H8196" t="s">
        <v>39051</v>
      </c>
      <c r="I8196" t="s">
        <v>30457</v>
      </c>
      <c r="J8196" t="str">
        <f t="shared" si="633"/>
        <v>E:\PropInv\MF</v>
      </c>
      <c r="K8196" s="103" t="str">
        <f>HYPERLINK("E:\PropInv\MF\Wichita Falls\Taft Blvd_4011_NF_Wichita Falls_60587","Taft Blvd_4011_NF_Wichita Falls_60587" )</f>
        <v>Taft Blvd_4011_NF_Wichita Falls_60587</v>
      </c>
      <c r="L8196" s="104" t="s">
        <v>22253</v>
      </c>
      <c r="N8196" s="1">
        <f t="shared" si="634"/>
        <v>60587</v>
      </c>
    </row>
    <row r="8197" spans="1:14" x14ac:dyDescent="0.3">
      <c r="A8197" s="1">
        <v>30588</v>
      </c>
      <c r="B8197" s="16" t="s">
        <v>12166</v>
      </c>
      <c r="C8197" s="15">
        <v>4021</v>
      </c>
      <c r="D8197" s="16" t="s">
        <v>2497</v>
      </c>
      <c r="E8197" s="17" t="s">
        <v>12140</v>
      </c>
      <c r="F8197" t="str">
        <f t="shared" si="631"/>
        <v>Taft</v>
      </c>
      <c r="G8197" t="str">
        <f t="shared" si="632"/>
        <v>Taft4021Wichita Falls</v>
      </c>
      <c r="H8197" t="s">
        <v>39052</v>
      </c>
      <c r="I8197" t="s">
        <v>30458</v>
      </c>
      <c r="J8197" t="str">
        <f t="shared" si="633"/>
        <v>E:\PropInv\MF</v>
      </c>
      <c r="K8197" s="103" t="str">
        <f>HYPERLINK("E:\PropInv\MF\Wichita Falls\Taft Blvd_4021_NF_Wichita Falls_60588","Taft Blvd_4021_NF_Wichita Falls_60588" )</f>
        <v>Taft Blvd_4021_NF_Wichita Falls_60588</v>
      </c>
      <c r="L8197" s="104" t="s">
        <v>22253</v>
      </c>
      <c r="N8197" s="1">
        <f t="shared" si="634"/>
        <v>60588</v>
      </c>
    </row>
    <row r="8198" spans="1:14" x14ac:dyDescent="0.3">
      <c r="A8198" s="1">
        <v>30589</v>
      </c>
      <c r="B8198" s="16" t="s">
        <v>12166</v>
      </c>
      <c r="C8198" s="15">
        <v>4700</v>
      </c>
      <c r="D8198" s="16" t="s">
        <v>12167</v>
      </c>
      <c r="E8198" s="17" t="s">
        <v>12140</v>
      </c>
      <c r="F8198" t="str">
        <f t="shared" si="631"/>
        <v>Taft</v>
      </c>
      <c r="G8198" t="str">
        <f t="shared" si="632"/>
        <v>Taft4700Wichita Falls</v>
      </c>
      <c r="H8198" t="s">
        <v>39053</v>
      </c>
      <c r="I8198" t="s">
        <v>30459</v>
      </c>
      <c r="J8198" t="str">
        <f t="shared" si="633"/>
        <v>E:\PropInv\MF</v>
      </c>
      <c r="K8198" s="103" t="str">
        <f>HYPERLINK("E:\PropInv\MF\Wichita Falls\Taft Blvd_4700_Colony Park Apts_Wichita Falls_60589","Taft Blvd_4700_Colony Park Apts_Wichita Falls_60589" )</f>
        <v>Taft Blvd_4700_Colony Park Apts_Wichita Falls_60589</v>
      </c>
      <c r="L8198" s="104" t="s">
        <v>22253</v>
      </c>
      <c r="N8198" s="1">
        <f t="shared" si="634"/>
        <v>60589</v>
      </c>
    </row>
    <row r="8199" spans="1:14" x14ac:dyDescent="0.3">
      <c r="A8199" s="1">
        <v>30590</v>
      </c>
      <c r="B8199" s="16" t="s">
        <v>12166</v>
      </c>
      <c r="C8199" s="15">
        <v>4709</v>
      </c>
      <c r="D8199" s="16" t="s">
        <v>6266</v>
      </c>
      <c r="E8199" s="17" t="s">
        <v>12140</v>
      </c>
      <c r="F8199" t="str">
        <f t="shared" si="631"/>
        <v>Taft</v>
      </c>
      <c r="G8199" t="str">
        <f t="shared" si="632"/>
        <v>Taft4709Wichita Falls</v>
      </c>
      <c r="H8199" t="s">
        <v>39054</v>
      </c>
      <c r="I8199" t="s">
        <v>30460</v>
      </c>
      <c r="J8199" t="str">
        <f t="shared" si="633"/>
        <v>E:\PropInv\MF</v>
      </c>
      <c r="K8199" s="103" t="str">
        <f>HYPERLINK("E:\PropInv\MF\Wichita Falls\Taft Blvd_4709_Southern Oaks_Wichita Falls_60590","Taft Blvd_4709_Southern Oaks_Wichita Falls_60590" )</f>
        <v>Taft Blvd_4709_Southern Oaks_Wichita Falls_60590</v>
      </c>
      <c r="L8199" s="104" t="s">
        <v>22253</v>
      </c>
      <c r="N8199" s="1">
        <f t="shared" si="634"/>
        <v>60590</v>
      </c>
    </row>
    <row r="8200" spans="1:14" x14ac:dyDescent="0.3">
      <c r="A8200" s="1">
        <v>30591</v>
      </c>
      <c r="B8200" s="16" t="s">
        <v>12166</v>
      </c>
      <c r="C8200" s="15">
        <v>5021</v>
      </c>
      <c r="D8200" s="16" t="s">
        <v>12168</v>
      </c>
      <c r="E8200" s="17" t="s">
        <v>12140</v>
      </c>
      <c r="F8200" t="str">
        <f t="shared" si="631"/>
        <v>Taft</v>
      </c>
      <c r="G8200" t="str">
        <f t="shared" si="632"/>
        <v>Taft5021Wichita Falls</v>
      </c>
      <c r="H8200" t="s">
        <v>39055</v>
      </c>
      <c r="I8200" t="s">
        <v>30461</v>
      </c>
      <c r="J8200" t="str">
        <f t="shared" si="633"/>
        <v>E:\PropInv\MF</v>
      </c>
      <c r="K8200" s="103" t="str">
        <f>HYPERLINK("E:\PropInv\MF\Wichita Falls\Taft Blvd_5021_Stone Creek Ranch_Wichita Falls_60591","Taft Blvd_5021_Stone Creek Ranch_Wichita Falls_60591" )</f>
        <v>Taft Blvd_5021_Stone Creek Ranch_Wichita Falls_60591</v>
      </c>
      <c r="L8200" s="104" t="s">
        <v>22253</v>
      </c>
      <c r="N8200" s="1">
        <f t="shared" si="634"/>
        <v>60591</v>
      </c>
    </row>
    <row r="8201" spans="1:14" x14ac:dyDescent="0.3">
      <c r="A8201" s="1">
        <v>30592</v>
      </c>
      <c r="B8201" s="16" t="s">
        <v>12169</v>
      </c>
      <c r="C8201" s="15">
        <v>5210</v>
      </c>
      <c r="D8201" s="16" t="s">
        <v>12170</v>
      </c>
      <c r="E8201" s="17" t="s">
        <v>12140</v>
      </c>
      <c r="F8201" t="str">
        <f t="shared" si="631"/>
        <v>Tower</v>
      </c>
      <c r="G8201" t="str">
        <f t="shared" si="632"/>
        <v>Tower5210Wichita Falls</v>
      </c>
      <c r="H8201" t="s">
        <v>39056</v>
      </c>
      <c r="I8201" t="s">
        <v>30462</v>
      </c>
      <c r="J8201" t="str">
        <f t="shared" si="633"/>
        <v>E:\PropInv\MF</v>
      </c>
      <c r="K8201" s="103" t="str">
        <f>HYPERLINK("E:\PropInv\MF\Wichita Falls\Tower Dr A_5210_Fountaingate AH_Wichita Falls_60592","Tower Dr A_5210_Fountaingate AH_Wichita Falls_60592" )</f>
        <v>Tower Dr A_5210_Fountaingate AH_Wichita Falls_60592</v>
      </c>
      <c r="L8201" s="104" t="s">
        <v>22253</v>
      </c>
      <c r="N8201" s="1">
        <f t="shared" si="634"/>
        <v>60592</v>
      </c>
    </row>
    <row r="8202" spans="1:14" x14ac:dyDescent="0.3">
      <c r="A8202" s="1">
        <v>30593</v>
      </c>
      <c r="B8202" s="16" t="s">
        <v>12171</v>
      </c>
      <c r="C8202" s="15">
        <v>1520</v>
      </c>
      <c r="D8202" s="16" t="s">
        <v>12172</v>
      </c>
      <c r="E8202" s="17" t="s">
        <v>12140</v>
      </c>
      <c r="F8202" t="str">
        <f t="shared" si="631"/>
        <v>Trout</v>
      </c>
      <c r="G8202" t="str">
        <f t="shared" si="632"/>
        <v>Trout1520Wichita Falls</v>
      </c>
      <c r="H8202" t="s">
        <v>39057</v>
      </c>
      <c r="I8202" t="s">
        <v>30463</v>
      </c>
      <c r="J8202" t="str">
        <f t="shared" si="633"/>
        <v>E:\PropInv\MF</v>
      </c>
      <c r="K8202" s="103" t="str">
        <f>HYPERLINK("E:\PropInv\MF\Wichita Falls\Trout St_1520_Casa Manana_Wichita Falls_60593","Trout St_1520_Casa Manana_Wichita Falls_60593" )</f>
        <v>Trout St_1520_Casa Manana_Wichita Falls_60593</v>
      </c>
      <c r="L8202" s="104" t="s">
        <v>22253</v>
      </c>
      <c r="N8202" s="1">
        <f t="shared" si="634"/>
        <v>60593</v>
      </c>
    </row>
    <row r="8203" spans="1:14" x14ac:dyDescent="0.3">
      <c r="A8203" s="1">
        <v>30594</v>
      </c>
      <c r="B8203" s="16" t="s">
        <v>12173</v>
      </c>
      <c r="C8203" s="15">
        <v>1727</v>
      </c>
      <c r="D8203" s="16" t="s">
        <v>12174</v>
      </c>
      <c r="E8203" s="17" t="s">
        <v>12140</v>
      </c>
      <c r="F8203" t="str">
        <f t="shared" si="631"/>
        <v>Rathgeber</v>
      </c>
      <c r="G8203" t="str">
        <f t="shared" si="632"/>
        <v>Rathgeber1727Wichita Falls</v>
      </c>
      <c r="H8203" t="s">
        <v>39058</v>
      </c>
      <c r="I8203" t="s">
        <v>30464</v>
      </c>
      <c r="J8203" t="str">
        <f t="shared" si="633"/>
        <v>E:\PropInv\MF</v>
      </c>
      <c r="K8203" s="103" t="str">
        <f>HYPERLINK("E:\PropInv\MF\Wichita Falls\Rathgeber Rd W_1727_Parkstone Senior Village_Wichita Falls_60594","Rathgeber Rd W_1727_Parkstone Senior Village_Wichita Falls_60594" )</f>
        <v>Rathgeber Rd W_1727_Parkstone Senior Village_Wichita Falls_60594</v>
      </c>
      <c r="L8203" s="104" t="s">
        <v>22253</v>
      </c>
      <c r="N8203" s="1">
        <f t="shared" si="634"/>
        <v>60594</v>
      </c>
    </row>
    <row r="8204" spans="1:14" x14ac:dyDescent="0.3">
      <c r="A8204" s="1">
        <v>30595</v>
      </c>
      <c r="B8204" s="16" t="s">
        <v>12175</v>
      </c>
      <c r="C8204" s="15">
        <v>4100</v>
      </c>
      <c r="D8204" s="16" t="s">
        <v>2497</v>
      </c>
      <c r="E8204" s="17" t="s">
        <v>12140</v>
      </c>
      <c r="F8204" t="str">
        <f t="shared" si="631"/>
        <v>Weeks</v>
      </c>
      <c r="G8204" t="str">
        <f t="shared" si="632"/>
        <v>Weeks4100Wichita Falls</v>
      </c>
      <c r="H8204" t="s">
        <v>39059</v>
      </c>
      <c r="I8204" t="s">
        <v>30465</v>
      </c>
      <c r="J8204" t="str">
        <f t="shared" si="633"/>
        <v>E:\PropInv\MF</v>
      </c>
      <c r="K8204" s="103" t="str">
        <f>HYPERLINK("E:\PropInv\MF\Wichita Falls\Weeks Park Ln_4100_NF_Wichita Falls_60595","Weeks Park Ln_4100_NF_Wichita Falls_60595" )</f>
        <v>Weeks Park Ln_4100_NF_Wichita Falls_60595</v>
      </c>
      <c r="L8204" s="104" t="s">
        <v>22253</v>
      </c>
      <c r="N8204" s="1">
        <f t="shared" si="634"/>
        <v>60595</v>
      </c>
    </row>
    <row r="8205" spans="1:14" x14ac:dyDescent="0.3">
      <c r="A8205" s="1">
        <v>30596</v>
      </c>
      <c r="B8205" s="16" t="s">
        <v>12176</v>
      </c>
      <c r="C8205" s="15">
        <v>3001</v>
      </c>
      <c r="D8205" s="16" t="s">
        <v>11613</v>
      </c>
      <c r="E8205" s="17" t="s">
        <v>12177</v>
      </c>
      <c r="F8205" t="str">
        <f t="shared" si="631"/>
        <v>Second</v>
      </c>
      <c r="G8205" t="str">
        <f t="shared" si="632"/>
        <v>Second3001Mineral Wells</v>
      </c>
      <c r="H8205" t="s">
        <v>39060</v>
      </c>
      <c r="I8205" t="s">
        <v>30466</v>
      </c>
      <c r="J8205" t="str">
        <f t="shared" si="633"/>
        <v>E:\PropInv\MF</v>
      </c>
      <c r="K8205" s="103" t="str">
        <f>HYPERLINK("E:\PropInv\MF\Mineral Wells\Second St NE_3001_Spanish Trace Apts_Mineral Wells_60596","Second St NE_3001_Spanish Trace Apts_Mineral Wells_60596" )</f>
        <v>Second St NE_3001_Spanish Trace Apts_Mineral Wells_60596</v>
      </c>
      <c r="L8205" s="104" t="s">
        <v>22253</v>
      </c>
      <c r="N8205" s="1">
        <f t="shared" si="634"/>
        <v>60596</v>
      </c>
    </row>
    <row r="8206" spans="1:14" x14ac:dyDescent="0.3">
      <c r="A8206" s="1">
        <v>30597</v>
      </c>
      <c r="B8206" s="16" t="s">
        <v>12178</v>
      </c>
      <c r="C8206" s="15">
        <v>1524</v>
      </c>
      <c r="D8206" s="16" t="s">
        <v>12179</v>
      </c>
      <c r="E8206" s="17" t="s">
        <v>12180</v>
      </c>
      <c r="F8206" t="str">
        <f t="shared" si="631"/>
        <v>Bell</v>
      </c>
      <c r="G8206" t="str">
        <f t="shared" si="632"/>
        <v>Bell1524Amarillo</v>
      </c>
      <c r="H8206" t="s">
        <v>39061</v>
      </c>
      <c r="I8206" t="s">
        <v>30467</v>
      </c>
      <c r="J8206" t="str">
        <f t="shared" si="633"/>
        <v>E:\PropInv\MF</v>
      </c>
      <c r="K8206" s="103" t="str">
        <f>HYPERLINK("E:\PropInv\MF\Amarillo\Bell St_1524_Bell Plaza_Amarillo_60597","Bell St_1524_Bell Plaza_Amarillo_60597" )</f>
        <v>Bell St_1524_Bell Plaza_Amarillo_60597</v>
      </c>
      <c r="L8206" s="104" t="s">
        <v>22253</v>
      </c>
      <c r="N8206" s="1">
        <f t="shared" si="634"/>
        <v>60597</v>
      </c>
    </row>
    <row r="8207" spans="1:14" x14ac:dyDescent="0.3">
      <c r="A8207" s="1">
        <v>30598</v>
      </c>
      <c r="B8207" s="16" t="s">
        <v>12178</v>
      </c>
      <c r="C8207" s="15">
        <v>1550</v>
      </c>
      <c r="D8207" s="16" t="s">
        <v>12181</v>
      </c>
      <c r="E8207" s="17" t="s">
        <v>12180</v>
      </c>
      <c r="F8207" t="str">
        <f t="shared" si="631"/>
        <v>Bell</v>
      </c>
      <c r="G8207" t="str">
        <f t="shared" si="632"/>
        <v>Bell1550Amarillo</v>
      </c>
      <c r="H8207" t="s">
        <v>39062</v>
      </c>
      <c r="I8207" t="s">
        <v>30468</v>
      </c>
      <c r="J8207" t="str">
        <f t="shared" si="633"/>
        <v>E:\PropInv\MF</v>
      </c>
      <c r="K8207" s="103" t="str">
        <f>HYPERLINK("E:\PropInv\MF\Amarillo\Bell St_1550_Brighton Court_Amarillo_60598","Bell St_1550_Brighton Court_Amarillo_60598" )</f>
        <v>Bell St_1550_Brighton Court_Amarillo_60598</v>
      </c>
      <c r="L8207" s="104" t="s">
        <v>22253</v>
      </c>
      <c r="N8207" s="1">
        <f t="shared" si="634"/>
        <v>60598</v>
      </c>
    </row>
    <row r="8208" spans="1:14" x14ac:dyDescent="0.3">
      <c r="A8208" s="1">
        <v>30599</v>
      </c>
      <c r="B8208" s="16" t="s">
        <v>3870</v>
      </c>
      <c r="C8208" s="15">
        <v>6600</v>
      </c>
      <c r="D8208" s="16" t="s">
        <v>12182</v>
      </c>
      <c r="E8208" s="17" t="s">
        <v>12180</v>
      </c>
      <c r="F8208" t="str">
        <f t="shared" si="631"/>
        <v>Plum</v>
      </c>
      <c r="G8208" t="str">
        <f t="shared" si="632"/>
        <v>Plum6600Amarillo</v>
      </c>
      <c r="H8208" t="s">
        <v>39063</v>
      </c>
      <c r="I8208" t="s">
        <v>30469</v>
      </c>
      <c r="J8208" t="str">
        <f t="shared" si="633"/>
        <v>E:\PropInv\MF</v>
      </c>
      <c r="K8208" s="103" t="str">
        <f>HYPERLINK("E:\PropInv\MF\Amarillo\Plum Creek_6600_Quail Creek Aparments_Amarillo_60599","Plum Creek_6600_Quail Creek Aparments_Amarillo_60599" )</f>
        <v>Plum Creek_6600_Quail Creek Aparments_Amarillo_60599</v>
      </c>
      <c r="L8208" s="104" t="s">
        <v>22253</v>
      </c>
      <c r="N8208" s="1">
        <f t="shared" si="634"/>
        <v>60599</v>
      </c>
    </row>
    <row r="8209" spans="1:14" x14ac:dyDescent="0.3">
      <c r="A8209" s="1">
        <v>30600</v>
      </c>
      <c r="B8209" s="16" t="s">
        <v>10854</v>
      </c>
      <c r="C8209" s="15">
        <v>724</v>
      </c>
      <c r="D8209" s="16" t="s">
        <v>12183</v>
      </c>
      <c r="E8209" s="17" t="s">
        <v>12180</v>
      </c>
      <c r="F8209" t="str">
        <f t="shared" si="631"/>
        <v>Polk</v>
      </c>
      <c r="G8209" t="str">
        <f t="shared" si="632"/>
        <v>Polk724Amarillo</v>
      </c>
      <c r="H8209" t="s">
        <v>39064</v>
      </c>
      <c r="I8209" t="s">
        <v>30470</v>
      </c>
      <c r="J8209" t="str">
        <f t="shared" si="633"/>
        <v>E:\PropInv\MF</v>
      </c>
      <c r="K8209" s="103" t="str">
        <f>HYPERLINK("E:\PropInv\MF\Amarillo\Polk St S_724_Loft Conversion Opportunity_Amarillo_60600","Polk St S_724_Loft Conversion Opportunity_Amarillo_60600" )</f>
        <v>Polk St S_724_Loft Conversion Opportunity_Amarillo_60600</v>
      </c>
      <c r="L8209" s="104" t="s">
        <v>22253</v>
      </c>
      <c r="N8209" s="1">
        <f t="shared" si="634"/>
        <v>60600</v>
      </c>
    </row>
    <row r="8210" spans="1:14" x14ac:dyDescent="0.3">
      <c r="A8210" s="1">
        <v>30601</v>
      </c>
      <c r="B8210" s="16" t="s">
        <v>12184</v>
      </c>
      <c r="C8210" s="15">
        <v>1212</v>
      </c>
      <c r="D8210" s="16" t="s">
        <v>12185</v>
      </c>
      <c r="E8210" s="17" t="s">
        <v>12180</v>
      </c>
      <c r="F8210" t="str">
        <f t="shared" si="631"/>
        <v>Williams</v>
      </c>
      <c r="G8210" t="str">
        <f t="shared" si="632"/>
        <v>Williams1212Amarillo</v>
      </c>
      <c r="H8210" t="s">
        <v>39065</v>
      </c>
      <c r="I8210" t="s">
        <v>30471</v>
      </c>
      <c r="J8210" t="str">
        <f t="shared" si="633"/>
        <v>E:\PropInv\MF</v>
      </c>
      <c r="K8210" s="103" t="str">
        <f>HYPERLINK("E:\PropInv\MF\Amarillo\Williams St S_1212_Amarillo Gardens_Amarillo_60601","Williams St S_1212_Amarillo Gardens_Amarillo_60601" )</f>
        <v>Williams St S_1212_Amarillo Gardens_Amarillo_60601</v>
      </c>
      <c r="L8210" s="104" t="s">
        <v>22253</v>
      </c>
      <c r="N8210" s="1">
        <f t="shared" si="634"/>
        <v>60601</v>
      </c>
    </row>
    <row r="8211" spans="1:14" x14ac:dyDescent="0.3">
      <c r="A8211" s="1">
        <v>30602</v>
      </c>
      <c r="B8211" s="16" t="s">
        <v>12186</v>
      </c>
      <c r="C8211" s="15">
        <v>6302</v>
      </c>
      <c r="D8211" s="16" t="s">
        <v>12187</v>
      </c>
      <c r="E8211" s="17" t="s">
        <v>12180</v>
      </c>
      <c r="F8211" t="str">
        <f t="shared" si="631"/>
        <v>Blake</v>
      </c>
      <c r="G8211" t="str">
        <f t="shared" si="632"/>
        <v>Blake6302Amarillo</v>
      </c>
      <c r="H8211" t="s">
        <v>39066</v>
      </c>
      <c r="I8211" t="s">
        <v>30472</v>
      </c>
      <c r="J8211" t="str">
        <f t="shared" si="633"/>
        <v>E:\PropInv\MF</v>
      </c>
      <c r="K8211" s="103" t="str">
        <f>HYPERLINK("E:\PropInv\MF\Amarillo\Blake Ave_6302_Arden Ridge Apts_Amarillo_60602","Blake Ave_6302_Arden Ridge Apts_Amarillo_60602" )</f>
        <v>Blake Ave_6302_Arden Ridge Apts_Amarillo_60602</v>
      </c>
      <c r="L8211" s="104" t="s">
        <v>22253</v>
      </c>
      <c r="N8211" s="1">
        <f t="shared" si="634"/>
        <v>60602</v>
      </c>
    </row>
    <row r="8212" spans="1:14" x14ac:dyDescent="0.3">
      <c r="A8212" s="1">
        <v>30603</v>
      </c>
      <c r="B8212" s="16" t="s">
        <v>12188</v>
      </c>
      <c r="C8212" s="15">
        <v>4210</v>
      </c>
      <c r="D8212" s="16" t="s">
        <v>12188</v>
      </c>
      <c r="E8212" s="17" t="s">
        <v>12180</v>
      </c>
      <c r="F8212" t="str">
        <f t="shared" si="631"/>
        <v>Paramount</v>
      </c>
      <c r="G8212" t="str">
        <f t="shared" si="632"/>
        <v>Paramount4210Amarillo</v>
      </c>
      <c r="H8212" t="s">
        <v>39067</v>
      </c>
      <c r="I8212" t="s">
        <v>30473</v>
      </c>
      <c r="J8212" t="str">
        <f t="shared" si="633"/>
        <v>E:\PropInv\MF</v>
      </c>
      <c r="K8212" s="103" t="str">
        <f>HYPERLINK("E:\PropInv\MF\Amarillo\Paramount Terrace_4210_Paramount Terrace_Amarillo_60603","Paramount Terrace_4210_Paramount Terrace_Amarillo_60603" )</f>
        <v>Paramount Terrace_4210_Paramount Terrace_Amarillo_60603</v>
      </c>
      <c r="L8212" s="104" t="s">
        <v>22253</v>
      </c>
      <c r="N8212" s="1">
        <f t="shared" si="634"/>
        <v>60603</v>
      </c>
    </row>
    <row r="8213" spans="1:14" x14ac:dyDescent="0.3">
      <c r="A8213" s="1">
        <v>30604</v>
      </c>
      <c r="B8213" s="16" t="s">
        <v>12189</v>
      </c>
      <c r="C8213" s="15">
        <v>5601</v>
      </c>
      <c r="D8213" s="16" t="s">
        <v>12190</v>
      </c>
      <c r="E8213" s="17" t="s">
        <v>12180</v>
      </c>
      <c r="F8213" t="str">
        <f t="shared" si="631"/>
        <v>Bell</v>
      </c>
      <c r="G8213" t="str">
        <f t="shared" si="632"/>
        <v>Bell5601Amarillo</v>
      </c>
      <c r="H8213" t="s">
        <v>39068</v>
      </c>
      <c r="I8213" t="s">
        <v>30474</v>
      </c>
      <c r="J8213" t="str">
        <f t="shared" si="633"/>
        <v>E:\PropInv\MF</v>
      </c>
      <c r="K8213" s="103" t="str">
        <f>HYPERLINK("E:\PropInv\MF\Amarillo\Bell S_5601_Red Oak Ranch Apts_Amarillo_60604","Bell S_5601_Red Oak Ranch Apts_Amarillo_60604" )</f>
        <v>Bell S_5601_Red Oak Ranch Apts_Amarillo_60604</v>
      </c>
      <c r="L8213" s="104" t="s">
        <v>22253</v>
      </c>
      <c r="N8213" s="1">
        <f t="shared" si="634"/>
        <v>60604</v>
      </c>
    </row>
    <row r="8214" spans="1:14" x14ac:dyDescent="0.3">
      <c r="A8214" s="1">
        <v>30605</v>
      </c>
      <c r="B8214" s="16" t="s">
        <v>12189</v>
      </c>
      <c r="C8214" s="15">
        <v>3920</v>
      </c>
      <c r="D8214" s="16" t="s">
        <v>12191</v>
      </c>
      <c r="E8214" s="17" t="s">
        <v>12180</v>
      </c>
      <c r="F8214" t="str">
        <f t="shared" si="631"/>
        <v>Bell</v>
      </c>
      <c r="G8214" t="str">
        <f t="shared" si="632"/>
        <v>Bell3920Amarillo</v>
      </c>
      <c r="H8214" t="s">
        <v>39069</v>
      </c>
      <c r="I8214" t="s">
        <v>30475</v>
      </c>
      <c r="J8214" t="str">
        <f t="shared" si="633"/>
        <v>E:\PropInv\MF</v>
      </c>
      <c r="K8214" s="103" t="str">
        <f>HYPERLINK("E:\PropInv\MF\Amarillo\Bell S_3920_The Crossings at Bell_Amarillo_60605","Bell S_3920_The Crossings at Bell_Amarillo_60605" )</f>
        <v>Bell S_3920_The Crossings at Bell_Amarillo_60605</v>
      </c>
      <c r="L8214" s="104" t="s">
        <v>22253</v>
      </c>
      <c r="N8214" s="1">
        <f t="shared" si="634"/>
        <v>60605</v>
      </c>
    </row>
    <row r="8215" spans="1:14" x14ac:dyDescent="0.3">
      <c r="A8215" s="1">
        <v>30606</v>
      </c>
      <c r="B8215" s="16" t="s">
        <v>12192</v>
      </c>
      <c r="C8215" s="15">
        <v>3420</v>
      </c>
      <c r="D8215" s="16" t="s">
        <v>22258</v>
      </c>
      <c r="E8215" s="17" t="s">
        <v>12180</v>
      </c>
      <c r="F8215" t="str">
        <f t="shared" si="631"/>
        <v>Coulter</v>
      </c>
      <c r="G8215" t="str">
        <f t="shared" si="632"/>
        <v>Coulter3420Amarillo</v>
      </c>
      <c r="H8215" t="s">
        <v>39070</v>
      </c>
      <c r="I8215" t="s">
        <v>30476</v>
      </c>
      <c r="J8215" t="str">
        <f t="shared" si="633"/>
        <v>E:\PropInv\MF</v>
      </c>
      <c r="K8215" s="103" t="str">
        <f>HYPERLINK("E:\PropInv\MF\Amarillo\Coulter St S_3420_Chasewood Apts_Amarillo_60606","Coulter St S_3420_Chasewood Apts_Amarillo_60606" )</f>
        <v>Coulter St S_3420_Chasewood Apts_Amarillo_60606</v>
      </c>
      <c r="L8215" s="104" t="s">
        <v>22253</v>
      </c>
      <c r="N8215" s="1">
        <f t="shared" si="634"/>
        <v>60606</v>
      </c>
    </row>
    <row r="8216" spans="1:14" x14ac:dyDescent="0.3">
      <c r="A8216" s="1">
        <v>30607</v>
      </c>
      <c r="B8216" s="16" t="s">
        <v>12193</v>
      </c>
      <c r="C8216" s="15">
        <v>4515</v>
      </c>
      <c r="D8216" s="16" t="s">
        <v>12194</v>
      </c>
      <c r="E8216" s="17" t="s">
        <v>12180</v>
      </c>
      <c r="F8216" t="str">
        <f t="shared" si="631"/>
        <v>Virginia</v>
      </c>
      <c r="G8216" t="str">
        <f t="shared" si="632"/>
        <v>Virginia4515Amarillo</v>
      </c>
      <c r="H8216" t="s">
        <v>39071</v>
      </c>
      <c r="I8216" t="s">
        <v>30477</v>
      </c>
      <c r="J8216" t="str">
        <f t="shared" si="633"/>
        <v>E:\PropInv\MF</v>
      </c>
      <c r="K8216" s="103" t="str">
        <f>HYPERLINK("E:\PropInv\MF\Amarillo\Virginia St S_4515_The Lighthouse_Amarillo_60607","Virginia St S_4515_The Lighthouse_Amarillo_60607" )</f>
        <v>Virginia St S_4515_The Lighthouse_Amarillo_60607</v>
      </c>
      <c r="L8216" s="104" t="s">
        <v>22253</v>
      </c>
      <c r="N8216" s="1">
        <f t="shared" si="634"/>
        <v>60607</v>
      </c>
    </row>
    <row r="8217" spans="1:14" x14ac:dyDescent="0.3">
      <c r="A8217" s="1">
        <v>30608</v>
      </c>
      <c r="B8217" s="16" t="s">
        <v>12195</v>
      </c>
      <c r="C8217" s="15">
        <v>3318</v>
      </c>
      <c r="D8217" s="16" t="s">
        <v>12196</v>
      </c>
      <c r="E8217" s="17" t="s">
        <v>12180</v>
      </c>
      <c r="F8217" t="str">
        <f t="shared" si="631"/>
        <v>Western</v>
      </c>
      <c r="G8217" t="str">
        <f t="shared" si="632"/>
        <v>Western3318Amarillo</v>
      </c>
      <c r="H8217" t="s">
        <v>39072</v>
      </c>
      <c r="I8217" t="s">
        <v>30478</v>
      </c>
      <c r="J8217" t="str">
        <f t="shared" si="633"/>
        <v>E:\PropInv\MF</v>
      </c>
      <c r="K8217" s="103" t="str">
        <f>HYPERLINK("E:\PropInv\MF\Amarillo\Western S_3318_Heritage House Apts_Amarillo_60608","Western S_3318_Heritage House Apts_Amarillo_60608" )</f>
        <v>Western S_3318_Heritage House Apts_Amarillo_60608</v>
      </c>
      <c r="L8217" s="104" t="s">
        <v>22253</v>
      </c>
      <c r="N8217" s="1">
        <f t="shared" si="634"/>
        <v>60608</v>
      </c>
    </row>
    <row r="8218" spans="1:14" x14ac:dyDescent="0.3">
      <c r="A8218" s="1">
        <v>30609</v>
      </c>
      <c r="B8218" s="16" t="s">
        <v>12197</v>
      </c>
      <c r="C8218" s="15">
        <v>3100</v>
      </c>
      <c r="D8218" s="16" t="s">
        <v>12198</v>
      </c>
      <c r="E8218" s="17" t="s">
        <v>12180</v>
      </c>
      <c r="F8218" t="str">
        <f t="shared" si="631"/>
        <v>27th</v>
      </c>
      <c r="G8218" t="str">
        <f t="shared" si="632"/>
        <v>27th3100Amarillo</v>
      </c>
      <c r="H8218" t="s">
        <v>39073</v>
      </c>
      <c r="I8218" t="s">
        <v>30479</v>
      </c>
      <c r="J8218" t="str">
        <f t="shared" si="633"/>
        <v>E:\PropInv\MF</v>
      </c>
      <c r="K8218" s="103" t="str">
        <f>HYPERLINK("E:\PropInv\MF\Amarillo\27th Ave W_3100_Colonial Arms-Jamestown_Amarillo_60609","27th Ave W_3100_Colonial Arms-Jamestown_Amarillo_60609" )</f>
        <v>27th Ave W_3100_Colonial Arms-Jamestown_Amarillo_60609</v>
      </c>
      <c r="L8218" s="104" t="s">
        <v>22253</v>
      </c>
      <c r="N8218" s="1">
        <f t="shared" si="634"/>
        <v>60609</v>
      </c>
    </row>
    <row r="8219" spans="1:14" x14ac:dyDescent="0.3">
      <c r="A8219" s="1">
        <v>30610</v>
      </c>
      <c r="B8219" s="16" t="s">
        <v>12197</v>
      </c>
      <c r="C8219" s="15">
        <v>3003</v>
      </c>
      <c r="D8219" s="16" t="s">
        <v>12199</v>
      </c>
      <c r="E8219" s="17" t="s">
        <v>12180</v>
      </c>
      <c r="F8219" t="str">
        <f t="shared" si="631"/>
        <v>27th</v>
      </c>
      <c r="G8219" t="str">
        <f t="shared" si="632"/>
        <v>27th3003Amarillo</v>
      </c>
      <c r="H8219" t="s">
        <v>39074</v>
      </c>
      <c r="I8219" t="s">
        <v>30480</v>
      </c>
      <c r="J8219" t="str">
        <f t="shared" si="633"/>
        <v>E:\PropInv\MF</v>
      </c>
      <c r="K8219" s="103" t="str">
        <f>HYPERLINK("E:\PropInv\MF\Amarillo\27th Ave W_3003_Greenbriar Terrace Apts_Amarillo_60610","27th Ave W_3003_Greenbriar Terrace Apts_Amarillo_60610" )</f>
        <v>27th Ave W_3003_Greenbriar Terrace Apts_Amarillo_60610</v>
      </c>
      <c r="L8219" s="104" t="s">
        <v>22253</v>
      </c>
      <c r="N8219" s="1">
        <f t="shared" si="634"/>
        <v>60610</v>
      </c>
    </row>
    <row r="8220" spans="1:14" x14ac:dyDescent="0.3">
      <c r="A8220" s="1">
        <v>30611</v>
      </c>
      <c r="B8220" s="16" t="s">
        <v>484</v>
      </c>
      <c r="C8220" s="15">
        <v>4301</v>
      </c>
      <c r="D8220" s="16" t="s">
        <v>12200</v>
      </c>
      <c r="E8220" s="17" t="s">
        <v>12180</v>
      </c>
      <c r="F8220" t="str">
        <f t="shared" si="631"/>
        <v>51st</v>
      </c>
      <c r="G8220" t="str">
        <f t="shared" si="632"/>
        <v>51st4301Amarillo</v>
      </c>
      <c r="H8220" t="s">
        <v>39075</v>
      </c>
      <c r="I8220" t="s">
        <v>30481</v>
      </c>
      <c r="J8220" t="str">
        <f t="shared" si="633"/>
        <v>E:\PropInv\MF</v>
      </c>
      <c r="K8220" s="103" t="str">
        <f>HYPERLINK("E:\PropInv\MF\Amarillo\51st St W_4301_Westbridge Square_Amarillo_60611","51st St W_4301_Westbridge Square_Amarillo_60611" )</f>
        <v>51st St W_4301_Westbridge Square_Amarillo_60611</v>
      </c>
      <c r="L8220" s="104" t="s">
        <v>22253</v>
      </c>
      <c r="N8220" s="1">
        <f t="shared" si="634"/>
        <v>60611</v>
      </c>
    </row>
    <row r="8221" spans="1:14" x14ac:dyDescent="0.3">
      <c r="A8221" s="1">
        <v>30612</v>
      </c>
      <c r="B8221" s="16" t="s">
        <v>12201</v>
      </c>
      <c r="C8221" s="15">
        <v>10</v>
      </c>
      <c r="D8221" s="16" t="s">
        <v>12202</v>
      </c>
      <c r="E8221" s="17" t="s">
        <v>12203</v>
      </c>
      <c r="F8221" t="str">
        <f t="shared" si="631"/>
        <v>Cottonwood</v>
      </c>
      <c r="G8221" t="str">
        <f t="shared" si="632"/>
        <v>Cottonwood10Canyon</v>
      </c>
      <c r="H8221" t="s">
        <v>39076</v>
      </c>
      <c r="I8221" t="s">
        <v>30482</v>
      </c>
      <c r="J8221" t="str">
        <f t="shared" si="633"/>
        <v>E:\PropInv\MF</v>
      </c>
      <c r="K8221" s="103" t="str">
        <f>HYPERLINK("E:\PropInv\MF\Canyon\Cottonwood Ln_10_Cimarron Apts_Canyon_60612","Cottonwood Ln_10_Cimarron Apts_Canyon_60612" )</f>
        <v>Cottonwood Ln_10_Cimarron Apts_Canyon_60612</v>
      </c>
      <c r="L8221" s="104" t="s">
        <v>22253</v>
      </c>
      <c r="N8221" s="1">
        <f t="shared" si="634"/>
        <v>60612</v>
      </c>
    </row>
    <row r="8222" spans="1:14" x14ac:dyDescent="0.3">
      <c r="A8222" s="1">
        <v>30613</v>
      </c>
      <c r="B8222" s="16" t="s">
        <v>12204</v>
      </c>
      <c r="C8222" s="15">
        <v>1301</v>
      </c>
      <c r="D8222" s="16" t="s">
        <v>12205</v>
      </c>
      <c r="E8222" s="17" t="s">
        <v>12206</v>
      </c>
      <c r="F8222" t="str">
        <f t="shared" si="631"/>
        <v>Maddox</v>
      </c>
      <c r="G8222" t="str">
        <f t="shared" si="632"/>
        <v>Maddox1301Dumas</v>
      </c>
      <c r="H8222" t="s">
        <v>39077</v>
      </c>
      <c r="I8222" t="s">
        <v>30483</v>
      </c>
      <c r="J8222" t="str">
        <f t="shared" si="633"/>
        <v>E:\PropInv\MF</v>
      </c>
      <c r="K8222" s="103" t="str">
        <f>HYPERLINK("E:\PropInv\MF\Dumas\Maddox S_1301_Jasmine Apts_Dumas_60613","Maddox S_1301_Jasmine Apts_Dumas_60613" )</f>
        <v>Maddox S_1301_Jasmine Apts_Dumas_60613</v>
      </c>
      <c r="L8222" s="104" t="s">
        <v>22253</v>
      </c>
      <c r="N8222" s="1">
        <f t="shared" si="634"/>
        <v>60613</v>
      </c>
    </row>
    <row r="8223" spans="1:14" x14ac:dyDescent="0.3">
      <c r="A8223" s="1">
        <v>30614</v>
      </c>
      <c r="B8223" s="16" t="s">
        <v>9076</v>
      </c>
      <c r="C8223" s="15">
        <v>1425</v>
      </c>
      <c r="D8223" s="16" t="s">
        <v>1287</v>
      </c>
      <c r="E8223" s="17" t="s">
        <v>12207</v>
      </c>
      <c r="F8223" t="str">
        <f t="shared" si="631"/>
        <v>6th</v>
      </c>
      <c r="G8223" t="str">
        <f t="shared" si="632"/>
        <v>6th1425Big Spring</v>
      </c>
      <c r="H8223" t="s">
        <v>39078</v>
      </c>
      <c r="I8223" t="s">
        <v>30484</v>
      </c>
      <c r="J8223" t="str">
        <f t="shared" si="633"/>
        <v>E:\PropInv\MF</v>
      </c>
      <c r="K8223" s="103" t="str">
        <f>HYPERLINK("E:\PropInv\MF\Big Spring\6th St E_1425_Ponderosa_Big Spring_60614","6th St E_1425_Ponderosa_Big Spring_60614" )</f>
        <v>6th St E_1425_Ponderosa_Big Spring_60614</v>
      </c>
      <c r="L8223" s="104" t="s">
        <v>22253</v>
      </c>
      <c r="N8223" s="1">
        <f t="shared" si="634"/>
        <v>60614</v>
      </c>
    </row>
    <row r="8224" spans="1:14" x14ac:dyDescent="0.3">
      <c r="A8224" s="1">
        <v>30615</v>
      </c>
      <c r="B8224" s="16" t="s">
        <v>12208</v>
      </c>
      <c r="C8224" s="15">
        <v>3200</v>
      </c>
      <c r="D8224" s="16" t="s">
        <v>12209</v>
      </c>
      <c r="E8224" s="17" t="s">
        <v>12210</v>
      </c>
      <c r="F8224" t="str">
        <f t="shared" si="631"/>
        <v>Bromley</v>
      </c>
      <c r="G8224" t="str">
        <f t="shared" si="632"/>
        <v>Bromley3200Midland</v>
      </c>
      <c r="H8224" t="s">
        <v>39079</v>
      </c>
      <c r="I8224" t="s">
        <v>30485</v>
      </c>
      <c r="J8224" t="str">
        <f t="shared" si="633"/>
        <v>E:\PropInv\MF</v>
      </c>
      <c r="K8224" s="103" t="str">
        <f>HYPERLINK("E:\PropInv\MF\Midland\Bromley Place_3200_Vantage at Midland_Midland_60615","Bromley Place_3200_Vantage at Midland_Midland_60615" )</f>
        <v>Bromley Place_3200_Vantage at Midland_Midland_60615</v>
      </c>
      <c r="L8224" s="104" t="s">
        <v>22253</v>
      </c>
      <c r="N8224" s="1">
        <f t="shared" si="634"/>
        <v>60615</v>
      </c>
    </row>
    <row r="8225" spans="1:14" x14ac:dyDescent="0.3">
      <c r="A8225" s="1">
        <v>30616</v>
      </c>
      <c r="B8225" s="16" t="s">
        <v>12211</v>
      </c>
      <c r="C8225" s="15">
        <v>3101</v>
      </c>
      <c r="D8225" s="16" t="s">
        <v>12212</v>
      </c>
      <c r="E8225" s="17" t="s">
        <v>12210</v>
      </c>
      <c r="F8225" t="str">
        <f t="shared" si="631"/>
        <v>Midland</v>
      </c>
      <c r="G8225" t="str">
        <f t="shared" si="632"/>
        <v>Midland3101Midland</v>
      </c>
      <c r="H8225" t="s">
        <v>39080</v>
      </c>
      <c r="I8225" t="s">
        <v>30486</v>
      </c>
      <c r="J8225" t="str">
        <f t="shared" si="633"/>
        <v>E:\PropInv\MF</v>
      </c>
      <c r="K8225" s="103" t="str">
        <f>HYPERLINK("E:\PropInv\MF\Midland\Midland Dr N_3101_CORNERSTONE Apts_Midland_60616","Midland Dr N_3101_CORNERSTONE Apts_Midland_60616" )</f>
        <v>Midland Dr N_3101_CORNERSTONE Apts_Midland_60616</v>
      </c>
      <c r="L8225" s="104" t="s">
        <v>22253</v>
      </c>
      <c r="N8225" s="1">
        <f t="shared" si="634"/>
        <v>60616</v>
      </c>
    </row>
    <row r="8226" spans="1:14" x14ac:dyDescent="0.3">
      <c r="A8226" s="1">
        <v>30617</v>
      </c>
      <c r="B8226" s="16" t="s">
        <v>12211</v>
      </c>
      <c r="C8226" s="15">
        <v>1902</v>
      </c>
      <c r="D8226" s="16" t="s">
        <v>12213</v>
      </c>
      <c r="E8226" s="17" t="s">
        <v>12210</v>
      </c>
      <c r="F8226" t="str">
        <f t="shared" si="631"/>
        <v>Midland</v>
      </c>
      <c r="G8226" t="str">
        <f t="shared" si="632"/>
        <v>Midland1902Midland</v>
      </c>
      <c r="H8226" t="s">
        <v>39081</v>
      </c>
      <c r="I8226" t="s">
        <v>30487</v>
      </c>
      <c r="J8226" t="str">
        <f t="shared" si="633"/>
        <v>E:\PropInv\MF</v>
      </c>
      <c r="K8226" s="103" t="str">
        <f>HYPERLINK("E:\PropInv\MF\Midland\Midland Dr N_1902_Hunters Glen Apts_Midland_60617","Midland Dr N_1902_Hunters Glen Apts_Midland_60617" )</f>
        <v>Midland Dr N_1902_Hunters Glen Apts_Midland_60617</v>
      </c>
      <c r="L8226" s="104" t="s">
        <v>22253</v>
      </c>
      <c r="N8226" s="1">
        <f t="shared" si="634"/>
        <v>60617</v>
      </c>
    </row>
    <row r="8227" spans="1:14" x14ac:dyDescent="0.3">
      <c r="A8227" s="1">
        <v>30618</v>
      </c>
      <c r="B8227" s="16" t="s">
        <v>12211</v>
      </c>
      <c r="C8227" s="15">
        <v>3001</v>
      </c>
      <c r="D8227" s="16" t="s">
        <v>12214</v>
      </c>
      <c r="E8227" s="17" t="s">
        <v>12210</v>
      </c>
      <c r="F8227" t="str">
        <f t="shared" si="631"/>
        <v>Midland</v>
      </c>
      <c r="G8227" t="str">
        <f t="shared" si="632"/>
        <v>Midland3001Midland</v>
      </c>
      <c r="H8227" t="s">
        <v>39082</v>
      </c>
      <c r="I8227" t="s">
        <v>30488</v>
      </c>
      <c r="J8227" t="str">
        <f t="shared" si="633"/>
        <v>E:\PropInv\MF</v>
      </c>
      <c r="K8227" s="103" t="str">
        <f>HYPERLINK("E:\PropInv\MF\Midland\Midland Dr N_3001_Quail Hollow Apts_Midland_60618","Midland Dr N_3001_Quail Hollow Apts_Midland_60618" )</f>
        <v>Midland Dr N_3001_Quail Hollow Apts_Midland_60618</v>
      </c>
      <c r="L8227" s="104" t="s">
        <v>22253</v>
      </c>
      <c r="N8227" s="1">
        <f t="shared" si="634"/>
        <v>60618</v>
      </c>
    </row>
    <row r="8228" spans="1:14" x14ac:dyDescent="0.3">
      <c r="A8228" s="1">
        <v>30619</v>
      </c>
      <c r="B8228" s="16" t="s">
        <v>12215</v>
      </c>
      <c r="C8228" s="15">
        <v>5216</v>
      </c>
      <c r="D8228" s="16" t="s">
        <v>22279</v>
      </c>
      <c r="E8228" s="17" t="s">
        <v>12210</v>
      </c>
      <c r="F8228" t="str">
        <f t="shared" si="631"/>
        <v>Tremont</v>
      </c>
      <c r="G8228" t="str">
        <f t="shared" si="632"/>
        <v>Tremont5216Midland</v>
      </c>
      <c r="H8228" t="s">
        <v>39083</v>
      </c>
      <c r="I8228" t="s">
        <v>30489</v>
      </c>
      <c r="J8228" t="str">
        <f t="shared" si="633"/>
        <v>E:\PropInv\MF</v>
      </c>
      <c r="K8228" s="103" t="str">
        <f>HYPERLINK("E:\PropInv\MF\Midland\Tremont_5216_Treemont Apts_Midland_60619","Tremont_5216_Treemont Apts_Midland_60619" )</f>
        <v>Tremont_5216_Treemont Apts_Midland_60619</v>
      </c>
      <c r="L8228" s="104" t="s">
        <v>22253</v>
      </c>
      <c r="N8228" s="1">
        <f t="shared" si="634"/>
        <v>60619</v>
      </c>
    </row>
    <row r="8229" spans="1:14" x14ac:dyDescent="0.3">
      <c r="A8229" s="1">
        <v>30620</v>
      </c>
      <c r="B8229" s="16" t="s">
        <v>12216</v>
      </c>
      <c r="C8229" s="15">
        <v>9100</v>
      </c>
      <c r="D8229" s="16" t="s">
        <v>12217</v>
      </c>
      <c r="E8229" s="17" t="s">
        <v>12218</v>
      </c>
      <c r="F8229" t="str">
        <f t="shared" si="631"/>
        <v>Andrews</v>
      </c>
      <c r="G8229" t="str">
        <f t="shared" si="632"/>
        <v>Andrews9100Odessa</v>
      </c>
      <c r="H8229" t="s">
        <v>39084</v>
      </c>
      <c r="I8229" t="s">
        <v>30490</v>
      </c>
      <c r="J8229" t="str">
        <f t="shared" si="633"/>
        <v>E:\PropInv\MF</v>
      </c>
      <c r="K8229" s="103" t="str">
        <f>HYPERLINK("E:\PropInv\MF\Odessa\Andrews Hwy_9100_Sunset_Odessa_60620","Andrews Hwy_9100_Sunset_Odessa_60620" )</f>
        <v>Andrews Hwy_9100_Sunset_Odessa_60620</v>
      </c>
      <c r="L8229" s="104" t="s">
        <v>22253</v>
      </c>
      <c r="N8229" s="1">
        <f t="shared" si="634"/>
        <v>60620</v>
      </c>
    </row>
    <row r="8230" spans="1:14" x14ac:dyDescent="0.3">
      <c r="A8230" s="1">
        <v>30621</v>
      </c>
      <c r="B8230" s="16" t="s">
        <v>12219</v>
      </c>
      <c r="C8230" s="15">
        <v>4100</v>
      </c>
      <c r="D8230" s="16" t="s">
        <v>12220</v>
      </c>
      <c r="E8230" s="17" t="s">
        <v>12218</v>
      </c>
      <c r="F8230" t="str">
        <f t="shared" si="631"/>
        <v>50th</v>
      </c>
      <c r="G8230" t="str">
        <f t="shared" si="632"/>
        <v>50th4100Odessa</v>
      </c>
      <c r="H8230" t="s">
        <v>39085</v>
      </c>
      <c r="I8230" t="s">
        <v>30491</v>
      </c>
      <c r="J8230" t="str">
        <f t="shared" si="633"/>
        <v>E:\PropInv\MF</v>
      </c>
      <c r="K8230" s="103" t="str">
        <f>HYPERLINK("E:\PropInv\MF\Odessa\50th St E_4100_Windchase Apts_Odessa_60621","50th St E_4100_Windchase Apts_Odessa_60621" )</f>
        <v>50th St E_4100_Windchase Apts_Odessa_60621</v>
      </c>
      <c r="L8230" s="104" t="s">
        <v>22253</v>
      </c>
      <c r="N8230" s="1">
        <f t="shared" si="634"/>
        <v>60621</v>
      </c>
    </row>
    <row r="8231" spans="1:14" x14ac:dyDescent="0.3">
      <c r="A8231" s="1">
        <v>30622</v>
      </c>
      <c r="B8231" s="16" t="s">
        <v>11450</v>
      </c>
      <c r="C8231" s="15">
        <v>2735</v>
      </c>
      <c r="D8231" s="16" t="s">
        <v>12221</v>
      </c>
      <c r="E8231" s="17" t="s">
        <v>12218</v>
      </c>
      <c r="F8231" t="str">
        <f t="shared" si="631"/>
        <v>8th</v>
      </c>
      <c r="G8231" t="str">
        <f t="shared" si="632"/>
        <v>8th2735Odessa</v>
      </c>
      <c r="H8231" t="s">
        <v>39086</v>
      </c>
      <c r="I8231" t="s">
        <v>30492</v>
      </c>
      <c r="J8231" t="str">
        <f t="shared" si="633"/>
        <v>E:\PropInv\MF</v>
      </c>
      <c r="K8231" s="103" t="str">
        <f>HYPERLINK("E:\PropInv\MF\Odessa\8th St E_2735_Southgate_Odessa_60622","8th St E_2735_Southgate_Odessa_60622" )</f>
        <v>8th St E_2735_Southgate_Odessa_60622</v>
      </c>
      <c r="L8231" s="104" t="s">
        <v>22253</v>
      </c>
      <c r="N8231" s="1">
        <f t="shared" si="634"/>
        <v>60622</v>
      </c>
    </row>
    <row r="8232" spans="1:14" x14ac:dyDescent="0.3">
      <c r="A8232" s="1">
        <v>30623</v>
      </c>
      <c r="B8232" s="16" t="s">
        <v>12222</v>
      </c>
      <c r="C8232" s="15">
        <v>4560</v>
      </c>
      <c r="D8232" s="16" t="s">
        <v>12223</v>
      </c>
      <c r="E8232" s="17" t="s">
        <v>12218</v>
      </c>
      <c r="F8232" t="str">
        <f t="shared" si="631"/>
        <v>Texas</v>
      </c>
      <c r="G8232" t="str">
        <f t="shared" si="632"/>
        <v>Texas4560Odessa</v>
      </c>
      <c r="H8232" t="s">
        <v>39087</v>
      </c>
      <c r="I8232" t="s">
        <v>30493</v>
      </c>
      <c r="J8232" t="str">
        <f t="shared" si="633"/>
        <v>E:\PropInv\MF</v>
      </c>
      <c r="K8232" s="103" t="str">
        <f>HYPERLINK("E:\PropInv\MF\Odessa\Texas St N_4560_LaPromesa Apts_Odessa_60623","Texas St N_4560_LaPromesa Apts_Odessa_60623" )</f>
        <v>Texas St N_4560_LaPromesa Apts_Odessa_60623</v>
      </c>
      <c r="L8232" s="104" t="s">
        <v>22253</v>
      </c>
      <c r="N8232" s="1">
        <f t="shared" si="634"/>
        <v>60623</v>
      </c>
    </row>
    <row r="8233" spans="1:14" x14ac:dyDescent="0.3">
      <c r="A8233" s="1">
        <v>30624</v>
      </c>
      <c r="B8233" s="16" t="s">
        <v>12224</v>
      </c>
      <c r="C8233" s="15">
        <v>4600</v>
      </c>
      <c r="D8233" s="16" t="s">
        <v>12225</v>
      </c>
      <c r="E8233" s="17" t="s">
        <v>12218</v>
      </c>
      <c r="F8233" t="str">
        <f t="shared" si="631"/>
        <v>Oakwood</v>
      </c>
      <c r="G8233" t="str">
        <f t="shared" si="632"/>
        <v>Oakwood4600Odessa</v>
      </c>
      <c r="H8233" t="s">
        <v>39088</v>
      </c>
      <c r="I8233" t="s">
        <v>30494</v>
      </c>
      <c r="J8233" t="str">
        <f t="shared" si="633"/>
        <v>E:\PropInv\MF</v>
      </c>
      <c r="K8233" s="103" t="str">
        <f>HYPERLINK("E:\PropInv\MF\Odessa\Oakwood Dr_4600_Peppertree and Spanish Oaks Apts_Odessa_60624","Oakwood Dr_4600_Peppertree and Spanish Oaks Apts_Odessa_60624" )</f>
        <v>Oakwood Dr_4600_Peppertree and Spanish Oaks Apts_Odessa_60624</v>
      </c>
      <c r="L8233" s="104" t="s">
        <v>22253</v>
      </c>
      <c r="N8233" s="1">
        <f t="shared" si="634"/>
        <v>60624</v>
      </c>
    </row>
    <row r="8234" spans="1:14" x14ac:dyDescent="0.3">
      <c r="A8234" s="1">
        <v>30625</v>
      </c>
      <c r="B8234" s="16" t="s">
        <v>12226</v>
      </c>
      <c r="C8234" s="15">
        <v>2201</v>
      </c>
      <c r="D8234" s="16" t="s">
        <v>12227</v>
      </c>
      <c r="E8234" s="17" t="s">
        <v>12218</v>
      </c>
      <c r="F8234" t="str">
        <f t="shared" si="631"/>
        <v>Rocky</v>
      </c>
      <c r="G8234" t="str">
        <f t="shared" si="632"/>
        <v>Rocky2201Odessa</v>
      </c>
      <c r="H8234" t="s">
        <v>39089</v>
      </c>
      <c r="I8234" t="s">
        <v>30495</v>
      </c>
      <c r="J8234" t="str">
        <f t="shared" si="633"/>
        <v>E:\PropInv\MF</v>
      </c>
      <c r="K8234" s="103" t="str">
        <f>HYPERLINK("E:\PropInv\MF\Odessa\Rocky Ln Rd_2201_Sunchase Apts_Odessa_60625","Rocky Ln Rd_2201_Sunchase Apts_Odessa_60625" )</f>
        <v>Rocky Ln Rd_2201_Sunchase Apts_Odessa_60625</v>
      </c>
      <c r="L8234" s="104" t="s">
        <v>22253</v>
      </c>
      <c r="N8234" s="1">
        <f t="shared" si="634"/>
        <v>60625</v>
      </c>
    </row>
    <row r="8235" spans="1:14" x14ac:dyDescent="0.3">
      <c r="A8235" s="1">
        <v>30626</v>
      </c>
      <c r="B8235" s="16" t="s">
        <v>12228</v>
      </c>
      <c r="C8235" s="15">
        <v>5050</v>
      </c>
      <c r="D8235" s="16" t="s">
        <v>12229</v>
      </c>
      <c r="E8235" s="17" t="s">
        <v>12218</v>
      </c>
      <c r="F8235" t="str">
        <f t="shared" si="631"/>
        <v>Tanglewood</v>
      </c>
      <c r="G8235" t="str">
        <f t="shared" si="632"/>
        <v>Tanglewood5050Odessa</v>
      </c>
      <c r="H8235" t="s">
        <v>39090</v>
      </c>
      <c r="I8235" t="s">
        <v>30496</v>
      </c>
      <c r="J8235" t="str">
        <f t="shared" si="633"/>
        <v>E:\PropInv\MF</v>
      </c>
      <c r="K8235" s="103" t="str">
        <f>HYPERLINK("E:\PropInv\MF\Odessa\Tanglewood Ln_5050_The Woodlands of Odessa_Odessa_60626","Tanglewood Ln_5050_The Woodlands of Odessa_Odessa_60626" )</f>
        <v>Tanglewood Ln_5050_The Woodlands of Odessa_Odessa_60626</v>
      </c>
      <c r="L8235" s="104" t="s">
        <v>22253</v>
      </c>
      <c r="N8235" s="1">
        <f t="shared" si="634"/>
        <v>60626</v>
      </c>
    </row>
    <row r="8236" spans="1:14" x14ac:dyDescent="0.3">
      <c r="A8236" s="1">
        <v>30627</v>
      </c>
      <c r="B8236" s="16" t="s">
        <v>12230</v>
      </c>
      <c r="C8236" s="15">
        <v>6938</v>
      </c>
      <c r="D8236" s="16" t="s">
        <v>12231</v>
      </c>
      <c r="E8236" s="66" t="s">
        <v>12232</v>
      </c>
      <c r="F8236" t="str">
        <f t="shared" si="631"/>
        <v>Alto</v>
      </c>
      <c r="G8236" t="str">
        <f t="shared" si="632"/>
        <v>Alto6938El Paso</v>
      </c>
      <c r="H8236" t="s">
        <v>39091</v>
      </c>
      <c r="I8236" t="s">
        <v>30497</v>
      </c>
      <c r="J8236" t="str">
        <f t="shared" si="633"/>
        <v>E:\PropInv\MF</v>
      </c>
      <c r="K8236" s="103" t="str">
        <f>HYPERLINK("E:\PropInv\MF\El Paso\Alto Rey Ave_6938_Park Ridge Apts_El Paso_60627","Alto Rey Ave_6938_Park Ridge Apts_El Paso_60627" )</f>
        <v>Alto Rey Ave_6938_Park Ridge Apts_El Paso_60627</v>
      </c>
      <c r="L8236" s="104" t="s">
        <v>22253</v>
      </c>
      <c r="N8236" s="1">
        <f t="shared" si="634"/>
        <v>60627</v>
      </c>
    </row>
    <row r="8237" spans="1:14" x14ac:dyDescent="0.3">
      <c r="A8237" s="1">
        <v>30628</v>
      </c>
      <c r="B8237" s="16" t="s">
        <v>12233</v>
      </c>
      <c r="C8237" s="15">
        <v>213</v>
      </c>
      <c r="D8237" s="16" t="s">
        <v>12234</v>
      </c>
      <c r="E8237" s="66" t="s">
        <v>12232</v>
      </c>
      <c r="F8237" t="str">
        <f t="shared" si="631"/>
        <v>Argonaut</v>
      </c>
      <c r="G8237" t="str">
        <f t="shared" si="632"/>
        <v>Argonaut213El Paso</v>
      </c>
      <c r="H8237" t="s">
        <v>39092</v>
      </c>
      <c r="I8237" t="s">
        <v>30498</v>
      </c>
      <c r="J8237" t="str">
        <f t="shared" si="633"/>
        <v>E:\PropInv\MF</v>
      </c>
      <c r="K8237" s="103" t="str">
        <f>HYPERLINK("E:\PropInv\MF\El Paso\Argonaut St_213_Argonaut Heights_El Paso_60628","Argonaut St_213_Argonaut Heights_El Paso_60628" )</f>
        <v>Argonaut St_213_Argonaut Heights_El Paso_60628</v>
      </c>
      <c r="L8237" s="104" t="s">
        <v>22253</v>
      </c>
      <c r="N8237" s="1">
        <f t="shared" si="634"/>
        <v>60628</v>
      </c>
    </row>
    <row r="8238" spans="1:14" x14ac:dyDescent="0.3">
      <c r="A8238" s="1">
        <v>30629</v>
      </c>
      <c r="B8238" s="16" t="s">
        <v>12235</v>
      </c>
      <c r="C8238" s="15">
        <v>200</v>
      </c>
      <c r="D8238" s="16" t="s">
        <v>12236</v>
      </c>
      <c r="E8238" s="17" t="s">
        <v>12232</v>
      </c>
      <c r="F8238" t="str">
        <f t="shared" si="631"/>
        <v>Desert</v>
      </c>
      <c r="G8238" t="str">
        <f t="shared" si="632"/>
        <v>Desert200El Paso</v>
      </c>
      <c r="H8238" t="s">
        <v>39093</v>
      </c>
      <c r="I8238" t="s">
        <v>30499</v>
      </c>
      <c r="J8238" t="str">
        <f t="shared" si="633"/>
        <v>E:\PropInv\MF</v>
      </c>
      <c r="K8238" s="103" t="str">
        <f>HYPERLINK("E:\PropInv\MF\El Paso\Desert Pass St_200_Legends of El Paso_El Paso_60629","Desert Pass St_200_Legends of El Paso_El Paso_60629" )</f>
        <v>Desert Pass St_200_Legends of El Paso_El Paso_60629</v>
      </c>
      <c r="L8238" s="104" t="s">
        <v>22253</v>
      </c>
      <c r="N8238" s="1">
        <f t="shared" si="634"/>
        <v>60629</v>
      </c>
    </row>
    <row r="8239" spans="1:14" x14ac:dyDescent="0.3">
      <c r="A8239" s="1">
        <v>30630</v>
      </c>
      <c r="B8239" s="16" t="s">
        <v>12237</v>
      </c>
      <c r="C8239" s="15">
        <v>9550</v>
      </c>
      <c r="D8239" s="16" t="s">
        <v>12238</v>
      </c>
      <c r="E8239" s="66" t="s">
        <v>12232</v>
      </c>
      <c r="F8239" t="str">
        <f t="shared" si="631"/>
        <v>Dyer</v>
      </c>
      <c r="G8239" t="str">
        <f t="shared" si="632"/>
        <v>Dyer9550El Paso</v>
      </c>
      <c r="H8239" t="s">
        <v>39094</v>
      </c>
      <c r="I8239" t="s">
        <v>30500</v>
      </c>
      <c r="J8239" t="str">
        <f t="shared" si="633"/>
        <v>E:\PropInv\MF</v>
      </c>
      <c r="K8239" s="103" t="str">
        <f>HYPERLINK("E:\PropInv\MF\El Paso\Dyer St_9550_Raintree Village Apts_El Paso_60630","Dyer St_9550_Raintree Village Apts_El Paso_60630" )</f>
        <v>Dyer St_9550_Raintree Village Apts_El Paso_60630</v>
      </c>
      <c r="L8239" s="104" t="s">
        <v>22253</v>
      </c>
      <c r="N8239" s="1">
        <f t="shared" si="634"/>
        <v>60630</v>
      </c>
    </row>
    <row r="8240" spans="1:14" x14ac:dyDescent="0.3">
      <c r="A8240" s="1">
        <v>30631</v>
      </c>
      <c r="B8240" s="16" t="s">
        <v>12239</v>
      </c>
      <c r="C8240" s="15">
        <v>5205</v>
      </c>
      <c r="D8240" s="16" t="s">
        <v>12240</v>
      </c>
      <c r="E8240" s="66" t="s">
        <v>12232</v>
      </c>
      <c r="F8240" t="str">
        <f t="shared" si="631"/>
        <v>Fairbanks</v>
      </c>
      <c r="G8240" t="str">
        <f t="shared" si="632"/>
        <v>Fairbanks5205El Paso</v>
      </c>
      <c r="H8240" t="s">
        <v>39095</v>
      </c>
      <c r="I8240" t="s">
        <v>30501</v>
      </c>
      <c r="J8240" t="str">
        <f t="shared" si="633"/>
        <v>E:\PropInv\MF</v>
      </c>
      <c r="K8240" s="103" t="str">
        <f>HYPERLINK("E:\PropInv\MF\El Paso\Fairbanks Dr_5205_Rushfair Villa_El Paso_60631","Fairbanks Dr_5205_Rushfair Villa_El Paso_60631" )</f>
        <v>Fairbanks Dr_5205_Rushfair Villa_El Paso_60631</v>
      </c>
      <c r="L8240" s="104" t="s">
        <v>22253</v>
      </c>
      <c r="N8240" s="1">
        <f t="shared" si="634"/>
        <v>60631</v>
      </c>
    </row>
    <row r="8241" spans="1:14" x14ac:dyDescent="0.3">
      <c r="A8241" s="1">
        <v>30632</v>
      </c>
      <c r="B8241" s="16" t="s">
        <v>7368</v>
      </c>
      <c r="C8241" s="15">
        <v>4554</v>
      </c>
      <c r="D8241" s="16" t="s">
        <v>12241</v>
      </c>
      <c r="E8241" s="66" t="s">
        <v>12232</v>
      </c>
      <c r="F8241" t="str">
        <f t="shared" si="631"/>
        <v>Hercules</v>
      </c>
      <c r="G8241" t="str">
        <f t="shared" si="632"/>
        <v>Hercules4554El Paso</v>
      </c>
      <c r="H8241" t="s">
        <v>39096</v>
      </c>
      <c r="I8241" t="s">
        <v>15852</v>
      </c>
      <c r="J8241" t="str">
        <f t="shared" si="633"/>
        <v>E:\PropInv\MF</v>
      </c>
      <c r="K8241" s="103" t="str">
        <f>HYPERLINK("E:\PropInv\MF\El Paso\Hercules_4554_Athen's Gate_El Paso_60632","Hercules_4554_Athen's Gate_El Paso_60632" )</f>
        <v>Hercules_4554_Athen's Gate_El Paso_60632</v>
      </c>
      <c r="L8241" s="104" t="s">
        <v>22253</v>
      </c>
      <c r="N8241" s="1">
        <f t="shared" si="634"/>
        <v>60632</v>
      </c>
    </row>
    <row r="8242" spans="1:14" x14ac:dyDescent="0.3">
      <c r="A8242" s="1">
        <v>30633</v>
      </c>
      <c r="B8242" s="44" t="s">
        <v>12242</v>
      </c>
      <c r="C8242" s="32">
        <v>1500</v>
      </c>
      <c r="D8242" s="31" t="s">
        <v>22269</v>
      </c>
      <c r="E8242" s="33" t="s">
        <v>12232</v>
      </c>
      <c r="F8242" t="str">
        <f t="shared" si="631"/>
        <v>Magruder</v>
      </c>
      <c r="G8242" t="str">
        <f t="shared" si="632"/>
        <v>Magruder1500El Paso</v>
      </c>
      <c r="H8242" t="s">
        <v>39097</v>
      </c>
      <c r="I8242" t="s">
        <v>30502</v>
      </c>
      <c r="J8242" t="str">
        <f t="shared" si="633"/>
        <v>E:\PropInv\MF</v>
      </c>
      <c r="K8242" s="103" t="str">
        <f>HYPERLINK("E:\PropInv\MF\El Paso\Magruder_1500_Mountain View at Southgate_El Paso_60633","Magruder_1500_Mountain View at Southgate_El Paso_60633" )</f>
        <v>Magruder_1500_Mountain View at Southgate_El Paso_60633</v>
      </c>
      <c r="L8242" s="104" t="s">
        <v>22253</v>
      </c>
      <c r="N8242" s="1">
        <f t="shared" si="634"/>
        <v>60633</v>
      </c>
    </row>
    <row r="8243" spans="1:14" x14ac:dyDescent="0.3">
      <c r="A8243" s="1">
        <v>30634</v>
      </c>
      <c r="B8243" s="16" t="s">
        <v>12243</v>
      </c>
      <c r="C8243" s="15">
        <v>9960</v>
      </c>
      <c r="D8243" s="16" t="s">
        <v>12244</v>
      </c>
      <c r="E8243" s="66" t="s">
        <v>12232</v>
      </c>
      <c r="F8243" t="str">
        <f t="shared" si="631"/>
        <v>McCombs</v>
      </c>
      <c r="G8243" t="str">
        <f t="shared" si="632"/>
        <v>McCombs9960El Paso</v>
      </c>
      <c r="H8243" t="s">
        <v>39098</v>
      </c>
      <c r="I8243" t="s">
        <v>30503</v>
      </c>
      <c r="J8243" t="str">
        <f t="shared" si="633"/>
        <v>E:\PropInv\MF</v>
      </c>
      <c r="K8243" s="103" t="str">
        <f>HYPERLINK("E:\PropInv\MF\El Paso\McCombs St_9960_Autumn Manor Apts_El Paso_60634","McCombs St_9960_Autumn Manor Apts_El Paso_60634" )</f>
        <v>McCombs St_9960_Autumn Manor Apts_El Paso_60634</v>
      </c>
      <c r="L8243" s="104" t="s">
        <v>22253</v>
      </c>
      <c r="N8243" s="1">
        <f t="shared" si="634"/>
        <v>60634</v>
      </c>
    </row>
    <row r="8244" spans="1:14" x14ac:dyDescent="0.3">
      <c r="A8244" s="1">
        <v>30635</v>
      </c>
      <c r="B8244" s="16" t="s">
        <v>12245</v>
      </c>
      <c r="C8244" s="15" t="s">
        <v>12246</v>
      </c>
      <c r="D8244" s="16" t="s">
        <v>12247</v>
      </c>
      <c r="E8244" s="66" t="s">
        <v>12232</v>
      </c>
      <c r="F8244" t="str">
        <f t="shared" si="631"/>
        <v>Morehead</v>
      </c>
      <c r="G8244" t="str">
        <f t="shared" si="632"/>
        <v>Morehead2500-2624El Paso</v>
      </c>
      <c r="H8244" t="s">
        <v>39099</v>
      </c>
      <c r="I8244" t="s">
        <v>30504</v>
      </c>
      <c r="J8244" t="str">
        <f t="shared" si="633"/>
        <v>E:\PropInv\MF</v>
      </c>
      <c r="K8244" s="103" t="str">
        <f>HYPERLINK("E:\PropInv\MF\El Paso\Morehead Ave_2500-2624_Mountain Shadow_El Paso_60635","Morehead Ave_2500-2624_Mountain Shadow_El Paso_60635" )</f>
        <v>Morehead Ave_2500-2624_Mountain Shadow_El Paso_60635</v>
      </c>
      <c r="L8244" s="104" t="s">
        <v>22253</v>
      </c>
      <c r="N8244" s="1">
        <f t="shared" si="634"/>
        <v>60635</v>
      </c>
    </row>
    <row r="8245" spans="1:14" x14ac:dyDescent="0.3">
      <c r="A8245" s="1">
        <v>30636</v>
      </c>
      <c r="B8245" s="16" t="s">
        <v>12248</v>
      </c>
      <c r="C8245" s="15">
        <v>1750</v>
      </c>
      <c r="D8245" s="16" t="s">
        <v>12249</v>
      </c>
      <c r="E8245" s="66" t="s">
        <v>12232</v>
      </c>
      <c r="F8245" t="str">
        <f t="shared" si="631"/>
        <v>Lee</v>
      </c>
      <c r="G8245" t="str">
        <f t="shared" si="632"/>
        <v>Lee1750El Paso</v>
      </c>
      <c r="H8245" t="s">
        <v>39100</v>
      </c>
      <c r="I8245" t="s">
        <v>30505</v>
      </c>
      <c r="J8245" t="str">
        <f t="shared" si="633"/>
        <v>E:\PropInv\MF</v>
      </c>
      <c r="K8245" s="103" t="str">
        <f>HYPERLINK("E:\PropInv\MF\El Paso\Lee Trevino N_1750_Fairway View Estates_El Paso_60636","Lee Trevino N_1750_Fairway View Estates_El Paso_60636" )</f>
        <v>Lee Trevino N_1750_Fairway View Estates_El Paso_60636</v>
      </c>
      <c r="L8245" s="104" t="s">
        <v>22253</v>
      </c>
      <c r="N8245" s="1">
        <f t="shared" si="634"/>
        <v>60636</v>
      </c>
    </row>
    <row r="8246" spans="1:14" x14ac:dyDescent="0.3">
      <c r="A8246" s="1">
        <v>30637</v>
      </c>
      <c r="B8246" s="16" t="s">
        <v>12250</v>
      </c>
      <c r="C8246" s="15">
        <v>500</v>
      </c>
      <c r="D8246" s="16" t="s">
        <v>6842</v>
      </c>
      <c r="E8246" s="17" t="s">
        <v>12232</v>
      </c>
      <c r="F8246" t="str">
        <f t="shared" si="631"/>
        <v>Rubin</v>
      </c>
      <c r="G8246" t="str">
        <f t="shared" si="632"/>
        <v>Rubin500El Paso</v>
      </c>
      <c r="H8246" t="s">
        <v>39101</v>
      </c>
      <c r="I8246" t="s">
        <v>30506</v>
      </c>
      <c r="J8246" t="str">
        <f t="shared" si="633"/>
        <v>E:\PropInv\MF</v>
      </c>
      <c r="K8246" s="103" t="str">
        <f>HYPERLINK("E:\PropInv\MF\El Paso\Rubin Ct_500_Las Lomas_El Paso_60637","Rubin Ct_500_Las Lomas_El Paso_60637" )</f>
        <v>Rubin Ct_500_Las Lomas_El Paso_60637</v>
      </c>
      <c r="L8246" s="104" t="s">
        <v>22253</v>
      </c>
      <c r="N8246" s="1">
        <f t="shared" si="634"/>
        <v>60637</v>
      </c>
    </row>
    <row r="8247" spans="1:14" x14ac:dyDescent="0.3">
      <c r="A8247" s="1">
        <v>30638</v>
      </c>
      <c r="B8247" s="16" t="s">
        <v>12251</v>
      </c>
      <c r="C8247" s="61">
        <v>200</v>
      </c>
      <c r="D8247" s="16" t="s">
        <v>12252</v>
      </c>
      <c r="E8247" s="17" t="s">
        <v>12232</v>
      </c>
      <c r="F8247" t="str">
        <f t="shared" si="631"/>
        <v>Belvidere</v>
      </c>
      <c r="G8247" t="str">
        <f t="shared" si="632"/>
        <v>Belvidere200El Paso</v>
      </c>
      <c r="H8247" t="s">
        <v>39102</v>
      </c>
      <c r="I8247" t="s">
        <v>30507</v>
      </c>
      <c r="J8247" t="str">
        <f t="shared" si="633"/>
        <v>E:\PropInv\MF</v>
      </c>
      <c r="K8247" s="103" t="str">
        <f>HYPERLINK("E:\PropInv\MF\El Paso\Belvidere S_200_Legends of el Paso_El Paso_60638","Belvidere S_200_Legends of el Paso_El Paso_60638" )</f>
        <v>Belvidere S_200_Legends of el Paso_El Paso_60638</v>
      </c>
      <c r="L8247" s="104" t="s">
        <v>22253</v>
      </c>
      <c r="N8247" s="1">
        <f t="shared" si="634"/>
        <v>60638</v>
      </c>
    </row>
    <row r="8248" spans="1:14" x14ac:dyDescent="0.3">
      <c r="A8248" s="1">
        <v>30639</v>
      </c>
      <c r="B8248" s="16" t="s">
        <v>12253</v>
      </c>
      <c r="C8248" s="61">
        <v>601</v>
      </c>
      <c r="D8248" s="31" t="s">
        <v>12254</v>
      </c>
      <c r="E8248" s="66" t="s">
        <v>12232</v>
      </c>
      <c r="F8248" t="str">
        <f t="shared" si="631"/>
        <v>Mesa</v>
      </c>
      <c r="G8248" t="str">
        <f t="shared" si="632"/>
        <v>Mesa601El Paso</v>
      </c>
      <c r="H8248" t="s">
        <v>39103</v>
      </c>
      <c r="I8248" t="s">
        <v>30508</v>
      </c>
      <c r="J8248" t="str">
        <f t="shared" si="633"/>
        <v>E:\PropInv\MF</v>
      </c>
      <c r="K8248" s="103" t="str">
        <f>HYPERLINK("E:\PropInv\MF\El Paso\Mesa HillS Dr S_601_Ryan's Mill_El Paso_60639","Mesa HillS Dr S_601_Ryan's Mill_El Paso_60639" )</f>
        <v>Mesa HillS Dr S_601_Ryan's Mill_El Paso_60639</v>
      </c>
      <c r="L8248" s="104" t="s">
        <v>22253</v>
      </c>
      <c r="N8248" s="1">
        <f t="shared" si="634"/>
        <v>60639</v>
      </c>
    </row>
    <row r="8249" spans="1:14" x14ac:dyDescent="0.3">
      <c r="A8249" s="1">
        <v>30640</v>
      </c>
      <c r="B8249" s="16" t="s">
        <v>12255</v>
      </c>
      <c r="C8249" s="15">
        <v>415</v>
      </c>
      <c r="D8249" s="16" t="s">
        <v>12256</v>
      </c>
      <c r="E8249" s="17" t="s">
        <v>12232</v>
      </c>
      <c r="F8249" t="str">
        <f t="shared" si="631"/>
        <v>Mesa</v>
      </c>
      <c r="G8249" t="str">
        <f t="shared" si="632"/>
        <v>Mesa415El Paso</v>
      </c>
      <c r="H8249" t="s">
        <v>39104</v>
      </c>
      <c r="I8249" t="s">
        <v>30509</v>
      </c>
      <c r="J8249" t="str">
        <f t="shared" si="633"/>
        <v>E:\PropInv\MF</v>
      </c>
      <c r="K8249" s="103" t="str">
        <f>HYPERLINK("E:\PropInv\MF\El Paso\Mesa Hills Dr S_415_The Tuscany at Mesa Hills_El Paso_60640","Mesa Hills Dr S_415_The Tuscany at Mesa Hills_El Paso_60640" )</f>
        <v>Mesa Hills Dr S_415_The Tuscany at Mesa Hills_El Paso_60640</v>
      </c>
      <c r="L8249" s="104" t="s">
        <v>22253</v>
      </c>
      <c r="N8249" s="1">
        <f t="shared" si="634"/>
        <v>60640</v>
      </c>
    </row>
    <row r="8250" spans="1:14" x14ac:dyDescent="0.3">
      <c r="A8250" s="1">
        <v>30641</v>
      </c>
      <c r="B8250" s="16" t="s">
        <v>12255</v>
      </c>
      <c r="C8250" s="15">
        <v>734</v>
      </c>
      <c r="D8250" s="16" t="s">
        <v>12257</v>
      </c>
      <c r="E8250" s="66" t="s">
        <v>12232</v>
      </c>
      <c r="F8250" t="str">
        <f t="shared" si="631"/>
        <v>Mesa</v>
      </c>
      <c r="G8250" t="str">
        <f t="shared" si="632"/>
        <v>Mesa734El Paso</v>
      </c>
      <c r="H8250" t="s">
        <v>39105</v>
      </c>
      <c r="I8250" t="s">
        <v>30510</v>
      </c>
      <c r="J8250" t="str">
        <f t="shared" si="633"/>
        <v>E:\PropInv\MF</v>
      </c>
      <c r="K8250" s="103" t="str">
        <f>HYPERLINK("E:\PropInv\MF\El Paso\Mesa Hills Dr S_734_West Town Apts_El Paso_60641","Mesa Hills Dr S_734_West Town Apts_El Paso_60641" )</f>
        <v>Mesa Hills Dr S_734_West Town Apts_El Paso_60641</v>
      </c>
      <c r="L8250" s="104" t="s">
        <v>22253</v>
      </c>
      <c r="N8250" s="1">
        <f t="shared" si="634"/>
        <v>60641</v>
      </c>
    </row>
    <row r="8251" spans="1:14" x14ac:dyDescent="0.3">
      <c r="A8251" s="1">
        <v>30642</v>
      </c>
      <c r="B8251" s="16" t="s">
        <v>12258</v>
      </c>
      <c r="C8251" s="15">
        <v>300</v>
      </c>
      <c r="D8251" s="16" t="s">
        <v>12259</v>
      </c>
      <c r="E8251" s="66" t="s">
        <v>12232</v>
      </c>
      <c r="F8251" t="str">
        <f t="shared" si="631"/>
        <v>Schuster</v>
      </c>
      <c r="G8251" t="str">
        <f t="shared" si="632"/>
        <v>Schuster300El Paso</v>
      </c>
      <c r="H8251" t="s">
        <v>39106</v>
      </c>
      <c r="I8251" t="s">
        <v>30511</v>
      </c>
      <c r="J8251" t="str">
        <f t="shared" si="633"/>
        <v>E:\PropInv\MF</v>
      </c>
      <c r="K8251" s="103" t="str">
        <f>HYPERLINK("E:\PropInv\MF\El Paso\Schuster Ave_300_Williamsburg Apt Group_El Paso_60642","Schuster Ave_300_Williamsburg Apt Group_El Paso_60642" )</f>
        <v>Schuster Ave_300_Williamsburg Apt Group_El Paso_60642</v>
      </c>
      <c r="L8251" s="104" t="s">
        <v>22253</v>
      </c>
      <c r="N8251" s="1">
        <f t="shared" si="634"/>
        <v>60642</v>
      </c>
    </row>
    <row r="8252" spans="1:14" x14ac:dyDescent="0.3">
      <c r="A8252" s="1">
        <v>30643</v>
      </c>
      <c r="B8252" s="16" t="s">
        <v>12260</v>
      </c>
      <c r="C8252" s="15">
        <v>345</v>
      </c>
      <c r="D8252" s="16" t="s">
        <v>12261</v>
      </c>
      <c r="E8252" s="66" t="s">
        <v>12232</v>
      </c>
      <c r="F8252" t="str">
        <f t="shared" si="631"/>
        <v>Shadow</v>
      </c>
      <c r="G8252" t="str">
        <f t="shared" si="632"/>
        <v>Shadow345El Paso</v>
      </c>
      <c r="H8252" t="s">
        <v>39107</v>
      </c>
      <c r="I8252" t="s">
        <v>15896</v>
      </c>
      <c r="J8252" t="str">
        <f t="shared" si="633"/>
        <v>E:\PropInv\MF</v>
      </c>
      <c r="K8252" s="103" t="str">
        <f>HYPERLINK("E:\PropInv\MF\El Paso\Shadow Mountain_345_The Crest of Shadow Mountain_El Paso_60643","Shadow Mountain_345_The Crest of Shadow Mountain_El Paso_60643" )</f>
        <v>Shadow Mountain_345_The Crest of Shadow Mountain_El Paso_60643</v>
      </c>
      <c r="L8252" s="104" t="s">
        <v>22253</v>
      </c>
      <c r="N8252" s="1">
        <f t="shared" si="634"/>
        <v>60643</v>
      </c>
    </row>
    <row r="8253" spans="1:14" x14ac:dyDescent="0.3">
      <c r="A8253" s="1">
        <v>30644</v>
      </c>
      <c r="B8253" s="16" t="s">
        <v>12262</v>
      </c>
      <c r="C8253" s="15">
        <v>272</v>
      </c>
      <c r="D8253" s="16" t="s">
        <v>12263</v>
      </c>
      <c r="E8253" s="66" t="s">
        <v>12232</v>
      </c>
      <c r="F8253" t="str">
        <f t="shared" ref="F8253:F8315" si="635">IFERROR(LEFT(B8253,FIND(" ",B8253)-1),B8253)</f>
        <v>Shadow</v>
      </c>
      <c r="G8253" t="str">
        <f t="shared" ref="G8253:G8315" si="636">F8253&amp;C8253&amp;E8253</f>
        <v>Shadow272El Paso</v>
      </c>
      <c r="H8253" t="s">
        <v>39108</v>
      </c>
      <c r="I8253" t="s">
        <v>30512</v>
      </c>
      <c r="J8253" t="str">
        <f t="shared" ref="J8253:J8315" si="637">IF(L8253="TX",Folder_Path,Folder_Path&amp;"\State_"&amp;L8253)</f>
        <v>E:\PropInv\MF</v>
      </c>
      <c r="K8253" s="103" t="str">
        <f>HYPERLINK("E:\PropInv\MF\El Paso\Shadow Mountain Dr_272_Coronado Hills Resort_El Paso_60644","Shadow Mountain Dr_272_Coronado Hills Resort_El Paso_60644" )</f>
        <v>Shadow Mountain Dr_272_Coronado Hills Resort_El Paso_60644</v>
      </c>
      <c r="L8253" s="104" t="s">
        <v>22253</v>
      </c>
      <c r="N8253" s="1">
        <f t="shared" si="634"/>
        <v>60644</v>
      </c>
    </row>
    <row r="8254" spans="1:14" x14ac:dyDescent="0.3">
      <c r="A8254" s="1">
        <v>30645</v>
      </c>
      <c r="B8254" s="16" t="s">
        <v>12264</v>
      </c>
      <c r="C8254" s="15">
        <v>2990</v>
      </c>
      <c r="D8254" s="16" t="s">
        <v>12265</v>
      </c>
      <c r="E8254" s="66" t="s">
        <v>12232</v>
      </c>
      <c r="F8254" t="str">
        <f t="shared" si="635"/>
        <v>Trawood</v>
      </c>
      <c r="G8254" t="str">
        <f t="shared" si="636"/>
        <v>Trawood2990El Paso</v>
      </c>
      <c r="H8254" t="s">
        <v>39109</v>
      </c>
      <c r="I8254" t="s">
        <v>30513</v>
      </c>
      <c r="J8254" t="str">
        <f t="shared" si="637"/>
        <v>E:\PropInv\MF</v>
      </c>
      <c r="K8254" s="103" t="str">
        <f>HYPERLINK("E:\PropInv\MF\El Paso\Trawood Dr_2990_The Wind Tree Apts_El Paso_60645","Trawood Dr_2990_The Wind Tree Apts_El Paso_60645" )</f>
        <v>Trawood Dr_2990_The Wind Tree Apts_El Paso_60645</v>
      </c>
      <c r="L8254" s="104" t="s">
        <v>22253</v>
      </c>
      <c r="N8254" s="1">
        <f t="shared" si="634"/>
        <v>60645</v>
      </c>
    </row>
    <row r="8255" spans="1:14" x14ac:dyDescent="0.3">
      <c r="A8255" s="1">
        <v>30646</v>
      </c>
      <c r="B8255" s="16" t="s">
        <v>12266</v>
      </c>
      <c r="C8255" s="15">
        <v>7900</v>
      </c>
      <c r="D8255" s="16" t="s">
        <v>6351</v>
      </c>
      <c r="E8255" s="17" t="s">
        <v>12232</v>
      </c>
      <c r="F8255" t="str">
        <f t="shared" si="635"/>
        <v>Viscount</v>
      </c>
      <c r="G8255" t="str">
        <f t="shared" si="636"/>
        <v>Viscount7900El Paso</v>
      </c>
      <c r="H8255" t="s">
        <v>39110</v>
      </c>
      <c r="I8255" t="s">
        <v>30514</v>
      </c>
      <c r="J8255" t="str">
        <f t="shared" si="637"/>
        <v>E:\PropInv\MF</v>
      </c>
      <c r="K8255" s="103" t="str">
        <f>HYPERLINK("E:\PropInv\MF\El Paso\Viscount Blvd_7900_Arbor Vista_El Paso_60646","Viscount Blvd_7900_Arbor Vista_El Paso_60646" )</f>
        <v>Viscount Blvd_7900_Arbor Vista_El Paso_60646</v>
      </c>
      <c r="L8255" s="104" t="s">
        <v>22253</v>
      </c>
      <c r="N8255" s="1">
        <f t="shared" si="634"/>
        <v>60646</v>
      </c>
    </row>
    <row r="8256" spans="1:14" x14ac:dyDescent="0.3">
      <c r="A8256" s="1">
        <v>30647</v>
      </c>
      <c r="B8256" s="16" t="s">
        <v>3984</v>
      </c>
      <c r="C8256" s="15">
        <v>10701</v>
      </c>
      <c r="D8256" s="16" t="s">
        <v>12267</v>
      </c>
      <c r="E8256" s="66" t="s">
        <v>12232</v>
      </c>
      <c r="F8256" t="str">
        <f t="shared" si="635"/>
        <v>Vista</v>
      </c>
      <c r="G8256" t="str">
        <f t="shared" si="636"/>
        <v>Vista10701El Paso</v>
      </c>
      <c r="H8256" t="s">
        <v>39111</v>
      </c>
      <c r="I8256" t="s">
        <v>30515</v>
      </c>
      <c r="J8256" t="str">
        <f t="shared" si="637"/>
        <v>E:\PropInv\MF</v>
      </c>
      <c r="K8256" s="103" t="str">
        <f>HYPERLINK("E:\PropInv\MF\El Paso\Vista Del Sol_10701_Ridgemar Apts_El Paso_60647","Vista Del Sol_10701_Ridgemar Apts_El Paso_60647" )</f>
        <v>Vista Del Sol_10701_Ridgemar Apts_El Paso_60647</v>
      </c>
      <c r="L8256" s="104" t="s">
        <v>22253</v>
      </c>
      <c r="N8256" s="1">
        <f t="shared" si="634"/>
        <v>60647</v>
      </c>
    </row>
    <row r="8257" spans="1:14" x14ac:dyDescent="0.3">
      <c r="A8257" s="1">
        <v>30648</v>
      </c>
      <c r="B8257" s="16" t="s">
        <v>12268</v>
      </c>
      <c r="C8257" s="15">
        <v>3334</v>
      </c>
      <c r="D8257" s="16" t="s">
        <v>12269</v>
      </c>
      <c r="E8257" s="66" t="s">
        <v>12232</v>
      </c>
      <c r="F8257" t="str">
        <f t="shared" si="635"/>
        <v>Zion</v>
      </c>
      <c r="G8257" t="str">
        <f t="shared" si="636"/>
        <v>Zion3334El Paso</v>
      </c>
      <c r="H8257" t="s">
        <v>39112</v>
      </c>
      <c r="I8257" t="s">
        <v>30516</v>
      </c>
      <c r="J8257" t="str">
        <f t="shared" si="637"/>
        <v>E:\PropInv\MF</v>
      </c>
      <c r="K8257" s="103" t="str">
        <f>HYPERLINK("E:\PropInv\MF\El Paso\Zion St_3334_Mountain Plaza_El Paso_60648","Zion St_3334_Mountain Plaza_El Paso_60648" )</f>
        <v>Zion St_3334_Mountain Plaza_El Paso_60648</v>
      </c>
      <c r="L8257" s="104" t="s">
        <v>22253</v>
      </c>
      <c r="N8257" s="1">
        <f t="shared" si="634"/>
        <v>60648</v>
      </c>
    </row>
    <row r="8258" spans="1:14" x14ac:dyDescent="0.3">
      <c r="A8258" s="1">
        <v>30649</v>
      </c>
      <c r="B8258" s="16" t="s">
        <v>12270</v>
      </c>
      <c r="C8258" s="15">
        <v>4495</v>
      </c>
      <c r="D8258" s="16" t="s">
        <v>12271</v>
      </c>
      <c r="E8258" s="17" t="s">
        <v>12232</v>
      </c>
      <c r="F8258" t="str">
        <f t="shared" si="635"/>
        <v>Jon</v>
      </c>
      <c r="G8258" t="str">
        <f t="shared" si="636"/>
        <v>Jon4495El Paso</v>
      </c>
      <c r="H8258" t="s">
        <v>39113</v>
      </c>
      <c r="I8258" t="s">
        <v>30517</v>
      </c>
      <c r="J8258" t="str">
        <f t="shared" si="637"/>
        <v>E:\PropInv\MF</v>
      </c>
      <c r="K8258" s="103" t="str">
        <f>HYPERLINK("E:\PropInv\MF\El Paso\Jon Cunningham Blvd_4495_North Hills Village_El Paso_60649","Jon Cunningham Blvd_4495_North Hills Village_El Paso_60649" )</f>
        <v>Jon Cunningham Blvd_4495_North Hills Village_El Paso_60649</v>
      </c>
      <c r="L8258" s="104" t="s">
        <v>22253</v>
      </c>
      <c r="N8258" s="1">
        <f t="shared" ref="N8258:N8321" si="638">IF(LEN(A8258)=1,"0000"&amp;A8258,IF(LEN(A8258)=2,"000"&amp;A8258,IF(LEN(A8258)=3,"00"&amp;A8258,IF(LEN(A8258)=4,"0"&amp;A8258,IF(LEN(A8258)=5,IF(LEFT(A8258,1)="3",A8258+30000,A8258))))))</f>
        <v>60649</v>
      </c>
    </row>
    <row r="8259" spans="1:14" x14ac:dyDescent="0.3">
      <c r="A8259" s="1">
        <v>30650</v>
      </c>
      <c r="B8259" s="16" t="s">
        <v>12272</v>
      </c>
      <c r="C8259" s="15">
        <v>5757</v>
      </c>
      <c r="D8259" s="16" t="s">
        <v>12273</v>
      </c>
      <c r="E8259" s="17" t="s">
        <v>12232</v>
      </c>
      <c r="F8259" t="str">
        <f t="shared" si="635"/>
        <v>Will</v>
      </c>
      <c r="G8259" t="str">
        <f t="shared" si="636"/>
        <v>Will5757El Paso</v>
      </c>
      <c r="H8259" t="s">
        <v>39114</v>
      </c>
      <c r="I8259" t="s">
        <v>30518</v>
      </c>
      <c r="J8259" t="str">
        <f t="shared" si="637"/>
        <v>E:\PropInv\MF</v>
      </c>
      <c r="K8259" s="103" t="str">
        <f>HYPERLINK("E:\PropInv\MF\El Paso\Will Ruth_5757_Mountain Vista_El Paso_60650","Will Ruth_5757_Mountain Vista_El Paso_60650" )</f>
        <v>Will Ruth_5757_Mountain Vista_El Paso_60650</v>
      </c>
      <c r="L8259" s="104" t="s">
        <v>22253</v>
      </c>
      <c r="N8259" s="1">
        <f t="shared" si="638"/>
        <v>60650</v>
      </c>
    </row>
    <row r="8260" spans="1:14" x14ac:dyDescent="0.3">
      <c r="A8260" s="1">
        <v>30651</v>
      </c>
      <c r="B8260" s="16" t="s">
        <v>1182</v>
      </c>
      <c r="C8260" s="15">
        <v>150</v>
      </c>
      <c r="D8260" s="16" t="s">
        <v>12274</v>
      </c>
      <c r="E8260" s="17" t="s">
        <v>990</v>
      </c>
      <c r="F8260" t="str">
        <f t="shared" si="635"/>
        <v>Medical</v>
      </c>
      <c r="G8260" t="str">
        <f t="shared" si="636"/>
        <v>Medical150Boerne</v>
      </c>
      <c r="H8260" t="s">
        <v>39115</v>
      </c>
      <c r="I8260" t="s">
        <v>30519</v>
      </c>
      <c r="J8260" t="str">
        <f t="shared" si="637"/>
        <v>E:\PropInv\MF</v>
      </c>
      <c r="K8260" s="103" t="str">
        <f>HYPERLINK("E:\PropInv\MF\Boerne\Medical Dr_150_The Woodland_Boerne_60651","Medical Dr_150_The Woodland_Boerne_60651" )</f>
        <v>Medical Dr_150_The Woodland_Boerne_60651</v>
      </c>
      <c r="L8260" s="104" t="s">
        <v>22253</v>
      </c>
      <c r="N8260" s="1">
        <f t="shared" si="638"/>
        <v>60651</v>
      </c>
    </row>
    <row r="8261" spans="1:14" x14ac:dyDescent="0.3">
      <c r="A8261" s="1">
        <v>30652</v>
      </c>
      <c r="B8261" s="16" t="s">
        <v>1308</v>
      </c>
      <c r="C8261" s="15">
        <v>1300</v>
      </c>
      <c r="D8261" s="16" t="s">
        <v>1309</v>
      </c>
      <c r="E8261" s="17" t="s">
        <v>1138</v>
      </c>
      <c r="F8261" t="str">
        <f t="shared" si="635"/>
        <v>Bandera</v>
      </c>
      <c r="G8261" t="str">
        <f t="shared" si="636"/>
        <v>Bandera1300Kerrville</v>
      </c>
      <c r="H8261" t="s">
        <v>39116</v>
      </c>
      <c r="I8261" t="s">
        <v>30520</v>
      </c>
      <c r="J8261" t="str">
        <f t="shared" si="637"/>
        <v>E:\PropInv\MF</v>
      </c>
      <c r="K8261" s="103" t="str">
        <f>HYPERLINK("E:\PropInv\MF\Kerrville\Bandera Hwy_1300_River Hills_Kerrville_60652","Bandera Hwy_1300_River Hills_Kerrville_60652" )</f>
        <v>Bandera Hwy_1300_River Hills_Kerrville_60652</v>
      </c>
      <c r="L8261" s="104" t="s">
        <v>22253</v>
      </c>
      <c r="N8261" s="1">
        <f t="shared" si="638"/>
        <v>60652</v>
      </c>
    </row>
    <row r="8262" spans="1:14" x14ac:dyDescent="0.3">
      <c r="A8262" s="1">
        <v>30653</v>
      </c>
      <c r="B8262" s="16" t="s">
        <v>12275</v>
      </c>
      <c r="C8262" s="15">
        <v>520</v>
      </c>
      <c r="D8262" s="16" t="s">
        <v>12276</v>
      </c>
      <c r="E8262" s="17" t="s">
        <v>912</v>
      </c>
      <c r="F8262" t="str">
        <f t="shared" si="635"/>
        <v>306</v>
      </c>
      <c r="G8262" t="str">
        <f t="shared" si="636"/>
        <v>306520New Braunfels</v>
      </c>
      <c r="H8262" t="s">
        <v>39117</v>
      </c>
      <c r="I8262" t="s">
        <v>30521</v>
      </c>
      <c r="J8262" t="str">
        <f t="shared" si="637"/>
        <v>E:\PropInv\MF</v>
      </c>
      <c r="K8262" s="103" t="str">
        <f>HYPERLINK("E:\PropInv\MF\New Braunfels\306 FM_520_La Sierra Apts_New Braunfels_60653","306 FM_520_La Sierra Apts_New Braunfels_60653" )</f>
        <v>306 FM_520_La Sierra Apts_New Braunfels_60653</v>
      </c>
      <c r="L8262" s="104" t="s">
        <v>22253</v>
      </c>
      <c r="N8262" s="1">
        <f t="shared" si="638"/>
        <v>60653</v>
      </c>
    </row>
    <row r="8263" spans="1:14" x14ac:dyDescent="0.3">
      <c r="A8263" s="1">
        <v>30654</v>
      </c>
      <c r="B8263" s="16" t="s">
        <v>846</v>
      </c>
      <c r="C8263" s="15">
        <v>105</v>
      </c>
      <c r="D8263" s="16" t="s">
        <v>12277</v>
      </c>
      <c r="E8263" s="17" t="s">
        <v>842</v>
      </c>
      <c r="F8263" t="str">
        <f t="shared" si="635"/>
        <v>Alamo</v>
      </c>
      <c r="G8263" t="str">
        <f t="shared" si="636"/>
        <v>Alamo105San Antonio</v>
      </c>
      <c r="H8263" t="s">
        <v>39118</v>
      </c>
      <c r="I8263" t="s">
        <v>30522</v>
      </c>
      <c r="J8263" t="str">
        <f t="shared" si="637"/>
        <v>E:\PropInv\MF</v>
      </c>
      <c r="K8263" s="103" t="str">
        <f>HYPERLINK("E:\PropInv\MF\San Antonio\Alamo_105_The Gibbs Building_San Antonio_60654","Alamo_105_The Gibbs Building_San Antonio_60654" )</f>
        <v>Alamo_105_The Gibbs Building_San Antonio_60654</v>
      </c>
      <c r="L8263" s="104" t="s">
        <v>22253</v>
      </c>
      <c r="N8263" s="1">
        <f t="shared" si="638"/>
        <v>60654</v>
      </c>
    </row>
    <row r="8264" spans="1:14" x14ac:dyDescent="0.3">
      <c r="A8264" s="1">
        <v>30655</v>
      </c>
      <c r="B8264" s="16" t="s">
        <v>8711</v>
      </c>
      <c r="C8264" s="15">
        <v>3735</v>
      </c>
      <c r="D8264" s="16" t="s">
        <v>2497</v>
      </c>
      <c r="E8264" s="17" t="s">
        <v>842</v>
      </c>
      <c r="F8264" t="str">
        <f t="shared" si="635"/>
        <v>Commerce</v>
      </c>
      <c r="G8264" t="str">
        <f t="shared" si="636"/>
        <v>Commerce3735San Antonio</v>
      </c>
      <c r="H8264" t="s">
        <v>39119</v>
      </c>
      <c r="I8264" t="s">
        <v>30523</v>
      </c>
      <c r="J8264" t="str">
        <f t="shared" si="637"/>
        <v>E:\PropInv\MF</v>
      </c>
      <c r="K8264" s="103" t="str">
        <f>HYPERLINK("E:\PropInv\MF\San Antonio\Commerce E_3735_NF_San Antonio_60655","Commerce E_3735_NF_San Antonio_60655" )</f>
        <v>Commerce E_3735_NF_San Antonio_60655</v>
      </c>
      <c r="L8264" s="104" t="s">
        <v>22253</v>
      </c>
      <c r="N8264" s="1">
        <f t="shared" si="638"/>
        <v>60655</v>
      </c>
    </row>
    <row r="8265" spans="1:14" x14ac:dyDescent="0.3">
      <c r="A8265" s="1">
        <v>30656</v>
      </c>
      <c r="B8265" s="16" t="s">
        <v>12278</v>
      </c>
      <c r="C8265" s="15">
        <v>819</v>
      </c>
      <c r="D8265" s="16" t="s">
        <v>12279</v>
      </c>
      <c r="E8265" s="17" t="s">
        <v>842</v>
      </c>
      <c r="F8265" t="str">
        <f t="shared" si="635"/>
        <v>Grayson</v>
      </c>
      <c r="G8265" t="str">
        <f t="shared" si="636"/>
        <v>Grayson819San Antonio</v>
      </c>
      <c r="H8265" t="s">
        <v>39120</v>
      </c>
      <c r="I8265" t="s">
        <v>30524</v>
      </c>
      <c r="J8265" t="str">
        <f t="shared" si="637"/>
        <v>E:\PropInv\MF</v>
      </c>
      <c r="K8265" s="103" t="str">
        <f>HYPERLINK("E:\PropInv\MF\San Antonio\Grayson E_819_Grayson Terrace_San Antonio_60656","Grayson E_819_Grayson Terrace_San Antonio_60656" )</f>
        <v>Grayson E_819_Grayson Terrace_San Antonio_60656</v>
      </c>
      <c r="L8265" s="104" t="s">
        <v>22253</v>
      </c>
      <c r="N8265" s="1">
        <f t="shared" si="638"/>
        <v>60656</v>
      </c>
    </row>
    <row r="8266" spans="1:14" x14ac:dyDescent="0.3">
      <c r="A8266" s="1">
        <v>30657</v>
      </c>
      <c r="B8266" s="10" t="s">
        <v>1553</v>
      </c>
      <c r="C8266" s="15">
        <v>13101</v>
      </c>
      <c r="D8266" s="16" t="s">
        <v>12280</v>
      </c>
      <c r="E8266" s="17" t="s">
        <v>842</v>
      </c>
      <c r="F8266" t="str">
        <f t="shared" si="635"/>
        <v>1604</v>
      </c>
      <c r="G8266" t="str">
        <f t="shared" si="636"/>
        <v>160413101San Antonio</v>
      </c>
      <c r="H8266" t="s">
        <v>39121</v>
      </c>
      <c r="I8266" t="s">
        <v>30525</v>
      </c>
      <c r="J8266" t="str">
        <f t="shared" si="637"/>
        <v>E:\PropInv\MF</v>
      </c>
      <c r="K8266" s="103" t="str">
        <f>HYPERLINK("E:\PropInv\MF\San Antonio\1604 Loop N E_13101_Hawthorn Suites-San Antonio NE_San Antonio_60657","1604 Loop N E_13101_Hawthorn Suites-San Antonio NE_San Antonio_60657" )</f>
        <v>1604 Loop N E_13101_Hawthorn Suites-San Antonio NE_San Antonio_60657</v>
      </c>
      <c r="L8266" s="104" t="s">
        <v>22253</v>
      </c>
      <c r="N8266" s="1">
        <f t="shared" si="638"/>
        <v>60657</v>
      </c>
    </row>
    <row r="8267" spans="1:14" x14ac:dyDescent="0.3">
      <c r="A8267" s="1">
        <v>30658</v>
      </c>
      <c r="B8267" s="16" t="s">
        <v>12281</v>
      </c>
      <c r="C8267" s="15">
        <v>335</v>
      </c>
      <c r="D8267" s="16" t="s">
        <v>12282</v>
      </c>
      <c r="E8267" s="17" t="s">
        <v>842</v>
      </c>
      <c r="F8267" t="str">
        <f t="shared" si="635"/>
        <v>Everest</v>
      </c>
      <c r="G8267" t="str">
        <f t="shared" si="636"/>
        <v>Everest335San Antonio</v>
      </c>
      <c r="H8267" t="s">
        <v>39122</v>
      </c>
      <c r="I8267" t="s">
        <v>30526</v>
      </c>
      <c r="J8267" t="str">
        <f t="shared" si="637"/>
        <v>E:\PropInv\MF</v>
      </c>
      <c r="K8267" s="103" t="str">
        <f>HYPERLINK("E:\PropInv\MF\San Antonio\Everest St_335_Dijon West Apts_San Antonio_60658","Everest St_335_Dijon West Apts_San Antonio_60658" )</f>
        <v>Everest St_335_Dijon West Apts_San Antonio_60658</v>
      </c>
      <c r="L8267" s="104" t="s">
        <v>22253</v>
      </c>
      <c r="N8267" s="1">
        <f t="shared" si="638"/>
        <v>60658</v>
      </c>
    </row>
    <row r="8268" spans="1:14" x14ac:dyDescent="0.3">
      <c r="A8268" s="1">
        <v>30659</v>
      </c>
      <c r="B8268" s="16" t="s">
        <v>1455</v>
      </c>
      <c r="C8268" s="15">
        <v>11327</v>
      </c>
      <c r="D8268" s="16" t="s">
        <v>18782</v>
      </c>
      <c r="E8268" s="17" t="s">
        <v>842</v>
      </c>
      <c r="F8268" t="str">
        <f t="shared" si="635"/>
        <v>Expo</v>
      </c>
      <c r="G8268" t="str">
        <f t="shared" si="636"/>
        <v>Expo11327San Antonio</v>
      </c>
      <c r="H8268" t="s">
        <v>39123</v>
      </c>
      <c r="I8268" t="s">
        <v>30527</v>
      </c>
      <c r="J8268" t="str">
        <f t="shared" si="637"/>
        <v>E:\PropInv\MF</v>
      </c>
      <c r="K8268" s="103" t="str">
        <f>HYPERLINK("E:\PropInv\MF\San Antonio\Expo Blvd_11327_Four Oaks Tower_San Antonio_60659","Expo Blvd_11327_Four Oaks Tower_San Antonio_60659" )</f>
        <v>Expo Blvd_11327_Four Oaks Tower_San Antonio_60659</v>
      </c>
      <c r="L8268" s="104" t="s">
        <v>22253</v>
      </c>
      <c r="N8268" s="1">
        <f t="shared" si="638"/>
        <v>60659</v>
      </c>
    </row>
    <row r="8269" spans="1:14" x14ac:dyDescent="0.3">
      <c r="A8269" s="1">
        <v>30660</v>
      </c>
      <c r="B8269" s="16" t="s">
        <v>5551</v>
      </c>
      <c r="C8269" s="15">
        <v>2822</v>
      </c>
      <c r="D8269" s="16" t="s">
        <v>12283</v>
      </c>
      <c r="E8269" s="17" t="s">
        <v>842</v>
      </c>
      <c r="F8269" t="str">
        <f t="shared" si="635"/>
        <v>Hillcrest</v>
      </c>
      <c r="G8269" t="str">
        <f t="shared" si="636"/>
        <v>Hillcrest2822San Antonio</v>
      </c>
      <c r="H8269" t="s">
        <v>39124</v>
      </c>
      <c r="I8269" t="s">
        <v>30528</v>
      </c>
      <c r="J8269" t="str">
        <f t="shared" si="637"/>
        <v>E:\PropInv\MF</v>
      </c>
      <c r="K8269" s="103" t="str">
        <f>HYPERLINK("E:\PropInv\MF\San Antonio\Hillcrest_2822_Hillcrest II_San Antonio_60660","Hillcrest_2822_Hillcrest II_San Antonio_60660" )</f>
        <v>Hillcrest_2822_Hillcrest II_San Antonio_60660</v>
      </c>
      <c r="L8269" s="104" t="s">
        <v>22253</v>
      </c>
      <c r="N8269" s="1">
        <f t="shared" si="638"/>
        <v>60660</v>
      </c>
    </row>
    <row r="8270" spans="1:14" x14ac:dyDescent="0.3">
      <c r="A8270" s="1">
        <v>30661</v>
      </c>
      <c r="B8270" s="16" t="s">
        <v>970</v>
      </c>
      <c r="C8270" s="15">
        <v>2903</v>
      </c>
      <c r="D8270" s="16" t="s">
        <v>12284</v>
      </c>
      <c r="E8270" s="17" t="s">
        <v>842</v>
      </c>
      <c r="F8270" t="str">
        <f t="shared" si="635"/>
        <v>Hillcrest</v>
      </c>
      <c r="G8270" t="str">
        <f t="shared" si="636"/>
        <v>Hillcrest2903San Antonio</v>
      </c>
      <c r="H8270" t="s">
        <v>39125</v>
      </c>
      <c r="I8270" t="s">
        <v>30529</v>
      </c>
      <c r="J8270" t="str">
        <f t="shared" si="637"/>
        <v>E:\PropInv\MF</v>
      </c>
      <c r="K8270" s="103" t="str">
        <f>HYPERLINK("E:\PropInv\MF\San Antonio\Hillcrest Dr_2903_Hillcrest Apts_San Antonio_60661","Hillcrest Dr_2903_Hillcrest Apts_San Antonio_60661" )</f>
        <v>Hillcrest Dr_2903_Hillcrest Apts_San Antonio_60661</v>
      </c>
      <c r="L8270" s="104" t="s">
        <v>22253</v>
      </c>
      <c r="N8270" s="1">
        <f t="shared" si="638"/>
        <v>60661</v>
      </c>
    </row>
    <row r="8271" spans="1:14" x14ac:dyDescent="0.3">
      <c r="A8271" s="1">
        <v>30662</v>
      </c>
      <c r="B8271" s="16" t="s">
        <v>1141</v>
      </c>
      <c r="C8271" s="15">
        <v>6945</v>
      </c>
      <c r="D8271" s="16" t="s">
        <v>1006</v>
      </c>
      <c r="E8271" s="17" t="s">
        <v>842</v>
      </c>
      <c r="F8271" t="str">
        <f t="shared" si="635"/>
        <v>10</v>
      </c>
      <c r="G8271" t="str">
        <f t="shared" si="636"/>
        <v>106945San Antonio</v>
      </c>
      <c r="H8271" t="s">
        <v>39126</v>
      </c>
      <c r="I8271" t="s">
        <v>30530</v>
      </c>
      <c r="J8271" t="str">
        <f t="shared" si="637"/>
        <v>E:\PropInv\MF</v>
      </c>
      <c r="K8271" s="103" t="str">
        <f>HYPERLINK("E:\PropInv\MF\San Antonio\10 IH W_6945_Alegria Del Sol_San Antonio_60662","10 IH W_6945_Alegria Del Sol_San Antonio_60662" )</f>
        <v>10 IH W_6945_Alegria Del Sol_San Antonio_60662</v>
      </c>
      <c r="L8271" s="104" t="s">
        <v>22253</v>
      </c>
      <c r="N8271" s="1">
        <f t="shared" si="638"/>
        <v>60662</v>
      </c>
    </row>
    <row r="8272" spans="1:14" x14ac:dyDescent="0.3">
      <c r="A8272" s="1">
        <v>30663</v>
      </c>
      <c r="B8272" s="10" t="s">
        <v>885</v>
      </c>
      <c r="C8272" s="15">
        <v>436</v>
      </c>
      <c r="D8272" s="16" t="s">
        <v>12285</v>
      </c>
      <c r="E8272" s="17" t="s">
        <v>842</v>
      </c>
      <c r="F8272" t="str">
        <f t="shared" si="635"/>
        <v>Montrose</v>
      </c>
      <c r="G8272" t="str">
        <f t="shared" si="636"/>
        <v>Montrose436San Antonio</v>
      </c>
      <c r="H8272" t="s">
        <v>39127</v>
      </c>
      <c r="I8272" t="s">
        <v>30531</v>
      </c>
      <c r="J8272" t="str">
        <f t="shared" si="637"/>
        <v>E:\PropInv\MF</v>
      </c>
      <c r="K8272" s="103" t="str">
        <f>HYPERLINK("E:\PropInv\MF\San Antonio\Montrose_436_Montrose II_San Antonio_60663","Montrose_436_Montrose II_San Antonio_60663" )</f>
        <v>Montrose_436_Montrose II_San Antonio_60663</v>
      </c>
      <c r="L8272" s="104" t="s">
        <v>22253</v>
      </c>
      <c r="N8272" s="1">
        <f t="shared" si="638"/>
        <v>60663</v>
      </c>
    </row>
    <row r="8273" spans="1:14" x14ac:dyDescent="0.3">
      <c r="A8273" s="1">
        <v>30664</v>
      </c>
      <c r="B8273" s="16" t="s">
        <v>12286</v>
      </c>
      <c r="C8273" s="15">
        <v>4407</v>
      </c>
      <c r="D8273" s="16" t="s">
        <v>22242</v>
      </c>
      <c r="E8273" s="17" t="s">
        <v>842</v>
      </c>
      <c r="F8273" t="str">
        <f t="shared" si="635"/>
        <v>Pkwy</v>
      </c>
      <c r="G8273" t="str">
        <f t="shared" si="636"/>
        <v>Pkwy4407San Antonio</v>
      </c>
      <c r="H8273" t="s">
        <v>39128</v>
      </c>
      <c r="I8273" t="s">
        <v>30532</v>
      </c>
      <c r="J8273" t="str">
        <f t="shared" si="637"/>
        <v>E:\PropInv\MF</v>
      </c>
      <c r="K8273" s="103" t="str">
        <f>HYPERLINK("E:\PropInv\MF\San Antonio\Pkwy Dr_4407_Parkway Apts_San Antonio_60664","Pkwy Dr_4407_Parkway Apts_San Antonio_60664" )</f>
        <v>Pkwy Dr_4407_Parkway Apts_San Antonio_60664</v>
      </c>
      <c r="L8273" s="104" t="s">
        <v>22253</v>
      </c>
      <c r="N8273" s="1">
        <f t="shared" si="638"/>
        <v>60664</v>
      </c>
    </row>
    <row r="8274" spans="1:14" x14ac:dyDescent="0.3">
      <c r="A8274" s="1">
        <v>30665</v>
      </c>
      <c r="B8274" s="16" t="s">
        <v>1468</v>
      </c>
      <c r="C8274" s="15">
        <v>5455</v>
      </c>
      <c r="D8274" s="16" t="s">
        <v>12287</v>
      </c>
      <c r="E8274" s="17" t="s">
        <v>842</v>
      </c>
      <c r="F8274" t="str">
        <f t="shared" si="635"/>
        <v>Rowley</v>
      </c>
      <c r="G8274" t="str">
        <f t="shared" si="636"/>
        <v>Rowley5455San Antonio</v>
      </c>
      <c r="H8274" t="s">
        <v>39129</v>
      </c>
      <c r="I8274" t="s">
        <v>30533</v>
      </c>
      <c r="J8274" t="str">
        <f t="shared" si="637"/>
        <v>E:\PropInv\MF</v>
      </c>
      <c r="K8274" s="103" t="str">
        <f>HYPERLINK("E:\PropInv\MF\San Antonio\Rowley Rd_5455_La Normandie Condominium Project_San Antonio_60665","Rowley Rd_5455_La Normandie Condominium Project_San Antonio_60665" )</f>
        <v>Rowley Rd_5455_La Normandie Condominium Project_San Antonio_60665</v>
      </c>
      <c r="L8274" s="104" t="s">
        <v>22253</v>
      </c>
      <c r="N8274" s="1">
        <f t="shared" si="638"/>
        <v>60665</v>
      </c>
    </row>
    <row r="8275" spans="1:14" x14ac:dyDescent="0.3">
      <c r="A8275" s="1">
        <v>30666</v>
      </c>
      <c r="B8275" s="10" t="s">
        <v>1051</v>
      </c>
      <c r="C8275" s="9">
        <v>12205</v>
      </c>
      <c r="D8275" s="10" t="s">
        <v>2497</v>
      </c>
      <c r="E8275" s="11" t="s">
        <v>842</v>
      </c>
      <c r="F8275" t="str">
        <f t="shared" si="635"/>
        <v>Vance</v>
      </c>
      <c r="G8275" t="str">
        <f t="shared" si="636"/>
        <v>Vance12205San Antonio</v>
      </c>
      <c r="H8275" t="s">
        <v>39130</v>
      </c>
      <c r="I8275" t="s">
        <v>30534</v>
      </c>
      <c r="J8275" t="str">
        <f t="shared" si="637"/>
        <v>E:\PropInv\MF</v>
      </c>
      <c r="K8275" s="103" t="str">
        <f>HYPERLINK("E:\PropInv\MF\San Antonio\Vance Jackson Rd_12205_NF_San Antonio_60666","Vance Jackson Rd_12205_NF_San Antonio_60666" )</f>
        <v>Vance Jackson Rd_12205_NF_San Antonio_60666</v>
      </c>
      <c r="L8275" s="104" t="s">
        <v>22253</v>
      </c>
      <c r="N8275" s="1">
        <f t="shared" si="638"/>
        <v>60666</v>
      </c>
    </row>
    <row r="8276" spans="1:14" x14ac:dyDescent="0.3">
      <c r="A8276" s="1">
        <v>30667</v>
      </c>
      <c r="B8276" s="16" t="s">
        <v>12288</v>
      </c>
      <c r="C8276" s="15">
        <v>116</v>
      </c>
      <c r="D8276" s="16" t="s">
        <v>1394</v>
      </c>
      <c r="E8276" s="17" t="s">
        <v>842</v>
      </c>
      <c r="F8276" t="str">
        <f t="shared" si="635"/>
        <v>Vanderheck</v>
      </c>
      <c r="G8276" t="str">
        <f t="shared" si="636"/>
        <v>Vanderheck116San Antonio</v>
      </c>
      <c r="H8276" t="s">
        <v>39131</v>
      </c>
      <c r="I8276" t="s">
        <v>30535</v>
      </c>
      <c r="J8276" t="str">
        <f t="shared" si="637"/>
        <v>E:\PropInv\MF</v>
      </c>
      <c r="K8276" s="103" t="str">
        <f>HYPERLINK("E:\PropInv\MF\San Antonio\Vanderheck Blvd_116_Sunset Ridge_San Antonio_60667","Vanderheck Blvd_116_Sunset Ridge_San Antonio_60667" )</f>
        <v>Vanderheck Blvd_116_Sunset Ridge_San Antonio_60667</v>
      </c>
      <c r="L8276" s="104" t="s">
        <v>22253</v>
      </c>
      <c r="N8276" s="1">
        <f t="shared" si="638"/>
        <v>60667</v>
      </c>
    </row>
    <row r="8277" spans="1:14" x14ac:dyDescent="0.3">
      <c r="A8277" s="1">
        <v>30668</v>
      </c>
      <c r="B8277" s="16" t="s">
        <v>452</v>
      </c>
      <c r="C8277" s="15">
        <v>5042</v>
      </c>
      <c r="D8277" s="16" t="s">
        <v>12289</v>
      </c>
      <c r="E8277" s="17" t="s">
        <v>842</v>
      </c>
      <c r="F8277" t="str">
        <f t="shared" si="635"/>
        <v>Wildflower</v>
      </c>
      <c r="G8277" t="str">
        <f t="shared" si="636"/>
        <v>Wildflower5042San Antonio</v>
      </c>
      <c r="H8277" t="s">
        <v>39132</v>
      </c>
      <c r="I8277" t="s">
        <v>30536</v>
      </c>
      <c r="J8277" t="str">
        <f t="shared" si="637"/>
        <v>E:\PropInv\MF</v>
      </c>
      <c r="K8277" s="103" t="str">
        <f>HYPERLINK("E:\PropInv\MF\San Antonio\Wildflower_5042_Regency Manor Apts_San Antonio_60668","Wildflower_5042_Regency Manor Apts_San Antonio_60668" )</f>
        <v>Wildflower_5042_Regency Manor Apts_San Antonio_60668</v>
      </c>
      <c r="L8277" s="104" t="s">
        <v>22253</v>
      </c>
      <c r="N8277" s="1">
        <f t="shared" si="638"/>
        <v>60668</v>
      </c>
    </row>
    <row r="8278" spans="1:14" x14ac:dyDescent="0.3">
      <c r="A8278" s="1">
        <v>30669</v>
      </c>
      <c r="B8278" s="10" t="s">
        <v>1579</v>
      </c>
      <c r="C8278" s="9">
        <v>16985</v>
      </c>
      <c r="D8278" s="16" t="s">
        <v>2497</v>
      </c>
      <c r="E8278" s="11" t="s">
        <v>842</v>
      </c>
      <c r="F8278" t="str">
        <f t="shared" si="635"/>
        <v>La</v>
      </c>
      <c r="G8278" t="str">
        <f t="shared" si="636"/>
        <v>La16985San Antonio</v>
      </c>
      <c r="H8278" t="s">
        <v>39133</v>
      </c>
      <c r="I8278" t="s">
        <v>30537</v>
      </c>
      <c r="J8278" t="str">
        <f t="shared" si="637"/>
        <v>E:\PropInv\MF</v>
      </c>
      <c r="K8278" s="103" t="str">
        <f>HYPERLINK("E:\PropInv\MF\San Antonio\La Cantera Pkwy_16985_NF_San Antonio_60669","La Cantera Pkwy_16985_NF_San Antonio_60669" )</f>
        <v>La Cantera Pkwy_16985_NF_San Antonio_60669</v>
      </c>
      <c r="L8278" s="104" t="s">
        <v>22253</v>
      </c>
      <c r="N8278" s="1">
        <f t="shared" si="638"/>
        <v>60669</v>
      </c>
    </row>
    <row r="8279" spans="1:14" x14ac:dyDescent="0.3">
      <c r="A8279" s="1">
        <v>30670</v>
      </c>
      <c r="B8279" s="16" t="s">
        <v>1200</v>
      </c>
      <c r="C8279" s="15">
        <v>3063</v>
      </c>
      <c r="D8279" s="16" t="s">
        <v>12290</v>
      </c>
      <c r="E8279" s="17" t="s">
        <v>986</v>
      </c>
      <c r="F8279" t="str">
        <f t="shared" si="635"/>
        <v>123</v>
      </c>
      <c r="G8279" t="str">
        <f t="shared" si="636"/>
        <v>1233063Seguin</v>
      </c>
      <c r="H8279" t="s">
        <v>39134</v>
      </c>
      <c r="I8279" t="s">
        <v>30538</v>
      </c>
      <c r="J8279" t="str">
        <f t="shared" si="637"/>
        <v>E:\PropInv\MF</v>
      </c>
      <c r="K8279" s="103" t="str">
        <f>HYPERLINK("E:\PropInv\MF\Seguin\123 Hwy Bypass N_3063_The Ranch at State Hwy. 123_Seguin_60670","123 Hwy Bypass N_3063_The Ranch at State Hwy. 123_Seguin_60670" )</f>
        <v>123 Hwy Bypass N_3063_The Ranch at State Hwy. 123_Seguin_60670</v>
      </c>
      <c r="L8279" s="104" t="s">
        <v>22253</v>
      </c>
      <c r="N8279" s="1">
        <f t="shared" si="638"/>
        <v>60670</v>
      </c>
    </row>
    <row r="8280" spans="1:14" x14ac:dyDescent="0.3">
      <c r="A8280" s="1">
        <v>30671</v>
      </c>
      <c r="B8280" s="16" t="s">
        <v>12291</v>
      </c>
      <c r="C8280" s="15">
        <v>1605</v>
      </c>
      <c r="D8280" s="16" t="s">
        <v>3252</v>
      </c>
      <c r="E8280" s="17" t="s">
        <v>12292</v>
      </c>
      <c r="F8280" t="str">
        <f t="shared" si="635"/>
        <v>Corner</v>
      </c>
      <c r="G8280" t="str">
        <f t="shared" si="636"/>
        <v>Corner1605Beaumont</v>
      </c>
      <c r="H8280" t="s">
        <v>39135</v>
      </c>
      <c r="I8280" t="s">
        <v>30539</v>
      </c>
      <c r="J8280" t="str">
        <f t="shared" si="637"/>
        <v>E:\PropInv\MF</v>
      </c>
      <c r="K8280" s="103" t="str">
        <f>HYPERLINK("E:\PropInv\MF\Beaumont\Corner Stone Ct_1605_Cypress Bend_Beaumont_60671","Corner Stone Ct_1605_Cypress Bend_Beaumont_60671" )</f>
        <v>Corner Stone Ct_1605_Cypress Bend_Beaumont_60671</v>
      </c>
      <c r="L8280" s="104" t="s">
        <v>22253</v>
      </c>
      <c r="N8280" s="1">
        <f t="shared" si="638"/>
        <v>60671</v>
      </c>
    </row>
    <row r="8281" spans="1:14" x14ac:dyDescent="0.3">
      <c r="A8281" s="1">
        <v>30672</v>
      </c>
      <c r="B8281" s="16" t="s">
        <v>12293</v>
      </c>
      <c r="C8281" s="15">
        <v>520</v>
      </c>
      <c r="D8281" s="16" t="s">
        <v>12294</v>
      </c>
      <c r="E8281" s="66" t="s">
        <v>12292</v>
      </c>
      <c r="F8281" t="str">
        <f t="shared" si="635"/>
        <v>Dowlen</v>
      </c>
      <c r="G8281" t="str">
        <f t="shared" si="636"/>
        <v>Dowlen520Beaumont</v>
      </c>
      <c r="H8281" t="s">
        <v>39136</v>
      </c>
      <c r="I8281" t="s">
        <v>30540</v>
      </c>
      <c r="J8281" t="str">
        <f t="shared" si="637"/>
        <v>E:\PropInv\MF</v>
      </c>
      <c r="K8281" s="103" t="str">
        <f>HYPERLINK("E:\PropInv\MF\Beaumont\Dowlen Rd_520_Greentree Village_Beaumont_60672","Dowlen Rd_520_Greentree Village_Beaumont_60672" )</f>
        <v>Dowlen Rd_520_Greentree Village_Beaumont_60672</v>
      </c>
      <c r="L8281" s="104" t="s">
        <v>22253</v>
      </c>
      <c r="N8281" s="1">
        <f t="shared" si="638"/>
        <v>60672</v>
      </c>
    </row>
    <row r="8282" spans="1:14" x14ac:dyDescent="0.3">
      <c r="A8282" s="1">
        <v>30674</v>
      </c>
      <c r="B8282" s="16" t="s">
        <v>12296</v>
      </c>
      <c r="C8282" s="15">
        <v>5550</v>
      </c>
      <c r="D8282" s="16" t="s">
        <v>8057</v>
      </c>
      <c r="E8282" s="17" t="s">
        <v>12292</v>
      </c>
      <c r="F8282" t="str">
        <f t="shared" si="635"/>
        <v>Folsom</v>
      </c>
      <c r="G8282" t="str">
        <f t="shared" si="636"/>
        <v>Folsom5550Beaumont</v>
      </c>
      <c r="H8282" t="s">
        <v>39137</v>
      </c>
      <c r="I8282" t="s">
        <v>30541</v>
      </c>
      <c r="J8282" t="str">
        <f t="shared" si="637"/>
        <v>E:\PropInv\MF</v>
      </c>
      <c r="K8282" s="103" t="str">
        <f>HYPERLINK("E:\PropInv\MF\Beaumont\Folsom_5550_Regency Place_Beaumont_60674","Folsom_5550_Regency Place_Beaumont_60674" )</f>
        <v>Folsom_5550_Regency Place_Beaumont_60674</v>
      </c>
      <c r="L8282" s="104" t="s">
        <v>22253</v>
      </c>
      <c r="N8282" s="1">
        <f t="shared" si="638"/>
        <v>60674</v>
      </c>
    </row>
    <row r="8283" spans="1:14" x14ac:dyDescent="0.3">
      <c r="A8283" s="1">
        <v>30675</v>
      </c>
      <c r="B8283" s="16" t="s">
        <v>12297</v>
      </c>
      <c r="C8283" s="15">
        <v>3155</v>
      </c>
      <c r="D8283" s="16" t="s">
        <v>12298</v>
      </c>
      <c r="E8283" s="66" t="s">
        <v>12292</v>
      </c>
      <c r="F8283" t="str">
        <f t="shared" si="635"/>
        <v>French</v>
      </c>
      <c r="G8283" t="str">
        <f t="shared" si="636"/>
        <v>French3155Beaumont</v>
      </c>
      <c r="H8283" t="s">
        <v>39138</v>
      </c>
      <c r="I8283" t="s">
        <v>30542</v>
      </c>
      <c r="J8283" t="str">
        <f t="shared" si="637"/>
        <v>E:\PropInv\MF</v>
      </c>
      <c r="K8283" s="103" t="str">
        <f>HYPERLINK("E:\PropInv\MF\Beaumont\French Rd_3155_French Road_Beaumont_60675","French Rd_3155_French Road_Beaumont_60675" )</f>
        <v>French Rd_3155_French Road_Beaumont_60675</v>
      </c>
      <c r="L8283" s="104" t="s">
        <v>22253</v>
      </c>
      <c r="N8283" s="1">
        <f t="shared" si="638"/>
        <v>60675</v>
      </c>
    </row>
    <row r="8284" spans="1:14" x14ac:dyDescent="0.3">
      <c r="A8284" s="1">
        <v>30676</v>
      </c>
      <c r="B8284" s="16" t="s">
        <v>12299</v>
      </c>
      <c r="C8284" s="15">
        <v>125</v>
      </c>
      <c r="D8284" s="16" t="s">
        <v>12300</v>
      </c>
      <c r="E8284" s="17" t="s">
        <v>12292</v>
      </c>
      <c r="F8284" t="str">
        <f t="shared" si="635"/>
        <v>10</v>
      </c>
      <c r="G8284" t="str">
        <f t="shared" si="636"/>
        <v>10125Beaumont</v>
      </c>
      <c r="H8284" t="s">
        <v>39139</v>
      </c>
      <c r="I8284" t="s">
        <v>30543</v>
      </c>
      <c r="J8284" t="str">
        <f t="shared" si="637"/>
        <v>E:\PropInv\MF</v>
      </c>
      <c r="K8284" s="103" t="str">
        <f>HYPERLINK("E:\PropInv\MF\Beaumont\10 IH N_125_Timberlake Courts_Beaumont_60676","10 IH N_125_Timberlake Courts_Beaumont_60676" )</f>
        <v>10 IH N_125_Timberlake Courts_Beaumont_60676</v>
      </c>
      <c r="L8284" s="104" t="s">
        <v>22253</v>
      </c>
      <c r="N8284" s="1">
        <f t="shared" si="638"/>
        <v>60676</v>
      </c>
    </row>
    <row r="8285" spans="1:14" x14ac:dyDescent="0.3">
      <c r="A8285" s="1">
        <v>30677</v>
      </c>
      <c r="B8285" s="16" t="s">
        <v>12301</v>
      </c>
      <c r="C8285" s="15">
        <v>6550</v>
      </c>
      <c r="D8285" s="16" t="s">
        <v>6845</v>
      </c>
      <c r="E8285" s="17" t="s">
        <v>12292</v>
      </c>
      <c r="F8285" t="str">
        <f t="shared" si="635"/>
        <v>Lexington</v>
      </c>
      <c r="G8285" t="str">
        <f t="shared" si="636"/>
        <v>Lexington6550Beaumont</v>
      </c>
      <c r="H8285" t="s">
        <v>39140</v>
      </c>
      <c r="I8285" t="s">
        <v>30544</v>
      </c>
      <c r="J8285" t="str">
        <f t="shared" si="637"/>
        <v>E:\PropInv\MF</v>
      </c>
      <c r="K8285" s="103" t="str">
        <f>HYPERLINK("E:\PropInv\MF\Beaumont\Lexington Dr_6550_Towne Oaks_Beaumont_60677","Lexington Dr_6550_Towne Oaks_Beaumont_60677" )</f>
        <v>Lexington Dr_6550_Towne Oaks_Beaumont_60677</v>
      </c>
      <c r="L8285" s="104" t="s">
        <v>22253</v>
      </c>
      <c r="N8285" s="1">
        <f t="shared" si="638"/>
        <v>60677</v>
      </c>
    </row>
    <row r="8286" spans="1:14" x14ac:dyDescent="0.3">
      <c r="A8286" s="1">
        <v>30678</v>
      </c>
      <c r="B8286" s="16" t="s">
        <v>12302</v>
      </c>
      <c r="C8286" s="15">
        <v>1215</v>
      </c>
      <c r="D8286" s="16" t="s">
        <v>12302</v>
      </c>
      <c r="E8286" s="66" t="s">
        <v>12292</v>
      </c>
      <c r="F8286" t="str">
        <f t="shared" si="635"/>
        <v>Longfellow</v>
      </c>
      <c r="G8286" t="str">
        <f t="shared" si="636"/>
        <v>Longfellow1215Beaumont</v>
      </c>
      <c r="H8286" t="s">
        <v>39141</v>
      </c>
      <c r="I8286" t="s">
        <v>30545</v>
      </c>
      <c r="J8286" t="str">
        <f t="shared" si="637"/>
        <v>E:\PropInv\MF</v>
      </c>
      <c r="K8286" s="103" t="str">
        <f>HYPERLINK("E:\PropInv\MF\Beaumont\Longfellow_1215_Longfellow_Beaumont_60678","Longfellow_1215_Longfellow_Beaumont_60678" )</f>
        <v>Longfellow_1215_Longfellow_Beaumont_60678</v>
      </c>
      <c r="L8286" s="104" t="s">
        <v>22253</v>
      </c>
      <c r="N8286" s="1">
        <f t="shared" si="638"/>
        <v>60678</v>
      </c>
    </row>
    <row r="8287" spans="1:14" x14ac:dyDescent="0.3">
      <c r="A8287" s="1">
        <v>30679</v>
      </c>
      <c r="B8287" s="16" t="s">
        <v>12303</v>
      </c>
      <c r="C8287" s="15">
        <v>4215</v>
      </c>
      <c r="D8287" s="16" t="s">
        <v>12304</v>
      </c>
      <c r="E8287" s="17" t="s">
        <v>12292</v>
      </c>
      <c r="F8287" t="str">
        <f t="shared" si="635"/>
        <v>Major</v>
      </c>
      <c r="G8287" t="str">
        <f t="shared" si="636"/>
        <v>Major4215Beaumont</v>
      </c>
      <c r="H8287" t="s">
        <v>39142</v>
      </c>
      <c r="I8287" t="s">
        <v>30546</v>
      </c>
      <c r="J8287" t="str">
        <f t="shared" si="637"/>
        <v>E:\PropInv\MF</v>
      </c>
      <c r="K8287" s="103" t="str">
        <f>HYPERLINK("E:\PropInv\MF\Beaumont\Major Dr N_4215_West End Lodge_Beaumont_60679","Major Dr N_4215_West End Lodge_Beaumont_60679" )</f>
        <v>Major Dr N_4215_West End Lodge_Beaumont_60679</v>
      </c>
      <c r="L8287" s="104" t="s">
        <v>22253</v>
      </c>
      <c r="N8287" s="1">
        <f t="shared" si="638"/>
        <v>60679</v>
      </c>
    </row>
    <row r="8288" spans="1:14" x14ac:dyDescent="0.3">
      <c r="A8288" s="1">
        <v>30680</v>
      </c>
      <c r="B8288" s="16" t="s">
        <v>12305</v>
      </c>
      <c r="C8288" s="15">
        <v>4165</v>
      </c>
      <c r="D8288" s="16" t="s">
        <v>12306</v>
      </c>
      <c r="E8288" s="17" t="s">
        <v>12292</v>
      </c>
      <c r="F8288" t="str">
        <f t="shared" si="635"/>
        <v>Old</v>
      </c>
      <c r="G8288" t="str">
        <f t="shared" si="636"/>
        <v>Old4165Beaumont</v>
      </c>
      <c r="H8288" t="s">
        <v>39143</v>
      </c>
      <c r="I8288" t="s">
        <v>30547</v>
      </c>
      <c r="J8288" t="str">
        <f t="shared" si="637"/>
        <v>E:\PropInv\MF</v>
      </c>
      <c r="K8288" s="103" t="str">
        <f>HYPERLINK("E:\PropInv\MF\Beaumont\Old Dowlen Rd_4165_The Pointe Apts_Beaumont_60680","Old Dowlen Rd_4165_The Pointe Apts_Beaumont_60680" )</f>
        <v>Old Dowlen Rd_4165_The Pointe Apts_Beaumont_60680</v>
      </c>
      <c r="L8288" s="104" t="s">
        <v>22253</v>
      </c>
      <c r="N8288" s="1">
        <f t="shared" si="638"/>
        <v>60680</v>
      </c>
    </row>
    <row r="8289" spans="1:14" x14ac:dyDescent="0.3">
      <c r="A8289" s="1">
        <v>30681</v>
      </c>
      <c r="B8289" s="16" t="s">
        <v>12307</v>
      </c>
      <c r="C8289" s="15">
        <v>6550</v>
      </c>
      <c r="D8289" s="16" t="s">
        <v>12308</v>
      </c>
      <c r="E8289" s="17" t="s">
        <v>12292</v>
      </c>
      <c r="F8289" t="str">
        <f t="shared" si="635"/>
        <v>Prutzman</v>
      </c>
      <c r="G8289" t="str">
        <f t="shared" si="636"/>
        <v>Prutzman6550Beaumont</v>
      </c>
      <c r="H8289" t="s">
        <v>39144</v>
      </c>
      <c r="I8289" t="s">
        <v>30548</v>
      </c>
      <c r="J8289" t="str">
        <f t="shared" si="637"/>
        <v>E:\PropInv\MF</v>
      </c>
      <c r="K8289" s="103" t="str">
        <f>HYPERLINK("E:\PropInv\MF\Beaumont\Prutzman_6550_Lancaster Cornwall_Beaumont_60681","Prutzman_6550_Lancaster Cornwall_Beaumont_60681" )</f>
        <v>Prutzman_6550_Lancaster Cornwall_Beaumont_60681</v>
      </c>
      <c r="L8289" s="104" t="s">
        <v>22253</v>
      </c>
      <c r="N8289" s="1">
        <f t="shared" si="638"/>
        <v>60681</v>
      </c>
    </row>
    <row r="8290" spans="1:14" x14ac:dyDescent="0.3">
      <c r="A8290" s="1">
        <v>30682</v>
      </c>
      <c r="B8290" s="16" t="s">
        <v>11984</v>
      </c>
      <c r="C8290" s="15">
        <v>4365</v>
      </c>
      <c r="D8290" s="16" t="s">
        <v>12309</v>
      </c>
      <c r="E8290" s="17" t="s">
        <v>12292</v>
      </c>
      <c r="F8290" t="str">
        <f t="shared" si="635"/>
        <v>4th</v>
      </c>
      <c r="G8290" t="str">
        <f t="shared" si="636"/>
        <v>4th4365Beaumont</v>
      </c>
      <c r="H8290" t="s">
        <v>39145</v>
      </c>
      <c r="I8290" t="s">
        <v>30549</v>
      </c>
      <c r="J8290" t="str">
        <f t="shared" si="637"/>
        <v>E:\PropInv\MF</v>
      </c>
      <c r="K8290" s="103" t="str">
        <f>HYPERLINK("E:\PropInv\MF\Beaumont\4th St S_4365_Maple Housing Of Beaumont_Beaumont_60682","4th St S_4365_Maple Housing Of Beaumont_Beaumont_60682" )</f>
        <v>4th St S_4365_Maple Housing Of Beaumont_Beaumont_60682</v>
      </c>
      <c r="L8290" s="104" t="s">
        <v>22253</v>
      </c>
      <c r="N8290" s="1">
        <f t="shared" si="638"/>
        <v>60682</v>
      </c>
    </row>
    <row r="8291" spans="1:14" x14ac:dyDescent="0.3">
      <c r="A8291" s="1">
        <v>30683</v>
      </c>
      <c r="B8291" s="16" t="s">
        <v>12310</v>
      </c>
      <c r="C8291" s="15">
        <v>1280</v>
      </c>
      <c r="D8291" s="16" t="s">
        <v>12311</v>
      </c>
      <c r="E8291" s="17" t="s">
        <v>12292</v>
      </c>
      <c r="F8291" t="str">
        <f t="shared" si="635"/>
        <v>Saxe</v>
      </c>
      <c r="G8291" t="str">
        <f t="shared" si="636"/>
        <v>Saxe1280Beaumont</v>
      </c>
      <c r="H8291" t="s">
        <v>39146</v>
      </c>
      <c r="I8291" t="s">
        <v>30550</v>
      </c>
      <c r="J8291" t="str">
        <f t="shared" si="637"/>
        <v>E:\PropInv\MF</v>
      </c>
      <c r="K8291" s="103" t="str">
        <f>HYPERLINK("E:\PropInv\MF\Beaumont\Saxe_1280_Cardinal Square_Beaumont_60683","Saxe_1280_Cardinal Square_Beaumont_60683" )</f>
        <v>Saxe_1280_Cardinal Square_Beaumont_60683</v>
      </c>
      <c r="L8291" s="104" t="s">
        <v>22253</v>
      </c>
      <c r="N8291" s="1">
        <f t="shared" si="638"/>
        <v>60683</v>
      </c>
    </row>
    <row r="8292" spans="1:14" x14ac:dyDescent="0.3">
      <c r="A8292" s="1">
        <v>30684</v>
      </c>
      <c r="B8292" s="16" t="s">
        <v>12312</v>
      </c>
      <c r="C8292" s="15">
        <v>2570</v>
      </c>
      <c r="D8292" s="16" t="s">
        <v>12313</v>
      </c>
      <c r="E8292" s="66" t="s">
        <v>12292</v>
      </c>
      <c r="F8292" t="str">
        <f t="shared" si="635"/>
        <v>Sweetgum</v>
      </c>
      <c r="G8292" t="str">
        <f t="shared" si="636"/>
        <v>Sweetgum2570Beaumont</v>
      </c>
      <c r="H8292" t="s">
        <v>39147</v>
      </c>
      <c r="I8292" t="s">
        <v>30551</v>
      </c>
      <c r="J8292" t="str">
        <f t="shared" si="637"/>
        <v>E:\PropInv\MF</v>
      </c>
      <c r="K8292" s="103" t="str">
        <f>HYPERLINK("E:\PropInv\MF\Beaumont\Sweetgum Ln_2570_Colonnade Apts_Beaumont_60684","Sweetgum Ln_2570_Colonnade Apts_Beaumont_60684" )</f>
        <v>Sweetgum Ln_2570_Colonnade Apts_Beaumont_60684</v>
      </c>
      <c r="L8292" s="104" t="s">
        <v>22253</v>
      </c>
      <c r="N8292" s="1">
        <f t="shared" si="638"/>
        <v>60684</v>
      </c>
    </row>
    <row r="8293" spans="1:14" x14ac:dyDescent="0.3">
      <c r="A8293" s="1">
        <v>30685</v>
      </c>
      <c r="B8293" s="16" t="s">
        <v>4892</v>
      </c>
      <c r="C8293" s="15">
        <v>5305</v>
      </c>
      <c r="D8293" s="16" t="s">
        <v>852</v>
      </c>
      <c r="E8293" s="17" t="s">
        <v>12314</v>
      </c>
      <c r="F8293" t="str">
        <f t="shared" si="635"/>
        <v>Gulfway</v>
      </c>
      <c r="G8293" t="str">
        <f t="shared" si="636"/>
        <v>Gulfway5305Groves</v>
      </c>
      <c r="H8293" t="s">
        <v>39148</v>
      </c>
      <c r="I8293" t="s">
        <v>30552</v>
      </c>
      <c r="J8293" t="str">
        <f t="shared" si="637"/>
        <v>E:\PropInv\MF</v>
      </c>
      <c r="K8293" s="103" t="str">
        <f>HYPERLINK("E:\PropInv\MF\Groves\Gulfway_5305_Amber_Groves_60685","Gulfway_5305_Amber_Groves_60685" )</f>
        <v>Gulfway_5305_Amber_Groves_60685</v>
      </c>
      <c r="L8293" s="104" t="s">
        <v>22253</v>
      </c>
      <c r="N8293" s="1">
        <f t="shared" si="638"/>
        <v>60685</v>
      </c>
    </row>
    <row r="8294" spans="1:14" x14ac:dyDescent="0.3">
      <c r="A8294" s="1">
        <v>30686</v>
      </c>
      <c r="B8294" s="16" t="s">
        <v>12315</v>
      </c>
      <c r="C8294" s="15">
        <v>5307</v>
      </c>
      <c r="D8294" s="16" t="s">
        <v>12316</v>
      </c>
      <c r="E8294" s="17" t="s">
        <v>12314</v>
      </c>
      <c r="F8294" t="str">
        <f t="shared" si="635"/>
        <v>Gulfway</v>
      </c>
      <c r="G8294" t="str">
        <f t="shared" si="636"/>
        <v>Gulfway5307Groves</v>
      </c>
      <c r="H8294" t="s">
        <v>39149</v>
      </c>
      <c r="I8294" t="s">
        <v>30553</v>
      </c>
      <c r="J8294" t="str">
        <f t="shared" si="637"/>
        <v>E:\PropInv\MF</v>
      </c>
      <c r="K8294" s="103" t="str">
        <f>HYPERLINK("E:\PropInv\MF\Groves\Gulfway Dr_5307_Beverly Place_Groves_60686","Gulfway Dr_5307_Beverly Place_Groves_60686" )</f>
        <v>Gulfway Dr_5307_Beverly Place_Groves_60686</v>
      </c>
      <c r="L8294" s="104" t="s">
        <v>22253</v>
      </c>
      <c r="N8294" s="1">
        <f t="shared" si="638"/>
        <v>60686</v>
      </c>
    </row>
    <row r="8295" spans="1:14" x14ac:dyDescent="0.3">
      <c r="A8295" s="1">
        <v>30687</v>
      </c>
      <c r="B8295" s="16" t="s">
        <v>12315</v>
      </c>
      <c r="C8295" s="15">
        <v>5401</v>
      </c>
      <c r="D8295" s="16" t="s">
        <v>12317</v>
      </c>
      <c r="E8295" s="17" t="s">
        <v>12314</v>
      </c>
      <c r="F8295" t="str">
        <f t="shared" si="635"/>
        <v>Gulfway</v>
      </c>
      <c r="G8295" t="str">
        <f t="shared" si="636"/>
        <v>Gulfway5401Groves</v>
      </c>
      <c r="H8295" t="s">
        <v>39150</v>
      </c>
      <c r="I8295" t="s">
        <v>30554</v>
      </c>
      <c r="J8295" t="str">
        <f t="shared" si="637"/>
        <v>E:\PropInv\MF</v>
      </c>
      <c r="K8295" s="103" t="str">
        <f>HYPERLINK("E:\PropInv\MF\Groves\Gulfway Dr_5401_Vincent Park Apts_Groves_60687","Gulfway Dr_5401_Vincent Park Apts_Groves_60687" )</f>
        <v>Gulfway Dr_5401_Vincent Park Apts_Groves_60687</v>
      </c>
      <c r="L8295" s="104" t="s">
        <v>22253</v>
      </c>
      <c r="N8295" s="1">
        <f t="shared" si="638"/>
        <v>60687</v>
      </c>
    </row>
    <row r="8296" spans="1:14" x14ac:dyDescent="0.3">
      <c r="A8296" s="1">
        <v>30688</v>
      </c>
      <c r="B8296" s="16" t="s">
        <v>12318</v>
      </c>
      <c r="C8296" s="15">
        <v>2575</v>
      </c>
      <c r="D8296" s="16" t="s">
        <v>12319</v>
      </c>
      <c r="E8296" s="17" t="s">
        <v>12320</v>
      </c>
      <c r="F8296" t="str">
        <f t="shared" si="635"/>
        <v>31st</v>
      </c>
      <c r="G8296" t="str">
        <f t="shared" si="636"/>
        <v>31st2575Nederland</v>
      </c>
      <c r="H8296" t="s">
        <v>39151</v>
      </c>
      <c r="I8296" t="s">
        <v>30555</v>
      </c>
      <c r="J8296" t="str">
        <f t="shared" si="637"/>
        <v>E:\PropInv\MF</v>
      </c>
      <c r="K8296" s="103" t="str">
        <f>HYPERLINK("E:\PropInv\MF\Nederland\31st St_2575_Spurlock North_Nederland_60688","31st St_2575_Spurlock North_Nederland_60688" )</f>
        <v>31st St_2575_Spurlock North_Nederland_60688</v>
      </c>
      <c r="L8296" s="104" t="s">
        <v>22253</v>
      </c>
      <c r="N8296" s="1">
        <f t="shared" si="638"/>
        <v>60688</v>
      </c>
    </row>
    <row r="8297" spans="1:14" x14ac:dyDescent="0.3">
      <c r="A8297" s="1">
        <v>30689</v>
      </c>
      <c r="B8297" s="16" t="s">
        <v>12321</v>
      </c>
      <c r="C8297" s="15">
        <v>1003</v>
      </c>
      <c r="D8297" s="16" t="s">
        <v>12322</v>
      </c>
      <c r="E8297" s="17" t="s">
        <v>12320</v>
      </c>
      <c r="F8297" t="str">
        <f t="shared" si="635"/>
        <v>Ave</v>
      </c>
      <c r="G8297" t="str">
        <f t="shared" si="636"/>
        <v>Ave1003Nederland</v>
      </c>
      <c r="H8297" t="s">
        <v>39152</v>
      </c>
      <c r="I8297" t="s">
        <v>30556</v>
      </c>
      <c r="J8297" t="str">
        <f t="shared" si="637"/>
        <v>E:\PropInv\MF</v>
      </c>
      <c r="K8297" s="103" t="str">
        <f>HYPERLINK("E:\PropInv\MF\Nederland\Ave B_1003_Chateau Nederland_Nederland_60689","Ave B_1003_Chateau Nederland_Nederland_60689" )</f>
        <v>Ave B_1003_Chateau Nederland_Nederland_60689</v>
      </c>
      <c r="L8297" s="104" t="s">
        <v>22253</v>
      </c>
      <c r="N8297" s="1">
        <f t="shared" si="638"/>
        <v>60689</v>
      </c>
    </row>
    <row r="8298" spans="1:14" x14ac:dyDescent="0.3">
      <c r="A8298" s="1">
        <v>30690</v>
      </c>
      <c r="B8298" s="16" t="s">
        <v>12323</v>
      </c>
      <c r="C8298" s="15">
        <v>2900</v>
      </c>
      <c r="D8298" s="16" t="s">
        <v>12324</v>
      </c>
      <c r="E8298" s="17" t="s">
        <v>12320</v>
      </c>
      <c r="F8298" t="str">
        <f t="shared" si="635"/>
        <v>Nederland</v>
      </c>
      <c r="G8298" t="str">
        <f t="shared" si="636"/>
        <v>Nederland2900Nederland</v>
      </c>
      <c r="H8298" t="s">
        <v>39153</v>
      </c>
      <c r="I8298" t="s">
        <v>30557</v>
      </c>
      <c r="J8298" t="str">
        <f t="shared" si="637"/>
        <v>E:\PropInv\MF</v>
      </c>
      <c r="K8298" s="103" t="str">
        <f>HYPERLINK("E:\PropInv\MF\Nederland\Nederland Ave_2900_The Avenue_Nederland_60690","Nederland Ave_2900_The Avenue_Nederland_60690" )</f>
        <v>Nederland Ave_2900_The Avenue_Nederland_60690</v>
      </c>
      <c r="L8298" s="104" t="s">
        <v>22253</v>
      </c>
      <c r="N8298" s="1">
        <f t="shared" si="638"/>
        <v>60690</v>
      </c>
    </row>
    <row r="8299" spans="1:14" x14ac:dyDescent="0.3">
      <c r="A8299" s="1">
        <v>30691</v>
      </c>
      <c r="B8299" s="16" t="s">
        <v>12325</v>
      </c>
      <c r="C8299" s="15">
        <v>3000</v>
      </c>
      <c r="D8299" s="16" t="s">
        <v>22280</v>
      </c>
      <c r="E8299" s="17" t="s">
        <v>12326</v>
      </c>
      <c r="F8299" t="str">
        <f t="shared" si="635"/>
        <v>MacArthur</v>
      </c>
      <c r="G8299" t="str">
        <f t="shared" si="636"/>
        <v>MacArthur3000Orange</v>
      </c>
      <c r="H8299" t="s">
        <v>39154</v>
      </c>
      <c r="I8299" t="s">
        <v>30558</v>
      </c>
      <c r="J8299" t="str">
        <f t="shared" si="637"/>
        <v>E:\PropInv\MF</v>
      </c>
      <c r="K8299" s="103" t="str">
        <f>HYPERLINK("E:\PropInv\MF\Orange\MacArthur Dr_3000_Sussex Apts_Orange_60691","MacArthur Dr_3000_Sussex Apts_Orange_60691" )</f>
        <v>MacArthur Dr_3000_Sussex Apts_Orange_60691</v>
      </c>
      <c r="L8299" s="104" t="s">
        <v>22253</v>
      </c>
      <c r="N8299" s="1">
        <f t="shared" si="638"/>
        <v>60691</v>
      </c>
    </row>
    <row r="8300" spans="1:14" x14ac:dyDescent="0.3">
      <c r="A8300" s="1">
        <v>30692</v>
      </c>
      <c r="B8300" s="16" t="s">
        <v>12327</v>
      </c>
      <c r="C8300" s="15">
        <v>4750</v>
      </c>
      <c r="D8300" s="16" t="s">
        <v>12328</v>
      </c>
      <c r="E8300" s="66" t="s">
        <v>12326</v>
      </c>
      <c r="F8300" t="str">
        <f t="shared" si="635"/>
        <v>Meeks</v>
      </c>
      <c r="G8300" t="str">
        <f t="shared" si="636"/>
        <v>Meeks4750Orange</v>
      </c>
      <c r="H8300" t="s">
        <v>39155</v>
      </c>
      <c r="I8300" t="s">
        <v>30559</v>
      </c>
      <c r="J8300" t="str">
        <f t="shared" si="637"/>
        <v>E:\PropInv\MF</v>
      </c>
      <c r="K8300" s="103" t="str">
        <f>HYPERLINK("E:\PropInv\MF\Orange\Meeks Rd_4750_International Village_Orange_60692","Meeks Rd_4750_International Village_Orange_60692" )</f>
        <v>Meeks Rd_4750_International Village_Orange_60692</v>
      </c>
      <c r="L8300" s="104" t="s">
        <v>22253</v>
      </c>
      <c r="N8300" s="1">
        <f t="shared" si="638"/>
        <v>60692</v>
      </c>
    </row>
    <row r="8301" spans="1:14" x14ac:dyDescent="0.3">
      <c r="A8301" s="1">
        <v>30693</v>
      </c>
      <c r="B8301" s="16" t="s">
        <v>12329</v>
      </c>
      <c r="C8301" s="15">
        <v>3819</v>
      </c>
      <c r="D8301" s="16" t="s">
        <v>12330</v>
      </c>
      <c r="E8301" s="66" t="s">
        <v>12326</v>
      </c>
      <c r="F8301" t="str">
        <f t="shared" si="635"/>
        <v>Meeks</v>
      </c>
      <c r="G8301" t="str">
        <f t="shared" si="636"/>
        <v>Meeks3819Orange</v>
      </c>
      <c r="H8301" t="s">
        <v>39156</v>
      </c>
      <c r="I8301" t="s">
        <v>30560</v>
      </c>
      <c r="J8301" t="str">
        <f t="shared" si="637"/>
        <v>E:\PropInv\MF</v>
      </c>
      <c r="K8301" s="103" t="str">
        <f>HYPERLINK("E:\PropInv\MF\Orange\Meeks N_3819_Chivas Square_Orange_60693","Meeks N_3819_Chivas Square_Orange_60693" )</f>
        <v>Meeks N_3819_Chivas Square_Orange_60693</v>
      </c>
      <c r="L8301" s="104" t="s">
        <v>22253</v>
      </c>
      <c r="N8301" s="1">
        <f t="shared" si="638"/>
        <v>60693</v>
      </c>
    </row>
    <row r="8302" spans="1:14" x14ac:dyDescent="0.3">
      <c r="A8302" s="1">
        <v>30694</v>
      </c>
      <c r="B8302" s="16" t="s">
        <v>12331</v>
      </c>
      <c r="C8302" s="15">
        <v>3333</v>
      </c>
      <c r="D8302" s="16" t="s">
        <v>12332</v>
      </c>
      <c r="E8302" s="17" t="s">
        <v>12326</v>
      </c>
      <c r="F8302" t="str">
        <f t="shared" si="635"/>
        <v>Ridgemont</v>
      </c>
      <c r="G8302" t="str">
        <f t="shared" si="636"/>
        <v>Ridgemont3333Orange</v>
      </c>
      <c r="H8302" t="s">
        <v>39157</v>
      </c>
      <c r="I8302" t="s">
        <v>30561</v>
      </c>
      <c r="J8302" t="str">
        <f t="shared" si="637"/>
        <v>E:\PropInv\MF</v>
      </c>
      <c r="K8302" s="103" t="str">
        <f>HYPERLINK("E:\PropInv\MF\Orange\Ridgemont Dr_3333_Autumn Park Apts_Orange_60694","Ridgemont Dr_3333_Autumn Park Apts_Orange_60694" )</f>
        <v>Ridgemont Dr_3333_Autumn Park Apts_Orange_60694</v>
      </c>
      <c r="L8302" s="104" t="s">
        <v>22253</v>
      </c>
      <c r="N8302" s="1">
        <f t="shared" si="638"/>
        <v>60694</v>
      </c>
    </row>
    <row r="8303" spans="1:14" x14ac:dyDescent="0.3">
      <c r="A8303" s="1">
        <v>30695</v>
      </c>
      <c r="B8303" s="16" t="s">
        <v>7</v>
      </c>
      <c r="C8303" s="15">
        <v>440</v>
      </c>
      <c r="D8303" s="16" t="s">
        <v>12333</v>
      </c>
      <c r="E8303" s="17" t="s">
        <v>12334</v>
      </c>
      <c r="F8303" t="str">
        <f t="shared" si="635"/>
        <v>Austin</v>
      </c>
      <c r="G8303" t="str">
        <f t="shared" si="636"/>
        <v>Austin440Port Arthur</v>
      </c>
      <c r="H8303" t="s">
        <v>39158</v>
      </c>
      <c r="I8303" t="s">
        <v>30562</v>
      </c>
      <c r="J8303" t="str">
        <f t="shared" si="637"/>
        <v>E:\PropInv\MF</v>
      </c>
      <c r="K8303" s="103" t="str">
        <f>HYPERLINK("E:\PropInv\MF\Port Arthur\Austin_440_Historic Landmark_Port Arthur_60695","Austin_440_Historic Landmark_Port Arthur_60695" )</f>
        <v>Austin_440_Historic Landmark_Port Arthur_60695</v>
      </c>
      <c r="L8303" s="104" t="s">
        <v>22253</v>
      </c>
      <c r="N8303" s="1">
        <f t="shared" si="638"/>
        <v>60695</v>
      </c>
    </row>
    <row r="8304" spans="1:14" x14ac:dyDescent="0.3">
      <c r="A8304" s="1">
        <v>30696</v>
      </c>
      <c r="B8304" s="16" t="s">
        <v>11395</v>
      </c>
      <c r="C8304" s="15">
        <v>1600</v>
      </c>
      <c r="D8304" s="16" t="s">
        <v>12335</v>
      </c>
      <c r="E8304" s="17" t="s">
        <v>12334</v>
      </c>
      <c r="F8304" t="str">
        <f t="shared" si="635"/>
        <v>Main</v>
      </c>
      <c r="G8304" t="str">
        <f t="shared" si="636"/>
        <v>Main1600Port Arthur</v>
      </c>
      <c r="H8304" t="s">
        <v>39159</v>
      </c>
      <c r="I8304" t="s">
        <v>30563</v>
      </c>
      <c r="J8304" t="str">
        <f t="shared" si="637"/>
        <v>E:\PropInv\MF</v>
      </c>
      <c r="K8304" s="103" t="str">
        <f>HYPERLINK("E:\PropInv\MF\Port Arthur\Main Ave_1600_Poole Avenue AH_Port Arthur_60696","Main Ave_1600_Poole Avenue AH_Port Arthur_60696" )</f>
        <v>Main Ave_1600_Poole Avenue AH_Port Arthur_60696</v>
      </c>
      <c r="L8304" s="104" t="s">
        <v>22253</v>
      </c>
      <c r="N8304" s="1">
        <f t="shared" si="638"/>
        <v>60696</v>
      </c>
    </row>
    <row r="8305" spans="1:14" x14ac:dyDescent="0.3">
      <c r="A8305" s="1">
        <v>30697</v>
      </c>
      <c r="B8305" s="10" t="s">
        <v>3199</v>
      </c>
      <c r="C8305" s="15">
        <v>3500</v>
      </c>
      <c r="D8305" s="16" t="s">
        <v>22282</v>
      </c>
      <c r="E8305" s="17" t="s">
        <v>12334</v>
      </c>
      <c r="F8305" t="str">
        <f t="shared" si="635"/>
        <v>Normandy</v>
      </c>
      <c r="G8305" t="str">
        <f t="shared" si="636"/>
        <v>Normandy3500Port Arthur</v>
      </c>
      <c r="H8305" t="s">
        <v>39160</v>
      </c>
      <c r="I8305" t="s">
        <v>30564</v>
      </c>
      <c r="J8305" t="str">
        <f t="shared" si="637"/>
        <v>E:\PropInv\MF</v>
      </c>
      <c r="K8305" s="103" t="str">
        <f>HYPERLINK("E:\PropInv\MF\Port Arthur\Normandy St_3500_Brittany Place Apts_Port Arthur_60697","Normandy St_3500_Brittany Place Apts_Port Arthur_60697" )</f>
        <v>Normandy St_3500_Brittany Place Apts_Port Arthur_60697</v>
      </c>
      <c r="L8305" s="104" t="s">
        <v>22253</v>
      </c>
      <c r="N8305" s="1">
        <f t="shared" si="638"/>
        <v>60697</v>
      </c>
    </row>
    <row r="8306" spans="1:14" x14ac:dyDescent="0.3">
      <c r="A8306" s="1">
        <v>30698</v>
      </c>
      <c r="B8306" s="16" t="s">
        <v>12336</v>
      </c>
      <c r="C8306" s="15">
        <v>1401</v>
      </c>
      <c r="D8306" s="16" t="s">
        <v>12337</v>
      </c>
      <c r="E8306" s="17" t="s">
        <v>12334</v>
      </c>
      <c r="F8306" t="str">
        <f t="shared" si="635"/>
        <v>Poole</v>
      </c>
      <c r="G8306" t="str">
        <f t="shared" si="636"/>
        <v>Poole1401Port Arthur</v>
      </c>
      <c r="H8306" t="s">
        <v>39161</v>
      </c>
      <c r="I8306" t="s">
        <v>30565</v>
      </c>
      <c r="J8306" t="str">
        <f t="shared" si="637"/>
        <v>E:\PropInv\MF</v>
      </c>
      <c r="K8306" s="103" t="str">
        <f>HYPERLINK("E:\PropInv\MF\Port Arthur\Poole Ave_1401_Poole Avenue Apts_Port Arthur_60698","Poole Ave_1401_Poole Avenue Apts_Port Arthur_60698" )</f>
        <v>Poole Ave_1401_Poole Avenue Apts_Port Arthur_60698</v>
      </c>
      <c r="L8306" s="104" t="s">
        <v>22253</v>
      </c>
      <c r="N8306" s="1">
        <f t="shared" si="638"/>
        <v>60698</v>
      </c>
    </row>
    <row r="8307" spans="1:14" x14ac:dyDescent="0.3">
      <c r="A8307" s="1">
        <v>30699</v>
      </c>
      <c r="B8307" s="16" t="s">
        <v>12338</v>
      </c>
      <c r="C8307" s="15">
        <v>877</v>
      </c>
      <c r="D8307" s="16" t="s">
        <v>1160</v>
      </c>
      <c r="E8307" s="17" t="s">
        <v>18428</v>
      </c>
      <c r="F8307" t="str">
        <f t="shared" si="635"/>
        <v>Ridgewood</v>
      </c>
      <c r="G8307" t="str">
        <f t="shared" si="636"/>
        <v>Ridgewood877Port Neches</v>
      </c>
      <c r="H8307" t="s">
        <v>39162</v>
      </c>
      <c r="I8307" t="s">
        <v>30566</v>
      </c>
      <c r="J8307" t="str">
        <f t="shared" si="637"/>
        <v>E:\PropInv\MF</v>
      </c>
      <c r="K8307" s="103" t="str">
        <f>HYPERLINK("E:\PropInv\MF\Port Neches\Ridgewood Dr_877_Las Brisas_Port Neches_60699","Ridgewood Dr_877_Las Brisas_Port Neches_60699" )</f>
        <v>Ridgewood Dr_877_Las Brisas_Port Neches_60699</v>
      </c>
      <c r="L8307" s="104" t="s">
        <v>22253</v>
      </c>
      <c r="N8307" s="1">
        <f t="shared" si="638"/>
        <v>60699</v>
      </c>
    </row>
    <row r="8308" spans="1:14" x14ac:dyDescent="0.3">
      <c r="A8308" s="1">
        <v>30700</v>
      </c>
      <c r="B8308" s="16" t="s">
        <v>9388</v>
      </c>
      <c r="C8308" s="15">
        <v>5817</v>
      </c>
      <c r="D8308" s="16" t="s">
        <v>4012</v>
      </c>
      <c r="E8308" s="17" t="s">
        <v>12339</v>
      </c>
      <c r="F8308" t="str">
        <f t="shared" si="635"/>
        <v>22nd</v>
      </c>
      <c r="G8308" t="str">
        <f t="shared" si="636"/>
        <v>22nd5817Lubbock</v>
      </c>
      <c r="H8308" t="s">
        <v>39163</v>
      </c>
      <c r="I8308" t="s">
        <v>30567</v>
      </c>
      <c r="J8308" t="str">
        <f t="shared" si="637"/>
        <v>E:\PropInv\MF</v>
      </c>
      <c r="K8308" s="103" t="str">
        <f>HYPERLINK("E:\PropInv\MF\Lubbock\22nd St_5817_Twin Oaks_Lubbock_60700","22nd St_5817_Twin Oaks_Lubbock_60700" )</f>
        <v>22nd St_5817_Twin Oaks_Lubbock_60700</v>
      </c>
      <c r="L8308" s="104" t="s">
        <v>22253</v>
      </c>
      <c r="N8308" s="1">
        <f t="shared" si="638"/>
        <v>60700</v>
      </c>
    </row>
    <row r="8309" spans="1:14" x14ac:dyDescent="0.3">
      <c r="A8309" s="1">
        <v>30701</v>
      </c>
      <c r="B8309" s="16" t="s">
        <v>12340</v>
      </c>
      <c r="C8309" s="15">
        <v>5802</v>
      </c>
      <c r="D8309" s="16" t="s">
        <v>12341</v>
      </c>
      <c r="E8309" s="17" t="s">
        <v>12339</v>
      </c>
      <c r="F8309" t="str">
        <f t="shared" si="635"/>
        <v>24th</v>
      </c>
      <c r="G8309" t="str">
        <f t="shared" si="636"/>
        <v>24th5802Lubbock</v>
      </c>
      <c r="H8309" t="s">
        <v>39164</v>
      </c>
      <c r="I8309" t="s">
        <v>30568</v>
      </c>
      <c r="J8309" t="str">
        <f t="shared" si="637"/>
        <v>E:\PropInv\MF</v>
      </c>
      <c r="K8309" s="103" t="str">
        <f>HYPERLINK("E:\PropInv\MF\Lubbock\24th St_5802_Chaparral Apts_Lubbock_60701","24th St_5802_Chaparral Apts_Lubbock_60701" )</f>
        <v>24th St_5802_Chaparral Apts_Lubbock_60701</v>
      </c>
      <c r="L8309" s="104" t="s">
        <v>22253</v>
      </c>
      <c r="N8309" s="1">
        <f t="shared" si="638"/>
        <v>60701</v>
      </c>
    </row>
    <row r="8310" spans="1:14" x14ac:dyDescent="0.3">
      <c r="A8310" s="1">
        <v>30702</v>
      </c>
      <c r="B8310" s="16" t="s">
        <v>12342</v>
      </c>
      <c r="C8310" s="15">
        <v>1617</v>
      </c>
      <c r="D8310" s="16" t="s">
        <v>22275</v>
      </c>
      <c r="E8310" s="17" t="s">
        <v>12339</v>
      </c>
      <c r="F8310" t="str">
        <f t="shared" si="635"/>
        <v>27th</v>
      </c>
      <c r="G8310" t="str">
        <f t="shared" si="636"/>
        <v>27th1617Lubbock</v>
      </c>
      <c r="H8310" t="s">
        <v>39165</v>
      </c>
      <c r="I8310" t="s">
        <v>30569</v>
      </c>
      <c r="J8310" t="str">
        <f t="shared" si="637"/>
        <v>E:\PropInv\MF</v>
      </c>
      <c r="K8310" s="103" t="str">
        <f>HYPERLINK("E:\PropInv\MF\Lubbock\27th St_1617_Park Tower Apts_Lubbock_60702","27th St_1617_Park Tower Apts_Lubbock_60702" )</f>
        <v>27th St_1617_Park Tower Apts_Lubbock_60702</v>
      </c>
      <c r="L8310" s="104" t="s">
        <v>22253</v>
      </c>
      <c r="N8310" s="1">
        <f t="shared" si="638"/>
        <v>60702</v>
      </c>
    </row>
    <row r="8311" spans="1:14" x14ac:dyDescent="0.3">
      <c r="A8311" s="1">
        <v>30703</v>
      </c>
      <c r="B8311" s="16" t="s">
        <v>12343</v>
      </c>
      <c r="C8311" s="15">
        <v>2102</v>
      </c>
      <c r="D8311" s="16" t="s">
        <v>12344</v>
      </c>
      <c r="E8311" s="17" t="s">
        <v>12339</v>
      </c>
      <c r="F8311" t="str">
        <f t="shared" si="635"/>
        <v>34th</v>
      </c>
      <c r="G8311" t="str">
        <f t="shared" si="636"/>
        <v>34th2102Lubbock</v>
      </c>
      <c r="H8311" t="s">
        <v>39166</v>
      </c>
      <c r="I8311" t="s">
        <v>30570</v>
      </c>
      <c r="J8311" t="str">
        <f t="shared" si="637"/>
        <v>E:\PropInv\MF</v>
      </c>
      <c r="K8311" s="103" t="str">
        <f>HYPERLINK("E:\PropInv\MF\Lubbock\34th St_2102_Wellington_Lubbock_60703","34th St_2102_Wellington_Lubbock_60703" )</f>
        <v>34th St_2102_Wellington_Lubbock_60703</v>
      </c>
      <c r="L8311" s="104" t="s">
        <v>22253</v>
      </c>
      <c r="N8311" s="1">
        <f t="shared" si="638"/>
        <v>60703</v>
      </c>
    </row>
    <row r="8312" spans="1:14" x14ac:dyDescent="0.3">
      <c r="A8312" s="1">
        <v>30704</v>
      </c>
      <c r="B8312" s="44" t="s">
        <v>12345</v>
      </c>
      <c r="C8312" s="32">
        <v>2717</v>
      </c>
      <c r="D8312" s="31" t="s">
        <v>12346</v>
      </c>
      <c r="E8312" s="33" t="s">
        <v>12339</v>
      </c>
      <c r="F8312" t="str">
        <f t="shared" si="635"/>
        <v>3rd</v>
      </c>
      <c r="G8312" t="str">
        <f t="shared" si="636"/>
        <v>3rd2717Lubbock</v>
      </c>
      <c r="H8312" t="s">
        <v>39167</v>
      </c>
      <c r="I8312" t="s">
        <v>30571</v>
      </c>
      <c r="J8312" t="str">
        <f t="shared" si="637"/>
        <v>E:\PropInv\MF</v>
      </c>
      <c r="K8312" s="103" t="str">
        <f>HYPERLINK("E:\PropInv\MF\Lubbock\3rd St_2717_Sierra Crossing_Lubbock_60704","3rd St_2717_Sierra Crossing_Lubbock_60704" )</f>
        <v>3rd St_2717_Sierra Crossing_Lubbock_60704</v>
      </c>
      <c r="L8312" s="104" t="s">
        <v>22253</v>
      </c>
      <c r="N8312" s="1">
        <f t="shared" si="638"/>
        <v>60704</v>
      </c>
    </row>
    <row r="8313" spans="1:14" x14ac:dyDescent="0.3">
      <c r="A8313" s="1">
        <v>30705</v>
      </c>
      <c r="B8313" s="16" t="s">
        <v>12347</v>
      </c>
      <c r="C8313" s="15">
        <v>2701</v>
      </c>
      <c r="D8313" s="16" t="s">
        <v>22276</v>
      </c>
      <c r="E8313" s="17" t="s">
        <v>12339</v>
      </c>
      <c r="F8313" t="str">
        <f t="shared" si="635"/>
        <v>44th</v>
      </c>
      <c r="G8313" t="str">
        <f t="shared" si="636"/>
        <v>44th2701Lubbock</v>
      </c>
      <c r="H8313" t="s">
        <v>39168</v>
      </c>
      <c r="I8313" t="s">
        <v>30572</v>
      </c>
      <c r="J8313" t="str">
        <f t="shared" si="637"/>
        <v>E:\PropInv\MF</v>
      </c>
      <c r="K8313" s="103" t="str">
        <f>HYPERLINK("E:\PropInv\MF\Lubbock\44th St_2701_Gatewood Apts_Lubbock_60705","44th St_2701_Gatewood Apts_Lubbock_60705" )</f>
        <v>44th St_2701_Gatewood Apts_Lubbock_60705</v>
      </c>
      <c r="L8313" s="104" t="s">
        <v>22253</v>
      </c>
      <c r="N8313" s="1">
        <f t="shared" si="638"/>
        <v>60705</v>
      </c>
    </row>
    <row r="8314" spans="1:14" x14ac:dyDescent="0.3">
      <c r="A8314" s="1">
        <v>30706</v>
      </c>
      <c r="B8314" s="16" t="s">
        <v>12347</v>
      </c>
      <c r="C8314" s="15">
        <v>2400</v>
      </c>
      <c r="D8314" s="16" t="s">
        <v>12348</v>
      </c>
      <c r="E8314" s="17" t="s">
        <v>12339</v>
      </c>
      <c r="F8314" t="str">
        <f t="shared" si="635"/>
        <v>44th</v>
      </c>
      <c r="G8314" t="str">
        <f t="shared" si="636"/>
        <v>44th2400Lubbock</v>
      </c>
      <c r="H8314" t="s">
        <v>39169</v>
      </c>
      <c r="I8314" t="s">
        <v>30573</v>
      </c>
      <c r="J8314" t="str">
        <f t="shared" si="637"/>
        <v>E:\PropInv\MF</v>
      </c>
      <c r="K8314" s="103" t="str">
        <f>HYPERLINK("E:\PropInv\MF\Lubbock\44th St_2400_Magnolia Court Apts_Lubbock_60706","44th St_2400_Magnolia Court Apts_Lubbock_60706" )</f>
        <v>44th St_2400_Magnolia Court Apts_Lubbock_60706</v>
      </c>
      <c r="L8314" s="104" t="s">
        <v>22253</v>
      </c>
      <c r="N8314" s="1">
        <f t="shared" si="638"/>
        <v>60706</v>
      </c>
    </row>
    <row r="8315" spans="1:14" x14ac:dyDescent="0.3">
      <c r="A8315" s="1">
        <v>30707</v>
      </c>
      <c r="B8315" s="16" t="s">
        <v>12349</v>
      </c>
      <c r="C8315" s="15">
        <v>2401</v>
      </c>
      <c r="D8315" s="16" t="s">
        <v>7414</v>
      </c>
      <c r="E8315" s="17" t="s">
        <v>12339</v>
      </c>
      <c r="F8315" t="str">
        <f t="shared" si="635"/>
        <v>45th</v>
      </c>
      <c r="G8315" t="str">
        <f t="shared" si="636"/>
        <v>45th2401Lubbock</v>
      </c>
      <c r="H8315" t="s">
        <v>39170</v>
      </c>
      <c r="I8315" t="s">
        <v>30574</v>
      </c>
      <c r="J8315" t="str">
        <f t="shared" si="637"/>
        <v>E:\PropInv\MF</v>
      </c>
      <c r="K8315" s="103" t="str">
        <f>HYPERLINK("E:\PropInv\MF\Lubbock\45th St_2401_Park Terrace_Lubbock_60707","45th St_2401_Park Terrace_Lubbock_60707" )</f>
        <v>45th St_2401_Park Terrace_Lubbock_60707</v>
      </c>
      <c r="L8315" s="104" t="s">
        <v>22253</v>
      </c>
      <c r="N8315" s="1">
        <f t="shared" si="638"/>
        <v>60707</v>
      </c>
    </row>
    <row r="8316" spans="1:14" x14ac:dyDescent="0.3">
      <c r="A8316" s="1">
        <v>30708</v>
      </c>
      <c r="B8316" s="16" t="s">
        <v>12350</v>
      </c>
      <c r="C8316" s="15">
        <v>5710</v>
      </c>
      <c r="D8316" s="16" t="s">
        <v>12351</v>
      </c>
      <c r="E8316" s="33" t="s">
        <v>12339</v>
      </c>
      <c r="F8316" t="str">
        <f t="shared" ref="F8316:F8379" si="639">IFERROR(LEFT(B8316,FIND(" ",B8316)-1),B8316)</f>
        <v>4th</v>
      </c>
      <c r="G8316" t="str">
        <f t="shared" ref="G8316:G8379" si="640">F8316&amp;C8316&amp;E8316</f>
        <v>4th5710Lubbock</v>
      </c>
      <c r="H8316" t="s">
        <v>39171</v>
      </c>
      <c r="I8316" t="s">
        <v>30575</v>
      </c>
      <c r="J8316" t="str">
        <f t="shared" ref="J8316:J8379" si="641">IF(L8316="TX",Folder_Path,Folder_Path&amp;"\State_"&amp;L8316)</f>
        <v>E:\PropInv\MF</v>
      </c>
      <c r="K8316" s="103" t="str">
        <f>HYPERLINK("E:\PropInv\MF\Lubbock\4th St_5710_Meridian Park Apts_Lubbock_60708","4th St_5710_Meridian Park Apts_Lubbock_60708" )</f>
        <v>4th St_5710_Meridian Park Apts_Lubbock_60708</v>
      </c>
      <c r="L8316" s="104" t="s">
        <v>22253</v>
      </c>
      <c r="N8316" s="1">
        <f t="shared" si="638"/>
        <v>60708</v>
      </c>
    </row>
    <row r="8317" spans="1:14" x14ac:dyDescent="0.3">
      <c r="A8317" s="1">
        <v>30709</v>
      </c>
      <c r="B8317" s="68" t="s">
        <v>12350</v>
      </c>
      <c r="C8317" s="69">
        <v>5525</v>
      </c>
      <c r="D8317" s="68" t="s">
        <v>12352</v>
      </c>
      <c r="E8317" s="70" t="s">
        <v>12353</v>
      </c>
      <c r="F8317" t="str">
        <f t="shared" si="639"/>
        <v>4th</v>
      </c>
      <c r="G8317" t="str">
        <f t="shared" si="640"/>
        <v>4th5525lubbock</v>
      </c>
      <c r="H8317" t="s">
        <v>39172</v>
      </c>
      <c r="I8317" t="s">
        <v>30576</v>
      </c>
      <c r="J8317" t="str">
        <f t="shared" si="641"/>
        <v>E:\PropInv\MF</v>
      </c>
      <c r="K8317" s="103" t="str">
        <f>HYPERLINK("E:\PropInv\MF\lubbock\4th St_5525_Pine Grove Villas_lubbock_60709","4th St_5525_Pine Grove Villas_lubbock_60709" )</f>
        <v>4th St_5525_Pine Grove Villas_lubbock_60709</v>
      </c>
      <c r="L8317" s="104" t="s">
        <v>22253</v>
      </c>
      <c r="N8317" s="1">
        <f t="shared" si="638"/>
        <v>60709</v>
      </c>
    </row>
    <row r="8318" spans="1:14" x14ac:dyDescent="0.3">
      <c r="A8318" s="1">
        <v>30710</v>
      </c>
      <c r="B8318" s="16" t="s">
        <v>12354</v>
      </c>
      <c r="C8318" s="15">
        <v>4602</v>
      </c>
      <c r="D8318" s="16" t="s">
        <v>12355</v>
      </c>
      <c r="E8318" s="17" t="s">
        <v>12339</v>
      </c>
      <c r="F8318" t="str">
        <f t="shared" si="639"/>
        <v>50th</v>
      </c>
      <c r="G8318" t="str">
        <f t="shared" si="640"/>
        <v>50th4602Lubbock</v>
      </c>
      <c r="H8318" t="s">
        <v>39173</v>
      </c>
      <c r="I8318" t="s">
        <v>30577</v>
      </c>
      <c r="J8318" t="str">
        <f t="shared" si="641"/>
        <v>E:\PropInv\MF</v>
      </c>
      <c r="K8318" s="103" t="str">
        <f>HYPERLINK("E:\PropInv\MF\Lubbock\50th St_4602_Lubbock Square Apts_Lubbock_60710","50th St_4602_Lubbock Square Apts_Lubbock_60710" )</f>
        <v>50th St_4602_Lubbock Square Apts_Lubbock_60710</v>
      </c>
      <c r="L8318" s="104" t="s">
        <v>22253</v>
      </c>
      <c r="N8318" s="1">
        <f t="shared" si="638"/>
        <v>60710</v>
      </c>
    </row>
    <row r="8319" spans="1:14" x14ac:dyDescent="0.3">
      <c r="A8319" s="1">
        <v>30711</v>
      </c>
      <c r="B8319" s="16" t="s">
        <v>12354</v>
      </c>
      <c r="C8319" s="15">
        <v>3508</v>
      </c>
      <c r="D8319" s="16" t="s">
        <v>4958</v>
      </c>
      <c r="E8319" s="17" t="s">
        <v>12339</v>
      </c>
      <c r="F8319" t="str">
        <f t="shared" si="639"/>
        <v>50th</v>
      </c>
      <c r="G8319" t="str">
        <f t="shared" si="640"/>
        <v>50th3508Lubbock</v>
      </c>
      <c r="H8319" t="s">
        <v>39174</v>
      </c>
      <c r="I8319" t="s">
        <v>30578</v>
      </c>
      <c r="J8319" t="str">
        <f t="shared" si="641"/>
        <v>E:\PropInv\MF</v>
      </c>
      <c r="K8319" s="103" t="str">
        <f>HYPERLINK("E:\PropInv\MF\Lubbock\50th St_3508_Town Plaza_Lubbock_60711","50th St_3508_Town Plaza_Lubbock_60711" )</f>
        <v>50th St_3508_Town Plaza_Lubbock_60711</v>
      </c>
      <c r="L8319" s="104" t="s">
        <v>22253</v>
      </c>
      <c r="N8319" s="1">
        <f t="shared" si="638"/>
        <v>60711</v>
      </c>
    </row>
    <row r="8320" spans="1:14" x14ac:dyDescent="0.3">
      <c r="A8320" s="1">
        <v>30712</v>
      </c>
      <c r="B8320" s="16" t="s">
        <v>12356</v>
      </c>
      <c r="C8320" s="15">
        <v>5720</v>
      </c>
      <c r="D8320" s="16" t="s">
        <v>12357</v>
      </c>
      <c r="E8320" s="17" t="s">
        <v>12339</v>
      </c>
      <c r="F8320" t="str">
        <f t="shared" si="639"/>
        <v>66th</v>
      </c>
      <c r="G8320" t="str">
        <f t="shared" si="640"/>
        <v>66th5720Lubbock</v>
      </c>
      <c r="H8320" t="s">
        <v>39175</v>
      </c>
      <c r="I8320" t="s">
        <v>30579</v>
      </c>
      <c r="J8320" t="str">
        <f t="shared" si="641"/>
        <v>E:\PropInv\MF</v>
      </c>
      <c r="K8320" s="103" t="str">
        <f>HYPERLINK("E:\PropInv\MF\Lubbock\66th St_5720_Farrar West Apts_Lubbock_60712","66th St_5720_Farrar West Apts_Lubbock_60712" )</f>
        <v>66th St_5720_Farrar West Apts_Lubbock_60712</v>
      </c>
      <c r="L8320" s="104" t="s">
        <v>22253</v>
      </c>
      <c r="N8320" s="1">
        <f t="shared" si="638"/>
        <v>60712</v>
      </c>
    </row>
    <row r="8321" spans="1:14" x14ac:dyDescent="0.3">
      <c r="A8321" s="97">
        <v>30713</v>
      </c>
      <c r="B8321" s="16" t="s">
        <v>12356</v>
      </c>
      <c r="C8321" s="15">
        <v>5402</v>
      </c>
      <c r="D8321" s="16" t="s">
        <v>8139</v>
      </c>
      <c r="E8321" s="17" t="s">
        <v>12339</v>
      </c>
      <c r="F8321" t="str">
        <f t="shared" si="639"/>
        <v>66th</v>
      </c>
      <c r="G8321" t="str">
        <f t="shared" si="640"/>
        <v>66th5402Lubbock</v>
      </c>
      <c r="H8321" t="s">
        <v>39176</v>
      </c>
      <c r="I8321" t="s">
        <v>30580</v>
      </c>
      <c r="J8321" t="str">
        <f t="shared" si="641"/>
        <v>E:\PropInv\MF</v>
      </c>
      <c r="K8321" s="103" t="str">
        <f>HYPERLINK("E:\PropInv\MF\Lubbock\66th St_5402_Woodcrest_Lubbock_60713","66th St_5402_Woodcrest_Lubbock_60713" )</f>
        <v>66th St_5402_Woodcrest_Lubbock_60713</v>
      </c>
      <c r="L8321" s="104" t="s">
        <v>22253</v>
      </c>
      <c r="N8321" s="1">
        <f t="shared" si="638"/>
        <v>60713</v>
      </c>
    </row>
    <row r="8322" spans="1:14" x14ac:dyDescent="0.3">
      <c r="A8322" s="1">
        <v>30714</v>
      </c>
      <c r="B8322" s="16" t="s">
        <v>12358</v>
      </c>
      <c r="C8322" s="15">
        <v>2310</v>
      </c>
      <c r="D8322" s="16" t="s">
        <v>12087</v>
      </c>
      <c r="E8322" s="17" t="s">
        <v>12339</v>
      </c>
      <c r="F8322" t="str">
        <f t="shared" si="639"/>
        <v>70th</v>
      </c>
      <c r="G8322" t="str">
        <f t="shared" si="640"/>
        <v>70th2310Lubbock</v>
      </c>
      <c r="H8322" t="s">
        <v>39177</v>
      </c>
      <c r="I8322" t="s">
        <v>30581</v>
      </c>
      <c r="J8322" t="str">
        <f t="shared" si="641"/>
        <v>E:\PropInv\MF</v>
      </c>
      <c r="K8322" s="103" t="str">
        <f>HYPERLINK("E:\PropInv\MF\Lubbock\70th St_2310_Texas Apt Complex_Lubbock_60714","70th St_2310_Texas Apt Complex_Lubbock_60714" )</f>
        <v>70th St_2310_Texas Apt Complex_Lubbock_60714</v>
      </c>
      <c r="L8322" s="104" t="s">
        <v>22253</v>
      </c>
      <c r="N8322" s="1">
        <f t="shared" ref="N8322:N8378" si="642">IF(LEN(A8322)=1,"0000"&amp;A8322,IF(LEN(A8322)=2,"000"&amp;A8322,IF(LEN(A8322)=3,"00"&amp;A8322,IF(LEN(A8322)=4,"0"&amp;A8322,IF(LEN(A8322)=5,IF(LEFT(A8322,1)="3",A8322+30000,A8322))))))</f>
        <v>60714</v>
      </c>
    </row>
    <row r="8323" spans="1:14" x14ac:dyDescent="0.3">
      <c r="A8323" s="1">
        <v>30715</v>
      </c>
      <c r="B8323" s="10" t="s">
        <v>11088</v>
      </c>
      <c r="C8323" s="15">
        <v>4501</v>
      </c>
      <c r="D8323" s="16" t="s">
        <v>12359</v>
      </c>
      <c r="E8323" s="17" t="s">
        <v>12339</v>
      </c>
      <c r="F8323" t="str">
        <f t="shared" si="639"/>
        <v>71st</v>
      </c>
      <c r="G8323" t="str">
        <f t="shared" si="640"/>
        <v>71st4501Lubbock</v>
      </c>
      <c r="H8323" t="s">
        <v>39178</v>
      </c>
      <c r="I8323" t="s">
        <v>30582</v>
      </c>
      <c r="J8323" t="str">
        <f t="shared" si="641"/>
        <v>E:\PropInv\MF</v>
      </c>
      <c r="K8323" s="103" t="str">
        <f>HYPERLINK("E:\PropInv\MF\Lubbock\71st St_4501_The Wyndham_Lubbock_60715","71st St_4501_The Wyndham_Lubbock_60715" )</f>
        <v>71st St_4501_The Wyndham_Lubbock_60715</v>
      </c>
      <c r="L8323" s="104" t="s">
        <v>22253</v>
      </c>
      <c r="N8323" s="1">
        <f t="shared" si="642"/>
        <v>60715</v>
      </c>
    </row>
    <row r="8324" spans="1:14" x14ac:dyDescent="0.3">
      <c r="A8324" s="1">
        <v>30716</v>
      </c>
      <c r="B8324" s="16" t="s">
        <v>12360</v>
      </c>
      <c r="C8324" s="15">
        <v>6703</v>
      </c>
      <c r="D8324" s="16" t="s">
        <v>12361</v>
      </c>
      <c r="E8324" s="17" t="s">
        <v>12339</v>
      </c>
      <c r="F8324" t="str">
        <f t="shared" si="639"/>
        <v>82nd</v>
      </c>
      <c r="G8324" t="str">
        <f t="shared" si="640"/>
        <v>82nd6703Lubbock</v>
      </c>
      <c r="H8324" t="s">
        <v>39179</v>
      </c>
      <c r="I8324" t="s">
        <v>30583</v>
      </c>
      <c r="J8324" t="str">
        <f t="shared" si="641"/>
        <v>E:\PropInv\MF</v>
      </c>
      <c r="K8324" s="103" t="str">
        <f>HYPERLINK("E:\PropInv\MF\Lubbock\82nd St_6703_Dakota Arms_Lubbock_60716","82nd St_6703_Dakota Arms_Lubbock_60716" )</f>
        <v>82nd St_6703_Dakota Arms_Lubbock_60716</v>
      </c>
      <c r="L8324" s="104" t="s">
        <v>22253</v>
      </c>
      <c r="N8324" s="1">
        <f t="shared" si="642"/>
        <v>60716</v>
      </c>
    </row>
    <row r="8325" spans="1:14" x14ac:dyDescent="0.3">
      <c r="A8325" s="1">
        <v>30717</v>
      </c>
      <c r="B8325" s="16" t="s">
        <v>12360</v>
      </c>
      <c r="C8325" s="15">
        <v>4421</v>
      </c>
      <c r="D8325" s="16" t="s">
        <v>12362</v>
      </c>
      <c r="E8325" s="33" t="s">
        <v>12339</v>
      </c>
      <c r="F8325" t="str">
        <f t="shared" si="639"/>
        <v>82nd</v>
      </c>
      <c r="G8325" t="str">
        <f t="shared" si="640"/>
        <v>82nd4421Lubbock</v>
      </c>
      <c r="H8325" t="s">
        <v>39180</v>
      </c>
      <c r="I8325" t="s">
        <v>30584</v>
      </c>
      <c r="J8325" t="str">
        <f t="shared" si="641"/>
        <v>E:\PropInv\MF</v>
      </c>
      <c r="K8325" s="103" t="str">
        <f>HYPERLINK("E:\PropInv\MF\Lubbock\82nd St_4421_Willow Hill_Lubbock_60717","82nd St_4421_Willow Hill_Lubbock_60717" )</f>
        <v>82nd St_4421_Willow Hill_Lubbock_60717</v>
      </c>
      <c r="L8325" s="104" t="s">
        <v>22253</v>
      </c>
      <c r="N8325" s="1">
        <f t="shared" si="642"/>
        <v>60717</v>
      </c>
    </row>
    <row r="8326" spans="1:14" x14ac:dyDescent="0.3">
      <c r="A8326" s="1">
        <v>30718</v>
      </c>
      <c r="B8326" s="44" t="s">
        <v>12363</v>
      </c>
      <c r="C8326" s="32">
        <v>5310</v>
      </c>
      <c r="D8326" s="16" t="s">
        <v>2497</v>
      </c>
      <c r="E8326" s="33" t="s">
        <v>12339</v>
      </c>
      <c r="F8326" t="str">
        <f t="shared" si="639"/>
        <v>Aberdeen</v>
      </c>
      <c r="G8326" t="str">
        <f t="shared" si="640"/>
        <v>Aberdeen5310Lubbock</v>
      </c>
      <c r="H8326" t="s">
        <v>39181</v>
      </c>
      <c r="I8326" t="s">
        <v>30585</v>
      </c>
      <c r="J8326" t="str">
        <f t="shared" si="641"/>
        <v>E:\PropInv\MF</v>
      </c>
      <c r="K8326" s="103" t="str">
        <f>HYPERLINK("E:\PropInv\MF\Lubbock\Aberdeen Ave_5310_NF_Lubbock_60718","Aberdeen Ave_5310_NF_Lubbock_60718" )</f>
        <v>Aberdeen Ave_5310_NF_Lubbock_60718</v>
      </c>
      <c r="L8326" s="104" t="s">
        <v>22253</v>
      </c>
      <c r="N8326" s="1">
        <f t="shared" si="642"/>
        <v>60718</v>
      </c>
    </row>
    <row r="8327" spans="1:14" x14ac:dyDescent="0.3">
      <c r="A8327" s="1">
        <v>30719</v>
      </c>
      <c r="B8327" s="16" t="s">
        <v>12364</v>
      </c>
      <c r="C8327" s="15">
        <v>6402</v>
      </c>
      <c r="D8327" s="16" t="s">
        <v>12365</v>
      </c>
      <c r="E8327" s="33" t="s">
        <v>12339</v>
      </c>
      <c r="F8327" t="str">
        <f t="shared" si="639"/>
        <v>Albany</v>
      </c>
      <c r="G8327" t="str">
        <f t="shared" si="640"/>
        <v>Albany6402Lubbock</v>
      </c>
      <c r="H8327" t="s">
        <v>39182</v>
      </c>
      <c r="I8327" t="s">
        <v>30586</v>
      </c>
      <c r="J8327" t="str">
        <f t="shared" si="641"/>
        <v>E:\PropInv\MF</v>
      </c>
      <c r="K8327" s="103" t="str">
        <f>HYPERLINK("E:\PropInv\MF\Lubbock\Albany Ave_6402_Metropolitan Apts_Lubbock_60719","Albany Ave_6402_Metropolitan Apts_Lubbock_60719" )</f>
        <v>Albany Ave_6402_Metropolitan Apts_Lubbock_60719</v>
      </c>
      <c r="L8327" s="104" t="s">
        <v>22253</v>
      </c>
      <c r="N8327" s="1">
        <f t="shared" si="642"/>
        <v>60719</v>
      </c>
    </row>
    <row r="8328" spans="1:14" x14ac:dyDescent="0.3">
      <c r="A8328" s="1">
        <v>30720</v>
      </c>
      <c r="B8328" s="16" t="s">
        <v>11701</v>
      </c>
      <c r="C8328" s="15">
        <v>8217</v>
      </c>
      <c r="D8328" s="16" t="s">
        <v>12366</v>
      </c>
      <c r="E8328" s="17" t="s">
        <v>12339</v>
      </c>
      <c r="F8328" t="str">
        <f t="shared" si="639"/>
        <v>Ave</v>
      </c>
      <c r="G8328" t="str">
        <f t="shared" si="640"/>
        <v>Ave8217Lubbock</v>
      </c>
      <c r="H8328" t="s">
        <v>39183</v>
      </c>
      <c r="I8328" t="s">
        <v>30587</v>
      </c>
      <c r="J8328" t="str">
        <f t="shared" si="641"/>
        <v>E:\PropInv\MF</v>
      </c>
      <c r="K8328" s="103" t="str">
        <f>HYPERLINK("E:\PropInv\MF\Lubbock\Ave U_8217_Preserve at Prairie Point_Lubbock_60720","Ave U_8217_Preserve at Prairie Point_Lubbock_60720" )</f>
        <v>Ave U_8217_Preserve at Prairie Point_Lubbock_60720</v>
      </c>
      <c r="L8328" s="104" t="s">
        <v>22253</v>
      </c>
      <c r="N8328" s="1">
        <f t="shared" si="642"/>
        <v>60720</v>
      </c>
    </row>
    <row r="8329" spans="1:14" x14ac:dyDescent="0.3">
      <c r="A8329" s="1">
        <v>30721</v>
      </c>
      <c r="B8329" s="16" t="s">
        <v>12367</v>
      </c>
      <c r="C8329" s="15">
        <v>602</v>
      </c>
      <c r="D8329" s="16" t="s">
        <v>12368</v>
      </c>
      <c r="E8329" s="17" t="s">
        <v>12339</v>
      </c>
      <c r="F8329" t="str">
        <f t="shared" si="639"/>
        <v>Belmont</v>
      </c>
      <c r="G8329" t="str">
        <f t="shared" si="640"/>
        <v>Belmont602Lubbock</v>
      </c>
      <c r="H8329" t="s">
        <v>39184</v>
      </c>
      <c r="I8329" t="s">
        <v>30588</v>
      </c>
      <c r="J8329" t="str">
        <f t="shared" si="641"/>
        <v>E:\PropInv\MF</v>
      </c>
      <c r="K8329" s="103" t="str">
        <f>HYPERLINK("E:\PropInv\MF\Lubbock\Belmont Ave N_602_Lynnwood TH_Lubbock_60721","Belmont Ave N_602_Lynnwood TH_Lubbock_60721" )</f>
        <v>Belmont Ave N_602_Lynnwood TH_Lubbock_60721</v>
      </c>
      <c r="L8329" s="104" t="s">
        <v>22253</v>
      </c>
      <c r="N8329" s="1">
        <f t="shared" si="642"/>
        <v>60721</v>
      </c>
    </row>
    <row r="8330" spans="1:14" x14ac:dyDescent="0.3">
      <c r="A8330" s="1">
        <v>30722</v>
      </c>
      <c r="B8330" s="16" t="s">
        <v>12369</v>
      </c>
      <c r="C8330" s="15">
        <v>1017</v>
      </c>
      <c r="D8330" s="16" t="s">
        <v>12370</v>
      </c>
      <c r="E8330" s="17" t="s">
        <v>12339</v>
      </c>
      <c r="F8330" t="str">
        <f t="shared" si="639"/>
        <v>28th</v>
      </c>
      <c r="G8330" t="str">
        <f t="shared" si="640"/>
        <v>28th1017Lubbock</v>
      </c>
      <c r="H8330" t="s">
        <v>39185</v>
      </c>
      <c r="I8330" t="s">
        <v>30589</v>
      </c>
      <c r="J8330" t="str">
        <f t="shared" si="641"/>
        <v>E:\PropInv\MF</v>
      </c>
      <c r="K8330" s="103" t="str">
        <f>HYPERLINK("E:\PropInv\MF\Lubbock\28th St E_1017_Ranch Oak Apts (North &amp; South)_Lubbock_60722","28th St E_1017_Ranch Oak Apts (North &amp; South)_Lubbock_60722" )</f>
        <v>28th St E_1017_Ranch Oak Apts (North &amp; South)_Lubbock_60722</v>
      </c>
      <c r="L8330" s="104" t="s">
        <v>22253</v>
      </c>
      <c r="N8330" s="1">
        <f t="shared" si="642"/>
        <v>60722</v>
      </c>
    </row>
    <row r="8331" spans="1:14" x14ac:dyDescent="0.3">
      <c r="A8331" s="1">
        <v>30723</v>
      </c>
      <c r="B8331" s="16" t="s">
        <v>12371</v>
      </c>
      <c r="C8331" s="15">
        <v>2400</v>
      </c>
      <c r="D8331" s="16" t="s">
        <v>12372</v>
      </c>
      <c r="E8331" s="17" t="s">
        <v>12339</v>
      </c>
      <c r="F8331" t="str">
        <f t="shared" si="639"/>
        <v>Glenna</v>
      </c>
      <c r="G8331" t="str">
        <f t="shared" si="640"/>
        <v>Glenna2400Lubbock</v>
      </c>
      <c r="H8331" t="s">
        <v>39186</v>
      </c>
      <c r="I8331" t="s">
        <v>30590</v>
      </c>
      <c r="J8331" t="str">
        <f t="shared" si="641"/>
        <v>E:\PropInv\MF</v>
      </c>
      <c r="K8331" s="103" t="str">
        <f>HYPERLINK("E:\PropInv\MF\Lubbock\Glenna Goodacre Blvd_2400_The Centre_Lubbock_60723","Glenna Goodacre Blvd_2400_The Centre_Lubbock_60723" )</f>
        <v>Glenna Goodacre Blvd_2400_The Centre_Lubbock_60723</v>
      </c>
      <c r="L8331" s="104" t="s">
        <v>22253</v>
      </c>
      <c r="N8331" s="1">
        <f t="shared" si="642"/>
        <v>60723</v>
      </c>
    </row>
    <row r="8332" spans="1:14" x14ac:dyDescent="0.3">
      <c r="A8332" s="1">
        <v>30724</v>
      </c>
      <c r="B8332" s="16" t="s">
        <v>12371</v>
      </c>
      <c r="C8332" s="15">
        <v>2300</v>
      </c>
      <c r="D8332" s="16" t="s">
        <v>12373</v>
      </c>
      <c r="E8332" s="17" t="s">
        <v>12339</v>
      </c>
      <c r="F8332" t="str">
        <f t="shared" si="639"/>
        <v>Glenna</v>
      </c>
      <c r="G8332" t="str">
        <f t="shared" si="640"/>
        <v>Glenna2300Lubbock</v>
      </c>
      <c r="H8332" t="s">
        <v>39187</v>
      </c>
      <c r="I8332" t="s">
        <v>30591</v>
      </c>
      <c r="J8332" t="str">
        <f t="shared" si="641"/>
        <v>E:\PropInv\MF</v>
      </c>
      <c r="K8332" s="103" t="str">
        <f>HYPERLINK("E:\PropInv\MF\Lubbock\Glenna Goodacre Blvd_2300_The Suites_Lubbock_60724","Glenna Goodacre Blvd_2300_The Suites_Lubbock_60724" )</f>
        <v>Glenna Goodacre Blvd_2300_The Suites_Lubbock_60724</v>
      </c>
      <c r="L8332" s="104" t="s">
        <v>22253</v>
      </c>
      <c r="N8332" s="1">
        <f t="shared" si="642"/>
        <v>60724</v>
      </c>
    </row>
    <row r="8333" spans="1:14" x14ac:dyDescent="0.3">
      <c r="A8333" s="1">
        <v>30725</v>
      </c>
      <c r="B8333" s="16" t="s">
        <v>12374</v>
      </c>
      <c r="C8333" s="15">
        <v>223</v>
      </c>
      <c r="D8333" s="16" t="s">
        <v>764</v>
      </c>
      <c r="E8333" s="33" t="s">
        <v>12339</v>
      </c>
      <c r="F8333" t="str">
        <f t="shared" si="639"/>
        <v>Indiana</v>
      </c>
      <c r="G8333" t="str">
        <f t="shared" si="640"/>
        <v>Indiana223Lubbock</v>
      </c>
      <c r="H8333" t="s">
        <v>39188</v>
      </c>
      <c r="I8333" t="s">
        <v>30592</v>
      </c>
      <c r="J8333" t="str">
        <f t="shared" si="641"/>
        <v>E:\PropInv\MF</v>
      </c>
      <c r="K8333" s="103" t="str">
        <f>HYPERLINK("E:\PropInv\MF\Lubbock\Indiana_223_The Edge_Lubbock_60725","Indiana_223_The Edge_Lubbock_60725" )</f>
        <v>Indiana_223_The Edge_Lubbock_60725</v>
      </c>
      <c r="L8333" s="104" t="s">
        <v>22253</v>
      </c>
      <c r="N8333" s="1">
        <f t="shared" si="642"/>
        <v>60725</v>
      </c>
    </row>
    <row r="8334" spans="1:14" x14ac:dyDescent="0.3">
      <c r="A8334" s="1">
        <v>30726</v>
      </c>
      <c r="B8334" s="16" t="s">
        <v>12375</v>
      </c>
      <c r="C8334" s="15">
        <v>201</v>
      </c>
      <c r="D8334" s="16" t="s">
        <v>12376</v>
      </c>
      <c r="E8334" s="17" t="s">
        <v>12339</v>
      </c>
      <c r="F8334" t="str">
        <f t="shared" si="639"/>
        <v>Indiana</v>
      </c>
      <c r="G8334" t="str">
        <f t="shared" si="640"/>
        <v>Indiana201Lubbock</v>
      </c>
      <c r="H8334" t="s">
        <v>39189</v>
      </c>
      <c r="I8334" t="s">
        <v>30593</v>
      </c>
      <c r="J8334" t="str">
        <f t="shared" si="641"/>
        <v>E:\PropInv\MF</v>
      </c>
      <c r="K8334" s="103" t="str">
        <f>HYPERLINK("E:\PropInv\MF\Lubbock\Indiana Ave_201_College Pointe Apts_Lubbock_60726","Indiana Ave_201_College Pointe Apts_Lubbock_60726" )</f>
        <v>Indiana Ave_201_College Pointe Apts_Lubbock_60726</v>
      </c>
      <c r="L8334" s="104" t="s">
        <v>22253</v>
      </c>
      <c r="N8334" s="1">
        <f t="shared" si="642"/>
        <v>60726</v>
      </c>
    </row>
    <row r="8335" spans="1:14" x14ac:dyDescent="0.3">
      <c r="A8335" s="1">
        <v>30727</v>
      </c>
      <c r="B8335" s="16" t="s">
        <v>12375</v>
      </c>
      <c r="C8335" s="15">
        <v>6201</v>
      </c>
      <c r="D8335" s="16" t="s">
        <v>12377</v>
      </c>
      <c r="E8335" s="17" t="s">
        <v>12339</v>
      </c>
      <c r="F8335" t="str">
        <f t="shared" si="639"/>
        <v>Indiana</v>
      </c>
      <c r="G8335" t="str">
        <f t="shared" si="640"/>
        <v>Indiana6201Lubbock</v>
      </c>
      <c r="H8335" t="s">
        <v>39190</v>
      </c>
      <c r="I8335" t="s">
        <v>30594</v>
      </c>
      <c r="J8335" t="str">
        <f t="shared" si="641"/>
        <v>E:\PropInv\MF</v>
      </c>
      <c r="K8335" s="103" t="str">
        <f>HYPERLINK("E:\PropInv\MF\Lubbock\Indiana Ave_6201_Del Estrado Townhome Apts_Lubbock_60727","Indiana Ave_6201_Del Estrado Townhome Apts_Lubbock_60727" )</f>
        <v>Indiana Ave_6201_Del Estrado Townhome Apts_Lubbock_60727</v>
      </c>
      <c r="L8335" s="104" t="s">
        <v>22253</v>
      </c>
      <c r="N8335" s="1">
        <f t="shared" si="642"/>
        <v>60727</v>
      </c>
    </row>
    <row r="8336" spans="1:14" x14ac:dyDescent="0.3">
      <c r="A8336" s="1">
        <v>30728</v>
      </c>
      <c r="B8336" s="16" t="s">
        <v>12378</v>
      </c>
      <c r="C8336" s="15">
        <v>7906</v>
      </c>
      <c r="D8336" s="72" t="s">
        <v>2497</v>
      </c>
      <c r="E8336" s="17" t="s">
        <v>12339</v>
      </c>
      <c r="F8336" t="str">
        <f t="shared" si="639"/>
        <v>Indiana</v>
      </c>
      <c r="G8336" t="str">
        <f t="shared" si="640"/>
        <v>Indiana7906Lubbock</v>
      </c>
      <c r="H8336" t="s">
        <v>39191</v>
      </c>
      <c r="I8336" t="s">
        <v>30595</v>
      </c>
      <c r="J8336" t="str">
        <f t="shared" si="641"/>
        <v>E:\PropInv\MF</v>
      </c>
      <c r="K8336" s="103" t="str">
        <f>HYPERLINK("E:\PropInv\MF\Lubbock\Indiana Dr_7906_NF_Lubbock_60728","Indiana Dr_7906_NF_Lubbock_60728" )</f>
        <v>Indiana Dr_7906_NF_Lubbock_60728</v>
      </c>
      <c r="L8336" s="104" t="s">
        <v>22253</v>
      </c>
      <c r="N8336" s="1">
        <f t="shared" si="642"/>
        <v>60728</v>
      </c>
    </row>
    <row r="8337" spans="1:14" x14ac:dyDescent="0.3">
      <c r="A8337" s="1">
        <v>30729</v>
      </c>
      <c r="B8337" s="16" t="s">
        <v>12379</v>
      </c>
      <c r="C8337" s="15">
        <v>2104</v>
      </c>
      <c r="D8337" s="16" t="s">
        <v>12380</v>
      </c>
      <c r="E8337" s="17" t="s">
        <v>12339</v>
      </c>
      <c r="F8337" t="str">
        <f t="shared" si="639"/>
        <v>La</v>
      </c>
      <c r="G8337" t="str">
        <f t="shared" si="640"/>
        <v>La2104Lubbock</v>
      </c>
      <c r="H8337" t="s">
        <v>39192</v>
      </c>
      <c r="I8337" t="s">
        <v>30596</v>
      </c>
      <c r="J8337" t="str">
        <f t="shared" si="641"/>
        <v>E:\PropInv\MF</v>
      </c>
      <c r="K8337" s="103" t="str">
        <f>HYPERLINK("E:\PropInv\MF\Lubbock\La Salle Ave_2104_La Salle_Lubbock_60729","La Salle Ave_2104_La Salle_Lubbock_60729" )</f>
        <v>La Salle Ave_2104_La Salle_Lubbock_60729</v>
      </c>
      <c r="L8337" s="104" t="s">
        <v>22253</v>
      </c>
      <c r="N8337" s="1">
        <f t="shared" si="642"/>
        <v>60729</v>
      </c>
    </row>
    <row r="8338" spans="1:14" x14ac:dyDescent="0.3">
      <c r="A8338" s="1">
        <v>30730</v>
      </c>
      <c r="B8338" s="16" t="s">
        <v>12381</v>
      </c>
      <c r="C8338" s="15">
        <v>308</v>
      </c>
      <c r="D8338" s="16" t="s">
        <v>12382</v>
      </c>
      <c r="E8338" s="17" t="s">
        <v>12339</v>
      </c>
      <c r="F8338" t="str">
        <f t="shared" si="639"/>
        <v>Brentwood</v>
      </c>
      <c r="G8338" t="str">
        <f t="shared" si="640"/>
        <v>Brentwood308Lubbock</v>
      </c>
      <c r="H8338" t="s">
        <v>39193</v>
      </c>
      <c r="I8338" t="s">
        <v>30597</v>
      </c>
      <c r="J8338" t="str">
        <f t="shared" si="641"/>
        <v>E:\PropInv\MF</v>
      </c>
      <c r="K8338" s="103" t="str">
        <f>HYPERLINK("E:\PropInv\MF\Lubbock\Brentwood Ave N_308_Village TH_Lubbock_60730","Brentwood Ave N_308_Village TH_Lubbock_60730" )</f>
        <v>Brentwood Ave N_308_Village TH_Lubbock_60730</v>
      </c>
      <c r="L8338" s="104" t="s">
        <v>22253</v>
      </c>
      <c r="N8338" s="1">
        <f t="shared" si="642"/>
        <v>60730</v>
      </c>
    </row>
    <row r="8339" spans="1:14" x14ac:dyDescent="0.3">
      <c r="A8339" s="1">
        <v>30731</v>
      </c>
      <c r="B8339" s="16" t="s">
        <v>12383</v>
      </c>
      <c r="C8339" s="15">
        <v>1002</v>
      </c>
      <c r="D8339" s="16" t="s">
        <v>12384</v>
      </c>
      <c r="E8339" s="33" t="s">
        <v>12339</v>
      </c>
      <c r="F8339" t="str">
        <f t="shared" si="639"/>
        <v>Frankford</v>
      </c>
      <c r="G8339" t="str">
        <f t="shared" si="640"/>
        <v>Frankford1002Lubbock</v>
      </c>
      <c r="H8339" t="s">
        <v>39194</v>
      </c>
      <c r="I8339" t="s">
        <v>30598</v>
      </c>
      <c r="J8339" t="str">
        <f t="shared" si="641"/>
        <v>E:\PropInv\MF</v>
      </c>
      <c r="K8339" s="103" t="str">
        <f>HYPERLINK("E:\PropInv\MF\Lubbock\Frankford Ave S_1002_Jefferson Commons Texas Tech_Lubbock_60731","Frankford Ave S_1002_Jefferson Commons Texas Tech_Lubbock_60731" )</f>
        <v>Frankford Ave S_1002_Jefferson Commons Texas Tech_Lubbock_60731</v>
      </c>
      <c r="L8339" s="104" t="s">
        <v>22253</v>
      </c>
      <c r="N8339" s="1">
        <f t="shared" si="642"/>
        <v>60731</v>
      </c>
    </row>
    <row r="8340" spans="1:14" x14ac:dyDescent="0.3">
      <c r="A8340" s="1">
        <v>30732</v>
      </c>
      <c r="B8340" s="16" t="s">
        <v>12385</v>
      </c>
      <c r="C8340" s="15">
        <v>3001</v>
      </c>
      <c r="D8340" s="16" t="s">
        <v>12386</v>
      </c>
      <c r="E8340" s="17" t="s">
        <v>12339</v>
      </c>
      <c r="F8340" t="str">
        <f t="shared" si="639"/>
        <v>289</v>
      </c>
      <c r="G8340" t="str">
        <f t="shared" si="640"/>
        <v>2893001Lubbock</v>
      </c>
      <c r="H8340" t="s">
        <v>39195</v>
      </c>
      <c r="I8340" t="s">
        <v>30599</v>
      </c>
      <c r="J8340" t="str">
        <f t="shared" si="641"/>
        <v>E:\PropInv\MF</v>
      </c>
      <c r="K8340" s="103" t="str">
        <f>HYPERLINK("E:\PropInv\MF\Lubbock\289 Loop S_3001_White Plaza Apts_Lubbock_60732","289 Loop S_3001_White Plaza Apts_Lubbock_60732" )</f>
        <v>289 Loop S_3001_White Plaza Apts_Lubbock_60732</v>
      </c>
      <c r="L8340" s="104" t="s">
        <v>22253</v>
      </c>
      <c r="N8340" s="1">
        <f t="shared" si="642"/>
        <v>60732</v>
      </c>
    </row>
    <row r="8341" spans="1:14" x14ac:dyDescent="0.3">
      <c r="A8341" s="1">
        <v>30733</v>
      </c>
      <c r="B8341" s="16" t="s">
        <v>4905</v>
      </c>
      <c r="C8341" s="15">
        <v>1001</v>
      </c>
      <c r="D8341" s="16" t="s">
        <v>12387</v>
      </c>
      <c r="E8341" s="33" t="s">
        <v>12339</v>
      </c>
      <c r="F8341" t="str">
        <f t="shared" si="639"/>
        <v>University</v>
      </c>
      <c r="G8341" t="str">
        <f t="shared" si="640"/>
        <v>University1001Lubbock</v>
      </c>
      <c r="H8341" t="s">
        <v>39196</v>
      </c>
      <c r="I8341" t="s">
        <v>30600</v>
      </c>
      <c r="J8341" t="str">
        <f t="shared" si="641"/>
        <v>E:\PropInv\MF</v>
      </c>
      <c r="K8341" s="103" t="str">
        <f>HYPERLINK("E:\PropInv\MF\Lubbock\University_1001_University Plaza Apts_Lubbock_60733","University_1001_University Plaza Apts_Lubbock_60733" )</f>
        <v>University_1001_University Plaza Apts_Lubbock_60733</v>
      </c>
      <c r="L8341" s="104" t="s">
        <v>22253</v>
      </c>
      <c r="N8341" s="1">
        <f t="shared" si="642"/>
        <v>60733</v>
      </c>
    </row>
    <row r="8342" spans="1:14" x14ac:dyDescent="0.3">
      <c r="A8342" s="1">
        <v>30734</v>
      </c>
      <c r="B8342" s="44" t="s">
        <v>12389</v>
      </c>
      <c r="C8342" s="15">
        <v>2302</v>
      </c>
      <c r="D8342" s="16" t="s">
        <v>12388</v>
      </c>
      <c r="E8342" s="17" t="s">
        <v>12339</v>
      </c>
      <c r="F8342" t="str">
        <f t="shared" si="639"/>
        <v>289</v>
      </c>
      <c r="G8342" t="str">
        <f t="shared" si="640"/>
        <v>2892302Lubbock</v>
      </c>
      <c r="H8342" t="s">
        <v>39197</v>
      </c>
      <c r="I8342" t="s">
        <v>30601</v>
      </c>
      <c r="J8342" t="str">
        <f t="shared" si="641"/>
        <v>E:\PropInv\MF</v>
      </c>
      <c r="K8342" s="103" t="str">
        <f>HYPERLINK("E:\PropInv\MF\Lubbock\289 Loop W_2302_Innsbruck West_Lubbock_60734","289 Loop W_2302_Innsbruck West_Lubbock_60734" )</f>
        <v>289 Loop W_2302_Innsbruck West_Lubbock_60734</v>
      </c>
      <c r="L8342" s="104" t="s">
        <v>22253</v>
      </c>
      <c r="N8342" s="1">
        <f t="shared" si="642"/>
        <v>60734</v>
      </c>
    </row>
    <row r="8343" spans="1:14" x14ac:dyDescent="0.3">
      <c r="A8343" s="1">
        <v>30735</v>
      </c>
      <c r="B8343" s="44" t="s">
        <v>12389</v>
      </c>
      <c r="C8343" s="32">
        <v>5351</v>
      </c>
      <c r="D8343" s="31" t="s">
        <v>12365</v>
      </c>
      <c r="E8343" s="33" t="s">
        <v>12339</v>
      </c>
      <c r="F8343" t="str">
        <f t="shared" si="639"/>
        <v>289</v>
      </c>
      <c r="G8343" t="str">
        <f t="shared" si="640"/>
        <v>2895351Lubbock</v>
      </c>
      <c r="H8343" t="s">
        <v>39198</v>
      </c>
      <c r="I8343" t="s">
        <v>30602</v>
      </c>
      <c r="J8343" t="str">
        <f t="shared" si="641"/>
        <v>E:\PropInv\MF</v>
      </c>
      <c r="K8343" s="103" t="str">
        <f>HYPERLINK("E:\PropInv\MF\Lubbock\289 Loop W_5351_Metropolitan Apts_Lubbock_60735","289 Loop W_5351_Metropolitan Apts_Lubbock_60735" )</f>
        <v>289 Loop W_5351_Metropolitan Apts_Lubbock_60735</v>
      </c>
      <c r="L8343" s="104" t="s">
        <v>22253</v>
      </c>
      <c r="N8343" s="1">
        <f t="shared" si="642"/>
        <v>60735</v>
      </c>
    </row>
    <row r="8344" spans="1:14" x14ac:dyDescent="0.3">
      <c r="A8344" s="1">
        <v>30736</v>
      </c>
      <c r="B8344" s="16" t="s">
        <v>12390</v>
      </c>
      <c r="C8344" s="15">
        <v>1215</v>
      </c>
      <c r="D8344" s="16" t="s">
        <v>12391</v>
      </c>
      <c r="E8344" s="17" t="s">
        <v>12392</v>
      </c>
      <c r="F8344" t="str">
        <f t="shared" si="639"/>
        <v>Ave</v>
      </c>
      <c r="G8344" t="str">
        <f t="shared" si="640"/>
        <v xml:space="preserve">Ave1215Lubbock </v>
      </c>
      <c r="H8344" t="s">
        <v>39199</v>
      </c>
      <c r="I8344" t="s">
        <v>30603</v>
      </c>
      <c r="J8344" t="str">
        <f t="shared" si="641"/>
        <v>E:\PropInv\MF</v>
      </c>
      <c r="K8344" s="103" t="str">
        <f>HYPERLINK("E:\PropInv\MF\Lubbock \Ave J_1215_Green-Cobb Buildings_Lubbock _60736","Ave J_1215_Green-Cobb Buildings_Lubbock _60736" )</f>
        <v>Ave J_1215_Green-Cobb Buildings_Lubbock _60736</v>
      </c>
      <c r="L8344" s="104" t="s">
        <v>22253</v>
      </c>
      <c r="N8344" s="1">
        <f t="shared" si="642"/>
        <v>60736</v>
      </c>
    </row>
    <row r="8345" spans="1:14" x14ac:dyDescent="0.3">
      <c r="A8345" s="1">
        <v>30737</v>
      </c>
      <c r="B8345" s="44" t="s">
        <v>12350</v>
      </c>
      <c r="C8345" s="32">
        <v>4901</v>
      </c>
      <c r="D8345" s="31" t="s">
        <v>11934</v>
      </c>
      <c r="E8345" s="33" t="s">
        <v>12392</v>
      </c>
      <c r="F8345" t="str">
        <f t="shared" si="639"/>
        <v>4th</v>
      </c>
      <c r="G8345" t="str">
        <f t="shared" si="640"/>
        <v xml:space="preserve">4th4901Lubbock </v>
      </c>
      <c r="H8345" t="s">
        <v>39200</v>
      </c>
      <c r="I8345" t="s">
        <v>30604</v>
      </c>
      <c r="J8345" t="str">
        <f t="shared" si="641"/>
        <v>E:\PropInv\MF</v>
      </c>
      <c r="K8345" s="103" t="str">
        <f>HYPERLINK("E:\PropInv\MF\Lubbock \4th St_4901_Stratford Place_Lubbock _60737","4th St_4901_Stratford Place_Lubbock _60737" )</f>
        <v>4th St_4901_Stratford Place_Lubbock _60737</v>
      </c>
      <c r="L8345" s="104" t="s">
        <v>22253</v>
      </c>
      <c r="N8345" s="1">
        <f t="shared" si="642"/>
        <v>60737</v>
      </c>
    </row>
    <row r="8346" spans="1:14" x14ac:dyDescent="0.3">
      <c r="A8346" s="1">
        <v>30738</v>
      </c>
      <c r="B8346" s="16" t="s">
        <v>984</v>
      </c>
      <c r="C8346" s="15">
        <v>7550</v>
      </c>
      <c r="D8346" s="16" t="s">
        <v>12393</v>
      </c>
      <c r="E8346" s="17" t="s">
        <v>12394</v>
      </c>
      <c r="F8346" t="str">
        <f t="shared" si="639"/>
        <v>Country</v>
      </c>
      <c r="G8346" t="str">
        <f t="shared" si="640"/>
        <v>Country7550Laredo</v>
      </c>
      <c r="H8346" t="s">
        <v>39201</v>
      </c>
      <c r="I8346" t="s">
        <v>30605</v>
      </c>
      <c r="J8346" t="str">
        <f t="shared" si="641"/>
        <v>E:\PropInv\MF</v>
      </c>
      <c r="K8346" s="103" t="str">
        <f>HYPERLINK("E:\PropInv\MF\Laredo\Country Club Dr_7550_Lago del Mar_Laredo_60738","Country Club Dr_7550_Lago del Mar_Laredo_60738" )</f>
        <v>Country Club Dr_7550_Lago del Mar_Laredo_60738</v>
      </c>
      <c r="L8346" s="104" t="s">
        <v>22253</v>
      </c>
      <c r="N8346" s="1">
        <f t="shared" si="642"/>
        <v>60738</v>
      </c>
    </row>
    <row r="8347" spans="1:14" x14ac:dyDescent="0.3">
      <c r="A8347" s="1">
        <v>30739</v>
      </c>
      <c r="B8347" s="16" t="s">
        <v>12395</v>
      </c>
      <c r="C8347" s="15">
        <v>604</v>
      </c>
      <c r="D8347" s="16" t="s">
        <v>17754</v>
      </c>
      <c r="E8347" s="17" t="s">
        <v>12394</v>
      </c>
      <c r="F8347" t="str">
        <f t="shared" si="639"/>
        <v>rancho</v>
      </c>
      <c r="G8347" t="str">
        <f t="shared" si="640"/>
        <v>rancho604Laredo</v>
      </c>
      <c r="H8347" t="s">
        <v>39202</v>
      </c>
      <c r="I8347" t="s">
        <v>30606</v>
      </c>
      <c r="J8347" t="str">
        <f t="shared" si="641"/>
        <v>E:\PropInv\MF</v>
      </c>
      <c r="K8347" s="103" t="str">
        <f>HYPERLINK("E:\PropInv\MF\Laredo\rancho viejo Dr_604_Rancho Viejo Apts_Laredo_60739","rancho viejo Dr_604_Rancho Viejo Apts_Laredo_60739" )</f>
        <v>rancho viejo Dr_604_Rancho Viejo Apts_Laredo_60739</v>
      </c>
      <c r="L8347" s="104" t="s">
        <v>22253</v>
      </c>
      <c r="N8347" s="1">
        <f t="shared" si="642"/>
        <v>60739</v>
      </c>
    </row>
    <row r="8348" spans="1:14" x14ac:dyDescent="0.3">
      <c r="A8348" s="1">
        <v>30740</v>
      </c>
      <c r="B8348" s="16" t="s">
        <v>12396</v>
      </c>
      <c r="C8348" s="15">
        <v>3800</v>
      </c>
      <c r="D8348" s="16" t="s">
        <v>22267</v>
      </c>
      <c r="E8348" s="17" t="s">
        <v>12397</v>
      </c>
      <c r="F8348" t="str">
        <f t="shared" si="639"/>
        <v>TEXOMA</v>
      </c>
      <c r="G8348" t="str">
        <f t="shared" si="640"/>
        <v>TEXOMA3800Denison</v>
      </c>
      <c r="H8348" t="s">
        <v>39203</v>
      </c>
      <c r="I8348" t="s">
        <v>30607</v>
      </c>
      <c r="J8348" t="str">
        <f t="shared" si="641"/>
        <v>E:\PropInv\MF</v>
      </c>
      <c r="K8348" s="103" t="str">
        <f>HYPERLINK("E:\PropInv\MF\Denison\TEXOMA Pkwy_3800_Creekmore Apts_Denison_60740","TEXOMA Pkwy_3800_Creekmore Apts_Denison_60740" )</f>
        <v>TEXOMA Pkwy_3800_Creekmore Apts_Denison_60740</v>
      </c>
      <c r="L8348" s="104" t="s">
        <v>22253</v>
      </c>
      <c r="N8348" s="1">
        <f t="shared" si="642"/>
        <v>60740</v>
      </c>
    </row>
    <row r="8349" spans="1:14" x14ac:dyDescent="0.3">
      <c r="A8349" s="1">
        <v>30741</v>
      </c>
      <c r="B8349" s="16" t="s">
        <v>12398</v>
      </c>
      <c r="C8349" s="15">
        <v>1600</v>
      </c>
      <c r="D8349" s="16" t="s">
        <v>12399</v>
      </c>
      <c r="E8349" s="17" t="s">
        <v>3174</v>
      </c>
      <c r="F8349" t="str">
        <f t="shared" si="639"/>
        <v>LaSalle</v>
      </c>
      <c r="G8349" t="str">
        <f t="shared" si="640"/>
        <v>LaSalle1600Sherman</v>
      </c>
      <c r="H8349" t="s">
        <v>39204</v>
      </c>
      <c r="I8349" t="s">
        <v>30608</v>
      </c>
      <c r="J8349" t="str">
        <f t="shared" si="641"/>
        <v>E:\PropInv\MF</v>
      </c>
      <c r="K8349" s="103" t="str">
        <f>HYPERLINK("E:\PropInv\MF\Sherman\LaSalle Dr_1600_Diamond Place Apts_Sherman_60741","LaSalle Dr_1600_Diamond Place Apts_Sherman_60741" )</f>
        <v>LaSalle Dr_1600_Diamond Place Apts_Sherman_60741</v>
      </c>
      <c r="L8349" s="104" t="s">
        <v>22253</v>
      </c>
      <c r="N8349" s="1">
        <f t="shared" si="642"/>
        <v>60741</v>
      </c>
    </row>
    <row r="8350" spans="1:14" x14ac:dyDescent="0.3">
      <c r="A8350" s="1">
        <v>30742</v>
      </c>
      <c r="B8350" s="16" t="s">
        <v>12400</v>
      </c>
      <c r="C8350" s="15">
        <v>3301</v>
      </c>
      <c r="D8350" s="16" t="s">
        <v>12401</v>
      </c>
      <c r="E8350" s="17" t="s">
        <v>3174</v>
      </c>
      <c r="F8350" t="str">
        <f t="shared" si="639"/>
        <v>1417</v>
      </c>
      <c r="G8350" t="str">
        <f t="shared" si="640"/>
        <v>14173301Sherman</v>
      </c>
      <c r="H8350" t="s">
        <v>39205</v>
      </c>
      <c r="I8350" t="s">
        <v>30609</v>
      </c>
      <c r="J8350" t="str">
        <f t="shared" si="641"/>
        <v>E:\PropInv\MF</v>
      </c>
      <c r="K8350" s="103" t="str">
        <f>HYPERLINK("E:\PropInv\MF\Sherman\1417 FM N_3301_Post Oak Crossing Apts_Sherman_60742","1417 FM N_3301_Post Oak Crossing Apts_Sherman_60742" )</f>
        <v>1417 FM N_3301_Post Oak Crossing Apts_Sherman_60742</v>
      </c>
      <c r="L8350" s="104" t="s">
        <v>22253</v>
      </c>
      <c r="N8350" s="1">
        <f t="shared" si="642"/>
        <v>60742</v>
      </c>
    </row>
    <row r="8351" spans="1:14" x14ac:dyDescent="0.3">
      <c r="A8351" s="1">
        <v>30743</v>
      </c>
      <c r="B8351" s="16" t="s">
        <v>12402</v>
      </c>
      <c r="C8351" s="15">
        <v>3031</v>
      </c>
      <c r="D8351" s="16" t="s">
        <v>12403</v>
      </c>
      <c r="E8351" s="17" t="s">
        <v>3174</v>
      </c>
      <c r="F8351" t="str">
        <f t="shared" si="639"/>
        <v>Northridge</v>
      </c>
      <c r="G8351" t="str">
        <f t="shared" si="640"/>
        <v>Northridge3031Sherman</v>
      </c>
      <c r="H8351" t="s">
        <v>39206</v>
      </c>
      <c r="I8351" t="s">
        <v>30610</v>
      </c>
      <c r="J8351" t="str">
        <f t="shared" si="641"/>
        <v>E:\PropInv\MF</v>
      </c>
      <c r="K8351" s="103" t="str">
        <f>HYPERLINK("E:\PropInv\MF\Sherman\Northridge_3031_Normandy Manor Apts_Sherman_60743","Northridge_3031_Normandy Manor Apts_Sherman_60743" )</f>
        <v>Northridge_3031_Normandy Manor Apts_Sherman_60743</v>
      </c>
      <c r="L8351" s="104" t="s">
        <v>22253</v>
      </c>
      <c r="N8351" s="1">
        <f t="shared" si="642"/>
        <v>60743</v>
      </c>
    </row>
    <row r="8352" spans="1:14" x14ac:dyDescent="0.3">
      <c r="A8352" s="1">
        <v>30744</v>
      </c>
      <c r="B8352" s="16" t="s">
        <v>12404</v>
      </c>
      <c r="C8352" s="15">
        <v>3013</v>
      </c>
      <c r="D8352" s="16" t="s">
        <v>12405</v>
      </c>
      <c r="E8352" s="17" t="s">
        <v>3174</v>
      </c>
      <c r="F8352" t="str">
        <f t="shared" si="639"/>
        <v>Northridge</v>
      </c>
      <c r="G8352" t="str">
        <f t="shared" si="640"/>
        <v>Northridge3013Sherman</v>
      </c>
      <c r="H8352" t="s">
        <v>39207</v>
      </c>
      <c r="I8352" t="s">
        <v>30611</v>
      </c>
      <c r="J8352" t="str">
        <f t="shared" si="641"/>
        <v>E:\PropInv\MF</v>
      </c>
      <c r="K8352" s="103" t="str">
        <f>HYPERLINK("E:\PropInv\MF\Sherman\Northridge Dr_3013_Normandy Manor_Sherman_60744","Northridge Dr_3013_Normandy Manor_Sherman_60744" )</f>
        <v>Northridge Dr_3013_Normandy Manor_Sherman_60744</v>
      </c>
      <c r="L8352" s="104" t="s">
        <v>22253</v>
      </c>
      <c r="N8352" s="1">
        <f t="shared" si="642"/>
        <v>60744</v>
      </c>
    </row>
    <row r="8353" spans="1:14" x14ac:dyDescent="0.3">
      <c r="A8353" s="1">
        <v>30745</v>
      </c>
      <c r="B8353" s="16" t="s">
        <v>12406</v>
      </c>
      <c r="C8353" s="15">
        <v>3114</v>
      </c>
      <c r="D8353" s="16" t="s">
        <v>12407</v>
      </c>
      <c r="E8353" s="17" t="s">
        <v>3174</v>
      </c>
      <c r="F8353" t="str">
        <f t="shared" si="639"/>
        <v>Rex</v>
      </c>
      <c r="G8353" t="str">
        <f t="shared" si="640"/>
        <v>Rex3114Sherman</v>
      </c>
      <c r="H8353" t="s">
        <v>39208</v>
      </c>
      <c r="I8353" t="s">
        <v>30612</v>
      </c>
      <c r="J8353" t="str">
        <f t="shared" si="641"/>
        <v>E:\PropInv\MF</v>
      </c>
      <c r="K8353" s="103" t="str">
        <f>HYPERLINK("E:\PropInv\MF\Sherman\Rex Cruise_3114_Turtle Creek Village Apts_Sherman_60745","Rex Cruise_3114_Turtle Creek Village Apts_Sherman_60745" )</f>
        <v>Rex Cruise_3114_Turtle Creek Village Apts_Sherman_60745</v>
      </c>
      <c r="L8353" s="104" t="s">
        <v>22253</v>
      </c>
      <c r="N8353" s="1">
        <f t="shared" si="642"/>
        <v>60745</v>
      </c>
    </row>
    <row r="8354" spans="1:14" x14ac:dyDescent="0.3">
      <c r="A8354" s="1">
        <v>30746</v>
      </c>
      <c r="B8354" s="19" t="s">
        <v>10475</v>
      </c>
      <c r="C8354" s="18">
        <v>1925</v>
      </c>
      <c r="D8354" s="16" t="s">
        <v>12408</v>
      </c>
      <c r="E8354" s="20" t="s">
        <v>3174</v>
      </c>
      <c r="F8354" t="str">
        <f t="shared" si="639"/>
        <v>Taylor</v>
      </c>
      <c r="G8354" t="str">
        <f t="shared" si="640"/>
        <v>Taylor1925Sherman</v>
      </c>
      <c r="H8354" t="s">
        <v>39209</v>
      </c>
      <c r="I8354" t="s">
        <v>30613</v>
      </c>
      <c r="J8354" t="str">
        <f t="shared" si="641"/>
        <v>E:\PropInv\MF</v>
      </c>
      <c r="K8354" s="103" t="str">
        <f>HYPERLINK("E:\PropInv\MF\Sherman\Taylor_1925_Highland Park Village_Sherman_60746","Taylor_1925_Highland Park Village_Sherman_60746" )</f>
        <v>Taylor_1925_Highland Park Village_Sherman_60746</v>
      </c>
      <c r="L8354" s="104" t="s">
        <v>22253</v>
      </c>
      <c r="N8354" s="1">
        <f t="shared" si="642"/>
        <v>60746</v>
      </c>
    </row>
    <row r="8355" spans="1:14" x14ac:dyDescent="0.3">
      <c r="A8355" s="1">
        <v>30747</v>
      </c>
      <c r="B8355" s="37" t="s">
        <v>12409</v>
      </c>
      <c r="C8355" s="38">
        <v>915</v>
      </c>
      <c r="D8355" s="16" t="s">
        <v>12410</v>
      </c>
      <c r="E8355" s="39" t="s">
        <v>3174</v>
      </c>
      <c r="F8355" t="str">
        <f t="shared" si="639"/>
        <v>Travis</v>
      </c>
      <c r="G8355" t="str">
        <f t="shared" si="640"/>
        <v>Travis915Sherman</v>
      </c>
      <c r="H8355" t="s">
        <v>39210</v>
      </c>
      <c r="I8355" t="s">
        <v>30614</v>
      </c>
      <c r="J8355" t="str">
        <f t="shared" si="641"/>
        <v>E:\PropInv\MF</v>
      </c>
      <c r="K8355" s="103" t="str">
        <f>HYPERLINK("E:\PropInv\MF\Sherman\Travis St Sherman S_915_Southgate Apts_Sherman_60747","Travis St Sherman S_915_Southgate Apts_Sherman_60747" )</f>
        <v>Travis St Sherman S_915_Southgate Apts_Sherman_60747</v>
      </c>
      <c r="L8355" s="104" t="s">
        <v>22253</v>
      </c>
      <c r="N8355" s="1">
        <f t="shared" si="642"/>
        <v>60747</v>
      </c>
    </row>
    <row r="8356" spans="1:14" x14ac:dyDescent="0.3">
      <c r="A8356" s="1">
        <v>30748</v>
      </c>
      <c r="B8356" s="19" t="s">
        <v>12411</v>
      </c>
      <c r="C8356" s="18">
        <v>1200</v>
      </c>
      <c r="D8356" s="16" t="s">
        <v>12412</v>
      </c>
      <c r="E8356" s="20" t="s">
        <v>3174</v>
      </c>
      <c r="F8356" t="str">
        <f t="shared" si="639"/>
        <v>Taylor</v>
      </c>
      <c r="G8356" t="str">
        <f t="shared" si="640"/>
        <v>Taylor1200Sherman</v>
      </c>
      <c r="H8356" t="s">
        <v>39211</v>
      </c>
      <c r="I8356" t="s">
        <v>30615</v>
      </c>
      <c r="J8356" t="str">
        <f t="shared" si="641"/>
        <v>E:\PropInv\MF</v>
      </c>
      <c r="K8356" s="103" t="str">
        <f>HYPERLINK("E:\PropInv\MF\Sherman\Taylor W_1200_Arrow Wood_Sherman_60748","Taylor W_1200_Arrow Wood_Sherman_60748" )</f>
        <v>Taylor W_1200_Arrow Wood_Sherman_60748</v>
      </c>
      <c r="L8356" s="104" t="s">
        <v>22253</v>
      </c>
      <c r="N8356" s="1">
        <f t="shared" si="642"/>
        <v>60748</v>
      </c>
    </row>
    <row r="8357" spans="1:14" x14ac:dyDescent="0.3">
      <c r="A8357" s="1">
        <v>30749</v>
      </c>
      <c r="B8357" s="19" t="s">
        <v>12413</v>
      </c>
      <c r="C8357" s="18">
        <v>2300</v>
      </c>
      <c r="D8357" s="16" t="s">
        <v>12414</v>
      </c>
      <c r="E8357" s="20" t="s">
        <v>3174</v>
      </c>
      <c r="F8357" t="str">
        <f t="shared" si="639"/>
        <v>Taylor</v>
      </c>
      <c r="G8357" t="str">
        <f t="shared" si="640"/>
        <v>Taylor2300Sherman</v>
      </c>
      <c r="H8357" t="s">
        <v>39212</v>
      </c>
      <c r="I8357" t="s">
        <v>30616</v>
      </c>
      <c r="J8357" t="str">
        <f t="shared" si="641"/>
        <v>E:\PropInv\MF</v>
      </c>
      <c r="K8357" s="103" t="str">
        <f>HYPERLINK("E:\PropInv\MF\Sherman\Taylor St W_2300_Hunnington_Sherman_60749","Taylor St W_2300_Hunnington_Sherman_60749" )</f>
        <v>Taylor St W_2300_Hunnington_Sherman_60749</v>
      </c>
      <c r="L8357" s="104" t="s">
        <v>22253</v>
      </c>
      <c r="N8357" s="1">
        <f t="shared" si="642"/>
        <v>60749</v>
      </c>
    </row>
    <row r="8358" spans="1:14" x14ac:dyDescent="0.3">
      <c r="A8358" s="1">
        <v>30750</v>
      </c>
      <c r="B8358" s="7" t="s">
        <v>12415</v>
      </c>
      <c r="C8358" s="38">
        <v>1800</v>
      </c>
      <c r="D8358" s="31" t="s">
        <v>12416</v>
      </c>
      <c r="E8358" s="39" t="s">
        <v>3174</v>
      </c>
      <c r="F8358" t="str">
        <f t="shared" si="639"/>
        <v>Washington</v>
      </c>
      <c r="G8358" t="str">
        <f t="shared" si="640"/>
        <v>Washington1800Sherman</v>
      </c>
      <c r="H8358" t="s">
        <v>39213</v>
      </c>
      <c r="I8358" t="s">
        <v>30617</v>
      </c>
      <c r="J8358" t="str">
        <f t="shared" si="641"/>
        <v>E:\PropInv\MF</v>
      </c>
      <c r="K8358" s="103" t="str">
        <f>HYPERLINK("E:\PropInv\MF\Sherman\Washington St W_1800_Ridgeview AH_Sherman_60750","Washington St W_1800_Ridgeview AH_Sherman_60750" )</f>
        <v>Washington St W_1800_Ridgeview AH_Sherman_60750</v>
      </c>
      <c r="L8358" s="104" t="s">
        <v>22253</v>
      </c>
      <c r="N8358" s="1">
        <f t="shared" si="642"/>
        <v>60750</v>
      </c>
    </row>
    <row r="8359" spans="1:14" x14ac:dyDescent="0.3">
      <c r="A8359" s="1">
        <v>30751</v>
      </c>
      <c r="B8359" s="19" t="s">
        <v>12417</v>
      </c>
      <c r="C8359" s="18">
        <v>1700</v>
      </c>
      <c r="D8359" s="16" t="s">
        <v>12418</v>
      </c>
      <c r="E8359" s="20" t="s">
        <v>12419</v>
      </c>
      <c r="F8359" t="str">
        <f t="shared" si="639"/>
        <v>Good</v>
      </c>
      <c r="G8359" t="str">
        <f t="shared" si="640"/>
        <v>Good1700Brownwood</v>
      </c>
      <c r="H8359" t="s">
        <v>39214</v>
      </c>
      <c r="I8359" t="s">
        <v>30618</v>
      </c>
      <c r="J8359" t="str">
        <f t="shared" si="641"/>
        <v>E:\PropInv\MF</v>
      </c>
      <c r="K8359" s="103" t="str">
        <f>HYPERLINK("E:\PropInv\MF\Brownwood\Good Shepherd Dr_1700_Brownwood Apts Package_Brownwood_60751","Good Shepherd Dr_1700_Brownwood Apts Package_Brownwood_60751" )</f>
        <v>Good Shepherd Dr_1700_Brownwood Apts Package_Brownwood_60751</v>
      </c>
      <c r="L8359" s="104" t="s">
        <v>22253</v>
      </c>
      <c r="N8359" s="1">
        <f t="shared" si="642"/>
        <v>60751</v>
      </c>
    </row>
    <row r="8360" spans="1:14" x14ac:dyDescent="0.3">
      <c r="A8360" s="1">
        <v>30752</v>
      </c>
      <c r="B8360" s="19" t="s">
        <v>12420</v>
      </c>
      <c r="C8360" s="18">
        <v>928</v>
      </c>
      <c r="D8360" s="16" t="s">
        <v>12421</v>
      </c>
      <c r="E8360" s="20" t="s">
        <v>12422</v>
      </c>
      <c r="F8360" t="str">
        <f t="shared" si="639"/>
        <v>Waco</v>
      </c>
      <c r="G8360" t="str">
        <f t="shared" si="640"/>
        <v>Waco928Colorado City</v>
      </c>
      <c r="H8360" t="s">
        <v>39215</v>
      </c>
      <c r="I8360" t="s">
        <v>30619</v>
      </c>
      <c r="J8360" t="str">
        <f t="shared" si="641"/>
        <v>E:\PropInv\MF</v>
      </c>
      <c r="K8360" s="103" t="str">
        <f>HYPERLINK("E:\PropInv\MF\Colorado City\Waco St_928_Andrea Gardens Apt Complex_Colorado City_60752","Waco St_928_Andrea Gardens Apt Complex_Colorado City_60752" )</f>
        <v>Waco St_928_Andrea Gardens Apt Complex_Colorado City_60752</v>
      </c>
      <c r="L8360" s="104" t="s">
        <v>22253</v>
      </c>
      <c r="N8360" s="1">
        <f t="shared" si="642"/>
        <v>60752</v>
      </c>
    </row>
    <row r="8361" spans="1:14" x14ac:dyDescent="0.3">
      <c r="A8361" s="1">
        <v>30753</v>
      </c>
      <c r="B8361" s="19" t="s">
        <v>12423</v>
      </c>
      <c r="C8361" s="18">
        <v>600</v>
      </c>
      <c r="D8361" s="16" t="s">
        <v>12424</v>
      </c>
      <c r="E8361" s="20" t="s">
        <v>12425</v>
      </c>
      <c r="F8361" t="str">
        <f t="shared" si="639"/>
        <v>Sadosa</v>
      </c>
      <c r="G8361" t="str">
        <f t="shared" si="640"/>
        <v>Sadosa600Eastland</v>
      </c>
      <c r="H8361" t="s">
        <v>39216</v>
      </c>
      <c r="I8361" t="s">
        <v>30620</v>
      </c>
      <c r="J8361" t="str">
        <f t="shared" si="641"/>
        <v>E:\PropInv\MF</v>
      </c>
      <c r="K8361" s="103" t="str">
        <f>HYPERLINK("E:\PropInv\MF\Eastland\Sadosa St W_600_Eastland Village Apts_Eastland_60753","Sadosa St W_600_Eastland Village Apts_Eastland_60753" )</f>
        <v>Sadosa St W_600_Eastland Village Apts_Eastland_60753</v>
      </c>
      <c r="L8361" s="104" t="s">
        <v>22253</v>
      </c>
      <c r="N8361" s="1">
        <f t="shared" si="642"/>
        <v>60753</v>
      </c>
    </row>
    <row r="8362" spans="1:14" x14ac:dyDescent="0.3">
      <c r="A8362" s="1">
        <v>30754</v>
      </c>
      <c r="B8362" s="19" t="s">
        <v>12426</v>
      </c>
      <c r="C8362" s="18">
        <v>3900</v>
      </c>
      <c r="D8362" s="16" t="s">
        <v>12427</v>
      </c>
      <c r="E8362" s="20" t="s">
        <v>12428</v>
      </c>
      <c r="F8362" t="str">
        <f t="shared" si="639"/>
        <v>Ave</v>
      </c>
      <c r="G8362" t="str">
        <f t="shared" si="640"/>
        <v>Ave3900Snyder</v>
      </c>
      <c r="H8362" t="s">
        <v>39217</v>
      </c>
      <c r="I8362" t="s">
        <v>30621</v>
      </c>
      <c r="J8362" t="str">
        <f t="shared" si="641"/>
        <v>E:\PropInv\MF</v>
      </c>
      <c r="K8362" s="103" t="str">
        <f>HYPERLINK("E:\PropInv\MF\Snyder\Ave O_3900_Western Crest &amp; Windridge Apts_Snyder_60754","Ave O_3900_Western Crest &amp; Windridge Apts_Snyder_60754" )</f>
        <v>Ave O_3900_Western Crest &amp; Windridge Apts_Snyder_60754</v>
      </c>
      <c r="L8362" s="104" t="s">
        <v>22253</v>
      </c>
      <c r="N8362" s="1">
        <f t="shared" si="642"/>
        <v>60754</v>
      </c>
    </row>
    <row r="8363" spans="1:14" x14ac:dyDescent="0.3">
      <c r="A8363" s="1">
        <v>30755</v>
      </c>
      <c r="B8363" s="7" t="s">
        <v>12429</v>
      </c>
      <c r="C8363" s="12" t="s">
        <v>2497</v>
      </c>
      <c r="D8363" s="10" t="s">
        <v>12430</v>
      </c>
      <c r="E8363" s="13" t="s">
        <v>12431</v>
      </c>
      <c r="F8363" t="str">
        <f t="shared" si="639"/>
        <v>Hovley</v>
      </c>
      <c r="G8363" t="str">
        <f t="shared" si="640"/>
        <v>HovleyNFPalm Desert</v>
      </c>
      <c r="H8363" t="s">
        <v>39218</v>
      </c>
      <c r="I8363" t="s">
        <v>30622</v>
      </c>
      <c r="J8363" t="str">
        <f t="shared" si="641"/>
        <v>E:\PropInv\MF\State_CA</v>
      </c>
      <c r="K8363" s="103" t="str">
        <f>HYPERLINK("E:\PropInv\MF\State_CA\Palm Desert\Hovley Ln E_NF_Canterra_Palm Desert_60755","Hovley Ln E_NF_Canterra_Palm Desert_60755" )</f>
        <v>Hovley Ln E_NF_Canterra_Palm Desert_60755</v>
      </c>
      <c r="L8363" s="104" t="s">
        <v>19770</v>
      </c>
      <c r="N8363" s="1">
        <f t="shared" si="642"/>
        <v>60755</v>
      </c>
    </row>
    <row r="8364" spans="1:14" x14ac:dyDescent="0.3">
      <c r="A8364" s="1">
        <v>30756</v>
      </c>
      <c r="B8364" s="7" t="s">
        <v>12432</v>
      </c>
      <c r="C8364" s="12">
        <v>4601</v>
      </c>
      <c r="D8364" s="10" t="s">
        <v>5938</v>
      </c>
      <c r="E8364" s="13" t="s">
        <v>12433</v>
      </c>
      <c r="F8364" t="str">
        <f t="shared" si="639"/>
        <v>Balsam</v>
      </c>
      <c r="G8364" t="str">
        <f t="shared" si="640"/>
        <v>Balsam4601Littleton</v>
      </c>
      <c r="H8364" t="s">
        <v>39219</v>
      </c>
      <c r="I8364" t="s">
        <v>30623</v>
      </c>
      <c r="J8364" t="str">
        <f t="shared" si="641"/>
        <v>E:\PropInv\MF\State_CO</v>
      </c>
      <c r="K8364" s="103" t="str">
        <f>HYPERLINK("E:\PropInv\MF\State_CO\Littleton\Balsam Way S_4601_Monterey_Littleton_60756","Balsam Way S_4601_Monterey_Littleton_60756" )</f>
        <v>Balsam Way S_4601_Monterey_Littleton_60756</v>
      </c>
      <c r="L8364" s="104" t="s">
        <v>19773</v>
      </c>
      <c r="N8364" s="1">
        <f t="shared" si="642"/>
        <v>60756</v>
      </c>
    </row>
    <row r="8365" spans="1:14" x14ac:dyDescent="0.3">
      <c r="A8365" s="1">
        <v>30757</v>
      </c>
      <c r="B8365" s="7" t="s">
        <v>12434</v>
      </c>
      <c r="C8365" s="12">
        <v>11625</v>
      </c>
      <c r="D8365" s="10" t="s">
        <v>12435</v>
      </c>
      <c r="E8365" s="13" t="s">
        <v>12436</v>
      </c>
      <c r="F8365" t="str">
        <f t="shared" si="639"/>
        <v>Community</v>
      </c>
      <c r="G8365" t="str">
        <f t="shared" si="640"/>
        <v>Community11625Northglenn</v>
      </c>
      <c r="H8365" t="s">
        <v>39220</v>
      </c>
      <c r="I8365" t="s">
        <v>30624</v>
      </c>
      <c r="J8365" t="str">
        <f t="shared" si="641"/>
        <v>E:\PropInv\MF\State_CO</v>
      </c>
      <c r="K8365" s="103" t="str">
        <f>HYPERLINK("E:\PropInv\MF\State_CO\Northglenn\Community Center Dr_11625_Stone Mountain_Northglenn_60757","Community Center Dr_11625_Stone Mountain_Northglenn_60757" )</f>
        <v>Community Center Dr_11625_Stone Mountain_Northglenn_60757</v>
      </c>
      <c r="L8365" s="104" t="s">
        <v>19773</v>
      </c>
      <c r="N8365" s="1">
        <f t="shared" si="642"/>
        <v>60757</v>
      </c>
    </row>
    <row r="8366" spans="1:14" x14ac:dyDescent="0.3">
      <c r="A8366" s="1">
        <v>30758</v>
      </c>
      <c r="B8366" s="7" t="s">
        <v>12437</v>
      </c>
      <c r="C8366" s="12">
        <v>4000</v>
      </c>
      <c r="D8366" s="10" t="s">
        <v>12438</v>
      </c>
      <c r="E8366" s="13" t="s">
        <v>12439</v>
      </c>
      <c r="F8366" t="str">
        <f t="shared" si="639"/>
        <v>Middlebrook</v>
      </c>
      <c r="G8366" t="str">
        <f t="shared" si="640"/>
        <v>Middlebrook4000Orlando</v>
      </c>
      <c r="H8366" t="s">
        <v>39221</v>
      </c>
      <c r="I8366" t="s">
        <v>30625</v>
      </c>
      <c r="J8366" t="str">
        <f t="shared" si="641"/>
        <v>E:\PropInv\MF\State_FL</v>
      </c>
      <c r="K8366" s="103" t="str">
        <f>HYPERLINK("E:\PropInv\MF\State_FL\Orlando\Middlebrook Rd_4000_Middlebrook Farms_Orlando_60758","Middlebrook Rd_4000_Middlebrook Farms_Orlando_60758" )</f>
        <v>Middlebrook Rd_4000_Middlebrook Farms_Orlando_60758</v>
      </c>
      <c r="L8366" s="104" t="s">
        <v>19776</v>
      </c>
      <c r="N8366" s="1">
        <f t="shared" si="642"/>
        <v>60758</v>
      </c>
    </row>
    <row r="8367" spans="1:14" x14ac:dyDescent="0.3">
      <c r="A8367" s="1">
        <v>30759</v>
      </c>
      <c r="B8367" s="7" t="s">
        <v>12440</v>
      </c>
      <c r="C8367" s="12">
        <v>13702</v>
      </c>
      <c r="D8367" s="10" t="s">
        <v>12441</v>
      </c>
      <c r="E8367" s="13" t="s">
        <v>12442</v>
      </c>
      <c r="F8367" t="str">
        <f t="shared" si="639"/>
        <v>42nd</v>
      </c>
      <c r="G8367" t="str">
        <f t="shared" si="640"/>
        <v>42nd13702Tampa</v>
      </c>
      <c r="H8367" t="s">
        <v>39222</v>
      </c>
      <c r="I8367" t="s">
        <v>30626</v>
      </c>
      <c r="J8367" t="str">
        <f t="shared" si="641"/>
        <v>E:\PropInv\MF\State_FL</v>
      </c>
      <c r="K8367" s="103" t="str">
        <f>HYPERLINK("E:\PropInv\MF\State_FL\Tampa\42nd St N_13702_Sterling North Campus_Tampa_60759","42nd St N_13702_Sterling North Campus_Tampa_60759" )</f>
        <v>42nd St N_13702_Sterling North Campus_Tampa_60759</v>
      </c>
      <c r="L8367" s="104" t="s">
        <v>19776</v>
      </c>
      <c r="N8367" s="1">
        <f t="shared" si="642"/>
        <v>60759</v>
      </c>
    </row>
    <row r="8368" spans="1:14" x14ac:dyDescent="0.3">
      <c r="A8368" s="1">
        <v>30760</v>
      </c>
      <c r="B8368" s="7" t="s">
        <v>12443</v>
      </c>
      <c r="C8368" s="12">
        <v>3501</v>
      </c>
      <c r="D8368" s="10" t="s">
        <v>616</v>
      </c>
      <c r="E8368" s="13" t="s">
        <v>12442</v>
      </c>
      <c r="F8368" t="str">
        <f t="shared" si="639"/>
        <v>Waters</v>
      </c>
      <c r="G8368" t="str">
        <f t="shared" si="640"/>
        <v>Waters3501Tampa</v>
      </c>
      <c r="H8368" t="s">
        <v>39223</v>
      </c>
      <c r="I8368" t="s">
        <v>30627</v>
      </c>
      <c r="J8368" t="str">
        <f t="shared" si="641"/>
        <v>E:\PropInv\MF\State_FL</v>
      </c>
      <c r="K8368" s="103" t="str">
        <f>HYPERLINK("E:\PropInv\MF\State_FL\Tampa\Waters Ave W_3501_San Marin_Tampa_60760","Waters Ave W_3501_San Marin_Tampa_60760" )</f>
        <v>Waters Ave W_3501_San Marin_Tampa_60760</v>
      </c>
      <c r="L8368" s="104" t="s">
        <v>19776</v>
      </c>
      <c r="N8368" s="1">
        <f t="shared" si="642"/>
        <v>60760</v>
      </c>
    </row>
    <row r="8369" spans="1:14" x14ac:dyDescent="0.3">
      <c r="A8369" s="1">
        <v>30761</v>
      </c>
      <c r="B8369" s="7" t="s">
        <v>12444</v>
      </c>
      <c r="C8369" s="12">
        <v>2015</v>
      </c>
      <c r="D8369" s="10" t="s">
        <v>12445</v>
      </c>
      <c r="E8369" s="13" t="s">
        <v>12446</v>
      </c>
      <c r="F8369" t="str">
        <f t="shared" si="639"/>
        <v>New</v>
      </c>
      <c r="G8369" t="str">
        <f t="shared" si="640"/>
        <v>New2015Winter Park</v>
      </c>
      <c r="H8369" t="s">
        <v>39224</v>
      </c>
      <c r="I8369" t="s">
        <v>19755</v>
      </c>
      <c r="J8369" t="str">
        <f t="shared" si="641"/>
        <v>E:\PropInv\MF\State_FL</v>
      </c>
      <c r="K8369" s="103" t="str">
        <f>HYPERLINK("E:\PropInv\MF\State_FL\Winter Park\New Stonecastle Terrace_2015_Stonecastle_Winter Park_60761","New Stonecastle Terrace_2015_Stonecastle_Winter Park_60761" )</f>
        <v>New Stonecastle Terrace_2015_Stonecastle_Winter Park_60761</v>
      </c>
      <c r="L8369" s="104" t="s">
        <v>19776</v>
      </c>
      <c r="N8369" s="1">
        <f t="shared" si="642"/>
        <v>60761</v>
      </c>
    </row>
    <row r="8370" spans="1:14" x14ac:dyDescent="0.3">
      <c r="A8370" s="1">
        <v>30762</v>
      </c>
      <c r="B8370" s="7" t="s">
        <v>12447</v>
      </c>
      <c r="C8370" s="12">
        <v>2482</v>
      </c>
      <c r="D8370" s="10" t="s">
        <v>12448</v>
      </c>
      <c r="E8370" s="13" t="s">
        <v>12449</v>
      </c>
      <c r="F8370" t="str">
        <f t="shared" si="639"/>
        <v>Lake</v>
      </c>
      <c r="G8370" t="str">
        <f t="shared" si="640"/>
        <v>Lake2482Waldorf</v>
      </c>
      <c r="H8370" t="s">
        <v>39225</v>
      </c>
      <c r="I8370" t="s">
        <v>30628</v>
      </c>
      <c r="J8370" t="str">
        <f t="shared" si="641"/>
        <v>E:\PropInv\MF\State_MD</v>
      </c>
      <c r="K8370" s="103" t="str">
        <f>HYPERLINK("E:\PropInv\MF\State_MD\Waldorf\Lake Dr_2482_Holly Tree_Waldorf_60762","Lake Dr_2482_Holly Tree_Waldorf_60762" )</f>
        <v>Lake Dr_2482_Holly Tree_Waldorf_60762</v>
      </c>
      <c r="L8370" s="104" t="s">
        <v>19779</v>
      </c>
      <c r="N8370" s="1">
        <f t="shared" si="642"/>
        <v>60762</v>
      </c>
    </row>
    <row r="8371" spans="1:14" x14ac:dyDescent="0.3">
      <c r="A8371" s="1">
        <v>30763</v>
      </c>
      <c r="B8371" s="7" t="s">
        <v>12450</v>
      </c>
      <c r="C8371" s="12">
        <v>1350</v>
      </c>
      <c r="D8371" s="10" t="s">
        <v>12451</v>
      </c>
      <c r="E8371" s="13" t="s">
        <v>4363</v>
      </c>
      <c r="F8371" t="str">
        <f t="shared" si="639"/>
        <v>Kelso</v>
      </c>
      <c r="G8371" t="str">
        <f t="shared" si="640"/>
        <v>Kelso1350Henderson</v>
      </c>
      <c r="H8371" t="s">
        <v>39226</v>
      </c>
      <c r="I8371" t="s">
        <v>30629</v>
      </c>
      <c r="J8371" t="str">
        <f t="shared" si="641"/>
        <v>E:\PropInv\MF\State_NV</v>
      </c>
      <c r="K8371" s="103" t="str">
        <f>HYPERLINK("E:\PropInv\MF\State_NV\Henderson\Kelso Dunes Rd_1350_Adobe Ranch_Henderson_60763","Kelso Dunes Rd_1350_Adobe Ranch_Henderson_60763" )</f>
        <v>Kelso Dunes Rd_1350_Adobe Ranch_Henderson_60763</v>
      </c>
      <c r="L8371" s="104" t="s">
        <v>19782</v>
      </c>
      <c r="N8371" s="1">
        <f t="shared" si="642"/>
        <v>60763</v>
      </c>
    </row>
    <row r="8372" spans="1:14" x14ac:dyDescent="0.3">
      <c r="A8372" s="1">
        <v>30764</v>
      </c>
      <c r="B8372" s="7" t="s">
        <v>12452</v>
      </c>
      <c r="C8372" s="12">
        <v>5325</v>
      </c>
      <c r="D8372" s="10" t="s">
        <v>12453</v>
      </c>
      <c r="E8372" s="13" t="s">
        <v>7459</v>
      </c>
      <c r="F8372" t="str">
        <f t="shared" si="639"/>
        <v>Tropicana</v>
      </c>
      <c r="G8372" t="str">
        <f t="shared" si="640"/>
        <v>Tropicana5325Las Vegas</v>
      </c>
      <c r="H8372" t="s">
        <v>39227</v>
      </c>
      <c r="I8372" t="s">
        <v>30630</v>
      </c>
      <c r="J8372" t="str">
        <f t="shared" si="641"/>
        <v>E:\PropInv\MF\State_NV</v>
      </c>
      <c r="K8372" s="103" t="str">
        <f>HYPERLINK("E:\PropInv\MF\State_NV\Las Vegas\Tropicana Ave E_5325_Majestic Heights_Las Vegas_60764","Tropicana Ave E_5325_Majestic Heights_Las Vegas_60764" )</f>
        <v>Tropicana Ave E_5325_Majestic Heights_Las Vegas_60764</v>
      </c>
      <c r="L8372" s="104" t="s">
        <v>19782</v>
      </c>
      <c r="N8372" s="1">
        <f t="shared" si="642"/>
        <v>60764</v>
      </c>
    </row>
    <row r="8373" spans="1:14" x14ac:dyDescent="0.3">
      <c r="A8373" s="1">
        <v>30765</v>
      </c>
      <c r="B8373" s="7" t="s">
        <v>12454</v>
      </c>
      <c r="C8373" s="12">
        <v>5050</v>
      </c>
      <c r="D8373" s="10" t="s">
        <v>8126</v>
      </c>
      <c r="E8373" s="13" t="s">
        <v>7459</v>
      </c>
      <c r="F8373" t="str">
        <f t="shared" si="639"/>
        <v>Tamarus</v>
      </c>
      <c r="G8373" t="str">
        <f t="shared" si="640"/>
        <v>Tamarus5050Las Vegas</v>
      </c>
      <c r="H8373" t="s">
        <v>39228</v>
      </c>
      <c r="I8373" t="s">
        <v>30631</v>
      </c>
      <c r="J8373" t="str">
        <f t="shared" si="641"/>
        <v>E:\PropInv\MF\State_NV</v>
      </c>
      <c r="K8373" s="103" t="str">
        <f>HYPERLINK("E:\PropInv\MF\State_NV\Las Vegas\Tamarus St_5050_Sonterra_Las Vegas_60765","Tamarus St_5050_Sonterra_Las Vegas_60765" )</f>
        <v>Tamarus St_5050_Sonterra_Las Vegas_60765</v>
      </c>
      <c r="L8373" s="104" t="s">
        <v>19782</v>
      </c>
      <c r="N8373" s="1">
        <f t="shared" si="642"/>
        <v>60765</v>
      </c>
    </row>
    <row r="8374" spans="1:14" x14ac:dyDescent="0.3">
      <c r="A8374" s="1">
        <v>30766</v>
      </c>
      <c r="B8374" s="7" t="s">
        <v>12455</v>
      </c>
      <c r="C8374" s="12">
        <v>4775</v>
      </c>
      <c r="D8374" s="10" t="s">
        <v>8104</v>
      </c>
      <c r="E8374" s="13" t="s">
        <v>7459</v>
      </c>
      <c r="F8374" t="str">
        <f t="shared" si="639"/>
        <v>Topaz</v>
      </c>
      <c r="G8374" t="str">
        <f t="shared" si="640"/>
        <v>Topaz4775Las Vegas</v>
      </c>
      <c r="H8374" t="s">
        <v>39229</v>
      </c>
      <c r="I8374" t="s">
        <v>30632</v>
      </c>
      <c r="J8374" t="str">
        <f t="shared" si="641"/>
        <v>E:\PropInv\MF\State_NV</v>
      </c>
      <c r="K8374" s="103" t="str">
        <f>HYPERLINK("E:\PropInv\MF\State_NV\Las Vegas\Topaz St_4775_Toscana Villas_Las Vegas_60766","Topaz St_4775_Toscana Villas_Las Vegas_60766" )</f>
        <v>Topaz St_4775_Toscana Villas_Las Vegas_60766</v>
      </c>
      <c r="L8374" s="104" t="s">
        <v>19782</v>
      </c>
      <c r="N8374" s="1">
        <f t="shared" si="642"/>
        <v>60766</v>
      </c>
    </row>
    <row r="8375" spans="1:14" x14ac:dyDescent="0.3">
      <c r="A8375" s="1">
        <v>30767</v>
      </c>
      <c r="B8375" s="19" t="s">
        <v>12456</v>
      </c>
      <c r="C8375" s="18">
        <v>9303</v>
      </c>
      <c r="D8375" s="16" t="s">
        <v>12457</v>
      </c>
      <c r="E8375" s="20" t="s">
        <v>12458</v>
      </c>
      <c r="F8375" t="str">
        <f t="shared" si="639"/>
        <v>81st</v>
      </c>
      <c r="G8375" t="str">
        <f t="shared" si="640"/>
        <v>81st9303Tulsa</v>
      </c>
      <c r="H8375" t="s">
        <v>39230</v>
      </c>
      <c r="I8375" t="s">
        <v>30633</v>
      </c>
      <c r="J8375" t="str">
        <f t="shared" si="641"/>
        <v>E:\PropInv\MF\State_OK</v>
      </c>
      <c r="K8375" s="103" t="str">
        <f>HYPERLINK("E:\PropInv\MF\State_OK\Tulsa\81st St E_9303_Estancia_Tulsa_60767","81st St E_9303_Estancia_Tulsa_60767" )</f>
        <v>81st St E_9303_Estancia_Tulsa_60767</v>
      </c>
      <c r="L8375" s="104" t="s">
        <v>19785</v>
      </c>
      <c r="N8375" s="1">
        <f t="shared" si="642"/>
        <v>60767</v>
      </c>
    </row>
    <row r="8376" spans="1:14" x14ac:dyDescent="0.3">
      <c r="A8376" s="1">
        <v>30768</v>
      </c>
      <c r="B8376" s="19" t="s">
        <v>12459</v>
      </c>
      <c r="C8376" s="18">
        <v>7705</v>
      </c>
      <c r="D8376" s="16" t="s">
        <v>19473</v>
      </c>
      <c r="E8376" s="20" t="s">
        <v>12458</v>
      </c>
      <c r="F8376" t="str">
        <f t="shared" si="639"/>
        <v>Mingo</v>
      </c>
      <c r="G8376" t="str">
        <f t="shared" si="640"/>
        <v>Mingo7705Tulsa</v>
      </c>
      <c r="H8376" t="s">
        <v>39231</v>
      </c>
      <c r="I8376" t="s">
        <v>30634</v>
      </c>
      <c r="J8376" t="str">
        <f t="shared" si="641"/>
        <v>E:\PropInv\MF\State_OK</v>
      </c>
      <c r="K8376" s="103" t="str">
        <f>HYPERLINK("E:\PropInv\MF\State_OK\Tulsa\Mingo Rd S_7705_Sonoma Grande_Tulsa_60768","Mingo Rd S_7705_Sonoma Grande_Tulsa_60768" )</f>
        <v>Mingo Rd S_7705_Sonoma Grande_Tulsa_60768</v>
      </c>
      <c r="L8376" s="104" t="s">
        <v>19785</v>
      </c>
      <c r="N8376" s="1">
        <f t="shared" si="642"/>
        <v>60768</v>
      </c>
    </row>
    <row r="8377" spans="1:14" ht="15" thickBot="1" x14ac:dyDescent="0.35">
      <c r="A8377" s="1">
        <v>30769</v>
      </c>
      <c r="B8377" s="26" t="s">
        <v>12460</v>
      </c>
      <c r="C8377" s="12">
        <v>4215</v>
      </c>
      <c r="D8377" s="10" t="s">
        <v>12461</v>
      </c>
      <c r="E8377" s="13" t="s">
        <v>12462</v>
      </c>
      <c r="F8377" t="str">
        <f t="shared" si="639"/>
        <v>Bethel</v>
      </c>
      <c r="G8377" t="str">
        <f t="shared" si="640"/>
        <v>Bethel4215Columbia</v>
      </c>
      <c r="H8377" t="s">
        <v>39232</v>
      </c>
      <c r="I8377" t="s">
        <v>30635</v>
      </c>
      <c r="J8377" t="str">
        <f t="shared" si="641"/>
        <v>E:\PropInv\MF\State_SC</v>
      </c>
      <c r="K8377" s="103" t="str">
        <f>HYPERLINK("E:\PropInv\MF\State_SC\Columbia\Bethel Church Rd_4215_Ravenwood Hills_Columbia_60769","Bethel Church Rd_4215_Ravenwood Hills_Columbia_60769" )</f>
        <v>Bethel Church Rd_4215_Ravenwood Hills_Columbia_60769</v>
      </c>
      <c r="L8377" s="104" t="s">
        <v>19788</v>
      </c>
      <c r="N8377" s="1">
        <f t="shared" si="642"/>
        <v>60769</v>
      </c>
    </row>
    <row r="8378" spans="1:14" ht="15" thickBot="1" x14ac:dyDescent="0.35">
      <c r="A8378" s="1">
        <v>30770</v>
      </c>
      <c r="B8378" s="26" t="s">
        <v>12463</v>
      </c>
      <c r="C8378" s="27">
        <v>20900</v>
      </c>
      <c r="D8378" s="10" t="s">
        <v>12464</v>
      </c>
      <c r="E8378" s="28" t="s">
        <v>12465</v>
      </c>
      <c r="F8378" t="str">
        <f t="shared" si="639"/>
        <v>River</v>
      </c>
      <c r="G8378" t="str">
        <f t="shared" si="640"/>
        <v>River20900Petersburg</v>
      </c>
      <c r="H8378" t="s">
        <v>39233</v>
      </c>
      <c r="I8378" t="s">
        <v>30636</v>
      </c>
      <c r="J8378" t="str">
        <f t="shared" si="641"/>
        <v>E:\PropInv\MF\State_VA</v>
      </c>
      <c r="K8378" s="103" t="str">
        <f>HYPERLINK("E:\PropInv\MF\State_VA\Petersburg\River Terrace Rd_20900_River Road Terrace_Petersburg_60770","River Terrace Rd_20900_River Road Terrace_Petersburg_60770" )</f>
        <v>River Terrace Rd_20900_River Road Terrace_Petersburg_60770</v>
      </c>
      <c r="L8378" s="104" t="s">
        <v>19791</v>
      </c>
      <c r="N8378" s="1">
        <f t="shared" si="642"/>
        <v>60770</v>
      </c>
    </row>
    <row r="8379" spans="1:14" x14ac:dyDescent="0.3">
      <c r="A8379" s="108" t="s">
        <v>12466</v>
      </c>
      <c r="B8379" s="74" t="s">
        <v>9454</v>
      </c>
      <c r="C8379" s="74">
        <v>155</v>
      </c>
      <c r="D8379" s="74" t="s">
        <v>12467</v>
      </c>
      <c r="E8379" s="75" t="s">
        <v>6555</v>
      </c>
      <c r="F8379" t="str">
        <f t="shared" si="639"/>
        <v>3rd</v>
      </c>
      <c r="G8379" t="str">
        <f t="shared" si="640"/>
        <v>3rd155Arlington</v>
      </c>
      <c r="H8379" t="s">
        <v>39234</v>
      </c>
      <c r="I8379" t="s">
        <v>30637</v>
      </c>
      <c r="J8379" t="str">
        <f t="shared" si="641"/>
        <v>E:\PropInv\MF</v>
      </c>
      <c r="K8379" s="103" t="str">
        <f>HYPERLINK("E:\PropInv\MF\Arlington\3rd St W_155_Alpha Delta Apts_Arlington_90001","3rd St W_155_Alpha Delta Apts_Arlington_90001" )</f>
        <v>3rd St W_155_Alpha Delta Apts_Arlington_90001</v>
      </c>
      <c r="L8379" s="104" t="s">
        <v>22253</v>
      </c>
      <c r="N8379" s="108">
        <f t="shared" ref="N8379:N8442" si="643">RIGHT(A8379,LEN(A8379)-2)+90000</f>
        <v>90001</v>
      </c>
    </row>
    <row r="8380" spans="1:14" x14ac:dyDescent="0.3">
      <c r="A8380" s="108" t="s">
        <v>12468</v>
      </c>
      <c r="B8380" s="76" t="s">
        <v>12469</v>
      </c>
      <c r="C8380" s="76">
        <v>615</v>
      </c>
      <c r="D8380" s="76" t="s">
        <v>2497</v>
      </c>
      <c r="E8380" s="77" t="s">
        <v>6555</v>
      </c>
      <c r="F8380" t="str">
        <f t="shared" ref="F8380:F8443" si="644">IFERROR(LEFT(B8380,FIND(" ",B8380)-1),B8380)</f>
        <v>Starlinda</v>
      </c>
      <c r="G8380" t="str">
        <f t="shared" ref="G8380:G8443" si="645">F8380&amp;C8380&amp;E8380</f>
        <v>Starlinda615Arlington</v>
      </c>
      <c r="H8380" t="s">
        <v>39235</v>
      </c>
      <c r="I8380" t="s">
        <v>30638</v>
      </c>
      <c r="J8380" t="str">
        <f t="shared" ref="J8380:J8443" si="646">IF(L8380="TX",Folder_Path,Folder_Path&amp;"\State_"&amp;L8380)</f>
        <v>E:\PropInv\MF</v>
      </c>
      <c r="K8380" s="103" t="str">
        <f>HYPERLINK("E:\PropInv\MF\Arlington\Starlinda Ct_615_NF_Arlington_90010","Starlinda Ct_615_NF_Arlington_90010" )</f>
        <v>Starlinda Ct_615_NF_Arlington_90010</v>
      </c>
      <c r="L8380" s="104" t="s">
        <v>22253</v>
      </c>
      <c r="N8380" s="108">
        <f t="shared" si="643"/>
        <v>90010</v>
      </c>
    </row>
    <row r="8381" spans="1:14" x14ac:dyDescent="0.3">
      <c r="A8381" s="108" t="s">
        <v>12470</v>
      </c>
      <c r="B8381" s="77" t="s">
        <v>12471</v>
      </c>
      <c r="C8381" s="77" t="s">
        <v>12472</v>
      </c>
      <c r="D8381" s="76" t="s">
        <v>12473</v>
      </c>
      <c r="E8381" s="76" t="s">
        <v>5097</v>
      </c>
      <c r="F8381" t="str">
        <f t="shared" si="644"/>
        <v>Charlotte</v>
      </c>
      <c r="G8381" t="str">
        <f t="shared" si="645"/>
        <v>Charlotte2409-2413Denton</v>
      </c>
      <c r="H8381" t="s">
        <v>39236</v>
      </c>
      <c r="I8381" t="s">
        <v>15746</v>
      </c>
      <c r="J8381" t="str">
        <f t="shared" si="646"/>
        <v>E:\PropInv\MF</v>
      </c>
      <c r="K8381" s="103" t="str">
        <f>HYPERLINK("E:\PropInv\MF\Denton\Charlotte_2409-2413_Scholars Inn_Denton_90100","Charlotte_2409-2413_Scholars Inn_Denton_90100" )</f>
        <v>Charlotte_2409-2413_Scholars Inn_Denton_90100</v>
      </c>
      <c r="L8381" s="104" t="s">
        <v>22253</v>
      </c>
      <c r="N8381" s="108">
        <f t="shared" si="643"/>
        <v>90100</v>
      </c>
    </row>
    <row r="8382" spans="1:14" x14ac:dyDescent="0.3">
      <c r="A8382" s="108" t="s">
        <v>12474</v>
      </c>
      <c r="B8382" s="75" t="s">
        <v>12475</v>
      </c>
      <c r="C8382" s="75" t="s">
        <v>12476</v>
      </c>
      <c r="D8382" s="74" t="s">
        <v>12477</v>
      </c>
      <c r="E8382" s="74" t="s">
        <v>5097</v>
      </c>
      <c r="F8382" t="str">
        <f t="shared" si="644"/>
        <v>Charlotte</v>
      </c>
      <c r="G8382" t="str">
        <f t="shared" si="645"/>
        <v>Charlotte2422-2428 Denton</v>
      </c>
      <c r="H8382" t="s">
        <v>39237</v>
      </c>
      <c r="I8382" t="s">
        <v>30639</v>
      </c>
      <c r="J8382" t="str">
        <f t="shared" si="646"/>
        <v>E:\PropInv\MF</v>
      </c>
      <c r="K8382" s="103" t="str">
        <f>HYPERLINK("E:\PropInv\MF\Denton\Charlotte St_2422-2428 _Charlotte Place Apts_Denton_90101","Charlotte St_2422-2428 _Charlotte Place Apts_Denton_90101" )</f>
        <v>Charlotte St_2422-2428 _Charlotte Place Apts_Denton_90101</v>
      </c>
      <c r="L8382" s="104" t="s">
        <v>22253</v>
      </c>
      <c r="N8382" s="108">
        <f t="shared" si="643"/>
        <v>90101</v>
      </c>
    </row>
    <row r="8383" spans="1:14" x14ac:dyDescent="0.3">
      <c r="A8383" s="108" t="s">
        <v>12478</v>
      </c>
      <c r="B8383" s="76" t="s">
        <v>10087</v>
      </c>
      <c r="C8383" s="76" t="s">
        <v>12479</v>
      </c>
      <c r="D8383" s="77" t="s">
        <v>11807</v>
      </c>
      <c r="E8383" s="77" t="s">
        <v>5097</v>
      </c>
      <c r="F8383" t="str">
        <f t="shared" si="644"/>
        <v>Eagle</v>
      </c>
      <c r="G8383" t="str">
        <f t="shared" si="645"/>
        <v>Eagle1112-1116Denton</v>
      </c>
      <c r="H8383" t="s">
        <v>39238</v>
      </c>
      <c r="I8383" t="s">
        <v>30640</v>
      </c>
      <c r="J8383" t="str">
        <f t="shared" si="646"/>
        <v>E:\PropInv\MF</v>
      </c>
      <c r="K8383" s="103" t="str">
        <f>HYPERLINK("E:\PropInv\MF\Denton\Eagle Dr_1112-1116_The Village Apts_Denton_90102","Eagle Dr_1112-1116_The Village Apts_Denton_90102" )</f>
        <v>Eagle Dr_1112-1116_The Village Apts_Denton_90102</v>
      </c>
      <c r="L8383" s="104" t="s">
        <v>22253</v>
      </c>
      <c r="N8383" s="108">
        <f t="shared" si="643"/>
        <v>90102</v>
      </c>
    </row>
    <row r="8384" spans="1:14" x14ac:dyDescent="0.3">
      <c r="A8384" s="108" t="s">
        <v>12480</v>
      </c>
      <c r="B8384" s="76" t="s">
        <v>12481</v>
      </c>
      <c r="C8384" s="76">
        <v>612</v>
      </c>
      <c r="D8384" s="76" t="s">
        <v>2497</v>
      </c>
      <c r="E8384" s="77" t="s">
        <v>5097</v>
      </c>
      <c r="F8384" t="str">
        <f t="shared" si="644"/>
        <v>Fallmeadow</v>
      </c>
      <c r="G8384" t="str">
        <f t="shared" si="645"/>
        <v>Fallmeadow612Denton</v>
      </c>
      <c r="H8384" t="s">
        <v>39239</v>
      </c>
      <c r="I8384" t="s">
        <v>30641</v>
      </c>
      <c r="J8384" t="str">
        <f t="shared" si="646"/>
        <v>E:\PropInv\MF</v>
      </c>
      <c r="K8384" s="103" t="str">
        <f>HYPERLINK("E:\PropInv\MF\Denton\Fallmeadow CT_612_NF_Denton_90103","Fallmeadow CT_612_NF_Denton_90103" )</f>
        <v>Fallmeadow CT_612_NF_Denton_90103</v>
      </c>
      <c r="L8384" s="104" t="s">
        <v>22253</v>
      </c>
      <c r="N8384" s="108">
        <f t="shared" si="643"/>
        <v>90103</v>
      </c>
    </row>
    <row r="8385" spans="1:14" x14ac:dyDescent="0.3">
      <c r="A8385" s="108" t="s">
        <v>12482</v>
      </c>
      <c r="B8385" s="76" t="s">
        <v>12483</v>
      </c>
      <c r="C8385" s="76">
        <v>3211</v>
      </c>
      <c r="D8385" s="76" t="s">
        <v>2497</v>
      </c>
      <c r="E8385" s="77" t="s">
        <v>5097</v>
      </c>
      <c r="F8385" t="str">
        <f t="shared" si="644"/>
        <v>Fallmeadow</v>
      </c>
      <c r="G8385" t="str">
        <f t="shared" si="645"/>
        <v>Fallmeadow3211Denton</v>
      </c>
      <c r="H8385" t="s">
        <v>39240</v>
      </c>
      <c r="I8385" t="s">
        <v>30642</v>
      </c>
      <c r="J8385" t="str">
        <f t="shared" si="646"/>
        <v>E:\PropInv\MF</v>
      </c>
      <c r="K8385" s="103" t="str">
        <f>HYPERLINK("E:\PropInv\MF\Denton\Fallmeadow St_3211_NF_Denton_90104","Fallmeadow St_3211_NF_Denton_90104" )</f>
        <v>Fallmeadow St_3211_NF_Denton_90104</v>
      </c>
      <c r="L8385" s="104" t="s">
        <v>22253</v>
      </c>
      <c r="N8385" s="108">
        <f t="shared" si="643"/>
        <v>90104</v>
      </c>
    </row>
    <row r="8386" spans="1:14" x14ac:dyDescent="0.3">
      <c r="A8386" s="108" t="s">
        <v>12484</v>
      </c>
      <c r="B8386" s="74" t="s">
        <v>2520</v>
      </c>
      <c r="C8386" s="75">
        <v>425</v>
      </c>
      <c r="D8386" s="74" t="s">
        <v>12485</v>
      </c>
      <c r="E8386" s="75" t="s">
        <v>5097</v>
      </c>
      <c r="F8386" t="str">
        <f t="shared" si="644"/>
        <v>Fulton</v>
      </c>
      <c r="G8386" t="str">
        <f t="shared" si="645"/>
        <v>Fulton425Denton</v>
      </c>
      <c r="H8386" t="s">
        <v>39241</v>
      </c>
      <c r="I8386" t="s">
        <v>30643</v>
      </c>
      <c r="J8386" t="str">
        <f t="shared" si="646"/>
        <v>E:\PropInv\MF</v>
      </c>
      <c r="K8386" s="103" t="str">
        <f>HYPERLINK("E:\PropInv\MF\Denton\Fulton_425_Cabernet Apts_Denton_90105","Fulton_425_Cabernet Apts_Denton_90105" )</f>
        <v>Fulton_425_Cabernet Apts_Denton_90105</v>
      </c>
      <c r="L8386" s="104" t="s">
        <v>22253</v>
      </c>
      <c r="N8386" s="108">
        <f t="shared" si="643"/>
        <v>90105</v>
      </c>
    </row>
    <row r="8387" spans="1:14" x14ac:dyDescent="0.3">
      <c r="A8387" s="108" t="s">
        <v>12486</v>
      </c>
      <c r="B8387" s="75" t="s">
        <v>12487</v>
      </c>
      <c r="C8387" s="75">
        <v>709</v>
      </c>
      <c r="D8387" s="74" t="s">
        <v>12488</v>
      </c>
      <c r="E8387" s="74" t="s">
        <v>5097</v>
      </c>
      <c r="F8387" t="str">
        <f t="shared" si="644"/>
        <v>Hercules</v>
      </c>
      <c r="G8387" t="str">
        <f t="shared" si="645"/>
        <v>Hercules709Denton</v>
      </c>
      <c r="H8387" t="s">
        <v>39242</v>
      </c>
      <c r="I8387" t="s">
        <v>30644</v>
      </c>
      <c r="J8387" t="str">
        <f t="shared" si="646"/>
        <v>E:\PropInv\MF</v>
      </c>
      <c r="K8387" s="103" t="str">
        <f>HYPERLINK("E:\PropInv\MF\Denton\Hercules Ln_709_Crystalwood Apts_Denton_90106","Hercules Ln_709_Crystalwood Apts_Denton_90106" )</f>
        <v>Hercules Ln_709_Crystalwood Apts_Denton_90106</v>
      </c>
      <c r="L8387" s="104" t="s">
        <v>22253</v>
      </c>
      <c r="N8387" s="108">
        <f t="shared" si="643"/>
        <v>90106</v>
      </c>
    </row>
    <row r="8388" spans="1:14" x14ac:dyDescent="0.3">
      <c r="A8388" s="108" t="s">
        <v>12489</v>
      </c>
      <c r="B8388" s="77" t="s">
        <v>12490</v>
      </c>
      <c r="C8388" s="76">
        <v>2425</v>
      </c>
      <c r="D8388" s="77" t="s">
        <v>20</v>
      </c>
      <c r="E8388" s="76" t="s">
        <v>5097</v>
      </c>
      <c r="F8388" t="str">
        <f t="shared" si="644"/>
        <v>Louise</v>
      </c>
      <c r="G8388" t="str">
        <f t="shared" si="645"/>
        <v>Louise2425Denton</v>
      </c>
      <c r="H8388" t="s">
        <v>39243</v>
      </c>
      <c r="I8388" t="s">
        <v>30645</v>
      </c>
      <c r="J8388" t="str">
        <f t="shared" si="646"/>
        <v>E:\PropInv\MF</v>
      </c>
      <c r="K8388" s="103" t="str">
        <f>HYPERLINK("E:\PropInv\MF\Denton\Louise St_2425_The Arbor_Denton_90107","Louise St_2425_The Arbor_Denton_90107" )</f>
        <v>Louise St_2425_The Arbor_Denton_90107</v>
      </c>
      <c r="L8388" s="104" t="s">
        <v>22253</v>
      </c>
      <c r="N8388" s="108">
        <f t="shared" si="643"/>
        <v>90107</v>
      </c>
    </row>
    <row r="8389" spans="1:14" x14ac:dyDescent="0.3">
      <c r="A8389" s="108" t="s">
        <v>12491</v>
      </c>
      <c r="B8389" s="75" t="s">
        <v>12492</v>
      </c>
      <c r="C8389" s="75">
        <v>1100</v>
      </c>
      <c r="D8389" s="74" t="s">
        <v>12493</v>
      </c>
      <c r="E8389" s="74" t="s">
        <v>5097</v>
      </c>
      <c r="F8389" t="str">
        <f t="shared" si="644"/>
        <v>Palmwood</v>
      </c>
      <c r="G8389" t="str">
        <f t="shared" si="645"/>
        <v>Palmwood1100Denton</v>
      </c>
      <c r="H8389" t="s">
        <v>39244</v>
      </c>
      <c r="I8389" t="s">
        <v>30646</v>
      </c>
      <c r="J8389" t="str">
        <f t="shared" si="646"/>
        <v>E:\PropInv\MF</v>
      </c>
      <c r="K8389" s="103" t="str">
        <f>HYPERLINK("E:\PropInv\MF\Denton\Palmwood PI_1100_Palmwood Apts_Denton_90108","Palmwood PI_1100_Palmwood Apts_Denton_90108" )</f>
        <v>Palmwood PI_1100_Palmwood Apts_Denton_90108</v>
      </c>
      <c r="L8389" s="104" t="s">
        <v>22253</v>
      </c>
      <c r="N8389" s="108">
        <f t="shared" si="643"/>
        <v>90108</v>
      </c>
    </row>
    <row r="8390" spans="1:14" x14ac:dyDescent="0.3">
      <c r="A8390" s="108" t="s">
        <v>12494</v>
      </c>
      <c r="B8390" s="76" t="s">
        <v>12495</v>
      </c>
      <c r="C8390" s="76" t="s">
        <v>12496</v>
      </c>
      <c r="D8390" s="77" t="s">
        <v>12488</v>
      </c>
      <c r="E8390" s="77" t="s">
        <v>5097</v>
      </c>
      <c r="F8390" t="str">
        <f t="shared" si="644"/>
        <v>Stuart</v>
      </c>
      <c r="G8390" t="str">
        <f t="shared" si="645"/>
        <v>Stuart3817-3827Denton</v>
      </c>
      <c r="H8390" t="s">
        <v>39245</v>
      </c>
      <c r="I8390" t="s">
        <v>30647</v>
      </c>
      <c r="J8390" t="str">
        <f t="shared" si="646"/>
        <v>E:\PropInv\MF</v>
      </c>
      <c r="K8390" s="103" t="str">
        <f>HYPERLINK("E:\PropInv\MF\Denton\Stuart Rd_3817-3827_Crystalwood Apts_Denton_90109","Stuart Rd_3817-3827_Crystalwood Apts_Denton_90109" )</f>
        <v>Stuart Rd_3817-3827_Crystalwood Apts_Denton_90109</v>
      </c>
      <c r="L8390" s="104" t="s">
        <v>22253</v>
      </c>
      <c r="N8390" s="108">
        <f t="shared" si="643"/>
        <v>90109</v>
      </c>
    </row>
    <row r="8391" spans="1:14" x14ac:dyDescent="0.3">
      <c r="A8391" s="108" t="s">
        <v>12497</v>
      </c>
      <c r="B8391" s="75" t="s">
        <v>12498</v>
      </c>
      <c r="C8391" s="75">
        <v>418</v>
      </c>
      <c r="D8391" s="75" t="s">
        <v>2497</v>
      </c>
      <c r="E8391" s="75" t="s">
        <v>12499</v>
      </c>
      <c r="F8391" t="str">
        <f t="shared" si="644"/>
        <v>Demoye</v>
      </c>
      <c r="G8391" t="str">
        <f t="shared" si="645"/>
        <v>Demoye418Aubrey</v>
      </c>
      <c r="H8391" t="s">
        <v>39246</v>
      </c>
      <c r="I8391" t="s">
        <v>30648</v>
      </c>
      <c r="J8391" t="str">
        <f t="shared" si="646"/>
        <v>E:\PropInv\MF</v>
      </c>
      <c r="K8391" s="103" t="str">
        <f>HYPERLINK("E:\PropInv\MF\Aubrey\Demoye_418_NF_Aubrey_90011","Demoye_418_NF_Aubrey_90011" )</f>
        <v>Demoye_418_NF_Aubrey_90011</v>
      </c>
      <c r="L8391" s="104" t="s">
        <v>22253</v>
      </c>
      <c r="N8391" s="108">
        <f t="shared" si="643"/>
        <v>90011</v>
      </c>
    </row>
    <row r="8392" spans="1:14" x14ac:dyDescent="0.3">
      <c r="A8392" s="108" t="s">
        <v>12500</v>
      </c>
      <c r="B8392" s="76" t="s">
        <v>8008</v>
      </c>
      <c r="C8392" s="76">
        <v>1127</v>
      </c>
      <c r="D8392" s="76" t="s">
        <v>2497</v>
      </c>
      <c r="E8392" s="76" t="s">
        <v>5097</v>
      </c>
      <c r="F8392" t="str">
        <f t="shared" si="644"/>
        <v>Vine</v>
      </c>
      <c r="G8392" t="str">
        <f t="shared" si="645"/>
        <v>Vine1127Denton</v>
      </c>
      <c r="H8392" t="s">
        <v>39247</v>
      </c>
      <c r="I8392" t="s">
        <v>30649</v>
      </c>
      <c r="J8392" t="str">
        <f t="shared" si="646"/>
        <v>E:\PropInv\MF</v>
      </c>
      <c r="K8392" s="103" t="str">
        <f>HYPERLINK("E:\PropInv\MF\Denton\Vine_1127_NF_Denton_90110","Vine_1127_NF_Denton_90110" )</f>
        <v>Vine_1127_NF_Denton_90110</v>
      </c>
      <c r="L8392" s="104" t="s">
        <v>22253</v>
      </c>
      <c r="N8392" s="108">
        <f t="shared" si="643"/>
        <v>90110</v>
      </c>
    </row>
    <row r="8393" spans="1:14" x14ac:dyDescent="0.3">
      <c r="A8393" s="108" t="s">
        <v>12501</v>
      </c>
      <c r="B8393" s="76" t="s">
        <v>12502</v>
      </c>
      <c r="C8393" s="76">
        <v>902</v>
      </c>
      <c r="D8393" s="76" t="s">
        <v>12503</v>
      </c>
      <c r="E8393" s="76" t="s">
        <v>5097</v>
      </c>
      <c r="F8393" t="str">
        <f t="shared" si="644"/>
        <v>Vine</v>
      </c>
      <c r="G8393" t="str">
        <f t="shared" si="645"/>
        <v>Vine902Denton</v>
      </c>
      <c r="H8393" t="s">
        <v>39248</v>
      </c>
      <c r="I8393" t="s">
        <v>30650</v>
      </c>
      <c r="J8393" t="str">
        <f t="shared" si="646"/>
        <v>E:\PropInv\MF</v>
      </c>
      <c r="K8393" s="103" t="str">
        <f>HYPERLINK("E:\PropInv\MF\Denton\Vine St_902_Vineyard Apts_Denton_90111","Vine St_902_Vineyard Apts_Denton_90111" )</f>
        <v>Vine St_902_Vineyard Apts_Denton_90111</v>
      </c>
      <c r="L8393" s="104" t="s">
        <v>22253</v>
      </c>
      <c r="N8393" s="108">
        <f t="shared" si="643"/>
        <v>90111</v>
      </c>
    </row>
    <row r="8394" spans="1:14" x14ac:dyDescent="0.3">
      <c r="A8394" s="108" t="s">
        <v>12504</v>
      </c>
      <c r="B8394" s="74" t="s">
        <v>6959</v>
      </c>
      <c r="C8394" s="75">
        <v>510</v>
      </c>
      <c r="D8394" s="74" t="s">
        <v>12505</v>
      </c>
      <c r="E8394" s="75" t="s">
        <v>5195</v>
      </c>
      <c r="F8394" t="str">
        <f t="shared" si="644"/>
        <v>Belt</v>
      </c>
      <c r="G8394" t="str">
        <f t="shared" si="645"/>
        <v>Belt510Desoto</v>
      </c>
      <c r="H8394" t="s">
        <v>39249</v>
      </c>
      <c r="I8394" t="s">
        <v>30651</v>
      </c>
      <c r="J8394" t="str">
        <f t="shared" si="646"/>
        <v>E:\PropInv\MF</v>
      </c>
      <c r="K8394" s="103" t="str">
        <f>HYPERLINK("E:\PropInv\MF\Desoto\Belt Line Rd E_510_Cottonwood Apts_Desoto_90112","Belt Line Rd E_510_Cottonwood Apts_Desoto_90112" )</f>
        <v>Belt Line Rd E_510_Cottonwood Apts_Desoto_90112</v>
      </c>
      <c r="L8394" s="104" t="s">
        <v>22253</v>
      </c>
      <c r="N8394" s="108">
        <f t="shared" si="643"/>
        <v>90112</v>
      </c>
    </row>
    <row r="8395" spans="1:14" x14ac:dyDescent="0.3">
      <c r="A8395" s="108" t="s">
        <v>12506</v>
      </c>
      <c r="B8395" s="76" t="s">
        <v>5839</v>
      </c>
      <c r="C8395" s="76">
        <v>518</v>
      </c>
      <c r="D8395" s="76" t="s">
        <v>12507</v>
      </c>
      <c r="E8395" s="76" t="s">
        <v>5195</v>
      </c>
      <c r="F8395" t="str">
        <f t="shared" si="644"/>
        <v>Hampton</v>
      </c>
      <c r="G8395" t="str">
        <f t="shared" si="645"/>
        <v>Hampton518Desoto</v>
      </c>
      <c r="H8395" t="s">
        <v>39250</v>
      </c>
      <c r="I8395" t="s">
        <v>30652</v>
      </c>
      <c r="J8395" t="str">
        <f t="shared" si="646"/>
        <v>E:\PropInv\MF</v>
      </c>
      <c r="K8395" s="103" t="str">
        <f>HYPERLINK("E:\PropInv\MF\Desoto\Hampton N_518_Hampton Gardens Apts_Desoto_90113","Hampton N_518_Hampton Gardens Apts_Desoto_90113" )</f>
        <v>Hampton N_518_Hampton Gardens Apts_Desoto_90113</v>
      </c>
      <c r="L8395" s="104" t="s">
        <v>22253</v>
      </c>
      <c r="N8395" s="108">
        <f t="shared" si="643"/>
        <v>90113</v>
      </c>
    </row>
    <row r="8396" spans="1:14" x14ac:dyDescent="0.3">
      <c r="A8396" s="108" t="s">
        <v>12508</v>
      </c>
      <c r="B8396" s="74" t="s">
        <v>12509</v>
      </c>
      <c r="C8396" s="75" t="s">
        <v>12510</v>
      </c>
      <c r="D8396" s="74" t="s">
        <v>2497</v>
      </c>
      <c r="E8396" s="75" t="s">
        <v>6570</v>
      </c>
      <c r="F8396" t="str">
        <f t="shared" si="644"/>
        <v>Cardinal</v>
      </c>
      <c r="G8396" t="str">
        <f t="shared" si="645"/>
        <v>Cardinal1303-1701Ennis</v>
      </c>
      <c r="H8396" t="s">
        <v>39251</v>
      </c>
      <c r="I8396" t="s">
        <v>30653</v>
      </c>
      <c r="J8396" t="str">
        <f t="shared" si="646"/>
        <v>E:\PropInv\MF</v>
      </c>
      <c r="K8396" s="103" t="str">
        <f>HYPERLINK("E:\PropInv\MF\Ennis\Cardinal E_1303-1701_NF_Ennis_90114","Cardinal E_1303-1701_NF_Ennis_90114" )</f>
        <v>Cardinal E_1303-1701_NF_Ennis_90114</v>
      </c>
      <c r="L8396" s="104" t="s">
        <v>22253</v>
      </c>
      <c r="N8396" s="108">
        <f t="shared" si="643"/>
        <v>90114</v>
      </c>
    </row>
    <row r="8397" spans="1:14" x14ac:dyDescent="0.3">
      <c r="A8397" s="108" t="s">
        <v>12511</v>
      </c>
      <c r="B8397" s="75" t="s">
        <v>12512</v>
      </c>
      <c r="C8397" s="75">
        <v>505</v>
      </c>
      <c r="D8397" s="74" t="s">
        <v>12513</v>
      </c>
      <c r="E8397" s="74" t="s">
        <v>5781</v>
      </c>
      <c r="F8397" t="str">
        <f t="shared" si="644"/>
        <v>Alexander</v>
      </c>
      <c r="G8397" t="str">
        <f t="shared" si="645"/>
        <v>Alexander505Euless</v>
      </c>
      <c r="H8397" t="s">
        <v>39252</v>
      </c>
      <c r="I8397" t="s">
        <v>30654</v>
      </c>
      <c r="J8397" t="str">
        <f t="shared" si="646"/>
        <v>E:\PropInv\MF</v>
      </c>
      <c r="K8397" s="103" t="str">
        <f>HYPERLINK("E:\PropInv\MF\Euless\Alexander Ln E_505_Emerald Gardens_Euless_90115","Alexander Ln E_505_Emerald Gardens_Euless_90115" )</f>
        <v>Alexander Ln E_505_Emerald Gardens_Euless_90115</v>
      </c>
      <c r="L8397" s="104" t="s">
        <v>22253</v>
      </c>
      <c r="N8397" s="108">
        <f t="shared" si="643"/>
        <v>90115</v>
      </c>
    </row>
    <row r="8398" spans="1:14" x14ac:dyDescent="0.3">
      <c r="A8398" s="108" t="s">
        <v>12514</v>
      </c>
      <c r="B8398" s="77" t="s">
        <v>12515</v>
      </c>
      <c r="C8398" s="77" t="s">
        <v>12516</v>
      </c>
      <c r="D8398" s="77" t="s">
        <v>12517</v>
      </c>
      <c r="E8398" s="77" t="s">
        <v>5014</v>
      </c>
      <c r="F8398" t="str">
        <f t="shared" si="644"/>
        <v>Birchman</v>
      </c>
      <c r="G8398" t="str">
        <f t="shared" si="645"/>
        <v>Birchman5504 &amp; 5508Fort Worth</v>
      </c>
      <c r="H8398" t="s">
        <v>39253</v>
      </c>
      <c r="I8398" t="s">
        <v>30655</v>
      </c>
      <c r="J8398" t="str">
        <f t="shared" si="646"/>
        <v>E:\PropInv\MF</v>
      </c>
      <c r="K8398" s="103" t="str">
        <f>HYPERLINK("E:\PropInv\MF\Fort Worth\Birchman Ave_5504 &amp; 5508_Birchman Plaza_Fort Worth_90116","Birchman Ave_5504 &amp; 5508_Birchman Plaza_Fort Worth_90116" )</f>
        <v>Birchman Ave_5504 &amp; 5508_Birchman Plaza_Fort Worth_90116</v>
      </c>
      <c r="L8398" s="104" t="s">
        <v>22253</v>
      </c>
      <c r="N8398" s="108">
        <f t="shared" si="643"/>
        <v>90116</v>
      </c>
    </row>
    <row r="8399" spans="1:14" x14ac:dyDescent="0.3">
      <c r="A8399" s="108" t="s">
        <v>12518</v>
      </c>
      <c r="B8399" s="76" t="s">
        <v>7285</v>
      </c>
      <c r="C8399" s="76" t="s">
        <v>12519</v>
      </c>
      <c r="D8399" s="77" t="s">
        <v>12520</v>
      </c>
      <c r="E8399" s="76" t="s">
        <v>5014</v>
      </c>
      <c r="F8399" t="str">
        <f t="shared" si="644"/>
        <v>Boca</v>
      </c>
      <c r="G8399" t="str">
        <f t="shared" si="645"/>
        <v>Boca5514-5634Fort Worth</v>
      </c>
      <c r="H8399" t="s">
        <v>39254</v>
      </c>
      <c r="I8399" t="s">
        <v>30656</v>
      </c>
      <c r="J8399" t="str">
        <f t="shared" si="646"/>
        <v>E:\PropInv\MF</v>
      </c>
      <c r="K8399" s="103" t="str">
        <f>HYPERLINK("E:\PropInv\MF\Fort Worth\Boca Raton Blvd_5514-5634_Boca Club Condos_Fort Worth_90117","Boca Raton Blvd_5514-5634_Boca Club Condos_Fort Worth_90117" )</f>
        <v>Boca Raton Blvd_5514-5634_Boca Club Condos_Fort Worth_90117</v>
      </c>
      <c r="L8399" s="104" t="s">
        <v>22253</v>
      </c>
      <c r="N8399" s="108">
        <f t="shared" si="643"/>
        <v>90117</v>
      </c>
    </row>
    <row r="8400" spans="1:14" x14ac:dyDescent="0.3">
      <c r="A8400" s="108" t="s">
        <v>12521</v>
      </c>
      <c r="B8400" s="75" t="s">
        <v>7064</v>
      </c>
      <c r="C8400" s="75">
        <v>3737</v>
      </c>
      <c r="D8400" s="75" t="s">
        <v>2497</v>
      </c>
      <c r="E8400" s="74" t="s">
        <v>5014</v>
      </c>
      <c r="F8400" t="str">
        <f t="shared" si="644"/>
        <v>Bonnie</v>
      </c>
      <c r="G8400" t="str">
        <f t="shared" si="645"/>
        <v>Bonnie3737Fort Worth</v>
      </c>
      <c r="H8400" t="s">
        <v>39255</v>
      </c>
      <c r="I8400" t="s">
        <v>30657</v>
      </c>
      <c r="J8400" t="str">
        <f t="shared" si="646"/>
        <v>E:\PropInv\MF</v>
      </c>
      <c r="K8400" s="103" t="str">
        <f>HYPERLINK("E:\PropInv\MF\Fort Worth\Bonnie Dr_3737_NF_Fort Worth_90118","Bonnie Dr_3737_NF_Fort Worth_90118" )</f>
        <v>Bonnie Dr_3737_NF_Fort Worth_90118</v>
      </c>
      <c r="L8400" s="104" t="s">
        <v>22253</v>
      </c>
      <c r="N8400" s="108">
        <f t="shared" si="643"/>
        <v>90118</v>
      </c>
    </row>
    <row r="8401" spans="1:14" x14ac:dyDescent="0.3">
      <c r="A8401" s="108" t="s">
        <v>12522</v>
      </c>
      <c r="B8401" s="76" t="s">
        <v>12523</v>
      </c>
      <c r="C8401" s="76">
        <v>4538</v>
      </c>
      <c r="D8401" s="76" t="s">
        <v>12524</v>
      </c>
      <c r="E8401" s="76" t="s">
        <v>5014</v>
      </c>
      <c r="F8401" t="str">
        <f t="shared" si="644"/>
        <v>Byers</v>
      </c>
      <c r="G8401" t="str">
        <f t="shared" si="645"/>
        <v>Byers4538Fort Worth</v>
      </c>
      <c r="H8401" t="s">
        <v>39256</v>
      </c>
      <c r="I8401" t="s">
        <v>30658</v>
      </c>
      <c r="J8401" t="str">
        <f t="shared" si="646"/>
        <v>E:\PropInv\MF</v>
      </c>
      <c r="K8401" s="103" t="str">
        <f>HYPERLINK("E:\PropInv\MF\Fort Worth\Byers Ave_4538_CHAPARRAL Apts_Fort Worth_90119","Byers Ave_4538_CHAPARRAL Apts_Fort Worth_90119" )</f>
        <v>Byers Ave_4538_CHAPARRAL Apts_Fort Worth_90119</v>
      </c>
      <c r="L8401" s="104" t="s">
        <v>22253</v>
      </c>
      <c r="N8401" s="108">
        <f t="shared" si="643"/>
        <v>90119</v>
      </c>
    </row>
    <row r="8402" spans="1:14" x14ac:dyDescent="0.3">
      <c r="A8402" s="108" t="s">
        <v>12525</v>
      </c>
      <c r="B8402" s="74" t="s">
        <v>3118</v>
      </c>
      <c r="C8402" s="75">
        <v>517</v>
      </c>
      <c r="D8402" s="74" t="s">
        <v>12526</v>
      </c>
      <c r="E8402" s="75" t="s">
        <v>7790</v>
      </c>
      <c r="F8402" t="str">
        <f t="shared" si="644"/>
        <v>Main</v>
      </c>
      <c r="G8402" t="str">
        <f t="shared" si="645"/>
        <v>Main517Azle</v>
      </c>
      <c r="H8402" t="s">
        <v>39257</v>
      </c>
      <c r="I8402" t="s">
        <v>30659</v>
      </c>
      <c r="J8402" t="str">
        <f t="shared" si="646"/>
        <v>E:\PropInv\MF</v>
      </c>
      <c r="K8402" s="103" t="str">
        <f>HYPERLINK("E:\PropInv\MF\Azle\Main St_517_Azle Creek Apts_Azle_90012","Main St_517_Azle Creek Apts_Azle_90012" )</f>
        <v>Main St_517_Azle Creek Apts_Azle_90012</v>
      </c>
      <c r="L8402" s="104" t="s">
        <v>22253</v>
      </c>
      <c r="N8402" s="108">
        <f t="shared" si="643"/>
        <v>90012</v>
      </c>
    </row>
    <row r="8403" spans="1:14" x14ac:dyDescent="0.3">
      <c r="A8403" s="108" t="s">
        <v>12527</v>
      </c>
      <c r="B8403" s="76" t="s">
        <v>12528</v>
      </c>
      <c r="C8403" s="76">
        <v>7700</v>
      </c>
      <c r="D8403" s="76" t="s">
        <v>12529</v>
      </c>
      <c r="E8403" s="76" t="s">
        <v>5014</v>
      </c>
      <c r="F8403" t="str">
        <f t="shared" si="644"/>
        <v>Chapin</v>
      </c>
      <c r="G8403" t="str">
        <f t="shared" si="645"/>
        <v>Chapin7700Fort Worth</v>
      </c>
      <c r="H8403" t="s">
        <v>39258</v>
      </c>
      <c r="I8403" t="s">
        <v>30660</v>
      </c>
      <c r="J8403" t="str">
        <f t="shared" si="646"/>
        <v>E:\PropInv\MF</v>
      </c>
      <c r="K8403" s="103" t="str">
        <f>HYPERLINK("E:\PropInv\MF\Fort Worth\Chapin Rd_7700_Chapin Road Apts_Fort Worth_90120","Chapin Rd_7700_Chapin Road Apts_Fort Worth_90120" )</f>
        <v>Chapin Rd_7700_Chapin Road Apts_Fort Worth_90120</v>
      </c>
      <c r="L8403" s="104" t="s">
        <v>22253</v>
      </c>
      <c r="N8403" s="108">
        <f t="shared" si="643"/>
        <v>90120</v>
      </c>
    </row>
    <row r="8404" spans="1:14" x14ac:dyDescent="0.3">
      <c r="A8404" s="108" t="s">
        <v>12530</v>
      </c>
      <c r="B8404" s="75" t="s">
        <v>9116</v>
      </c>
      <c r="C8404" s="75">
        <v>2304</v>
      </c>
      <c r="D8404" s="75" t="s">
        <v>2497</v>
      </c>
      <c r="E8404" s="74" t="s">
        <v>5014</v>
      </c>
      <c r="F8404" t="str">
        <f t="shared" si="644"/>
        <v>Houston</v>
      </c>
      <c r="G8404" t="str">
        <f t="shared" si="645"/>
        <v>Houston2304Fort Worth</v>
      </c>
      <c r="H8404" t="s">
        <v>39259</v>
      </c>
      <c r="I8404" t="s">
        <v>30661</v>
      </c>
      <c r="J8404" t="str">
        <f t="shared" si="646"/>
        <v>E:\PropInv\MF</v>
      </c>
      <c r="K8404" s="103" t="str">
        <f>HYPERLINK("E:\PropInv\MF\Fort Worth\Houston St N_2304_NF_Fort Worth_90121","Houston St N_2304_NF_Fort Worth_90121" )</f>
        <v>Houston St N_2304_NF_Fort Worth_90121</v>
      </c>
      <c r="L8404" s="104" t="s">
        <v>22253</v>
      </c>
      <c r="N8404" s="108">
        <f t="shared" si="643"/>
        <v>90121</v>
      </c>
    </row>
    <row r="8405" spans="1:14" x14ac:dyDescent="0.3">
      <c r="A8405" s="108" t="s">
        <v>12531</v>
      </c>
      <c r="B8405" s="75" t="s">
        <v>12532</v>
      </c>
      <c r="C8405" s="75">
        <v>5101</v>
      </c>
      <c r="D8405" s="75" t="s">
        <v>2497</v>
      </c>
      <c r="E8405" s="74" t="s">
        <v>5014</v>
      </c>
      <c r="F8405" t="str">
        <f t="shared" si="644"/>
        <v>Inverness</v>
      </c>
      <c r="G8405" t="str">
        <f t="shared" si="645"/>
        <v>Inverness5101Fort Worth</v>
      </c>
      <c r="H8405" t="s">
        <v>39260</v>
      </c>
      <c r="I8405" t="s">
        <v>30662</v>
      </c>
      <c r="J8405" t="str">
        <f t="shared" si="646"/>
        <v>E:\PropInv\MF</v>
      </c>
      <c r="K8405" s="103" t="str">
        <f>HYPERLINK("E:\PropInv\MF\Fort Worth\Inverness Ave_5101_NF_Fort Worth_90122","Inverness Ave_5101_NF_Fort Worth_90122" )</f>
        <v>Inverness Ave_5101_NF_Fort Worth_90122</v>
      </c>
      <c r="L8405" s="104" t="s">
        <v>22253</v>
      </c>
      <c r="N8405" s="108">
        <f t="shared" si="643"/>
        <v>90122</v>
      </c>
    </row>
    <row r="8406" spans="1:14" x14ac:dyDescent="0.3">
      <c r="A8406" s="108" t="s">
        <v>12533</v>
      </c>
      <c r="B8406" s="76" t="s">
        <v>12534</v>
      </c>
      <c r="C8406" s="76">
        <v>3200</v>
      </c>
      <c r="D8406" s="76" t="s">
        <v>12535</v>
      </c>
      <c r="E8406" s="76" t="s">
        <v>5014</v>
      </c>
      <c r="F8406" t="str">
        <f t="shared" si="644"/>
        <v>Lake</v>
      </c>
      <c r="G8406" t="str">
        <f t="shared" si="645"/>
        <v>Lake3200Fort Worth</v>
      </c>
      <c r="H8406" t="s">
        <v>39261</v>
      </c>
      <c r="I8406" t="s">
        <v>30663</v>
      </c>
      <c r="J8406" t="str">
        <f t="shared" si="646"/>
        <v>E:\PropInv\MF</v>
      </c>
      <c r="K8406" s="103" t="str">
        <f>HYPERLINK("E:\PropInv\MF\Fort Worth\Lake Como Dr_3200_Forest Apts_Fort Worth_90123","Lake Como Dr_3200_Forest Apts_Fort Worth_90123" )</f>
        <v>Lake Como Dr_3200_Forest Apts_Fort Worth_90123</v>
      </c>
      <c r="L8406" s="104" t="s">
        <v>22253</v>
      </c>
      <c r="N8406" s="108">
        <f t="shared" si="643"/>
        <v>90123</v>
      </c>
    </row>
    <row r="8407" spans="1:14" x14ac:dyDescent="0.3">
      <c r="A8407" s="108" t="s">
        <v>12536</v>
      </c>
      <c r="B8407" s="76" t="s">
        <v>12537</v>
      </c>
      <c r="C8407" s="76">
        <v>718</v>
      </c>
      <c r="D8407" s="76" t="s">
        <v>2497</v>
      </c>
      <c r="E8407" s="77" t="s">
        <v>5014</v>
      </c>
      <c r="F8407" t="str">
        <f t="shared" si="644"/>
        <v>Lariat</v>
      </c>
      <c r="G8407" t="str">
        <f t="shared" si="645"/>
        <v>Lariat718Fort Worth</v>
      </c>
      <c r="H8407" t="s">
        <v>39262</v>
      </c>
      <c r="I8407" t="s">
        <v>30664</v>
      </c>
      <c r="J8407" t="str">
        <f t="shared" si="646"/>
        <v>E:\PropInv\MF</v>
      </c>
      <c r="K8407" s="103" t="str">
        <f>HYPERLINK("E:\PropInv\MF\Fort Worth\Lariat Ln_718_NF_Fort Worth_90124","Lariat Ln_718_NF_Fort Worth_90124" )</f>
        <v>Lariat Ln_718_NF_Fort Worth_90124</v>
      </c>
      <c r="L8407" s="104" t="s">
        <v>22253</v>
      </c>
      <c r="N8407" s="108">
        <f t="shared" si="643"/>
        <v>90124</v>
      </c>
    </row>
    <row r="8408" spans="1:14" x14ac:dyDescent="0.3">
      <c r="A8408" s="108" t="s">
        <v>12538</v>
      </c>
      <c r="B8408" s="76" t="s">
        <v>12539</v>
      </c>
      <c r="C8408" s="76">
        <v>4805</v>
      </c>
      <c r="D8408" s="76" t="s">
        <v>12540</v>
      </c>
      <c r="E8408" s="76" t="s">
        <v>5014</v>
      </c>
      <c r="F8408" t="str">
        <f t="shared" si="644"/>
        <v>Locke</v>
      </c>
      <c r="G8408" t="str">
        <f t="shared" si="645"/>
        <v>Locke4805Fort Worth</v>
      </c>
      <c r="H8408" t="s">
        <v>39263</v>
      </c>
      <c r="I8408" t="s">
        <v>30665</v>
      </c>
      <c r="J8408" t="str">
        <f t="shared" si="646"/>
        <v>E:\PropInv\MF</v>
      </c>
      <c r="K8408" s="103" t="str">
        <f>HYPERLINK("E:\PropInv\MF\Fort Worth\Locke Ave_4805_West Apts_Fort Worth_90125","Locke Ave_4805_West Apts_Fort Worth_90125" )</f>
        <v>Locke Ave_4805_West Apts_Fort Worth_90125</v>
      </c>
      <c r="L8408" s="104" t="s">
        <v>22253</v>
      </c>
      <c r="N8408" s="108">
        <f t="shared" si="643"/>
        <v>90125</v>
      </c>
    </row>
    <row r="8409" spans="1:14" x14ac:dyDescent="0.3">
      <c r="A8409" s="108" t="s">
        <v>12541</v>
      </c>
      <c r="B8409" s="77" t="s">
        <v>12542</v>
      </c>
      <c r="C8409" s="77" t="s">
        <v>12543</v>
      </c>
      <c r="D8409" s="77" t="s">
        <v>12544</v>
      </c>
      <c r="E8409" s="77" t="s">
        <v>5014</v>
      </c>
      <c r="F8409" t="str">
        <f t="shared" si="644"/>
        <v>McLean</v>
      </c>
      <c r="G8409" t="str">
        <f t="shared" si="645"/>
        <v>McLean3021-3017-3013Fort Worth</v>
      </c>
      <c r="H8409" t="s">
        <v>39264</v>
      </c>
      <c r="I8409" t="s">
        <v>30666</v>
      </c>
      <c r="J8409" t="str">
        <f t="shared" si="646"/>
        <v>E:\PropInv\MF</v>
      </c>
      <c r="K8409" s="103" t="str">
        <f>HYPERLINK("E:\PropInv\MF\Fort Worth\McLean_3021-3017-3013_Flamingo Apts_Fort Worth_90126","McLean_3021-3017-3013_Flamingo Apts_Fort Worth_90126" )</f>
        <v>McLean_3021-3017-3013_Flamingo Apts_Fort Worth_90126</v>
      </c>
      <c r="L8409" s="104" t="s">
        <v>22253</v>
      </c>
      <c r="N8409" s="108">
        <f t="shared" si="643"/>
        <v>90126</v>
      </c>
    </row>
    <row r="8410" spans="1:14" x14ac:dyDescent="0.3">
      <c r="A8410" s="108" t="s">
        <v>12545</v>
      </c>
      <c r="B8410" s="75" t="s">
        <v>12546</v>
      </c>
      <c r="C8410" s="75">
        <v>701</v>
      </c>
      <c r="D8410" s="75" t="s">
        <v>2497</v>
      </c>
      <c r="E8410" s="74" t="s">
        <v>5014</v>
      </c>
      <c r="F8410" t="str">
        <f t="shared" si="644"/>
        <v>Monticello</v>
      </c>
      <c r="G8410" t="str">
        <f t="shared" si="645"/>
        <v>Monticello701Fort Worth</v>
      </c>
      <c r="H8410" t="s">
        <v>39265</v>
      </c>
      <c r="I8410" t="s">
        <v>30667</v>
      </c>
      <c r="J8410" t="str">
        <f t="shared" si="646"/>
        <v>E:\PropInv\MF</v>
      </c>
      <c r="K8410" s="103" t="str">
        <f>HYPERLINK("E:\PropInv\MF\Fort Worth\Monticello Rd_701_NF_Fort Worth_90127","Monticello Rd_701_NF_Fort Worth_90127" )</f>
        <v>Monticello Rd_701_NF_Fort Worth_90127</v>
      </c>
      <c r="L8410" s="104" t="s">
        <v>22253</v>
      </c>
      <c r="N8410" s="108">
        <f t="shared" si="643"/>
        <v>90127</v>
      </c>
    </row>
    <row r="8411" spans="1:14" x14ac:dyDescent="0.3">
      <c r="A8411" s="108" t="s">
        <v>12547</v>
      </c>
      <c r="B8411" s="75" t="s">
        <v>12548</v>
      </c>
      <c r="C8411" s="75">
        <v>200</v>
      </c>
      <c r="D8411" s="74" t="s">
        <v>2497</v>
      </c>
      <c r="E8411" s="74" t="s">
        <v>5014</v>
      </c>
      <c r="F8411" t="str">
        <f t="shared" si="644"/>
        <v>New</v>
      </c>
      <c r="G8411" t="str">
        <f t="shared" si="645"/>
        <v>New200Fort Worth</v>
      </c>
      <c r="H8411" t="s">
        <v>39266</v>
      </c>
      <c r="I8411" t="s">
        <v>30668</v>
      </c>
      <c r="J8411" t="str">
        <f t="shared" si="646"/>
        <v>E:\PropInv\MF</v>
      </c>
      <c r="K8411" s="103" t="str">
        <f>HYPERLINK("E:\PropInv\MF\Fort Worth\New York Ave_200_NF_Fort Worth_90128","New York Ave_200_NF_Fort Worth_90128" )</f>
        <v>New York Ave_200_NF_Fort Worth_90128</v>
      </c>
      <c r="L8411" s="104" t="s">
        <v>22253</v>
      </c>
      <c r="N8411" s="108">
        <f t="shared" si="643"/>
        <v>90128</v>
      </c>
    </row>
    <row r="8412" spans="1:14" x14ac:dyDescent="0.3">
      <c r="A8412" s="108" t="s">
        <v>12549</v>
      </c>
      <c r="B8412" s="76" t="s">
        <v>12550</v>
      </c>
      <c r="C8412" s="76">
        <v>6528</v>
      </c>
      <c r="D8412" s="77" t="s">
        <v>12551</v>
      </c>
      <c r="E8412" s="77" t="s">
        <v>5014</v>
      </c>
      <c r="F8412" t="str">
        <f t="shared" si="644"/>
        <v>Normandy</v>
      </c>
      <c r="G8412" t="str">
        <f t="shared" si="645"/>
        <v>Normandy6528Fort Worth</v>
      </c>
      <c r="H8412" t="s">
        <v>39267</v>
      </c>
      <c r="I8412" t="s">
        <v>30669</v>
      </c>
      <c r="J8412" t="str">
        <f t="shared" si="646"/>
        <v>E:\PropInv\MF</v>
      </c>
      <c r="K8412" s="103" t="str">
        <f>HYPERLINK("E:\PropInv\MF\Fort Worth\Normandy Rd_6528_Courtyard Villa Apts_Fort Worth_90129","Normandy Rd_6528_Courtyard Villa Apts_Fort Worth_90129" )</f>
        <v>Normandy Rd_6528_Courtyard Villa Apts_Fort Worth_90129</v>
      </c>
      <c r="L8412" s="104" t="s">
        <v>22253</v>
      </c>
      <c r="N8412" s="108">
        <f t="shared" si="643"/>
        <v>90129</v>
      </c>
    </row>
    <row r="8413" spans="1:14" x14ac:dyDescent="0.3">
      <c r="A8413" s="108" t="s">
        <v>12552</v>
      </c>
      <c r="B8413" s="74" t="s">
        <v>12553</v>
      </c>
      <c r="C8413" s="74">
        <v>12904</v>
      </c>
      <c r="D8413" s="74" t="s">
        <v>12554</v>
      </c>
      <c r="E8413" s="74" t="s">
        <v>5012</v>
      </c>
      <c r="F8413" t="str">
        <f t="shared" si="644"/>
        <v>Elam</v>
      </c>
      <c r="G8413" t="str">
        <f t="shared" si="645"/>
        <v>Elam12904Balch Springs</v>
      </c>
      <c r="H8413" t="s">
        <v>39268</v>
      </c>
      <c r="I8413" t="s">
        <v>30670</v>
      </c>
      <c r="J8413" t="str">
        <f t="shared" si="646"/>
        <v>E:\PropInv\MF</v>
      </c>
      <c r="K8413" s="103" t="str">
        <f>HYPERLINK("E:\PropInv\MF\Balch Springs\Elam Rd_12904_Pioneer Crossing TH_Balch Springs_90013","Elam Rd_12904_Pioneer Crossing TH_Balch Springs_90013" )</f>
        <v>Elam Rd_12904_Pioneer Crossing TH_Balch Springs_90013</v>
      </c>
      <c r="L8413" s="104" t="s">
        <v>22253</v>
      </c>
      <c r="N8413" s="108">
        <f t="shared" si="643"/>
        <v>90013</v>
      </c>
    </row>
    <row r="8414" spans="1:14" x14ac:dyDescent="0.3">
      <c r="A8414" s="108" t="s">
        <v>12555</v>
      </c>
      <c r="B8414" s="76" t="s">
        <v>12556</v>
      </c>
      <c r="C8414" s="76">
        <v>2735</v>
      </c>
      <c r="D8414" s="76" t="s">
        <v>2497</v>
      </c>
      <c r="E8414" s="77" t="s">
        <v>5014</v>
      </c>
      <c r="F8414" t="str">
        <f t="shared" si="644"/>
        <v>Purington</v>
      </c>
      <c r="G8414" t="str">
        <f t="shared" si="645"/>
        <v>Purington2735Fort Worth</v>
      </c>
      <c r="H8414" t="s">
        <v>39269</v>
      </c>
      <c r="I8414" t="s">
        <v>30671</v>
      </c>
      <c r="J8414" t="str">
        <f t="shared" si="646"/>
        <v>E:\PropInv\MF</v>
      </c>
      <c r="K8414" s="103" t="str">
        <f>HYPERLINK("E:\PropInv\MF\Fort Worth\Purington Ave_2735_NF_Fort Worth_90130","Purington Ave_2735_NF_Fort Worth_90130" )</f>
        <v>Purington Ave_2735_NF_Fort Worth_90130</v>
      </c>
      <c r="L8414" s="104" t="s">
        <v>22253</v>
      </c>
      <c r="N8414" s="108">
        <f t="shared" si="643"/>
        <v>90130</v>
      </c>
    </row>
    <row r="8415" spans="1:14" x14ac:dyDescent="0.3">
      <c r="A8415" s="108" t="s">
        <v>12557</v>
      </c>
      <c r="B8415" s="76" t="s">
        <v>12558</v>
      </c>
      <c r="C8415" s="76">
        <v>1701</v>
      </c>
      <c r="D8415" s="76" t="s">
        <v>2497</v>
      </c>
      <c r="E8415" s="77" t="s">
        <v>5014</v>
      </c>
      <c r="F8415" t="str">
        <f t="shared" si="644"/>
        <v>Saint</v>
      </c>
      <c r="G8415" t="str">
        <f t="shared" si="645"/>
        <v>Saint1701Fort Worth</v>
      </c>
      <c r="H8415" t="s">
        <v>39270</v>
      </c>
      <c r="I8415" t="s">
        <v>30672</v>
      </c>
      <c r="J8415" t="str">
        <f t="shared" si="646"/>
        <v>E:\PropInv\MF</v>
      </c>
      <c r="K8415" s="103" t="str">
        <f>HYPERLINK("E:\PropInv\MF\Fort Worth\Saint Louis Ave_1701_NF_Fort Worth_90131","Saint Louis Ave_1701_NF_Fort Worth_90131" )</f>
        <v>Saint Louis Ave_1701_NF_Fort Worth_90131</v>
      </c>
      <c r="L8415" s="104" t="s">
        <v>22253</v>
      </c>
      <c r="N8415" s="108">
        <f t="shared" si="643"/>
        <v>90131</v>
      </c>
    </row>
    <row r="8416" spans="1:14" x14ac:dyDescent="0.3">
      <c r="A8416" s="108" t="s">
        <v>12559</v>
      </c>
      <c r="B8416" s="75" t="s">
        <v>12560</v>
      </c>
      <c r="C8416" s="75">
        <v>6766</v>
      </c>
      <c r="D8416" s="75" t="s">
        <v>2497</v>
      </c>
      <c r="E8416" s="74" t="s">
        <v>5014</v>
      </c>
      <c r="F8416" t="str">
        <f t="shared" si="644"/>
        <v>Trail</v>
      </c>
      <c r="G8416" t="str">
        <f t="shared" si="645"/>
        <v>Trail6766Fort Worth</v>
      </c>
      <c r="H8416" t="s">
        <v>39271</v>
      </c>
      <c r="I8416" t="s">
        <v>30673</v>
      </c>
      <c r="J8416" t="str">
        <f t="shared" si="646"/>
        <v>E:\PropInv\MF</v>
      </c>
      <c r="K8416" s="103" t="str">
        <f>HYPERLINK("E:\PropInv\MF\Fort Worth\Trail Lake Dr_6766_NF_Fort Worth_90132","Trail Lake Dr_6766_NF_Fort Worth_90132" )</f>
        <v>Trail Lake Dr_6766_NF_Fort Worth_90132</v>
      </c>
      <c r="L8416" s="104" t="s">
        <v>22253</v>
      </c>
      <c r="N8416" s="108">
        <f t="shared" si="643"/>
        <v>90132</v>
      </c>
    </row>
    <row r="8417" spans="1:14" x14ac:dyDescent="0.3">
      <c r="A8417" s="108" t="s">
        <v>12561</v>
      </c>
      <c r="B8417" s="75" t="s">
        <v>12562</v>
      </c>
      <c r="C8417" s="75">
        <v>1410</v>
      </c>
      <c r="D8417" s="75" t="s">
        <v>2497</v>
      </c>
      <c r="E8417" s="74" t="s">
        <v>5014</v>
      </c>
      <c r="F8417" t="str">
        <f t="shared" si="644"/>
        <v>Tucker</v>
      </c>
      <c r="G8417" t="str">
        <f t="shared" si="645"/>
        <v>Tucker1410Fort Worth</v>
      </c>
      <c r="H8417" t="s">
        <v>39272</v>
      </c>
      <c r="I8417" t="s">
        <v>30674</v>
      </c>
      <c r="J8417" t="str">
        <f t="shared" si="646"/>
        <v>E:\PropInv\MF</v>
      </c>
      <c r="K8417" s="103" t="str">
        <f>HYPERLINK("E:\PropInv\MF\Fort Worth\Tucker E_1410_NF_Fort Worth_90133","Tucker E_1410_NF_Fort Worth_90133" )</f>
        <v>Tucker E_1410_NF_Fort Worth_90133</v>
      </c>
      <c r="L8417" s="104" t="s">
        <v>22253</v>
      </c>
      <c r="N8417" s="108">
        <f t="shared" si="643"/>
        <v>90133</v>
      </c>
    </row>
    <row r="8418" spans="1:14" x14ac:dyDescent="0.3">
      <c r="A8418" s="108" t="s">
        <v>12563</v>
      </c>
      <c r="B8418" s="76" t="s">
        <v>12564</v>
      </c>
      <c r="C8418" s="76">
        <v>3858</v>
      </c>
      <c r="D8418" s="76" t="s">
        <v>2497</v>
      </c>
      <c r="E8418" s="77" t="s">
        <v>5014</v>
      </c>
      <c r="F8418" t="str">
        <f t="shared" si="644"/>
        <v>Tulsa</v>
      </c>
      <c r="G8418" t="str">
        <f t="shared" si="645"/>
        <v>Tulsa3858Fort Worth</v>
      </c>
      <c r="H8418" t="s">
        <v>39273</v>
      </c>
      <c r="I8418" t="s">
        <v>30675</v>
      </c>
      <c r="J8418" t="str">
        <f t="shared" si="646"/>
        <v>E:\PropInv\MF</v>
      </c>
      <c r="K8418" s="103" t="str">
        <f>HYPERLINK("E:\PropInv\MF\Fort Worth\Tulsa Way_3858_NF_Fort Worth_90134","Tulsa Way_3858_NF_Fort Worth_90134" )</f>
        <v>Tulsa Way_3858_NF_Fort Worth_90134</v>
      </c>
      <c r="L8418" s="104" t="s">
        <v>22253</v>
      </c>
      <c r="N8418" s="108">
        <f t="shared" si="643"/>
        <v>90134</v>
      </c>
    </row>
    <row r="8419" spans="1:14" x14ac:dyDescent="0.3">
      <c r="A8419" s="108" t="s">
        <v>12565</v>
      </c>
      <c r="B8419" s="77" t="s">
        <v>4690</v>
      </c>
      <c r="C8419" s="77">
        <v>7000</v>
      </c>
      <c r="D8419" s="77" t="s">
        <v>12566</v>
      </c>
      <c r="E8419" s="76" t="s">
        <v>4565</v>
      </c>
      <c r="F8419" t="str">
        <f t="shared" si="644"/>
        <v>Seawall</v>
      </c>
      <c r="G8419" t="str">
        <f t="shared" si="645"/>
        <v>Seawall7000Galveston</v>
      </c>
      <c r="H8419" t="s">
        <v>39274</v>
      </c>
      <c r="I8419" t="s">
        <v>30676</v>
      </c>
      <c r="J8419" t="str">
        <f t="shared" si="646"/>
        <v>E:\PropInv\MF</v>
      </c>
      <c r="K8419" s="103" t="str">
        <f>HYPERLINK("E:\PropInv\MF\Galveston\Seawall Blvd_7000_The Dawn Condominiums_Galveston_90135","Seawall Blvd_7000_The Dawn Condominiums_Galveston_90135" )</f>
        <v>Seawall Blvd_7000_The Dawn Condominiums_Galveston_90135</v>
      </c>
      <c r="L8419" s="104" t="s">
        <v>22253</v>
      </c>
      <c r="N8419" s="108">
        <f t="shared" si="643"/>
        <v>90135</v>
      </c>
    </row>
    <row r="8420" spans="1:14" x14ac:dyDescent="0.3">
      <c r="A8420" s="108" t="s">
        <v>12567</v>
      </c>
      <c r="B8420" s="75" t="s">
        <v>5320</v>
      </c>
      <c r="C8420" s="76" t="s">
        <v>16482</v>
      </c>
      <c r="D8420" s="76" t="s">
        <v>12568</v>
      </c>
      <c r="E8420" s="76" t="s">
        <v>5019</v>
      </c>
      <c r="F8420" t="str">
        <f t="shared" si="644"/>
        <v>Beltline</v>
      </c>
      <c r="G8420" t="str">
        <f t="shared" si="645"/>
        <v>Beltline1601-1605Garland</v>
      </c>
      <c r="H8420" t="s">
        <v>39275</v>
      </c>
      <c r="I8420" t="s">
        <v>30677</v>
      </c>
      <c r="J8420" t="str">
        <f t="shared" si="646"/>
        <v>E:\PropInv\MF</v>
      </c>
      <c r="K8420" s="103" t="str">
        <f>HYPERLINK("E:\PropInv\MF\Garland\Beltline Rd N_1601-1605_Creekview Apts_Garland_90136","Beltline Rd N_1601-1605_Creekview Apts_Garland_90136" )</f>
        <v>Beltline Rd N_1601-1605_Creekview Apts_Garland_90136</v>
      </c>
      <c r="L8420" s="104" t="s">
        <v>22253</v>
      </c>
      <c r="N8420" s="108">
        <f t="shared" si="643"/>
        <v>90136</v>
      </c>
    </row>
    <row r="8421" spans="1:14" x14ac:dyDescent="0.3">
      <c r="A8421" s="108" t="s">
        <v>12569</v>
      </c>
      <c r="B8421" s="74" t="s">
        <v>5270</v>
      </c>
      <c r="C8421" s="74">
        <v>701</v>
      </c>
      <c r="D8421" s="74" t="s">
        <v>12570</v>
      </c>
      <c r="E8421" s="74" t="s">
        <v>5019</v>
      </c>
      <c r="F8421" t="str">
        <f t="shared" si="644"/>
        <v>Buckingham</v>
      </c>
      <c r="G8421" t="str">
        <f t="shared" si="645"/>
        <v>Buckingham701Garland</v>
      </c>
      <c r="H8421" t="s">
        <v>39276</v>
      </c>
      <c r="I8421" t="s">
        <v>30678</v>
      </c>
      <c r="J8421" t="str">
        <f t="shared" si="646"/>
        <v>E:\PropInv\MF</v>
      </c>
      <c r="K8421" s="103" t="str">
        <f>HYPERLINK("E:\PropInv\MF\Garland\Buckingham W_701_Hampton Court Condominiums_Garland_90137","Buckingham W_701_Hampton Court Condominiums_Garland_90137" )</f>
        <v>Buckingham W_701_Hampton Court Condominiums_Garland_90137</v>
      </c>
      <c r="L8421" s="104" t="s">
        <v>22253</v>
      </c>
      <c r="N8421" s="108">
        <f t="shared" si="643"/>
        <v>90137</v>
      </c>
    </row>
    <row r="8422" spans="1:14" x14ac:dyDescent="0.3">
      <c r="A8422" s="108" t="s">
        <v>12571</v>
      </c>
      <c r="B8422" s="76" t="s">
        <v>12572</v>
      </c>
      <c r="C8422" s="76">
        <v>4560</v>
      </c>
      <c r="D8422" s="77" t="s">
        <v>12573</v>
      </c>
      <c r="E8422" s="76" t="s">
        <v>5019</v>
      </c>
      <c r="F8422" t="str">
        <f t="shared" si="644"/>
        <v>Chaha</v>
      </c>
      <c r="G8422" t="str">
        <f t="shared" si="645"/>
        <v>Chaha4560Garland</v>
      </c>
      <c r="H8422" t="s">
        <v>39277</v>
      </c>
      <c r="I8422" t="s">
        <v>16489</v>
      </c>
      <c r="J8422" t="str">
        <f t="shared" si="646"/>
        <v>E:\PropInv\MF</v>
      </c>
      <c r="K8422" s="103" t="str">
        <f>HYPERLINK("E:\PropInv\MF\Garland\Chaha_4560_Faulkner Point_Garland_90138","Chaha_4560_Faulkner Point_Garland_90138" )</f>
        <v>Chaha_4560_Faulkner Point_Garland_90138</v>
      </c>
      <c r="L8422" s="104" t="s">
        <v>22253</v>
      </c>
      <c r="N8422" s="108">
        <f t="shared" si="643"/>
        <v>90138</v>
      </c>
    </row>
    <row r="8423" spans="1:14" x14ac:dyDescent="0.3">
      <c r="A8423" s="108" t="s">
        <v>12574</v>
      </c>
      <c r="B8423" s="75" t="s">
        <v>12575</v>
      </c>
      <c r="C8423" s="75">
        <v>832</v>
      </c>
      <c r="D8423" s="75" t="s">
        <v>12576</v>
      </c>
      <c r="E8423" s="75" t="s">
        <v>5019</v>
      </c>
      <c r="F8423" t="str">
        <f t="shared" si="644"/>
        <v>Courtenay</v>
      </c>
      <c r="G8423" t="str">
        <f t="shared" si="645"/>
        <v>Courtenay832Garland</v>
      </c>
      <c r="H8423" t="s">
        <v>39278</v>
      </c>
      <c r="I8423" t="s">
        <v>30679</v>
      </c>
      <c r="J8423" t="str">
        <f t="shared" si="646"/>
        <v>E:\PropInv\MF</v>
      </c>
      <c r="K8423" s="103" t="str">
        <f>HYPERLINK("E:\PropInv\MF\Garland\Courtenay Pl_832_Bradfield Creek TH_Garland_90139","Courtenay Pl_832_Bradfield Creek TH_Garland_90139" )</f>
        <v>Courtenay Pl_832_Bradfield Creek TH_Garland_90139</v>
      </c>
      <c r="L8423" s="104" t="s">
        <v>22253</v>
      </c>
      <c r="N8423" s="108">
        <f t="shared" si="643"/>
        <v>90139</v>
      </c>
    </row>
    <row r="8424" spans="1:14" x14ac:dyDescent="0.3">
      <c r="A8424" s="108" t="s">
        <v>12577</v>
      </c>
      <c r="B8424" s="76" t="s">
        <v>12578</v>
      </c>
      <c r="C8424" s="76">
        <v>1404</v>
      </c>
      <c r="D8424" s="76" t="s">
        <v>254</v>
      </c>
      <c r="E8424" s="76" t="s">
        <v>5060</v>
      </c>
      <c r="F8424" t="str">
        <f t="shared" si="644"/>
        <v>Fannidelia</v>
      </c>
      <c r="G8424" t="str">
        <f t="shared" si="645"/>
        <v>Fannidelia1404Carrollton</v>
      </c>
      <c r="H8424" t="s">
        <v>39279</v>
      </c>
      <c r="I8424" t="s">
        <v>30680</v>
      </c>
      <c r="J8424" t="str">
        <f t="shared" si="646"/>
        <v>E:\PropInv\MF</v>
      </c>
      <c r="K8424" s="103" t="str">
        <f>HYPERLINK("E:\PropInv\MF\Carrollton\Fannidelia Dr _1404_The Meadows_Carrollton_90014","Fannidelia Dr _1404_The Meadows_Carrollton_90014" )</f>
        <v>Fannidelia Dr _1404_The Meadows_Carrollton_90014</v>
      </c>
      <c r="L8424" s="104" t="s">
        <v>22253</v>
      </c>
      <c r="N8424" s="108">
        <f t="shared" si="643"/>
        <v>90014</v>
      </c>
    </row>
    <row r="8425" spans="1:14" x14ac:dyDescent="0.3">
      <c r="A8425" s="108" t="s">
        <v>12579</v>
      </c>
      <c r="B8425" s="75" t="s">
        <v>12580</v>
      </c>
      <c r="C8425" s="75" t="s">
        <v>12581</v>
      </c>
      <c r="D8425" s="75" t="s">
        <v>2497</v>
      </c>
      <c r="E8425" s="74" t="s">
        <v>5019</v>
      </c>
      <c r="F8425" t="str">
        <f t="shared" si="644"/>
        <v>Rita</v>
      </c>
      <c r="G8425" t="str">
        <f t="shared" si="645"/>
        <v>Rita305-307 Garland</v>
      </c>
      <c r="H8425" t="s">
        <v>39280</v>
      </c>
      <c r="I8425" t="s">
        <v>30681</v>
      </c>
      <c r="J8425" t="str">
        <f t="shared" si="646"/>
        <v>E:\PropInv\MF</v>
      </c>
      <c r="K8425" s="103" t="str">
        <f>HYPERLINK("E:\PropInv\MF\Garland\Rita Dr_305-307 _NF_Garland_90140","Rita Dr_305-307 _NF_Garland_90140" )</f>
        <v>Rita Dr_305-307 _NF_Garland_90140</v>
      </c>
      <c r="L8425" s="104" t="s">
        <v>22253</v>
      </c>
      <c r="N8425" s="108">
        <f t="shared" si="643"/>
        <v>90140</v>
      </c>
    </row>
    <row r="8426" spans="1:14" x14ac:dyDescent="0.3">
      <c r="A8426" s="108" t="s">
        <v>12582</v>
      </c>
      <c r="B8426" s="76" t="s">
        <v>6602</v>
      </c>
      <c r="C8426" s="76">
        <v>1520</v>
      </c>
      <c r="D8426" s="77" t="s">
        <v>12583</v>
      </c>
      <c r="E8426" s="77" t="s">
        <v>6604</v>
      </c>
      <c r="F8426" t="str">
        <f t="shared" si="644"/>
        <v>Crawford</v>
      </c>
      <c r="G8426" t="str">
        <f t="shared" si="645"/>
        <v>Crawford1520Granbury</v>
      </c>
      <c r="H8426" t="s">
        <v>39281</v>
      </c>
      <c r="I8426" t="s">
        <v>30682</v>
      </c>
      <c r="J8426" t="str">
        <f t="shared" si="646"/>
        <v>E:\PropInv\MF</v>
      </c>
      <c r="K8426" s="103" t="str">
        <f>HYPERLINK("E:\PropInv\MF\Granbury\Crawford Ct_1520_The Reserve at Lake Granbury_Granbury_90141","Crawford Ct_1520_The Reserve at Lake Granbury_Granbury_90141" )</f>
        <v>Crawford Ct_1520_The Reserve at Lake Granbury_Granbury_90141</v>
      </c>
      <c r="L8426" s="104" t="s">
        <v>22253</v>
      </c>
      <c r="N8426" s="108">
        <f t="shared" si="643"/>
        <v>90141</v>
      </c>
    </row>
    <row r="8427" spans="1:14" x14ac:dyDescent="0.3">
      <c r="A8427" s="108" t="s">
        <v>12584</v>
      </c>
      <c r="B8427" s="77" t="s">
        <v>12585</v>
      </c>
      <c r="C8427" s="77">
        <v>5607</v>
      </c>
      <c r="D8427" s="76" t="s">
        <v>2497</v>
      </c>
      <c r="E8427" s="77" t="s">
        <v>6604</v>
      </c>
      <c r="F8427" t="str">
        <f t="shared" si="644"/>
        <v>Kemah</v>
      </c>
      <c r="G8427" t="str">
        <f t="shared" si="645"/>
        <v>Kemah5607Granbury</v>
      </c>
      <c r="H8427" t="s">
        <v>39282</v>
      </c>
      <c r="I8427" t="s">
        <v>30683</v>
      </c>
      <c r="J8427" t="str">
        <f t="shared" si="646"/>
        <v>E:\PropInv\MF</v>
      </c>
      <c r="K8427" s="103" t="str">
        <f>HYPERLINK("E:\PropInv\MF\Granbury\Kemah Ct_5607_NF_Granbury_90142","Kemah Ct_5607_NF_Granbury_90142" )</f>
        <v>Kemah Ct_5607_NF_Granbury_90142</v>
      </c>
      <c r="L8427" s="104" t="s">
        <v>22253</v>
      </c>
      <c r="N8427" s="108">
        <f t="shared" si="643"/>
        <v>90142</v>
      </c>
    </row>
    <row r="8428" spans="1:14" x14ac:dyDescent="0.3">
      <c r="A8428" s="108" t="s">
        <v>12586</v>
      </c>
      <c r="B8428" s="75" t="s">
        <v>12587</v>
      </c>
      <c r="C8428" s="75">
        <v>1810</v>
      </c>
      <c r="D8428" s="74" t="s">
        <v>2497</v>
      </c>
      <c r="E8428" s="74" t="s">
        <v>5076</v>
      </c>
      <c r="F8428" t="str">
        <f t="shared" si="644"/>
        <v>14th</v>
      </c>
      <c r="G8428" t="str">
        <f t="shared" si="645"/>
        <v>14th1810Grand Prairie</v>
      </c>
      <c r="H8428" t="s">
        <v>39283</v>
      </c>
      <c r="I8428" t="s">
        <v>30684</v>
      </c>
      <c r="J8428" t="str">
        <f t="shared" si="646"/>
        <v>E:\PropInv\MF</v>
      </c>
      <c r="K8428" s="103" t="str">
        <f>HYPERLINK("E:\PropInv\MF\Grand Prairie\14th St SE_1810_NF_Grand Prairie_90143","14th St SE_1810_NF_Grand Prairie_90143" )</f>
        <v>14th St SE_1810_NF_Grand Prairie_90143</v>
      </c>
      <c r="L8428" s="104" t="s">
        <v>22253</v>
      </c>
      <c r="N8428" s="108">
        <f t="shared" si="643"/>
        <v>90143</v>
      </c>
    </row>
    <row r="8429" spans="1:14" x14ac:dyDescent="0.3">
      <c r="A8429" s="108" t="s">
        <v>12588</v>
      </c>
      <c r="B8429" s="75" t="s">
        <v>12589</v>
      </c>
      <c r="C8429" s="75">
        <v>8112</v>
      </c>
      <c r="D8429" s="75" t="s">
        <v>12590</v>
      </c>
      <c r="E8429" s="75" t="s">
        <v>5076</v>
      </c>
      <c r="F8429" t="str">
        <f t="shared" si="644"/>
        <v>Center</v>
      </c>
      <c r="G8429" t="str">
        <f t="shared" si="645"/>
        <v>Center8112Grand Prairie</v>
      </c>
      <c r="H8429" t="s">
        <v>39284</v>
      </c>
      <c r="I8429" t="s">
        <v>30685</v>
      </c>
      <c r="J8429" t="str">
        <f t="shared" si="646"/>
        <v>E:\PropInv\MF</v>
      </c>
      <c r="K8429" s="103" t="str">
        <f>HYPERLINK("E:\PropInv\MF\Grand Prairie\Center St _8112_Raintree Apts_Grand Prairie_90144","Center St _8112_Raintree Apts_Grand Prairie_90144" )</f>
        <v>Center St _8112_Raintree Apts_Grand Prairie_90144</v>
      </c>
      <c r="L8429" s="104" t="s">
        <v>22253</v>
      </c>
      <c r="N8429" s="108">
        <f t="shared" si="643"/>
        <v>90144</v>
      </c>
    </row>
    <row r="8430" spans="1:14" x14ac:dyDescent="0.3">
      <c r="A8430" s="108" t="s">
        <v>12591</v>
      </c>
      <c r="B8430" s="77" t="s">
        <v>12592</v>
      </c>
      <c r="C8430" s="76">
        <v>421</v>
      </c>
      <c r="D8430" s="77" t="s">
        <v>12593</v>
      </c>
      <c r="E8430" s="77" t="s">
        <v>6578</v>
      </c>
      <c r="F8430" t="str">
        <f t="shared" si="644"/>
        <v>Worth</v>
      </c>
      <c r="G8430" t="str">
        <f t="shared" si="645"/>
        <v>Worth421Grapevine</v>
      </c>
      <c r="H8430" t="s">
        <v>39285</v>
      </c>
      <c r="I8430" t="s">
        <v>30686</v>
      </c>
      <c r="J8430" t="str">
        <f t="shared" si="646"/>
        <v>E:\PropInv\MF</v>
      </c>
      <c r="K8430" s="103" t="str">
        <f>HYPERLINK("E:\PropInv\MF\Grapevine\Worth St E_421_Contessa Apts_Grapevine_90145","Worth St E_421_Contessa Apts_Grapevine_90145" )</f>
        <v>Worth St E_421_Contessa Apts_Grapevine_90145</v>
      </c>
      <c r="L8430" s="104" t="s">
        <v>22253</v>
      </c>
      <c r="N8430" s="108">
        <f t="shared" si="643"/>
        <v>90145</v>
      </c>
    </row>
    <row r="8431" spans="1:14" x14ac:dyDescent="0.3">
      <c r="A8431" s="108" t="s">
        <v>12594</v>
      </c>
      <c r="B8431" s="74" t="s">
        <v>12595</v>
      </c>
      <c r="C8431" s="75">
        <v>1901</v>
      </c>
      <c r="D8431" s="74" t="s">
        <v>11988</v>
      </c>
      <c r="E8431" s="74" t="s">
        <v>6581</v>
      </c>
      <c r="F8431" t="str">
        <f t="shared" si="644"/>
        <v>Bernice</v>
      </c>
      <c r="G8431" t="str">
        <f t="shared" si="645"/>
        <v>Bernice1901Haltom City</v>
      </c>
      <c r="H8431" t="s">
        <v>39286</v>
      </c>
      <c r="I8431" t="s">
        <v>30687</v>
      </c>
      <c r="J8431" t="str">
        <f t="shared" si="646"/>
        <v>E:\PropInv\MF</v>
      </c>
      <c r="K8431" s="103" t="str">
        <f>HYPERLINK("E:\PropInv\MF\Haltom City\Bernice St_1901_Sandstone Apts_Haltom City_90146","Bernice St_1901_Sandstone Apts_Haltom City_90146" )</f>
        <v>Bernice St_1901_Sandstone Apts_Haltom City_90146</v>
      </c>
      <c r="L8431" s="104" t="s">
        <v>22253</v>
      </c>
      <c r="N8431" s="108">
        <f t="shared" si="643"/>
        <v>90146</v>
      </c>
    </row>
    <row r="8432" spans="1:14" x14ac:dyDescent="0.3">
      <c r="A8432" s="108" t="s">
        <v>12596</v>
      </c>
      <c r="B8432" s="76" t="s">
        <v>12597</v>
      </c>
      <c r="C8432" s="76">
        <v>122</v>
      </c>
      <c r="D8432" s="77" t="s">
        <v>12598</v>
      </c>
      <c r="E8432" s="76" t="s">
        <v>6612</v>
      </c>
      <c r="F8432" t="str">
        <f t="shared" si="644"/>
        <v>Harmon</v>
      </c>
      <c r="G8432" t="str">
        <f t="shared" si="645"/>
        <v>Harmon122Hurst</v>
      </c>
      <c r="H8432" t="s">
        <v>39287</v>
      </c>
      <c r="I8432" t="s">
        <v>30688</v>
      </c>
      <c r="J8432" t="str">
        <f t="shared" si="646"/>
        <v>E:\PropInv\MF</v>
      </c>
      <c r="K8432" s="103" t="str">
        <f>HYPERLINK("E:\PropInv\MF\Hurst\Harmon_122_Hurst Inn_Hurst_90147","Harmon_122_Hurst Inn_Hurst_90147" )</f>
        <v>Harmon_122_Hurst Inn_Hurst_90147</v>
      </c>
      <c r="L8432" s="104" t="s">
        <v>22253</v>
      </c>
      <c r="N8432" s="108">
        <f t="shared" si="643"/>
        <v>90147</v>
      </c>
    </row>
    <row r="8433" spans="1:14" x14ac:dyDescent="0.3">
      <c r="A8433" s="108" t="s">
        <v>12599</v>
      </c>
      <c r="B8433" s="75" t="s">
        <v>12600</v>
      </c>
      <c r="C8433" s="75" t="s">
        <v>12601</v>
      </c>
      <c r="D8433" s="74" t="s">
        <v>12602</v>
      </c>
      <c r="E8433" s="74" t="s">
        <v>5046</v>
      </c>
      <c r="F8433" t="str">
        <f t="shared" si="644"/>
        <v>Chamberlain</v>
      </c>
      <c r="G8433" t="str">
        <f t="shared" si="645"/>
        <v>Chamberlain903-921Irving</v>
      </c>
      <c r="H8433" t="s">
        <v>39288</v>
      </c>
      <c r="I8433" t="s">
        <v>30689</v>
      </c>
      <c r="J8433" t="str">
        <f t="shared" si="646"/>
        <v>E:\PropInv\MF</v>
      </c>
      <c r="K8433" s="103" t="str">
        <f>HYPERLINK("E:\PropInv\MF\Irving\Chamberlain_903-921_Chamberlain Complex_Irving_90148","Chamberlain_903-921_Chamberlain Complex_Irving_90148" )</f>
        <v>Chamberlain_903-921_Chamberlain Complex_Irving_90148</v>
      </c>
      <c r="L8433" s="104" t="s">
        <v>22253</v>
      </c>
      <c r="N8433" s="108">
        <f t="shared" si="643"/>
        <v>90148</v>
      </c>
    </row>
    <row r="8434" spans="1:14" x14ac:dyDescent="0.3">
      <c r="A8434" s="108" t="s">
        <v>12603</v>
      </c>
      <c r="B8434" s="76" t="s">
        <v>12604</v>
      </c>
      <c r="C8434" s="76">
        <v>951</v>
      </c>
      <c r="D8434" s="77" t="s">
        <v>12605</v>
      </c>
      <c r="E8434" s="77" t="s">
        <v>5046</v>
      </c>
      <c r="F8434" t="str">
        <f t="shared" si="644"/>
        <v>French</v>
      </c>
      <c r="G8434" t="str">
        <f t="shared" si="645"/>
        <v>French951Irving</v>
      </c>
      <c r="H8434" t="s">
        <v>39289</v>
      </c>
      <c r="I8434" t="s">
        <v>30690</v>
      </c>
      <c r="J8434" t="str">
        <f t="shared" si="646"/>
        <v>E:\PropInv\MF</v>
      </c>
      <c r="K8434" s="103" t="str">
        <f>HYPERLINK("E:\PropInv\MF\Irving\French St_951_Chalet Apts_Irving_90149","French St_951_Chalet Apts_Irving_90149" )</f>
        <v>French St_951_Chalet Apts_Irving_90149</v>
      </c>
      <c r="L8434" s="104" t="s">
        <v>22253</v>
      </c>
      <c r="N8434" s="108">
        <f t="shared" si="643"/>
        <v>90149</v>
      </c>
    </row>
    <row r="8435" spans="1:14" x14ac:dyDescent="0.3">
      <c r="A8435" s="108" t="s">
        <v>12606</v>
      </c>
      <c r="B8435" s="75" t="s">
        <v>12607</v>
      </c>
      <c r="C8435" s="75">
        <v>2201</v>
      </c>
      <c r="D8435" s="75" t="s">
        <v>2497</v>
      </c>
      <c r="E8435" s="75" t="s">
        <v>5060</v>
      </c>
      <c r="F8435" t="str">
        <f t="shared" si="644"/>
        <v>Jackson</v>
      </c>
      <c r="G8435" t="str">
        <f t="shared" si="645"/>
        <v>Jackson2201Carrollton</v>
      </c>
      <c r="H8435" t="s">
        <v>39290</v>
      </c>
      <c r="I8435" t="s">
        <v>30691</v>
      </c>
      <c r="J8435" t="str">
        <f t="shared" si="646"/>
        <v>E:\PropInv\MF</v>
      </c>
      <c r="K8435" s="103" t="str">
        <f>HYPERLINK("E:\PropInv\MF\Carrollton\Jackson Cir_2201_NF_Carrollton_90015","Jackson Cir_2201_NF_Carrollton_90015" )</f>
        <v>Jackson Cir_2201_NF_Carrollton_90015</v>
      </c>
      <c r="L8435" s="104" t="s">
        <v>22253</v>
      </c>
      <c r="N8435" s="108">
        <f t="shared" si="643"/>
        <v>90015</v>
      </c>
    </row>
    <row r="8436" spans="1:14" x14ac:dyDescent="0.3">
      <c r="A8436" s="108" t="s">
        <v>12608</v>
      </c>
      <c r="B8436" s="76" t="s">
        <v>7632</v>
      </c>
      <c r="C8436" s="76" t="s">
        <v>12609</v>
      </c>
      <c r="D8436" s="77" t="s">
        <v>12610</v>
      </c>
      <c r="E8436" s="77" t="s">
        <v>5046</v>
      </c>
      <c r="F8436" t="str">
        <f t="shared" si="644"/>
        <v>Highland</v>
      </c>
      <c r="G8436" t="str">
        <f t="shared" si="645"/>
        <v>Highland130-149Irving</v>
      </c>
      <c r="H8436" t="s">
        <v>39291</v>
      </c>
      <c r="I8436" t="s">
        <v>30692</v>
      </c>
      <c r="J8436" t="str">
        <f t="shared" si="646"/>
        <v>E:\PropInv\MF</v>
      </c>
      <c r="K8436" s="103" t="str">
        <f>HYPERLINK("E:\PropInv\MF\Irving\Highland Park Ct_130-149_Highland Park Court Apts_Irving_90150","Highland Park Ct_130-149_Highland Park Court Apts_Irving_90150" )</f>
        <v>Highland Park Ct_130-149_Highland Park Court Apts_Irving_90150</v>
      </c>
      <c r="L8436" s="104" t="s">
        <v>22253</v>
      </c>
      <c r="N8436" s="108">
        <f t="shared" si="643"/>
        <v>90150</v>
      </c>
    </row>
    <row r="8437" spans="1:14" x14ac:dyDescent="0.3">
      <c r="A8437" s="108" t="s">
        <v>12611</v>
      </c>
      <c r="B8437" s="75" t="s">
        <v>12612</v>
      </c>
      <c r="C8437" s="75">
        <v>2232</v>
      </c>
      <c r="D8437" s="74" t="s">
        <v>2497</v>
      </c>
      <c r="E8437" s="74" t="s">
        <v>5046</v>
      </c>
      <c r="F8437" t="str">
        <f t="shared" si="644"/>
        <v>Riverview</v>
      </c>
      <c r="G8437" t="str">
        <f t="shared" si="645"/>
        <v>Riverview2232Irving</v>
      </c>
      <c r="H8437" t="s">
        <v>39292</v>
      </c>
      <c r="I8437" t="s">
        <v>30693</v>
      </c>
      <c r="J8437" t="str">
        <f t="shared" si="646"/>
        <v>E:\PropInv\MF</v>
      </c>
      <c r="K8437" s="103" t="str">
        <f>HYPERLINK("E:\PropInv\MF\Irving\Riverview Dr_2232_NF_Irving_90151","Riverview Dr_2232_NF_Irving_90151" )</f>
        <v>Riverview Dr_2232_NF_Irving_90151</v>
      </c>
      <c r="L8437" s="104" t="s">
        <v>22253</v>
      </c>
      <c r="N8437" s="108">
        <f t="shared" si="643"/>
        <v>90151</v>
      </c>
    </row>
    <row r="8438" spans="1:14" x14ac:dyDescent="0.3">
      <c r="A8438" s="108" t="s">
        <v>12613</v>
      </c>
      <c r="B8438" s="76" t="s">
        <v>12614</v>
      </c>
      <c r="C8438" s="76">
        <v>618</v>
      </c>
      <c r="D8438" s="77" t="s">
        <v>12615</v>
      </c>
      <c r="E8438" s="77" t="s">
        <v>5046</v>
      </c>
      <c r="F8438" t="str">
        <f t="shared" si="644"/>
        <v>Rogers</v>
      </c>
      <c r="G8438" t="str">
        <f t="shared" si="645"/>
        <v>Rogers618Irving</v>
      </c>
      <c r="H8438" t="s">
        <v>39293</v>
      </c>
      <c r="I8438" t="s">
        <v>30694</v>
      </c>
      <c r="J8438" t="str">
        <f t="shared" si="646"/>
        <v>E:\PropInv\MF</v>
      </c>
      <c r="K8438" s="103" t="str">
        <f>HYPERLINK("E:\PropInv\MF\Irving\Rogers Rd N_618_Tuscan Court Apts_Irving_90152","Rogers Rd N_618_Tuscan Court Apts_Irving_90152" )</f>
        <v>Rogers Rd N_618_Tuscan Court Apts_Irving_90152</v>
      </c>
      <c r="L8438" s="104" t="s">
        <v>22253</v>
      </c>
      <c r="N8438" s="108">
        <f t="shared" si="643"/>
        <v>90152</v>
      </c>
    </row>
    <row r="8439" spans="1:14" x14ac:dyDescent="0.3">
      <c r="A8439" s="108" t="s">
        <v>12616</v>
      </c>
      <c r="B8439" s="75" t="s">
        <v>12617</v>
      </c>
      <c r="C8439" s="75" t="s">
        <v>12618</v>
      </c>
      <c r="D8439" s="74" t="s">
        <v>12619</v>
      </c>
      <c r="E8439" s="74" t="s">
        <v>5046</v>
      </c>
      <c r="F8439" t="str">
        <f t="shared" si="644"/>
        <v>Rolston</v>
      </c>
      <c r="G8439" t="str">
        <f t="shared" si="645"/>
        <v>Rolston301-319Irving</v>
      </c>
      <c r="H8439" t="s">
        <v>39294</v>
      </c>
      <c r="I8439" t="s">
        <v>30695</v>
      </c>
      <c r="J8439" t="str">
        <f t="shared" si="646"/>
        <v>E:\PropInv\MF</v>
      </c>
      <c r="K8439" s="103" t="str">
        <f>HYPERLINK("E:\PropInv\MF\Irving\Rolston Rd_301-319_Irving Court_Irving_90153","Rolston Rd_301-319_Irving Court_Irving_90153" )</f>
        <v>Rolston Rd_301-319_Irving Court_Irving_90153</v>
      </c>
      <c r="L8439" s="104" t="s">
        <v>22253</v>
      </c>
      <c r="N8439" s="108">
        <f t="shared" si="643"/>
        <v>90153</v>
      </c>
    </row>
    <row r="8440" spans="1:14" x14ac:dyDescent="0.3">
      <c r="A8440" s="108" t="s">
        <v>12620</v>
      </c>
      <c r="B8440" s="76" t="s">
        <v>5767</v>
      </c>
      <c r="C8440" s="76">
        <v>325</v>
      </c>
      <c r="D8440" s="76" t="s">
        <v>12621</v>
      </c>
      <c r="E8440" s="76" t="s">
        <v>5046</v>
      </c>
      <c r="F8440" t="str">
        <f t="shared" si="644"/>
        <v>Story</v>
      </c>
      <c r="G8440" t="str">
        <f t="shared" si="645"/>
        <v>Story325Irving</v>
      </c>
      <c r="H8440" t="s">
        <v>39295</v>
      </c>
      <c r="I8440" t="s">
        <v>30696</v>
      </c>
      <c r="J8440" t="str">
        <f t="shared" si="646"/>
        <v>E:\PropInv\MF</v>
      </c>
      <c r="K8440" s="103" t="str">
        <f>HYPERLINK("E:\PropInv\MF\Irving\Story Rd S_325_Granada Terrace-Rishi Village_Irving_90154","Story Rd S_325_Granada Terrace-Rishi Village_Irving_90154" )</f>
        <v>Story Rd S_325_Granada Terrace-Rishi Village_Irving_90154</v>
      </c>
      <c r="L8440" s="104" t="s">
        <v>22253</v>
      </c>
      <c r="N8440" s="108">
        <f t="shared" si="643"/>
        <v>90154</v>
      </c>
    </row>
    <row r="8441" spans="1:14" x14ac:dyDescent="0.3">
      <c r="A8441" s="108" t="s">
        <v>12622</v>
      </c>
      <c r="B8441" s="76" t="s">
        <v>12623</v>
      </c>
      <c r="C8441" s="76">
        <v>225</v>
      </c>
      <c r="D8441" s="76" t="s">
        <v>2497</v>
      </c>
      <c r="E8441" s="77" t="s">
        <v>12624</v>
      </c>
      <c r="F8441" t="str">
        <f t="shared" si="644"/>
        <v>Greenville</v>
      </c>
      <c r="G8441" t="str">
        <f t="shared" si="645"/>
        <v>Greenville225Joshua</v>
      </c>
      <c r="H8441" t="s">
        <v>39296</v>
      </c>
      <c r="I8441" t="s">
        <v>30697</v>
      </c>
      <c r="J8441" t="str">
        <f t="shared" si="646"/>
        <v>E:\PropInv\MF</v>
      </c>
      <c r="K8441" s="103" t="str">
        <f>HYPERLINK("E:\PropInv\MF\Joshua\Greenville _225_NF_Joshua_90155","Greenville _225_NF_Joshua_90155" )</f>
        <v>Greenville _225_NF_Joshua_90155</v>
      </c>
      <c r="L8441" s="104" t="s">
        <v>22253</v>
      </c>
      <c r="N8441" s="108">
        <f t="shared" si="643"/>
        <v>90155</v>
      </c>
    </row>
    <row r="8442" spans="1:14" x14ac:dyDescent="0.3">
      <c r="A8442" s="108" t="s">
        <v>12625</v>
      </c>
      <c r="B8442" s="76" t="s">
        <v>12626</v>
      </c>
      <c r="C8442" s="76">
        <v>400</v>
      </c>
      <c r="D8442" s="77" t="s">
        <v>12627</v>
      </c>
      <c r="E8442" s="77" t="s">
        <v>7317</v>
      </c>
      <c r="F8442" t="str">
        <f t="shared" si="644"/>
        <v>Jefferson</v>
      </c>
      <c r="G8442" t="str">
        <f t="shared" si="645"/>
        <v>Jefferson400Kaufman</v>
      </c>
      <c r="H8442" t="s">
        <v>39297</v>
      </c>
      <c r="I8442" t="s">
        <v>30698</v>
      </c>
      <c r="J8442" t="str">
        <f t="shared" si="646"/>
        <v>E:\PropInv\MF</v>
      </c>
      <c r="K8442" s="103" t="str">
        <f>HYPERLINK("E:\PropInv\MF\Kaufman\Jefferson St S_400_Jefferson Street Apts_Kaufman_90156","Jefferson St S_400_Jefferson Street Apts_Kaufman_90156" )</f>
        <v>Jefferson St S_400_Jefferson Street Apts_Kaufman_90156</v>
      </c>
      <c r="L8442" s="104" t="s">
        <v>22253</v>
      </c>
      <c r="N8442" s="108">
        <f t="shared" si="643"/>
        <v>90156</v>
      </c>
    </row>
    <row r="8443" spans="1:14" x14ac:dyDescent="0.3">
      <c r="A8443" s="108" t="s">
        <v>12628</v>
      </c>
      <c r="B8443" s="75" t="s">
        <v>12629</v>
      </c>
      <c r="C8443" s="75">
        <v>115</v>
      </c>
      <c r="D8443" s="74" t="s">
        <v>2497</v>
      </c>
      <c r="E8443" s="74" t="s">
        <v>10936</v>
      </c>
      <c r="F8443" t="str">
        <f t="shared" si="644"/>
        <v>Britton</v>
      </c>
      <c r="G8443" t="str">
        <f t="shared" si="645"/>
        <v>Britton115Krum</v>
      </c>
      <c r="H8443" t="s">
        <v>39298</v>
      </c>
      <c r="I8443" t="s">
        <v>30699</v>
      </c>
      <c r="J8443" t="str">
        <f t="shared" si="646"/>
        <v>E:\PropInv\MF</v>
      </c>
      <c r="K8443" s="103" t="str">
        <f>HYPERLINK("E:\PropInv\MF\Krum\Britton St W_115_NF_Krum_90157","Britton St W_115_NF_Krum_90157" )</f>
        <v>Britton St W_115_NF_Krum_90157</v>
      </c>
      <c r="L8443" s="104" t="s">
        <v>22253</v>
      </c>
      <c r="N8443" s="108">
        <f t="shared" ref="N8443:N8506" si="647">RIGHT(A8443,LEN(A8443)-2)+90000</f>
        <v>90157</v>
      </c>
    </row>
    <row r="8444" spans="1:14" x14ac:dyDescent="0.3">
      <c r="A8444" s="108" t="s">
        <v>12630</v>
      </c>
      <c r="B8444" s="77" t="s">
        <v>10934</v>
      </c>
      <c r="C8444" s="77">
        <v>4892</v>
      </c>
      <c r="D8444" s="77" t="s">
        <v>12631</v>
      </c>
      <c r="E8444" s="77" t="s">
        <v>10936</v>
      </c>
      <c r="F8444" t="str">
        <f t="shared" ref="F8444:F8507" si="648">IFERROR(LEFT(B8444,FIND(" ",B8444)-1),B8444)</f>
        <v>Masch</v>
      </c>
      <c r="G8444" t="str">
        <f t="shared" ref="G8444:G8507" si="649">F8444&amp;C8444&amp;E8444</f>
        <v>Masch4892Krum</v>
      </c>
      <c r="H8444" t="s">
        <v>39299</v>
      </c>
      <c r="I8444" t="s">
        <v>30700</v>
      </c>
      <c r="J8444" t="str">
        <f t="shared" ref="J8444:J8507" si="650">IF(L8444="TX",Folder_Path,Folder_Path&amp;"\State_"&amp;L8444)</f>
        <v>E:\PropInv\MF</v>
      </c>
      <c r="K8444" s="103" t="str">
        <f>HYPERLINK("E:\PropInv\MF\Krum\Masch Branch Rd_4892_Midwest Apts_Krum_90158","Masch Branch Rd_4892_Midwest Apts_Krum_90158" )</f>
        <v>Masch Branch Rd_4892_Midwest Apts_Krum_90158</v>
      </c>
      <c r="L8444" s="104" t="s">
        <v>22253</v>
      </c>
      <c r="N8444" s="108">
        <f t="shared" si="647"/>
        <v>90158</v>
      </c>
    </row>
    <row r="8445" spans="1:14" x14ac:dyDescent="0.3">
      <c r="A8445" s="108" t="s">
        <v>12632</v>
      </c>
      <c r="B8445" s="75" t="s">
        <v>8635</v>
      </c>
      <c r="C8445" s="75">
        <v>1207</v>
      </c>
      <c r="D8445" s="78" t="s">
        <v>12633</v>
      </c>
      <c r="E8445" s="75" t="s">
        <v>5411</v>
      </c>
      <c r="F8445" t="str">
        <f t="shared" si="648"/>
        <v>Westridge</v>
      </c>
      <c r="G8445" t="str">
        <f t="shared" si="649"/>
        <v>Westridge1207Lancaster</v>
      </c>
      <c r="H8445" t="s">
        <v>39300</v>
      </c>
      <c r="I8445" t="s">
        <v>30701</v>
      </c>
      <c r="J8445" t="str">
        <f t="shared" si="650"/>
        <v>E:\PropInv\MF</v>
      </c>
      <c r="K8445" s="103" t="str">
        <f>HYPERLINK("E:\PropInv\MF\Lancaster\Westridge Ave_1207_Westridge Apts_Lancaster_90159","Westridge Ave_1207_Westridge Apts_Lancaster_90159" )</f>
        <v>Westridge Ave_1207_Westridge Apts_Lancaster_90159</v>
      </c>
      <c r="L8445" s="104" t="s">
        <v>22253</v>
      </c>
      <c r="N8445" s="108">
        <f t="shared" si="647"/>
        <v>90159</v>
      </c>
    </row>
    <row r="8446" spans="1:14" x14ac:dyDescent="0.3">
      <c r="A8446" s="108" t="s">
        <v>12634</v>
      </c>
      <c r="B8446" s="75" t="s">
        <v>10058</v>
      </c>
      <c r="C8446" s="75">
        <v>2800</v>
      </c>
      <c r="D8446" s="75" t="s">
        <v>2497</v>
      </c>
      <c r="E8446" s="75" t="s">
        <v>5060</v>
      </c>
      <c r="F8446" t="str">
        <f t="shared" si="648"/>
        <v>Keller</v>
      </c>
      <c r="G8446" t="str">
        <f t="shared" si="649"/>
        <v>Keller2800Carrollton</v>
      </c>
      <c r="H8446" t="s">
        <v>39301</v>
      </c>
      <c r="I8446" t="s">
        <v>30702</v>
      </c>
      <c r="J8446" t="str">
        <f t="shared" si="650"/>
        <v>E:\PropInv\MF</v>
      </c>
      <c r="K8446" s="103" t="str">
        <f>HYPERLINK("E:\PropInv\MF\Carrollton\Keller Springs Rd_2800_NF_Carrollton_90016","Keller Springs Rd_2800_NF_Carrollton_90016" )</f>
        <v>Keller Springs Rd_2800_NF_Carrollton_90016</v>
      </c>
      <c r="L8446" s="104" t="s">
        <v>22253</v>
      </c>
      <c r="N8446" s="108">
        <f t="shared" si="647"/>
        <v>90016</v>
      </c>
    </row>
    <row r="8447" spans="1:14" x14ac:dyDescent="0.3">
      <c r="A8447" s="108" t="s">
        <v>12635</v>
      </c>
      <c r="B8447" s="76" t="s">
        <v>3118</v>
      </c>
      <c r="C8447" s="76">
        <v>370</v>
      </c>
      <c r="D8447" s="77" t="s">
        <v>12636</v>
      </c>
      <c r="E8447" s="77" t="s">
        <v>5055</v>
      </c>
      <c r="F8447" t="str">
        <f t="shared" si="648"/>
        <v>Main</v>
      </c>
      <c r="G8447" t="str">
        <f t="shared" si="649"/>
        <v>Main370Lewisville</v>
      </c>
      <c r="H8447" t="s">
        <v>39302</v>
      </c>
      <c r="I8447" t="s">
        <v>30703</v>
      </c>
      <c r="J8447" t="str">
        <f t="shared" si="650"/>
        <v>E:\PropInv\MF</v>
      </c>
      <c r="K8447" s="103" t="str">
        <f>HYPERLINK("E:\PropInv\MF\Lewisville\Main St_370_Lewisvilla Apts_Lewisville_90160","Main St_370_Lewisvilla Apts_Lewisville_90160" )</f>
        <v>Main St_370_Lewisvilla Apts_Lewisville_90160</v>
      </c>
      <c r="L8447" s="104" t="s">
        <v>22253</v>
      </c>
      <c r="N8447" s="108">
        <f t="shared" si="647"/>
        <v>90160</v>
      </c>
    </row>
    <row r="8448" spans="1:14" x14ac:dyDescent="0.3">
      <c r="A8448" s="108" t="s">
        <v>12637</v>
      </c>
      <c r="B8448" s="76" t="s">
        <v>3118</v>
      </c>
      <c r="C8448" s="76">
        <v>210</v>
      </c>
      <c r="D8448" s="76" t="s">
        <v>12638</v>
      </c>
      <c r="E8448" s="76" t="s">
        <v>10587</v>
      </c>
      <c r="F8448" t="str">
        <f t="shared" si="648"/>
        <v>Main</v>
      </c>
      <c r="G8448" t="str">
        <f t="shared" si="649"/>
        <v>Main210Little Elm</v>
      </c>
      <c r="H8448" t="s">
        <v>39303</v>
      </c>
      <c r="I8448" t="s">
        <v>30704</v>
      </c>
      <c r="J8448" t="str">
        <f t="shared" si="650"/>
        <v>E:\PropInv\MF</v>
      </c>
      <c r="K8448" s="103" t="str">
        <f>HYPERLINK("E:\PropInv\MF\Little Elm\Main St_210_Elmwood Apts_Little Elm_90161","Main St_210_Elmwood Apts_Little Elm_90161" )</f>
        <v>Main St_210_Elmwood Apts_Little Elm_90161</v>
      </c>
      <c r="L8448" s="104" t="s">
        <v>22253</v>
      </c>
      <c r="N8448" s="108">
        <f t="shared" si="647"/>
        <v>90161</v>
      </c>
    </row>
    <row r="8449" spans="1:14" x14ac:dyDescent="0.3">
      <c r="A8449" s="108" t="s">
        <v>12639</v>
      </c>
      <c r="B8449" s="77" t="s">
        <v>12640</v>
      </c>
      <c r="C8449" s="77">
        <v>1114</v>
      </c>
      <c r="D8449" s="77" t="s">
        <v>12641</v>
      </c>
      <c r="E8449" s="77" t="s">
        <v>12392</v>
      </c>
      <c r="F8449" t="str">
        <f t="shared" si="648"/>
        <v>1585</v>
      </c>
      <c r="G8449" t="str">
        <f t="shared" si="649"/>
        <v xml:space="preserve">15851114Lubbock </v>
      </c>
      <c r="H8449" t="s">
        <v>39304</v>
      </c>
      <c r="I8449" t="s">
        <v>30705</v>
      </c>
      <c r="J8449" t="str">
        <f t="shared" si="650"/>
        <v>E:\PropInv\MF</v>
      </c>
      <c r="K8449" s="103" t="str">
        <f>HYPERLINK("E:\PropInv\MF\Lubbock \1585 FM_1114_FM 1585 Shopping Center_Lubbock _90162","1585 FM_1114_FM 1585 Shopping Center_Lubbock _90162" )</f>
        <v>1585 FM_1114_FM 1585 Shopping Center_Lubbock _90162</v>
      </c>
      <c r="L8449" s="104" t="s">
        <v>22253</v>
      </c>
      <c r="N8449" s="108">
        <f t="shared" si="647"/>
        <v>90162</v>
      </c>
    </row>
    <row r="8450" spans="1:14" x14ac:dyDescent="0.3">
      <c r="A8450" s="108" t="s">
        <v>12642</v>
      </c>
      <c r="B8450" s="76" t="s">
        <v>5041</v>
      </c>
      <c r="C8450" s="76">
        <v>2520</v>
      </c>
      <c r="D8450" s="76" t="s">
        <v>12643</v>
      </c>
      <c r="E8450" s="76" t="s">
        <v>5043</v>
      </c>
      <c r="F8450" t="str">
        <f t="shared" si="648"/>
        <v>Virginia</v>
      </c>
      <c r="G8450" t="str">
        <f t="shared" si="649"/>
        <v>Virginia2520McKinney</v>
      </c>
      <c r="H8450" t="s">
        <v>39305</v>
      </c>
      <c r="I8450" t="s">
        <v>30706</v>
      </c>
      <c r="J8450" t="str">
        <f t="shared" si="650"/>
        <v>E:\PropInv\MF</v>
      </c>
      <c r="K8450" s="103" t="str">
        <f>HYPERLINK("E:\PropInv\MF\McKinney\Virginia Pkwy_2520_Twelve Oaks Apts_McKinney_90163","Virginia Pkwy_2520_Twelve Oaks Apts_McKinney_90163" )</f>
        <v>Virginia Pkwy_2520_Twelve Oaks Apts_McKinney_90163</v>
      </c>
      <c r="L8450" s="104" t="s">
        <v>22253</v>
      </c>
      <c r="N8450" s="108">
        <f t="shared" si="647"/>
        <v>90163</v>
      </c>
    </row>
    <row r="8451" spans="1:14" x14ac:dyDescent="0.3">
      <c r="A8451" s="108" t="s">
        <v>12644</v>
      </c>
      <c r="B8451" s="75" t="s">
        <v>12645</v>
      </c>
      <c r="C8451" s="75">
        <v>2521</v>
      </c>
      <c r="D8451" s="75" t="s">
        <v>12646</v>
      </c>
      <c r="E8451" s="75" t="s">
        <v>12647</v>
      </c>
      <c r="F8451" t="str">
        <f t="shared" si="648"/>
        <v>Elm</v>
      </c>
      <c r="G8451" t="str">
        <f t="shared" si="649"/>
        <v>Elm2521Phoenix</v>
      </c>
      <c r="H8451" t="s">
        <v>39306</v>
      </c>
      <c r="I8451" t="s">
        <v>30707</v>
      </c>
      <c r="J8451" t="str">
        <f t="shared" si="650"/>
        <v>E:\PropInv\MF\State_AZ</v>
      </c>
      <c r="K8451" s="103" t="str">
        <f>HYPERLINK("E:\PropInv\MF\State_AZ\Phoenix\Elm St  W_2521_Casa Paradise_Phoenix_90164","Elm St  W_2521_Casa Paradise_Phoenix_90164" )</f>
        <v>Elm St  W_2521_Casa Paradise_Phoenix_90164</v>
      </c>
      <c r="L8451" s="104" t="s">
        <v>19767</v>
      </c>
      <c r="N8451" s="108">
        <f t="shared" si="647"/>
        <v>90164</v>
      </c>
    </row>
    <row r="8452" spans="1:14" x14ac:dyDescent="0.3">
      <c r="A8452" s="108" t="s">
        <v>12648</v>
      </c>
      <c r="B8452" s="77" t="s">
        <v>12649</v>
      </c>
      <c r="C8452" s="77" t="s">
        <v>12650</v>
      </c>
      <c r="D8452" s="77" t="s">
        <v>12651</v>
      </c>
      <c r="E8452" s="76" t="s">
        <v>5009</v>
      </c>
      <c r="F8452" t="str">
        <f t="shared" si="648"/>
        <v>F</v>
      </c>
      <c r="G8452" t="str">
        <f t="shared" si="649"/>
        <v>F1509 - 1531Plano</v>
      </c>
      <c r="H8452" t="s">
        <v>39307</v>
      </c>
      <c r="I8452" t="s">
        <v>30708</v>
      </c>
      <c r="J8452" t="str">
        <f t="shared" si="650"/>
        <v>E:\PropInv\MF</v>
      </c>
      <c r="K8452" s="103" t="str">
        <f>HYPERLINK("E:\PropInv\MF\Plano\F Ave_1509 - 1531_Plano Apts_Plano_90165","F Ave_1509 - 1531_Plano Apts_Plano_90165" )</f>
        <v>F Ave_1509 - 1531_Plano Apts_Plano_90165</v>
      </c>
      <c r="L8452" s="104" t="s">
        <v>22253</v>
      </c>
      <c r="N8452" s="108">
        <f t="shared" si="647"/>
        <v>90165</v>
      </c>
    </row>
    <row r="8453" spans="1:14" x14ac:dyDescent="0.3">
      <c r="A8453" s="108" t="s">
        <v>12652</v>
      </c>
      <c r="B8453" s="74" t="s">
        <v>12653</v>
      </c>
      <c r="C8453" s="74">
        <v>1506</v>
      </c>
      <c r="D8453" s="74" t="s">
        <v>12654</v>
      </c>
      <c r="E8453" s="74" t="s">
        <v>12655</v>
      </c>
      <c r="F8453" t="str">
        <f t="shared" si="648"/>
        <v>100</v>
      </c>
      <c r="G8453" t="str">
        <f t="shared" si="649"/>
        <v>1001506Port Isabel</v>
      </c>
      <c r="H8453" t="s">
        <v>39308</v>
      </c>
      <c r="I8453" t="s">
        <v>30709</v>
      </c>
      <c r="J8453" t="str">
        <f t="shared" si="650"/>
        <v>E:\PropInv\MF</v>
      </c>
      <c r="K8453" s="103" t="str">
        <f>HYPERLINK("E:\PropInv\MF\Port Isabel\100 Hwy_1506_Treasure Island Village_Port Isabel_90166","100 Hwy_1506_Treasure Island Village_Port Isabel_90166" )</f>
        <v>100 Hwy_1506_Treasure Island Village_Port Isabel_90166</v>
      </c>
      <c r="L8453" s="104" t="s">
        <v>22253</v>
      </c>
      <c r="N8453" s="108">
        <f t="shared" si="647"/>
        <v>90166</v>
      </c>
    </row>
    <row r="8454" spans="1:14" x14ac:dyDescent="0.3">
      <c r="A8454" s="108" t="s">
        <v>12656</v>
      </c>
      <c r="B8454" s="76" t="s">
        <v>12657</v>
      </c>
      <c r="C8454" s="76">
        <v>609</v>
      </c>
      <c r="D8454" s="77" t="s">
        <v>2497</v>
      </c>
      <c r="E8454" s="77" t="s">
        <v>7563</v>
      </c>
      <c r="F8454" t="str">
        <f t="shared" si="648"/>
        <v>6th</v>
      </c>
      <c r="G8454" t="str">
        <f t="shared" si="649"/>
        <v>6th609Princeton</v>
      </c>
      <c r="H8454" t="s">
        <v>39309</v>
      </c>
      <c r="I8454" t="s">
        <v>30710</v>
      </c>
      <c r="J8454" t="str">
        <f t="shared" si="650"/>
        <v>E:\PropInv\MF</v>
      </c>
      <c r="K8454" s="103" t="str">
        <f>HYPERLINK("E:\PropInv\MF\Princeton\6th St N_609_NF_Princeton_90167","6th St N_609_NF_Princeton_90167" )</f>
        <v>6th St N_609_NF_Princeton_90167</v>
      </c>
      <c r="L8454" s="104" t="s">
        <v>22253</v>
      </c>
      <c r="N8454" s="108">
        <f t="shared" si="647"/>
        <v>90167</v>
      </c>
    </row>
    <row r="8455" spans="1:14" x14ac:dyDescent="0.3">
      <c r="A8455" s="108" t="s">
        <v>12658</v>
      </c>
      <c r="B8455" s="74" t="s">
        <v>12659</v>
      </c>
      <c r="C8455" s="74">
        <v>500</v>
      </c>
      <c r="D8455" s="74" t="s">
        <v>12660</v>
      </c>
      <c r="E8455" s="75" t="s">
        <v>7563</v>
      </c>
      <c r="F8455" t="str">
        <f t="shared" si="648"/>
        <v>Hazelwood</v>
      </c>
      <c r="G8455" t="str">
        <f t="shared" si="649"/>
        <v>Hazelwood500Princeton</v>
      </c>
      <c r="H8455" t="s">
        <v>39310</v>
      </c>
      <c r="I8455" t="s">
        <v>30711</v>
      </c>
      <c r="J8455" t="str">
        <f t="shared" si="650"/>
        <v>E:\PropInv\MF</v>
      </c>
      <c r="K8455" s="103" t="str">
        <f>HYPERLINK("E:\PropInv\MF\Princeton\Hazelwood Dr E_500_Hazelwood Apts_Princeton_90168","Hazelwood Dr E_500_Hazelwood Apts_Princeton_90168" )</f>
        <v>Hazelwood Dr E_500_Hazelwood Apts_Princeton_90168</v>
      </c>
      <c r="L8455" s="104" t="s">
        <v>22253</v>
      </c>
      <c r="N8455" s="108">
        <f t="shared" si="647"/>
        <v>90168</v>
      </c>
    </row>
    <row r="8456" spans="1:14" x14ac:dyDescent="0.3">
      <c r="A8456" s="108" t="s">
        <v>12661</v>
      </c>
      <c r="B8456" s="77" t="s">
        <v>12662</v>
      </c>
      <c r="C8456" s="76">
        <v>600</v>
      </c>
      <c r="D8456" s="74" t="s">
        <v>12663</v>
      </c>
      <c r="E8456" s="76" t="s">
        <v>5862</v>
      </c>
      <c r="F8456" t="str">
        <f t="shared" si="648"/>
        <v>Methodist</v>
      </c>
      <c r="G8456" t="str">
        <f t="shared" si="649"/>
        <v>Methodist600Red Oak</v>
      </c>
      <c r="H8456" t="s">
        <v>39311</v>
      </c>
      <c r="I8456" t="s">
        <v>30712</v>
      </c>
      <c r="J8456" t="str">
        <f t="shared" si="650"/>
        <v>E:\PropInv\MF</v>
      </c>
      <c r="K8456" s="103" t="str">
        <f>HYPERLINK("E:\PropInv\MF\Red Oak\Methodist N_600_Steel Dust II_Red Oak_90169","Methodist N_600_Steel Dust II_Red Oak_90169" )</f>
        <v>Methodist N_600_Steel Dust II_Red Oak_90169</v>
      </c>
      <c r="L8456" s="104" t="s">
        <v>22253</v>
      </c>
      <c r="N8456" s="108">
        <f t="shared" si="647"/>
        <v>90169</v>
      </c>
    </row>
    <row r="8457" spans="1:14" x14ac:dyDescent="0.3">
      <c r="A8457" s="108" t="s">
        <v>12664</v>
      </c>
      <c r="B8457" s="75" t="s">
        <v>12665</v>
      </c>
      <c r="C8457" s="75">
        <v>2416</v>
      </c>
      <c r="D8457" s="75" t="s">
        <v>2497</v>
      </c>
      <c r="E8457" s="75" t="s">
        <v>5060</v>
      </c>
      <c r="F8457" t="str">
        <f t="shared" si="648"/>
        <v>Ridgedale</v>
      </c>
      <c r="G8457" t="str">
        <f t="shared" si="649"/>
        <v>Ridgedale2416Carrollton</v>
      </c>
      <c r="H8457" t="s">
        <v>39312</v>
      </c>
      <c r="I8457" t="s">
        <v>30713</v>
      </c>
      <c r="J8457" t="str">
        <f t="shared" si="650"/>
        <v>E:\PropInv\MF</v>
      </c>
      <c r="K8457" s="103" t="str">
        <f>HYPERLINK("E:\PropInv\MF\Carrollton\Ridgedale Dr_2416_NF_Carrollton_90017","Ridgedale Dr_2416_NF_Carrollton_90017" )</f>
        <v>Ridgedale Dr_2416_NF_Carrollton_90017</v>
      </c>
      <c r="L8457" s="104" t="s">
        <v>22253</v>
      </c>
      <c r="N8457" s="108">
        <f t="shared" si="647"/>
        <v>90017</v>
      </c>
    </row>
    <row r="8458" spans="1:14" x14ac:dyDescent="0.3">
      <c r="A8458" s="108" t="s">
        <v>12666</v>
      </c>
      <c r="B8458" s="77" t="s">
        <v>12667</v>
      </c>
      <c r="C8458" s="76">
        <v>106</v>
      </c>
      <c r="D8458" s="74" t="s">
        <v>12668</v>
      </c>
      <c r="E8458" s="76" t="s">
        <v>5862</v>
      </c>
      <c r="F8458" t="str">
        <f t="shared" si="648"/>
        <v>SH</v>
      </c>
      <c r="G8458" t="str">
        <f t="shared" si="649"/>
        <v>SH106Red Oak</v>
      </c>
      <c r="H8458" t="s">
        <v>39313</v>
      </c>
      <c r="I8458" t="s">
        <v>30714</v>
      </c>
      <c r="J8458" t="str">
        <f t="shared" si="650"/>
        <v>E:\PropInv\MF</v>
      </c>
      <c r="K8458" s="103" t="str">
        <f>HYPERLINK("E:\PropInv\MF\Red Oak\SH N_106_Hawk's Landing_Red Oak_90170","SH N_106_Hawk's Landing_Red Oak_90170" )</f>
        <v>SH N_106_Hawk's Landing_Red Oak_90170</v>
      </c>
      <c r="L8458" s="104" t="s">
        <v>22253</v>
      </c>
      <c r="N8458" s="108">
        <f t="shared" si="647"/>
        <v>90170</v>
      </c>
    </row>
    <row r="8459" spans="1:14" x14ac:dyDescent="0.3">
      <c r="A8459" s="108" t="s">
        <v>12669</v>
      </c>
      <c r="B8459" s="74" t="s">
        <v>12670</v>
      </c>
      <c r="C8459" s="74">
        <v>116</v>
      </c>
      <c r="D8459" s="74" t="s">
        <v>12671</v>
      </c>
      <c r="E8459" s="74" t="s">
        <v>3328</v>
      </c>
      <c r="F8459" t="str">
        <f t="shared" si="648"/>
        <v>Bowser</v>
      </c>
      <c r="G8459" t="str">
        <f t="shared" si="649"/>
        <v>Bowser116Richardson</v>
      </c>
      <c r="H8459" t="s">
        <v>39314</v>
      </c>
      <c r="I8459" t="s">
        <v>30715</v>
      </c>
      <c r="J8459" t="str">
        <f t="shared" si="650"/>
        <v>E:\PropInv\MF</v>
      </c>
      <c r="K8459" s="103" t="str">
        <f>HYPERLINK("E:\PropInv\MF\Richardson\Bowser Rd_116_Bowser Road Apts_Richardson_90171","Bowser Rd_116_Bowser Road Apts_Richardson_90171" )</f>
        <v>Bowser Rd_116_Bowser Road Apts_Richardson_90171</v>
      </c>
      <c r="L8459" s="104" t="s">
        <v>22253</v>
      </c>
      <c r="N8459" s="108">
        <f t="shared" si="647"/>
        <v>90171</v>
      </c>
    </row>
    <row r="8460" spans="1:14" x14ac:dyDescent="0.3">
      <c r="A8460" s="108" t="s">
        <v>12672</v>
      </c>
      <c r="B8460" s="76" t="s">
        <v>12673</v>
      </c>
      <c r="C8460" s="76">
        <v>100</v>
      </c>
      <c r="D8460" s="75" t="s">
        <v>12674</v>
      </c>
      <c r="E8460" s="76" t="s">
        <v>3328</v>
      </c>
      <c r="F8460" t="str">
        <f t="shared" si="648"/>
        <v>Bowser</v>
      </c>
      <c r="G8460" t="str">
        <f t="shared" si="649"/>
        <v>Bowser100Richardson</v>
      </c>
      <c r="H8460" t="s">
        <v>39315</v>
      </c>
      <c r="I8460" t="s">
        <v>30716</v>
      </c>
      <c r="J8460" t="str">
        <f t="shared" si="650"/>
        <v>E:\PropInv\MF</v>
      </c>
      <c r="K8460" s="103" t="str">
        <f>HYPERLINK("E:\PropInv\MF\Richardson\Bowser Rd S_100_Fairfield Apts_Richardson_90172","Bowser Rd S_100_Fairfield Apts_Richardson_90172" )</f>
        <v>Bowser Rd S_100_Fairfield Apts_Richardson_90172</v>
      </c>
      <c r="L8460" s="104" t="s">
        <v>22253</v>
      </c>
      <c r="N8460" s="108">
        <f t="shared" si="647"/>
        <v>90172</v>
      </c>
    </row>
    <row r="8461" spans="1:14" x14ac:dyDescent="0.3">
      <c r="A8461" s="108" t="s">
        <v>12675</v>
      </c>
      <c r="B8461" s="76" t="s">
        <v>12676</v>
      </c>
      <c r="C8461" s="76" t="s">
        <v>12677</v>
      </c>
      <c r="D8461" s="75" t="s">
        <v>2497</v>
      </c>
      <c r="E8461" s="76" t="s">
        <v>3328</v>
      </c>
      <c r="F8461" t="str">
        <f t="shared" si="648"/>
        <v>Candlewood</v>
      </c>
      <c r="G8461" t="str">
        <f t="shared" si="649"/>
        <v>Candlewood331-333Richardson</v>
      </c>
      <c r="H8461" t="s">
        <v>39316</v>
      </c>
      <c r="I8461" t="s">
        <v>30717</v>
      </c>
      <c r="J8461" t="str">
        <f t="shared" si="650"/>
        <v>E:\PropInv\MF</v>
      </c>
      <c r="K8461" s="103" t="str">
        <f>HYPERLINK("E:\PropInv\MF\Richardson\Candlewood Pl_331-333_NF_Richardson_90173","Candlewood Pl_331-333_NF_Richardson_90173" )</f>
        <v>Candlewood Pl_331-333_NF_Richardson_90173</v>
      </c>
      <c r="L8461" s="104" t="s">
        <v>22253</v>
      </c>
      <c r="N8461" s="108">
        <f t="shared" si="647"/>
        <v>90173</v>
      </c>
    </row>
    <row r="8462" spans="1:14" x14ac:dyDescent="0.3">
      <c r="A8462" s="108" t="s">
        <v>12678</v>
      </c>
      <c r="B8462" s="75" t="s">
        <v>12679</v>
      </c>
      <c r="C8462" s="75">
        <v>3204</v>
      </c>
      <c r="D8462" s="75" t="s">
        <v>2497</v>
      </c>
      <c r="E8462" s="75" t="s">
        <v>3328</v>
      </c>
      <c r="F8462" t="str">
        <f t="shared" si="648"/>
        <v>Foxboro</v>
      </c>
      <c r="G8462" t="str">
        <f t="shared" si="649"/>
        <v>Foxboro3204Richardson</v>
      </c>
      <c r="H8462" t="s">
        <v>39317</v>
      </c>
      <c r="I8462" t="s">
        <v>30718</v>
      </c>
      <c r="J8462" t="str">
        <f t="shared" si="650"/>
        <v>E:\PropInv\MF</v>
      </c>
      <c r="K8462" s="103" t="str">
        <f>HYPERLINK("E:\PropInv\MF\Richardson\Foxboro Dr_3204_NF_Richardson_90174","Foxboro Dr_3204_NF_Richardson_90174" )</f>
        <v>Foxboro Dr_3204_NF_Richardson_90174</v>
      </c>
      <c r="L8462" s="104" t="s">
        <v>22253</v>
      </c>
      <c r="N8462" s="108">
        <f t="shared" si="647"/>
        <v>90174</v>
      </c>
    </row>
    <row r="8463" spans="1:14" x14ac:dyDescent="0.3">
      <c r="A8463" s="108" t="s">
        <v>12680</v>
      </c>
      <c r="B8463" s="75" t="s">
        <v>12681</v>
      </c>
      <c r="C8463" s="75">
        <v>306</v>
      </c>
      <c r="D8463" s="75" t="s">
        <v>12682</v>
      </c>
      <c r="E8463" s="75" t="s">
        <v>3328</v>
      </c>
      <c r="F8463" t="str">
        <f t="shared" si="648"/>
        <v>Hilltop</v>
      </c>
      <c r="G8463" t="str">
        <f t="shared" si="649"/>
        <v>Hilltop306Richardson</v>
      </c>
      <c r="H8463" t="s">
        <v>39318</v>
      </c>
      <c r="I8463" t="s">
        <v>30719</v>
      </c>
      <c r="J8463" t="str">
        <f t="shared" si="650"/>
        <v>E:\PropInv\MF</v>
      </c>
      <c r="K8463" s="103" t="str">
        <f>HYPERLINK("E:\PropInv\MF\Richardson\Hilltop Ave_306_Richardson Duplex_Richardson_90175","Hilltop Ave_306_Richardson Duplex_Richardson_90175" )</f>
        <v>Hilltop Ave_306_Richardson Duplex_Richardson_90175</v>
      </c>
      <c r="L8463" s="104" t="s">
        <v>22253</v>
      </c>
      <c r="N8463" s="108">
        <f t="shared" si="647"/>
        <v>90175</v>
      </c>
    </row>
    <row r="8464" spans="1:14" x14ac:dyDescent="0.3">
      <c r="A8464" s="108" t="s">
        <v>12683</v>
      </c>
      <c r="B8464" s="75" t="s">
        <v>19</v>
      </c>
      <c r="C8464" s="75">
        <v>609</v>
      </c>
      <c r="D8464" s="75" t="s">
        <v>2497</v>
      </c>
      <c r="E8464" s="75" t="s">
        <v>3328</v>
      </c>
      <c r="F8464" t="str">
        <f t="shared" si="648"/>
        <v>Royal</v>
      </c>
      <c r="G8464" t="str">
        <f t="shared" si="649"/>
        <v>Royal609Richardson</v>
      </c>
      <c r="H8464" t="s">
        <v>39319</v>
      </c>
      <c r="I8464" t="s">
        <v>30720</v>
      </c>
      <c r="J8464" t="str">
        <f t="shared" si="650"/>
        <v>E:\PropInv\MF</v>
      </c>
      <c r="K8464" s="103" t="str">
        <f>HYPERLINK("E:\PropInv\MF\Richardson\Royal Crest Dr_609_NF_Richardson_90176","Royal Crest Dr_609_NF_Richardson_90176" )</f>
        <v>Royal Crest Dr_609_NF_Richardson_90176</v>
      </c>
      <c r="L8464" s="104" t="s">
        <v>22253</v>
      </c>
      <c r="N8464" s="108">
        <f t="shared" si="647"/>
        <v>90176</v>
      </c>
    </row>
    <row r="8465" spans="1:14" x14ac:dyDescent="0.3">
      <c r="A8465" s="108" t="s">
        <v>12684</v>
      </c>
      <c r="B8465" s="75" t="s">
        <v>19</v>
      </c>
      <c r="C8465" s="75">
        <v>628</v>
      </c>
      <c r="D8465" s="75" t="s">
        <v>2497</v>
      </c>
      <c r="E8465" s="75" t="s">
        <v>3328</v>
      </c>
      <c r="F8465" t="str">
        <f t="shared" si="648"/>
        <v>Royal</v>
      </c>
      <c r="G8465" t="str">
        <f t="shared" si="649"/>
        <v>Royal628Richardson</v>
      </c>
      <c r="H8465" t="s">
        <v>39320</v>
      </c>
      <c r="I8465" t="s">
        <v>30721</v>
      </c>
      <c r="J8465" t="str">
        <f t="shared" si="650"/>
        <v>E:\PropInv\MF</v>
      </c>
      <c r="K8465" s="103" t="str">
        <f>HYPERLINK("E:\PropInv\MF\Richardson\Royal Crest Dr_628_NF_Richardson_90177","Royal Crest Dr_628_NF_Richardson_90177" )</f>
        <v>Royal Crest Dr_628_NF_Richardson_90177</v>
      </c>
      <c r="L8465" s="104" t="s">
        <v>22253</v>
      </c>
      <c r="N8465" s="108">
        <f t="shared" si="647"/>
        <v>90177</v>
      </c>
    </row>
    <row r="8466" spans="1:14" x14ac:dyDescent="0.3">
      <c r="A8466" s="108" t="s">
        <v>12685</v>
      </c>
      <c r="B8466" s="76" t="s">
        <v>12686</v>
      </c>
      <c r="C8466" s="76" t="s">
        <v>12687</v>
      </c>
      <c r="D8466" s="76" t="s">
        <v>2497</v>
      </c>
      <c r="E8466" s="76" t="s">
        <v>3328</v>
      </c>
      <c r="F8466" t="str">
        <f t="shared" si="648"/>
        <v>Saint</v>
      </c>
      <c r="G8466" t="str">
        <f t="shared" si="649"/>
        <v>Saint817-819Richardson</v>
      </c>
      <c r="H8466" t="s">
        <v>39321</v>
      </c>
      <c r="I8466" t="s">
        <v>30722</v>
      </c>
      <c r="J8466" t="str">
        <f t="shared" si="650"/>
        <v>E:\PropInv\MF</v>
      </c>
      <c r="K8466" s="103" t="str">
        <f>HYPERLINK("E:\PropInv\MF\Richardson\Saint Paul Ct_817-819_NF_Richardson_90178","Saint Paul Ct_817-819_NF_Richardson_90178" )</f>
        <v>Saint Paul Ct_817-819_NF_Richardson_90178</v>
      </c>
      <c r="L8466" s="104" t="s">
        <v>22253</v>
      </c>
      <c r="N8466" s="108">
        <f t="shared" si="647"/>
        <v>90178</v>
      </c>
    </row>
    <row r="8467" spans="1:14" x14ac:dyDescent="0.3">
      <c r="A8467" s="73" t="s">
        <v>12688</v>
      </c>
      <c r="B8467" s="76" t="s">
        <v>12689</v>
      </c>
      <c r="C8467" s="76">
        <v>412</v>
      </c>
      <c r="D8467" s="76" t="s">
        <v>12690</v>
      </c>
      <c r="E8467" s="76" t="s">
        <v>3328</v>
      </c>
      <c r="F8467" t="str">
        <f t="shared" si="648"/>
        <v>Towne</v>
      </c>
      <c r="G8467" t="str">
        <f t="shared" si="649"/>
        <v>Towne412Richardson</v>
      </c>
      <c r="H8467" t="s">
        <v>39322</v>
      </c>
      <c r="I8467" t="s">
        <v>30723</v>
      </c>
      <c r="J8467" t="str">
        <f t="shared" si="650"/>
        <v>E:\PropInv\MF</v>
      </c>
      <c r="K8467" s="103" t="str">
        <f>HYPERLINK("E:\PropInv\MF\Richardson\Towne House Ln_412_Woodhaven Duplex_Richardson_90179","Towne House Ln_412_Woodhaven Duplex_Richardson_90179" )</f>
        <v>Towne House Ln_412_Woodhaven Duplex_Richardson_90179</v>
      </c>
      <c r="L8467" s="104" t="s">
        <v>22253</v>
      </c>
      <c r="N8467" s="108">
        <f t="shared" si="647"/>
        <v>90179</v>
      </c>
    </row>
    <row r="8468" spans="1:14" x14ac:dyDescent="0.3">
      <c r="A8468" s="108" t="s">
        <v>12691</v>
      </c>
      <c r="B8468" s="75" t="s">
        <v>7114</v>
      </c>
      <c r="C8468" s="75">
        <v>1310</v>
      </c>
      <c r="D8468" s="75" t="s">
        <v>12692</v>
      </c>
      <c r="E8468" s="75" t="s">
        <v>5060</v>
      </c>
      <c r="F8468" t="str">
        <f t="shared" si="648"/>
        <v>School</v>
      </c>
      <c r="G8468" t="str">
        <f t="shared" si="649"/>
        <v>School1310Carrollton</v>
      </c>
      <c r="H8468" t="s">
        <v>39323</v>
      </c>
      <c r="I8468" t="s">
        <v>30724</v>
      </c>
      <c r="J8468" t="str">
        <f t="shared" si="650"/>
        <v>E:\PropInv\MF</v>
      </c>
      <c r="K8468" s="103" t="str">
        <f>HYPERLINK("E:\PropInv\MF\Carrollton\School Rd_1310_Lynn Villa_Carrollton_90018","School Rd_1310_Lynn Villa_Carrollton_90018" )</f>
        <v>School Rd_1310_Lynn Villa_Carrollton_90018</v>
      </c>
      <c r="L8468" s="104" t="s">
        <v>22253</v>
      </c>
      <c r="N8468" s="108">
        <f t="shared" si="647"/>
        <v>90018</v>
      </c>
    </row>
    <row r="8469" spans="1:14" x14ac:dyDescent="0.3">
      <c r="A8469" s="108" t="s">
        <v>12693</v>
      </c>
      <c r="B8469" s="75" t="s">
        <v>12694</v>
      </c>
      <c r="C8469" s="75">
        <v>6731</v>
      </c>
      <c r="D8469" s="75" t="s">
        <v>12695</v>
      </c>
      <c r="E8469" s="75" t="s">
        <v>6799</v>
      </c>
      <c r="F8469" t="str">
        <f t="shared" si="648"/>
        <v>Hardisty</v>
      </c>
      <c r="G8469" t="str">
        <f t="shared" si="649"/>
        <v>Hardisty6731Richland Hills</v>
      </c>
      <c r="H8469" t="s">
        <v>39324</v>
      </c>
      <c r="I8469" t="s">
        <v>30725</v>
      </c>
      <c r="J8469" t="str">
        <f t="shared" si="650"/>
        <v>E:\PropInv\MF</v>
      </c>
      <c r="K8469" s="103" t="str">
        <f>HYPERLINK("E:\PropInv\MF\Richland Hills\Hardisty_6731_Plaza Apts_Richland Hills_90180","Hardisty_6731_Plaza Apts_Richland Hills_90180" )</f>
        <v>Hardisty_6731_Plaza Apts_Richland Hills_90180</v>
      </c>
      <c r="L8469" s="104" t="s">
        <v>22253</v>
      </c>
      <c r="N8469" s="108">
        <f t="shared" si="647"/>
        <v>90180</v>
      </c>
    </row>
    <row r="8470" spans="1:14" x14ac:dyDescent="0.3">
      <c r="A8470" s="108" t="s">
        <v>12696</v>
      </c>
      <c r="B8470" s="75" t="s">
        <v>12697</v>
      </c>
      <c r="C8470" s="75" t="s">
        <v>12698</v>
      </c>
      <c r="D8470" s="75" t="s">
        <v>12699</v>
      </c>
      <c r="E8470" s="75" t="s">
        <v>6799</v>
      </c>
      <c r="F8470" t="str">
        <f t="shared" si="648"/>
        <v>Laura</v>
      </c>
      <c r="G8470" t="str">
        <f t="shared" si="649"/>
        <v>Laura6600-6623Richland Hills</v>
      </c>
      <c r="H8470" t="s">
        <v>39325</v>
      </c>
      <c r="I8470" t="s">
        <v>30726</v>
      </c>
      <c r="J8470" t="str">
        <f t="shared" si="650"/>
        <v>E:\PropInv\MF</v>
      </c>
      <c r="K8470" s="103" t="str">
        <f>HYPERLINK("E:\PropInv\MF\Richland Hills\Laura Ann Ct_6600-6623_Laura Ann Court Duplexes_Richland Hills_90181","Laura Ann Ct_6600-6623_Laura Ann Court Duplexes_Richland Hills_90181" )</f>
        <v>Laura Ann Ct_6600-6623_Laura Ann Court Duplexes_Richland Hills_90181</v>
      </c>
      <c r="L8470" s="104" t="s">
        <v>22253</v>
      </c>
      <c r="N8470" s="108">
        <f t="shared" si="647"/>
        <v>90181</v>
      </c>
    </row>
    <row r="8471" spans="1:14" x14ac:dyDescent="0.3">
      <c r="A8471" s="108" t="s">
        <v>12700</v>
      </c>
      <c r="B8471" s="76" t="s">
        <v>12701</v>
      </c>
      <c r="C8471" s="76">
        <v>6605</v>
      </c>
      <c r="D8471" s="76" t="s">
        <v>12702</v>
      </c>
      <c r="E8471" s="76" t="s">
        <v>6799</v>
      </c>
      <c r="F8471" t="str">
        <f t="shared" si="648"/>
        <v>Park</v>
      </c>
      <c r="G8471" t="str">
        <f t="shared" si="649"/>
        <v>Park6605Richland Hills</v>
      </c>
      <c r="H8471" t="s">
        <v>39326</v>
      </c>
      <c r="I8471" t="s">
        <v>30727</v>
      </c>
      <c r="J8471" t="str">
        <f t="shared" si="650"/>
        <v>E:\PropInv\MF</v>
      </c>
      <c r="K8471" s="103" t="str">
        <f>HYPERLINK("E:\PropInv\MF\Richland Hills\Park Pl Dr_6605_Richland Chateau_Richland Hills_90182","Park Pl Dr_6605_Richland Chateau_Richland Hills_90182" )</f>
        <v>Park Pl Dr_6605_Richland Chateau_Richland Hills_90182</v>
      </c>
      <c r="L8471" s="104" t="s">
        <v>22253</v>
      </c>
      <c r="N8471" s="108">
        <f t="shared" si="647"/>
        <v>90182</v>
      </c>
    </row>
    <row r="8472" spans="1:14" x14ac:dyDescent="0.3">
      <c r="A8472" s="108" t="s">
        <v>12703</v>
      </c>
      <c r="B8472" s="76" t="s">
        <v>12704</v>
      </c>
      <c r="C8472" s="76">
        <v>6626</v>
      </c>
      <c r="D8472" s="76" t="s">
        <v>12705</v>
      </c>
      <c r="E8472" s="76" t="s">
        <v>6799</v>
      </c>
      <c r="F8472" t="str">
        <f t="shared" si="648"/>
        <v>Reeves</v>
      </c>
      <c r="G8472" t="str">
        <f t="shared" si="649"/>
        <v>Reeves6626Richland Hills</v>
      </c>
      <c r="H8472" t="s">
        <v>39327</v>
      </c>
      <c r="I8472" t="s">
        <v>30728</v>
      </c>
      <c r="J8472" t="str">
        <f t="shared" si="650"/>
        <v>E:\PropInv\MF</v>
      </c>
      <c r="K8472" s="103" t="str">
        <f>HYPERLINK("E:\PropInv\MF\Richland Hills\Reeves St_6626_Robinwood Apts_Richland Hills_90183","Reeves St_6626_Robinwood Apts_Richland Hills_90183" )</f>
        <v>Reeves St_6626_Robinwood Apts_Richland Hills_90183</v>
      </c>
      <c r="L8472" s="104" t="s">
        <v>22253</v>
      </c>
      <c r="N8472" s="108">
        <f t="shared" si="647"/>
        <v>90183</v>
      </c>
    </row>
    <row r="8473" spans="1:14" x14ac:dyDescent="0.3">
      <c r="A8473" s="108" t="s">
        <v>12706</v>
      </c>
      <c r="B8473" s="75" t="s">
        <v>12707</v>
      </c>
      <c r="C8473" s="75">
        <v>3101</v>
      </c>
      <c r="D8473" s="75" t="s">
        <v>12702</v>
      </c>
      <c r="E8473" s="75" t="s">
        <v>6799</v>
      </c>
      <c r="F8473" t="str">
        <f t="shared" si="648"/>
        <v>Rufe</v>
      </c>
      <c r="G8473" t="str">
        <f t="shared" si="649"/>
        <v>Rufe3101Richland Hills</v>
      </c>
      <c r="H8473" t="s">
        <v>39328</v>
      </c>
      <c r="I8473" t="s">
        <v>30729</v>
      </c>
      <c r="J8473" t="str">
        <f t="shared" si="650"/>
        <v>E:\PropInv\MF</v>
      </c>
      <c r="K8473" s="103" t="str">
        <f>HYPERLINK("E:\PropInv\MF\Richland Hills\Rufe Snow D_3101_Richland Chateau_Richland Hills_90184","Rufe Snow D_3101_Richland Chateau_Richland Hills_90184" )</f>
        <v>Rufe Snow D_3101_Richland Chateau_Richland Hills_90184</v>
      </c>
      <c r="L8473" s="104" t="s">
        <v>22253</v>
      </c>
      <c r="N8473" s="108">
        <f t="shared" si="647"/>
        <v>90184</v>
      </c>
    </row>
    <row r="8474" spans="1:14" x14ac:dyDescent="0.3">
      <c r="A8474" s="108" t="s">
        <v>12708</v>
      </c>
      <c r="B8474" s="76" t="s">
        <v>12709</v>
      </c>
      <c r="C8474" s="76" t="s">
        <v>12710</v>
      </c>
      <c r="D8474" s="76" t="s">
        <v>2497</v>
      </c>
      <c r="E8474" s="76" t="s">
        <v>332</v>
      </c>
      <c r="F8474" t="str">
        <f t="shared" si="648"/>
        <v>Brocks</v>
      </c>
      <c r="G8474" t="str">
        <f t="shared" si="649"/>
        <v>Brocks6157-61-63River Oaks</v>
      </c>
      <c r="H8474" t="s">
        <v>39329</v>
      </c>
      <c r="I8474" t="s">
        <v>30730</v>
      </c>
      <c r="J8474" t="str">
        <f t="shared" si="650"/>
        <v>E:\PropInv\MF</v>
      </c>
      <c r="K8474" s="103" t="str">
        <f>HYPERLINK("E:\PropInv\MF\River Oaks\Brocks_6157-61-63_NF_River Oaks_90185","Brocks_6157-61-63_NF_River Oaks_90185" )</f>
        <v>Brocks_6157-61-63_NF_River Oaks_90185</v>
      </c>
      <c r="L8474" s="104" t="s">
        <v>22253</v>
      </c>
      <c r="N8474" s="108">
        <f t="shared" si="647"/>
        <v>90185</v>
      </c>
    </row>
    <row r="8475" spans="1:14" x14ac:dyDescent="0.3">
      <c r="A8475" s="108" t="s">
        <v>12711</v>
      </c>
      <c r="B8475" s="76" t="s">
        <v>12712</v>
      </c>
      <c r="C8475" s="76">
        <v>940</v>
      </c>
      <c r="D8475" s="76" t="s">
        <v>2497</v>
      </c>
      <c r="E8475" s="76" t="s">
        <v>332</v>
      </c>
      <c r="F8475" t="str">
        <f t="shared" si="648"/>
        <v>Cody</v>
      </c>
      <c r="G8475" t="str">
        <f t="shared" si="649"/>
        <v>Cody940River Oaks</v>
      </c>
      <c r="H8475" t="s">
        <v>39330</v>
      </c>
      <c r="I8475" t="s">
        <v>30731</v>
      </c>
      <c r="J8475" t="str">
        <f t="shared" si="650"/>
        <v>E:\PropInv\MF</v>
      </c>
      <c r="K8475" s="103" t="str">
        <f>HYPERLINK("E:\PropInv\MF\River Oaks\Cody Ct_940_NF_River Oaks_90186","Cody Ct_940_NF_River Oaks_90186" )</f>
        <v>Cody Ct_940_NF_River Oaks_90186</v>
      </c>
      <c r="L8475" s="104" t="s">
        <v>22253</v>
      </c>
      <c r="N8475" s="108">
        <f t="shared" si="647"/>
        <v>90186</v>
      </c>
    </row>
    <row r="8476" spans="1:14" x14ac:dyDescent="0.3">
      <c r="A8476" s="108" t="s">
        <v>12713</v>
      </c>
      <c r="B8476" s="76" t="s">
        <v>12714</v>
      </c>
      <c r="C8476" s="76">
        <v>420</v>
      </c>
      <c r="D8476" s="76" t="s">
        <v>3014</v>
      </c>
      <c r="E8476" s="76" t="s">
        <v>332</v>
      </c>
      <c r="F8476" t="str">
        <f t="shared" si="648"/>
        <v>Roberts</v>
      </c>
      <c r="G8476" t="str">
        <f t="shared" si="649"/>
        <v>Roberts420River Oaks</v>
      </c>
      <c r="H8476" t="s">
        <v>39331</v>
      </c>
      <c r="I8476" t="s">
        <v>30732</v>
      </c>
      <c r="J8476" t="str">
        <f t="shared" si="650"/>
        <v>E:\PropInv\MF</v>
      </c>
      <c r="K8476" s="103" t="str">
        <f>HYPERLINK("E:\PropInv\MF\River Oaks\Roberts Cut Off_420_The Park at River Oaks_River Oaks_90187","Roberts Cut Off_420_The Park at River Oaks_River Oaks_90187" )</f>
        <v>Roberts Cut Off_420_The Park at River Oaks_River Oaks_90187</v>
      </c>
      <c r="L8476" s="104" t="s">
        <v>22253</v>
      </c>
      <c r="N8476" s="108">
        <f t="shared" si="647"/>
        <v>90187</v>
      </c>
    </row>
    <row r="8477" spans="1:14" x14ac:dyDescent="0.3">
      <c r="A8477" s="108" t="s">
        <v>12715</v>
      </c>
      <c r="B8477" s="75" t="s">
        <v>5787</v>
      </c>
      <c r="C8477" s="75">
        <v>101</v>
      </c>
      <c r="D8477" s="75" t="s">
        <v>12716</v>
      </c>
      <c r="E8477" s="75" t="s">
        <v>5236</v>
      </c>
      <c r="F8477" t="str">
        <f t="shared" si="648"/>
        <v>Lake</v>
      </c>
      <c r="G8477" t="str">
        <f t="shared" si="649"/>
        <v>Lake101Rockwall</v>
      </c>
      <c r="H8477" t="s">
        <v>39332</v>
      </c>
      <c r="I8477" t="s">
        <v>18580</v>
      </c>
      <c r="J8477" t="str">
        <f t="shared" si="650"/>
        <v>E:\PropInv\MF</v>
      </c>
      <c r="K8477" s="103" t="str">
        <f>HYPERLINK("E:\PropInv\MF\Rockwall\Lake Meadows_101_Bent Creek Condos_Rockwall_90188","Lake Meadows_101_Bent Creek Condos_Rockwall_90188" )</f>
        <v>Lake Meadows_101_Bent Creek Condos_Rockwall_90188</v>
      </c>
      <c r="L8477" s="104" t="s">
        <v>22253</v>
      </c>
      <c r="N8477" s="108">
        <f t="shared" si="647"/>
        <v>90188</v>
      </c>
    </row>
    <row r="8478" spans="1:14" x14ac:dyDescent="0.3">
      <c r="A8478" s="108" t="s">
        <v>12717</v>
      </c>
      <c r="B8478" s="76" t="s">
        <v>12718</v>
      </c>
      <c r="C8478" s="76" t="s">
        <v>18584</v>
      </c>
      <c r="D8478" s="76" t="s">
        <v>12719</v>
      </c>
      <c r="E8478" s="76" t="s">
        <v>5236</v>
      </c>
      <c r="F8478" t="str">
        <f t="shared" si="648"/>
        <v>Ranger</v>
      </c>
      <c r="G8478" t="str">
        <f t="shared" si="649"/>
        <v>Ranger5412-5414Rockwall</v>
      </c>
      <c r="H8478" t="s">
        <v>39333</v>
      </c>
      <c r="I8478" t="s">
        <v>30733</v>
      </c>
      <c r="J8478" t="str">
        <f t="shared" si="650"/>
        <v>E:\PropInv\MF</v>
      </c>
      <c r="K8478" s="103" t="str">
        <f>HYPERLINK("E:\PropInv\MF\Rockwall\Ranger Dr_5412-5414_Lakeview Duplex_Rockwall_90189","Ranger Dr_5412-5414_Lakeview Duplex_Rockwall_90189" )</f>
        <v>Ranger Dr_5412-5414_Lakeview Duplex_Rockwall_90189</v>
      </c>
      <c r="L8478" s="104" t="s">
        <v>22253</v>
      </c>
      <c r="N8478" s="108">
        <f t="shared" si="647"/>
        <v>90189</v>
      </c>
    </row>
    <row r="8479" spans="1:14" x14ac:dyDescent="0.3">
      <c r="A8479" s="108" t="s">
        <v>12720</v>
      </c>
      <c r="B8479" s="75" t="s">
        <v>12721</v>
      </c>
      <c r="C8479" s="75">
        <v>315</v>
      </c>
      <c r="D8479" s="75" t="s">
        <v>5271</v>
      </c>
      <c r="E8479" s="75" t="s">
        <v>5407</v>
      </c>
      <c r="F8479" t="str">
        <f t="shared" si="648"/>
        <v>Cedar</v>
      </c>
      <c r="G8479" t="str">
        <f t="shared" si="649"/>
        <v>Cedar315Cedar Hill</v>
      </c>
      <c r="H8479" t="s">
        <v>39334</v>
      </c>
      <c r="I8479" t="s">
        <v>30734</v>
      </c>
      <c r="J8479" t="str">
        <f t="shared" si="650"/>
        <v>E:\PropInv\MF</v>
      </c>
      <c r="K8479" s="103" t="str">
        <f>HYPERLINK("E:\PropInv\MF\Cedar Hill\Cedar St_315_Cedars_Cedar Hill_90019","Cedar St_315_Cedars_Cedar Hill_90019" )</f>
        <v>Cedar St_315_Cedars_Cedar Hill_90019</v>
      </c>
      <c r="L8479" s="104" t="s">
        <v>22253</v>
      </c>
      <c r="N8479" s="108">
        <f t="shared" si="647"/>
        <v>90019</v>
      </c>
    </row>
    <row r="8480" spans="1:14" x14ac:dyDescent="0.3">
      <c r="A8480" s="108" t="s">
        <v>12722</v>
      </c>
      <c r="B8480" s="76" t="s">
        <v>12723</v>
      </c>
      <c r="C8480" s="76" t="s">
        <v>12724</v>
      </c>
      <c r="D8480" s="76" t="s">
        <v>12725</v>
      </c>
      <c r="E8480" s="76" t="s">
        <v>7964</v>
      </c>
      <c r="F8480" t="str">
        <f t="shared" si="648"/>
        <v>Alissa</v>
      </c>
      <c r="G8480" t="str">
        <f t="shared" si="649"/>
        <v>Alissa6200-6700Rowlett</v>
      </c>
      <c r="H8480" t="s">
        <v>39335</v>
      </c>
      <c r="I8480" t="s">
        <v>30735</v>
      </c>
      <c r="J8480" t="str">
        <f t="shared" si="650"/>
        <v>E:\PropInv\MF</v>
      </c>
      <c r="K8480" s="103" t="str">
        <f>HYPERLINK("E:\PropInv\MF\Rowlett\Alissa Dr_6200-6700_Lakeview Meadow Estates_Rowlett_90190","Alissa Dr_6200-6700_Lakeview Meadow Estates_Rowlett_90190" )</f>
        <v>Alissa Dr_6200-6700_Lakeview Meadow Estates_Rowlett_90190</v>
      </c>
      <c r="L8480" s="104" t="s">
        <v>22253</v>
      </c>
      <c r="N8480" s="108">
        <f t="shared" si="647"/>
        <v>90190</v>
      </c>
    </row>
    <row r="8481" spans="1:14" x14ac:dyDescent="0.3">
      <c r="A8481" s="108" t="s">
        <v>12726</v>
      </c>
      <c r="B8481" s="75" t="s">
        <v>7678</v>
      </c>
      <c r="C8481" s="75">
        <v>7406</v>
      </c>
      <c r="D8481" s="75" t="s">
        <v>2497</v>
      </c>
      <c r="E8481" s="75" t="s">
        <v>7964</v>
      </c>
      <c r="F8481" t="str">
        <f t="shared" si="648"/>
        <v>Amherst</v>
      </c>
      <c r="G8481" t="str">
        <f t="shared" si="649"/>
        <v>Amherst7406Rowlett</v>
      </c>
      <c r="H8481" t="s">
        <v>39336</v>
      </c>
      <c r="I8481" t="s">
        <v>30736</v>
      </c>
      <c r="J8481" t="str">
        <f t="shared" si="650"/>
        <v>E:\PropInv\MF</v>
      </c>
      <c r="K8481" s="103" t="str">
        <f>HYPERLINK("E:\PropInv\MF\Rowlett\Amherst Dr_7406_NF_Rowlett_90191","Amherst Dr_7406_NF_Rowlett_90191" )</f>
        <v>Amherst Dr_7406_NF_Rowlett_90191</v>
      </c>
      <c r="L8481" s="104" t="s">
        <v>22253</v>
      </c>
      <c r="N8481" s="108">
        <f t="shared" si="647"/>
        <v>90191</v>
      </c>
    </row>
    <row r="8482" spans="1:14" x14ac:dyDescent="0.3">
      <c r="A8482" s="108" t="s">
        <v>12727</v>
      </c>
      <c r="B8482" s="76" t="s">
        <v>12728</v>
      </c>
      <c r="C8482" s="76">
        <v>3914</v>
      </c>
      <c r="D8482" s="76" t="s">
        <v>2497</v>
      </c>
      <c r="E8482" s="76" t="s">
        <v>7964</v>
      </c>
      <c r="F8482" t="str">
        <f t="shared" si="648"/>
        <v>Knights</v>
      </c>
      <c r="G8482" t="str">
        <f t="shared" si="649"/>
        <v>Knights3914Rowlett</v>
      </c>
      <c r="H8482" t="s">
        <v>39337</v>
      </c>
      <c r="I8482" t="s">
        <v>30737</v>
      </c>
      <c r="J8482" t="str">
        <f t="shared" si="650"/>
        <v>E:\PropInv\MF</v>
      </c>
      <c r="K8482" s="103" t="str">
        <f>HYPERLINK("E:\PropInv\MF\Rowlett\Knights Bridge_3914_NF_Rowlett_90192","Knights Bridge_3914_NF_Rowlett_90192" )</f>
        <v>Knights Bridge_3914_NF_Rowlett_90192</v>
      </c>
      <c r="L8482" s="104" t="s">
        <v>22253</v>
      </c>
      <c r="N8482" s="108">
        <f t="shared" si="647"/>
        <v>90192</v>
      </c>
    </row>
    <row r="8483" spans="1:14" x14ac:dyDescent="0.3">
      <c r="A8483" s="108" t="s">
        <v>12729</v>
      </c>
      <c r="B8483" s="75" t="s">
        <v>12730</v>
      </c>
      <c r="C8483" s="75">
        <v>7400</v>
      </c>
      <c r="D8483" s="75" t="s">
        <v>12731</v>
      </c>
      <c r="E8483" s="75" t="s">
        <v>7964</v>
      </c>
      <c r="F8483" t="str">
        <f t="shared" si="648"/>
        <v>Rutgers</v>
      </c>
      <c r="G8483" t="str">
        <f t="shared" si="649"/>
        <v>Rutgers7400Rowlett</v>
      </c>
      <c r="H8483" t="s">
        <v>39338</v>
      </c>
      <c r="I8483" t="s">
        <v>30738</v>
      </c>
      <c r="J8483" t="str">
        <f t="shared" si="650"/>
        <v>E:\PropInv\MF</v>
      </c>
      <c r="K8483" s="103" t="str">
        <f>HYPERLINK("E:\PropInv\MF\Rowlett\Rutgers Cir_7400_College Park Duplex_Rowlett_90193","Rutgers Cir_7400_College Park Duplex_Rowlett_90193" )</f>
        <v>Rutgers Cir_7400_College Park Duplex_Rowlett_90193</v>
      </c>
      <c r="L8483" s="104" t="s">
        <v>22253</v>
      </c>
      <c r="N8483" s="108">
        <f t="shared" si="647"/>
        <v>90193</v>
      </c>
    </row>
    <row r="8484" spans="1:14" x14ac:dyDescent="0.3">
      <c r="A8484" s="108" t="s">
        <v>12732</v>
      </c>
      <c r="B8484" s="76" t="s">
        <v>12733</v>
      </c>
      <c r="C8484" s="76">
        <v>2610</v>
      </c>
      <c r="D8484" s="76" t="s">
        <v>2497</v>
      </c>
      <c r="E8484" s="76" t="s">
        <v>7964</v>
      </c>
      <c r="F8484" t="str">
        <f t="shared" si="648"/>
        <v>Stanford</v>
      </c>
      <c r="G8484" t="str">
        <f t="shared" si="649"/>
        <v>Stanford2610Rowlett</v>
      </c>
      <c r="H8484" t="s">
        <v>39339</v>
      </c>
      <c r="I8484" t="s">
        <v>30739</v>
      </c>
      <c r="J8484" t="str">
        <f t="shared" si="650"/>
        <v>E:\PropInv\MF</v>
      </c>
      <c r="K8484" s="103" t="str">
        <f>HYPERLINK("E:\PropInv\MF\Rowlett\Stanford St_2610_NF_Rowlett_90194","Stanford St_2610_NF_Rowlett_90194" )</f>
        <v>Stanford St_2610_NF_Rowlett_90194</v>
      </c>
      <c r="L8484" s="104" t="s">
        <v>22253</v>
      </c>
      <c r="N8484" s="108">
        <f t="shared" si="647"/>
        <v>90194</v>
      </c>
    </row>
    <row r="8485" spans="1:14" x14ac:dyDescent="0.3">
      <c r="A8485" s="108" t="s">
        <v>12734</v>
      </c>
      <c r="B8485" s="75" t="s">
        <v>12735</v>
      </c>
      <c r="C8485" s="75">
        <v>3116</v>
      </c>
      <c r="D8485" s="75" t="s">
        <v>2497</v>
      </c>
      <c r="E8485" s="75" t="s">
        <v>8670</v>
      </c>
      <c r="F8485" t="str">
        <f t="shared" si="648"/>
        <v>6th</v>
      </c>
      <c r="G8485" t="str">
        <f t="shared" si="649"/>
        <v>6th3116Sachse</v>
      </c>
      <c r="H8485" t="s">
        <v>39340</v>
      </c>
      <c r="I8485" t="s">
        <v>30740</v>
      </c>
      <c r="J8485" t="str">
        <f t="shared" si="650"/>
        <v>E:\PropInv\MF</v>
      </c>
      <c r="K8485" s="103" t="str">
        <f>HYPERLINK("E:\PropInv\MF\Sachse\6th St_3116_NF_Sachse_90195","6th St_3116_NF_Sachse_90195" )</f>
        <v>6th St_3116_NF_Sachse_90195</v>
      </c>
      <c r="L8485" s="104" t="s">
        <v>22253</v>
      </c>
      <c r="N8485" s="108">
        <f t="shared" si="647"/>
        <v>90195</v>
      </c>
    </row>
    <row r="8486" spans="1:14" x14ac:dyDescent="0.3">
      <c r="A8486" s="108" t="s">
        <v>12736</v>
      </c>
      <c r="B8486" s="76" t="s">
        <v>12737</v>
      </c>
      <c r="C8486" s="76">
        <v>6408</v>
      </c>
      <c r="D8486" s="75" t="s">
        <v>2497</v>
      </c>
      <c r="E8486" s="76" t="s">
        <v>8670</v>
      </c>
      <c r="F8486" t="str">
        <f t="shared" si="648"/>
        <v>78</v>
      </c>
      <c r="G8486" t="str">
        <f t="shared" si="649"/>
        <v>786408Sachse</v>
      </c>
      <c r="H8486" t="s">
        <v>39341</v>
      </c>
      <c r="I8486" t="s">
        <v>30741</v>
      </c>
      <c r="J8486" t="str">
        <f t="shared" si="650"/>
        <v>E:\PropInv\MF</v>
      </c>
      <c r="K8486" s="103" t="str">
        <f>HYPERLINK("E:\PropInv\MF\Sachse\78 SH_6408_NF_Sachse_90196","78 SH_6408_NF_Sachse_90196" )</f>
        <v>78 SH_6408_NF_Sachse_90196</v>
      </c>
      <c r="L8486" s="104" t="s">
        <v>22253</v>
      </c>
      <c r="N8486" s="108">
        <f t="shared" si="647"/>
        <v>90196</v>
      </c>
    </row>
    <row r="8487" spans="1:14" x14ac:dyDescent="0.3">
      <c r="A8487" s="108" t="s">
        <v>12738</v>
      </c>
      <c r="B8487" s="75" t="s">
        <v>12739</v>
      </c>
      <c r="C8487" s="75">
        <v>5510</v>
      </c>
      <c r="D8487" s="75" t="s">
        <v>12740</v>
      </c>
      <c r="E8487" s="75" t="s">
        <v>8670</v>
      </c>
      <c r="F8487" t="str">
        <f t="shared" si="648"/>
        <v>Brookview</v>
      </c>
      <c r="G8487" t="str">
        <f t="shared" si="649"/>
        <v>Brookview5510Sachse</v>
      </c>
      <c r="H8487" t="s">
        <v>39342</v>
      </c>
      <c r="I8487" t="s">
        <v>30742</v>
      </c>
      <c r="J8487" t="str">
        <f t="shared" si="650"/>
        <v>E:\PropInv\MF</v>
      </c>
      <c r="K8487" s="103" t="str">
        <f>HYPERLINK("E:\PropInv\MF\Sachse\Brookview Ct_5510_Brookview Ct Fourplex_Sachse_90197","Brookview Ct_5510_Brookview Ct Fourplex_Sachse_90197" )</f>
        <v>Brookview Ct_5510_Brookview Ct Fourplex_Sachse_90197</v>
      </c>
      <c r="L8487" s="104" t="s">
        <v>22253</v>
      </c>
      <c r="N8487" s="108">
        <f t="shared" si="647"/>
        <v>90197</v>
      </c>
    </row>
    <row r="8488" spans="1:14" x14ac:dyDescent="0.3">
      <c r="A8488" s="108" t="s">
        <v>12741</v>
      </c>
      <c r="B8488" s="76" t="s">
        <v>12742</v>
      </c>
      <c r="C8488" s="76" t="s">
        <v>12743</v>
      </c>
      <c r="D8488" s="76" t="s">
        <v>2497</v>
      </c>
      <c r="E8488" s="76" t="s">
        <v>8670</v>
      </c>
      <c r="F8488" t="str">
        <f t="shared" si="648"/>
        <v>Jewel</v>
      </c>
      <c r="G8488" t="str">
        <f t="shared" si="649"/>
        <v>Jewel3624-3630Sachse</v>
      </c>
      <c r="H8488" t="s">
        <v>39343</v>
      </c>
      <c r="I8488" t="s">
        <v>30743</v>
      </c>
      <c r="J8488" t="str">
        <f t="shared" si="650"/>
        <v>E:\PropInv\MF</v>
      </c>
      <c r="K8488" s="103" t="str">
        <f>HYPERLINK("E:\PropInv\MF\Sachse\Jewel St_3624-3630_NF_Sachse_90198","Jewel St_3624-3630_NF_Sachse_90198" )</f>
        <v>Jewel St_3624-3630_NF_Sachse_90198</v>
      </c>
      <c r="L8488" s="104" t="s">
        <v>22253</v>
      </c>
      <c r="N8488" s="108">
        <f t="shared" si="647"/>
        <v>90198</v>
      </c>
    </row>
    <row r="8489" spans="1:14" x14ac:dyDescent="0.3">
      <c r="A8489" s="108" t="s">
        <v>12744</v>
      </c>
      <c r="B8489" s="76" t="s">
        <v>6867</v>
      </c>
      <c r="C8489" s="76">
        <v>6340</v>
      </c>
      <c r="D8489" s="76" t="s">
        <v>12745</v>
      </c>
      <c r="E8489" s="76" t="s">
        <v>8670</v>
      </c>
      <c r="F8489" t="str">
        <f t="shared" si="648"/>
        <v>Murphy</v>
      </c>
      <c r="G8489" t="str">
        <f t="shared" si="649"/>
        <v>Murphy6340Sachse</v>
      </c>
      <c r="H8489" t="s">
        <v>39344</v>
      </c>
      <c r="I8489" t="s">
        <v>30744</v>
      </c>
      <c r="J8489" t="str">
        <f t="shared" si="650"/>
        <v>E:\PropInv\MF</v>
      </c>
      <c r="K8489" s="103" t="str">
        <f>HYPERLINK("E:\PropInv\MF\Sachse\Murphy Rd_6340_Hilltop Meadows_Sachse_90199","Murphy Rd_6340_Hilltop Meadows_Sachse_90199" )</f>
        <v>Murphy Rd_6340_Hilltop Meadows_Sachse_90199</v>
      </c>
      <c r="L8489" s="104" t="s">
        <v>22253</v>
      </c>
      <c r="N8489" s="108">
        <f t="shared" si="647"/>
        <v>90199</v>
      </c>
    </row>
    <row r="8490" spans="1:14" x14ac:dyDescent="0.3">
      <c r="A8490" s="108" t="s">
        <v>12746</v>
      </c>
      <c r="B8490" s="75" t="s">
        <v>7737</v>
      </c>
      <c r="C8490" s="75">
        <v>716</v>
      </c>
      <c r="D8490" s="74" t="s">
        <v>12747</v>
      </c>
      <c r="E8490" s="74" t="s">
        <v>6555</v>
      </c>
      <c r="F8490" t="str">
        <f t="shared" si="648"/>
        <v>Benge</v>
      </c>
      <c r="G8490" t="str">
        <f t="shared" si="649"/>
        <v>Benge716Arlington</v>
      </c>
      <c r="H8490" t="s">
        <v>39345</v>
      </c>
      <c r="I8490" t="s">
        <v>30745</v>
      </c>
      <c r="J8490" t="str">
        <f t="shared" si="650"/>
        <v>E:\PropInv\MF</v>
      </c>
      <c r="K8490" s="103" t="str">
        <f>HYPERLINK("E:\PropInv\MF\Arlington\Benge Dr_716_Benge Oaks Apts_Arlington_90002","Benge Dr_716_Benge Oaks Apts_Arlington_90002" )</f>
        <v>Benge Dr_716_Benge Oaks Apts_Arlington_90002</v>
      </c>
      <c r="L8490" s="104" t="s">
        <v>22253</v>
      </c>
      <c r="N8490" s="108">
        <f t="shared" si="647"/>
        <v>90002</v>
      </c>
    </row>
    <row r="8491" spans="1:14" x14ac:dyDescent="0.3">
      <c r="A8491" s="108" t="s">
        <v>12748</v>
      </c>
      <c r="B8491" s="76" t="s">
        <v>4741</v>
      </c>
      <c r="C8491" s="76">
        <v>312</v>
      </c>
      <c r="D8491" s="76" t="s">
        <v>12749</v>
      </c>
      <c r="E8491" s="76" t="s">
        <v>5407</v>
      </c>
      <c r="F8491" t="str">
        <f t="shared" si="648"/>
        <v>Hickerson</v>
      </c>
      <c r="G8491" t="str">
        <f t="shared" si="649"/>
        <v>Hickerson312Cedar Hill</v>
      </c>
      <c r="H8491" t="s">
        <v>39346</v>
      </c>
      <c r="I8491" t="s">
        <v>30746</v>
      </c>
      <c r="J8491" t="str">
        <f t="shared" si="650"/>
        <v>E:\PropInv\MF</v>
      </c>
      <c r="K8491" s="103" t="str">
        <f>HYPERLINK("E:\PropInv\MF\Cedar Hill\Hickerson St_312_Hickerson Place Apts_Cedar Hill_90020","Hickerson St_312_Hickerson Place Apts_Cedar Hill_90020" )</f>
        <v>Hickerson St_312_Hickerson Place Apts_Cedar Hill_90020</v>
      </c>
      <c r="L8491" s="104" t="s">
        <v>22253</v>
      </c>
      <c r="N8491" s="108">
        <f t="shared" si="647"/>
        <v>90020</v>
      </c>
    </row>
    <row r="8492" spans="1:14" x14ac:dyDescent="0.3">
      <c r="A8492" s="108" t="s">
        <v>12750</v>
      </c>
      <c r="B8492" s="76" t="s">
        <v>12751</v>
      </c>
      <c r="C8492" s="76">
        <v>805</v>
      </c>
      <c r="D8492" s="76" t="s">
        <v>2497</v>
      </c>
      <c r="E8492" s="76" t="s">
        <v>7729</v>
      </c>
      <c r="F8492" t="str">
        <f t="shared" si="648"/>
        <v>White</v>
      </c>
      <c r="G8492" t="str">
        <f t="shared" si="649"/>
        <v>White805Saginaw</v>
      </c>
      <c r="H8492" t="s">
        <v>39347</v>
      </c>
      <c r="I8492" t="s">
        <v>30747</v>
      </c>
      <c r="J8492" t="str">
        <f t="shared" si="650"/>
        <v>E:\PropInv\MF</v>
      </c>
      <c r="K8492" s="103" t="str">
        <f>HYPERLINK("E:\PropInv\MF\Saginaw\White Rock St_805_NF_Saginaw_90200","White Rock St_805_NF_Saginaw_90200" )</f>
        <v>White Rock St_805_NF_Saginaw_90200</v>
      </c>
      <c r="L8492" s="104" t="s">
        <v>22253</v>
      </c>
      <c r="N8492" s="108">
        <f t="shared" si="647"/>
        <v>90200</v>
      </c>
    </row>
    <row r="8493" spans="1:14" x14ac:dyDescent="0.3">
      <c r="A8493" s="108" t="s">
        <v>12752</v>
      </c>
      <c r="B8493" s="77" t="s">
        <v>12753</v>
      </c>
      <c r="C8493" s="77">
        <v>915</v>
      </c>
      <c r="D8493" s="77" t="s">
        <v>12754</v>
      </c>
      <c r="E8493" s="77" t="s">
        <v>842</v>
      </c>
      <c r="F8493" t="str">
        <f t="shared" si="648"/>
        <v>36th</v>
      </c>
      <c r="G8493" t="str">
        <f t="shared" si="649"/>
        <v>36th915San Antonio</v>
      </c>
      <c r="H8493" t="s">
        <v>39348</v>
      </c>
      <c r="I8493" t="s">
        <v>30748</v>
      </c>
      <c r="J8493" t="str">
        <f t="shared" si="650"/>
        <v>E:\PropInv\MF</v>
      </c>
      <c r="K8493" s="103" t="str">
        <f>HYPERLINK("E:\PropInv\MF\San Antonio\36th St SW_915_LaGuna Apts_San Antonio_90201","36th St SW_915_LaGuna Apts_San Antonio_90201" )</f>
        <v>36th St SW_915_LaGuna Apts_San Antonio_90201</v>
      </c>
      <c r="L8493" s="104" t="s">
        <v>22253</v>
      </c>
      <c r="N8493" s="108">
        <f t="shared" si="647"/>
        <v>90201</v>
      </c>
    </row>
    <row r="8494" spans="1:14" x14ac:dyDescent="0.3">
      <c r="A8494" s="108" t="s">
        <v>12755</v>
      </c>
      <c r="B8494" s="77" t="s">
        <v>12756</v>
      </c>
      <c r="C8494" s="77">
        <v>6910</v>
      </c>
      <c r="D8494" s="77" t="s">
        <v>12757</v>
      </c>
      <c r="E8494" s="77" t="s">
        <v>842</v>
      </c>
      <c r="F8494" t="str">
        <f t="shared" si="648"/>
        <v>Glendora</v>
      </c>
      <c r="G8494" t="str">
        <f t="shared" si="649"/>
        <v>Glendora6910San Antonio</v>
      </c>
      <c r="H8494" t="s">
        <v>39349</v>
      </c>
      <c r="I8494" t="s">
        <v>30749</v>
      </c>
      <c r="J8494" t="str">
        <f t="shared" si="650"/>
        <v>E:\PropInv\MF</v>
      </c>
      <c r="K8494" s="103" t="str">
        <f>HYPERLINK("E:\PropInv\MF\San Antonio\Glendora Ave_6910_Glendora Apts_San Antonio_90202","Glendora Ave_6910_Glendora Apts_San Antonio_90202" )</f>
        <v>Glendora Ave_6910_Glendora Apts_San Antonio_90202</v>
      </c>
      <c r="L8494" s="104" t="s">
        <v>22253</v>
      </c>
      <c r="N8494" s="108">
        <f t="shared" si="647"/>
        <v>90202</v>
      </c>
    </row>
    <row r="8495" spans="1:14" x14ac:dyDescent="0.3">
      <c r="A8495" s="108" t="s">
        <v>12758</v>
      </c>
      <c r="B8495" s="77" t="s">
        <v>12759</v>
      </c>
      <c r="C8495" s="77">
        <v>831</v>
      </c>
      <c r="D8495" s="77" t="s">
        <v>12760</v>
      </c>
      <c r="E8495" s="77" t="s">
        <v>842</v>
      </c>
      <c r="F8495" t="str">
        <f t="shared" si="648"/>
        <v>Grayson</v>
      </c>
      <c r="G8495" t="str">
        <f t="shared" si="649"/>
        <v>Grayson831San Antonio</v>
      </c>
      <c r="H8495" t="s">
        <v>39350</v>
      </c>
      <c r="I8495" t="s">
        <v>30750</v>
      </c>
      <c r="J8495" t="str">
        <f t="shared" si="650"/>
        <v>E:\PropInv\MF</v>
      </c>
      <c r="K8495" s="103" t="str">
        <f>HYPERLINK("E:\PropInv\MF\San Antonio\Grayson St E_831_Marshann Apts_San Antonio_90203","Grayson St E_831_Marshann Apts_San Antonio_90203" )</f>
        <v>Grayson St E_831_Marshann Apts_San Antonio_90203</v>
      </c>
      <c r="L8495" s="104" t="s">
        <v>22253</v>
      </c>
      <c r="N8495" s="108">
        <f t="shared" si="647"/>
        <v>90203</v>
      </c>
    </row>
    <row r="8496" spans="1:14" x14ac:dyDescent="0.3">
      <c r="A8496" s="108" t="s">
        <v>12761</v>
      </c>
      <c r="B8496" s="77" t="s">
        <v>12762</v>
      </c>
      <c r="C8496" s="77">
        <v>451</v>
      </c>
      <c r="D8496" s="77" t="s">
        <v>12763</v>
      </c>
      <c r="E8496" s="77" t="s">
        <v>842</v>
      </c>
      <c r="F8496" t="str">
        <f t="shared" si="648"/>
        <v>Natalen</v>
      </c>
      <c r="G8496" t="str">
        <f t="shared" si="649"/>
        <v>Natalen451San Antonio</v>
      </c>
      <c r="H8496" t="s">
        <v>39351</v>
      </c>
      <c r="I8496" t="s">
        <v>30751</v>
      </c>
      <c r="J8496" t="str">
        <f t="shared" si="650"/>
        <v>E:\PropInv\MF</v>
      </c>
      <c r="K8496" s="103" t="str">
        <f>HYPERLINK("E:\PropInv\MF\San Antonio\Natalen Ave_451_Natalen Square Apts_San Antonio_90204","Natalen Ave_451_Natalen Square Apts_San Antonio_90204" )</f>
        <v>Natalen Ave_451_Natalen Square Apts_San Antonio_90204</v>
      </c>
      <c r="L8496" s="104" t="s">
        <v>22253</v>
      </c>
      <c r="N8496" s="108">
        <f t="shared" si="647"/>
        <v>90204</v>
      </c>
    </row>
    <row r="8497" spans="1:14" x14ac:dyDescent="0.3">
      <c r="A8497" s="108" t="s">
        <v>12764</v>
      </c>
      <c r="B8497" s="76" t="s">
        <v>12765</v>
      </c>
      <c r="C8497" s="76">
        <v>139</v>
      </c>
      <c r="D8497" s="76" t="s">
        <v>12766</v>
      </c>
      <c r="E8497" s="76" t="s">
        <v>8395</v>
      </c>
      <c r="F8497" t="str">
        <f t="shared" si="648"/>
        <v>Ben</v>
      </c>
      <c r="G8497" t="str">
        <f t="shared" si="649"/>
        <v>Ben139Stephenville</v>
      </c>
      <c r="H8497" t="s">
        <v>39352</v>
      </c>
      <c r="I8497" t="s">
        <v>30752</v>
      </c>
      <c r="J8497" t="str">
        <f t="shared" si="650"/>
        <v>E:\PropInv\MF</v>
      </c>
      <c r="K8497" s="103" t="str">
        <f>HYPERLINK("E:\PropInv\MF\Stephenville\Ben Hogan_139_Stephenville 4 Plexes_Stephenville_90205","Ben Hogan_139_Stephenville 4 Plexes_Stephenville_90205" )</f>
        <v>Ben Hogan_139_Stephenville 4 Plexes_Stephenville_90205</v>
      </c>
      <c r="L8497" s="104" t="s">
        <v>22253</v>
      </c>
      <c r="N8497" s="108">
        <f t="shared" si="647"/>
        <v>90205</v>
      </c>
    </row>
    <row r="8498" spans="1:14" x14ac:dyDescent="0.3">
      <c r="A8498" s="108" t="s">
        <v>12767</v>
      </c>
      <c r="B8498" s="76" t="s">
        <v>12768</v>
      </c>
      <c r="C8498" s="76">
        <v>1380</v>
      </c>
      <c r="D8498" s="76" t="s">
        <v>2497</v>
      </c>
      <c r="E8498" s="76" t="s">
        <v>8395</v>
      </c>
      <c r="F8498" t="str">
        <f t="shared" si="648"/>
        <v>Long</v>
      </c>
      <c r="G8498" t="str">
        <f t="shared" si="649"/>
        <v>Long1380Stephenville</v>
      </c>
      <c r="H8498" t="s">
        <v>39353</v>
      </c>
      <c r="I8498" t="s">
        <v>30753</v>
      </c>
      <c r="J8498" t="str">
        <f t="shared" si="650"/>
        <v>E:\PropInv\MF</v>
      </c>
      <c r="K8498" s="103" t="str">
        <f>HYPERLINK("E:\PropInv\MF\Stephenville\Long_1380_NF_Stephenville_90206","Long_1380_NF_Stephenville_90206" )</f>
        <v>Long_1380_NF_Stephenville_90206</v>
      </c>
      <c r="L8498" s="104" t="s">
        <v>22253</v>
      </c>
      <c r="N8498" s="108">
        <f t="shared" si="647"/>
        <v>90206</v>
      </c>
    </row>
    <row r="8499" spans="1:14" x14ac:dyDescent="0.3">
      <c r="A8499" s="108" t="s">
        <v>12769</v>
      </c>
      <c r="B8499" s="77" t="s">
        <v>274</v>
      </c>
      <c r="C8499" s="77">
        <v>907</v>
      </c>
      <c r="D8499" s="77" t="s">
        <v>3013</v>
      </c>
      <c r="E8499" s="76" t="s">
        <v>5638</v>
      </c>
      <c r="F8499" t="str">
        <f t="shared" si="648"/>
        <v>Houston</v>
      </c>
      <c r="G8499" t="str">
        <f t="shared" si="649"/>
        <v>Houston907Terrell</v>
      </c>
      <c r="H8499" t="s">
        <v>39354</v>
      </c>
      <c r="I8499" t="s">
        <v>30754</v>
      </c>
      <c r="J8499" t="str">
        <f t="shared" si="650"/>
        <v>E:\PropInv\MF</v>
      </c>
      <c r="K8499" s="103" t="str">
        <f>HYPERLINK("E:\PropInv\MF\Terrell\Houston St_907_Inverness_Terrell_90207","Houston St_907_Inverness_Terrell_90207" )</f>
        <v>Houston St_907_Inverness_Terrell_90207</v>
      </c>
      <c r="L8499" s="104" t="s">
        <v>22253</v>
      </c>
      <c r="N8499" s="108">
        <f t="shared" si="647"/>
        <v>90207</v>
      </c>
    </row>
    <row r="8500" spans="1:14" x14ac:dyDescent="0.3">
      <c r="A8500" s="108" t="s">
        <v>12770</v>
      </c>
      <c r="B8500" s="76" t="s">
        <v>12771</v>
      </c>
      <c r="C8500" s="76">
        <v>301</v>
      </c>
      <c r="D8500" s="76" t="s">
        <v>2497</v>
      </c>
      <c r="E8500" s="76" t="s">
        <v>5638</v>
      </c>
      <c r="F8500" t="str">
        <f t="shared" si="648"/>
        <v>Alamo</v>
      </c>
      <c r="G8500" t="str">
        <f t="shared" si="649"/>
        <v>Alamo301Terrell</v>
      </c>
      <c r="H8500" t="s">
        <v>39355</v>
      </c>
      <c r="I8500" t="s">
        <v>30755</v>
      </c>
      <c r="J8500" t="str">
        <f t="shared" si="650"/>
        <v>E:\PropInv\MF</v>
      </c>
      <c r="K8500" s="103" t="str">
        <f>HYPERLINK("E:\PropInv\MF\Terrell\Alamo St W_301_NF_Terrell_90208","Alamo St W_301_NF_Terrell_90208" )</f>
        <v>Alamo St W_301_NF_Terrell_90208</v>
      </c>
      <c r="L8500" s="104" t="s">
        <v>22253</v>
      </c>
      <c r="N8500" s="108">
        <f t="shared" si="647"/>
        <v>90208</v>
      </c>
    </row>
    <row r="8501" spans="1:14" x14ac:dyDescent="0.3">
      <c r="A8501" s="108" t="s">
        <v>12772</v>
      </c>
      <c r="B8501" s="76" t="s">
        <v>12773</v>
      </c>
      <c r="C8501" s="76">
        <v>301</v>
      </c>
      <c r="D8501" s="76" t="s">
        <v>2497</v>
      </c>
      <c r="E8501" s="77" t="s">
        <v>5638</v>
      </c>
      <c r="F8501" t="str">
        <f t="shared" si="648"/>
        <v>Brin</v>
      </c>
      <c r="G8501" t="str">
        <f t="shared" si="649"/>
        <v>Brin301Terrell</v>
      </c>
      <c r="H8501" t="s">
        <v>39356</v>
      </c>
      <c r="I8501" t="s">
        <v>30756</v>
      </c>
      <c r="J8501" t="str">
        <f t="shared" si="650"/>
        <v>E:\PropInv\MF</v>
      </c>
      <c r="K8501" s="103" t="str">
        <f>HYPERLINK("E:\PropInv\MF\Terrell\Brin E_301_NF_Terrell_90209","Brin E_301_NF_Terrell_90209" )</f>
        <v>Brin E_301_NF_Terrell_90209</v>
      </c>
      <c r="L8501" s="104" t="s">
        <v>22253</v>
      </c>
      <c r="N8501" s="108">
        <f t="shared" si="647"/>
        <v>90209</v>
      </c>
    </row>
    <row r="8502" spans="1:14" x14ac:dyDescent="0.3">
      <c r="A8502" s="108" t="s">
        <v>12774</v>
      </c>
      <c r="B8502" s="76" t="s">
        <v>12775</v>
      </c>
      <c r="C8502" s="76">
        <v>706</v>
      </c>
      <c r="D8502" s="76" t="s">
        <v>12776</v>
      </c>
      <c r="E8502" s="76" t="s">
        <v>5407</v>
      </c>
      <c r="F8502" t="str">
        <f t="shared" si="648"/>
        <v>Lemons</v>
      </c>
      <c r="G8502" t="str">
        <f t="shared" si="649"/>
        <v>Lemons706Cedar Hill</v>
      </c>
      <c r="H8502" t="s">
        <v>39357</v>
      </c>
      <c r="I8502" t="s">
        <v>30757</v>
      </c>
      <c r="J8502" t="str">
        <f t="shared" si="650"/>
        <v>E:\PropInv\MF</v>
      </c>
      <c r="K8502" s="103" t="str">
        <f>HYPERLINK("E:\PropInv\MF\Cedar Hill\Lemons St_706_Lemon Duplexes_Cedar Hill_90021","Lemons St_706_Lemon Duplexes_Cedar Hill_90021" )</f>
        <v>Lemons St_706_Lemon Duplexes_Cedar Hill_90021</v>
      </c>
      <c r="L8502" s="104" t="s">
        <v>22253</v>
      </c>
      <c r="N8502" s="108">
        <f t="shared" si="647"/>
        <v>90021</v>
      </c>
    </row>
    <row r="8503" spans="1:14" x14ac:dyDescent="0.3">
      <c r="A8503" s="108" t="s">
        <v>12777</v>
      </c>
      <c r="B8503" s="76" t="s">
        <v>12778</v>
      </c>
      <c r="C8503" s="76">
        <v>409</v>
      </c>
      <c r="D8503" s="76" t="s">
        <v>2497</v>
      </c>
      <c r="E8503" s="76" t="s">
        <v>5638</v>
      </c>
      <c r="F8503" t="str">
        <f t="shared" si="648"/>
        <v>College</v>
      </c>
      <c r="G8503" t="str">
        <f t="shared" si="649"/>
        <v>College409Terrell</v>
      </c>
      <c r="H8503" t="s">
        <v>39358</v>
      </c>
      <c r="I8503" t="s">
        <v>30758</v>
      </c>
      <c r="J8503" t="str">
        <f t="shared" si="650"/>
        <v>E:\PropInv\MF</v>
      </c>
      <c r="K8503" s="103" t="str">
        <f>HYPERLINK("E:\PropInv\MF\Terrell\College St E_409_NF_Terrell_90210","College St E_409_NF_Terrell_90210" )</f>
        <v>College St E_409_NF_Terrell_90210</v>
      </c>
      <c r="L8503" s="104" t="s">
        <v>22253</v>
      </c>
      <c r="N8503" s="108">
        <f t="shared" si="647"/>
        <v>90210</v>
      </c>
    </row>
    <row r="8504" spans="1:14" x14ac:dyDescent="0.3">
      <c r="A8504" s="108" t="s">
        <v>12779</v>
      </c>
      <c r="B8504" s="76" t="s">
        <v>12780</v>
      </c>
      <c r="C8504" s="76">
        <v>1805</v>
      </c>
      <c r="D8504" s="76" t="s">
        <v>2497</v>
      </c>
      <c r="E8504" s="76" t="s">
        <v>5638</v>
      </c>
      <c r="F8504" t="str">
        <f t="shared" si="648"/>
        <v>Frances</v>
      </c>
      <c r="G8504" t="str">
        <f t="shared" si="649"/>
        <v>Frances1805Terrell</v>
      </c>
      <c r="H8504" t="s">
        <v>39359</v>
      </c>
      <c r="I8504" t="s">
        <v>30759</v>
      </c>
      <c r="J8504" t="str">
        <f t="shared" si="650"/>
        <v>E:\PropInv\MF</v>
      </c>
      <c r="K8504" s="103" t="str">
        <f>HYPERLINK("E:\PropInv\MF\Terrell\Frances Ave_1805_NF_Terrell_90211","Frances Ave_1805_NF_Terrell_90211" )</f>
        <v>Frances Ave_1805_NF_Terrell_90211</v>
      </c>
      <c r="L8504" s="104" t="s">
        <v>22253</v>
      </c>
      <c r="N8504" s="108">
        <f t="shared" si="647"/>
        <v>90211</v>
      </c>
    </row>
    <row r="8505" spans="1:14" x14ac:dyDescent="0.3">
      <c r="A8505" s="108" t="s">
        <v>12781</v>
      </c>
      <c r="B8505" s="76" t="s">
        <v>12782</v>
      </c>
      <c r="C8505" s="76">
        <v>904</v>
      </c>
      <c r="D8505" s="76" t="s">
        <v>2497</v>
      </c>
      <c r="E8505" s="76" t="s">
        <v>5638</v>
      </c>
      <c r="F8505" t="str">
        <f t="shared" si="648"/>
        <v>Frances</v>
      </c>
      <c r="G8505" t="str">
        <f t="shared" si="649"/>
        <v>Frances904Terrell</v>
      </c>
      <c r="H8505" t="s">
        <v>39360</v>
      </c>
      <c r="I8505" t="s">
        <v>30760</v>
      </c>
      <c r="J8505" t="str">
        <f t="shared" si="650"/>
        <v>E:\PropInv\MF</v>
      </c>
      <c r="K8505" s="103" t="str">
        <f>HYPERLINK("E:\PropInv\MF\Terrell\Frances N_904_NF_Terrell_90212","Frances N_904_NF_Terrell_90212" )</f>
        <v>Frances N_904_NF_Terrell_90212</v>
      </c>
      <c r="L8505" s="104" t="s">
        <v>22253</v>
      </c>
      <c r="N8505" s="108">
        <f t="shared" si="647"/>
        <v>90212</v>
      </c>
    </row>
    <row r="8506" spans="1:14" x14ac:dyDescent="0.3">
      <c r="A8506" s="108" t="s">
        <v>12783</v>
      </c>
      <c r="B8506" s="76" t="s">
        <v>6021</v>
      </c>
      <c r="C8506" s="76">
        <v>200</v>
      </c>
      <c r="D8506" s="76" t="s">
        <v>12784</v>
      </c>
      <c r="E8506" s="76" t="s">
        <v>5638</v>
      </c>
      <c r="F8506" t="str">
        <f t="shared" si="648"/>
        <v>Lovers</v>
      </c>
      <c r="G8506" t="str">
        <f t="shared" si="649"/>
        <v>Lovers200Terrell</v>
      </c>
      <c r="H8506" t="s">
        <v>39361</v>
      </c>
      <c r="I8506" t="s">
        <v>30761</v>
      </c>
      <c r="J8506" t="str">
        <f t="shared" si="650"/>
        <v>E:\PropInv\MF</v>
      </c>
      <c r="K8506" s="103" t="str">
        <f>HYPERLINK("E:\PropInv\MF\Terrell\Lovers Ln_200_Royal Oaks TH_Terrell_90213","Lovers Ln_200_Royal Oaks TH_Terrell_90213" )</f>
        <v>Lovers Ln_200_Royal Oaks TH_Terrell_90213</v>
      </c>
      <c r="L8506" s="104" t="s">
        <v>22253</v>
      </c>
      <c r="N8506" s="108">
        <f t="shared" si="647"/>
        <v>90213</v>
      </c>
    </row>
    <row r="8507" spans="1:14" x14ac:dyDescent="0.3">
      <c r="A8507" s="108" t="s">
        <v>12785</v>
      </c>
      <c r="B8507" s="76" t="s">
        <v>12786</v>
      </c>
      <c r="C8507" s="76">
        <v>700</v>
      </c>
      <c r="D8507" s="76" t="s">
        <v>2497</v>
      </c>
      <c r="E8507" s="76" t="s">
        <v>5638</v>
      </c>
      <c r="F8507" t="str">
        <f t="shared" si="648"/>
        <v>Virginia</v>
      </c>
      <c r="G8507" t="str">
        <f t="shared" si="649"/>
        <v>Virginia700Terrell</v>
      </c>
      <c r="H8507" t="s">
        <v>39362</v>
      </c>
      <c r="I8507" t="s">
        <v>30762</v>
      </c>
      <c r="J8507" t="str">
        <f t="shared" si="650"/>
        <v>E:\PropInv\MF</v>
      </c>
      <c r="K8507" s="103" t="str">
        <f>HYPERLINK("E:\PropInv\MF\Terrell\Virginia N_700_NF_Terrell_90214","Virginia N_700_NF_Terrell_90214" )</f>
        <v>Virginia N_700_NF_Terrell_90214</v>
      </c>
      <c r="L8507" s="104" t="s">
        <v>22253</v>
      </c>
      <c r="N8507" s="108">
        <f t="shared" ref="N8507:N8570" si="651">RIGHT(A8507,LEN(A8507)-2)+90000</f>
        <v>90214</v>
      </c>
    </row>
    <row r="8508" spans="1:14" x14ac:dyDescent="0.3">
      <c r="A8508" s="108" t="s">
        <v>12787</v>
      </c>
      <c r="B8508" s="76" t="s">
        <v>12788</v>
      </c>
      <c r="C8508" s="76">
        <v>620</v>
      </c>
      <c r="D8508" s="76" t="s">
        <v>12789</v>
      </c>
      <c r="E8508" s="76" t="s">
        <v>9012</v>
      </c>
      <c r="F8508" t="str">
        <f t="shared" ref="F8508:F8570" si="652">IFERROR(LEFT(B8508,FIND(" ",B8508)-1),B8508)</f>
        <v>Houston</v>
      </c>
      <c r="G8508" t="str">
        <f t="shared" ref="G8508:G8570" si="653">F8508&amp;C8508&amp;E8508</f>
        <v>Houston620Tyler</v>
      </c>
      <c r="H8508" t="s">
        <v>39363</v>
      </c>
      <c r="I8508" t="s">
        <v>30763</v>
      </c>
      <c r="J8508" t="str">
        <f t="shared" ref="J8508:J8570" si="654">IF(L8508="TX",Folder_Path,Folder_Path&amp;"\State_"&amp;L8508)</f>
        <v>E:\PropInv\MF</v>
      </c>
      <c r="K8508" s="103" t="str">
        <f>HYPERLINK("E:\PropInv\MF\Tyler\Houston St W_620_Villa Milano Apts_Tyler_90215","Houston St W_620_Villa Milano Apts_Tyler_90215" )</f>
        <v>Houston St W_620_Villa Milano Apts_Tyler_90215</v>
      </c>
      <c r="L8508" s="104" t="s">
        <v>22253</v>
      </c>
      <c r="N8508" s="108">
        <f t="shared" si="651"/>
        <v>90215</v>
      </c>
    </row>
    <row r="8509" spans="1:14" x14ac:dyDescent="0.3">
      <c r="A8509" s="108" t="s">
        <v>12790</v>
      </c>
      <c r="B8509" s="76" t="s">
        <v>12791</v>
      </c>
      <c r="C8509" s="76">
        <v>500</v>
      </c>
      <c r="D8509" s="76" t="s">
        <v>12792</v>
      </c>
      <c r="E8509" s="76" t="s">
        <v>12793</v>
      </c>
      <c r="F8509" t="str">
        <f t="shared" si="652"/>
        <v>75</v>
      </c>
      <c r="G8509" t="str">
        <f t="shared" si="653"/>
        <v>75500Van Alstyne</v>
      </c>
      <c r="H8509" t="s">
        <v>39364</v>
      </c>
      <c r="I8509" t="s">
        <v>30764</v>
      </c>
      <c r="J8509" t="str">
        <f t="shared" si="654"/>
        <v>E:\PropInv\MF</v>
      </c>
      <c r="K8509" s="103" t="str">
        <f>HYPERLINK("E:\PropInv\MF\Van Alstyne\75 Hwy N_500_Hackberry Park Apts_Van Alstyne_90216","75 Hwy N_500_Hackberry Park Apts_Van Alstyne_90216" )</f>
        <v>75 Hwy N_500_Hackberry Park Apts_Van Alstyne_90216</v>
      </c>
      <c r="L8509" s="104" t="s">
        <v>22253</v>
      </c>
      <c r="N8509" s="108">
        <f t="shared" si="651"/>
        <v>90216</v>
      </c>
    </row>
    <row r="8510" spans="1:14" x14ac:dyDescent="0.3">
      <c r="A8510" s="108" t="s">
        <v>12794</v>
      </c>
      <c r="B8510" s="76" t="s">
        <v>12795</v>
      </c>
      <c r="C8510" s="76">
        <v>816</v>
      </c>
      <c r="D8510" s="76" t="s">
        <v>2497</v>
      </c>
      <c r="E8510" s="77" t="s">
        <v>6559</v>
      </c>
      <c r="F8510" t="str">
        <f t="shared" si="652"/>
        <v>Azalea</v>
      </c>
      <c r="G8510" t="str">
        <f t="shared" si="653"/>
        <v>Azalea816Waxahachie</v>
      </c>
      <c r="H8510" t="s">
        <v>39365</v>
      </c>
      <c r="I8510" t="s">
        <v>30765</v>
      </c>
      <c r="J8510" t="str">
        <f t="shared" si="654"/>
        <v>E:\PropInv\MF</v>
      </c>
      <c r="K8510" s="103" t="str">
        <f>HYPERLINK("E:\PropInv\MF\Waxahachie\Azalea Trl_816_NF_Waxahachie_90217","Azalea Trl_816_NF_Waxahachie_90217" )</f>
        <v>Azalea Trl_816_NF_Waxahachie_90217</v>
      </c>
      <c r="L8510" s="104" t="s">
        <v>22253</v>
      </c>
      <c r="N8510" s="108">
        <f t="shared" si="651"/>
        <v>90217</v>
      </c>
    </row>
    <row r="8511" spans="1:14" x14ac:dyDescent="0.3">
      <c r="A8511" s="108" t="s">
        <v>12796</v>
      </c>
      <c r="B8511" s="76" t="s">
        <v>12797</v>
      </c>
      <c r="C8511" s="76">
        <v>803</v>
      </c>
      <c r="D8511" s="76" t="s">
        <v>12798</v>
      </c>
      <c r="E8511" s="76" t="s">
        <v>6559</v>
      </c>
      <c r="F8511" t="str">
        <f t="shared" si="652"/>
        <v>Hibiscus</v>
      </c>
      <c r="G8511" t="str">
        <f t="shared" si="653"/>
        <v>Hibiscus803Waxahachie</v>
      </c>
      <c r="H8511" t="s">
        <v>39366</v>
      </c>
      <c r="I8511" t="s">
        <v>30766</v>
      </c>
      <c r="J8511" t="str">
        <f t="shared" si="654"/>
        <v>E:\PropInv\MF</v>
      </c>
      <c r="K8511" s="103" t="str">
        <f>HYPERLINK("E:\PropInv\MF\Waxahachie\Hibiscus Way_803_Hibiscus Court TH_Waxahachie_90218","Hibiscus Way_803_Hibiscus Court TH_Waxahachie_90218" )</f>
        <v>Hibiscus Way_803_Hibiscus Court TH_Waxahachie_90218</v>
      </c>
      <c r="L8511" s="104" t="s">
        <v>22253</v>
      </c>
      <c r="N8511" s="108">
        <f t="shared" si="651"/>
        <v>90218</v>
      </c>
    </row>
    <row r="8512" spans="1:14" x14ac:dyDescent="0.3">
      <c r="A8512" s="108" t="s">
        <v>12799</v>
      </c>
      <c r="B8512" s="77" t="s">
        <v>5157</v>
      </c>
      <c r="C8512" s="76">
        <v>518</v>
      </c>
      <c r="D8512" s="77" t="s">
        <v>12800</v>
      </c>
      <c r="E8512" s="76" t="s">
        <v>6559</v>
      </c>
      <c r="F8512" t="str">
        <f t="shared" si="652"/>
        <v>Rogers</v>
      </c>
      <c r="G8512" t="str">
        <f t="shared" si="653"/>
        <v>Rogers518Waxahachie</v>
      </c>
      <c r="H8512" t="s">
        <v>39367</v>
      </c>
      <c r="I8512" t="s">
        <v>30767</v>
      </c>
      <c r="J8512" t="str">
        <f t="shared" si="654"/>
        <v>E:\PropInv\MF</v>
      </c>
      <c r="K8512" s="103" t="str">
        <f>HYPERLINK("E:\PropInv\MF\Waxahachie\Rogers N_518_Colonial Manor_Waxahachie_90219","Rogers N_518_Colonial Manor_Waxahachie_90219" )</f>
        <v>Rogers N_518_Colonial Manor_Waxahachie_90219</v>
      </c>
      <c r="L8512" s="104" t="s">
        <v>22253</v>
      </c>
      <c r="N8512" s="108">
        <f t="shared" si="651"/>
        <v>90219</v>
      </c>
    </row>
    <row r="8513" spans="1:14" x14ac:dyDescent="0.3">
      <c r="A8513" s="108" t="s">
        <v>12801</v>
      </c>
      <c r="B8513" s="76" t="s">
        <v>12802</v>
      </c>
      <c r="C8513" s="76">
        <v>605</v>
      </c>
      <c r="D8513" s="76" t="s">
        <v>2497</v>
      </c>
      <c r="E8513" s="77" t="s">
        <v>11427</v>
      </c>
      <c r="F8513" t="str">
        <f t="shared" si="652"/>
        <v>Caddo</v>
      </c>
      <c r="G8513" t="str">
        <f t="shared" si="653"/>
        <v>Caddo605Cleburne</v>
      </c>
      <c r="H8513" t="s">
        <v>39368</v>
      </c>
      <c r="I8513" t="s">
        <v>30768</v>
      </c>
      <c r="J8513" t="str">
        <f t="shared" si="654"/>
        <v>E:\PropInv\MF</v>
      </c>
      <c r="K8513" s="103" t="str">
        <f>HYPERLINK("E:\PropInv\MF\Cleburne\Caddo St S_605_NF_Cleburne_90022","Caddo St S_605_NF_Cleburne_90022" )</f>
        <v>Caddo St S_605_NF_Cleburne_90022</v>
      </c>
      <c r="L8513" s="104" t="s">
        <v>22253</v>
      </c>
      <c r="N8513" s="108">
        <f t="shared" si="651"/>
        <v>90022</v>
      </c>
    </row>
    <row r="8514" spans="1:14" x14ac:dyDescent="0.3">
      <c r="A8514" s="108" t="s">
        <v>12803</v>
      </c>
      <c r="B8514" s="76" t="s">
        <v>12502</v>
      </c>
      <c r="C8514" s="76">
        <v>1011</v>
      </c>
      <c r="D8514" s="76" t="s">
        <v>12804</v>
      </c>
      <c r="E8514" s="76" t="s">
        <v>7522</v>
      </c>
      <c r="F8514" t="str">
        <f t="shared" si="652"/>
        <v>Vine</v>
      </c>
      <c r="G8514" t="str">
        <f t="shared" si="653"/>
        <v>Vine1011Weatherford</v>
      </c>
      <c r="H8514" t="s">
        <v>39369</v>
      </c>
      <c r="I8514" t="s">
        <v>30769</v>
      </c>
      <c r="J8514" t="str">
        <f t="shared" si="654"/>
        <v>E:\PropInv\MF</v>
      </c>
      <c r="K8514" s="103" t="str">
        <f>HYPERLINK("E:\PropInv\MF\Weatherford\Vine St_1011_1011 Vine St Apts_Weatherford_90220","Vine St_1011_1011 Vine St Apts_Weatherford_90220" )</f>
        <v>Vine St_1011_1011 Vine St Apts_Weatherford_90220</v>
      </c>
      <c r="L8514" s="104" t="s">
        <v>22253</v>
      </c>
      <c r="N8514" s="108">
        <f t="shared" si="651"/>
        <v>90220</v>
      </c>
    </row>
    <row r="8515" spans="1:14" x14ac:dyDescent="0.3">
      <c r="A8515" s="108" t="s">
        <v>12805</v>
      </c>
      <c r="B8515" s="76" t="s">
        <v>12806</v>
      </c>
      <c r="C8515" s="76">
        <v>8040</v>
      </c>
      <c r="D8515" s="76" t="s">
        <v>2497</v>
      </c>
      <c r="E8515" s="76" t="s">
        <v>7120</v>
      </c>
      <c r="F8515" t="str">
        <f t="shared" si="652"/>
        <v>Cambridge</v>
      </c>
      <c r="G8515" t="str">
        <f t="shared" si="653"/>
        <v>Cambridge8040White Settlement</v>
      </c>
      <c r="H8515" t="s">
        <v>39370</v>
      </c>
      <c r="I8515" t="s">
        <v>30770</v>
      </c>
      <c r="J8515" t="str">
        <f t="shared" si="654"/>
        <v>E:\PropInv\MF</v>
      </c>
      <c r="K8515" s="103" t="str">
        <f>HYPERLINK("E:\PropInv\MF\White Settlement\Cambridge Cir_8040_NF_White Settlement_90221","Cambridge Cir_8040_NF_White Settlement_90221" )</f>
        <v>Cambridge Cir_8040_NF_White Settlement_90221</v>
      </c>
      <c r="L8515" s="104" t="s">
        <v>22253</v>
      </c>
      <c r="N8515" s="108">
        <f t="shared" si="651"/>
        <v>90221</v>
      </c>
    </row>
    <row r="8516" spans="1:14" x14ac:dyDescent="0.3">
      <c r="A8516" s="108" t="s">
        <v>12807</v>
      </c>
      <c r="B8516" s="76" t="s">
        <v>12537</v>
      </c>
      <c r="C8516" s="76">
        <v>714</v>
      </c>
      <c r="D8516" s="77" t="s">
        <v>2497</v>
      </c>
      <c r="E8516" s="77" t="s">
        <v>7120</v>
      </c>
      <c r="F8516" t="str">
        <f t="shared" si="652"/>
        <v>Lariat</v>
      </c>
      <c r="G8516" t="str">
        <f t="shared" si="653"/>
        <v>Lariat714White Settlement</v>
      </c>
      <c r="H8516" t="s">
        <v>39371</v>
      </c>
      <c r="I8516" t="s">
        <v>30771</v>
      </c>
      <c r="J8516" t="str">
        <f t="shared" si="654"/>
        <v>E:\PropInv\MF</v>
      </c>
      <c r="K8516" s="103" t="str">
        <f>HYPERLINK("E:\PropInv\MF\White Settlement\Lariat Ln_714_NF_White Settlement_90222","Lariat Ln_714_NF_White Settlement_90222" )</f>
        <v>Lariat Ln_714_NF_White Settlement_90222</v>
      </c>
      <c r="L8516" s="104" t="s">
        <v>22253</v>
      </c>
      <c r="N8516" s="108">
        <f t="shared" si="651"/>
        <v>90222</v>
      </c>
    </row>
    <row r="8517" spans="1:14" x14ac:dyDescent="0.3">
      <c r="A8517" s="108" t="s">
        <v>12808</v>
      </c>
      <c r="B8517" s="76" t="s">
        <v>12809</v>
      </c>
      <c r="C8517" s="76">
        <v>301</v>
      </c>
      <c r="D8517" s="76" t="s">
        <v>2497</v>
      </c>
      <c r="E8517" s="76" t="s">
        <v>5383</v>
      </c>
      <c r="F8517" t="str">
        <f t="shared" si="652"/>
        <v>Redbud</v>
      </c>
      <c r="G8517" t="str">
        <f t="shared" si="653"/>
        <v>Redbud301Wilmer</v>
      </c>
      <c r="H8517" t="s">
        <v>39372</v>
      </c>
      <c r="I8517" t="s">
        <v>30772</v>
      </c>
      <c r="J8517" t="str">
        <f t="shared" si="654"/>
        <v>E:\PropInv\MF</v>
      </c>
      <c r="K8517" s="103" t="str">
        <f>HYPERLINK("E:\PropInv\MF\Wilmer\Redbud Ln_301_NF_Wilmer_90223","Redbud Ln_301_NF_Wilmer_90223" )</f>
        <v>Redbud Ln_301_NF_Wilmer_90223</v>
      </c>
      <c r="L8517" s="104" t="s">
        <v>22253</v>
      </c>
      <c r="N8517" s="108">
        <f t="shared" si="651"/>
        <v>90223</v>
      </c>
    </row>
    <row r="8518" spans="1:14" x14ac:dyDescent="0.3">
      <c r="A8518" s="108" t="s">
        <v>12810</v>
      </c>
      <c r="B8518" s="76" t="s">
        <v>12811</v>
      </c>
      <c r="C8518" s="76">
        <v>103</v>
      </c>
      <c r="D8518" s="76" t="s">
        <v>2497</v>
      </c>
      <c r="E8518" s="76" t="s">
        <v>6215</v>
      </c>
      <c r="F8518" t="str">
        <f t="shared" si="652"/>
        <v>Brown</v>
      </c>
      <c r="G8518" t="str">
        <f t="shared" si="653"/>
        <v>Brown103Wylie</v>
      </c>
      <c r="H8518" t="s">
        <v>39373</v>
      </c>
      <c r="I8518" t="s">
        <v>30773</v>
      </c>
      <c r="J8518" t="str">
        <f t="shared" si="654"/>
        <v>E:\PropInv\MF</v>
      </c>
      <c r="K8518" s="103" t="str">
        <f>HYPERLINK("E:\PropInv\MF\Wylie\Brown St W_103_NF_Wylie_90224","Brown St W_103_NF_Wylie_90224" )</f>
        <v>Brown St W_103_NF_Wylie_90224</v>
      </c>
      <c r="L8518" s="104" t="s">
        <v>22253</v>
      </c>
      <c r="N8518" s="108">
        <f t="shared" si="651"/>
        <v>90224</v>
      </c>
    </row>
    <row r="8519" spans="1:14" x14ac:dyDescent="0.3">
      <c r="A8519" s="108" t="s">
        <v>12812</v>
      </c>
      <c r="B8519" s="76" t="s">
        <v>12813</v>
      </c>
      <c r="C8519" s="76">
        <v>218</v>
      </c>
      <c r="D8519" s="76" t="s">
        <v>12814</v>
      </c>
      <c r="E8519" s="76" t="s">
        <v>5612</v>
      </c>
      <c r="F8519" t="str">
        <f t="shared" si="652"/>
        <v>Samuel</v>
      </c>
      <c r="G8519" t="str">
        <f t="shared" si="653"/>
        <v>Samuel218Coppell</v>
      </c>
      <c r="H8519" t="s">
        <v>39374</v>
      </c>
      <c r="I8519" t="s">
        <v>30774</v>
      </c>
      <c r="J8519" t="str">
        <f t="shared" si="654"/>
        <v>E:\PropInv\MF</v>
      </c>
      <c r="K8519" s="103" t="str">
        <f>HYPERLINK("E:\PropInv\MF\Coppell\Samuel Blvd Apt 5 E_218_Meadowridge_Coppell_90023","Samuel Blvd Apt 5 E_218_Meadowridge_Coppell_90023" )</f>
        <v>Samuel Blvd Apt 5 E_218_Meadowridge_Coppell_90023</v>
      </c>
      <c r="L8519" s="104" t="s">
        <v>22253</v>
      </c>
      <c r="N8519" s="108">
        <f t="shared" si="651"/>
        <v>90023</v>
      </c>
    </row>
    <row r="8520" spans="1:14" x14ac:dyDescent="0.3">
      <c r="A8520" s="108" t="s">
        <v>12815</v>
      </c>
      <c r="B8520" s="77" t="s">
        <v>11450</v>
      </c>
      <c r="C8520" s="77">
        <v>308</v>
      </c>
      <c r="D8520" s="77" t="s">
        <v>12816</v>
      </c>
      <c r="E8520" s="76" t="s">
        <v>4996</v>
      </c>
      <c r="F8520" t="str">
        <f t="shared" si="652"/>
        <v>8th</v>
      </c>
      <c r="G8520" t="str">
        <f t="shared" si="653"/>
        <v>8th308Dallas</v>
      </c>
      <c r="H8520" t="s">
        <v>39375</v>
      </c>
      <c r="I8520" t="s">
        <v>30775</v>
      </c>
      <c r="J8520" t="str">
        <f t="shared" si="654"/>
        <v>E:\PropInv\MF</v>
      </c>
      <c r="K8520" s="103" t="str">
        <f>HYPERLINK("E:\PropInv\MF\Dallas\8th St E_308_El Nina_Dallas_90024","8th St E_308_El Nina_Dallas_90024" )</f>
        <v>8th St E_308_El Nina_Dallas_90024</v>
      </c>
      <c r="L8520" s="104" t="s">
        <v>22253</v>
      </c>
      <c r="N8520" s="108">
        <f t="shared" si="651"/>
        <v>90024</v>
      </c>
    </row>
    <row r="8521" spans="1:14" x14ac:dyDescent="0.3">
      <c r="A8521" s="108" t="s">
        <v>12817</v>
      </c>
      <c r="B8521" s="76" t="s">
        <v>5723</v>
      </c>
      <c r="C8521" s="76">
        <v>324</v>
      </c>
      <c r="D8521" s="76" t="s">
        <v>12818</v>
      </c>
      <c r="E8521" s="76" t="s">
        <v>4996</v>
      </c>
      <c r="F8521" t="str">
        <f t="shared" si="652"/>
        <v>8th</v>
      </c>
      <c r="G8521" t="str">
        <f t="shared" si="653"/>
        <v>8th324Dallas</v>
      </c>
      <c r="H8521" t="s">
        <v>39376</v>
      </c>
      <c r="I8521" t="s">
        <v>30776</v>
      </c>
      <c r="J8521" t="str">
        <f t="shared" si="654"/>
        <v>E:\PropInv\MF</v>
      </c>
      <c r="K8521" s="103" t="str">
        <f>HYPERLINK("E:\PropInv\MF\Dallas\8th St W_324_Bishop Arts District_Dallas_90025","8th St W_324_Bishop Arts District_Dallas_90025" )</f>
        <v>8th St W_324_Bishop Arts District_Dallas_90025</v>
      </c>
      <c r="L8521" s="104" t="s">
        <v>22253</v>
      </c>
      <c r="N8521" s="108">
        <f t="shared" si="651"/>
        <v>90025</v>
      </c>
    </row>
    <row r="8522" spans="1:14" x14ac:dyDescent="0.3">
      <c r="A8522" s="108" t="s">
        <v>12819</v>
      </c>
      <c r="B8522" s="77" t="s">
        <v>10192</v>
      </c>
      <c r="C8522" s="77">
        <v>409</v>
      </c>
      <c r="D8522" s="77" t="s">
        <v>12820</v>
      </c>
      <c r="E8522" s="76" t="s">
        <v>4996</v>
      </c>
      <c r="F8522" t="str">
        <f t="shared" si="652"/>
        <v>9th</v>
      </c>
      <c r="G8522" t="str">
        <f t="shared" si="653"/>
        <v>9th409Dallas</v>
      </c>
      <c r="H8522" t="s">
        <v>39377</v>
      </c>
      <c r="I8522" t="s">
        <v>30777</v>
      </c>
      <c r="J8522" t="str">
        <f t="shared" si="654"/>
        <v>E:\PropInv\MF</v>
      </c>
      <c r="K8522" s="103" t="str">
        <f>HYPERLINK("E:\PropInv\MF\Dallas\9th St E_409_El Ricardo_Dallas_90026","9th St E_409_El Ricardo_Dallas_90026" )</f>
        <v>9th St E_409_El Ricardo_Dallas_90026</v>
      </c>
      <c r="L8522" s="104" t="s">
        <v>22253</v>
      </c>
      <c r="N8522" s="108">
        <f t="shared" si="651"/>
        <v>90026</v>
      </c>
    </row>
    <row r="8523" spans="1:14" x14ac:dyDescent="0.3">
      <c r="A8523" s="108" t="s">
        <v>12821</v>
      </c>
      <c r="B8523" s="77" t="s">
        <v>4618</v>
      </c>
      <c r="C8523" s="76">
        <v>700</v>
      </c>
      <c r="D8523" s="77" t="s">
        <v>12822</v>
      </c>
      <c r="E8523" s="76" t="s">
        <v>4996</v>
      </c>
      <c r="F8523" t="str">
        <f t="shared" si="652"/>
        <v>Ave</v>
      </c>
      <c r="G8523" t="str">
        <f t="shared" si="653"/>
        <v>Ave700Dallas</v>
      </c>
      <c r="H8523" t="s">
        <v>39378</v>
      </c>
      <c r="I8523" t="s">
        <v>30778</v>
      </c>
      <c r="J8523" t="str">
        <f t="shared" si="654"/>
        <v>E:\PropInv\MF</v>
      </c>
      <c r="K8523" s="103" t="str">
        <f>HYPERLINK("E:\PropInv\MF\Dallas\Ave G W_700_Prairie Crossing Apts_Dallas_90027","Ave G W_700_Prairie Crossing Apts_Dallas_90027" )</f>
        <v>Ave G W_700_Prairie Crossing Apts_Dallas_90027</v>
      </c>
      <c r="L8523" s="104" t="s">
        <v>22253</v>
      </c>
      <c r="N8523" s="108">
        <f t="shared" si="651"/>
        <v>90027</v>
      </c>
    </row>
    <row r="8524" spans="1:14" x14ac:dyDescent="0.3">
      <c r="A8524" s="108" t="s">
        <v>12823</v>
      </c>
      <c r="B8524" s="76" t="s">
        <v>7423</v>
      </c>
      <c r="C8524" s="76">
        <v>1715</v>
      </c>
      <c r="D8524" s="76" t="s">
        <v>2497</v>
      </c>
      <c r="E8524" s="76" t="s">
        <v>4996</v>
      </c>
      <c r="F8524" t="str">
        <f t="shared" si="652"/>
        <v>Bennett</v>
      </c>
      <c r="G8524" t="str">
        <f t="shared" si="653"/>
        <v>Bennett1715Dallas</v>
      </c>
      <c r="H8524" t="s">
        <v>39379</v>
      </c>
      <c r="I8524" t="s">
        <v>30779</v>
      </c>
      <c r="J8524" t="str">
        <f t="shared" si="654"/>
        <v>E:\PropInv\MF</v>
      </c>
      <c r="K8524" s="103" t="str">
        <f>HYPERLINK("E:\PropInv\MF\Dallas\Bennett Ave_1715_NF_Dallas_90028","Bennett Ave_1715_NF_Dallas_90028" )</f>
        <v>Bennett Ave_1715_NF_Dallas_90028</v>
      </c>
      <c r="L8524" s="104" t="s">
        <v>22253</v>
      </c>
      <c r="N8524" s="108">
        <f t="shared" si="651"/>
        <v>90028</v>
      </c>
    </row>
    <row r="8525" spans="1:14" x14ac:dyDescent="0.3">
      <c r="A8525" s="108" t="s">
        <v>12824</v>
      </c>
      <c r="B8525" s="77" t="s">
        <v>6373</v>
      </c>
      <c r="C8525" s="77">
        <v>4429</v>
      </c>
      <c r="D8525" s="77" t="s">
        <v>2497</v>
      </c>
      <c r="E8525" s="76" t="s">
        <v>4996</v>
      </c>
      <c r="F8525" t="str">
        <f t="shared" si="652"/>
        <v>Bowser</v>
      </c>
      <c r="G8525" t="str">
        <f t="shared" si="653"/>
        <v>Bowser4429Dallas</v>
      </c>
      <c r="H8525" t="s">
        <v>39380</v>
      </c>
      <c r="I8525" t="s">
        <v>30780</v>
      </c>
      <c r="J8525" t="str">
        <f t="shared" si="654"/>
        <v>E:\PropInv\MF</v>
      </c>
      <c r="K8525" s="103" t="str">
        <f>HYPERLINK("E:\PropInv\MF\Dallas\Bowser_4429_NF_Dallas_90029","Bowser_4429_NF_Dallas_90029" )</f>
        <v>Bowser_4429_NF_Dallas_90029</v>
      </c>
      <c r="L8525" s="104" t="s">
        <v>22253</v>
      </c>
      <c r="N8525" s="108">
        <f t="shared" si="651"/>
        <v>90029</v>
      </c>
    </row>
    <row r="8526" spans="1:14" x14ac:dyDescent="0.3">
      <c r="A8526" s="108" t="s">
        <v>12825</v>
      </c>
      <c r="B8526" s="77" t="s">
        <v>12826</v>
      </c>
      <c r="C8526" s="77">
        <v>2103</v>
      </c>
      <c r="D8526" s="77" t="s">
        <v>12827</v>
      </c>
      <c r="E8526" s="76" t="s">
        <v>6555</v>
      </c>
      <c r="F8526" t="str">
        <f t="shared" si="652"/>
        <v>Knoll</v>
      </c>
      <c r="G8526" t="str">
        <f t="shared" si="653"/>
        <v>Knoll2103Arlington</v>
      </c>
      <c r="H8526" t="s">
        <v>39381</v>
      </c>
      <c r="I8526" t="s">
        <v>30781</v>
      </c>
      <c r="J8526" t="str">
        <f t="shared" si="654"/>
        <v>E:\PropInv\MF</v>
      </c>
      <c r="K8526" s="103" t="str">
        <f>HYPERLINK("E:\PropInv\MF\Arlington\Knoll Crest Dr_2103_Cedar Ridge Condominiums II_Arlington_90003","Knoll Crest Dr_2103_Cedar Ridge Condominiums II_Arlington_90003" )</f>
        <v>Knoll Crest Dr_2103_Cedar Ridge Condominiums II_Arlington_90003</v>
      </c>
      <c r="L8526" s="104" t="s">
        <v>22253</v>
      </c>
      <c r="N8526" s="108">
        <f t="shared" si="651"/>
        <v>90003</v>
      </c>
    </row>
    <row r="8527" spans="1:14" x14ac:dyDescent="0.3">
      <c r="A8527" s="108" t="s">
        <v>12828</v>
      </c>
      <c r="B8527" s="76" t="s">
        <v>5207</v>
      </c>
      <c r="C8527" s="76">
        <v>9855</v>
      </c>
      <c r="D8527" s="76" t="s">
        <v>12829</v>
      </c>
      <c r="E8527" s="76" t="s">
        <v>4996</v>
      </c>
      <c r="F8527" t="str">
        <f t="shared" si="652"/>
        <v>Bruton</v>
      </c>
      <c r="G8527" t="str">
        <f t="shared" si="653"/>
        <v>Bruton9855Dallas</v>
      </c>
      <c r="H8527" t="s">
        <v>39382</v>
      </c>
      <c r="I8527" t="s">
        <v>30782</v>
      </c>
      <c r="J8527" t="str">
        <f t="shared" si="654"/>
        <v>E:\PropInv\MF</v>
      </c>
      <c r="K8527" s="103" t="str">
        <f>HYPERLINK("E:\PropInv\MF\Dallas\Bruton Rd_9855_Starr of Dallas Apts_Dallas_90030","Bruton Rd_9855_Starr of Dallas Apts_Dallas_90030" )</f>
        <v>Bruton Rd_9855_Starr of Dallas Apts_Dallas_90030</v>
      </c>
      <c r="L8527" s="104" t="s">
        <v>22253</v>
      </c>
      <c r="N8527" s="108">
        <f t="shared" si="651"/>
        <v>90030</v>
      </c>
    </row>
    <row r="8528" spans="1:14" x14ac:dyDescent="0.3">
      <c r="A8528" s="108" t="s">
        <v>12830</v>
      </c>
      <c r="B8528" s="76" t="s">
        <v>12831</v>
      </c>
      <c r="C8528" s="76">
        <v>5217</v>
      </c>
      <c r="D8528" s="77" t="s">
        <v>2497</v>
      </c>
      <c r="E8528" s="77" t="s">
        <v>4996</v>
      </c>
      <c r="F8528" t="str">
        <f t="shared" si="652"/>
        <v>Bryan</v>
      </c>
      <c r="G8528" t="str">
        <f t="shared" si="653"/>
        <v>Bryan5217Dallas</v>
      </c>
      <c r="H8528" t="s">
        <v>39383</v>
      </c>
      <c r="I8528" t="s">
        <v>30783</v>
      </c>
      <c r="J8528" t="str">
        <f t="shared" si="654"/>
        <v>E:\PropInv\MF</v>
      </c>
      <c r="K8528" s="103" t="str">
        <f>HYPERLINK("E:\PropInv\MF\Dallas\Bryan St_5217_NF_Dallas_90031","Bryan St_5217_NF_Dallas_90031" )</f>
        <v>Bryan St_5217_NF_Dallas_90031</v>
      </c>
      <c r="L8528" s="104" t="s">
        <v>22253</v>
      </c>
      <c r="N8528" s="108">
        <f t="shared" si="651"/>
        <v>90031</v>
      </c>
    </row>
    <row r="8529" spans="1:14" x14ac:dyDescent="0.3">
      <c r="A8529" s="108" t="s">
        <v>12832</v>
      </c>
      <c r="B8529" s="77" t="s">
        <v>12833</v>
      </c>
      <c r="C8529" s="76">
        <v>1501</v>
      </c>
      <c r="D8529" s="77" t="s">
        <v>2497</v>
      </c>
      <c r="E8529" s="76" t="s">
        <v>4996</v>
      </c>
      <c r="F8529" t="str">
        <f t="shared" si="652"/>
        <v>Carroll</v>
      </c>
      <c r="G8529" t="str">
        <f t="shared" si="653"/>
        <v>Carroll1501Dallas</v>
      </c>
      <c r="H8529" t="s">
        <v>39384</v>
      </c>
      <c r="I8529" t="s">
        <v>30784</v>
      </c>
      <c r="J8529" t="str">
        <f t="shared" si="654"/>
        <v>E:\PropInv\MF</v>
      </c>
      <c r="K8529" s="103" t="str">
        <f>HYPERLINK("E:\PropInv\MF\Dallas\Carroll_1501_NF_Dallas_90032","Carroll_1501_NF_Dallas_90032" )</f>
        <v>Carroll_1501_NF_Dallas_90032</v>
      </c>
      <c r="L8529" s="104" t="s">
        <v>22253</v>
      </c>
      <c r="N8529" s="108">
        <f t="shared" si="651"/>
        <v>90032</v>
      </c>
    </row>
    <row r="8530" spans="1:14" x14ac:dyDescent="0.3">
      <c r="A8530" s="108" t="s">
        <v>12834</v>
      </c>
      <c r="B8530" s="76" t="s">
        <v>4889</v>
      </c>
      <c r="C8530" s="76">
        <v>2808</v>
      </c>
      <c r="D8530" s="77" t="s">
        <v>2497</v>
      </c>
      <c r="E8530" s="77" t="s">
        <v>4996</v>
      </c>
      <c r="F8530" t="str">
        <f t="shared" si="652"/>
        <v>Cole</v>
      </c>
      <c r="G8530" t="str">
        <f t="shared" si="653"/>
        <v>Cole2808Dallas</v>
      </c>
      <c r="H8530" t="s">
        <v>39385</v>
      </c>
      <c r="I8530" t="s">
        <v>30785</v>
      </c>
      <c r="J8530" t="str">
        <f t="shared" si="654"/>
        <v>E:\PropInv\MF</v>
      </c>
      <c r="K8530" s="103" t="str">
        <f>HYPERLINK("E:\PropInv\MF\Dallas\Cole Ave_2808_NF_Dallas_90033","Cole Ave_2808_NF_Dallas_90033" )</f>
        <v>Cole Ave_2808_NF_Dallas_90033</v>
      </c>
      <c r="L8530" s="104" t="s">
        <v>22253</v>
      </c>
      <c r="N8530" s="108">
        <f t="shared" si="651"/>
        <v>90033</v>
      </c>
    </row>
    <row r="8531" spans="1:14" x14ac:dyDescent="0.3">
      <c r="A8531" s="108" t="s">
        <v>12835</v>
      </c>
      <c r="B8531" s="76" t="s">
        <v>4889</v>
      </c>
      <c r="C8531" s="76">
        <v>4136</v>
      </c>
      <c r="D8531" s="76" t="s">
        <v>12836</v>
      </c>
      <c r="E8531" s="76" t="s">
        <v>4996</v>
      </c>
      <c r="F8531" t="str">
        <f t="shared" si="652"/>
        <v>Cole</v>
      </c>
      <c r="G8531" t="str">
        <f t="shared" si="653"/>
        <v>Cole4136Dallas</v>
      </c>
      <c r="H8531" t="s">
        <v>39386</v>
      </c>
      <c r="I8531" t="s">
        <v>30786</v>
      </c>
      <c r="J8531" t="str">
        <f t="shared" si="654"/>
        <v>E:\PropInv\MF</v>
      </c>
      <c r="K8531" s="103" t="str">
        <f>HYPERLINK("E:\PropInv\MF\Dallas\Cole Ave_4136_Studio Village TH_Dallas_90034","Cole Ave_4136_Studio Village TH_Dallas_90034" )</f>
        <v>Cole Ave_4136_Studio Village TH_Dallas_90034</v>
      </c>
      <c r="L8531" s="104" t="s">
        <v>22253</v>
      </c>
      <c r="N8531" s="108">
        <f t="shared" si="651"/>
        <v>90034</v>
      </c>
    </row>
    <row r="8532" spans="1:14" x14ac:dyDescent="0.3">
      <c r="A8532" s="108" t="s">
        <v>12837</v>
      </c>
      <c r="B8532" s="76" t="s">
        <v>12838</v>
      </c>
      <c r="C8532" s="76">
        <v>4602</v>
      </c>
      <c r="D8532" s="76" t="s">
        <v>12839</v>
      </c>
      <c r="E8532" s="76" t="s">
        <v>4996</v>
      </c>
      <c r="F8532" t="str">
        <f t="shared" si="652"/>
        <v>Columbia</v>
      </c>
      <c r="G8532" t="str">
        <f t="shared" si="653"/>
        <v>Columbia4602Dallas</v>
      </c>
      <c r="H8532" t="s">
        <v>39387</v>
      </c>
      <c r="I8532" t="s">
        <v>30787</v>
      </c>
      <c r="J8532" t="str">
        <f t="shared" si="654"/>
        <v>E:\PropInv\MF</v>
      </c>
      <c r="K8532" s="103" t="str">
        <f>HYPERLINK("E:\PropInv\MF\Dallas\Columbia Ave_4602_El Cielo Apts_Dallas_90035","Columbia Ave_4602_El Cielo Apts_Dallas_90035" )</f>
        <v>Columbia Ave_4602_El Cielo Apts_Dallas_90035</v>
      </c>
      <c r="L8532" s="104" t="s">
        <v>22253</v>
      </c>
      <c r="N8532" s="108">
        <f t="shared" si="651"/>
        <v>90035</v>
      </c>
    </row>
    <row r="8533" spans="1:14" x14ac:dyDescent="0.3">
      <c r="A8533" s="108" t="s">
        <v>12840</v>
      </c>
      <c r="B8533" s="76" t="s">
        <v>12838</v>
      </c>
      <c r="C8533" s="76" t="s">
        <v>12841</v>
      </c>
      <c r="D8533" s="77" t="s">
        <v>12842</v>
      </c>
      <c r="E8533" s="76" t="s">
        <v>4996</v>
      </c>
      <c r="F8533" t="str">
        <f t="shared" si="652"/>
        <v>Columbia</v>
      </c>
      <c r="G8533" t="str">
        <f t="shared" si="653"/>
        <v>Columbia5114-5124Dallas</v>
      </c>
      <c r="H8533" t="s">
        <v>39388</v>
      </c>
      <c r="I8533" t="s">
        <v>30788</v>
      </c>
      <c r="J8533" t="str">
        <f t="shared" si="654"/>
        <v>E:\PropInv\MF</v>
      </c>
      <c r="K8533" s="103" t="str">
        <f>HYPERLINK("E:\PropInv\MF\Dallas\Columbia Ave_5114-5124_Columbia House Apts_Dallas_90036","Columbia Ave_5114-5124_Columbia House Apts_Dallas_90036" )</f>
        <v>Columbia Ave_5114-5124_Columbia House Apts_Dallas_90036</v>
      </c>
      <c r="L8533" s="104" t="s">
        <v>22253</v>
      </c>
      <c r="N8533" s="108">
        <f t="shared" si="651"/>
        <v>90036</v>
      </c>
    </row>
    <row r="8534" spans="1:14" x14ac:dyDescent="0.3">
      <c r="A8534" s="108" t="s">
        <v>12843</v>
      </c>
      <c r="B8534" s="77" t="s">
        <v>12838</v>
      </c>
      <c r="C8534" s="77">
        <v>5315</v>
      </c>
      <c r="D8534" s="77" t="s">
        <v>12844</v>
      </c>
      <c r="E8534" s="77" t="s">
        <v>4996</v>
      </c>
      <c r="F8534" t="str">
        <f t="shared" si="652"/>
        <v>Columbia</v>
      </c>
      <c r="G8534" t="str">
        <f t="shared" si="653"/>
        <v>Columbia5315Dallas</v>
      </c>
      <c r="H8534" t="s">
        <v>39389</v>
      </c>
      <c r="I8534" t="s">
        <v>30789</v>
      </c>
      <c r="J8534" t="str">
        <f t="shared" si="654"/>
        <v>E:\PropInv\MF</v>
      </c>
      <c r="K8534" s="103" t="str">
        <f>HYPERLINK("E:\PropInv\MF\Dallas\Columbia Ave_5315_Belvedere_Dallas_90037","Columbia Ave_5315_Belvedere_Dallas_90037" )</f>
        <v>Columbia Ave_5315_Belvedere_Dallas_90037</v>
      </c>
      <c r="L8534" s="104" t="s">
        <v>22253</v>
      </c>
      <c r="N8534" s="108">
        <f t="shared" si="651"/>
        <v>90037</v>
      </c>
    </row>
    <row r="8535" spans="1:14" x14ac:dyDescent="0.3">
      <c r="A8535" s="108" t="s">
        <v>12845</v>
      </c>
      <c r="B8535" s="76" t="s">
        <v>7267</v>
      </c>
      <c r="C8535" s="76">
        <v>4300</v>
      </c>
      <c r="D8535" s="77" t="s">
        <v>11457</v>
      </c>
      <c r="E8535" s="77" t="s">
        <v>4996</v>
      </c>
      <c r="F8535" t="str">
        <f t="shared" si="652"/>
        <v>Congress</v>
      </c>
      <c r="G8535" t="str">
        <f t="shared" si="653"/>
        <v>Congress4300Dallas</v>
      </c>
      <c r="H8535" t="s">
        <v>39390</v>
      </c>
      <c r="I8535" t="s">
        <v>30790</v>
      </c>
      <c r="J8535" t="str">
        <f t="shared" si="654"/>
        <v>E:\PropInv\MF</v>
      </c>
      <c r="K8535" s="103" t="str">
        <f>HYPERLINK("E:\PropInv\MF\Dallas\Congress Ave_4300_Hartford Apts_Dallas_90038","Congress Ave_4300_Hartford Apts_Dallas_90038" )</f>
        <v>Congress Ave_4300_Hartford Apts_Dallas_90038</v>
      </c>
      <c r="L8535" s="104" t="s">
        <v>22253</v>
      </c>
      <c r="N8535" s="108">
        <f t="shared" si="651"/>
        <v>90038</v>
      </c>
    </row>
    <row r="8536" spans="1:14" x14ac:dyDescent="0.3">
      <c r="A8536" s="108" t="s">
        <v>12846</v>
      </c>
      <c r="B8536" s="76" t="s">
        <v>12847</v>
      </c>
      <c r="C8536" s="76">
        <v>144</v>
      </c>
      <c r="D8536" s="76" t="s">
        <v>12848</v>
      </c>
      <c r="E8536" s="77" t="s">
        <v>4996</v>
      </c>
      <c r="F8536" t="str">
        <f t="shared" si="652"/>
        <v>Creek</v>
      </c>
      <c r="G8536" t="str">
        <f t="shared" si="653"/>
        <v>Creek144Dallas</v>
      </c>
      <c r="H8536" t="s">
        <v>39391</v>
      </c>
      <c r="I8536" t="s">
        <v>30791</v>
      </c>
      <c r="J8536" t="str">
        <f t="shared" si="654"/>
        <v>E:\PropInv\MF</v>
      </c>
      <c r="K8536" s="103" t="str">
        <f>HYPERLINK("E:\PropInv\MF\Dallas\Creek Cove DR_144_Creek Cove Villas_Dallas_90039","Creek Cove DR_144_Creek Cove Villas_Dallas_90039" )</f>
        <v>Creek Cove DR_144_Creek Cove Villas_Dallas_90039</v>
      </c>
      <c r="L8536" s="104" t="s">
        <v>22253</v>
      </c>
      <c r="N8536" s="108">
        <f t="shared" si="651"/>
        <v>90039</v>
      </c>
    </row>
    <row r="8537" spans="1:14" x14ac:dyDescent="0.3">
      <c r="A8537" s="108" t="s">
        <v>12849</v>
      </c>
      <c r="B8537" s="76" t="s">
        <v>12850</v>
      </c>
      <c r="C8537" s="76" t="s">
        <v>12851</v>
      </c>
      <c r="D8537" s="76" t="s">
        <v>2497</v>
      </c>
      <c r="E8537" s="76" t="s">
        <v>6555</v>
      </c>
      <c r="F8537" t="str">
        <f t="shared" si="652"/>
        <v>Mc</v>
      </c>
      <c r="G8537" t="str">
        <f t="shared" si="653"/>
        <v>Mc504-524Arlington</v>
      </c>
      <c r="H8537" t="s">
        <v>39392</v>
      </c>
      <c r="I8537" t="s">
        <v>30792</v>
      </c>
      <c r="J8537" t="str">
        <f t="shared" si="654"/>
        <v>E:\PropInv\MF</v>
      </c>
      <c r="K8537" s="103" t="str">
        <f>HYPERLINK("E:\PropInv\MF\Arlington\Mc Queary St_504-524_NF_Arlington_90004","Mc Queary St_504-524_NF_Arlington_90004" )</f>
        <v>Mc Queary St_504-524_NF_Arlington_90004</v>
      </c>
      <c r="L8537" s="104" t="s">
        <v>22253</v>
      </c>
      <c r="N8537" s="108">
        <f t="shared" si="651"/>
        <v>90004</v>
      </c>
    </row>
    <row r="8538" spans="1:14" x14ac:dyDescent="0.3">
      <c r="A8538" s="108" t="s">
        <v>12852</v>
      </c>
      <c r="B8538" s="76" t="s">
        <v>12853</v>
      </c>
      <c r="C8538" s="76">
        <v>1106</v>
      </c>
      <c r="D8538" s="77" t="s">
        <v>2497</v>
      </c>
      <c r="E8538" s="76" t="s">
        <v>4996</v>
      </c>
      <c r="F8538" t="str">
        <f t="shared" si="652"/>
        <v>Diceman</v>
      </c>
      <c r="G8538" t="str">
        <f t="shared" si="653"/>
        <v>Diceman1106Dallas</v>
      </c>
      <c r="H8538" t="s">
        <v>39393</v>
      </c>
      <c r="I8538" t="s">
        <v>30793</v>
      </c>
      <c r="J8538" t="str">
        <f t="shared" si="654"/>
        <v>E:\PropInv\MF</v>
      </c>
      <c r="K8538" s="103" t="str">
        <f>HYPERLINK("E:\PropInv\MF\Dallas\Diceman Ave_1106_NF_Dallas_90040","Diceman Ave_1106_NF_Dallas_90040" )</f>
        <v>Diceman Ave_1106_NF_Dallas_90040</v>
      </c>
      <c r="L8538" s="104" t="s">
        <v>22253</v>
      </c>
      <c r="N8538" s="108">
        <f t="shared" si="651"/>
        <v>90040</v>
      </c>
    </row>
    <row r="8539" spans="1:14" x14ac:dyDescent="0.3">
      <c r="A8539" s="108" t="s">
        <v>12854</v>
      </c>
      <c r="B8539" s="76" t="s">
        <v>12855</v>
      </c>
      <c r="C8539" s="76">
        <v>600</v>
      </c>
      <c r="D8539" s="77" t="s">
        <v>2497</v>
      </c>
      <c r="E8539" s="76" t="s">
        <v>4996</v>
      </c>
      <c r="F8539" t="str">
        <f t="shared" si="652"/>
        <v>Elsbeth</v>
      </c>
      <c r="G8539" t="str">
        <f t="shared" si="653"/>
        <v>Elsbeth600Dallas</v>
      </c>
      <c r="H8539" t="s">
        <v>39394</v>
      </c>
      <c r="I8539" t="s">
        <v>30794</v>
      </c>
      <c r="J8539" t="str">
        <f t="shared" si="654"/>
        <v>E:\PropInv\MF</v>
      </c>
      <c r="K8539" s="103" t="str">
        <f>HYPERLINK("E:\PropInv\MF\Dallas\Elsbeth St_600_NF_Dallas_90041","Elsbeth St_600_NF_Dallas_90041" )</f>
        <v>Elsbeth St_600_NF_Dallas_90041</v>
      </c>
      <c r="L8539" s="104" t="s">
        <v>22253</v>
      </c>
      <c r="N8539" s="108">
        <f t="shared" si="651"/>
        <v>90041</v>
      </c>
    </row>
    <row r="8540" spans="1:14" x14ac:dyDescent="0.3">
      <c r="A8540" s="108" t="s">
        <v>12856</v>
      </c>
      <c r="B8540" s="76" t="s">
        <v>12857</v>
      </c>
      <c r="C8540" s="76">
        <v>405</v>
      </c>
      <c r="D8540" s="76" t="s">
        <v>548</v>
      </c>
      <c r="E8540" s="76" t="s">
        <v>4996</v>
      </c>
      <c r="F8540" t="str">
        <f t="shared" si="652"/>
        <v>Ewing</v>
      </c>
      <c r="G8540" t="str">
        <f t="shared" si="653"/>
        <v>Ewing405Dallas</v>
      </c>
      <c r="H8540" t="s">
        <v>39395</v>
      </c>
      <c r="I8540" t="s">
        <v>30795</v>
      </c>
      <c r="J8540" t="str">
        <f t="shared" si="654"/>
        <v>E:\PropInv\MF</v>
      </c>
      <c r="K8540" s="103" t="str">
        <f>HYPERLINK("E:\PropInv\MF\Dallas\Ewing Ave N_405_Park Place_Dallas_90042","Ewing Ave N_405_Park Place_Dallas_90042" )</f>
        <v>Ewing Ave N_405_Park Place_Dallas_90042</v>
      </c>
      <c r="L8540" s="104" t="s">
        <v>22253</v>
      </c>
      <c r="N8540" s="108">
        <f t="shared" si="651"/>
        <v>90042</v>
      </c>
    </row>
    <row r="8541" spans="1:14" x14ac:dyDescent="0.3">
      <c r="A8541" s="108" t="s">
        <v>12858</v>
      </c>
      <c r="B8541" s="76" t="s">
        <v>6180</v>
      </c>
      <c r="C8541" s="76">
        <v>4633</v>
      </c>
      <c r="D8541" s="76" t="s">
        <v>12859</v>
      </c>
      <c r="E8541" s="76" t="s">
        <v>4996</v>
      </c>
      <c r="F8541" t="str">
        <f t="shared" si="652"/>
        <v>Fairmount</v>
      </c>
      <c r="G8541" t="str">
        <f t="shared" si="653"/>
        <v>Fairmount4633Dallas</v>
      </c>
      <c r="H8541" t="s">
        <v>39396</v>
      </c>
      <c r="I8541" t="s">
        <v>30796</v>
      </c>
      <c r="J8541" t="str">
        <f t="shared" si="654"/>
        <v>E:\PropInv\MF</v>
      </c>
      <c r="K8541" s="103" t="str">
        <f>HYPERLINK("E:\PropInv\MF\Dallas\Fairmount St_4633_Fairmount Gardens Apts_Dallas_90043","Fairmount St_4633_Fairmount Gardens Apts_Dallas_90043" )</f>
        <v>Fairmount St_4633_Fairmount Gardens Apts_Dallas_90043</v>
      </c>
      <c r="L8541" s="104" t="s">
        <v>22253</v>
      </c>
      <c r="N8541" s="108">
        <f t="shared" si="651"/>
        <v>90043</v>
      </c>
    </row>
    <row r="8542" spans="1:14" x14ac:dyDescent="0.3">
      <c r="A8542" s="108" t="s">
        <v>12860</v>
      </c>
      <c r="B8542" s="77" t="s">
        <v>6439</v>
      </c>
      <c r="C8542" s="76">
        <v>7827</v>
      </c>
      <c r="D8542" s="77" t="s">
        <v>12861</v>
      </c>
      <c r="E8542" s="76" t="s">
        <v>4996</v>
      </c>
      <c r="F8542" t="str">
        <f t="shared" si="652"/>
        <v>Ferguson</v>
      </c>
      <c r="G8542" t="str">
        <f t="shared" si="653"/>
        <v>Ferguson7827Dallas</v>
      </c>
      <c r="H8542" t="s">
        <v>39397</v>
      </c>
      <c r="I8542" t="s">
        <v>30797</v>
      </c>
      <c r="J8542" t="str">
        <f t="shared" si="654"/>
        <v>E:\PropInv\MF</v>
      </c>
      <c r="K8542" s="103" t="str">
        <f>HYPERLINK("E:\PropInv\MF\Dallas\Ferguson_7827_Park Highlands_Dallas_90044","Ferguson_7827_Park Highlands_Dallas_90044" )</f>
        <v>Ferguson_7827_Park Highlands_Dallas_90044</v>
      </c>
      <c r="L8542" s="104" t="s">
        <v>22253</v>
      </c>
      <c r="N8542" s="108">
        <f t="shared" si="651"/>
        <v>90044</v>
      </c>
    </row>
    <row r="8543" spans="1:14" x14ac:dyDescent="0.3">
      <c r="A8543" s="108" t="s">
        <v>12862</v>
      </c>
      <c r="B8543" s="76" t="s">
        <v>12863</v>
      </c>
      <c r="C8543" s="76" t="s">
        <v>12864</v>
      </c>
      <c r="D8543" s="77" t="s">
        <v>12865</v>
      </c>
      <c r="E8543" s="76" t="s">
        <v>4996</v>
      </c>
      <c r="F8543" t="str">
        <f t="shared" si="652"/>
        <v>Fitzhugh</v>
      </c>
      <c r="G8543" t="str">
        <f t="shared" si="653"/>
        <v>Fitzhugh1826-1830Dallas</v>
      </c>
      <c r="H8543" t="s">
        <v>39398</v>
      </c>
      <c r="I8543" t="s">
        <v>30798</v>
      </c>
      <c r="J8543" t="str">
        <f t="shared" si="654"/>
        <v>E:\PropInv\MF</v>
      </c>
      <c r="K8543" s="103" t="str">
        <f>HYPERLINK("E:\PropInv\MF\Dallas\Fitzhugh ave N_1826-1830_1826 &amp; 1830 N Fitzhugh Apts_Dallas_90045","Fitzhugh ave N_1826-1830_1826 &amp; 1830 N Fitzhugh Apts_Dallas_90045" )</f>
        <v>Fitzhugh ave N_1826-1830_1826 &amp; 1830 N Fitzhugh Apts_Dallas_90045</v>
      </c>
      <c r="L8543" s="104" t="s">
        <v>22253</v>
      </c>
      <c r="N8543" s="108">
        <f t="shared" si="651"/>
        <v>90045</v>
      </c>
    </row>
    <row r="8544" spans="1:14" x14ac:dyDescent="0.3">
      <c r="A8544" s="108" t="s">
        <v>12866</v>
      </c>
      <c r="B8544" s="76" t="s">
        <v>8940</v>
      </c>
      <c r="C8544" s="76">
        <v>2212</v>
      </c>
      <c r="D8544" s="76" t="s">
        <v>12867</v>
      </c>
      <c r="E8544" s="76" t="s">
        <v>4996</v>
      </c>
      <c r="F8544" t="str">
        <f t="shared" si="652"/>
        <v>Fitzhugh</v>
      </c>
      <c r="G8544" t="str">
        <f t="shared" si="653"/>
        <v>Fitzhugh2212Dallas</v>
      </c>
      <c r="H8544" t="s">
        <v>39399</v>
      </c>
      <c r="I8544" t="s">
        <v>30799</v>
      </c>
      <c r="J8544" t="str">
        <f t="shared" si="654"/>
        <v>E:\PropInv\MF</v>
      </c>
      <c r="K8544" s="103" t="str">
        <f>HYPERLINK("E:\PropInv\MF\Dallas\Fitzhugh Ave N_2212_2212 Fitzhugh Apts_Dallas_90046","Fitzhugh Ave N_2212_2212 Fitzhugh Apts_Dallas_90046" )</f>
        <v>Fitzhugh Ave N_2212_2212 Fitzhugh Apts_Dallas_90046</v>
      </c>
      <c r="L8544" s="104" t="s">
        <v>22253</v>
      </c>
      <c r="N8544" s="108">
        <f t="shared" si="651"/>
        <v>90046</v>
      </c>
    </row>
    <row r="8545" spans="1:14" x14ac:dyDescent="0.3">
      <c r="A8545" s="108" t="s">
        <v>12868</v>
      </c>
      <c r="B8545" s="77" t="s">
        <v>12869</v>
      </c>
      <c r="C8545" s="77">
        <v>1728</v>
      </c>
      <c r="D8545" s="77" t="s">
        <v>12870</v>
      </c>
      <c r="E8545" s="76" t="s">
        <v>4996</v>
      </c>
      <c r="F8545" t="str">
        <f t="shared" si="652"/>
        <v>Fitzhugh</v>
      </c>
      <c r="G8545" t="str">
        <f t="shared" si="653"/>
        <v>Fitzhugh1728Dallas</v>
      </c>
      <c r="H8545" t="s">
        <v>39400</v>
      </c>
      <c r="I8545" t="s">
        <v>30800</v>
      </c>
      <c r="J8545" t="str">
        <f t="shared" si="654"/>
        <v>E:\PropInv\MF</v>
      </c>
      <c r="K8545" s="103" t="str">
        <f>HYPERLINK("E:\PropInv\MF\Dallas\Fitzhugh N_1728_Bonaventure Apts_Dallas_90047","Fitzhugh N_1728_Bonaventure Apts_Dallas_90047" )</f>
        <v>Fitzhugh N_1728_Bonaventure Apts_Dallas_90047</v>
      </c>
      <c r="L8545" s="104" t="s">
        <v>22253</v>
      </c>
      <c r="N8545" s="108">
        <f t="shared" si="651"/>
        <v>90047</v>
      </c>
    </row>
    <row r="8546" spans="1:14" x14ac:dyDescent="0.3">
      <c r="A8546" s="108" t="s">
        <v>12871</v>
      </c>
      <c r="B8546" s="77" t="s">
        <v>5129</v>
      </c>
      <c r="C8546" s="76">
        <v>9254</v>
      </c>
      <c r="D8546" s="77" t="s">
        <v>12872</v>
      </c>
      <c r="E8546" s="76" t="s">
        <v>4996</v>
      </c>
      <c r="F8546" t="str">
        <f t="shared" si="652"/>
        <v>Forest</v>
      </c>
      <c r="G8546" t="str">
        <f t="shared" si="653"/>
        <v>Forest9254Dallas</v>
      </c>
      <c r="H8546" t="s">
        <v>39401</v>
      </c>
      <c r="I8546" t="s">
        <v>30801</v>
      </c>
      <c r="J8546" t="str">
        <f t="shared" si="654"/>
        <v>E:\PropInv\MF</v>
      </c>
      <c r="K8546" s="103" t="str">
        <f>HYPERLINK("E:\PropInv\MF\Dallas\Forest Ln_9254_Trinity Forest Condos_Dallas_90048","Forest Ln_9254_Trinity Forest Condos_Dallas_90048" )</f>
        <v>Forest Ln_9254_Trinity Forest Condos_Dallas_90048</v>
      </c>
      <c r="L8546" s="104" t="s">
        <v>22253</v>
      </c>
      <c r="N8546" s="108">
        <f t="shared" si="651"/>
        <v>90048</v>
      </c>
    </row>
    <row r="8547" spans="1:14" x14ac:dyDescent="0.3">
      <c r="A8547" s="108" t="s">
        <v>12873</v>
      </c>
      <c r="B8547" s="77" t="s">
        <v>12874</v>
      </c>
      <c r="C8547" s="76">
        <v>1407</v>
      </c>
      <c r="D8547" s="77" t="s">
        <v>2497</v>
      </c>
      <c r="E8547" s="76" t="s">
        <v>4996</v>
      </c>
      <c r="F8547" t="str">
        <f t="shared" si="652"/>
        <v>Garrett</v>
      </c>
      <c r="G8547" t="str">
        <f t="shared" si="653"/>
        <v>Garrett1407Dallas</v>
      </c>
      <c r="H8547" t="s">
        <v>39402</v>
      </c>
      <c r="I8547" t="s">
        <v>30802</v>
      </c>
      <c r="J8547" t="str">
        <f t="shared" si="654"/>
        <v>E:\PropInv\MF</v>
      </c>
      <c r="K8547" s="103" t="str">
        <f>HYPERLINK("E:\PropInv\MF\Dallas\Garrett St_1407_NF_Dallas_90049","Garrett St_1407_NF_Dallas_90049" )</f>
        <v>Garrett St_1407_NF_Dallas_90049</v>
      </c>
      <c r="L8547" s="104" t="s">
        <v>22253</v>
      </c>
      <c r="N8547" s="108">
        <f t="shared" si="651"/>
        <v>90049</v>
      </c>
    </row>
    <row r="8548" spans="1:14" x14ac:dyDescent="0.3">
      <c r="A8548" s="108" t="s">
        <v>12875</v>
      </c>
      <c r="B8548" s="76" t="s">
        <v>12876</v>
      </c>
      <c r="C8548" s="76">
        <v>2505</v>
      </c>
      <c r="D8548" s="77" t="s">
        <v>12877</v>
      </c>
      <c r="E8548" s="77" t="s">
        <v>6555</v>
      </c>
      <c r="F8548" t="str">
        <f t="shared" si="652"/>
        <v>Medlin</v>
      </c>
      <c r="G8548" t="str">
        <f t="shared" si="653"/>
        <v>Medlin2505Arlington</v>
      </c>
      <c r="H8548" t="s">
        <v>39403</v>
      </c>
      <c r="I8548" t="s">
        <v>30803</v>
      </c>
      <c r="J8548" t="str">
        <f t="shared" si="654"/>
        <v>E:\PropInv\MF</v>
      </c>
      <c r="K8548" s="103" t="str">
        <f>HYPERLINK("E:\PropInv\MF\Arlington\Medlin Dr_2505_Medlin Square_Arlington_90005","Medlin Dr_2505_Medlin Square_Arlington_90005" )</f>
        <v>Medlin Dr_2505_Medlin Square_Arlington_90005</v>
      </c>
      <c r="L8548" s="104" t="s">
        <v>22253</v>
      </c>
      <c r="N8548" s="108">
        <f t="shared" si="651"/>
        <v>90005</v>
      </c>
    </row>
    <row r="8549" spans="1:14" x14ac:dyDescent="0.3">
      <c r="A8549" s="108" t="s">
        <v>12878</v>
      </c>
      <c r="B8549" s="76" t="s">
        <v>6892</v>
      </c>
      <c r="C8549" s="76">
        <v>4320</v>
      </c>
      <c r="D8549" s="77" t="s">
        <v>2497</v>
      </c>
      <c r="E8549" s="77" t="s">
        <v>4996</v>
      </c>
      <c r="F8549" t="str">
        <f t="shared" si="652"/>
        <v>Gaston</v>
      </c>
      <c r="G8549" t="str">
        <f t="shared" si="653"/>
        <v>Gaston4320Dallas</v>
      </c>
      <c r="H8549" t="s">
        <v>39404</v>
      </c>
      <c r="I8549" t="s">
        <v>30804</v>
      </c>
      <c r="J8549" t="str">
        <f t="shared" si="654"/>
        <v>E:\PropInv\MF</v>
      </c>
      <c r="K8549" s="103" t="str">
        <f>HYPERLINK("E:\PropInv\MF\Dallas\Gaston Ave_4320_NF_Dallas_90050","Gaston Ave_4320_NF_Dallas_90050" )</f>
        <v>Gaston Ave_4320_NF_Dallas_90050</v>
      </c>
      <c r="L8549" s="104" t="s">
        <v>22253</v>
      </c>
      <c r="N8549" s="108">
        <f t="shared" si="651"/>
        <v>90050</v>
      </c>
    </row>
    <row r="8550" spans="1:14" x14ac:dyDescent="0.3">
      <c r="A8550" s="108" t="s">
        <v>12879</v>
      </c>
      <c r="B8550" s="76" t="s">
        <v>6892</v>
      </c>
      <c r="C8550" s="76">
        <v>4912</v>
      </c>
      <c r="D8550" s="77" t="s">
        <v>12880</v>
      </c>
      <c r="E8550" s="76" t="s">
        <v>4996</v>
      </c>
      <c r="F8550" t="str">
        <f t="shared" si="652"/>
        <v>Gaston</v>
      </c>
      <c r="G8550" t="str">
        <f t="shared" si="653"/>
        <v>Gaston4912Dallas</v>
      </c>
      <c r="H8550" t="s">
        <v>39405</v>
      </c>
      <c r="I8550" t="s">
        <v>30805</v>
      </c>
      <c r="J8550" t="str">
        <f t="shared" si="654"/>
        <v>E:\PropInv\MF</v>
      </c>
      <c r="K8550" s="103" t="str">
        <f>HYPERLINK("E:\PropInv\MF\Dallas\Gaston Ave_4912_Gaston Apts_Dallas_90051","Gaston Ave_4912_Gaston Apts_Dallas_90051" )</f>
        <v>Gaston Ave_4912_Gaston Apts_Dallas_90051</v>
      </c>
      <c r="L8550" s="104" t="s">
        <v>22253</v>
      </c>
      <c r="N8550" s="108">
        <f t="shared" si="651"/>
        <v>90051</v>
      </c>
    </row>
    <row r="8551" spans="1:14" x14ac:dyDescent="0.3">
      <c r="A8551" s="108" t="s">
        <v>12881</v>
      </c>
      <c r="B8551" s="76" t="s">
        <v>6892</v>
      </c>
      <c r="C8551" s="76">
        <v>5921</v>
      </c>
      <c r="D8551" s="77" t="s">
        <v>12882</v>
      </c>
      <c r="E8551" s="77" t="s">
        <v>4996</v>
      </c>
      <c r="F8551" t="str">
        <f t="shared" si="652"/>
        <v>Gaston</v>
      </c>
      <c r="G8551" t="str">
        <f t="shared" si="653"/>
        <v>Gaston5921Dallas</v>
      </c>
      <c r="H8551" t="s">
        <v>39406</v>
      </c>
      <c r="I8551" t="s">
        <v>30806</v>
      </c>
      <c r="J8551" t="str">
        <f t="shared" si="654"/>
        <v>E:\PropInv\MF</v>
      </c>
      <c r="K8551" s="103" t="str">
        <f>HYPERLINK("E:\PropInv\MF\Dallas\Gaston Ave_5921_Blue Sky Apts_Dallas_90052","Gaston Ave_5921_Blue Sky Apts_Dallas_90052" )</f>
        <v>Gaston Ave_5921_Blue Sky Apts_Dallas_90052</v>
      </c>
      <c r="L8551" s="104" t="s">
        <v>22253</v>
      </c>
      <c r="N8551" s="108">
        <f t="shared" si="651"/>
        <v>90052</v>
      </c>
    </row>
    <row r="8552" spans="1:14" x14ac:dyDescent="0.3">
      <c r="A8552" s="108" t="s">
        <v>12883</v>
      </c>
      <c r="B8552" s="76" t="s">
        <v>6892</v>
      </c>
      <c r="C8552" s="76" t="s">
        <v>12884</v>
      </c>
      <c r="D8552" s="77" t="s">
        <v>12885</v>
      </c>
      <c r="E8552" s="77" t="s">
        <v>4996</v>
      </c>
      <c r="F8552" t="str">
        <f t="shared" si="652"/>
        <v>Gaston</v>
      </c>
      <c r="G8552" t="str">
        <f t="shared" si="653"/>
        <v>Gaston4948-4950Dallas</v>
      </c>
      <c r="H8552" t="s">
        <v>39407</v>
      </c>
      <c r="I8552" t="s">
        <v>30807</v>
      </c>
      <c r="J8552" t="str">
        <f t="shared" si="654"/>
        <v>E:\PropInv\MF</v>
      </c>
      <c r="K8552" s="103" t="str">
        <f>HYPERLINK("E:\PropInv\MF\Dallas\Gaston Ave_4948-4950_Ventura Apts_Dallas_90053","Gaston Ave_4948-4950_Ventura Apts_Dallas_90053" )</f>
        <v>Gaston Ave_4948-4950_Ventura Apts_Dallas_90053</v>
      </c>
      <c r="L8552" s="104" t="s">
        <v>22253</v>
      </c>
      <c r="N8552" s="108">
        <f t="shared" si="651"/>
        <v>90053</v>
      </c>
    </row>
    <row r="8553" spans="1:14" x14ac:dyDescent="0.3">
      <c r="A8553" s="108" t="s">
        <v>12886</v>
      </c>
      <c r="B8553" s="76" t="s">
        <v>12887</v>
      </c>
      <c r="C8553" s="76">
        <v>1625</v>
      </c>
      <c r="D8553" s="77" t="s">
        <v>12888</v>
      </c>
      <c r="E8553" s="76" t="s">
        <v>4996</v>
      </c>
      <c r="F8553" t="str">
        <f t="shared" si="652"/>
        <v>Grigsby</v>
      </c>
      <c r="G8553" t="str">
        <f t="shared" si="653"/>
        <v>Grigsby1625Dallas</v>
      </c>
      <c r="H8553" t="s">
        <v>39408</v>
      </c>
      <c r="I8553" t="s">
        <v>30808</v>
      </c>
      <c r="J8553" t="str">
        <f t="shared" si="654"/>
        <v>E:\PropInv\MF</v>
      </c>
      <c r="K8553" s="103" t="str">
        <f>HYPERLINK("E:\PropInv\MF\Dallas\Grigsby_1625_Grigsby Place Apts_Dallas_90054","Grigsby_1625_Grigsby Place Apts_Dallas_90054" )</f>
        <v>Grigsby_1625_Grigsby Place Apts_Dallas_90054</v>
      </c>
      <c r="L8553" s="104" t="s">
        <v>22253</v>
      </c>
      <c r="N8553" s="108">
        <f t="shared" si="651"/>
        <v>90054</v>
      </c>
    </row>
    <row r="8554" spans="1:14" x14ac:dyDescent="0.3">
      <c r="A8554" s="108" t="s">
        <v>12889</v>
      </c>
      <c r="B8554" s="77" t="s">
        <v>12890</v>
      </c>
      <c r="C8554" s="77" t="s">
        <v>12891</v>
      </c>
      <c r="D8554" s="77" t="s">
        <v>2497</v>
      </c>
      <c r="E8554" s="76" t="s">
        <v>4996</v>
      </c>
      <c r="F8554" t="str">
        <f t="shared" si="652"/>
        <v>Hall</v>
      </c>
      <c r="G8554" t="str">
        <f t="shared" si="653"/>
        <v>Hall4014 &amp; 4018Dallas</v>
      </c>
      <c r="H8554" t="s">
        <v>39409</v>
      </c>
      <c r="I8554" t="s">
        <v>30809</v>
      </c>
      <c r="J8554" t="str">
        <f t="shared" si="654"/>
        <v>E:\PropInv\MF</v>
      </c>
      <c r="K8554" s="103" t="str">
        <f>HYPERLINK("E:\PropInv\MF\Dallas\Hall N_4014 &amp; 4018_NF_Dallas_90055","Hall N_4014 &amp; 4018_NF_Dallas_90055" )</f>
        <v>Hall N_4014 &amp; 4018_NF_Dallas_90055</v>
      </c>
      <c r="L8554" s="104" t="s">
        <v>22253</v>
      </c>
      <c r="N8554" s="108">
        <f t="shared" si="651"/>
        <v>90055</v>
      </c>
    </row>
    <row r="8555" spans="1:14" x14ac:dyDescent="0.3">
      <c r="A8555" s="108" t="s">
        <v>12892</v>
      </c>
      <c r="B8555" s="76" t="s">
        <v>12893</v>
      </c>
      <c r="C8555" s="76">
        <v>5708</v>
      </c>
      <c r="D8555" s="77" t="s">
        <v>2497</v>
      </c>
      <c r="E8555" s="76" t="s">
        <v>4996</v>
      </c>
      <c r="F8555" t="str">
        <f t="shared" si="652"/>
        <v>Hudson</v>
      </c>
      <c r="G8555" t="str">
        <f t="shared" si="653"/>
        <v>Hudson5708Dallas</v>
      </c>
      <c r="H8555" t="s">
        <v>39410</v>
      </c>
      <c r="I8555" t="s">
        <v>30810</v>
      </c>
      <c r="J8555" t="str">
        <f t="shared" si="654"/>
        <v>E:\PropInv\MF</v>
      </c>
      <c r="K8555" s="103" t="str">
        <f>HYPERLINK("E:\PropInv\MF\Dallas\Hudson St_5708_NF_Dallas_90056","Hudson St_5708_NF_Dallas_90056" )</f>
        <v>Hudson St_5708_NF_Dallas_90056</v>
      </c>
      <c r="L8555" s="104" t="s">
        <v>22253</v>
      </c>
      <c r="N8555" s="108">
        <f t="shared" si="651"/>
        <v>90056</v>
      </c>
    </row>
    <row r="8556" spans="1:14" x14ac:dyDescent="0.3">
      <c r="A8556" s="108" t="s">
        <v>12894</v>
      </c>
      <c r="B8556" s="76" t="s">
        <v>12895</v>
      </c>
      <c r="C8556" s="76">
        <v>333</v>
      </c>
      <c r="D8556" s="76" t="s">
        <v>12896</v>
      </c>
      <c r="E8556" s="76" t="s">
        <v>4996</v>
      </c>
      <c r="F8556" t="str">
        <f t="shared" si="652"/>
        <v>Illinois</v>
      </c>
      <c r="G8556" t="str">
        <f t="shared" si="653"/>
        <v>Illinois333Dallas</v>
      </c>
      <c r="H8556" t="s">
        <v>39411</v>
      </c>
      <c r="I8556" t="s">
        <v>30811</v>
      </c>
      <c r="J8556" t="str">
        <f t="shared" si="654"/>
        <v>E:\PropInv\MF</v>
      </c>
      <c r="K8556" s="103" t="str">
        <f>HYPERLINK("E:\PropInv\MF\Dallas\Illinois Ave E_333_Illinois Garden_Dallas_90057","Illinois Ave E_333_Illinois Garden_Dallas_90057" )</f>
        <v>Illinois Ave E_333_Illinois Garden_Dallas_90057</v>
      </c>
      <c r="L8556" s="104" t="s">
        <v>22253</v>
      </c>
      <c r="N8556" s="108">
        <f t="shared" si="651"/>
        <v>90057</v>
      </c>
    </row>
    <row r="8557" spans="1:14" x14ac:dyDescent="0.3">
      <c r="A8557" s="108" t="s">
        <v>12897</v>
      </c>
      <c r="B8557" s="76" t="s">
        <v>12898</v>
      </c>
      <c r="C8557" s="76">
        <v>2803</v>
      </c>
      <c r="D8557" s="76" t="s">
        <v>1968</v>
      </c>
      <c r="E8557" s="76" t="s">
        <v>4996</v>
      </c>
      <c r="F8557" t="str">
        <f t="shared" si="652"/>
        <v>Illinois</v>
      </c>
      <c r="G8557" t="str">
        <f t="shared" si="653"/>
        <v>Illinois2803Dallas</v>
      </c>
      <c r="H8557" t="s">
        <v>39412</v>
      </c>
      <c r="I8557" t="s">
        <v>30812</v>
      </c>
      <c r="J8557" t="str">
        <f t="shared" si="654"/>
        <v>E:\PropInv\MF</v>
      </c>
      <c r="K8557" s="103" t="str">
        <f>HYPERLINK("E:\PropInv\MF\Dallas\Illinois Ave W_2803_Oakridge_Dallas_90058","Illinois Ave W_2803_Oakridge_Dallas_90058" )</f>
        <v>Illinois Ave W_2803_Oakridge_Dallas_90058</v>
      </c>
      <c r="L8557" s="104" t="s">
        <v>22253</v>
      </c>
      <c r="N8557" s="108">
        <f t="shared" si="651"/>
        <v>90058</v>
      </c>
    </row>
    <row r="8558" spans="1:14" x14ac:dyDescent="0.3">
      <c r="A8558" s="108" t="s">
        <v>12899</v>
      </c>
      <c r="B8558" s="76" t="s">
        <v>12900</v>
      </c>
      <c r="C8558" s="76">
        <v>5119</v>
      </c>
      <c r="D8558" s="76" t="s">
        <v>2497</v>
      </c>
      <c r="E8558" s="77" t="s">
        <v>4996</v>
      </c>
      <c r="F8558" t="str">
        <f t="shared" si="652"/>
        <v>Junius</v>
      </c>
      <c r="G8558" t="str">
        <f t="shared" si="653"/>
        <v>Junius5119Dallas</v>
      </c>
      <c r="H8558" t="s">
        <v>39413</v>
      </c>
      <c r="I8558" t="s">
        <v>30813</v>
      </c>
      <c r="J8558" t="str">
        <f t="shared" si="654"/>
        <v>E:\PropInv\MF</v>
      </c>
      <c r="K8558" s="103" t="str">
        <f>HYPERLINK("E:\PropInv\MF\Dallas\Junius St_5119_NF_Dallas_90059","Junius St_5119_NF_Dallas_90059" )</f>
        <v>Junius St_5119_NF_Dallas_90059</v>
      </c>
      <c r="L8558" s="104" t="s">
        <v>22253</v>
      </c>
      <c r="N8558" s="108">
        <f t="shared" si="651"/>
        <v>90059</v>
      </c>
    </row>
    <row r="8559" spans="1:14" x14ac:dyDescent="0.3">
      <c r="A8559" s="108" t="s">
        <v>12901</v>
      </c>
      <c r="B8559" s="77" t="s">
        <v>12902</v>
      </c>
      <c r="C8559" s="79">
        <v>304</v>
      </c>
      <c r="D8559" s="77" t="s">
        <v>12903</v>
      </c>
      <c r="E8559" s="77" t="s">
        <v>6555</v>
      </c>
      <c r="F8559" t="str">
        <f t="shared" si="652"/>
        <v>Mitchell</v>
      </c>
      <c r="G8559" t="str">
        <f t="shared" si="653"/>
        <v>Mitchell304Arlington</v>
      </c>
      <c r="H8559" t="s">
        <v>39414</v>
      </c>
      <c r="I8559" t="s">
        <v>30814</v>
      </c>
      <c r="J8559" t="str">
        <f t="shared" si="654"/>
        <v>E:\PropInv\MF</v>
      </c>
      <c r="K8559" s="103" t="str">
        <f>HYPERLINK("E:\PropInv\MF\Arlington\Mitchell St E_304_Mitchell Street Apts_Arlington_90006","Mitchell St E_304_Mitchell Street Apts_Arlington_90006" )</f>
        <v>Mitchell St E_304_Mitchell Street Apts_Arlington_90006</v>
      </c>
      <c r="L8559" s="104" t="s">
        <v>22253</v>
      </c>
      <c r="N8559" s="108">
        <f t="shared" si="651"/>
        <v>90006</v>
      </c>
    </row>
    <row r="8560" spans="1:14" x14ac:dyDescent="0.3">
      <c r="A8560" s="108" t="s">
        <v>12904</v>
      </c>
      <c r="B8560" s="76" t="s">
        <v>11023</v>
      </c>
      <c r="C8560" s="76">
        <v>3811</v>
      </c>
      <c r="D8560" s="77" t="s">
        <v>12905</v>
      </c>
      <c r="E8560" s="77" t="s">
        <v>4996</v>
      </c>
      <c r="F8560" t="str">
        <f t="shared" si="652"/>
        <v>Kiest</v>
      </c>
      <c r="G8560" t="str">
        <f t="shared" si="653"/>
        <v>Kiest3811Dallas</v>
      </c>
      <c r="H8560" t="s">
        <v>39415</v>
      </c>
      <c r="I8560" t="s">
        <v>30815</v>
      </c>
      <c r="J8560" t="str">
        <f t="shared" si="654"/>
        <v>E:\PropInv\MF</v>
      </c>
      <c r="K8560" s="103" t="str">
        <f>HYPERLINK("E:\PropInv\MF\Dallas\Kiest Blvd E_3811_Kiest Terrace_Dallas_90060","Kiest Blvd E_3811_Kiest Terrace_Dallas_90060" )</f>
        <v>Kiest Blvd E_3811_Kiest Terrace_Dallas_90060</v>
      </c>
      <c r="L8560" s="104" t="s">
        <v>22253</v>
      </c>
      <c r="N8560" s="108">
        <f t="shared" si="651"/>
        <v>90060</v>
      </c>
    </row>
    <row r="8561" spans="1:14" x14ac:dyDescent="0.3">
      <c r="A8561" s="108" t="s">
        <v>12906</v>
      </c>
      <c r="B8561" s="77" t="s">
        <v>11023</v>
      </c>
      <c r="C8561" s="77">
        <v>3808</v>
      </c>
      <c r="D8561" s="77" t="s">
        <v>12907</v>
      </c>
      <c r="E8561" s="76" t="s">
        <v>4996</v>
      </c>
      <c r="F8561" t="str">
        <f t="shared" si="652"/>
        <v>Kiest</v>
      </c>
      <c r="G8561" t="str">
        <f t="shared" si="653"/>
        <v>Kiest3808Dallas</v>
      </c>
      <c r="H8561" t="s">
        <v>39416</v>
      </c>
      <c r="I8561" t="s">
        <v>30816</v>
      </c>
      <c r="J8561" t="str">
        <f t="shared" si="654"/>
        <v>E:\PropInv\MF</v>
      </c>
      <c r="K8561" s="103" t="str">
        <f>HYPERLINK("E:\PropInv\MF\Dallas\Kiest Blvd E_3808_Kiest Villas_Dallas_90061","Kiest Blvd E_3808_Kiest Villas_Dallas_90061" )</f>
        <v>Kiest Blvd E_3808_Kiest Villas_Dallas_90061</v>
      </c>
      <c r="L8561" s="104" t="s">
        <v>22253</v>
      </c>
      <c r="N8561" s="108">
        <f t="shared" si="651"/>
        <v>90061</v>
      </c>
    </row>
    <row r="8562" spans="1:14" x14ac:dyDescent="0.3">
      <c r="A8562" s="108" t="s">
        <v>12908</v>
      </c>
      <c r="B8562" s="76" t="s">
        <v>12909</v>
      </c>
      <c r="C8562" s="76">
        <v>4406</v>
      </c>
      <c r="D8562" s="76" t="s">
        <v>2497</v>
      </c>
      <c r="E8562" s="76" t="s">
        <v>4996</v>
      </c>
      <c r="F8562" t="str">
        <f t="shared" si="652"/>
        <v>Lafayette</v>
      </c>
      <c r="G8562" t="str">
        <f t="shared" si="653"/>
        <v>Lafayette4406Dallas</v>
      </c>
      <c r="H8562" t="s">
        <v>39417</v>
      </c>
      <c r="I8562" t="s">
        <v>30817</v>
      </c>
      <c r="J8562" t="str">
        <f t="shared" si="654"/>
        <v>E:\PropInv\MF</v>
      </c>
      <c r="K8562" s="103" t="str">
        <f>HYPERLINK("E:\PropInv\MF\Dallas\Lafayette St_4406_NF_Dallas_90062","Lafayette St_4406_NF_Dallas_90062" )</f>
        <v>Lafayette St_4406_NF_Dallas_90062</v>
      </c>
      <c r="L8562" s="104" t="s">
        <v>22253</v>
      </c>
      <c r="N8562" s="108">
        <f t="shared" si="651"/>
        <v>90062</v>
      </c>
    </row>
    <row r="8563" spans="1:14" x14ac:dyDescent="0.3">
      <c r="A8563" s="108" t="s">
        <v>12910</v>
      </c>
      <c r="B8563" s="77" t="s">
        <v>12911</v>
      </c>
      <c r="C8563" s="77">
        <v>5613</v>
      </c>
      <c r="D8563" s="77" t="s">
        <v>12912</v>
      </c>
      <c r="E8563" s="76" t="s">
        <v>4996</v>
      </c>
      <c r="F8563" t="str">
        <f t="shared" si="652"/>
        <v>Lindell</v>
      </c>
      <c r="G8563" t="str">
        <f t="shared" si="653"/>
        <v>Lindell5613Dallas</v>
      </c>
      <c r="H8563" t="s">
        <v>39418</v>
      </c>
      <c r="I8563" t="s">
        <v>30818</v>
      </c>
      <c r="J8563" t="str">
        <f t="shared" si="654"/>
        <v>E:\PropInv\MF</v>
      </c>
      <c r="K8563" s="103" t="str">
        <f>HYPERLINK("E:\PropInv\MF\Dallas\Lindell Ave_5613_Lindell Ave Condos_Dallas_90064","Lindell Ave_5613_Lindell Ave Condos_Dallas_90064" )</f>
        <v>Lindell Ave_5613_Lindell Ave Condos_Dallas_90064</v>
      </c>
      <c r="L8563" s="104" t="s">
        <v>22253</v>
      </c>
      <c r="N8563" s="108">
        <f t="shared" si="651"/>
        <v>90064</v>
      </c>
    </row>
    <row r="8564" spans="1:14" x14ac:dyDescent="0.3">
      <c r="A8564" s="108" t="s">
        <v>12913</v>
      </c>
      <c r="B8564" s="76" t="s">
        <v>11434</v>
      </c>
      <c r="C8564" s="76">
        <v>5027</v>
      </c>
      <c r="D8564" s="76" t="s">
        <v>5011</v>
      </c>
      <c r="E8564" s="76" t="s">
        <v>4996</v>
      </c>
      <c r="F8564" t="str">
        <f t="shared" si="652"/>
        <v>Live</v>
      </c>
      <c r="G8564" t="str">
        <f t="shared" si="653"/>
        <v>Live5027Dallas</v>
      </c>
      <c r="H8564" t="s">
        <v>39419</v>
      </c>
      <c r="I8564" t="s">
        <v>30819</v>
      </c>
      <c r="J8564" t="str">
        <f t="shared" si="654"/>
        <v>E:\PropInv\MF</v>
      </c>
      <c r="K8564" s="103" t="str">
        <f>HYPERLINK("E:\PropInv\MF\Dallas\Live Oak St_5027_Ambassador_Dallas_90065","Live Oak St_5027_Ambassador_Dallas_90065" )</f>
        <v>Live Oak St_5027_Ambassador_Dallas_90065</v>
      </c>
      <c r="L8564" s="104" t="s">
        <v>22253</v>
      </c>
      <c r="N8564" s="108">
        <f t="shared" si="651"/>
        <v>90065</v>
      </c>
    </row>
    <row r="8565" spans="1:14" x14ac:dyDescent="0.3">
      <c r="A8565" s="108" t="s">
        <v>12914</v>
      </c>
      <c r="B8565" s="76" t="s">
        <v>3118</v>
      </c>
      <c r="C8565" s="76" t="s">
        <v>12915</v>
      </c>
      <c r="D8565" s="77" t="s">
        <v>2497</v>
      </c>
      <c r="E8565" s="77" t="s">
        <v>4996</v>
      </c>
      <c r="F8565" t="str">
        <f t="shared" si="652"/>
        <v>Main</v>
      </c>
      <c r="G8565" t="str">
        <f t="shared" si="653"/>
        <v>Main4100-4104Dallas</v>
      </c>
      <c r="H8565" t="s">
        <v>39420</v>
      </c>
      <c r="I8565" t="s">
        <v>30820</v>
      </c>
      <c r="J8565" t="str">
        <f t="shared" si="654"/>
        <v>E:\PropInv\MF</v>
      </c>
      <c r="K8565" s="103" t="str">
        <f>HYPERLINK("E:\PropInv\MF\Dallas\Main St_4100-4104_NF_Dallas_90066","Main St_4100-4104_NF_Dallas_90066" )</f>
        <v>Main St_4100-4104_NF_Dallas_90066</v>
      </c>
      <c r="L8565" s="104" t="s">
        <v>22253</v>
      </c>
      <c r="N8565" s="108">
        <f t="shared" si="651"/>
        <v>90066</v>
      </c>
    </row>
    <row r="8566" spans="1:14" x14ac:dyDescent="0.3">
      <c r="A8566" s="108" t="s">
        <v>12916</v>
      </c>
      <c r="B8566" s="77" t="s">
        <v>12917</v>
      </c>
      <c r="C8566" s="77">
        <v>926</v>
      </c>
      <c r="D8566" s="77" t="s">
        <v>12918</v>
      </c>
      <c r="E8566" s="77" t="s">
        <v>4996</v>
      </c>
      <c r="F8566" t="str">
        <f t="shared" si="652"/>
        <v>Marsalis</v>
      </c>
      <c r="G8566" t="str">
        <f t="shared" si="653"/>
        <v>Marsalis926Dallas</v>
      </c>
      <c r="H8566" t="s">
        <v>39421</v>
      </c>
      <c r="I8566" t="s">
        <v>30821</v>
      </c>
      <c r="J8566" t="str">
        <f t="shared" si="654"/>
        <v>E:\PropInv\MF</v>
      </c>
      <c r="K8566" s="103" t="str">
        <f>HYPERLINK("E:\PropInv\MF\Dallas\Marsalis N_926_Townview Apts_Dallas_90067","Marsalis N_926_Townview Apts_Dallas_90067" )</f>
        <v>Marsalis N_926_Townview Apts_Dallas_90067</v>
      </c>
      <c r="L8566" s="104" t="s">
        <v>22253</v>
      </c>
      <c r="N8566" s="108">
        <f t="shared" si="651"/>
        <v>90067</v>
      </c>
    </row>
    <row r="8567" spans="1:14" x14ac:dyDescent="0.3">
      <c r="A8567" s="108" t="s">
        <v>12919</v>
      </c>
      <c r="B8567" s="77" t="s">
        <v>12920</v>
      </c>
      <c r="C8567" s="77">
        <v>3955</v>
      </c>
      <c r="D8567" s="77" t="s">
        <v>12921</v>
      </c>
      <c r="E8567" s="76" t="s">
        <v>4996</v>
      </c>
      <c r="F8567" t="str">
        <f t="shared" si="652"/>
        <v>Mather</v>
      </c>
      <c r="G8567" t="str">
        <f t="shared" si="653"/>
        <v>Mather3955Dallas</v>
      </c>
      <c r="H8567" t="s">
        <v>39422</v>
      </c>
      <c r="I8567" t="s">
        <v>30822</v>
      </c>
      <c r="J8567" t="str">
        <f t="shared" si="654"/>
        <v>E:\PropInv\MF</v>
      </c>
      <c r="K8567" s="103" t="str">
        <f>HYPERLINK("E:\PropInv\MF\Dallas\Mather Ct_3955_Chiquita Apts_Dallas_90068","Mather Ct_3955_Chiquita Apts_Dallas_90068" )</f>
        <v>Mather Ct_3955_Chiquita Apts_Dallas_90068</v>
      </c>
      <c r="L8567" s="104" t="s">
        <v>22253</v>
      </c>
      <c r="N8567" s="108">
        <f t="shared" si="651"/>
        <v>90068</v>
      </c>
    </row>
    <row r="8568" spans="1:14" x14ac:dyDescent="0.3">
      <c r="A8568" s="108" t="s">
        <v>12922</v>
      </c>
      <c r="B8568" s="77" t="s">
        <v>12923</v>
      </c>
      <c r="C8568" s="77">
        <v>5815</v>
      </c>
      <c r="D8568" s="77" t="s">
        <v>2497</v>
      </c>
      <c r="E8568" s="76" t="s">
        <v>4996</v>
      </c>
      <c r="F8568" t="str">
        <f t="shared" si="652"/>
        <v>McCommas</v>
      </c>
      <c r="G8568" t="str">
        <f t="shared" si="653"/>
        <v>McCommas5815Dallas</v>
      </c>
      <c r="H8568" t="s">
        <v>39423</v>
      </c>
      <c r="I8568" t="s">
        <v>30823</v>
      </c>
      <c r="J8568" t="str">
        <f t="shared" si="654"/>
        <v>E:\PropInv\MF</v>
      </c>
      <c r="K8568" s="103" t="str">
        <f>HYPERLINK("E:\PropInv\MF\Dallas\McCommas_5815_NF_Dallas_90069","McCommas_5815_NF_Dallas_90069" )</f>
        <v>McCommas_5815_NF_Dallas_90069</v>
      </c>
      <c r="L8568" s="104" t="s">
        <v>22253</v>
      </c>
      <c r="N8568" s="108">
        <f t="shared" si="651"/>
        <v>90069</v>
      </c>
    </row>
    <row r="8569" spans="1:14" x14ac:dyDescent="0.3">
      <c r="A8569" s="108" t="s">
        <v>12924</v>
      </c>
      <c r="B8569" s="77" t="s">
        <v>7919</v>
      </c>
      <c r="C8569" s="76">
        <v>406</v>
      </c>
      <c r="D8569" s="77" t="s">
        <v>12925</v>
      </c>
      <c r="E8569" s="77" t="s">
        <v>6555</v>
      </c>
      <c r="F8569" t="str">
        <f t="shared" si="652"/>
        <v>Oak</v>
      </c>
      <c r="G8569" t="str">
        <f t="shared" si="653"/>
        <v>Oak406Arlington</v>
      </c>
      <c r="H8569" t="s">
        <v>39424</v>
      </c>
      <c r="I8569" t="s">
        <v>30824</v>
      </c>
      <c r="J8569" t="str">
        <f t="shared" si="654"/>
        <v>E:\PropInv\MF</v>
      </c>
      <c r="K8569" s="103" t="str">
        <f>HYPERLINK("E:\PropInv\MF\Arlington\Oak St N_406_North Oak Lofts_Arlington_90007","Oak St N_406_North Oak Lofts_Arlington_90007" )</f>
        <v>Oak St N_406_North Oak Lofts_Arlington_90007</v>
      </c>
      <c r="L8569" s="104" t="s">
        <v>22253</v>
      </c>
      <c r="N8569" s="108">
        <f t="shared" si="651"/>
        <v>90007</v>
      </c>
    </row>
    <row r="8570" spans="1:14" x14ac:dyDescent="0.3">
      <c r="A8570" s="108" t="s">
        <v>12926</v>
      </c>
      <c r="B8570" s="76" t="s">
        <v>5148</v>
      </c>
      <c r="C8570" s="76">
        <v>6050</v>
      </c>
      <c r="D8570" s="77" t="s">
        <v>12927</v>
      </c>
      <c r="E8570" s="77" t="s">
        <v>4996</v>
      </c>
      <c r="F8570" t="str">
        <f t="shared" si="652"/>
        <v>Melody</v>
      </c>
      <c r="G8570" t="str">
        <f t="shared" si="653"/>
        <v>Melody6050Dallas</v>
      </c>
      <c r="H8570" t="s">
        <v>39425</v>
      </c>
      <c r="I8570" t="s">
        <v>30825</v>
      </c>
      <c r="J8570" t="str">
        <f t="shared" si="654"/>
        <v>E:\PropInv\MF</v>
      </c>
      <c r="K8570" s="103" t="str">
        <f>HYPERLINK("E:\PropInv\MF\Dallas\Melody Ln_6050_Tealwood Condos_Dallas_90070","Melody Ln_6050_Tealwood Condos_Dallas_90070" )</f>
        <v>Melody Ln_6050_Tealwood Condos_Dallas_90070</v>
      </c>
      <c r="L8570" s="104" t="s">
        <v>22253</v>
      </c>
      <c r="N8570" s="108">
        <f t="shared" si="651"/>
        <v>90070</v>
      </c>
    </row>
    <row r="8571" spans="1:14" x14ac:dyDescent="0.3">
      <c r="A8571" s="108" t="s">
        <v>12928</v>
      </c>
      <c r="B8571" s="77" t="s">
        <v>5943</v>
      </c>
      <c r="C8571" s="77" t="s">
        <v>12929</v>
      </c>
      <c r="D8571" s="77" t="s">
        <v>12930</v>
      </c>
      <c r="E8571" s="77" t="s">
        <v>4996</v>
      </c>
      <c r="F8571" t="str">
        <f t="shared" ref="F8571:F8601" si="655">IFERROR(LEFT(B8571,FIND(" ",B8571)-1),B8571)</f>
        <v>Moser</v>
      </c>
      <c r="G8571" t="str">
        <f t="shared" ref="G8571:G8601" si="656">F8571&amp;C8571&amp;E8571</f>
        <v>Moser2100-2110Dallas</v>
      </c>
      <c r="H8571" t="s">
        <v>39426</v>
      </c>
      <c r="I8571" t="s">
        <v>30826</v>
      </c>
      <c r="J8571" t="str">
        <f t="shared" ref="J8571:J8601" si="657">IF(L8571="TX",Folder_Path,Folder_Path&amp;"\State_"&amp;L8571)</f>
        <v>E:\PropInv\MF</v>
      </c>
      <c r="K8571" s="103" t="str">
        <f>HYPERLINK("E:\PropInv\MF\Dallas\Moser_2100-2110_Fig Tree Apts_Dallas_90071","Moser_2100-2110_Fig Tree Apts_Dallas_90071" )</f>
        <v>Moser_2100-2110_Fig Tree Apts_Dallas_90071</v>
      </c>
      <c r="L8571" s="104" t="s">
        <v>22253</v>
      </c>
      <c r="N8571" s="108">
        <f t="shared" ref="N8571:N8601" si="658">RIGHT(A8571,LEN(A8571)-2)+90000</f>
        <v>90071</v>
      </c>
    </row>
    <row r="8572" spans="1:14" x14ac:dyDescent="0.3">
      <c r="A8572" s="108" t="s">
        <v>12931</v>
      </c>
      <c r="B8572" s="76" t="s">
        <v>12932</v>
      </c>
      <c r="C8572" s="76">
        <v>225</v>
      </c>
      <c r="D8572" s="76" t="s">
        <v>2497</v>
      </c>
      <c r="E8572" s="77" t="s">
        <v>4996</v>
      </c>
      <c r="F8572" t="str">
        <f t="shared" si="655"/>
        <v>Munger</v>
      </c>
      <c r="G8572" t="str">
        <f t="shared" si="656"/>
        <v>Munger225Dallas</v>
      </c>
      <c r="H8572" t="s">
        <v>39427</v>
      </c>
      <c r="I8572" t="s">
        <v>30827</v>
      </c>
      <c r="J8572" t="str">
        <f t="shared" si="657"/>
        <v>E:\PropInv\MF</v>
      </c>
      <c r="K8572" s="103" t="str">
        <f>HYPERLINK("E:\PropInv\MF\Dallas\Munger Ave_225_NF_Dallas_90072","Munger Ave_225_NF_Dallas_90072" )</f>
        <v>Munger Ave_225_NF_Dallas_90072</v>
      </c>
      <c r="L8572" s="104" t="s">
        <v>22253</v>
      </c>
      <c r="N8572" s="108">
        <f t="shared" si="658"/>
        <v>90072</v>
      </c>
    </row>
    <row r="8573" spans="1:14" x14ac:dyDescent="0.3">
      <c r="A8573" s="108" t="s">
        <v>12933</v>
      </c>
      <c r="B8573" s="77" t="s">
        <v>12934</v>
      </c>
      <c r="C8573" s="77">
        <v>3326</v>
      </c>
      <c r="D8573" s="77" t="s">
        <v>12935</v>
      </c>
      <c r="E8573" s="77" t="s">
        <v>4996</v>
      </c>
      <c r="F8573" t="str">
        <f t="shared" si="655"/>
        <v>Navajo</v>
      </c>
      <c r="G8573" t="str">
        <f t="shared" si="656"/>
        <v>Navajo3326Dallas</v>
      </c>
      <c r="H8573" t="s">
        <v>39428</v>
      </c>
      <c r="I8573" t="s">
        <v>30828</v>
      </c>
      <c r="J8573" t="str">
        <f t="shared" si="657"/>
        <v>E:\PropInv\MF</v>
      </c>
      <c r="K8573" s="103" t="str">
        <f>HYPERLINK("E:\PropInv\MF\Dallas\Navajo Dr_3326_Jamestown_Dallas_90073","Navajo Dr_3326_Jamestown_Dallas_90073" )</f>
        <v>Navajo Dr_3326_Jamestown_Dallas_90073</v>
      </c>
      <c r="L8573" s="104" t="s">
        <v>22253</v>
      </c>
      <c r="N8573" s="108">
        <f t="shared" si="658"/>
        <v>90073</v>
      </c>
    </row>
    <row r="8574" spans="1:14" x14ac:dyDescent="0.3">
      <c r="A8574" s="108" t="s">
        <v>12936</v>
      </c>
      <c r="B8574" s="77" t="s">
        <v>5963</v>
      </c>
      <c r="C8574" s="77" t="s">
        <v>12937</v>
      </c>
      <c r="D8574" s="77" t="s">
        <v>12938</v>
      </c>
      <c r="E8574" s="77" t="s">
        <v>4996</v>
      </c>
      <c r="F8574" t="str">
        <f t="shared" si="655"/>
        <v>Peyton</v>
      </c>
      <c r="G8574" t="str">
        <f t="shared" si="656"/>
        <v>Peyton13934-14030Dallas</v>
      </c>
      <c r="H8574" t="s">
        <v>39429</v>
      </c>
      <c r="I8574" t="s">
        <v>30829</v>
      </c>
      <c r="J8574" t="str">
        <f t="shared" si="657"/>
        <v>E:\PropInv\MF</v>
      </c>
      <c r="K8574" s="103" t="str">
        <f>HYPERLINK("E:\PropInv\MF\Dallas\Peyton Dr_13934-14030_Northwood Hills Apts_Dallas_90074","Peyton Dr_13934-14030_Northwood Hills Apts_Dallas_90074" )</f>
        <v>Peyton Dr_13934-14030_Northwood Hills Apts_Dallas_90074</v>
      </c>
      <c r="L8574" s="104" t="s">
        <v>22253</v>
      </c>
      <c r="N8574" s="108">
        <f t="shared" si="658"/>
        <v>90074</v>
      </c>
    </row>
    <row r="8575" spans="1:14" x14ac:dyDescent="0.3">
      <c r="A8575" s="108" t="s">
        <v>12939</v>
      </c>
      <c r="B8575" s="76" t="s">
        <v>12940</v>
      </c>
      <c r="C8575" s="76">
        <v>3628</v>
      </c>
      <c r="D8575" s="77" t="s">
        <v>12941</v>
      </c>
      <c r="E8575" s="76" t="s">
        <v>4996</v>
      </c>
      <c r="F8575" t="str">
        <f t="shared" si="655"/>
        <v>Pine</v>
      </c>
      <c r="G8575" t="str">
        <f t="shared" si="656"/>
        <v>Pine3628Dallas</v>
      </c>
      <c r="H8575" t="s">
        <v>39430</v>
      </c>
      <c r="I8575" t="s">
        <v>30830</v>
      </c>
      <c r="J8575" t="str">
        <f t="shared" si="657"/>
        <v>E:\PropInv\MF</v>
      </c>
      <c r="K8575" s="103" t="str">
        <f>HYPERLINK("E:\PropInv\MF\Dallas\Pine St_3628_Berry Square Apts_Dallas_90075","Pine St_3628_Berry Square Apts_Dallas_90075" )</f>
        <v>Pine St_3628_Berry Square Apts_Dallas_90075</v>
      </c>
      <c r="L8575" s="104" t="s">
        <v>22253</v>
      </c>
      <c r="N8575" s="108">
        <f t="shared" si="658"/>
        <v>90075</v>
      </c>
    </row>
    <row r="8576" spans="1:14" x14ac:dyDescent="0.3">
      <c r="A8576" s="108" t="s">
        <v>12942</v>
      </c>
      <c r="B8576" s="76" t="s">
        <v>12943</v>
      </c>
      <c r="C8576" s="76">
        <v>5829</v>
      </c>
      <c r="D8576" s="76" t="s">
        <v>2497</v>
      </c>
      <c r="E8576" s="77" t="s">
        <v>4996</v>
      </c>
      <c r="F8576" t="str">
        <f t="shared" si="655"/>
        <v>Prospect</v>
      </c>
      <c r="G8576" t="str">
        <f t="shared" si="656"/>
        <v>Prospect5829Dallas</v>
      </c>
      <c r="H8576" t="s">
        <v>39431</v>
      </c>
      <c r="I8576" t="s">
        <v>30831</v>
      </c>
      <c r="J8576" t="str">
        <f t="shared" si="657"/>
        <v>E:\PropInv\MF</v>
      </c>
      <c r="K8576" s="103" t="str">
        <f>HYPERLINK("E:\PropInv\MF\Dallas\Prospect Ave_5829_NF_Dallas_90076","Prospect Ave_5829_NF_Dallas_90076" )</f>
        <v>Prospect Ave_5829_NF_Dallas_90076</v>
      </c>
      <c r="L8576" s="104" t="s">
        <v>22253</v>
      </c>
      <c r="N8576" s="108">
        <f t="shared" si="658"/>
        <v>90076</v>
      </c>
    </row>
    <row r="8577" spans="1:14" x14ac:dyDescent="0.3">
      <c r="A8577" s="108" t="s">
        <v>12944</v>
      </c>
      <c r="B8577" s="77" t="s">
        <v>12945</v>
      </c>
      <c r="C8577" s="76">
        <v>3720</v>
      </c>
      <c r="D8577" s="77" t="s">
        <v>12946</v>
      </c>
      <c r="E8577" s="77" t="s">
        <v>4996</v>
      </c>
      <c r="F8577" t="str">
        <f t="shared" si="655"/>
        <v>Rawlins</v>
      </c>
      <c r="G8577" t="str">
        <f t="shared" si="656"/>
        <v>Rawlins3720Dallas</v>
      </c>
      <c r="H8577" t="s">
        <v>39432</v>
      </c>
      <c r="I8577" t="s">
        <v>30832</v>
      </c>
      <c r="J8577" t="str">
        <f t="shared" si="657"/>
        <v>E:\PropInv\MF</v>
      </c>
      <c r="K8577" s="103" t="str">
        <f>HYPERLINK("E:\PropInv\MF\Dallas\Rawlins St_3720_Mirasol Court_Dallas_90077","Rawlins St_3720_Mirasol Court_Dallas_90077" )</f>
        <v>Rawlins St_3720_Mirasol Court_Dallas_90077</v>
      </c>
      <c r="L8577" s="104" t="s">
        <v>22253</v>
      </c>
      <c r="N8577" s="108">
        <f t="shared" si="658"/>
        <v>90077</v>
      </c>
    </row>
    <row r="8578" spans="1:14" x14ac:dyDescent="0.3">
      <c r="A8578" s="108" t="s">
        <v>12947</v>
      </c>
      <c r="B8578" s="77" t="s">
        <v>12948</v>
      </c>
      <c r="C8578" s="76">
        <v>2806</v>
      </c>
      <c r="D8578" s="77" t="s">
        <v>12949</v>
      </c>
      <c r="E8578" s="76" t="s">
        <v>4996</v>
      </c>
      <c r="F8578" t="str">
        <f t="shared" si="655"/>
        <v>Reagan</v>
      </c>
      <c r="G8578" t="str">
        <f t="shared" si="656"/>
        <v>Reagan2806Dallas</v>
      </c>
      <c r="H8578" t="s">
        <v>39433</v>
      </c>
      <c r="I8578" t="s">
        <v>30833</v>
      </c>
      <c r="J8578" t="str">
        <f t="shared" si="657"/>
        <v>E:\PropInv\MF</v>
      </c>
      <c r="K8578" s="103" t="str">
        <f>HYPERLINK("E:\PropInv\MF\Dallas\Reagan_2806_The Delano_Dallas_90078","Reagan_2806_The Delano_Dallas_90078" )</f>
        <v>Reagan_2806_The Delano_Dallas_90078</v>
      </c>
      <c r="L8578" s="104" t="s">
        <v>22253</v>
      </c>
      <c r="N8578" s="108">
        <f t="shared" si="658"/>
        <v>90078</v>
      </c>
    </row>
    <row r="8579" spans="1:14" x14ac:dyDescent="0.3">
      <c r="A8579" s="108" t="s">
        <v>12950</v>
      </c>
      <c r="B8579" s="76" t="s">
        <v>12951</v>
      </c>
      <c r="C8579" s="76">
        <v>3660</v>
      </c>
      <c r="D8579" s="76" t="s">
        <v>2497</v>
      </c>
      <c r="E8579" s="76" t="s">
        <v>4996</v>
      </c>
      <c r="F8579" t="str">
        <f t="shared" si="655"/>
        <v>Ricksaw</v>
      </c>
      <c r="G8579" t="str">
        <f t="shared" si="656"/>
        <v>Ricksaw3660Dallas</v>
      </c>
      <c r="H8579" t="s">
        <v>39434</v>
      </c>
      <c r="I8579" t="s">
        <v>30834</v>
      </c>
      <c r="J8579" t="str">
        <f t="shared" si="657"/>
        <v>E:\PropInv\MF</v>
      </c>
      <c r="K8579" s="103" t="str">
        <f>HYPERLINK("E:\PropInv\MF\Dallas\Ricksaw Dr_3660_NF_Dallas_90079","Ricksaw Dr_3660_NF_Dallas_90079" )</f>
        <v>Ricksaw Dr_3660_NF_Dallas_90079</v>
      </c>
      <c r="L8579" s="104" t="s">
        <v>22253</v>
      </c>
      <c r="N8579" s="108">
        <f t="shared" si="658"/>
        <v>90079</v>
      </c>
    </row>
    <row r="8580" spans="1:14" x14ac:dyDescent="0.3">
      <c r="A8580" s="108" t="s">
        <v>12952</v>
      </c>
      <c r="B8580" s="76" t="s">
        <v>12953</v>
      </c>
      <c r="C8580" s="76">
        <v>300</v>
      </c>
      <c r="D8580" s="76" t="s">
        <v>12954</v>
      </c>
      <c r="E8580" s="76" t="s">
        <v>6555</v>
      </c>
      <c r="F8580" t="str">
        <f t="shared" si="655"/>
        <v>Park</v>
      </c>
      <c r="G8580" t="str">
        <f t="shared" si="656"/>
        <v>Park300Arlington</v>
      </c>
      <c r="H8580" t="s">
        <v>39435</v>
      </c>
      <c r="I8580" t="s">
        <v>30835</v>
      </c>
      <c r="J8580" t="str">
        <f t="shared" si="657"/>
        <v>E:\PropInv\MF</v>
      </c>
      <c r="K8580" s="103" t="str">
        <f>HYPERLINK("E:\PropInv\MF\Arlington\Park Row Dr W_300_Park Ridge TH_Arlington_90008","Park Row Dr W_300_Park Ridge TH_Arlington_90008" )</f>
        <v>Park Row Dr W_300_Park Ridge TH_Arlington_90008</v>
      </c>
      <c r="L8580" s="104" t="s">
        <v>22253</v>
      </c>
      <c r="N8580" s="108">
        <f t="shared" si="658"/>
        <v>90008</v>
      </c>
    </row>
    <row r="8581" spans="1:14" x14ac:dyDescent="0.3">
      <c r="A8581" s="108" t="s">
        <v>12955</v>
      </c>
      <c r="B8581" s="77" t="s">
        <v>12956</v>
      </c>
      <c r="C8581" s="76">
        <v>2310</v>
      </c>
      <c r="D8581" s="77" t="s">
        <v>12957</v>
      </c>
      <c r="E8581" s="76" t="s">
        <v>4996</v>
      </c>
      <c r="F8581" t="str">
        <f t="shared" si="655"/>
        <v>Robert</v>
      </c>
      <c r="G8581" t="str">
        <f t="shared" si="656"/>
        <v>Robert2310Dallas</v>
      </c>
      <c r="H8581" t="s">
        <v>39436</v>
      </c>
      <c r="I8581" t="s">
        <v>30836</v>
      </c>
      <c r="J8581" t="str">
        <f t="shared" si="657"/>
        <v>E:\PropInv\MF</v>
      </c>
      <c r="K8581" s="103" t="str">
        <f>HYPERLINK("E:\PropInv\MF\Dallas\Robert B. Cullum Blvd_2310_Delta Plaza Apts_Dallas_90080","Robert B. Cullum Blvd_2310_Delta Plaza Apts_Dallas_90080" )</f>
        <v>Robert B. Cullum Blvd_2310_Delta Plaza Apts_Dallas_90080</v>
      </c>
      <c r="L8581" s="104" t="s">
        <v>22253</v>
      </c>
      <c r="N8581" s="108">
        <f t="shared" si="658"/>
        <v>90080</v>
      </c>
    </row>
    <row r="8582" spans="1:14" x14ac:dyDescent="0.3">
      <c r="A8582" s="108" t="s">
        <v>12958</v>
      </c>
      <c r="B8582" s="76" t="s">
        <v>12959</v>
      </c>
      <c r="C8582" s="76">
        <v>7650</v>
      </c>
      <c r="D8582" s="77" t="s">
        <v>2497</v>
      </c>
      <c r="E8582" s="76" t="s">
        <v>4996</v>
      </c>
      <c r="F8582" t="str">
        <f t="shared" si="655"/>
        <v>Ronnie</v>
      </c>
      <c r="G8582" t="str">
        <f t="shared" si="656"/>
        <v>Ronnie7650Dallas</v>
      </c>
      <c r="H8582" t="s">
        <v>39437</v>
      </c>
      <c r="I8582" t="s">
        <v>30837</v>
      </c>
      <c r="J8582" t="str">
        <f t="shared" si="657"/>
        <v>E:\PropInv\MF</v>
      </c>
      <c r="K8582" s="103" t="str">
        <f>HYPERLINK("E:\PropInv\MF\Dallas\Ronnie Dr_7650_NF_Dallas_90081","Ronnie Dr_7650_NF_Dallas_90081" )</f>
        <v>Ronnie Dr_7650_NF_Dallas_90081</v>
      </c>
      <c r="L8582" s="104" t="s">
        <v>22253</v>
      </c>
      <c r="N8582" s="108">
        <f t="shared" si="658"/>
        <v>90081</v>
      </c>
    </row>
    <row r="8583" spans="1:14" x14ac:dyDescent="0.3">
      <c r="A8583" s="108" t="s">
        <v>12960</v>
      </c>
      <c r="B8583" s="76" t="s">
        <v>12961</v>
      </c>
      <c r="C8583" s="76">
        <v>2910</v>
      </c>
      <c r="D8583" s="77" t="s">
        <v>2497</v>
      </c>
      <c r="E8583" s="77" t="s">
        <v>4996</v>
      </c>
      <c r="F8583" t="str">
        <f t="shared" si="655"/>
        <v>Ruidosa</v>
      </c>
      <c r="G8583" t="str">
        <f t="shared" si="656"/>
        <v>Ruidosa2910Dallas</v>
      </c>
      <c r="H8583" t="s">
        <v>39438</v>
      </c>
      <c r="I8583" t="s">
        <v>30838</v>
      </c>
      <c r="J8583" t="str">
        <f t="shared" si="657"/>
        <v>E:\PropInv\MF</v>
      </c>
      <c r="K8583" s="103" t="str">
        <f>HYPERLINK("E:\PropInv\MF\Dallas\Ruidosa Ave_2910_NF_Dallas_90082","Ruidosa Ave_2910_NF_Dallas_90082" )</f>
        <v>Ruidosa Ave_2910_NF_Dallas_90082</v>
      </c>
      <c r="L8583" s="104" t="s">
        <v>22253</v>
      </c>
      <c r="N8583" s="108">
        <f t="shared" si="658"/>
        <v>90082</v>
      </c>
    </row>
    <row r="8584" spans="1:14" x14ac:dyDescent="0.3">
      <c r="A8584" s="108" t="s">
        <v>12962</v>
      </c>
      <c r="B8584" s="80" t="s">
        <v>12963</v>
      </c>
      <c r="C8584" s="80">
        <v>3219</v>
      </c>
      <c r="D8584" s="81" t="s">
        <v>12964</v>
      </c>
      <c r="E8584" s="81" t="s">
        <v>4996</v>
      </c>
      <c r="F8584" t="str">
        <f t="shared" si="655"/>
        <v>San</v>
      </c>
      <c r="G8584" t="str">
        <f t="shared" si="656"/>
        <v>San3219Dallas</v>
      </c>
      <c r="H8584" t="s">
        <v>39439</v>
      </c>
      <c r="I8584" t="s">
        <v>30839</v>
      </c>
      <c r="J8584" t="str">
        <f t="shared" si="657"/>
        <v>E:\PropInv\MF</v>
      </c>
      <c r="K8584" s="103" t="str">
        <f>HYPERLINK("E:\PropInv\MF\Dallas\San Jacinto St_3219_Bryan Place Apts_Dallas_90083","San Jacinto St_3219_Bryan Place Apts_Dallas_90083" )</f>
        <v>San Jacinto St_3219_Bryan Place Apts_Dallas_90083</v>
      </c>
      <c r="L8584" s="104" t="s">
        <v>22253</v>
      </c>
      <c r="N8584" s="108">
        <f t="shared" si="658"/>
        <v>90083</v>
      </c>
    </row>
    <row r="8585" spans="1:14" x14ac:dyDescent="0.3">
      <c r="A8585" s="108" t="s">
        <v>12965</v>
      </c>
      <c r="B8585" s="76" t="s">
        <v>12963</v>
      </c>
      <c r="C8585" s="76">
        <v>4407</v>
      </c>
      <c r="D8585" s="77" t="s">
        <v>12966</v>
      </c>
      <c r="E8585" s="76" t="s">
        <v>4996</v>
      </c>
      <c r="F8585" t="str">
        <f t="shared" si="655"/>
        <v>San</v>
      </c>
      <c r="G8585" t="str">
        <f t="shared" si="656"/>
        <v>San4407Dallas</v>
      </c>
      <c r="H8585" t="s">
        <v>39440</v>
      </c>
      <c r="I8585" t="s">
        <v>30840</v>
      </c>
      <c r="J8585" t="str">
        <f t="shared" si="657"/>
        <v>E:\PropInv\MF</v>
      </c>
      <c r="K8585" s="103" t="str">
        <f>HYPERLINK("E:\PropInv\MF\Dallas\San Jacinto St_4407_San Jacinto Place_Dallas_90084","San Jacinto St_4407_San Jacinto Place_Dallas_90084" )</f>
        <v>San Jacinto St_4407_San Jacinto Place_Dallas_90084</v>
      </c>
      <c r="L8585" s="104" t="s">
        <v>22253</v>
      </c>
      <c r="N8585" s="108">
        <f t="shared" si="658"/>
        <v>90084</v>
      </c>
    </row>
    <row r="8586" spans="1:14" x14ac:dyDescent="0.3">
      <c r="A8586" s="108" t="s">
        <v>12967</v>
      </c>
      <c r="B8586" s="76" t="s">
        <v>12968</v>
      </c>
      <c r="C8586" s="76">
        <v>3919</v>
      </c>
      <c r="D8586" s="77" t="s">
        <v>12969</v>
      </c>
      <c r="E8586" s="77" t="s">
        <v>4996</v>
      </c>
      <c r="F8586" t="str">
        <f t="shared" si="655"/>
        <v>Sidney</v>
      </c>
      <c r="G8586" t="str">
        <f t="shared" si="656"/>
        <v>Sidney3919Dallas</v>
      </c>
      <c r="H8586" t="s">
        <v>39441</v>
      </c>
      <c r="I8586" t="s">
        <v>30841</v>
      </c>
      <c r="J8586" t="str">
        <f t="shared" si="657"/>
        <v>E:\PropInv\MF</v>
      </c>
      <c r="K8586" s="103" t="str">
        <f>HYPERLINK("E:\PropInv\MF\Dallas\Sidney St_3919_Ciudad del Sol_Dallas_90085","Sidney St_3919_Ciudad del Sol_Dallas_90085" )</f>
        <v>Sidney St_3919_Ciudad del Sol_Dallas_90085</v>
      </c>
      <c r="L8586" s="104" t="s">
        <v>22253</v>
      </c>
      <c r="N8586" s="108">
        <f t="shared" si="658"/>
        <v>90085</v>
      </c>
    </row>
    <row r="8587" spans="1:14" x14ac:dyDescent="0.3">
      <c r="A8587" s="108" t="s">
        <v>12970</v>
      </c>
      <c r="B8587" s="77" t="s">
        <v>5595</v>
      </c>
      <c r="C8587" s="77">
        <v>8110</v>
      </c>
      <c r="D8587" s="76" t="s">
        <v>2497</v>
      </c>
      <c r="E8587" s="76" t="s">
        <v>4996</v>
      </c>
      <c r="F8587" t="str">
        <f t="shared" si="655"/>
        <v>Skillman</v>
      </c>
      <c r="G8587" t="str">
        <f t="shared" si="656"/>
        <v>Skillman8110Dallas</v>
      </c>
      <c r="H8587" t="s">
        <v>39442</v>
      </c>
      <c r="I8587" t="s">
        <v>30842</v>
      </c>
      <c r="J8587" t="str">
        <f t="shared" si="657"/>
        <v>E:\PropInv\MF</v>
      </c>
      <c r="K8587" s="103" t="str">
        <f>HYPERLINK("E:\PropInv\MF\Dallas\Skillman St_8110_NF_Dallas_90086","Skillman St_8110_NF_Dallas_90086" )</f>
        <v>Skillman St_8110_NF_Dallas_90086</v>
      </c>
      <c r="L8587" s="104" t="s">
        <v>22253</v>
      </c>
      <c r="N8587" s="108">
        <f t="shared" si="658"/>
        <v>90086</v>
      </c>
    </row>
    <row r="8588" spans="1:14" x14ac:dyDescent="0.3">
      <c r="A8588" s="108" t="s">
        <v>12971</v>
      </c>
      <c r="B8588" s="76" t="s">
        <v>8350</v>
      </c>
      <c r="C8588" s="76">
        <v>2801</v>
      </c>
      <c r="D8588" s="76" t="s">
        <v>2497</v>
      </c>
      <c r="E8588" s="77" t="s">
        <v>4996</v>
      </c>
      <c r="F8588" t="str">
        <f t="shared" si="655"/>
        <v>Throckmorton</v>
      </c>
      <c r="G8588" t="str">
        <f t="shared" si="656"/>
        <v>Throckmorton2801Dallas</v>
      </c>
      <c r="H8588" t="s">
        <v>39443</v>
      </c>
      <c r="I8588" t="s">
        <v>30843</v>
      </c>
      <c r="J8588" t="str">
        <f t="shared" si="657"/>
        <v>E:\PropInv\MF</v>
      </c>
      <c r="K8588" s="103" t="str">
        <f>HYPERLINK("E:\PropInv\MF\Dallas\Throckmorton St_2801_NF_Dallas_90087","Throckmorton St_2801_NF_Dallas_90087" )</f>
        <v>Throckmorton St_2801_NF_Dallas_90087</v>
      </c>
      <c r="L8588" s="104" t="s">
        <v>22253</v>
      </c>
      <c r="N8588" s="108">
        <f t="shared" si="658"/>
        <v>90087</v>
      </c>
    </row>
    <row r="8589" spans="1:14" x14ac:dyDescent="0.3">
      <c r="A8589" s="108" t="s">
        <v>12972</v>
      </c>
      <c r="B8589" s="76" t="s">
        <v>6176</v>
      </c>
      <c r="C8589" s="76">
        <v>9801</v>
      </c>
      <c r="D8589" s="77" t="s">
        <v>12973</v>
      </c>
      <c r="E8589" s="77" t="s">
        <v>4996</v>
      </c>
      <c r="F8589" t="str">
        <f t="shared" si="655"/>
        <v>Walnut</v>
      </c>
      <c r="G8589" t="str">
        <f t="shared" si="656"/>
        <v>Walnut9801Dallas</v>
      </c>
      <c r="H8589" t="s">
        <v>39444</v>
      </c>
      <c r="I8589" t="s">
        <v>30844</v>
      </c>
      <c r="J8589" t="str">
        <f t="shared" si="657"/>
        <v>E:\PropInv\MF</v>
      </c>
      <c r="K8589" s="103" t="str">
        <f>HYPERLINK("E:\PropInv\MF\Dallas\Walnut St_9801_Richland Trace Condo_Dallas_90088","Walnut St_9801_Richland Trace Condo_Dallas_90088" )</f>
        <v>Walnut St_9801_Richland Trace Condo_Dallas_90088</v>
      </c>
      <c r="L8589" s="104" t="s">
        <v>22253</v>
      </c>
      <c r="N8589" s="108">
        <f t="shared" si="658"/>
        <v>90088</v>
      </c>
    </row>
    <row r="8590" spans="1:14" x14ac:dyDescent="0.3">
      <c r="A8590" s="108" t="s">
        <v>12974</v>
      </c>
      <c r="B8590" s="77" t="s">
        <v>12975</v>
      </c>
      <c r="C8590" s="77">
        <v>5840</v>
      </c>
      <c r="D8590" s="76" t="s">
        <v>2497</v>
      </c>
      <c r="E8590" s="76" t="s">
        <v>4996</v>
      </c>
      <c r="F8590" t="str">
        <f t="shared" si="655"/>
        <v>Williamstown</v>
      </c>
      <c r="G8590" t="str">
        <f t="shared" si="656"/>
        <v>Williamstown5840Dallas</v>
      </c>
      <c r="H8590" t="s">
        <v>39445</v>
      </c>
      <c r="I8590" t="s">
        <v>30845</v>
      </c>
      <c r="J8590" t="str">
        <f t="shared" si="657"/>
        <v>E:\PropInv\MF</v>
      </c>
      <c r="K8590" s="103" t="str">
        <f>HYPERLINK("E:\PropInv\MF\Dallas\Williamstown Dr_5840_NF_Dallas_90089","Williamstown Dr_5840_NF_Dallas_90089" )</f>
        <v>Williamstown Dr_5840_NF_Dallas_90089</v>
      </c>
      <c r="L8590" s="104" t="s">
        <v>22253</v>
      </c>
      <c r="N8590" s="108">
        <f t="shared" si="658"/>
        <v>90089</v>
      </c>
    </row>
    <row r="8591" spans="1:14" x14ac:dyDescent="0.3">
      <c r="A8591" s="108" t="s">
        <v>12976</v>
      </c>
      <c r="B8591" s="77" t="s">
        <v>7969</v>
      </c>
      <c r="C8591" s="77">
        <v>2405</v>
      </c>
      <c r="D8591" s="77" t="s">
        <v>12977</v>
      </c>
      <c r="E8591" s="76" t="s">
        <v>6555</v>
      </c>
      <c r="F8591" t="str">
        <f t="shared" si="655"/>
        <v>Park</v>
      </c>
      <c r="G8591" t="str">
        <f t="shared" si="656"/>
        <v>Park2405Arlington</v>
      </c>
      <c r="H8591" t="s">
        <v>39446</v>
      </c>
      <c r="I8591" t="s">
        <v>30846</v>
      </c>
      <c r="J8591" t="str">
        <f t="shared" si="657"/>
        <v>E:\PropInv\MF</v>
      </c>
      <c r="K8591" s="103" t="str">
        <f>HYPERLINK("E:\PropInv\MF\Arlington\Park Row E_2405_Coach Light Apts_Arlington_90009","Park Row E_2405_Coach Light Apts_Arlington_90009" )</f>
        <v>Park Row E_2405_Coach Light Apts_Arlington_90009</v>
      </c>
      <c r="L8591" s="104" t="s">
        <v>22253</v>
      </c>
      <c r="N8591" s="108">
        <f t="shared" si="658"/>
        <v>90009</v>
      </c>
    </row>
    <row r="8592" spans="1:14" x14ac:dyDescent="0.3">
      <c r="A8592" s="108" t="s">
        <v>12978</v>
      </c>
      <c r="B8592" s="75" t="s">
        <v>6553</v>
      </c>
      <c r="C8592" s="75">
        <v>5203</v>
      </c>
      <c r="D8592" s="75" t="s">
        <v>2497</v>
      </c>
      <c r="E8592" s="74" t="s">
        <v>4996</v>
      </c>
      <c r="F8592" t="str">
        <f t="shared" si="655"/>
        <v>Worth</v>
      </c>
      <c r="G8592" t="str">
        <f t="shared" si="656"/>
        <v>Worth5203Dallas</v>
      </c>
      <c r="H8592" t="s">
        <v>39447</v>
      </c>
      <c r="I8592" t="s">
        <v>30847</v>
      </c>
      <c r="J8592" t="str">
        <f t="shared" si="657"/>
        <v>E:\PropInv\MF</v>
      </c>
      <c r="K8592" s="103" t="str">
        <f>HYPERLINK("E:\PropInv\MF\Dallas\Worth St_5203_NF_Dallas_90090","Worth St_5203_NF_Dallas_90090" )</f>
        <v>Worth St_5203_NF_Dallas_90090</v>
      </c>
      <c r="L8592" s="104" t="s">
        <v>22253</v>
      </c>
      <c r="N8592" s="108">
        <f t="shared" si="658"/>
        <v>90090</v>
      </c>
    </row>
    <row r="8593" spans="1:14" x14ac:dyDescent="0.3">
      <c r="A8593" s="108" t="s">
        <v>12979</v>
      </c>
      <c r="B8593" s="76" t="s">
        <v>4265</v>
      </c>
      <c r="C8593" s="76">
        <v>1775</v>
      </c>
      <c r="D8593" s="76" t="s">
        <v>12980</v>
      </c>
      <c r="E8593" s="76" t="s">
        <v>4996</v>
      </c>
      <c r="F8593" t="str">
        <f t="shared" si="655"/>
        <v>Young</v>
      </c>
      <c r="G8593" t="str">
        <f t="shared" si="656"/>
        <v>Young1775Dallas</v>
      </c>
      <c r="H8593" t="s">
        <v>39448</v>
      </c>
      <c r="I8593" t="s">
        <v>30848</v>
      </c>
      <c r="J8593" t="str">
        <f t="shared" si="657"/>
        <v>E:\PropInv\MF</v>
      </c>
      <c r="K8593" s="103" t="str">
        <f>HYPERLINK("E:\PropInv\MF\Dallas\Young St_1775_Downtown Lofts-TH_Dallas_90091","Young St_1775_Downtown Lofts-TH_Dallas_90091" )</f>
        <v>Young St_1775_Downtown Lofts-TH_Dallas_90091</v>
      </c>
      <c r="L8593" s="104" t="s">
        <v>22253</v>
      </c>
      <c r="N8593" s="108">
        <f t="shared" si="658"/>
        <v>90091</v>
      </c>
    </row>
    <row r="8594" spans="1:14" x14ac:dyDescent="0.3">
      <c r="A8594" s="108" t="s">
        <v>12981</v>
      </c>
      <c r="B8594" s="76" t="s">
        <v>12982</v>
      </c>
      <c r="C8594" s="76">
        <v>1304</v>
      </c>
      <c r="D8594" s="77" t="s">
        <v>12983</v>
      </c>
      <c r="E8594" s="77" t="s">
        <v>12984</v>
      </c>
      <c r="F8594" t="str">
        <f t="shared" si="655"/>
        <v>Halsell</v>
      </c>
      <c r="G8594" t="str">
        <f t="shared" si="656"/>
        <v>Halsell1304Decatur</v>
      </c>
      <c r="H8594" t="s">
        <v>39449</v>
      </c>
      <c r="I8594" t="s">
        <v>30849</v>
      </c>
      <c r="J8594" t="str">
        <f t="shared" si="657"/>
        <v>E:\PropInv\MF</v>
      </c>
      <c r="K8594" s="103" t="str">
        <f>HYPERLINK("E:\PropInv\MF\Decatur\Halsell St_1304_Atrium Garden Apts_Decatur_90092","Halsell St_1304_Atrium Garden Apts_Decatur_90092" )</f>
        <v>Halsell St_1304_Atrium Garden Apts_Decatur_90092</v>
      </c>
      <c r="L8594" s="104" t="s">
        <v>22253</v>
      </c>
      <c r="N8594" s="108">
        <f t="shared" si="658"/>
        <v>90092</v>
      </c>
    </row>
    <row r="8595" spans="1:14" x14ac:dyDescent="0.3">
      <c r="A8595" s="108" t="s">
        <v>12985</v>
      </c>
      <c r="B8595" s="76" t="s">
        <v>12986</v>
      </c>
      <c r="C8595" s="76">
        <v>115</v>
      </c>
      <c r="D8595" s="76" t="s">
        <v>2497</v>
      </c>
      <c r="E8595" s="77" t="s">
        <v>5097</v>
      </c>
      <c r="F8595" t="str">
        <f t="shared" si="655"/>
        <v>Austin</v>
      </c>
      <c r="G8595" t="str">
        <f t="shared" si="656"/>
        <v>Austin115Denton</v>
      </c>
      <c r="H8595" t="s">
        <v>39450</v>
      </c>
      <c r="I8595" t="s">
        <v>30850</v>
      </c>
      <c r="J8595" t="str">
        <f t="shared" si="657"/>
        <v>E:\PropInv\MF</v>
      </c>
      <c r="K8595" s="103" t="str">
        <f>HYPERLINK("E:\PropInv\MF\Denton\Austin St N_115_NF_Denton_90093","Austin St N_115_NF_Denton_90093" )</f>
        <v>Austin St N_115_NF_Denton_90093</v>
      </c>
      <c r="L8595" s="104" t="s">
        <v>22253</v>
      </c>
      <c r="N8595" s="108">
        <f t="shared" si="658"/>
        <v>90093</v>
      </c>
    </row>
    <row r="8596" spans="1:14" x14ac:dyDescent="0.3">
      <c r="A8596" s="108" t="s">
        <v>12987</v>
      </c>
      <c r="B8596" s="76" t="s">
        <v>12071</v>
      </c>
      <c r="C8596" s="76">
        <v>224</v>
      </c>
      <c r="D8596" s="77" t="s">
        <v>12988</v>
      </c>
      <c r="E8596" s="76" t="s">
        <v>12989</v>
      </c>
      <c r="F8596" t="str">
        <f t="shared" si="655"/>
        <v>Ave</v>
      </c>
      <c r="G8596" t="str">
        <f t="shared" si="656"/>
        <v>Ave224DENTON</v>
      </c>
      <c r="H8596" t="s">
        <v>39451</v>
      </c>
      <c r="I8596" t="s">
        <v>30851</v>
      </c>
      <c r="J8596" t="str">
        <f t="shared" si="657"/>
        <v>E:\PropInv\MF</v>
      </c>
      <c r="K8596" s="103" t="str">
        <f>HYPERLINK("E:\PropInv\MF\DENTON\Ave F_224_224 Ave F Apts_DENTON_90094","Ave F_224_224 Ave F Apts_DENTON_90094" )</f>
        <v>Ave F_224_224 Ave F Apts_DENTON_90094</v>
      </c>
      <c r="L8596" s="104" t="s">
        <v>22253</v>
      </c>
      <c r="N8596" s="108">
        <f t="shared" si="658"/>
        <v>90094</v>
      </c>
    </row>
    <row r="8597" spans="1:14" x14ac:dyDescent="0.3">
      <c r="A8597" s="108" t="s">
        <v>12990</v>
      </c>
      <c r="B8597" s="74" t="s">
        <v>12991</v>
      </c>
      <c r="C8597" s="75" t="s">
        <v>12992</v>
      </c>
      <c r="D8597" s="74" t="s">
        <v>12993</v>
      </c>
      <c r="E8597" s="75" t="s">
        <v>5097</v>
      </c>
      <c r="F8597" t="str">
        <f t="shared" si="655"/>
        <v>Ave</v>
      </c>
      <c r="G8597" t="str">
        <f t="shared" si="656"/>
        <v>Ave223-305Denton</v>
      </c>
      <c r="H8597" t="s">
        <v>39452</v>
      </c>
      <c r="I8597" t="s">
        <v>30852</v>
      </c>
      <c r="J8597" t="str">
        <f t="shared" si="657"/>
        <v>E:\PropInv\MF</v>
      </c>
      <c r="K8597" s="103" t="str">
        <f>HYPERLINK("E:\PropInv\MF\Denton\Ave G_223-305_Grace I &amp; II_Denton_90095","Ave G_223-305_Grace I &amp; II_Denton_90095" )</f>
        <v>Ave G_223-305_Grace I &amp; II_Denton_90095</v>
      </c>
      <c r="L8597" s="104" t="s">
        <v>22253</v>
      </c>
      <c r="N8597" s="108">
        <f t="shared" si="658"/>
        <v>90095</v>
      </c>
    </row>
    <row r="8598" spans="1:14" x14ac:dyDescent="0.3">
      <c r="A8598" s="108" t="s">
        <v>12994</v>
      </c>
      <c r="B8598" s="75" t="s">
        <v>10085</v>
      </c>
      <c r="C8598" s="75">
        <v>1116</v>
      </c>
      <c r="D8598" s="75" t="s">
        <v>2497</v>
      </c>
      <c r="E8598" s="74" t="s">
        <v>5097</v>
      </c>
      <c r="F8598" t="str">
        <f t="shared" si="655"/>
        <v>Bell</v>
      </c>
      <c r="G8598" t="str">
        <f t="shared" si="656"/>
        <v>Bell1116Denton</v>
      </c>
      <c r="H8598" t="s">
        <v>39453</v>
      </c>
      <c r="I8598" t="s">
        <v>30853</v>
      </c>
      <c r="J8598" t="str">
        <f t="shared" si="657"/>
        <v>E:\PropInv\MF</v>
      </c>
      <c r="K8598" s="103" t="str">
        <f>HYPERLINK("E:\PropInv\MF\Denton\Bell Ave N_1116_NF_Denton_90096","Bell Ave N_1116_NF_Denton_90096" )</f>
        <v>Bell Ave N_1116_NF_Denton_90096</v>
      </c>
      <c r="L8598" s="104" t="s">
        <v>22253</v>
      </c>
      <c r="N8598" s="108">
        <f t="shared" si="658"/>
        <v>90096</v>
      </c>
    </row>
    <row r="8599" spans="1:14" x14ac:dyDescent="0.3">
      <c r="A8599" s="108" t="s">
        <v>12995</v>
      </c>
      <c r="B8599" s="75" t="s">
        <v>6899</v>
      </c>
      <c r="C8599" s="75" t="s">
        <v>12996</v>
      </c>
      <c r="D8599" s="74" t="s">
        <v>12997</v>
      </c>
      <c r="E8599" s="75" t="s">
        <v>5097</v>
      </c>
      <c r="F8599" t="str">
        <f t="shared" si="655"/>
        <v>Bernard</v>
      </c>
      <c r="G8599" t="str">
        <f t="shared" si="656"/>
        <v>Bernard2406-2416Denton</v>
      </c>
      <c r="H8599" t="s">
        <v>39454</v>
      </c>
      <c r="I8599" t="s">
        <v>30854</v>
      </c>
      <c r="J8599" t="str">
        <f t="shared" si="657"/>
        <v>E:\PropInv\MF</v>
      </c>
      <c r="K8599" s="103" t="str">
        <f>HYPERLINK("E:\PropInv\MF\Denton\Bernard St_2406-2416_Bernard St. Duplexes_Denton_90097","Bernard St_2406-2416_Bernard St. Duplexes_Denton_90097" )</f>
        <v>Bernard St_2406-2416_Bernard St. Duplexes_Denton_90097</v>
      </c>
      <c r="L8599" s="104" t="s">
        <v>22253</v>
      </c>
      <c r="N8599" s="108">
        <f t="shared" si="658"/>
        <v>90097</v>
      </c>
    </row>
    <row r="8600" spans="1:14" x14ac:dyDescent="0.3">
      <c r="A8600" s="108" t="s">
        <v>12998</v>
      </c>
      <c r="B8600" s="74" t="s">
        <v>12999</v>
      </c>
      <c r="C8600" s="75">
        <v>121</v>
      </c>
      <c r="D8600" s="74" t="s">
        <v>13000</v>
      </c>
      <c r="E8600" s="75" t="s">
        <v>5097</v>
      </c>
      <c r="F8600" t="str">
        <f t="shared" si="655"/>
        <v>Bonnie</v>
      </c>
      <c r="G8600" t="str">
        <f t="shared" si="656"/>
        <v>Bonnie121Denton</v>
      </c>
      <c r="H8600" t="s">
        <v>39455</v>
      </c>
      <c r="I8600" t="s">
        <v>30855</v>
      </c>
      <c r="J8600" t="str">
        <f t="shared" si="657"/>
        <v>E:\PropInv\MF</v>
      </c>
      <c r="K8600" s="103" t="str">
        <f>HYPERLINK("E:\PropInv\MF\Denton\Bonnie Brae St Apt A S_121_Bonnie Green Apts_Denton_90098","Bonnie Brae St Apt A S_121_Bonnie Green Apts_Denton_90098" )</f>
        <v>Bonnie Brae St Apt A S_121_Bonnie Green Apts_Denton_90098</v>
      </c>
      <c r="L8600" s="104" t="s">
        <v>22253</v>
      </c>
      <c r="N8600" s="108">
        <f t="shared" si="658"/>
        <v>90098</v>
      </c>
    </row>
    <row r="8601" spans="1:14" x14ac:dyDescent="0.3">
      <c r="A8601" s="108" t="s">
        <v>13001</v>
      </c>
      <c r="B8601" s="75" t="s">
        <v>12831</v>
      </c>
      <c r="C8601" s="75">
        <v>410</v>
      </c>
      <c r="D8601" s="75" t="s">
        <v>2497</v>
      </c>
      <c r="E8601" s="75" t="s">
        <v>5097</v>
      </c>
      <c r="F8601" t="str">
        <f t="shared" si="655"/>
        <v>Bryan</v>
      </c>
      <c r="G8601" t="str">
        <f t="shared" si="656"/>
        <v>Bryan410Denton</v>
      </c>
      <c r="H8601" t="s">
        <v>39456</v>
      </c>
      <c r="I8601" t="s">
        <v>30856</v>
      </c>
      <c r="J8601" t="str">
        <f t="shared" si="657"/>
        <v>E:\PropInv\MF</v>
      </c>
      <c r="K8601" s="103" t="str">
        <f>HYPERLINK("E:\PropInv\MF\Denton\Bryan St_410_NF_Denton_90099","Bryan St_410_NF_Denton_90099" )</f>
        <v>Bryan St_410_NF_Denton_90099</v>
      </c>
      <c r="L8601" s="104" t="s">
        <v>22253</v>
      </c>
      <c r="N8601" s="108">
        <f t="shared" si="658"/>
        <v>90099</v>
      </c>
    </row>
  </sheetData>
  <sortState ref="A2:Q8608">
    <sortCondition ref="A2:A8608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36"/>
  <sheetViews>
    <sheetView topLeftCell="A1605" workbookViewId="0">
      <selection activeCell="D1616" sqref="D1616"/>
    </sheetView>
  </sheetViews>
  <sheetFormatPr defaultRowHeight="14.4" x14ac:dyDescent="0.3"/>
  <cols>
    <col min="1" max="1" width="14.6640625" customWidth="1"/>
    <col min="2" max="3" width="28.6640625" customWidth="1"/>
    <col min="4" max="4" width="22.44140625" customWidth="1"/>
    <col min="5" max="5" width="15.33203125" customWidth="1"/>
    <col min="6" max="6" width="27.88671875" customWidth="1"/>
    <col min="7" max="7" width="15.88671875" customWidth="1"/>
    <col min="8" max="9" width="15.88671875" hidden="1" customWidth="1"/>
  </cols>
  <sheetData>
    <row r="1" spans="1:12" ht="15" x14ac:dyDescent="0.25">
      <c r="A1" t="s">
        <v>13007</v>
      </c>
      <c r="B1" t="s">
        <v>13002</v>
      </c>
      <c r="C1" t="s">
        <v>13003</v>
      </c>
      <c r="D1" t="s">
        <v>1</v>
      </c>
      <c r="E1" t="s">
        <v>13004</v>
      </c>
      <c r="F1" t="s">
        <v>13005</v>
      </c>
      <c r="G1" t="s">
        <v>13006</v>
      </c>
      <c r="H1" s="83" t="s">
        <v>22228</v>
      </c>
      <c r="I1" s="83" t="s">
        <v>22229</v>
      </c>
      <c r="J1" t="s">
        <v>22227</v>
      </c>
      <c r="K1" t="s">
        <v>22233</v>
      </c>
      <c r="L1" t="s">
        <v>22293</v>
      </c>
    </row>
    <row r="2" spans="1:12" ht="15" x14ac:dyDescent="0.25">
      <c r="A2" t="s">
        <v>20548</v>
      </c>
      <c r="B2" t="s">
        <v>14896</v>
      </c>
      <c r="C2" t="s">
        <v>14897</v>
      </c>
      <c r="D2" t="s">
        <v>14898</v>
      </c>
      <c r="E2">
        <v>9450</v>
      </c>
      <c r="F2" t="s">
        <v>14899</v>
      </c>
      <c r="G2" t="s">
        <v>4996</v>
      </c>
      <c r="H2" t="str">
        <f t="shared" ref="H2:H65" si="0">I2&amp;E2&amp;G2</f>
        <v>Roayal9450Dallas</v>
      </c>
      <c r="I2" t="str">
        <f t="shared" ref="I2:I65" si="1">IFERROR(LEFT(D2,FIND(" ",D2)-1),D2)</f>
        <v>Roayal</v>
      </c>
      <c r="J2" s="85" t="str">
        <f>IFERROR(INDEX('All Folders'!$A:$A,MATCH(H2,'All Folders'!$G:$G,0),1),"¶")</f>
        <v>¶</v>
      </c>
      <c r="K2" s="87" t="s">
        <v>22237</v>
      </c>
      <c r="L2" s="87" t="s">
        <v>22292</v>
      </c>
    </row>
    <row r="3" spans="1:12" ht="15" x14ac:dyDescent="0.25">
      <c r="A3" t="s">
        <v>20627</v>
      </c>
      <c r="B3" t="s">
        <v>15149</v>
      </c>
      <c r="C3" t="s">
        <v>15150</v>
      </c>
      <c r="D3" t="s">
        <v>15151</v>
      </c>
      <c r="E3">
        <v>3146</v>
      </c>
      <c r="F3" t="s">
        <v>1976</v>
      </c>
      <c r="G3" t="s">
        <v>4996</v>
      </c>
      <c r="H3" t="str">
        <f t="shared" si="0"/>
        <v>Northgate3146Dallas</v>
      </c>
      <c r="I3" t="str">
        <f t="shared" si="1"/>
        <v>Northgate</v>
      </c>
      <c r="J3" s="93" t="str">
        <f>IFERROR(INDEX('All Folders'!$A:$A,MATCH(H3,'All Folders'!$G:$G,0),1),"¶")</f>
        <v>¶</v>
      </c>
      <c r="K3" s="87" t="s">
        <v>22237</v>
      </c>
      <c r="L3" s="87" t="s">
        <v>22292</v>
      </c>
    </row>
    <row r="4" spans="1:12" ht="15" x14ac:dyDescent="0.25">
      <c r="A4" t="s">
        <v>20656</v>
      </c>
      <c r="B4" t="s">
        <v>15237</v>
      </c>
      <c r="C4" t="s">
        <v>15238</v>
      </c>
      <c r="D4" t="s">
        <v>15239</v>
      </c>
      <c r="E4">
        <v>8008</v>
      </c>
      <c r="F4" t="s">
        <v>15236</v>
      </c>
      <c r="G4" t="s">
        <v>4996</v>
      </c>
      <c r="H4" t="str">
        <f t="shared" si="0"/>
        <v>Norvell8008Dallas</v>
      </c>
      <c r="I4" t="str">
        <f t="shared" si="1"/>
        <v>Norvell</v>
      </c>
      <c r="J4" s="93" t="str">
        <f>IFERROR(INDEX('All Folders'!$A:$A,MATCH(H4,'All Folders'!$G:$G,0),1),"¶")</f>
        <v>¶</v>
      </c>
      <c r="K4" s="87" t="s">
        <v>22237</v>
      </c>
      <c r="L4" s="87" t="s">
        <v>22292</v>
      </c>
    </row>
    <row r="5" spans="1:12" ht="15" x14ac:dyDescent="0.25">
      <c r="A5" t="s">
        <v>20701</v>
      </c>
      <c r="B5" t="s">
        <v>15368</v>
      </c>
      <c r="C5" t="s">
        <v>15369</v>
      </c>
      <c r="D5" t="s">
        <v>15370</v>
      </c>
      <c r="E5">
        <v>11100</v>
      </c>
      <c r="F5" t="s">
        <v>6966</v>
      </c>
      <c r="G5" t="s">
        <v>4996</v>
      </c>
      <c r="H5" t="str">
        <f t="shared" si="0"/>
        <v>Kingsley11100Dallas</v>
      </c>
      <c r="I5" t="str">
        <f t="shared" si="1"/>
        <v>Kingsley</v>
      </c>
      <c r="J5" s="85" t="str">
        <f>IFERROR(INDEX('All Folders'!$A:$A,MATCH(H5,'All Folders'!$G:$G,0),1),"¶")</f>
        <v>¶</v>
      </c>
      <c r="K5" s="87" t="s">
        <v>22237</v>
      </c>
      <c r="L5" s="87" t="s">
        <v>22292</v>
      </c>
    </row>
    <row r="6" spans="1:12" ht="15" x14ac:dyDescent="0.25">
      <c r="A6" t="s">
        <v>20708</v>
      </c>
      <c r="B6" t="s">
        <v>15390</v>
      </c>
      <c r="C6" t="s">
        <v>15391</v>
      </c>
      <c r="D6" t="s">
        <v>14819</v>
      </c>
      <c r="E6">
        <v>2828</v>
      </c>
      <c r="F6" t="s">
        <v>15392</v>
      </c>
      <c r="G6" t="s">
        <v>4996</v>
      </c>
      <c r="H6" t="str">
        <f t="shared" si="0"/>
        <v>Royal2828Dallas</v>
      </c>
      <c r="I6" t="str">
        <f t="shared" si="1"/>
        <v>Royal</v>
      </c>
      <c r="J6" s="85" t="str">
        <f>IFERROR(INDEX('All Folders'!$A:$A,MATCH(H6,'All Folders'!$G:$G,0),1),"¶")</f>
        <v>¶</v>
      </c>
      <c r="K6" s="87" t="s">
        <v>22237</v>
      </c>
      <c r="L6" s="87" t="s">
        <v>22292</v>
      </c>
    </row>
    <row r="7" spans="1:12" ht="15" x14ac:dyDescent="0.25">
      <c r="A7" t="s">
        <v>20844</v>
      </c>
      <c r="B7" t="s">
        <v>15816</v>
      </c>
      <c r="C7" t="s">
        <v>15817</v>
      </c>
      <c r="D7" t="s">
        <v>15818</v>
      </c>
      <c r="E7">
        <v>1407</v>
      </c>
      <c r="F7" t="s">
        <v>5227</v>
      </c>
      <c r="G7" t="s">
        <v>5228</v>
      </c>
      <c r="H7" t="str">
        <f t="shared" si="0"/>
        <v>Acton1407Duncanville</v>
      </c>
      <c r="I7" t="str">
        <f t="shared" si="1"/>
        <v>Acton</v>
      </c>
      <c r="J7" s="85" t="str">
        <f>IFERROR(INDEX('All Folders'!$A:$A,MATCH(H7,'All Folders'!$G:$G,0),1),"¶")</f>
        <v>¶</v>
      </c>
      <c r="K7" s="87" t="s">
        <v>22237</v>
      </c>
      <c r="L7" s="87" t="s">
        <v>22292</v>
      </c>
    </row>
    <row r="8" spans="1:12" ht="15" x14ac:dyDescent="0.25">
      <c r="A8" t="s">
        <v>20918</v>
      </c>
      <c r="B8" t="s">
        <v>16070</v>
      </c>
      <c r="C8" t="s">
        <v>16071</v>
      </c>
      <c r="D8" t="s">
        <v>16069</v>
      </c>
      <c r="E8">
        <v>6130</v>
      </c>
      <c r="F8" t="s">
        <v>7113</v>
      </c>
      <c r="G8" t="s">
        <v>5014</v>
      </c>
      <c r="H8" t="str">
        <f t="shared" si="0"/>
        <v>Oakland6130Fort Worth</v>
      </c>
      <c r="I8" t="str">
        <f t="shared" si="1"/>
        <v>Oakland</v>
      </c>
      <c r="J8" s="85" t="str">
        <f>IFERROR(INDEX('All Folders'!$A:$A,MATCH(H8,'All Folders'!$G:$G,0),1),"¶")</f>
        <v>¶</v>
      </c>
      <c r="K8" s="87" t="s">
        <v>22237</v>
      </c>
      <c r="L8" s="87" t="s">
        <v>22292</v>
      </c>
    </row>
    <row r="9" spans="1:12" ht="15" x14ac:dyDescent="0.25">
      <c r="A9" t="s">
        <v>20926</v>
      </c>
      <c r="B9" t="s">
        <v>16096</v>
      </c>
      <c r="C9" t="s">
        <v>16097</v>
      </c>
      <c r="D9" t="s">
        <v>16098</v>
      </c>
      <c r="E9">
        <v>5513</v>
      </c>
      <c r="F9" t="s">
        <v>6908</v>
      </c>
      <c r="G9" t="s">
        <v>5014</v>
      </c>
      <c r="H9" t="str">
        <f t="shared" si="0"/>
        <v>Crosscreek5513Fort Worth</v>
      </c>
      <c r="I9" t="str">
        <f t="shared" si="1"/>
        <v>Crosscreek</v>
      </c>
      <c r="J9" s="85" t="str">
        <f>IFERROR(INDEX('All Folders'!$A:$A,MATCH(H9,'All Folders'!$G:$G,0),1),"¶")</f>
        <v>¶</v>
      </c>
      <c r="K9" s="87" t="s">
        <v>22237</v>
      </c>
      <c r="L9" s="87" t="s">
        <v>22292</v>
      </c>
    </row>
    <row r="10" spans="1:12" ht="15" x14ac:dyDescent="0.25">
      <c r="A10" t="s">
        <v>21148</v>
      </c>
      <c r="B10" t="s">
        <v>16835</v>
      </c>
      <c r="C10" t="s">
        <v>16836</v>
      </c>
      <c r="D10" t="s">
        <v>16837</v>
      </c>
      <c r="E10">
        <v>9700</v>
      </c>
      <c r="F10" t="s">
        <v>16838</v>
      </c>
      <c r="G10" t="s">
        <v>1657</v>
      </c>
      <c r="H10" t="str">
        <f t="shared" si="0"/>
        <v>Court9700Houston</v>
      </c>
      <c r="I10" t="str">
        <f t="shared" si="1"/>
        <v>Court</v>
      </c>
      <c r="J10" s="85" t="str">
        <f>IFERROR(INDEX('All Folders'!$A:$A,MATCH(H10,'All Folders'!$G:$G,0),1),"¶")</f>
        <v>¶</v>
      </c>
      <c r="K10" s="87" t="s">
        <v>22237</v>
      </c>
      <c r="L10" s="87" t="s">
        <v>22292</v>
      </c>
    </row>
    <row r="11" spans="1:12" ht="15" x14ac:dyDescent="0.25">
      <c r="A11" t="s">
        <v>21213</v>
      </c>
      <c r="B11" t="s">
        <v>17045</v>
      </c>
      <c r="C11" t="s">
        <v>17046</v>
      </c>
      <c r="D11" t="s">
        <v>16884</v>
      </c>
      <c r="E11">
        <v>5555</v>
      </c>
      <c r="F11" t="s">
        <v>17047</v>
      </c>
      <c r="G11" t="s">
        <v>1657</v>
      </c>
      <c r="H11" t="str">
        <f t="shared" si="0"/>
        <v>Antonie5555Houston</v>
      </c>
      <c r="I11" t="str">
        <f t="shared" si="1"/>
        <v>Antonie</v>
      </c>
      <c r="J11" s="85" t="str">
        <f>IFERROR(INDEX('All Folders'!$A:$A,MATCH(H11,'All Folders'!$G:$G,0),1),"¶")</f>
        <v>¶</v>
      </c>
      <c r="K11" s="87" t="s">
        <v>22237</v>
      </c>
      <c r="L11" s="87" t="s">
        <v>22292</v>
      </c>
    </row>
    <row r="12" spans="1:12" ht="15" x14ac:dyDescent="0.25">
      <c r="A12" t="s">
        <v>21278</v>
      </c>
      <c r="B12" t="s">
        <v>17251</v>
      </c>
      <c r="C12" t="s">
        <v>17252</v>
      </c>
      <c r="D12" t="s">
        <v>17253</v>
      </c>
      <c r="E12">
        <v>9200</v>
      </c>
      <c r="F12" t="s">
        <v>3537</v>
      </c>
      <c r="G12" t="s">
        <v>1657</v>
      </c>
      <c r="H12" t="str">
        <f t="shared" si="0"/>
        <v>Bissonet9200Houston</v>
      </c>
      <c r="I12" t="str">
        <f t="shared" si="1"/>
        <v>Bissonet</v>
      </c>
      <c r="J12" s="85" t="str">
        <f>IFERROR(INDEX('All Folders'!$A:$A,MATCH(H12,'All Folders'!$G:$G,0),1),"¶")</f>
        <v>¶</v>
      </c>
      <c r="K12" s="87" t="s">
        <v>22237</v>
      </c>
      <c r="L12" s="87" t="s">
        <v>22292</v>
      </c>
    </row>
    <row r="13" spans="1:12" ht="15" x14ac:dyDescent="0.25">
      <c r="A13" t="s">
        <v>21320</v>
      </c>
      <c r="B13" t="s">
        <v>17396</v>
      </c>
      <c r="C13" t="s">
        <v>17397</v>
      </c>
      <c r="D13" t="s">
        <v>16481</v>
      </c>
      <c r="E13">
        <v>3800</v>
      </c>
      <c r="F13" t="s">
        <v>17398</v>
      </c>
      <c r="G13" t="s">
        <v>5046</v>
      </c>
      <c r="H13" t="str">
        <f t="shared" si="0"/>
        <v>Belt3800Irving</v>
      </c>
      <c r="I13" t="str">
        <f t="shared" si="1"/>
        <v>Belt</v>
      </c>
      <c r="J13" s="85" t="str">
        <f>IFERROR(INDEX('All Folders'!$A:$A,MATCH(H13,'All Folders'!$G:$G,0),1),"¶")</f>
        <v>¶</v>
      </c>
      <c r="K13" s="87" t="s">
        <v>22237</v>
      </c>
      <c r="L13" s="87" t="s">
        <v>22292</v>
      </c>
    </row>
    <row r="14" spans="1:12" ht="15" x14ac:dyDescent="0.25">
      <c r="A14" t="s">
        <v>21347</v>
      </c>
      <c r="B14" t="s">
        <v>17485</v>
      </c>
      <c r="C14" t="s">
        <v>17486</v>
      </c>
      <c r="D14" t="s">
        <v>17338</v>
      </c>
      <c r="E14">
        <v>620</v>
      </c>
      <c r="F14" t="s">
        <v>17487</v>
      </c>
      <c r="G14" t="s">
        <v>5046</v>
      </c>
      <c r="H14" t="str">
        <f t="shared" si="0"/>
        <v>Lake620Irving</v>
      </c>
      <c r="I14" t="str">
        <f t="shared" si="1"/>
        <v>Lake</v>
      </c>
      <c r="J14" s="85" t="str">
        <f>IFERROR(INDEX('All Folders'!$A:$A,MATCH(H14,'All Folders'!$G:$G,0),1),"¶")</f>
        <v>¶</v>
      </c>
      <c r="K14" s="87" t="s">
        <v>22237</v>
      </c>
      <c r="L14" s="87" t="s">
        <v>22292</v>
      </c>
    </row>
    <row r="15" spans="1:12" ht="15" x14ac:dyDescent="0.25">
      <c r="A15" t="s">
        <v>21237</v>
      </c>
      <c r="B15" t="s">
        <v>17121</v>
      </c>
      <c r="C15" t="s">
        <v>17122</v>
      </c>
      <c r="D15" t="s">
        <v>13933</v>
      </c>
      <c r="E15">
        <v>1616</v>
      </c>
      <c r="F15" t="s">
        <v>17123</v>
      </c>
      <c r="G15" t="s">
        <v>1657</v>
      </c>
      <c r="H15" t="str">
        <f t="shared" si="0"/>
        <v>Main1616Houston</v>
      </c>
      <c r="I15" t="str">
        <f t="shared" si="1"/>
        <v>Main</v>
      </c>
      <c r="J15" s="85" t="str">
        <f>IFERROR(INDEX('All Folders'!$A:$A,MATCH(H15,'All Folders'!$G:$G,0),1),"¶")</f>
        <v>¶</v>
      </c>
      <c r="K15" s="87" t="s">
        <v>22239</v>
      </c>
      <c r="L15" s="87" t="s">
        <v>22292</v>
      </c>
    </row>
    <row r="16" spans="1:12" ht="15" x14ac:dyDescent="0.25">
      <c r="A16" t="s">
        <v>20347</v>
      </c>
      <c r="B16" t="s">
        <v>14203</v>
      </c>
      <c r="C16" t="s">
        <v>14204</v>
      </c>
      <c r="D16" t="s">
        <v>14205</v>
      </c>
      <c r="E16">
        <v>1915</v>
      </c>
      <c r="F16" t="s">
        <v>2497</v>
      </c>
      <c r="G16" t="s">
        <v>5060</v>
      </c>
      <c r="H16" t="str">
        <f t="shared" si="0"/>
        <v>Sandy1915Carrollton</v>
      </c>
      <c r="I16" t="str">
        <f t="shared" si="1"/>
        <v>Sandy</v>
      </c>
      <c r="J16" s="85" t="str">
        <f>IFERROR(INDEX('All Folders'!$A:$A,MATCH(H16,'All Folders'!$G:$G,0),1),"¶")</f>
        <v>¶</v>
      </c>
      <c r="K16" s="87" t="s">
        <v>22234</v>
      </c>
      <c r="L16" s="87" t="s">
        <v>22292</v>
      </c>
    </row>
    <row r="17" spans="1:12" ht="15" x14ac:dyDescent="0.25">
      <c r="A17" t="s">
        <v>20117</v>
      </c>
      <c r="B17" t="s">
        <v>13426</v>
      </c>
      <c r="C17" t="s">
        <v>13427</v>
      </c>
      <c r="D17" t="s">
        <v>13428</v>
      </c>
      <c r="E17">
        <v>2121</v>
      </c>
      <c r="F17" t="s">
        <v>7515</v>
      </c>
      <c r="G17" t="s">
        <v>6555</v>
      </c>
      <c r="H17" t="str">
        <f t="shared" si="0"/>
        <v>Washington2121Arlington</v>
      </c>
      <c r="I17" t="str">
        <f t="shared" si="1"/>
        <v>Washington</v>
      </c>
      <c r="J17" s="85" t="str">
        <f>IFERROR(INDEX('All Folders'!$A:$A,MATCH(H17,'All Folders'!$G:$G,0),1),"¶")</f>
        <v>¶</v>
      </c>
      <c r="K17" s="87" t="s">
        <v>2497</v>
      </c>
      <c r="L17" s="87" t="s">
        <v>22292</v>
      </c>
    </row>
    <row r="18" spans="1:12" ht="15" x14ac:dyDescent="0.25">
      <c r="A18" t="s">
        <v>20332</v>
      </c>
      <c r="B18" t="s">
        <v>14152</v>
      </c>
      <c r="C18" t="s">
        <v>14153</v>
      </c>
      <c r="D18" t="s">
        <v>14154</v>
      </c>
      <c r="E18">
        <v>2206</v>
      </c>
      <c r="F18" t="s">
        <v>14155</v>
      </c>
      <c r="G18" t="s">
        <v>5060</v>
      </c>
      <c r="H18" t="str">
        <f t="shared" si="0"/>
        <v>Heritage2206Carrollton</v>
      </c>
      <c r="I18" t="str">
        <f t="shared" si="1"/>
        <v>Heritage</v>
      </c>
      <c r="J18" s="85" t="str">
        <f>IFERROR(INDEX('All Folders'!$A:$A,MATCH(H18,'All Folders'!$G:$G,0),1),"¶")</f>
        <v>¶</v>
      </c>
      <c r="K18" s="87" t="s">
        <v>2497</v>
      </c>
      <c r="L18" s="87" t="s">
        <v>22292</v>
      </c>
    </row>
    <row r="19" spans="1:12" ht="15" x14ac:dyDescent="0.25">
      <c r="A19" t="s">
        <v>20342</v>
      </c>
      <c r="B19" t="s">
        <v>14186</v>
      </c>
      <c r="C19" t="s">
        <v>14187</v>
      </c>
      <c r="D19" t="s">
        <v>14188</v>
      </c>
      <c r="E19">
        <v>2200</v>
      </c>
      <c r="F19" t="s">
        <v>14189</v>
      </c>
      <c r="G19" t="s">
        <v>5060</v>
      </c>
      <c r="H19" t="str">
        <f t="shared" si="0"/>
        <v>Trinity2200Carrollton</v>
      </c>
      <c r="I19" t="str">
        <f t="shared" si="1"/>
        <v>Trinity</v>
      </c>
      <c r="J19" s="85" t="str">
        <f>IFERROR(INDEX('All Folders'!$A:$A,MATCH(H19,'All Folders'!$G:$G,0),1),"¶")</f>
        <v>¶</v>
      </c>
      <c r="K19" s="87" t="s">
        <v>2497</v>
      </c>
      <c r="L19" s="87" t="s">
        <v>22292</v>
      </c>
    </row>
    <row r="20" spans="1:12" ht="15" x14ac:dyDescent="0.25">
      <c r="A20" t="s">
        <v>20417</v>
      </c>
      <c r="B20" t="s">
        <v>14449</v>
      </c>
      <c r="C20" t="s">
        <v>14450</v>
      </c>
      <c r="D20" t="s">
        <v>14451</v>
      </c>
      <c r="E20">
        <v>2107</v>
      </c>
      <c r="F20" t="s">
        <v>14452</v>
      </c>
      <c r="G20" t="s">
        <v>4996</v>
      </c>
      <c r="H20" t="str">
        <f t="shared" si="0"/>
        <v>Moser2107Dallas</v>
      </c>
      <c r="I20" t="str">
        <f t="shared" si="1"/>
        <v>Moser</v>
      </c>
      <c r="J20" s="93" t="str">
        <f>IFERROR(INDEX('All Folders'!$A:$A,MATCH(H20,'All Folders'!$G:$G,0),1),"¶")</f>
        <v>¶</v>
      </c>
      <c r="K20" s="87" t="s">
        <v>2497</v>
      </c>
      <c r="L20" s="87" t="s">
        <v>22292</v>
      </c>
    </row>
    <row r="21" spans="1:12" ht="15" x14ac:dyDescent="0.25">
      <c r="A21" t="s">
        <v>20420</v>
      </c>
      <c r="B21" t="s">
        <v>14461</v>
      </c>
      <c r="C21" t="s">
        <v>14462</v>
      </c>
      <c r="D21" t="s">
        <v>14463</v>
      </c>
      <c r="E21">
        <v>2804</v>
      </c>
      <c r="F21" t="s">
        <v>14464</v>
      </c>
      <c r="G21" t="s">
        <v>4996</v>
      </c>
      <c r="H21" t="str">
        <f t="shared" si="0"/>
        <v>Monet2804Dallas</v>
      </c>
      <c r="I21" t="str">
        <f t="shared" si="1"/>
        <v>Monet</v>
      </c>
      <c r="J21" s="85" t="str">
        <f>IFERROR(INDEX('All Folders'!$A:$A,MATCH(H21,'All Folders'!$G:$G,0),1),"¶")</f>
        <v>¶</v>
      </c>
      <c r="K21" s="87" t="s">
        <v>2497</v>
      </c>
      <c r="L21" s="87" t="s">
        <v>22292</v>
      </c>
    </row>
    <row r="22" spans="1:12" ht="15" x14ac:dyDescent="0.25">
      <c r="A22" t="s">
        <v>20430</v>
      </c>
      <c r="B22" t="s">
        <v>14500</v>
      </c>
      <c r="C22" t="s">
        <v>14501</v>
      </c>
      <c r="D22" t="s">
        <v>14502</v>
      </c>
      <c r="E22">
        <v>4515</v>
      </c>
      <c r="F22" t="s">
        <v>14503</v>
      </c>
      <c r="G22" t="s">
        <v>4996</v>
      </c>
      <c r="H22" t="str">
        <f t="shared" si="0"/>
        <v>Lafayette4515Dallas</v>
      </c>
      <c r="I22" t="str">
        <f t="shared" si="1"/>
        <v>Lafayette</v>
      </c>
      <c r="J22" s="85" t="str">
        <f>IFERROR(INDEX('All Folders'!$A:$A,MATCH(H22,'All Folders'!$G:$G,0),1),"¶")</f>
        <v>¶</v>
      </c>
      <c r="K22" s="87" t="s">
        <v>2497</v>
      </c>
      <c r="L22" s="87" t="s">
        <v>22292</v>
      </c>
    </row>
    <row r="23" spans="1:12" ht="15" x14ac:dyDescent="0.25">
      <c r="A23" t="s">
        <v>20432</v>
      </c>
      <c r="B23" t="s">
        <v>14508</v>
      </c>
      <c r="C23" t="s">
        <v>14509</v>
      </c>
      <c r="D23" t="s">
        <v>14510</v>
      </c>
      <c r="E23">
        <v>5114</v>
      </c>
      <c r="F23" t="s">
        <v>14511</v>
      </c>
      <c r="G23" t="s">
        <v>4996</v>
      </c>
      <c r="H23" t="str">
        <f t="shared" si="0"/>
        <v>Bryan5114Dallas</v>
      </c>
      <c r="I23" t="str">
        <f t="shared" si="1"/>
        <v>Bryan</v>
      </c>
      <c r="J23" s="93" t="str">
        <f>IFERROR(INDEX('All Folders'!$A:$A,MATCH(H23,'All Folders'!$G:$G,0),1),"¶")</f>
        <v>¶</v>
      </c>
      <c r="K23" s="87" t="s">
        <v>2497</v>
      </c>
      <c r="L23" s="87" t="s">
        <v>22292</v>
      </c>
    </row>
    <row r="24" spans="1:12" ht="15" x14ac:dyDescent="0.25">
      <c r="A24" t="s">
        <v>20495</v>
      </c>
      <c r="B24" t="s">
        <v>14723</v>
      </c>
      <c r="C24" t="s">
        <v>14724</v>
      </c>
      <c r="D24" t="s">
        <v>14560</v>
      </c>
      <c r="E24">
        <v>8150</v>
      </c>
      <c r="F24" t="s">
        <v>14725</v>
      </c>
      <c r="G24" t="s">
        <v>4996</v>
      </c>
      <c r="H24" t="str">
        <f t="shared" si="0"/>
        <v>Central8150Dallas</v>
      </c>
      <c r="I24" t="str">
        <f t="shared" si="1"/>
        <v>Central</v>
      </c>
      <c r="J24" s="85" t="str">
        <f>IFERROR(INDEX('All Folders'!$A:$A,MATCH(H24,'All Folders'!$G:$G,0),1),"¶")</f>
        <v>¶</v>
      </c>
      <c r="K24" s="87" t="s">
        <v>2497</v>
      </c>
      <c r="L24" s="87" t="s">
        <v>22292</v>
      </c>
    </row>
    <row r="25" spans="1:12" ht="15" x14ac:dyDescent="0.25">
      <c r="A25" t="s">
        <v>20501</v>
      </c>
      <c r="B25" t="s">
        <v>14744</v>
      </c>
      <c r="C25" t="s">
        <v>14745</v>
      </c>
      <c r="D25" t="s">
        <v>13117</v>
      </c>
      <c r="E25">
        <v>3425</v>
      </c>
      <c r="F25" t="s">
        <v>11497</v>
      </c>
      <c r="G25" t="s">
        <v>4996</v>
      </c>
      <c r="H25" t="str">
        <f t="shared" si="0"/>
        <v>Polk3425Dallas</v>
      </c>
      <c r="I25" t="str">
        <f t="shared" si="1"/>
        <v>Polk</v>
      </c>
      <c r="J25" s="85" t="str">
        <f>IFERROR(INDEX('All Folders'!$A:$A,MATCH(H25,'All Folders'!$G:$G,0),1),"¶")</f>
        <v>¶</v>
      </c>
      <c r="K25" s="87" t="s">
        <v>2497</v>
      </c>
      <c r="L25" s="87" t="s">
        <v>22292</v>
      </c>
    </row>
    <row r="26" spans="1:12" ht="15" x14ac:dyDescent="0.25">
      <c r="A26" t="s">
        <v>20519</v>
      </c>
      <c r="B26" t="s">
        <v>14804</v>
      </c>
      <c r="C26" t="s">
        <v>14805</v>
      </c>
      <c r="D26" t="s">
        <v>14806</v>
      </c>
      <c r="E26">
        <v>326</v>
      </c>
      <c r="F26" t="s">
        <v>14807</v>
      </c>
      <c r="G26" t="s">
        <v>4996</v>
      </c>
      <c r="H26" t="str">
        <f t="shared" si="0"/>
        <v>Illinois326Dallas</v>
      </c>
      <c r="I26" t="str">
        <f t="shared" si="1"/>
        <v>Illinois</v>
      </c>
      <c r="J26" s="85" t="str">
        <f>IFERROR(INDEX('All Folders'!$A:$A,MATCH(H26,'All Folders'!$G:$G,0),1),"¶")</f>
        <v>¶</v>
      </c>
      <c r="K26" s="87" t="s">
        <v>2497</v>
      </c>
      <c r="L26" s="87" t="s">
        <v>22292</v>
      </c>
    </row>
    <row r="27" spans="1:12" ht="15" x14ac:dyDescent="0.25">
      <c r="A27" t="s">
        <v>20527</v>
      </c>
      <c r="B27" t="s">
        <v>14830</v>
      </c>
      <c r="C27" t="s">
        <v>14831</v>
      </c>
      <c r="D27" t="s">
        <v>14832</v>
      </c>
      <c r="E27">
        <v>1025</v>
      </c>
      <c r="F27" t="s">
        <v>151</v>
      </c>
      <c r="G27" t="s">
        <v>4996</v>
      </c>
      <c r="H27" t="str">
        <f t="shared" si="0"/>
        <v>Wheatland1025Dallas</v>
      </c>
      <c r="I27" t="str">
        <f t="shared" si="1"/>
        <v>Wheatland</v>
      </c>
      <c r="J27" s="85" t="str">
        <f>IFERROR(INDEX('All Folders'!$A:$A,MATCH(H27,'All Folders'!$G:$G,0),1),"¶")</f>
        <v>¶</v>
      </c>
      <c r="K27" s="87" t="s">
        <v>22237</v>
      </c>
      <c r="L27" s="87" t="s">
        <v>22292</v>
      </c>
    </row>
    <row r="28" spans="1:12" ht="15" x14ac:dyDescent="0.25">
      <c r="A28" t="s">
        <v>20574</v>
      </c>
      <c r="B28" t="s">
        <v>14984</v>
      </c>
      <c r="C28" t="s">
        <v>14985</v>
      </c>
      <c r="D28" t="s">
        <v>14982</v>
      </c>
      <c r="E28">
        <v>2920</v>
      </c>
      <c r="F28" t="s">
        <v>14983</v>
      </c>
      <c r="G28" t="s">
        <v>4996</v>
      </c>
      <c r="H28" t="str">
        <f t="shared" si="0"/>
        <v>Prichard2920Dallas</v>
      </c>
      <c r="I28" t="str">
        <f t="shared" si="1"/>
        <v>Prichard</v>
      </c>
      <c r="J28" s="92" t="str">
        <f>IFERROR(INDEX('All Folders'!$A:$A,MATCH(H28,'All Folders'!$G:$G,0),1),"¶")</f>
        <v>¶</v>
      </c>
      <c r="K28" s="87" t="s">
        <v>2497</v>
      </c>
      <c r="L28" s="87" t="s">
        <v>22292</v>
      </c>
    </row>
    <row r="29" spans="1:12" ht="15" x14ac:dyDescent="0.25">
      <c r="A29" t="s">
        <v>20579</v>
      </c>
      <c r="B29" t="s">
        <v>14997</v>
      </c>
      <c r="C29" t="s">
        <v>14998</v>
      </c>
      <c r="D29" t="s">
        <v>14999</v>
      </c>
      <c r="E29">
        <v>3333</v>
      </c>
      <c r="F29" t="s">
        <v>15000</v>
      </c>
      <c r="G29" t="s">
        <v>4996</v>
      </c>
      <c r="H29" t="str">
        <f t="shared" si="0"/>
        <v>Illinois3333Dallas</v>
      </c>
      <c r="I29" t="str">
        <f t="shared" si="1"/>
        <v>Illinois</v>
      </c>
      <c r="J29" s="85" t="str">
        <f>IFERROR(INDEX('All Folders'!$A:$A,MATCH(H29,'All Folders'!$G:$G,0),1),"¶")</f>
        <v>¶</v>
      </c>
      <c r="K29" s="87" t="s">
        <v>2497</v>
      </c>
      <c r="L29" s="87" t="s">
        <v>22292</v>
      </c>
    </row>
    <row r="30" spans="1:12" ht="15" x14ac:dyDescent="0.25">
      <c r="A30" t="s">
        <v>20583</v>
      </c>
      <c r="B30" t="s">
        <v>15010</v>
      </c>
      <c r="C30" t="s">
        <v>15011</v>
      </c>
      <c r="D30" t="s">
        <v>6022</v>
      </c>
      <c r="E30">
        <v>8776</v>
      </c>
      <c r="F30" t="s">
        <v>15012</v>
      </c>
      <c r="G30" t="s">
        <v>4996</v>
      </c>
      <c r="H30" t="str">
        <f t="shared" si="0"/>
        <v>Park8776Dallas</v>
      </c>
      <c r="I30" t="str">
        <f t="shared" si="1"/>
        <v>Park</v>
      </c>
      <c r="J30" s="85" t="str">
        <f>IFERROR(INDEX('All Folders'!$A:$A,MATCH(H30,'All Folders'!$G:$G,0),1),"¶")</f>
        <v>¶</v>
      </c>
      <c r="K30" s="87" t="s">
        <v>2497</v>
      </c>
      <c r="L30" s="87" t="s">
        <v>22292</v>
      </c>
    </row>
    <row r="31" spans="1:12" ht="15" x14ac:dyDescent="0.25">
      <c r="A31" t="s">
        <v>20614</v>
      </c>
      <c r="B31" t="s">
        <v>15110</v>
      </c>
      <c r="C31" t="s">
        <v>15111</v>
      </c>
      <c r="D31" t="s">
        <v>15112</v>
      </c>
      <c r="E31">
        <v>5714</v>
      </c>
      <c r="F31" t="s">
        <v>15113</v>
      </c>
      <c r="G31" t="s">
        <v>4996</v>
      </c>
      <c r="H31" t="str">
        <f t="shared" si="0"/>
        <v>McCommas5714Dallas</v>
      </c>
      <c r="I31" t="str">
        <f t="shared" si="1"/>
        <v>McCommas</v>
      </c>
      <c r="J31" s="85" t="str">
        <f>IFERROR(INDEX('All Folders'!$A:$A,MATCH(H31,'All Folders'!$G:$G,0),1),"¶")</f>
        <v>¶</v>
      </c>
      <c r="K31" s="87" t="s">
        <v>2497</v>
      </c>
      <c r="L31" s="87" t="s">
        <v>22292</v>
      </c>
    </row>
    <row r="32" spans="1:12" ht="15" x14ac:dyDescent="0.25">
      <c r="A32" t="s">
        <v>20631</v>
      </c>
      <c r="B32" t="s">
        <v>15161</v>
      </c>
      <c r="C32" t="s">
        <v>15162</v>
      </c>
      <c r="D32" t="s">
        <v>15160</v>
      </c>
      <c r="E32">
        <v>6401</v>
      </c>
      <c r="F32" t="s">
        <v>7095</v>
      </c>
      <c r="G32" t="s">
        <v>4996</v>
      </c>
      <c r="H32" t="str">
        <f t="shared" si="0"/>
        <v>Ridgecrest6401Dallas</v>
      </c>
      <c r="I32" t="str">
        <f t="shared" si="1"/>
        <v>Ridgecrest</v>
      </c>
      <c r="J32" s="85" t="str">
        <f>IFERROR(INDEX('All Folders'!$A:$A,MATCH(H32,'All Folders'!$G:$G,0),1),"¶")</f>
        <v>¶</v>
      </c>
      <c r="K32" s="87" t="s">
        <v>2497</v>
      </c>
      <c r="L32" s="87" t="s">
        <v>22292</v>
      </c>
    </row>
    <row r="33" spans="1:12" ht="15" x14ac:dyDescent="0.25">
      <c r="A33" t="s">
        <v>20652</v>
      </c>
      <c r="B33" t="s">
        <v>15224</v>
      </c>
      <c r="C33" t="s">
        <v>15225</v>
      </c>
      <c r="D33" t="s">
        <v>15226</v>
      </c>
      <c r="E33">
        <v>5835</v>
      </c>
      <c r="F33" t="s">
        <v>15227</v>
      </c>
      <c r="G33" t="s">
        <v>4996</v>
      </c>
      <c r="H33" t="str">
        <f t="shared" si="0"/>
        <v>Blackwell5835Dallas</v>
      </c>
      <c r="I33" t="str">
        <f t="shared" si="1"/>
        <v>Blackwell</v>
      </c>
      <c r="J33" s="85" t="str">
        <f>IFERROR(INDEX('All Folders'!$A:$A,MATCH(H33,'All Folders'!$G:$G,0),1),"¶")</f>
        <v>¶</v>
      </c>
      <c r="K33" s="87" t="s">
        <v>2497</v>
      </c>
      <c r="L33" s="87" t="s">
        <v>22292</v>
      </c>
    </row>
    <row r="34" spans="1:12" ht="15" x14ac:dyDescent="0.25">
      <c r="A34" t="s">
        <v>20724</v>
      </c>
      <c r="B34" t="s">
        <v>15439</v>
      </c>
      <c r="C34" t="s">
        <v>15440</v>
      </c>
      <c r="D34" t="s">
        <v>15441</v>
      </c>
      <c r="E34">
        <v>4425</v>
      </c>
      <c r="F34" t="s">
        <v>15442</v>
      </c>
      <c r="G34" t="s">
        <v>4996</v>
      </c>
      <c r="H34" t="str">
        <f t="shared" si="0"/>
        <v>Gilbert4425Dallas</v>
      </c>
      <c r="I34" t="str">
        <f t="shared" si="1"/>
        <v>Gilbert</v>
      </c>
      <c r="J34" s="85" t="str">
        <f>IFERROR(INDEX('All Folders'!$A:$A,MATCH(H34,'All Folders'!$G:$G,0),1),"¶")</f>
        <v>¶</v>
      </c>
      <c r="K34" s="87" t="s">
        <v>2497</v>
      </c>
      <c r="L34" s="87" t="s">
        <v>22292</v>
      </c>
    </row>
    <row r="35" spans="1:12" ht="15" x14ac:dyDescent="0.25">
      <c r="A35" t="s">
        <v>20800</v>
      </c>
      <c r="B35" t="s">
        <v>15676</v>
      </c>
      <c r="C35" t="s">
        <v>15677</v>
      </c>
      <c r="D35" t="s">
        <v>15678</v>
      </c>
      <c r="E35" t="s">
        <v>15679</v>
      </c>
      <c r="F35" t="s">
        <v>15680</v>
      </c>
      <c r="G35" t="s">
        <v>5097</v>
      </c>
      <c r="H35" t="str">
        <f t="shared" si="0"/>
        <v>Bonnie101-121Denton</v>
      </c>
      <c r="I35" t="str">
        <f t="shared" si="1"/>
        <v>Bonnie</v>
      </c>
      <c r="J35" s="93" t="str">
        <f>IFERROR(INDEX('All Folders'!$A:$A,MATCH(H35,'All Folders'!$G:$G,0),1),"¶")</f>
        <v>¶</v>
      </c>
      <c r="K35" s="87" t="s">
        <v>2497</v>
      </c>
      <c r="L35" s="87" t="s">
        <v>22292</v>
      </c>
    </row>
    <row r="36" spans="1:12" ht="15" x14ac:dyDescent="0.25">
      <c r="A36" t="s">
        <v>20837</v>
      </c>
      <c r="B36" t="s">
        <v>15794</v>
      </c>
      <c r="C36" t="s">
        <v>15795</v>
      </c>
      <c r="D36" t="s">
        <v>3728</v>
      </c>
      <c r="E36">
        <v>1207</v>
      </c>
      <c r="F36" t="s">
        <v>15597</v>
      </c>
      <c r="G36" t="s">
        <v>2356</v>
      </c>
      <c r="H36" t="str">
        <f t="shared" si="0"/>
        <v>Westridge1207DeSoto</v>
      </c>
      <c r="I36" t="str">
        <f t="shared" si="1"/>
        <v>Westridge</v>
      </c>
      <c r="J36" s="93" t="str">
        <f>IFERROR(INDEX('All Folders'!$A:$A,MATCH(H36,'All Folders'!$G:$G,0),1),"¶")</f>
        <v>¶</v>
      </c>
      <c r="K36" s="87" t="s">
        <v>22237</v>
      </c>
      <c r="L36" s="87" t="s">
        <v>22292</v>
      </c>
    </row>
    <row r="37" spans="1:12" ht="15" x14ac:dyDescent="0.25">
      <c r="A37" t="s">
        <v>20903</v>
      </c>
      <c r="B37" t="s">
        <v>16015</v>
      </c>
      <c r="C37" t="s">
        <v>16016</v>
      </c>
      <c r="D37" t="s">
        <v>16017</v>
      </c>
      <c r="E37">
        <v>4300</v>
      </c>
      <c r="F37" t="s">
        <v>16018</v>
      </c>
      <c r="G37" t="s">
        <v>5014</v>
      </c>
      <c r="H37" t="str">
        <f t="shared" si="0"/>
        <v>Tamworth4300Fort Worth</v>
      </c>
      <c r="I37" t="str">
        <f t="shared" si="1"/>
        <v>Tamworth</v>
      </c>
      <c r="J37" s="85" t="str">
        <f>IFERROR(INDEX('All Folders'!$A:$A,MATCH(H37,'All Folders'!$G:$G,0),1),"¶")</f>
        <v>¶</v>
      </c>
      <c r="K37" s="87" t="s">
        <v>2497</v>
      </c>
      <c r="L37" s="87" t="s">
        <v>22292</v>
      </c>
    </row>
    <row r="38" spans="1:12" ht="15" x14ac:dyDescent="0.25">
      <c r="A38" t="s">
        <v>20912</v>
      </c>
      <c r="B38" t="s">
        <v>16049</v>
      </c>
      <c r="C38" t="s">
        <v>16050</v>
      </c>
      <c r="D38" t="s">
        <v>16051</v>
      </c>
      <c r="E38">
        <v>5546</v>
      </c>
      <c r="F38" t="s">
        <v>12520</v>
      </c>
      <c r="G38" t="s">
        <v>5014</v>
      </c>
      <c r="H38" t="str">
        <f t="shared" si="0"/>
        <v>Boca5546Fort Worth</v>
      </c>
      <c r="I38" t="str">
        <f t="shared" si="1"/>
        <v>Boca</v>
      </c>
      <c r="J38" s="93" t="str">
        <f>IFERROR(INDEX('All Folders'!$A:$A,MATCH(H38,'All Folders'!$G:$G,0),1),"¶")</f>
        <v>¶</v>
      </c>
      <c r="K38" s="87" t="s">
        <v>2497</v>
      </c>
      <c r="L38" s="87" t="s">
        <v>22292</v>
      </c>
    </row>
    <row r="39" spans="1:12" ht="15" x14ac:dyDescent="0.25">
      <c r="A39" t="s">
        <v>20952</v>
      </c>
      <c r="B39" t="s">
        <v>16192</v>
      </c>
      <c r="C39" t="s">
        <v>16193</v>
      </c>
      <c r="D39" t="s">
        <v>16065</v>
      </c>
      <c r="E39">
        <v>6172</v>
      </c>
      <c r="F39" t="s">
        <v>16194</v>
      </c>
      <c r="G39" t="s">
        <v>5014</v>
      </c>
      <c r="H39" t="str">
        <f t="shared" si="0"/>
        <v>Vega6172Fort Worth</v>
      </c>
      <c r="I39" t="str">
        <f t="shared" si="1"/>
        <v>Vega</v>
      </c>
      <c r="J39" s="85" t="str">
        <f>IFERROR(INDEX('All Folders'!$A:$A,MATCH(H39,'All Folders'!$G:$G,0),1),"¶")</f>
        <v>¶</v>
      </c>
      <c r="K39" s="87" t="s">
        <v>2497</v>
      </c>
      <c r="L39" s="87" t="s">
        <v>22292</v>
      </c>
    </row>
    <row r="40" spans="1:12" ht="15" x14ac:dyDescent="0.25">
      <c r="A40" t="s">
        <v>21043</v>
      </c>
      <c r="B40" t="s">
        <v>16493</v>
      </c>
      <c r="C40" t="s">
        <v>16494</v>
      </c>
      <c r="D40" t="s">
        <v>16495</v>
      </c>
      <c r="E40">
        <v>2035</v>
      </c>
      <c r="F40" t="s">
        <v>16496</v>
      </c>
      <c r="G40" t="s">
        <v>5019</v>
      </c>
      <c r="H40" t="str">
        <f t="shared" si="0"/>
        <v>Glenbrook2035Garland</v>
      </c>
      <c r="I40" t="str">
        <f t="shared" si="1"/>
        <v>Glenbrook</v>
      </c>
      <c r="J40" s="85" t="str">
        <f>IFERROR(INDEX('All Folders'!$A:$A,MATCH(H40,'All Folders'!$G:$G,0),1),"¶")</f>
        <v>¶</v>
      </c>
      <c r="K40" s="87" t="s">
        <v>2497</v>
      </c>
      <c r="L40" s="87" t="s">
        <v>22292</v>
      </c>
    </row>
    <row r="41" spans="1:12" ht="15" x14ac:dyDescent="0.25">
      <c r="A41" t="s">
        <v>21055</v>
      </c>
      <c r="B41" t="s">
        <v>16533</v>
      </c>
      <c r="C41" t="s">
        <v>16534</v>
      </c>
      <c r="D41" t="s">
        <v>16517</v>
      </c>
      <c r="E41">
        <v>1510</v>
      </c>
      <c r="F41" t="s">
        <v>16535</v>
      </c>
      <c r="G41" t="s">
        <v>5019</v>
      </c>
      <c r="H41" t="str">
        <f t="shared" si="0"/>
        <v>Kingsley1510Garland</v>
      </c>
      <c r="I41" t="str">
        <f t="shared" si="1"/>
        <v>Kingsley</v>
      </c>
      <c r="J41" s="85" t="str">
        <f>IFERROR(INDEX('All Folders'!$A:$A,MATCH(H41,'All Folders'!$G:$G,0),1),"¶")</f>
        <v>¶</v>
      </c>
      <c r="K41" s="87" t="s">
        <v>2497</v>
      </c>
      <c r="L41" s="87" t="s">
        <v>22292</v>
      </c>
    </row>
    <row r="42" spans="1:12" ht="15" x14ac:dyDescent="0.25">
      <c r="A42" t="s">
        <v>21062</v>
      </c>
      <c r="B42" t="s">
        <v>16552</v>
      </c>
      <c r="C42" t="s">
        <v>16553</v>
      </c>
      <c r="D42" t="s">
        <v>16477</v>
      </c>
      <c r="E42">
        <v>4301</v>
      </c>
      <c r="F42" t="s">
        <v>4868</v>
      </c>
      <c r="G42" t="s">
        <v>5019</v>
      </c>
      <c r="H42" t="str">
        <f t="shared" si="0"/>
        <v>Walnut4301Garland</v>
      </c>
      <c r="I42" t="str">
        <f t="shared" si="1"/>
        <v>Walnut</v>
      </c>
      <c r="J42" s="85" t="str">
        <f>IFERROR(INDEX('All Folders'!$A:$A,MATCH(H42,'All Folders'!$G:$G,0),1),"¶")</f>
        <v>¶</v>
      </c>
      <c r="K42" s="87" t="s">
        <v>2497</v>
      </c>
      <c r="L42" s="87" t="s">
        <v>22292</v>
      </c>
    </row>
    <row r="43" spans="1:12" ht="15" x14ac:dyDescent="0.25">
      <c r="A43" t="s">
        <v>21074</v>
      </c>
      <c r="B43" t="s">
        <v>16594</v>
      </c>
      <c r="C43" t="s">
        <v>16595</v>
      </c>
      <c r="D43" t="s">
        <v>16596</v>
      </c>
      <c r="E43">
        <v>2601</v>
      </c>
      <c r="F43" t="s">
        <v>16597</v>
      </c>
      <c r="G43" t="s">
        <v>5076</v>
      </c>
      <c r="H43" t="str">
        <f t="shared" si="0"/>
        <v>3602601Grand Prairie</v>
      </c>
      <c r="I43" t="str">
        <f t="shared" si="1"/>
        <v>360</v>
      </c>
      <c r="J43" s="93" t="str">
        <f>IFERROR(INDEX('All Folders'!$A:$A,MATCH(H43,'All Folders'!$G:$G,0),1),"¶")</f>
        <v>¶</v>
      </c>
      <c r="K43" s="87" t="s">
        <v>2497</v>
      </c>
      <c r="L43" s="87" t="s">
        <v>22292</v>
      </c>
    </row>
    <row r="44" spans="1:12" ht="15" x14ac:dyDescent="0.25">
      <c r="A44" t="s">
        <v>21179</v>
      </c>
      <c r="B44" t="s">
        <v>16935</v>
      </c>
      <c r="C44" t="s">
        <v>16936</v>
      </c>
      <c r="D44" t="s">
        <v>16937</v>
      </c>
      <c r="E44" t="s">
        <v>16938</v>
      </c>
      <c r="F44" t="s">
        <v>16939</v>
      </c>
      <c r="G44" t="s">
        <v>1657</v>
      </c>
      <c r="H44" t="str">
        <f t="shared" si="0"/>
        <v>Gustine8701-8801Houston</v>
      </c>
      <c r="I44" t="str">
        <f t="shared" si="1"/>
        <v>Gustine</v>
      </c>
      <c r="J44" s="93" t="str">
        <f>IFERROR(INDEX('All Folders'!$A:$A,MATCH(H44,'All Folders'!$G:$G,0),1),"¶")</f>
        <v>¶</v>
      </c>
      <c r="K44" s="87" t="s">
        <v>22232</v>
      </c>
      <c r="L44" s="87" t="s">
        <v>22292</v>
      </c>
    </row>
    <row r="45" spans="1:12" ht="15" x14ac:dyDescent="0.25">
      <c r="A45" t="s">
        <v>21301</v>
      </c>
      <c r="B45" t="s">
        <v>17328</v>
      </c>
      <c r="C45" t="s">
        <v>17329</v>
      </c>
      <c r="D45" t="s">
        <v>17330</v>
      </c>
      <c r="E45" t="s">
        <v>17331</v>
      </c>
      <c r="F45" t="s">
        <v>17332</v>
      </c>
      <c r="G45" t="s">
        <v>6612</v>
      </c>
      <c r="H45" t="str">
        <f t="shared" si="0"/>
        <v>Pecan700-706Hurst</v>
      </c>
      <c r="I45" t="str">
        <f t="shared" si="1"/>
        <v>Pecan</v>
      </c>
      <c r="J45" s="85" t="str">
        <f>IFERROR(INDEX('All Folders'!$A:$A,MATCH(H45,'All Folders'!$G:$G,0),1),"¶")</f>
        <v>¶</v>
      </c>
      <c r="K45" s="87" t="s">
        <v>2497</v>
      </c>
      <c r="L45" s="87" t="s">
        <v>22292</v>
      </c>
    </row>
    <row r="46" spans="1:12" ht="15" x14ac:dyDescent="0.25">
      <c r="A46" t="s">
        <v>21355</v>
      </c>
      <c r="B46" t="s">
        <v>17510</v>
      </c>
      <c r="C46" t="s">
        <v>17511</v>
      </c>
      <c r="D46" t="s">
        <v>17440</v>
      </c>
      <c r="E46">
        <v>1113</v>
      </c>
      <c r="F46" t="s">
        <v>16206</v>
      </c>
      <c r="G46" t="s">
        <v>5046</v>
      </c>
      <c r="H46" t="str">
        <f t="shared" si="0"/>
        <v>O'Connor1113Irving</v>
      </c>
      <c r="I46" t="str">
        <f t="shared" si="1"/>
        <v>O'Connor</v>
      </c>
      <c r="J46" s="93" t="str">
        <f>IFERROR(INDEX('All Folders'!$A:$A,MATCH(H46,'All Folders'!$G:$G,0),1),"¶")</f>
        <v>¶</v>
      </c>
      <c r="K46" s="87" t="s">
        <v>2497</v>
      </c>
      <c r="L46" s="87" t="s">
        <v>22292</v>
      </c>
    </row>
    <row r="47" spans="1:12" ht="15" x14ac:dyDescent="0.25">
      <c r="A47" t="s">
        <v>21359</v>
      </c>
      <c r="B47" t="s">
        <v>17522</v>
      </c>
      <c r="C47" t="s">
        <v>17523</v>
      </c>
      <c r="D47" t="s">
        <v>17524</v>
      </c>
      <c r="E47">
        <v>2346</v>
      </c>
      <c r="F47" t="s">
        <v>6148</v>
      </c>
      <c r="G47" t="s">
        <v>5046</v>
      </c>
      <c r="H47" t="str">
        <f t="shared" si="0"/>
        <v>MacArthur2346Irving</v>
      </c>
      <c r="I47" t="str">
        <f t="shared" si="1"/>
        <v>MacArthur</v>
      </c>
      <c r="J47" s="93" t="str">
        <f>IFERROR(INDEX('All Folders'!$A:$A,MATCH(H47,'All Folders'!$G:$G,0),1),"¶")</f>
        <v>¶</v>
      </c>
      <c r="K47" s="87" t="s">
        <v>2497</v>
      </c>
      <c r="L47" s="87" t="s">
        <v>22292</v>
      </c>
    </row>
    <row r="48" spans="1:12" ht="15" x14ac:dyDescent="0.25">
      <c r="A48" t="s">
        <v>21367</v>
      </c>
      <c r="B48" t="s">
        <v>17548</v>
      </c>
      <c r="C48" t="s">
        <v>17549</v>
      </c>
      <c r="D48" t="s">
        <v>17474</v>
      </c>
      <c r="E48">
        <v>1919</v>
      </c>
      <c r="F48" t="s">
        <v>16707</v>
      </c>
      <c r="G48" t="s">
        <v>5046</v>
      </c>
      <c r="H48" t="str">
        <f t="shared" si="0"/>
        <v>Grauwyler1919Irving</v>
      </c>
      <c r="I48" t="str">
        <f t="shared" si="1"/>
        <v>Grauwyler</v>
      </c>
      <c r="J48" s="93" t="str">
        <f>IFERROR(INDEX('All Folders'!$A:$A,MATCH(H48,'All Folders'!$G:$G,0),1),"¶")</f>
        <v>¶</v>
      </c>
      <c r="K48" s="87" t="s">
        <v>2497</v>
      </c>
      <c r="L48" s="87" t="s">
        <v>22292</v>
      </c>
    </row>
    <row r="49" spans="1:12" ht="15" x14ac:dyDescent="0.25">
      <c r="A49" t="s">
        <v>21442</v>
      </c>
      <c r="B49" t="s">
        <v>17792</v>
      </c>
      <c r="C49" t="s">
        <v>17793</v>
      </c>
      <c r="D49" t="s">
        <v>17794</v>
      </c>
      <c r="E49">
        <v>210</v>
      </c>
      <c r="F49" t="s">
        <v>6478</v>
      </c>
      <c r="G49" t="s">
        <v>5055</v>
      </c>
      <c r="H49" t="str">
        <f t="shared" si="0"/>
        <v>Southwest210Lewisville</v>
      </c>
      <c r="I49" t="str">
        <f t="shared" si="1"/>
        <v>Southwest</v>
      </c>
      <c r="J49" s="93" t="str">
        <f>IFERROR(INDEX('All Folders'!$A:$A,MATCH(H49,'All Folders'!$G:$G,0),1),"¶")</f>
        <v>¶</v>
      </c>
      <c r="K49" s="87" t="s">
        <v>2497</v>
      </c>
      <c r="L49" s="87" t="s">
        <v>22292</v>
      </c>
    </row>
    <row r="50" spans="1:12" ht="15" x14ac:dyDescent="0.25">
      <c r="A50" t="s">
        <v>21540</v>
      </c>
      <c r="B50" t="s">
        <v>18128</v>
      </c>
      <c r="C50" t="s">
        <v>18129</v>
      </c>
      <c r="D50" t="s">
        <v>18130</v>
      </c>
      <c r="E50">
        <v>4400</v>
      </c>
      <c r="F50" t="s">
        <v>18131</v>
      </c>
      <c r="G50" t="s">
        <v>12210</v>
      </c>
      <c r="H50" t="str">
        <f t="shared" si="0"/>
        <v>Holiday4400Midland</v>
      </c>
      <c r="I50" t="str">
        <f t="shared" si="1"/>
        <v>Holiday</v>
      </c>
      <c r="J50" s="85" t="str">
        <f>IFERROR(INDEX('All Folders'!$A:$A,MATCH(H50,'All Folders'!$G:$G,0),1),"¶")</f>
        <v>¶</v>
      </c>
      <c r="K50" s="87" t="s">
        <v>2497</v>
      </c>
      <c r="L50" s="87" t="s">
        <v>22292</v>
      </c>
    </row>
    <row r="51" spans="1:12" ht="15" x14ac:dyDescent="0.25">
      <c r="A51" t="s">
        <v>21568</v>
      </c>
      <c r="B51" t="s">
        <v>18221</v>
      </c>
      <c r="C51" t="s">
        <v>18222</v>
      </c>
      <c r="D51" t="s">
        <v>18223</v>
      </c>
      <c r="E51">
        <v>8337</v>
      </c>
      <c r="F51" t="s">
        <v>18224</v>
      </c>
      <c r="G51" t="s">
        <v>6541</v>
      </c>
      <c r="H51" t="str">
        <f t="shared" si="0"/>
        <v>Emerland8337North Richland Hills</v>
      </c>
      <c r="I51" t="str">
        <f t="shared" si="1"/>
        <v>Emerland</v>
      </c>
      <c r="J51" s="93" t="str">
        <f>IFERROR(INDEX('All Folders'!$A:$A,MATCH(H51,'All Folders'!$G:$G,0),1),"¶")</f>
        <v>¶</v>
      </c>
      <c r="K51" s="87" t="s">
        <v>22237</v>
      </c>
      <c r="L51" s="87" t="s">
        <v>22292</v>
      </c>
    </row>
    <row r="52" spans="1:12" ht="15" x14ac:dyDescent="0.25">
      <c r="A52" t="s">
        <v>21607</v>
      </c>
      <c r="B52" t="s">
        <v>18354</v>
      </c>
      <c r="C52" t="s">
        <v>18355</v>
      </c>
      <c r="D52" t="s">
        <v>13967</v>
      </c>
      <c r="E52">
        <v>1400</v>
      </c>
      <c r="F52" t="s">
        <v>18356</v>
      </c>
      <c r="G52" t="s">
        <v>5009</v>
      </c>
      <c r="H52" t="str">
        <f t="shared" si="0"/>
        <v>Avenue1400Plano</v>
      </c>
      <c r="I52" t="str">
        <f t="shared" si="1"/>
        <v>Avenue</v>
      </c>
      <c r="J52" s="93" t="str">
        <f>IFERROR(INDEX('All Folders'!$A:$A,MATCH(H52,'All Folders'!$G:$G,0),1),"¶")</f>
        <v>¶</v>
      </c>
      <c r="K52" s="87" t="s">
        <v>2497</v>
      </c>
      <c r="L52" s="87" t="s">
        <v>22292</v>
      </c>
    </row>
    <row r="53" spans="1:12" ht="15" x14ac:dyDescent="0.25">
      <c r="A53" t="s">
        <v>21885</v>
      </c>
      <c r="B53" t="s">
        <v>19297</v>
      </c>
      <c r="C53" t="s">
        <v>19298</v>
      </c>
      <c r="D53" t="s">
        <v>19253</v>
      </c>
      <c r="E53">
        <v>2865</v>
      </c>
      <c r="F53" t="s">
        <v>19299</v>
      </c>
      <c r="G53" t="s">
        <v>8395</v>
      </c>
      <c r="H53" t="str">
        <f t="shared" si="0"/>
        <v>Washington2865Stephenville</v>
      </c>
      <c r="I53" t="str">
        <f t="shared" si="1"/>
        <v>Washington</v>
      </c>
      <c r="J53" s="93" t="str">
        <f>IFERROR(INDEX('All Folders'!$A:$A,MATCH(H53,'All Folders'!$G:$G,0),1),"¶")</f>
        <v>¶</v>
      </c>
      <c r="K53" s="87" t="s">
        <v>22239</v>
      </c>
      <c r="L53" s="87" t="s">
        <v>22292</v>
      </c>
    </row>
    <row r="54" spans="1:12" ht="15" x14ac:dyDescent="0.25">
      <c r="A54" t="s">
        <v>20487</v>
      </c>
      <c r="B54" t="s">
        <v>14694</v>
      </c>
      <c r="C54" t="s">
        <v>14695</v>
      </c>
      <c r="D54" t="s">
        <v>14696</v>
      </c>
      <c r="E54">
        <v>1342</v>
      </c>
      <c r="F54" t="s">
        <v>14697</v>
      </c>
      <c r="G54" t="s">
        <v>4996</v>
      </c>
      <c r="H54" t="str">
        <f t="shared" si="0"/>
        <v>Winding1342Dallas</v>
      </c>
      <c r="I54" t="str">
        <f t="shared" si="1"/>
        <v>Winding</v>
      </c>
      <c r="J54" s="88">
        <v>13208</v>
      </c>
      <c r="K54" s="87" t="s">
        <v>22235</v>
      </c>
      <c r="L54" s="87"/>
    </row>
    <row r="55" spans="1:12" ht="15" x14ac:dyDescent="0.25">
      <c r="A55" t="s">
        <v>20595</v>
      </c>
      <c r="B55" t="s">
        <v>15047</v>
      </c>
      <c r="C55" t="s">
        <v>15048</v>
      </c>
      <c r="D55" t="s">
        <v>7617</v>
      </c>
      <c r="E55">
        <v>2201</v>
      </c>
      <c r="F55" t="s">
        <v>15049</v>
      </c>
      <c r="G55" t="s">
        <v>4996</v>
      </c>
      <c r="H55" t="str">
        <f t="shared" si="0"/>
        <v>Empire2201Dallas</v>
      </c>
      <c r="I55" t="str">
        <f t="shared" si="1"/>
        <v>Empire</v>
      </c>
      <c r="J55" s="97">
        <v>15222</v>
      </c>
      <c r="K55" s="87" t="s">
        <v>22235</v>
      </c>
      <c r="L55" s="87"/>
    </row>
    <row r="56" spans="1:12" ht="15" x14ac:dyDescent="0.25">
      <c r="A56" t="s">
        <v>20706</v>
      </c>
      <c r="B56" t="s">
        <v>15384</v>
      </c>
      <c r="C56" t="s">
        <v>15385</v>
      </c>
      <c r="D56" t="s">
        <v>14427</v>
      </c>
      <c r="E56">
        <v>716</v>
      </c>
      <c r="F56" t="s">
        <v>15386</v>
      </c>
      <c r="G56" t="s">
        <v>4996</v>
      </c>
      <c r="H56" t="str">
        <f t="shared" si="0"/>
        <v>Plymouth716Dallas</v>
      </c>
      <c r="I56" t="str">
        <f t="shared" si="1"/>
        <v>Plymouth</v>
      </c>
      <c r="J56" s="1">
        <v>15313</v>
      </c>
      <c r="K56" s="87" t="s">
        <v>22235</v>
      </c>
      <c r="L56" s="87"/>
    </row>
    <row r="57" spans="1:12" ht="15" x14ac:dyDescent="0.25">
      <c r="A57" t="s">
        <v>20886</v>
      </c>
      <c r="B57" t="s">
        <v>15958</v>
      </c>
      <c r="C57" t="s">
        <v>15959</v>
      </c>
      <c r="D57" t="s">
        <v>15960</v>
      </c>
      <c r="E57">
        <v>309</v>
      </c>
      <c r="F57" t="s">
        <v>7893</v>
      </c>
      <c r="G57" t="s">
        <v>5781</v>
      </c>
      <c r="H57" t="str">
        <f t="shared" si="0"/>
        <v>Martha309Euless</v>
      </c>
      <c r="I57" t="str">
        <f t="shared" si="1"/>
        <v>Martha</v>
      </c>
      <c r="J57" s="96">
        <v>15464</v>
      </c>
      <c r="K57" s="87" t="s">
        <v>22235</v>
      </c>
      <c r="L57" s="87"/>
    </row>
    <row r="58" spans="1:12" ht="15" x14ac:dyDescent="0.25">
      <c r="A58" t="s">
        <v>20923</v>
      </c>
      <c r="B58" t="s">
        <v>16085</v>
      </c>
      <c r="C58" t="s">
        <v>16086</v>
      </c>
      <c r="D58" t="s">
        <v>16087</v>
      </c>
      <c r="E58">
        <v>6324</v>
      </c>
      <c r="F58" t="s">
        <v>16088</v>
      </c>
      <c r="G58" t="s">
        <v>5014</v>
      </c>
      <c r="H58" t="str">
        <f t="shared" si="0"/>
        <v>Baker6324Fort Worth</v>
      </c>
      <c r="I58" t="str">
        <f t="shared" si="1"/>
        <v>Baker</v>
      </c>
      <c r="J58" s="96">
        <v>15358</v>
      </c>
      <c r="K58" s="87" t="s">
        <v>22235</v>
      </c>
      <c r="L58" s="87"/>
    </row>
    <row r="59" spans="1:12" ht="15" x14ac:dyDescent="0.25">
      <c r="A59" t="s">
        <v>20963</v>
      </c>
      <c r="B59" t="s">
        <v>16226</v>
      </c>
      <c r="C59" t="s">
        <v>16227</v>
      </c>
      <c r="D59" t="s">
        <v>16228</v>
      </c>
      <c r="E59">
        <v>2500</v>
      </c>
      <c r="F59" t="s">
        <v>16229</v>
      </c>
      <c r="G59" t="s">
        <v>5014</v>
      </c>
      <c r="H59" t="str">
        <f t="shared" si="0"/>
        <v>Ridgmar2500Fort Worth</v>
      </c>
      <c r="I59" t="str">
        <f t="shared" si="1"/>
        <v>Ridgmar</v>
      </c>
      <c r="J59" s="88">
        <v>15053</v>
      </c>
      <c r="K59" s="87" t="s">
        <v>22235</v>
      </c>
      <c r="L59" s="87"/>
    </row>
    <row r="60" spans="1:12" ht="15" x14ac:dyDescent="0.25">
      <c r="A60" t="s">
        <v>21057</v>
      </c>
      <c r="B60" t="s">
        <v>16538</v>
      </c>
      <c r="C60" t="s">
        <v>16539</v>
      </c>
      <c r="D60" t="s">
        <v>16540</v>
      </c>
      <c r="E60">
        <v>1899</v>
      </c>
      <c r="F60" t="s">
        <v>1259</v>
      </c>
      <c r="G60" t="s">
        <v>5019</v>
      </c>
      <c r="H60" t="str">
        <f t="shared" si="0"/>
        <v>Glenbrook1899Garland</v>
      </c>
      <c r="I60" t="str">
        <f t="shared" si="1"/>
        <v>Glenbrook</v>
      </c>
      <c r="J60" s="96">
        <v>14793</v>
      </c>
      <c r="K60" s="87" t="s">
        <v>22235</v>
      </c>
      <c r="L60" s="87"/>
    </row>
    <row r="61" spans="1:12" ht="15" x14ac:dyDescent="0.25">
      <c r="A61" t="s">
        <v>21075</v>
      </c>
      <c r="B61" t="s">
        <v>16598</v>
      </c>
      <c r="C61" t="s">
        <v>16599</v>
      </c>
      <c r="D61" t="s">
        <v>16600</v>
      </c>
      <c r="E61">
        <v>701</v>
      </c>
      <c r="F61" t="s">
        <v>16601</v>
      </c>
      <c r="G61" t="s">
        <v>5076</v>
      </c>
      <c r="H61" t="str">
        <f t="shared" si="0"/>
        <v>Great701Grand Prairie</v>
      </c>
      <c r="I61" t="str">
        <f t="shared" si="1"/>
        <v>Great</v>
      </c>
      <c r="J61" s="96">
        <v>15463</v>
      </c>
      <c r="K61" s="87" t="s">
        <v>22235</v>
      </c>
      <c r="L61" s="87"/>
    </row>
    <row r="62" spans="1:12" ht="15" x14ac:dyDescent="0.25">
      <c r="A62" t="s">
        <v>21077</v>
      </c>
      <c r="B62" t="s">
        <v>16605</v>
      </c>
      <c r="C62" t="s">
        <v>16606</v>
      </c>
      <c r="D62" t="s">
        <v>16607</v>
      </c>
      <c r="E62">
        <v>1301</v>
      </c>
      <c r="F62" t="s">
        <v>16608</v>
      </c>
      <c r="G62" t="s">
        <v>5076</v>
      </c>
      <c r="H62" t="str">
        <f t="shared" si="0"/>
        <v>Marshall1301Grand Prairie</v>
      </c>
      <c r="I62" t="str">
        <f t="shared" si="1"/>
        <v>Marshall</v>
      </c>
      <c r="J62" s="97">
        <v>18050</v>
      </c>
      <c r="K62" s="87" t="s">
        <v>22235</v>
      </c>
      <c r="L62" s="87"/>
    </row>
    <row r="63" spans="1:12" ht="15" x14ac:dyDescent="0.25">
      <c r="A63" t="s">
        <v>21187</v>
      </c>
      <c r="B63" t="s">
        <v>16963</v>
      </c>
      <c r="C63" t="s">
        <v>16964</v>
      </c>
      <c r="D63" t="s">
        <v>16965</v>
      </c>
      <c r="E63">
        <v>423</v>
      </c>
      <c r="F63" t="s">
        <v>16966</v>
      </c>
      <c r="G63" t="s">
        <v>1657</v>
      </c>
      <c r="H63" t="str">
        <f t="shared" si="0"/>
        <v>Hollyvale423Houston</v>
      </c>
      <c r="I63" t="str">
        <f t="shared" si="1"/>
        <v>Hollyvale</v>
      </c>
      <c r="J63" s="96">
        <v>1626</v>
      </c>
      <c r="K63" s="87" t="s">
        <v>22235</v>
      </c>
      <c r="L63" s="87"/>
    </row>
    <row r="64" spans="1:12" ht="15" x14ac:dyDescent="0.25">
      <c r="A64" t="s">
        <v>21313</v>
      </c>
      <c r="B64" t="s">
        <v>17372</v>
      </c>
      <c r="C64" t="s">
        <v>17373</v>
      </c>
      <c r="D64" t="s">
        <v>17374</v>
      </c>
      <c r="E64">
        <v>821</v>
      </c>
      <c r="F64" t="s">
        <v>17375</v>
      </c>
      <c r="G64" t="s">
        <v>5046</v>
      </c>
      <c r="H64" t="str">
        <f t="shared" si="0"/>
        <v>Nursery821Irving</v>
      </c>
      <c r="I64" t="str">
        <f t="shared" si="1"/>
        <v>Nursery</v>
      </c>
      <c r="J64" s="96">
        <v>14899</v>
      </c>
      <c r="K64" s="87" t="s">
        <v>22235</v>
      </c>
      <c r="L64" s="87"/>
    </row>
    <row r="65" spans="1:12" ht="15" x14ac:dyDescent="0.25">
      <c r="A65" t="s">
        <v>21330</v>
      </c>
      <c r="B65" t="s">
        <v>17429</v>
      </c>
      <c r="C65" t="s">
        <v>17430</v>
      </c>
      <c r="D65" t="s">
        <v>17431</v>
      </c>
      <c r="E65">
        <v>2121</v>
      </c>
      <c r="F65" t="s">
        <v>5662</v>
      </c>
      <c r="G65" t="s">
        <v>5046</v>
      </c>
      <c r="H65" t="str">
        <f t="shared" si="0"/>
        <v>Irving2121Irving</v>
      </c>
      <c r="I65" t="str">
        <f t="shared" si="1"/>
        <v>Irving</v>
      </c>
      <c r="J65" s="88">
        <v>15233</v>
      </c>
      <c r="K65" s="87" t="s">
        <v>22235</v>
      </c>
      <c r="L65" s="87"/>
    </row>
    <row r="66" spans="1:12" ht="15" x14ac:dyDescent="0.25">
      <c r="A66" t="s">
        <v>21564</v>
      </c>
      <c r="B66" t="s">
        <v>18209</v>
      </c>
      <c r="C66" t="s">
        <v>18210</v>
      </c>
      <c r="D66" t="s">
        <v>18211</v>
      </c>
      <c r="E66">
        <v>7800</v>
      </c>
      <c r="F66" t="s">
        <v>7817</v>
      </c>
      <c r="G66" t="s">
        <v>6541</v>
      </c>
      <c r="H66" t="str">
        <f t="shared" ref="H66:H129" si="2">I66&amp;E66&amp;G66</f>
        <v>Irish7800North Richland Hills</v>
      </c>
      <c r="I66" t="str">
        <f t="shared" ref="I66:I129" si="3">IFERROR(LEFT(D66,FIND(" ",D66)-1),D66)</f>
        <v>Irish</v>
      </c>
      <c r="J66" s="88">
        <v>15402</v>
      </c>
      <c r="K66" s="87" t="s">
        <v>22235</v>
      </c>
      <c r="L66" s="87"/>
    </row>
    <row r="67" spans="1:12" ht="15" x14ac:dyDescent="0.25">
      <c r="A67" t="s">
        <v>21670</v>
      </c>
      <c r="B67" t="s">
        <v>18575</v>
      </c>
      <c r="C67" t="s">
        <v>18576</v>
      </c>
      <c r="D67" t="s">
        <v>18577</v>
      </c>
      <c r="E67">
        <v>8299</v>
      </c>
      <c r="F67" t="s">
        <v>18578</v>
      </c>
      <c r="G67" t="s">
        <v>6617</v>
      </c>
      <c r="H67" t="str">
        <f t="shared" si="2"/>
        <v>Small8299Roanoke</v>
      </c>
      <c r="I67" t="str">
        <f t="shared" si="3"/>
        <v>Small</v>
      </c>
      <c r="J67" s="97">
        <v>14371</v>
      </c>
      <c r="K67" s="87" t="s">
        <v>22235</v>
      </c>
      <c r="L67" s="87"/>
    </row>
    <row r="68" spans="1:12" ht="15" x14ac:dyDescent="0.25">
      <c r="A68" t="s">
        <v>21724</v>
      </c>
      <c r="B68" t="s">
        <v>18756</v>
      </c>
      <c r="C68" t="s">
        <v>18757</v>
      </c>
      <c r="D68" t="s">
        <v>18758</v>
      </c>
      <c r="E68" t="s">
        <v>18759</v>
      </c>
      <c r="F68" t="s">
        <v>18760</v>
      </c>
      <c r="G68" t="s">
        <v>842</v>
      </c>
      <c r="H68" t="str">
        <f t="shared" si="2"/>
        <v>Deerwood220-227San Antonio</v>
      </c>
      <c r="I68" t="str">
        <f t="shared" si="3"/>
        <v>Deerwood</v>
      </c>
      <c r="J68" s="88">
        <v>777</v>
      </c>
      <c r="K68" s="87" t="s">
        <v>22235</v>
      </c>
      <c r="L68" s="87"/>
    </row>
    <row r="69" spans="1:12" ht="15" x14ac:dyDescent="0.25">
      <c r="A69" t="s">
        <v>21805</v>
      </c>
      <c r="B69" t="s">
        <v>19035</v>
      </c>
      <c r="C69" t="s">
        <v>19036</v>
      </c>
      <c r="D69" t="s">
        <v>19037</v>
      </c>
      <c r="E69">
        <v>201</v>
      </c>
      <c r="F69" t="s">
        <v>4767</v>
      </c>
      <c r="G69" t="s">
        <v>842</v>
      </c>
      <c r="H69" t="str">
        <f t="shared" si="2"/>
        <v>Tanglebriar201San Antonio</v>
      </c>
      <c r="I69" t="str">
        <f t="shared" si="3"/>
        <v>Tanglebriar</v>
      </c>
      <c r="J69" s="88">
        <v>1048</v>
      </c>
      <c r="K69" s="87" t="s">
        <v>22235</v>
      </c>
      <c r="L69" s="87"/>
    </row>
    <row r="70" spans="1:12" ht="15" x14ac:dyDescent="0.25">
      <c r="A70" t="s">
        <v>21930</v>
      </c>
      <c r="B70" t="s">
        <v>19453</v>
      </c>
      <c r="C70" t="s">
        <v>19454</v>
      </c>
      <c r="D70" t="s">
        <v>19455</v>
      </c>
      <c r="E70">
        <v>3409</v>
      </c>
      <c r="F70" t="s">
        <v>407</v>
      </c>
      <c r="G70" t="s">
        <v>4569</v>
      </c>
      <c r="H70" t="str">
        <f t="shared" si="2"/>
        <v>9th3409Texas City</v>
      </c>
      <c r="I70" t="str">
        <f t="shared" si="3"/>
        <v>9th</v>
      </c>
      <c r="J70" s="88">
        <v>4280</v>
      </c>
      <c r="K70" s="87" t="s">
        <v>22235</v>
      </c>
      <c r="L70" s="87"/>
    </row>
    <row r="71" spans="1:12" ht="15" x14ac:dyDescent="0.25">
      <c r="A71" t="s">
        <v>21932</v>
      </c>
      <c r="B71" t="s">
        <v>19459</v>
      </c>
      <c r="C71" t="s">
        <v>19460</v>
      </c>
      <c r="D71" t="s">
        <v>16450</v>
      </c>
      <c r="E71">
        <v>7301</v>
      </c>
      <c r="F71" t="s">
        <v>4192</v>
      </c>
      <c r="G71" t="s">
        <v>4569</v>
      </c>
      <c r="H71" t="str">
        <f t="shared" si="2"/>
        <v>Stewart7301Texas City</v>
      </c>
      <c r="I71" t="str">
        <f t="shared" si="3"/>
        <v>Stewart</v>
      </c>
      <c r="J71" s="1">
        <v>4342</v>
      </c>
      <c r="K71" s="87" t="s">
        <v>22235</v>
      </c>
      <c r="L71" s="87"/>
    </row>
    <row r="72" spans="1:12" ht="15" x14ac:dyDescent="0.25">
      <c r="A72" t="s">
        <v>21826</v>
      </c>
      <c r="B72" t="s">
        <v>19104</v>
      </c>
      <c r="C72" t="s">
        <v>19105</v>
      </c>
      <c r="D72" t="s">
        <v>840</v>
      </c>
      <c r="E72">
        <v>107</v>
      </c>
      <c r="F72" t="s">
        <v>19106</v>
      </c>
      <c r="G72" t="s">
        <v>842</v>
      </c>
      <c r="H72" t="str">
        <f t="shared" si="2"/>
        <v>Jackson107San Antonio</v>
      </c>
      <c r="I72" t="str">
        <f t="shared" si="3"/>
        <v>Jackson</v>
      </c>
      <c r="J72" s="1">
        <v>862</v>
      </c>
      <c r="K72" s="87" t="s">
        <v>22235</v>
      </c>
      <c r="L72" s="87"/>
    </row>
    <row r="73" spans="1:12" ht="15" x14ac:dyDescent="0.25">
      <c r="A73" t="s">
        <v>20042</v>
      </c>
      <c r="B73" t="s">
        <v>13178</v>
      </c>
      <c r="C73" t="s">
        <v>13179</v>
      </c>
      <c r="D73" t="s">
        <v>13180</v>
      </c>
      <c r="E73">
        <v>2713</v>
      </c>
      <c r="F73" t="s">
        <v>13181</v>
      </c>
      <c r="G73" t="s">
        <v>6555</v>
      </c>
      <c r="H73" t="str">
        <f t="shared" si="2"/>
        <v>Collins2713Arlington</v>
      </c>
      <c r="I73" t="str">
        <f t="shared" si="3"/>
        <v>Collins</v>
      </c>
      <c r="J73" s="98">
        <v>15695</v>
      </c>
      <c r="K73" s="87" t="s">
        <v>22235</v>
      </c>
      <c r="L73" s="87"/>
    </row>
    <row r="74" spans="1:12" ht="15" x14ac:dyDescent="0.25">
      <c r="A74" t="s">
        <v>20043</v>
      </c>
      <c r="B74" t="s">
        <v>13182</v>
      </c>
      <c r="C74" t="s">
        <v>13183</v>
      </c>
      <c r="D74" t="s">
        <v>13184</v>
      </c>
      <c r="E74">
        <v>800</v>
      </c>
      <c r="F74" t="s">
        <v>13185</v>
      </c>
      <c r="G74" t="s">
        <v>6555</v>
      </c>
      <c r="H74" t="str">
        <f t="shared" si="2"/>
        <v>Tharp800Arlington</v>
      </c>
      <c r="I74" t="str">
        <f t="shared" si="3"/>
        <v>Tharp</v>
      </c>
      <c r="J74" s="99">
        <v>15489</v>
      </c>
      <c r="K74" s="87" t="s">
        <v>22235</v>
      </c>
      <c r="L74" s="87"/>
    </row>
    <row r="75" spans="1:12" ht="15" x14ac:dyDescent="0.25">
      <c r="A75" t="s">
        <v>20050</v>
      </c>
      <c r="B75" t="s">
        <v>13207</v>
      </c>
      <c r="C75" t="s">
        <v>13208</v>
      </c>
      <c r="D75" t="s">
        <v>13209</v>
      </c>
      <c r="E75">
        <v>1519</v>
      </c>
      <c r="F75" t="s">
        <v>13210</v>
      </c>
      <c r="G75" t="s">
        <v>6555</v>
      </c>
      <c r="H75" t="str">
        <f t="shared" si="2"/>
        <v>San1519Arlington</v>
      </c>
      <c r="I75" t="str">
        <f t="shared" si="3"/>
        <v>San</v>
      </c>
      <c r="J75" s="94">
        <v>15372</v>
      </c>
      <c r="K75" s="87" t="s">
        <v>22235</v>
      </c>
      <c r="L75" s="87"/>
    </row>
    <row r="76" spans="1:12" ht="15" x14ac:dyDescent="0.25">
      <c r="A76" t="s">
        <v>20062</v>
      </c>
      <c r="B76" t="s">
        <v>13248</v>
      </c>
      <c r="C76" t="s">
        <v>13249</v>
      </c>
      <c r="D76" t="s">
        <v>13250</v>
      </c>
      <c r="E76">
        <v>2107</v>
      </c>
      <c r="F76" t="s">
        <v>13251</v>
      </c>
      <c r="G76" t="s">
        <v>6555</v>
      </c>
      <c r="H76" t="str">
        <f t="shared" si="2"/>
        <v>Lincoln2107Arlington</v>
      </c>
      <c r="I76" t="str">
        <f t="shared" si="3"/>
        <v>Lincoln</v>
      </c>
      <c r="J76" s="94">
        <v>15718</v>
      </c>
      <c r="K76" s="87" t="s">
        <v>22235</v>
      </c>
      <c r="L76" s="87"/>
    </row>
    <row r="77" spans="1:12" ht="15" x14ac:dyDescent="0.25">
      <c r="A77" t="s">
        <v>20108</v>
      </c>
      <c r="B77" t="s">
        <v>13398</v>
      </c>
      <c r="C77" t="s">
        <v>13399</v>
      </c>
      <c r="D77" t="s">
        <v>13234</v>
      </c>
      <c r="E77">
        <v>505</v>
      </c>
      <c r="F77" t="s">
        <v>8037</v>
      </c>
      <c r="G77" t="s">
        <v>6555</v>
      </c>
      <c r="H77" t="str">
        <f t="shared" si="2"/>
        <v>Lamar505Arlington</v>
      </c>
      <c r="I77" t="str">
        <f t="shared" si="3"/>
        <v>Lamar</v>
      </c>
      <c r="J77" s="86">
        <v>15576</v>
      </c>
      <c r="K77" s="87" t="s">
        <v>22235</v>
      </c>
      <c r="L77" s="87"/>
    </row>
    <row r="78" spans="1:12" ht="15" x14ac:dyDescent="0.25">
      <c r="A78" t="s">
        <v>20116</v>
      </c>
      <c r="B78" t="s">
        <v>13422</v>
      </c>
      <c r="C78" t="s">
        <v>13423</v>
      </c>
      <c r="D78" t="s">
        <v>13424</v>
      </c>
      <c r="E78">
        <v>4022</v>
      </c>
      <c r="F78" t="s">
        <v>13425</v>
      </c>
      <c r="G78" t="s">
        <v>6555</v>
      </c>
      <c r="H78" t="str">
        <f t="shared" si="2"/>
        <v>Woodland4022Arlington</v>
      </c>
      <c r="I78" t="str">
        <f t="shared" si="3"/>
        <v>Woodland</v>
      </c>
      <c r="J78" s="94">
        <v>15675</v>
      </c>
      <c r="K78" s="87" t="s">
        <v>22235</v>
      </c>
      <c r="L78" s="87"/>
    </row>
    <row r="79" spans="1:12" ht="15" x14ac:dyDescent="0.25">
      <c r="A79" t="s">
        <v>20185</v>
      </c>
      <c r="B79" t="s">
        <v>13659</v>
      </c>
      <c r="C79" t="s">
        <v>13660</v>
      </c>
      <c r="D79" t="s">
        <v>13661</v>
      </c>
      <c r="E79">
        <v>8800</v>
      </c>
      <c r="F79" t="s">
        <v>13662</v>
      </c>
      <c r="G79" t="s">
        <v>7</v>
      </c>
      <c r="H79" t="str">
        <f t="shared" si="2"/>
        <v>La8800Austin</v>
      </c>
      <c r="I79" t="str">
        <f t="shared" si="3"/>
        <v>La</v>
      </c>
      <c r="J79" s="94">
        <v>518</v>
      </c>
      <c r="K79" s="87" t="s">
        <v>22235</v>
      </c>
      <c r="L79" s="87"/>
    </row>
    <row r="80" spans="1:12" ht="15" x14ac:dyDescent="0.25">
      <c r="A80" t="s">
        <v>20195</v>
      </c>
      <c r="B80" t="s">
        <v>13686</v>
      </c>
      <c r="C80" t="s">
        <v>13687</v>
      </c>
      <c r="D80" t="s">
        <v>13688</v>
      </c>
      <c r="E80">
        <v>1305</v>
      </c>
      <c r="F80" t="s">
        <v>13689</v>
      </c>
      <c r="G80" t="s">
        <v>7</v>
      </c>
      <c r="H80" t="str">
        <f t="shared" si="2"/>
        <v>Summer1305Austin</v>
      </c>
      <c r="I80" t="str">
        <f t="shared" si="3"/>
        <v>Summer</v>
      </c>
      <c r="J80" s="98">
        <v>346</v>
      </c>
      <c r="K80" s="87" t="s">
        <v>22235</v>
      </c>
      <c r="L80" s="87"/>
    </row>
    <row r="81" spans="1:12" ht="15" x14ac:dyDescent="0.25">
      <c r="A81" t="s">
        <v>20249</v>
      </c>
      <c r="B81" t="s">
        <v>13871</v>
      </c>
      <c r="C81" t="s">
        <v>13872</v>
      </c>
      <c r="D81" t="s">
        <v>13525</v>
      </c>
      <c r="E81">
        <v>919</v>
      </c>
      <c r="F81" t="s">
        <v>13873</v>
      </c>
      <c r="G81" t="s">
        <v>7</v>
      </c>
      <c r="H81" t="str">
        <f t="shared" si="2"/>
        <v>Lamar919Austin</v>
      </c>
      <c r="I81" t="str">
        <f t="shared" si="3"/>
        <v>Lamar</v>
      </c>
      <c r="J81" s="99">
        <v>277</v>
      </c>
      <c r="K81" s="87" t="s">
        <v>22235</v>
      </c>
      <c r="L81" s="87"/>
    </row>
    <row r="82" spans="1:12" ht="15" x14ac:dyDescent="0.25">
      <c r="A82" t="s">
        <v>20386</v>
      </c>
      <c r="B82" t="s">
        <v>14339</v>
      </c>
      <c r="C82" t="s">
        <v>14340</v>
      </c>
      <c r="D82" t="s">
        <v>14341</v>
      </c>
      <c r="E82">
        <v>8787</v>
      </c>
      <c r="F82" t="s">
        <v>14342</v>
      </c>
      <c r="G82" t="s">
        <v>4616</v>
      </c>
      <c r="H82" t="str">
        <f t="shared" si="2"/>
        <v>Shenandoah8787Conroe</v>
      </c>
      <c r="I82" t="str">
        <f t="shared" si="3"/>
        <v>Shenandoah</v>
      </c>
      <c r="J82" s="94">
        <v>4405</v>
      </c>
      <c r="K82" s="87" t="s">
        <v>22235</v>
      </c>
      <c r="L82" s="87"/>
    </row>
    <row r="83" spans="1:12" ht="15" x14ac:dyDescent="0.25">
      <c r="A83" t="s">
        <v>20450</v>
      </c>
      <c r="B83" t="s">
        <v>14574</v>
      </c>
      <c r="C83" t="s">
        <v>14575</v>
      </c>
      <c r="D83" t="s">
        <v>14572</v>
      </c>
      <c r="E83">
        <v>3305</v>
      </c>
      <c r="F83" t="s">
        <v>14573</v>
      </c>
      <c r="G83" t="s">
        <v>4996</v>
      </c>
      <c r="H83" t="str">
        <f t="shared" si="2"/>
        <v>Linda3305Dallas</v>
      </c>
      <c r="I83" t="str">
        <f t="shared" si="3"/>
        <v>Linda</v>
      </c>
      <c r="J83" s="94">
        <v>14820</v>
      </c>
      <c r="K83" s="87" t="s">
        <v>22235</v>
      </c>
      <c r="L83" s="87"/>
    </row>
    <row r="84" spans="1:12" ht="15" x14ac:dyDescent="0.25">
      <c r="A84" t="s">
        <v>20465</v>
      </c>
      <c r="B84" t="s">
        <v>14627</v>
      </c>
      <c r="C84" t="s">
        <v>14628</v>
      </c>
      <c r="D84" t="s">
        <v>14541</v>
      </c>
      <c r="E84">
        <v>7351</v>
      </c>
      <c r="F84" t="s">
        <v>7344</v>
      </c>
      <c r="G84" t="s">
        <v>4996</v>
      </c>
      <c r="H84" t="str">
        <f t="shared" si="2"/>
        <v>Chaucer7351Dallas</v>
      </c>
      <c r="I84" t="str">
        <f t="shared" si="3"/>
        <v>Chaucer</v>
      </c>
      <c r="J84" s="97">
        <v>14945</v>
      </c>
      <c r="K84" s="87" t="s">
        <v>22235</v>
      </c>
      <c r="L84" s="87"/>
    </row>
    <row r="85" spans="1:12" ht="15" x14ac:dyDescent="0.25">
      <c r="A85" t="s">
        <v>19992</v>
      </c>
      <c r="B85" t="s">
        <v>13008</v>
      </c>
      <c r="C85" t="s">
        <v>13009</v>
      </c>
      <c r="D85" t="s">
        <v>13010</v>
      </c>
      <c r="E85">
        <v>2082</v>
      </c>
      <c r="F85" t="s">
        <v>13011</v>
      </c>
      <c r="G85" t="s">
        <v>11760</v>
      </c>
      <c r="H85" t="str">
        <f t="shared" si="2"/>
        <v>2nd2082Abilene</v>
      </c>
      <c r="I85" t="str">
        <f t="shared" si="3"/>
        <v>2nd</v>
      </c>
      <c r="J85" s="93" t="str">
        <f>IFERROR(INDEX('All Folders'!$A:$A,MATCH(H85,'All Folders'!$G:$G,0),1),"¶")</f>
        <v>¶</v>
      </c>
      <c r="K85" s="87" t="s">
        <v>22232</v>
      </c>
      <c r="L85" s="87" t="s">
        <v>22292</v>
      </c>
    </row>
    <row r="86" spans="1:12" ht="15" x14ac:dyDescent="0.25">
      <c r="A86" t="s">
        <v>20135</v>
      </c>
      <c r="B86" t="s">
        <v>13493</v>
      </c>
      <c r="C86" t="s">
        <v>13494</v>
      </c>
      <c r="D86" t="s">
        <v>13495</v>
      </c>
      <c r="E86">
        <v>2504</v>
      </c>
      <c r="F86" t="s">
        <v>13496</v>
      </c>
      <c r="G86" t="s">
        <v>7</v>
      </c>
      <c r="H86" t="str">
        <f t="shared" si="2"/>
        <v>Manor2504Austin</v>
      </c>
      <c r="I86" t="str">
        <f t="shared" si="3"/>
        <v>Manor</v>
      </c>
      <c r="J86" s="85" t="str">
        <f>IFERROR(INDEX('All Folders'!$A:$A,MATCH(H86,'All Folders'!$G:$G,0),1),"¶")</f>
        <v>¶</v>
      </c>
      <c r="K86" s="87" t="s">
        <v>22232</v>
      </c>
      <c r="L86" s="87" t="s">
        <v>22292</v>
      </c>
    </row>
    <row r="87" spans="1:12" ht="15" x14ac:dyDescent="0.25">
      <c r="A87" t="s">
        <v>20160</v>
      </c>
      <c r="B87" t="s">
        <v>13580</v>
      </c>
      <c r="C87" t="s">
        <v>13581</v>
      </c>
      <c r="D87" t="s">
        <v>13582</v>
      </c>
      <c r="E87">
        <v>1714</v>
      </c>
      <c r="F87" t="s">
        <v>13583</v>
      </c>
      <c r="G87" t="s">
        <v>7</v>
      </c>
      <c r="H87" t="str">
        <f t="shared" si="2"/>
        <v>Patton1714Austin</v>
      </c>
      <c r="I87" t="str">
        <f t="shared" si="3"/>
        <v>Patton</v>
      </c>
      <c r="J87" s="93" t="str">
        <f>IFERROR(INDEX('All Folders'!$A:$A,MATCH(H87,'All Folders'!$G:$G,0),1),"¶")</f>
        <v>¶</v>
      </c>
      <c r="K87" s="87" t="s">
        <v>22232</v>
      </c>
      <c r="L87" s="87" t="s">
        <v>22292</v>
      </c>
    </row>
    <row r="88" spans="1:12" ht="15" x14ac:dyDescent="0.25">
      <c r="A88" t="s">
        <v>20218</v>
      </c>
      <c r="B88" t="s">
        <v>13764</v>
      </c>
      <c r="C88" t="s">
        <v>13765</v>
      </c>
      <c r="D88" t="s">
        <v>13766</v>
      </c>
      <c r="E88" t="s">
        <v>13767</v>
      </c>
      <c r="F88" t="s">
        <v>13768</v>
      </c>
      <c r="G88" t="s">
        <v>7</v>
      </c>
      <c r="H88" t="str">
        <f t="shared" si="2"/>
        <v>358800-8900Austin</v>
      </c>
      <c r="I88" t="str">
        <f t="shared" si="3"/>
        <v>35</v>
      </c>
      <c r="J88" s="85" t="str">
        <f>IFERROR(INDEX('All Folders'!$A:$A,MATCH(H88,'All Folders'!$G:$G,0),1),"¶")</f>
        <v>¶</v>
      </c>
      <c r="K88" s="87" t="s">
        <v>22232</v>
      </c>
      <c r="L88" s="87" t="s">
        <v>22292</v>
      </c>
    </row>
    <row r="89" spans="1:12" ht="15" x14ac:dyDescent="0.25">
      <c r="A89" t="s">
        <v>20285</v>
      </c>
      <c r="B89" t="s">
        <v>13989</v>
      </c>
      <c r="C89" t="s">
        <v>13990</v>
      </c>
      <c r="D89" t="s">
        <v>13991</v>
      </c>
      <c r="E89">
        <v>3925</v>
      </c>
      <c r="F89" t="s">
        <v>13992</v>
      </c>
      <c r="G89" t="s">
        <v>12292</v>
      </c>
      <c r="H89" t="str">
        <f t="shared" si="2"/>
        <v>Crow3925Beaumont</v>
      </c>
      <c r="I89" t="str">
        <f t="shared" si="3"/>
        <v>Crow</v>
      </c>
      <c r="J89" s="93" t="str">
        <f>IFERROR(INDEX('All Folders'!$A:$A,MATCH(H89,'All Folders'!$G:$G,0),1),"¶")</f>
        <v>¶</v>
      </c>
      <c r="K89" s="87" t="s">
        <v>22232</v>
      </c>
      <c r="L89" s="87" t="s">
        <v>22292</v>
      </c>
    </row>
    <row r="90" spans="1:12" ht="15" x14ac:dyDescent="0.25">
      <c r="A90" t="s">
        <v>20320</v>
      </c>
      <c r="B90" t="s">
        <v>14110</v>
      </c>
      <c r="C90" t="s">
        <v>14111</v>
      </c>
      <c r="D90" t="s">
        <v>14112</v>
      </c>
      <c r="E90">
        <v>106</v>
      </c>
      <c r="F90" t="s">
        <v>14113</v>
      </c>
      <c r="G90" t="s">
        <v>8774</v>
      </c>
      <c r="H90" t="str">
        <f t="shared" si="2"/>
        <v>Hardy106Bryan</v>
      </c>
      <c r="I90" t="str">
        <f t="shared" si="3"/>
        <v>Hardy</v>
      </c>
      <c r="J90" s="93" t="str">
        <f>IFERROR(INDEX('All Folders'!$A:$A,MATCH(H90,'All Folders'!$G:$G,0),1),"¶")</f>
        <v>¶</v>
      </c>
      <c r="K90" s="87" t="s">
        <v>22232</v>
      </c>
      <c r="L90" s="87" t="s">
        <v>22292</v>
      </c>
    </row>
    <row r="91" spans="1:12" ht="15" x14ac:dyDescent="0.25">
      <c r="A91" t="s">
        <v>20369</v>
      </c>
      <c r="B91" t="s">
        <v>14280</v>
      </c>
      <c r="C91" t="s">
        <v>14281</v>
      </c>
      <c r="D91" t="s">
        <v>14282</v>
      </c>
      <c r="E91">
        <v>311</v>
      </c>
      <c r="F91" t="s">
        <v>14283</v>
      </c>
      <c r="G91" t="s">
        <v>8612</v>
      </c>
      <c r="H91" t="str">
        <f t="shared" si="2"/>
        <v>Stasney311College Station</v>
      </c>
      <c r="I91" t="str">
        <f t="shared" si="3"/>
        <v>Stasney</v>
      </c>
      <c r="J91" s="93" t="str">
        <f>IFERROR(INDEX('All Folders'!$A:$A,MATCH(H91,'All Folders'!$G:$G,0),1),"¶")</f>
        <v>¶</v>
      </c>
      <c r="K91" s="87" t="s">
        <v>22232</v>
      </c>
      <c r="L91" s="87" t="s">
        <v>22292</v>
      </c>
    </row>
    <row r="92" spans="1:12" ht="15" x14ac:dyDescent="0.25">
      <c r="A92" t="s">
        <v>20392</v>
      </c>
      <c r="B92" t="s">
        <v>14359</v>
      </c>
      <c r="C92" t="s">
        <v>14360</v>
      </c>
      <c r="D92" t="s">
        <v>14361</v>
      </c>
      <c r="E92">
        <v>2510</v>
      </c>
      <c r="F92" t="s">
        <v>14362</v>
      </c>
      <c r="G92" t="s">
        <v>11826</v>
      </c>
      <c r="H92" t="str">
        <f t="shared" si="2"/>
        <v>Broadway2510Corpus Christi</v>
      </c>
      <c r="I92" t="str">
        <f t="shared" si="3"/>
        <v>Broadway</v>
      </c>
      <c r="J92" s="93" t="str">
        <f>IFERROR(INDEX('All Folders'!$A:$A,MATCH(H92,'All Folders'!$G:$G,0),1),"¶")</f>
        <v>¶</v>
      </c>
      <c r="K92" s="87" t="s">
        <v>22232</v>
      </c>
      <c r="L92" s="87" t="s">
        <v>22292</v>
      </c>
    </row>
    <row r="93" spans="1:12" ht="15" x14ac:dyDescent="0.25">
      <c r="A93" t="s">
        <v>20396</v>
      </c>
      <c r="B93" t="s">
        <v>14374</v>
      </c>
      <c r="C93" t="s">
        <v>14375</v>
      </c>
      <c r="D93" t="s">
        <v>14376</v>
      </c>
      <c r="E93">
        <v>1802</v>
      </c>
      <c r="F93" t="s">
        <v>14377</v>
      </c>
      <c r="G93" t="s">
        <v>11826</v>
      </c>
      <c r="H93" t="str">
        <f t="shared" si="2"/>
        <v>Ennis1802Corpus Christi</v>
      </c>
      <c r="I93" t="str">
        <f t="shared" si="3"/>
        <v>Ennis</v>
      </c>
      <c r="J93" s="93" t="str">
        <f>IFERROR(INDEX('All Folders'!$A:$A,MATCH(H93,'All Folders'!$G:$G,0),1),"¶")</f>
        <v>¶</v>
      </c>
      <c r="K93" s="87" t="s">
        <v>22232</v>
      </c>
      <c r="L93" s="87" t="s">
        <v>22292</v>
      </c>
    </row>
    <row r="94" spans="1:12" ht="15" x14ac:dyDescent="0.25">
      <c r="A94" t="s">
        <v>20414</v>
      </c>
      <c r="B94" t="s">
        <v>14437</v>
      </c>
      <c r="C94" t="s">
        <v>14438</v>
      </c>
      <c r="D94" t="s">
        <v>14439</v>
      </c>
      <c r="E94">
        <v>1516</v>
      </c>
      <c r="F94" t="s">
        <v>14440</v>
      </c>
      <c r="G94" t="s">
        <v>4996</v>
      </c>
      <c r="H94" t="str">
        <f t="shared" si="2"/>
        <v>Peak1516Dallas</v>
      </c>
      <c r="I94" t="str">
        <f t="shared" si="3"/>
        <v>Peak</v>
      </c>
      <c r="J94" s="92" t="str">
        <f>IFERROR(INDEX('All Folders'!$A:$A,MATCH(H94,'All Folders'!$G:$G,0),1),"¶")</f>
        <v>¶</v>
      </c>
      <c r="K94" s="87" t="s">
        <v>22232</v>
      </c>
      <c r="L94" s="87" t="s">
        <v>22292</v>
      </c>
    </row>
    <row r="95" spans="1:12" ht="15" x14ac:dyDescent="0.25">
      <c r="A95" t="s">
        <v>20428</v>
      </c>
      <c r="B95" t="s">
        <v>14492</v>
      </c>
      <c r="C95" t="s">
        <v>14493</v>
      </c>
      <c r="D95" t="s">
        <v>14494</v>
      </c>
      <c r="E95">
        <v>2808</v>
      </c>
      <c r="F95" t="s">
        <v>14495</v>
      </c>
      <c r="G95" t="s">
        <v>4996</v>
      </c>
      <c r="H95" t="str">
        <f t="shared" si="2"/>
        <v>Gould2808Dallas</v>
      </c>
      <c r="I95" t="str">
        <f t="shared" si="3"/>
        <v>Gould</v>
      </c>
      <c r="J95" s="85" t="str">
        <f>IFERROR(INDEX('All Folders'!$A:$A,MATCH(H95,'All Folders'!$G:$G,0),1),"¶")</f>
        <v>¶</v>
      </c>
      <c r="K95" s="87" t="s">
        <v>22232</v>
      </c>
      <c r="L95" s="87" t="s">
        <v>22292</v>
      </c>
    </row>
    <row r="96" spans="1:12" ht="15" x14ac:dyDescent="0.25">
      <c r="A96" t="s">
        <v>20438</v>
      </c>
      <c r="B96" t="s">
        <v>14531</v>
      </c>
      <c r="C96" t="s">
        <v>14532</v>
      </c>
      <c r="D96" t="s">
        <v>14533</v>
      </c>
      <c r="E96">
        <v>5017</v>
      </c>
      <c r="F96" t="s">
        <v>14534</v>
      </c>
      <c r="G96" t="s">
        <v>4996</v>
      </c>
      <c r="H96" t="str">
        <f t="shared" si="2"/>
        <v>Manett5017Dallas</v>
      </c>
      <c r="I96" t="str">
        <f t="shared" si="3"/>
        <v>Manett</v>
      </c>
      <c r="J96" s="85" t="str">
        <f>IFERROR(INDEX('All Folders'!$A:$A,MATCH(H96,'All Folders'!$G:$G,0),1),"¶")</f>
        <v>¶</v>
      </c>
      <c r="K96" s="87" t="s">
        <v>22232</v>
      </c>
      <c r="L96" s="87" t="s">
        <v>22292</v>
      </c>
    </row>
    <row r="97" spans="1:12" ht="15" x14ac:dyDescent="0.25">
      <c r="A97" t="s">
        <v>20442</v>
      </c>
      <c r="B97" t="s">
        <v>14547</v>
      </c>
      <c r="C97" t="s">
        <v>14548</v>
      </c>
      <c r="D97" t="s">
        <v>14549</v>
      </c>
      <c r="E97">
        <v>1530</v>
      </c>
      <c r="F97" t="s">
        <v>14550</v>
      </c>
      <c r="G97" t="s">
        <v>4996</v>
      </c>
      <c r="H97" t="str">
        <f t="shared" si="2"/>
        <v>Sienna1530Dallas</v>
      </c>
      <c r="I97" t="str">
        <f t="shared" si="3"/>
        <v>Sienna</v>
      </c>
      <c r="J97" s="93" t="str">
        <f>IFERROR(INDEX('All Folders'!$A:$A,MATCH(H97,'All Folders'!$G:$G,0),1),"¶")</f>
        <v>¶</v>
      </c>
      <c r="K97" s="87" t="s">
        <v>22232</v>
      </c>
      <c r="L97" s="87" t="s">
        <v>22292</v>
      </c>
    </row>
    <row r="98" spans="1:12" ht="15" x14ac:dyDescent="0.25">
      <c r="A98" t="s">
        <v>20535</v>
      </c>
      <c r="B98" t="s">
        <v>14857</v>
      </c>
      <c r="C98" t="s">
        <v>14858</v>
      </c>
      <c r="D98" t="s">
        <v>14704</v>
      </c>
      <c r="E98">
        <v>4123</v>
      </c>
      <c r="F98" t="s">
        <v>14859</v>
      </c>
      <c r="G98" t="s">
        <v>4996</v>
      </c>
      <c r="H98" t="str">
        <f t="shared" si="2"/>
        <v>San4123Dallas</v>
      </c>
      <c r="I98" t="str">
        <f t="shared" si="3"/>
        <v>San</v>
      </c>
      <c r="J98" s="85" t="str">
        <f>IFERROR(INDEX('All Folders'!$A:$A,MATCH(H98,'All Folders'!$G:$G,0),1),"¶")</f>
        <v>¶</v>
      </c>
      <c r="K98" s="87" t="s">
        <v>22232</v>
      </c>
      <c r="L98" s="87" t="s">
        <v>22292</v>
      </c>
    </row>
    <row r="99" spans="1:12" ht="15" x14ac:dyDescent="0.25">
      <c r="A99" t="s">
        <v>20536</v>
      </c>
      <c r="B99" t="s">
        <v>14860</v>
      </c>
      <c r="C99" t="s">
        <v>14861</v>
      </c>
      <c r="D99" t="s">
        <v>14443</v>
      </c>
      <c r="E99">
        <v>2222</v>
      </c>
      <c r="F99" t="s">
        <v>14862</v>
      </c>
      <c r="G99" t="s">
        <v>4996</v>
      </c>
      <c r="H99" t="str">
        <f t="shared" si="2"/>
        <v>Bennett2222Dallas</v>
      </c>
      <c r="I99" t="str">
        <f t="shared" si="3"/>
        <v>Bennett</v>
      </c>
      <c r="J99" s="93" t="str">
        <f>IFERROR(INDEX('All Folders'!$A:$A,MATCH(H99,'All Folders'!$G:$G,0),1),"¶")</f>
        <v>¶</v>
      </c>
      <c r="K99" s="87" t="s">
        <v>22232</v>
      </c>
      <c r="L99" s="87" t="s">
        <v>22292</v>
      </c>
    </row>
    <row r="100" spans="1:12" ht="15" x14ac:dyDescent="0.25">
      <c r="A100" t="s">
        <v>20668</v>
      </c>
      <c r="B100" t="s">
        <v>15270</v>
      </c>
      <c r="C100" t="s">
        <v>15271</v>
      </c>
      <c r="D100" t="s">
        <v>15272</v>
      </c>
      <c r="E100">
        <v>338</v>
      </c>
      <c r="F100" t="s">
        <v>15273</v>
      </c>
      <c r="G100" t="s">
        <v>4996</v>
      </c>
      <c r="H100" t="str">
        <f t="shared" si="2"/>
        <v>Lancaster338Dallas</v>
      </c>
      <c r="I100" t="str">
        <f t="shared" si="3"/>
        <v>Lancaster</v>
      </c>
      <c r="J100" s="85" t="str">
        <f>IFERROR(INDEX('All Folders'!$A:$A,MATCH(H100,'All Folders'!$G:$G,0),1),"¶")</f>
        <v>¶</v>
      </c>
      <c r="K100" s="87" t="s">
        <v>22232</v>
      </c>
      <c r="L100" s="87" t="s">
        <v>22292</v>
      </c>
    </row>
    <row r="101" spans="1:12" ht="15" x14ac:dyDescent="0.25">
      <c r="A101" t="s">
        <v>20848</v>
      </c>
      <c r="B101" t="s">
        <v>15829</v>
      </c>
      <c r="C101" t="s">
        <v>15830</v>
      </c>
      <c r="D101" t="s">
        <v>7383</v>
      </c>
      <c r="E101">
        <v>103</v>
      </c>
      <c r="F101" t="s">
        <v>15831</v>
      </c>
      <c r="G101" t="s">
        <v>5228</v>
      </c>
      <c r="H101" t="str">
        <f t="shared" si="2"/>
        <v>Country103Duncanville</v>
      </c>
      <c r="I101" t="str">
        <f t="shared" si="3"/>
        <v>Country</v>
      </c>
      <c r="J101" s="93" t="str">
        <f>IFERROR(INDEX('All Folders'!$A:$A,MATCH(H101,'All Folders'!$G:$G,0),1),"¶")</f>
        <v>¶</v>
      </c>
      <c r="K101" s="87" t="s">
        <v>22232</v>
      </c>
      <c r="L101" s="87" t="s">
        <v>22292</v>
      </c>
    </row>
    <row r="102" spans="1:12" ht="15" x14ac:dyDescent="0.25">
      <c r="A102" t="s">
        <v>20851</v>
      </c>
      <c r="B102" t="s">
        <v>15840</v>
      </c>
      <c r="C102" t="s">
        <v>15841</v>
      </c>
      <c r="D102" t="s">
        <v>15842</v>
      </c>
      <c r="E102">
        <v>1400</v>
      </c>
      <c r="F102" t="s">
        <v>15843</v>
      </c>
      <c r="G102" t="s">
        <v>15844</v>
      </c>
      <c r="H102" t="str">
        <f t="shared" si="2"/>
        <v>Wells1400Edna</v>
      </c>
      <c r="I102" t="str">
        <f t="shared" si="3"/>
        <v>Wells</v>
      </c>
      <c r="J102" s="93" t="str">
        <f>IFERROR(INDEX('All Folders'!$A:$A,MATCH(H102,'All Folders'!$G:$G,0),1),"¶")</f>
        <v>¶</v>
      </c>
      <c r="K102" s="87" t="s">
        <v>22232</v>
      </c>
      <c r="L102" s="87" t="s">
        <v>22292</v>
      </c>
    </row>
    <row r="103" spans="1:12" ht="15" x14ac:dyDescent="0.25">
      <c r="A103" t="s">
        <v>20868</v>
      </c>
      <c r="B103" t="s">
        <v>15897</v>
      </c>
      <c r="C103" t="s">
        <v>15898</v>
      </c>
      <c r="D103" t="s">
        <v>15899</v>
      </c>
      <c r="E103">
        <v>1435</v>
      </c>
      <c r="F103" t="s">
        <v>15900</v>
      </c>
      <c r="G103" t="s">
        <v>12232</v>
      </c>
      <c r="H103" t="str">
        <f t="shared" si="2"/>
        <v>Miracle1435El Paso</v>
      </c>
      <c r="I103" t="str">
        <f t="shared" si="3"/>
        <v>Miracle</v>
      </c>
      <c r="J103" s="93" t="str">
        <f>IFERROR(INDEX('All Folders'!$A:$A,MATCH(H103,'All Folders'!$G:$G,0),1),"¶")</f>
        <v>¶</v>
      </c>
      <c r="K103" s="87" t="s">
        <v>22232</v>
      </c>
      <c r="L103" s="87" t="s">
        <v>22292</v>
      </c>
    </row>
    <row r="104" spans="1:12" ht="15" x14ac:dyDescent="0.25">
      <c r="A104" t="s">
        <v>20969</v>
      </c>
      <c r="B104" t="s">
        <v>16247</v>
      </c>
      <c r="C104" t="s">
        <v>16248</v>
      </c>
      <c r="D104" t="s">
        <v>16029</v>
      </c>
      <c r="E104" t="s">
        <v>16249</v>
      </c>
      <c r="F104" t="s">
        <v>16250</v>
      </c>
      <c r="G104" t="s">
        <v>5014</v>
      </c>
      <c r="H104" t="str">
        <f t="shared" si="2"/>
        <v>Westridge6008-6028Fort Worth</v>
      </c>
      <c r="I104" t="str">
        <f t="shared" si="3"/>
        <v>Westridge</v>
      </c>
      <c r="J104" s="93" t="str">
        <f>IFERROR(INDEX('All Folders'!$A:$A,MATCH(H104,'All Folders'!$G:$G,0),1),"¶")</f>
        <v>¶</v>
      </c>
      <c r="K104" s="87" t="s">
        <v>22232</v>
      </c>
      <c r="L104" s="87" t="s">
        <v>22292</v>
      </c>
    </row>
    <row r="105" spans="1:12" ht="15" x14ac:dyDescent="0.25">
      <c r="A105" t="s">
        <v>20983</v>
      </c>
      <c r="B105" t="s">
        <v>16294</v>
      </c>
      <c r="C105" t="s">
        <v>16295</v>
      </c>
      <c r="D105" t="s">
        <v>16296</v>
      </c>
      <c r="E105" t="s">
        <v>16297</v>
      </c>
      <c r="F105" t="s">
        <v>7320</v>
      </c>
      <c r="G105" t="s">
        <v>5014</v>
      </c>
      <c r="H105" t="str">
        <f t="shared" si="2"/>
        <v>Normandale3101 &amp; 3001Fort Worth</v>
      </c>
      <c r="I105" t="str">
        <f t="shared" si="3"/>
        <v>Normandale</v>
      </c>
      <c r="J105" s="85" t="str">
        <f>IFERROR(INDEX('All Folders'!$A:$A,MATCH(H105,'All Folders'!$G:$G,0),1),"¶")</f>
        <v>¶</v>
      </c>
      <c r="K105" s="87" t="s">
        <v>22232</v>
      </c>
      <c r="L105" s="87" t="s">
        <v>22292</v>
      </c>
    </row>
    <row r="106" spans="1:12" ht="15" x14ac:dyDescent="0.25">
      <c r="A106" t="s">
        <v>21234</v>
      </c>
      <c r="B106" t="s">
        <v>17109</v>
      </c>
      <c r="C106" t="s">
        <v>17110</v>
      </c>
      <c r="D106" t="s">
        <v>13441</v>
      </c>
      <c r="E106" t="s">
        <v>17111</v>
      </c>
      <c r="F106" t="s">
        <v>17112</v>
      </c>
      <c r="G106" t="s">
        <v>1657</v>
      </c>
      <c r="H106" t="str">
        <f t="shared" si="2"/>
        <v>Gessner1702-1711Houston</v>
      </c>
      <c r="I106" t="str">
        <f t="shared" si="3"/>
        <v>Gessner</v>
      </c>
      <c r="J106" s="93" t="str">
        <f>IFERROR(INDEX('All Folders'!$A:$A,MATCH(H106,'All Folders'!$G:$G,0),1),"¶")</f>
        <v>¶</v>
      </c>
      <c r="K106" s="87" t="s">
        <v>22232</v>
      </c>
      <c r="L106" s="87" t="s">
        <v>22292</v>
      </c>
    </row>
    <row r="107" spans="1:12" ht="15" x14ac:dyDescent="0.25">
      <c r="A107" t="s">
        <v>21455</v>
      </c>
      <c r="B107" t="s">
        <v>17836</v>
      </c>
      <c r="C107" t="s">
        <v>17837</v>
      </c>
      <c r="D107" t="s">
        <v>17838</v>
      </c>
      <c r="E107">
        <v>2108</v>
      </c>
      <c r="F107" t="s">
        <v>17839</v>
      </c>
      <c r="G107" t="s">
        <v>11902</v>
      </c>
      <c r="H107" t="str">
        <f t="shared" si="2"/>
        <v>Tryon2108Longview</v>
      </c>
      <c r="I107" t="str">
        <f t="shared" si="3"/>
        <v>Tryon</v>
      </c>
      <c r="J107" s="93" t="str">
        <f>IFERROR(INDEX('All Folders'!$A:$A,MATCH(H107,'All Folders'!$G:$G,0),1),"¶")</f>
        <v>¶</v>
      </c>
      <c r="K107" s="87" t="s">
        <v>22232</v>
      </c>
      <c r="L107" s="87" t="s">
        <v>22292</v>
      </c>
    </row>
    <row r="108" spans="1:12" ht="15" x14ac:dyDescent="0.25">
      <c r="A108" t="s">
        <v>21778</v>
      </c>
      <c r="B108" t="s">
        <v>18948</v>
      </c>
      <c r="C108" t="s">
        <v>18949</v>
      </c>
      <c r="D108" t="s">
        <v>919</v>
      </c>
      <c r="E108">
        <v>7307</v>
      </c>
      <c r="F108" t="s">
        <v>18950</v>
      </c>
      <c r="G108" t="s">
        <v>842</v>
      </c>
      <c r="H108" t="str">
        <f t="shared" si="2"/>
        <v>Broadway7307San Antonio</v>
      </c>
      <c r="I108" t="str">
        <f t="shared" si="3"/>
        <v>Broadway</v>
      </c>
      <c r="J108" s="93" t="str">
        <f>IFERROR(INDEX('All Folders'!$A:$A,MATCH(H108,'All Folders'!$G:$G,0),1),"¶")</f>
        <v>¶</v>
      </c>
      <c r="K108" s="87" t="s">
        <v>22232</v>
      </c>
      <c r="L108" s="87" t="s">
        <v>22292</v>
      </c>
    </row>
    <row r="109" spans="1:12" ht="15" x14ac:dyDescent="0.25">
      <c r="A109" t="s">
        <v>21783</v>
      </c>
      <c r="B109" t="s">
        <v>18966</v>
      </c>
      <c r="C109" t="s">
        <v>18967</v>
      </c>
      <c r="D109" t="s">
        <v>18968</v>
      </c>
      <c r="E109">
        <v>639</v>
      </c>
      <c r="F109" t="s">
        <v>18969</v>
      </c>
      <c r="G109" t="s">
        <v>842</v>
      </c>
      <c r="H109" t="str">
        <f t="shared" si="2"/>
        <v>Cincinnati639San Antonio</v>
      </c>
      <c r="I109" t="str">
        <f t="shared" si="3"/>
        <v>Cincinnati</v>
      </c>
      <c r="J109" s="93" t="str">
        <f>IFERROR(INDEX('All Folders'!$A:$A,MATCH(H109,'All Folders'!$G:$G,0),1),"¶")</f>
        <v>¶</v>
      </c>
      <c r="K109" s="87" t="s">
        <v>22232</v>
      </c>
      <c r="L109" s="87" t="s">
        <v>22292</v>
      </c>
    </row>
    <row r="110" spans="1:12" ht="15" x14ac:dyDescent="0.25">
      <c r="A110" t="s">
        <v>21977</v>
      </c>
      <c r="B110" t="s">
        <v>19606</v>
      </c>
      <c r="C110" t="s">
        <v>19607</v>
      </c>
      <c r="D110" t="s">
        <v>19608</v>
      </c>
      <c r="E110">
        <v>4372</v>
      </c>
      <c r="F110" t="s">
        <v>19609</v>
      </c>
      <c r="G110" t="s">
        <v>4707</v>
      </c>
      <c r="H110" t="str">
        <f t="shared" si="2"/>
        <v>Lake4372Waco</v>
      </c>
      <c r="I110" t="str">
        <f t="shared" si="3"/>
        <v>Lake</v>
      </c>
      <c r="J110" s="93" t="str">
        <f>IFERROR(INDEX('All Folders'!$A:$A,MATCH(H110,'All Folders'!$G:$G,0),1),"¶")</f>
        <v>¶</v>
      </c>
      <c r="K110" s="87" t="s">
        <v>22232</v>
      </c>
      <c r="L110" s="87" t="s">
        <v>22292</v>
      </c>
    </row>
    <row r="111" spans="1:12" ht="15" x14ac:dyDescent="0.25">
      <c r="A111" t="s">
        <v>22003</v>
      </c>
      <c r="B111" t="s">
        <v>19696</v>
      </c>
      <c r="C111" t="s">
        <v>19697</v>
      </c>
      <c r="D111" t="s">
        <v>19698</v>
      </c>
      <c r="E111">
        <v>2500</v>
      </c>
      <c r="F111" t="s">
        <v>19699</v>
      </c>
      <c r="G111" t="s">
        <v>12092</v>
      </c>
      <c r="H111" t="str">
        <f t="shared" si="2"/>
        <v>Junior2500Wharton</v>
      </c>
      <c r="I111" t="str">
        <f t="shared" si="3"/>
        <v>Junior</v>
      </c>
      <c r="J111" s="93" t="str">
        <f>IFERROR(INDEX('All Folders'!$A:$A,MATCH(H111,'All Folders'!$G:$G,0),1),"¶")</f>
        <v>¶</v>
      </c>
      <c r="K111" s="87" t="s">
        <v>22232</v>
      </c>
      <c r="L111" s="87" t="s">
        <v>22292</v>
      </c>
    </row>
    <row r="112" spans="1:12" ht="15" x14ac:dyDescent="0.25">
      <c r="A112" t="s">
        <v>22017</v>
      </c>
      <c r="B112" t="s">
        <v>19746</v>
      </c>
      <c r="C112" t="s">
        <v>19747</v>
      </c>
      <c r="D112" t="s">
        <v>19748</v>
      </c>
      <c r="E112">
        <v>1717</v>
      </c>
      <c r="F112" t="s">
        <v>19749</v>
      </c>
      <c r="G112" t="s">
        <v>12140</v>
      </c>
      <c r="H112" t="str">
        <f t="shared" si="2"/>
        <v>Midwestern1717Wichita Falls</v>
      </c>
      <c r="I112" t="str">
        <f t="shared" si="3"/>
        <v>Midwestern</v>
      </c>
      <c r="J112" s="93" t="str">
        <f>IFERROR(INDEX('All Folders'!$A:$A,MATCH(H112,'All Folders'!$G:$G,0),1),"¶")</f>
        <v>¶</v>
      </c>
      <c r="K112" s="87" t="s">
        <v>22232</v>
      </c>
      <c r="L112" s="87" t="s">
        <v>22292</v>
      </c>
    </row>
    <row r="113" spans="1:12" ht="15" x14ac:dyDescent="0.25">
      <c r="A113" t="s">
        <v>20121</v>
      </c>
      <c r="B113" t="s">
        <v>13439</v>
      </c>
      <c r="C113" t="s">
        <v>13440</v>
      </c>
      <c r="D113" t="s">
        <v>13441</v>
      </c>
      <c r="E113">
        <v>8001</v>
      </c>
      <c r="F113" t="s">
        <v>13442</v>
      </c>
      <c r="G113" t="s">
        <v>7</v>
      </c>
      <c r="H113" t="str">
        <f t="shared" si="2"/>
        <v>Gessner8001Austin</v>
      </c>
      <c r="I113" t="str">
        <f t="shared" si="3"/>
        <v>Gessner</v>
      </c>
      <c r="J113" s="89">
        <f>IFERROR(INDEX('All Folders'!$A:$A,MATCH(H113,'All Folders'!$G:$G,0),1),"¶")</f>
        <v>111</v>
      </c>
      <c r="K113" s="87" t="s">
        <v>22232</v>
      </c>
      <c r="L113" s="87" t="s">
        <v>22296</v>
      </c>
    </row>
    <row r="114" spans="1:12" ht="15" x14ac:dyDescent="0.25">
      <c r="A114" t="s">
        <v>20674</v>
      </c>
      <c r="B114" t="s">
        <v>15288</v>
      </c>
      <c r="C114" t="s">
        <v>15289</v>
      </c>
      <c r="D114" t="s">
        <v>15272</v>
      </c>
      <c r="E114">
        <v>336</v>
      </c>
      <c r="F114" t="s">
        <v>15290</v>
      </c>
      <c r="G114" t="s">
        <v>4996</v>
      </c>
      <c r="H114" t="str">
        <f t="shared" si="2"/>
        <v>Lancaster336Dallas</v>
      </c>
      <c r="I114" t="str">
        <f t="shared" si="3"/>
        <v>Lancaster</v>
      </c>
      <c r="J114" s="82" t="str">
        <f>IFERROR(INDEX('All Folders'!$A:$A,MATCH(H114,'All Folders'!$G:$G,0),1),"¶")</f>
        <v>¶</v>
      </c>
      <c r="K114" s="87" t="s">
        <v>22232</v>
      </c>
      <c r="L114" s="87" t="s">
        <v>22292</v>
      </c>
    </row>
    <row r="115" spans="1:12" ht="15" x14ac:dyDescent="0.25">
      <c r="A115" t="s">
        <v>21149</v>
      </c>
      <c r="B115" t="s">
        <v>16839</v>
      </c>
      <c r="C115" t="s">
        <v>16840</v>
      </c>
      <c r="D115" t="s">
        <v>16841</v>
      </c>
      <c r="E115">
        <v>14800</v>
      </c>
      <c r="F115" t="s">
        <v>16842</v>
      </c>
      <c r="G115" t="s">
        <v>1657</v>
      </c>
      <c r="H115" t="str">
        <f t="shared" si="2"/>
        <v>Memorial14800Houston</v>
      </c>
      <c r="I115" t="str">
        <f t="shared" si="3"/>
        <v>Memorial</v>
      </c>
      <c r="J115" s="89">
        <f>IFERROR(INDEX('All Folders'!$A:$A,MATCH(H115,'All Folders'!$G:$G,0),1),"¶")</f>
        <v>2035</v>
      </c>
      <c r="K115" s="87" t="s">
        <v>22232</v>
      </c>
      <c r="L115" s="87" t="s">
        <v>22296</v>
      </c>
    </row>
    <row r="116" spans="1:12" ht="15" x14ac:dyDescent="0.25">
      <c r="A116" t="s">
        <v>20657</v>
      </c>
      <c r="B116" t="s">
        <v>15240</v>
      </c>
      <c r="C116" t="s">
        <v>15241</v>
      </c>
      <c r="D116" t="s">
        <v>5101</v>
      </c>
      <c r="E116">
        <v>3535</v>
      </c>
      <c r="F116" t="s">
        <v>6060</v>
      </c>
      <c r="G116" t="s">
        <v>4996</v>
      </c>
      <c r="H116" t="str">
        <f t="shared" si="2"/>
        <v>Webb3535Dallas</v>
      </c>
      <c r="I116" t="str">
        <f t="shared" si="3"/>
        <v>Webb</v>
      </c>
      <c r="J116" s="93">
        <f>IFERROR(INDEX('All Folders'!$A:$A,MATCH(H116,'All Folders'!$G:$G,0),1),"¶")</f>
        <v>13855</v>
      </c>
      <c r="K116" s="87"/>
      <c r="L116" s="87"/>
    </row>
    <row r="117" spans="1:12" ht="15" x14ac:dyDescent="0.25">
      <c r="A117" t="s">
        <v>20924</v>
      </c>
      <c r="B117" t="s">
        <v>16089</v>
      </c>
      <c r="C117" t="s">
        <v>16090</v>
      </c>
      <c r="D117" t="s">
        <v>16091</v>
      </c>
      <c r="E117">
        <v>6760</v>
      </c>
      <c r="F117" t="s">
        <v>16092</v>
      </c>
      <c r="G117" t="s">
        <v>5014</v>
      </c>
      <c r="H117" t="str">
        <f t="shared" si="2"/>
        <v>Calmont6760Fort Worth</v>
      </c>
      <c r="I117" t="str">
        <f t="shared" si="3"/>
        <v>Calmont</v>
      </c>
      <c r="J117" s="85">
        <f>IFERROR(INDEX('All Folders'!$A:$A,MATCH(H117,'All Folders'!$G:$G,0),1),"¶")</f>
        <v>14993</v>
      </c>
      <c r="K117" s="87"/>
      <c r="L117" s="87"/>
    </row>
    <row r="118" spans="1:12" ht="15" x14ac:dyDescent="0.25">
      <c r="A118" t="s">
        <v>20935</v>
      </c>
      <c r="B118" t="s">
        <v>16131</v>
      </c>
      <c r="C118" t="s">
        <v>16132</v>
      </c>
      <c r="D118" t="s">
        <v>16133</v>
      </c>
      <c r="E118">
        <v>2120</v>
      </c>
      <c r="F118" t="s">
        <v>11564</v>
      </c>
      <c r="G118" t="s">
        <v>5014</v>
      </c>
      <c r="H118" t="str">
        <f t="shared" si="2"/>
        <v>Handley2120Fort Worth</v>
      </c>
      <c r="I118" t="str">
        <f t="shared" si="3"/>
        <v>Handley</v>
      </c>
      <c r="J118" s="93">
        <f>IFERROR(INDEX('All Folders'!$A:$A,MATCH(H118,'All Folders'!$G:$G,0),1),"¶")</f>
        <v>30145</v>
      </c>
      <c r="K118" s="87"/>
      <c r="L118" s="87"/>
    </row>
    <row r="119" spans="1:12" ht="15" x14ac:dyDescent="0.25">
      <c r="A119" t="s">
        <v>21291</v>
      </c>
      <c r="B119" t="s">
        <v>17291</v>
      </c>
      <c r="C119" t="s">
        <v>17292</v>
      </c>
      <c r="D119" t="s">
        <v>17293</v>
      </c>
      <c r="E119">
        <v>1440</v>
      </c>
      <c r="F119" t="s">
        <v>17294</v>
      </c>
      <c r="G119" t="s">
        <v>12085</v>
      </c>
      <c r="H119" t="str">
        <f t="shared" si="2"/>
        <v>Brazos1440Huntsville</v>
      </c>
      <c r="I119" t="str">
        <f t="shared" si="3"/>
        <v>Brazos</v>
      </c>
      <c r="J119" s="93">
        <f>IFERROR(INDEX('All Folders'!$A:$A,MATCH(H119,'All Folders'!$G:$G,0),1),"¶")</f>
        <v>30524</v>
      </c>
      <c r="K119" s="87"/>
      <c r="L119" s="87"/>
    </row>
    <row r="120" spans="1:12" ht="15" x14ac:dyDescent="0.25">
      <c r="A120" t="s">
        <v>21470</v>
      </c>
      <c r="B120" t="s">
        <v>17889</v>
      </c>
      <c r="C120" t="s">
        <v>17890</v>
      </c>
      <c r="D120" t="s">
        <v>17891</v>
      </c>
      <c r="E120">
        <v>2302</v>
      </c>
      <c r="F120" t="s">
        <v>12388</v>
      </c>
      <c r="G120" t="s">
        <v>12339</v>
      </c>
      <c r="H120" t="str">
        <f t="shared" si="2"/>
        <v>2892302Lubbock</v>
      </c>
      <c r="I120" t="str">
        <f t="shared" si="3"/>
        <v>289</v>
      </c>
      <c r="J120" s="93">
        <f>IFERROR(INDEX('All Folders'!$A:$A,MATCH(H120,'All Folders'!$G:$G,0),1),"¶")</f>
        <v>30734</v>
      </c>
      <c r="K120" s="87"/>
      <c r="L120" s="87"/>
    </row>
    <row r="121" spans="1:12" ht="15" x14ac:dyDescent="0.25">
      <c r="A121" t="s">
        <v>21545</v>
      </c>
      <c r="B121" t="s">
        <v>18145</v>
      </c>
      <c r="C121" t="s">
        <v>18146</v>
      </c>
      <c r="D121" t="s">
        <v>14718</v>
      </c>
      <c r="E121">
        <v>721</v>
      </c>
      <c r="F121" t="s">
        <v>18147</v>
      </c>
      <c r="G121" t="s">
        <v>8116</v>
      </c>
      <c r="H121" t="str">
        <f t="shared" si="2"/>
        <v>Eastridge721Midlothian</v>
      </c>
      <c r="I121" t="str">
        <f t="shared" si="3"/>
        <v>Eastridge</v>
      </c>
      <c r="J121" s="93">
        <f>IFERROR(INDEX('All Folders'!$A:$A,MATCH(H121,'All Folders'!$G:$G,0),1),"¶")</f>
        <v>30224</v>
      </c>
      <c r="K121" s="87"/>
      <c r="L121" s="87"/>
    </row>
    <row r="122" spans="1:12" ht="15" x14ac:dyDescent="0.25">
      <c r="A122" t="s">
        <v>21669</v>
      </c>
      <c r="B122" t="s">
        <v>18572</v>
      </c>
      <c r="C122" t="s">
        <v>18573</v>
      </c>
      <c r="D122" t="s">
        <v>12714</v>
      </c>
      <c r="E122">
        <v>420</v>
      </c>
      <c r="F122" t="s">
        <v>18574</v>
      </c>
      <c r="G122" t="s">
        <v>332</v>
      </c>
      <c r="H122" t="str">
        <f t="shared" si="2"/>
        <v>Roberts420River Oaks</v>
      </c>
      <c r="I122" t="str">
        <f t="shared" si="3"/>
        <v>Roberts</v>
      </c>
      <c r="J122" s="93" t="str">
        <f>IFERROR(INDEX('All Folders'!$A:$A,MATCH(H122,'All Folders'!$G:$G,0),1),"¶")</f>
        <v>SP187</v>
      </c>
      <c r="K122" s="87"/>
      <c r="L122" s="87"/>
    </row>
    <row r="123" spans="1:12" ht="15" x14ac:dyDescent="0.25">
      <c r="A123" t="s">
        <v>21672</v>
      </c>
      <c r="B123" t="s">
        <v>18581</v>
      </c>
      <c r="C123" t="s">
        <v>18582</v>
      </c>
      <c r="D123" t="s">
        <v>18583</v>
      </c>
      <c r="E123" t="s">
        <v>18584</v>
      </c>
      <c r="F123" t="s">
        <v>12719</v>
      </c>
      <c r="G123" t="s">
        <v>5236</v>
      </c>
      <c r="H123" t="str">
        <f t="shared" si="2"/>
        <v>Ranger5412-5414Rockwall</v>
      </c>
      <c r="I123" t="str">
        <f t="shared" si="3"/>
        <v>Ranger</v>
      </c>
      <c r="J123" s="93" t="str">
        <f>IFERROR(INDEX('All Folders'!$A:$A,MATCH(H123,'All Folders'!$G:$G,0),1),"¶")</f>
        <v>SP189</v>
      </c>
      <c r="K123" s="87"/>
      <c r="L123" s="87"/>
    </row>
    <row r="124" spans="1:12" ht="15" x14ac:dyDescent="0.25">
      <c r="A124" t="s">
        <v>21913</v>
      </c>
      <c r="B124" t="s">
        <v>19390</v>
      </c>
      <c r="C124" t="s">
        <v>19391</v>
      </c>
      <c r="D124" t="s">
        <v>19392</v>
      </c>
      <c r="E124">
        <v>907</v>
      </c>
      <c r="F124" t="s">
        <v>19393</v>
      </c>
      <c r="G124" t="s">
        <v>5638</v>
      </c>
      <c r="H124" t="str">
        <f t="shared" si="2"/>
        <v>Houston907Terrell</v>
      </c>
      <c r="I124" t="str">
        <f t="shared" si="3"/>
        <v>Houston</v>
      </c>
      <c r="J124" s="85" t="str">
        <f>IFERROR(INDEX('All Folders'!$A:$A,MATCH(H124,'All Folders'!$G:$G,0),1),"¶")</f>
        <v>SP207</v>
      </c>
      <c r="K124" s="87"/>
      <c r="L124" s="87"/>
    </row>
    <row r="125" spans="1:12" ht="15" x14ac:dyDescent="0.25">
      <c r="A125" t="s">
        <v>21934</v>
      </c>
      <c r="B125" t="s">
        <v>19464</v>
      </c>
      <c r="C125" t="s">
        <v>19465</v>
      </c>
      <c r="D125" t="s">
        <v>19466</v>
      </c>
      <c r="E125">
        <v>2301</v>
      </c>
      <c r="F125" t="s">
        <v>4693</v>
      </c>
      <c r="G125" t="s">
        <v>1508</v>
      </c>
      <c r="H125" t="str">
        <f t="shared" si="2"/>
        <v>Millbend2301The Woodlands</v>
      </c>
      <c r="I125" t="str">
        <f t="shared" si="3"/>
        <v>Millbend</v>
      </c>
      <c r="J125" s="85">
        <f>IFERROR(INDEX('All Folders'!$A:$A,MATCH(H125,'All Folders'!$G:$G,0),1),"¶")</f>
        <v>4393</v>
      </c>
      <c r="K125" s="87"/>
      <c r="L125" s="87"/>
    </row>
    <row r="126" spans="1:12" ht="15" x14ac:dyDescent="0.25">
      <c r="A126" t="s">
        <v>21971</v>
      </c>
      <c r="B126" t="s">
        <v>19586</v>
      </c>
      <c r="C126" t="s">
        <v>19587</v>
      </c>
      <c r="D126" t="s">
        <v>19573</v>
      </c>
      <c r="E126">
        <v>5101</v>
      </c>
      <c r="F126" t="s">
        <v>19588</v>
      </c>
      <c r="G126" t="s">
        <v>4707</v>
      </c>
      <c r="H126" t="str">
        <f t="shared" si="2"/>
        <v>Sanger5101Waco</v>
      </c>
      <c r="I126" t="str">
        <f t="shared" si="3"/>
        <v>Sanger</v>
      </c>
      <c r="J126" s="93">
        <f>IFERROR(INDEX('All Folders'!$A:$A,MATCH(H126,'All Folders'!$G:$G,0),1),"¶")</f>
        <v>30441</v>
      </c>
      <c r="K126" s="87"/>
      <c r="L126" s="87"/>
    </row>
    <row r="127" spans="1:12" ht="15" x14ac:dyDescent="0.25">
      <c r="A127" t="s">
        <v>22020</v>
      </c>
      <c r="B127" t="s">
        <v>19756</v>
      </c>
      <c r="C127" t="s">
        <v>19757</v>
      </c>
      <c r="D127" t="s">
        <v>19758</v>
      </c>
      <c r="E127">
        <v>1</v>
      </c>
      <c r="F127" t="s">
        <v>19759</v>
      </c>
      <c r="G127" t="s">
        <v>6215</v>
      </c>
      <c r="H127" t="str">
        <f t="shared" si="2"/>
        <v>Trails1Wylie</v>
      </c>
      <c r="I127" t="str">
        <f t="shared" si="3"/>
        <v>Trails</v>
      </c>
      <c r="J127" s="92">
        <f>IFERROR(INDEX('All Folders'!$A:$A,MATCH(H127,'All Folders'!$G:$G,0),1),"¶")</f>
        <v>30262</v>
      </c>
      <c r="K127" s="87"/>
      <c r="L127" s="87"/>
    </row>
    <row r="128" spans="1:12" ht="15" x14ac:dyDescent="0.25">
      <c r="A128" t="s">
        <v>20531</v>
      </c>
      <c r="B128" t="s">
        <v>14842</v>
      </c>
      <c r="C128" t="s">
        <v>14843</v>
      </c>
      <c r="D128" t="s">
        <v>14844</v>
      </c>
      <c r="E128">
        <v>2410</v>
      </c>
      <c r="F128" t="s">
        <v>14845</v>
      </c>
      <c r="G128" t="s">
        <v>4996</v>
      </c>
      <c r="H128" t="str">
        <f t="shared" si="2"/>
        <v>Robert2410Dallas</v>
      </c>
      <c r="I128" t="str">
        <f t="shared" si="3"/>
        <v>Robert</v>
      </c>
      <c r="J128" s="95" t="s">
        <v>12955</v>
      </c>
      <c r="K128" s="87"/>
      <c r="L128" s="87"/>
    </row>
    <row r="129" spans="1:12" ht="15" x14ac:dyDescent="0.25">
      <c r="A129" t="s">
        <v>20628</v>
      </c>
      <c r="B129" t="s">
        <v>15152</v>
      </c>
      <c r="C129" t="s">
        <v>15153</v>
      </c>
      <c r="D129" t="s">
        <v>15154</v>
      </c>
      <c r="E129">
        <v>2800</v>
      </c>
      <c r="F129" t="s">
        <v>15155</v>
      </c>
      <c r="G129" t="s">
        <v>4996</v>
      </c>
      <c r="H129" t="str">
        <f t="shared" si="2"/>
        <v>Northhaven2800Dallas</v>
      </c>
      <c r="I129" t="str">
        <f t="shared" si="3"/>
        <v>Northhaven</v>
      </c>
      <c r="J129" s="88">
        <v>18010</v>
      </c>
      <c r="K129" s="87"/>
      <c r="L129" s="87"/>
    </row>
    <row r="130" spans="1:12" ht="15" x14ac:dyDescent="0.25">
      <c r="A130" t="s">
        <v>20659</v>
      </c>
      <c r="B130" t="s">
        <v>15245</v>
      </c>
      <c r="C130" t="s">
        <v>15246</v>
      </c>
      <c r="D130" t="s">
        <v>15247</v>
      </c>
      <c r="E130">
        <v>2601</v>
      </c>
      <c r="F130" t="s">
        <v>15248</v>
      </c>
      <c r="G130" t="s">
        <v>4996</v>
      </c>
      <c r="H130" t="str">
        <f t="shared" ref="H130:H193" si="4">I130&amp;E130&amp;G130</f>
        <v>Arooyo2601Dallas</v>
      </c>
      <c r="I130" t="str">
        <f t="shared" ref="I130:I193" si="5">IFERROR(LEFT(D130,FIND(" ",D130)-1),D130)</f>
        <v>Arooyo</v>
      </c>
      <c r="J130" s="97">
        <v>13860</v>
      </c>
      <c r="K130" s="87"/>
      <c r="L130" s="87"/>
    </row>
    <row r="131" spans="1:12" ht="15" x14ac:dyDescent="0.25">
      <c r="A131" t="s">
        <v>20662</v>
      </c>
      <c r="B131" t="s">
        <v>15254</v>
      </c>
      <c r="C131" t="s">
        <v>15255</v>
      </c>
      <c r="D131" t="s">
        <v>14961</v>
      </c>
      <c r="E131">
        <v>2625</v>
      </c>
      <c r="F131" t="s">
        <v>6077</v>
      </c>
      <c r="G131" t="s">
        <v>4996</v>
      </c>
      <c r="H131" t="str">
        <f t="shared" si="4"/>
        <v>Hundall2625Dallas</v>
      </c>
      <c r="I131" t="str">
        <f t="shared" si="5"/>
        <v>Hundall</v>
      </c>
      <c r="J131" s="1">
        <v>13869</v>
      </c>
      <c r="K131" s="87"/>
      <c r="L131" s="87"/>
    </row>
    <row r="132" spans="1:12" ht="15" x14ac:dyDescent="0.25">
      <c r="A132" t="s">
        <v>20673</v>
      </c>
      <c r="B132" t="s">
        <v>15284</v>
      </c>
      <c r="C132" t="s">
        <v>15285</v>
      </c>
      <c r="D132" t="s">
        <v>15286</v>
      </c>
      <c r="E132">
        <v>13214</v>
      </c>
      <c r="F132" t="s">
        <v>15287</v>
      </c>
      <c r="G132" t="s">
        <v>4996</v>
      </c>
      <c r="H132" t="str">
        <f t="shared" si="4"/>
        <v>Saint13214Dallas</v>
      </c>
      <c r="I132" t="str">
        <f t="shared" si="5"/>
        <v>Saint</v>
      </c>
      <c r="J132" s="97">
        <v>13911</v>
      </c>
      <c r="K132" s="87"/>
      <c r="L132" s="87"/>
    </row>
    <row r="133" spans="1:12" ht="15" x14ac:dyDescent="0.25">
      <c r="A133" t="s">
        <v>20675</v>
      </c>
      <c r="B133" t="s">
        <v>15291</v>
      </c>
      <c r="C133" t="s">
        <v>15292</v>
      </c>
      <c r="D133" t="s">
        <v>15293</v>
      </c>
      <c r="E133">
        <v>3636</v>
      </c>
      <c r="F133" t="s">
        <v>15294</v>
      </c>
      <c r="G133" t="s">
        <v>4996</v>
      </c>
      <c r="H133" t="str">
        <f t="shared" si="4"/>
        <v>West3636Dallas</v>
      </c>
      <c r="I133" t="str">
        <f t="shared" si="5"/>
        <v>West</v>
      </c>
      <c r="J133" s="96">
        <v>13919</v>
      </c>
      <c r="K133" s="87"/>
      <c r="L133" s="87"/>
    </row>
    <row r="134" spans="1:12" ht="15" x14ac:dyDescent="0.25">
      <c r="A134" t="s">
        <v>20684</v>
      </c>
      <c r="B134" t="s">
        <v>15320</v>
      </c>
      <c r="C134" t="s">
        <v>15321</v>
      </c>
      <c r="D134" t="s">
        <v>14773</v>
      </c>
      <c r="E134">
        <v>12970</v>
      </c>
      <c r="F134" t="s">
        <v>14328</v>
      </c>
      <c r="G134" t="s">
        <v>4996</v>
      </c>
      <c r="H134" t="str">
        <f t="shared" si="4"/>
        <v>Audelia12970Dallas</v>
      </c>
      <c r="I134" t="str">
        <f t="shared" si="5"/>
        <v>Audelia</v>
      </c>
      <c r="J134" s="88">
        <v>13955</v>
      </c>
      <c r="K134" s="87"/>
      <c r="L134" s="87"/>
    </row>
    <row r="135" spans="1:12" ht="15" x14ac:dyDescent="0.25">
      <c r="A135" t="s">
        <v>20691</v>
      </c>
      <c r="B135" t="s">
        <v>15339</v>
      </c>
      <c r="C135" t="s">
        <v>15340</v>
      </c>
      <c r="D135" t="s">
        <v>14625</v>
      </c>
      <c r="E135">
        <v>9900</v>
      </c>
      <c r="F135" t="s">
        <v>5953</v>
      </c>
      <c r="G135" t="s">
        <v>4996</v>
      </c>
      <c r="H135" t="str">
        <f t="shared" si="4"/>
        <v>Adelta9900Dallas</v>
      </c>
      <c r="I135" t="str">
        <f t="shared" si="5"/>
        <v>Adelta</v>
      </c>
      <c r="J135" s="1">
        <v>13765</v>
      </c>
      <c r="K135" s="87"/>
      <c r="L135" s="87"/>
    </row>
    <row r="136" spans="1:12" ht="15" x14ac:dyDescent="0.25">
      <c r="A136" t="s">
        <v>20720</v>
      </c>
      <c r="B136" t="s">
        <v>15428</v>
      </c>
      <c r="C136" t="s">
        <v>15429</v>
      </c>
      <c r="D136" t="s">
        <v>14506</v>
      </c>
      <c r="E136">
        <v>4531</v>
      </c>
      <c r="F136" t="s">
        <v>15430</v>
      </c>
      <c r="G136" t="s">
        <v>4996</v>
      </c>
      <c r="H136" t="str">
        <f t="shared" si="4"/>
        <v>Cedar4531Dallas</v>
      </c>
      <c r="I136" t="str">
        <f t="shared" si="5"/>
        <v>Cedar</v>
      </c>
      <c r="J136" s="88">
        <v>14093</v>
      </c>
      <c r="K136" s="87"/>
      <c r="L136" s="87"/>
    </row>
    <row r="137" spans="1:12" ht="15" x14ac:dyDescent="0.25">
      <c r="A137" t="s">
        <v>20726</v>
      </c>
      <c r="B137" t="s">
        <v>15447</v>
      </c>
      <c r="C137" t="s">
        <v>15448</v>
      </c>
      <c r="D137" t="s">
        <v>15449</v>
      </c>
      <c r="E137">
        <v>5750</v>
      </c>
      <c r="F137" t="s">
        <v>6953</v>
      </c>
      <c r="G137" t="s">
        <v>4996</v>
      </c>
      <c r="H137" t="str">
        <f t="shared" si="4"/>
        <v>Univesity5750Dallas</v>
      </c>
      <c r="I137" t="str">
        <f t="shared" si="5"/>
        <v>Univesity</v>
      </c>
      <c r="J137" s="88">
        <v>14602</v>
      </c>
      <c r="K137" s="87"/>
      <c r="L137" s="87"/>
    </row>
    <row r="138" spans="1:12" ht="15" x14ac:dyDescent="0.25">
      <c r="A138" t="s">
        <v>20735</v>
      </c>
      <c r="B138" t="s">
        <v>15474</v>
      </c>
      <c r="C138" t="s">
        <v>15475</v>
      </c>
      <c r="D138" t="s">
        <v>15476</v>
      </c>
      <c r="E138">
        <v>3932</v>
      </c>
      <c r="F138" t="s">
        <v>15477</v>
      </c>
      <c r="G138" t="s">
        <v>4996</v>
      </c>
      <c r="H138" t="str">
        <f t="shared" si="4"/>
        <v>Northwest3932Dallas</v>
      </c>
      <c r="I138" t="str">
        <f t="shared" si="5"/>
        <v>Northwest</v>
      </c>
      <c r="J138" s="1">
        <v>13481</v>
      </c>
      <c r="K138" s="87"/>
      <c r="L138" s="87"/>
    </row>
    <row r="139" spans="1:12" ht="15" x14ac:dyDescent="0.25">
      <c r="A139" t="s">
        <v>20793</v>
      </c>
      <c r="B139" t="s">
        <v>15650</v>
      </c>
      <c r="C139" t="s">
        <v>15651</v>
      </c>
      <c r="D139" t="s">
        <v>13967</v>
      </c>
      <c r="E139">
        <v>224</v>
      </c>
      <c r="F139" t="s">
        <v>15652</v>
      </c>
      <c r="G139" t="s">
        <v>5097</v>
      </c>
      <c r="H139" t="str">
        <f t="shared" si="4"/>
        <v>Avenue224Denton</v>
      </c>
      <c r="I139" t="str">
        <f t="shared" si="5"/>
        <v>Avenue</v>
      </c>
      <c r="J139" s="90" t="s">
        <v>12987</v>
      </c>
      <c r="K139" s="87"/>
      <c r="L139" s="87"/>
    </row>
    <row r="140" spans="1:12" ht="15" x14ac:dyDescent="0.25">
      <c r="A140" t="s">
        <v>20799</v>
      </c>
      <c r="B140" t="s">
        <v>15672</v>
      </c>
      <c r="C140" t="s">
        <v>15673</v>
      </c>
      <c r="D140" t="s">
        <v>15674</v>
      </c>
      <c r="E140">
        <v>2406</v>
      </c>
      <c r="F140" t="s">
        <v>15675</v>
      </c>
      <c r="G140" t="s">
        <v>5097</v>
      </c>
      <c r="H140" t="str">
        <f t="shared" si="4"/>
        <v>Bernard2406Denton</v>
      </c>
      <c r="I140" t="str">
        <f t="shared" si="5"/>
        <v>Bernard</v>
      </c>
      <c r="J140" s="95" t="s">
        <v>12995</v>
      </c>
      <c r="K140" s="87"/>
      <c r="L140" s="87"/>
    </row>
    <row r="141" spans="1:12" ht="15" x14ac:dyDescent="0.25">
      <c r="A141" t="s">
        <v>20801</v>
      </c>
      <c r="B141" t="s">
        <v>15681</v>
      </c>
      <c r="C141" t="s">
        <v>15682</v>
      </c>
      <c r="D141" t="s">
        <v>15683</v>
      </c>
      <c r="E141" t="s">
        <v>15684</v>
      </c>
      <c r="F141" t="s">
        <v>15680</v>
      </c>
      <c r="G141" t="s">
        <v>5097</v>
      </c>
      <c r="H141" t="str">
        <f t="shared" si="4"/>
        <v>Bonnie121-ADenton</v>
      </c>
      <c r="I141" t="str">
        <f t="shared" si="5"/>
        <v>Bonnie</v>
      </c>
      <c r="J141" s="90" t="s">
        <v>12998</v>
      </c>
      <c r="K141" s="87"/>
      <c r="L141" s="87"/>
    </row>
    <row r="142" spans="1:12" ht="15" x14ac:dyDescent="0.25">
      <c r="A142" t="s">
        <v>20803</v>
      </c>
      <c r="B142" t="s">
        <v>15689</v>
      </c>
      <c r="C142" t="s">
        <v>15690</v>
      </c>
      <c r="D142" t="s">
        <v>15691</v>
      </c>
      <c r="E142" t="s">
        <v>15692</v>
      </c>
      <c r="F142" t="s">
        <v>15693</v>
      </c>
      <c r="G142" t="s">
        <v>5097</v>
      </c>
      <c r="H142" t="str">
        <f t="shared" si="4"/>
        <v>Charlotte2422-2428Denton</v>
      </c>
      <c r="I142" t="str">
        <f t="shared" si="5"/>
        <v>Charlotte</v>
      </c>
      <c r="J142" s="90" t="s">
        <v>12474</v>
      </c>
      <c r="K142" s="87"/>
      <c r="L142" s="87"/>
    </row>
    <row r="143" spans="1:12" ht="15" x14ac:dyDescent="0.25">
      <c r="A143" t="s">
        <v>20805</v>
      </c>
      <c r="B143" t="s">
        <v>15697</v>
      </c>
      <c r="C143" t="s">
        <v>15698</v>
      </c>
      <c r="D143" t="s">
        <v>15699</v>
      </c>
      <c r="E143">
        <v>201</v>
      </c>
      <c r="F143" t="s">
        <v>2687</v>
      </c>
      <c r="G143" t="s">
        <v>5097</v>
      </c>
      <c r="H143" t="str">
        <f t="shared" si="4"/>
        <v>Cornado201Denton</v>
      </c>
      <c r="I143" t="str">
        <f t="shared" si="5"/>
        <v>Cornado</v>
      </c>
      <c r="J143" s="96">
        <v>30114</v>
      </c>
      <c r="K143" s="87"/>
      <c r="L143" s="87"/>
    </row>
    <row r="144" spans="1:12" ht="15" x14ac:dyDescent="0.25">
      <c r="A144" t="s">
        <v>20813</v>
      </c>
      <c r="B144" t="s">
        <v>15722</v>
      </c>
      <c r="C144" t="s">
        <v>15723</v>
      </c>
      <c r="D144" t="s">
        <v>15724</v>
      </c>
      <c r="E144" t="s">
        <v>12992</v>
      </c>
      <c r="F144" t="s">
        <v>12993</v>
      </c>
      <c r="G144" t="s">
        <v>5097</v>
      </c>
      <c r="H144" t="str">
        <f t="shared" si="4"/>
        <v>Avenue223-305Denton</v>
      </c>
      <c r="I144" t="str">
        <f t="shared" si="5"/>
        <v>Avenue</v>
      </c>
      <c r="J144" s="95" t="s">
        <v>12990</v>
      </c>
      <c r="K144" s="87"/>
      <c r="L144" s="87"/>
    </row>
    <row r="145" spans="1:12" ht="15" x14ac:dyDescent="0.25">
      <c r="A145" t="s">
        <v>20825</v>
      </c>
      <c r="B145" t="s">
        <v>15757</v>
      </c>
      <c r="C145" t="s">
        <v>15758</v>
      </c>
      <c r="D145" t="s">
        <v>15709</v>
      </c>
      <c r="E145">
        <v>1112</v>
      </c>
      <c r="F145" t="s">
        <v>15759</v>
      </c>
      <c r="G145" t="s">
        <v>5097</v>
      </c>
      <c r="H145" t="str">
        <f t="shared" si="4"/>
        <v>Eagle1112Denton</v>
      </c>
      <c r="I145" t="str">
        <f t="shared" si="5"/>
        <v>Eagle</v>
      </c>
      <c r="J145" s="90" t="s">
        <v>12478</v>
      </c>
      <c r="K145" s="87"/>
      <c r="L145" s="87"/>
    </row>
    <row r="146" spans="1:12" ht="15" x14ac:dyDescent="0.25">
      <c r="A146" t="s">
        <v>20845</v>
      </c>
      <c r="B146" t="s">
        <v>15819</v>
      </c>
      <c r="C146" t="s">
        <v>15820</v>
      </c>
      <c r="D146" t="s">
        <v>15818</v>
      </c>
      <c r="E146">
        <v>1402</v>
      </c>
      <c r="F146" t="s">
        <v>15821</v>
      </c>
      <c r="G146" t="s">
        <v>5228</v>
      </c>
      <c r="H146" t="str">
        <f t="shared" si="4"/>
        <v>Acton1402Duncanville</v>
      </c>
      <c r="I146" t="str">
        <f t="shared" si="5"/>
        <v>Acton</v>
      </c>
      <c r="J146" s="1">
        <v>13224</v>
      </c>
      <c r="K146" s="87"/>
      <c r="L146" s="87"/>
    </row>
    <row r="147" spans="1:12" ht="15" x14ac:dyDescent="0.25">
      <c r="A147" t="s">
        <v>20904</v>
      </c>
      <c r="B147" t="s">
        <v>16019</v>
      </c>
      <c r="C147" t="s">
        <v>16020</v>
      </c>
      <c r="D147" t="s">
        <v>16021</v>
      </c>
      <c r="E147">
        <v>5901</v>
      </c>
      <c r="F147" t="s">
        <v>16022</v>
      </c>
      <c r="G147" t="s">
        <v>5014</v>
      </c>
      <c r="H147" t="str">
        <f t="shared" si="4"/>
        <v>Calloway5901Fort Worth</v>
      </c>
      <c r="I147" t="str">
        <f t="shared" si="5"/>
        <v>Calloway</v>
      </c>
      <c r="J147" s="97">
        <v>15494</v>
      </c>
      <c r="K147" s="87"/>
      <c r="L147" s="87"/>
    </row>
    <row r="148" spans="1:12" ht="15" x14ac:dyDescent="0.25">
      <c r="A148" t="s">
        <v>20911</v>
      </c>
      <c r="B148" t="s">
        <v>16045</v>
      </c>
      <c r="C148" t="s">
        <v>16046</v>
      </c>
      <c r="D148" t="s">
        <v>16047</v>
      </c>
      <c r="E148" t="s">
        <v>16048</v>
      </c>
      <c r="F148" t="s">
        <v>12517</v>
      </c>
      <c r="G148" t="s">
        <v>5014</v>
      </c>
      <c r="H148" t="str">
        <f t="shared" si="4"/>
        <v>Birchman5504-5508Fort Worth</v>
      </c>
      <c r="I148" t="str">
        <f t="shared" si="5"/>
        <v>Birchman</v>
      </c>
      <c r="J148" s="95" t="s">
        <v>12514</v>
      </c>
      <c r="K148" s="87"/>
      <c r="L148" s="87"/>
    </row>
    <row r="149" spans="1:12" ht="15" x14ac:dyDescent="0.25">
      <c r="A149" t="s">
        <v>20931</v>
      </c>
      <c r="B149" t="s">
        <v>16115</v>
      </c>
      <c r="C149" t="s">
        <v>16116</v>
      </c>
      <c r="D149" t="s">
        <v>16117</v>
      </c>
      <c r="E149">
        <v>807</v>
      </c>
      <c r="F149" t="s">
        <v>16118</v>
      </c>
      <c r="G149" t="s">
        <v>5014</v>
      </c>
      <c r="H149" t="str">
        <f t="shared" si="4"/>
        <v>The807Fort Worth</v>
      </c>
      <c r="I149" t="str">
        <f t="shared" si="5"/>
        <v>The</v>
      </c>
      <c r="J149" s="1">
        <v>14844</v>
      </c>
      <c r="K149" s="87"/>
      <c r="L149" s="87"/>
    </row>
    <row r="150" spans="1:12" ht="15" x14ac:dyDescent="0.25">
      <c r="A150" t="s">
        <v>20932</v>
      </c>
      <c r="B150" t="s">
        <v>16119</v>
      </c>
      <c r="C150" t="s">
        <v>16120</v>
      </c>
      <c r="D150" t="s">
        <v>16121</v>
      </c>
      <c r="E150" t="s">
        <v>12543</v>
      </c>
      <c r="F150" t="s">
        <v>16122</v>
      </c>
      <c r="G150" t="s">
        <v>5014</v>
      </c>
      <c r="H150" t="str">
        <f t="shared" si="4"/>
        <v>Mc3021-3017-3013Fort Worth</v>
      </c>
      <c r="I150" t="str">
        <f t="shared" si="5"/>
        <v>Mc</v>
      </c>
      <c r="J150" s="95" t="s">
        <v>12541</v>
      </c>
      <c r="K150" s="87"/>
      <c r="L150" s="87"/>
    </row>
    <row r="151" spans="1:12" ht="15" x14ac:dyDescent="0.25">
      <c r="A151" t="s">
        <v>20964</v>
      </c>
      <c r="B151" t="s">
        <v>16230</v>
      </c>
      <c r="C151" t="s">
        <v>16231</v>
      </c>
      <c r="D151" t="s">
        <v>16232</v>
      </c>
      <c r="E151">
        <v>3451</v>
      </c>
      <c r="F151" t="s">
        <v>6808</v>
      </c>
      <c r="G151" t="s">
        <v>5014</v>
      </c>
      <c r="H151" t="str">
        <f t="shared" si="4"/>
        <v>Riverpark3451Fort Worth</v>
      </c>
      <c r="I151" t="str">
        <f t="shared" si="5"/>
        <v>Riverpark</v>
      </c>
      <c r="J151" s="1">
        <v>14465</v>
      </c>
      <c r="K151" s="87"/>
      <c r="L151" s="87"/>
    </row>
    <row r="152" spans="1:12" ht="15" x14ac:dyDescent="0.25">
      <c r="A152" t="s">
        <v>20980</v>
      </c>
      <c r="B152" t="s">
        <v>16284</v>
      </c>
      <c r="C152" t="s">
        <v>16285</v>
      </c>
      <c r="D152" t="s">
        <v>16286</v>
      </c>
      <c r="E152">
        <v>6608</v>
      </c>
      <c r="F152" t="s">
        <v>7555</v>
      </c>
      <c r="G152" t="s">
        <v>5014</v>
      </c>
      <c r="H152" t="str">
        <f t="shared" si="4"/>
        <v>Freeway6608Fort Worth</v>
      </c>
      <c r="I152" t="str">
        <f t="shared" si="5"/>
        <v>Freeway</v>
      </c>
      <c r="J152" s="97">
        <v>15154</v>
      </c>
      <c r="K152" s="87"/>
      <c r="L152" s="87"/>
    </row>
    <row r="153" spans="1:12" ht="15" x14ac:dyDescent="0.25">
      <c r="A153" t="s">
        <v>20984</v>
      </c>
      <c r="B153" t="s">
        <v>16298</v>
      </c>
      <c r="C153" t="s">
        <v>16299</v>
      </c>
      <c r="D153" t="s">
        <v>16300</v>
      </c>
      <c r="E153">
        <v>6728</v>
      </c>
      <c r="F153" t="s">
        <v>16301</v>
      </c>
      <c r="G153" t="s">
        <v>5014</v>
      </c>
      <c r="H153" t="str">
        <f t="shared" si="4"/>
        <v>Park6728Fort Worth</v>
      </c>
      <c r="I153" t="str">
        <f t="shared" si="5"/>
        <v>Park</v>
      </c>
      <c r="J153" s="88">
        <v>15530</v>
      </c>
      <c r="K153" s="87"/>
      <c r="L153" s="87"/>
    </row>
    <row r="154" spans="1:12" ht="15" x14ac:dyDescent="0.25">
      <c r="A154" t="s">
        <v>20988</v>
      </c>
      <c r="B154" t="s">
        <v>16314</v>
      </c>
      <c r="C154" t="s">
        <v>16315</v>
      </c>
      <c r="D154" t="s">
        <v>16286</v>
      </c>
      <c r="E154">
        <v>2900</v>
      </c>
      <c r="F154" t="s">
        <v>16316</v>
      </c>
      <c r="G154" t="s">
        <v>5014</v>
      </c>
      <c r="H154" t="str">
        <f t="shared" si="4"/>
        <v>Freeway2900Fort Worth</v>
      </c>
      <c r="I154" t="str">
        <f t="shared" si="5"/>
        <v>Freeway</v>
      </c>
      <c r="J154" s="88">
        <v>14909</v>
      </c>
      <c r="K154" s="87"/>
      <c r="L154" s="87"/>
    </row>
    <row r="155" spans="1:12" ht="15" x14ac:dyDescent="0.25">
      <c r="A155" t="s">
        <v>21014</v>
      </c>
      <c r="B155" t="s">
        <v>16392</v>
      </c>
      <c r="C155" t="s">
        <v>16393</v>
      </c>
      <c r="D155" t="s">
        <v>16394</v>
      </c>
      <c r="E155">
        <v>902</v>
      </c>
      <c r="F155" t="s">
        <v>16395</v>
      </c>
      <c r="G155" t="s">
        <v>3228</v>
      </c>
      <c r="H155" t="str">
        <f t="shared" si="4"/>
        <v>Avenue902Freeport</v>
      </c>
      <c r="I155" t="str">
        <f t="shared" si="5"/>
        <v>Avenue</v>
      </c>
      <c r="J155" s="97">
        <v>4102</v>
      </c>
      <c r="K155" s="87"/>
      <c r="L155" s="87"/>
    </row>
    <row r="156" spans="1:12" ht="15" x14ac:dyDescent="0.25">
      <c r="A156" t="s">
        <v>21015</v>
      </c>
      <c r="B156" t="s">
        <v>16396</v>
      </c>
      <c r="C156" t="s">
        <v>16397</v>
      </c>
      <c r="D156" t="s">
        <v>16394</v>
      </c>
      <c r="E156">
        <v>1001</v>
      </c>
      <c r="F156" t="s">
        <v>9168</v>
      </c>
      <c r="G156" t="s">
        <v>3228</v>
      </c>
      <c r="H156" t="str">
        <f t="shared" si="4"/>
        <v>Avenue1001Freeport</v>
      </c>
      <c r="I156" t="str">
        <f t="shared" si="5"/>
        <v>Avenue</v>
      </c>
      <c r="J156" s="1">
        <v>16812</v>
      </c>
      <c r="K156" s="87"/>
      <c r="L156" s="87"/>
    </row>
    <row r="157" spans="1:12" ht="15" x14ac:dyDescent="0.25">
      <c r="A157" t="s">
        <v>21017</v>
      </c>
      <c r="B157" t="s">
        <v>16402</v>
      </c>
      <c r="C157" t="s">
        <v>16403</v>
      </c>
      <c r="D157" t="s">
        <v>16394</v>
      </c>
      <c r="E157">
        <v>850</v>
      </c>
      <c r="F157" t="s">
        <v>16404</v>
      </c>
      <c r="G157" t="s">
        <v>3228</v>
      </c>
      <c r="H157" t="str">
        <f t="shared" si="4"/>
        <v>Avenue850Freeport</v>
      </c>
      <c r="I157" t="str">
        <f t="shared" si="5"/>
        <v>Avenue</v>
      </c>
      <c r="J157" s="97">
        <v>4101</v>
      </c>
      <c r="K157" s="87"/>
      <c r="L157" s="87"/>
    </row>
    <row r="158" spans="1:12" ht="15" x14ac:dyDescent="0.25">
      <c r="A158" t="s">
        <v>21039</v>
      </c>
      <c r="B158" t="s">
        <v>16479</v>
      </c>
      <c r="C158" t="s">
        <v>16480</v>
      </c>
      <c r="D158" t="s">
        <v>16481</v>
      </c>
      <c r="E158" t="s">
        <v>16482</v>
      </c>
      <c r="F158" t="s">
        <v>16483</v>
      </c>
      <c r="G158" t="s">
        <v>5019</v>
      </c>
      <c r="H158" t="str">
        <f t="shared" si="4"/>
        <v>Belt1601-1605Garland</v>
      </c>
      <c r="I158" t="str">
        <f t="shared" si="5"/>
        <v>Belt</v>
      </c>
      <c r="J158" s="90" t="s">
        <v>12567</v>
      </c>
      <c r="K158" s="87"/>
      <c r="L158" s="87"/>
    </row>
    <row r="159" spans="1:12" ht="15" x14ac:dyDescent="0.25">
      <c r="A159" t="s">
        <v>21068</v>
      </c>
      <c r="B159" t="s">
        <v>16573</v>
      </c>
      <c r="C159" t="s">
        <v>16574</v>
      </c>
      <c r="D159" t="s">
        <v>11589</v>
      </c>
      <c r="F159" t="s">
        <v>16575</v>
      </c>
      <c r="G159" t="s">
        <v>11589</v>
      </c>
      <c r="H159" t="str">
        <f t="shared" si="4"/>
        <v>GlennGlenn Heights</v>
      </c>
      <c r="I159" t="str">
        <f t="shared" si="5"/>
        <v>Glenn</v>
      </c>
      <c r="J159" s="1">
        <v>30169</v>
      </c>
      <c r="K159" s="87"/>
      <c r="L159" s="87"/>
    </row>
    <row r="160" spans="1:12" ht="15" x14ac:dyDescent="0.25">
      <c r="A160" t="s">
        <v>21090</v>
      </c>
      <c r="B160" t="s">
        <v>16646</v>
      </c>
      <c r="C160" t="s">
        <v>16647</v>
      </c>
      <c r="D160" t="s">
        <v>16648</v>
      </c>
      <c r="E160">
        <v>1933</v>
      </c>
      <c r="F160" t="s">
        <v>16649</v>
      </c>
      <c r="G160" t="s">
        <v>5076</v>
      </c>
      <c r="H160" t="str">
        <f t="shared" si="4"/>
        <v>Freeway1933Grand Prairie</v>
      </c>
      <c r="I160" t="str">
        <f t="shared" si="5"/>
        <v>Freeway</v>
      </c>
      <c r="J160" s="1">
        <v>14119</v>
      </c>
      <c r="K160" s="87"/>
      <c r="L160" s="87"/>
    </row>
    <row r="161" spans="1:12" ht="15" x14ac:dyDescent="0.25">
      <c r="A161" t="s">
        <v>21147</v>
      </c>
      <c r="B161" t="s">
        <v>16831</v>
      </c>
      <c r="C161" t="s">
        <v>16832</v>
      </c>
      <c r="D161" t="s">
        <v>16833</v>
      </c>
      <c r="E161">
        <v>9700</v>
      </c>
      <c r="F161" t="s">
        <v>16834</v>
      </c>
      <c r="G161" t="s">
        <v>1657</v>
      </c>
      <c r="H161" t="str">
        <f t="shared" si="4"/>
        <v>Court9700Houston</v>
      </c>
      <c r="I161" t="str">
        <f t="shared" si="5"/>
        <v>Court</v>
      </c>
      <c r="J161" s="97">
        <v>3080</v>
      </c>
      <c r="K161" s="87"/>
      <c r="L161" s="87"/>
    </row>
    <row r="162" spans="1:12" ht="15" x14ac:dyDescent="0.25">
      <c r="A162" t="s">
        <v>21154</v>
      </c>
      <c r="B162" t="s">
        <v>16853</v>
      </c>
      <c r="C162" t="s">
        <v>16854</v>
      </c>
      <c r="D162" t="s">
        <v>16855</v>
      </c>
      <c r="E162">
        <v>13222</v>
      </c>
      <c r="F162" t="s">
        <v>1907</v>
      </c>
      <c r="G162" t="s">
        <v>1657</v>
      </c>
      <c r="H162" t="str">
        <f t="shared" si="4"/>
        <v>Champsion13222Houston</v>
      </c>
      <c r="I162" t="str">
        <f t="shared" si="5"/>
        <v>Champsion</v>
      </c>
      <c r="J162" s="88">
        <v>1415</v>
      </c>
      <c r="K162" s="87"/>
      <c r="L162" s="87"/>
    </row>
    <row r="163" spans="1:12" ht="15" x14ac:dyDescent="0.25">
      <c r="A163" t="s">
        <v>21164</v>
      </c>
      <c r="B163" t="s">
        <v>16882</v>
      </c>
      <c r="C163" t="s">
        <v>16883</v>
      </c>
      <c r="D163" t="s">
        <v>16884</v>
      </c>
      <c r="E163">
        <v>6407</v>
      </c>
      <c r="F163" t="s">
        <v>16885</v>
      </c>
      <c r="G163" t="s">
        <v>1657</v>
      </c>
      <c r="H163" t="str">
        <f t="shared" si="4"/>
        <v>Antonie6407Houston</v>
      </c>
      <c r="I163" t="str">
        <f t="shared" si="5"/>
        <v>Antonie</v>
      </c>
      <c r="J163" s="1">
        <v>1611</v>
      </c>
      <c r="K163" s="87"/>
      <c r="L163" s="87"/>
    </row>
    <row r="164" spans="1:12" ht="15" x14ac:dyDescent="0.25">
      <c r="A164" t="s">
        <v>21183</v>
      </c>
      <c r="B164" t="s">
        <v>16950</v>
      </c>
      <c r="C164" t="s">
        <v>16951</v>
      </c>
      <c r="D164" t="s">
        <v>16952</v>
      </c>
      <c r="E164">
        <v>16160</v>
      </c>
      <c r="F164" t="s">
        <v>2209</v>
      </c>
      <c r="G164" t="s">
        <v>1657</v>
      </c>
      <c r="H164" t="str">
        <f t="shared" si="4"/>
        <v>Kieth16160Houston</v>
      </c>
      <c r="I164" t="str">
        <f t="shared" si="5"/>
        <v>Kieth</v>
      </c>
      <c r="J164" s="96">
        <v>1647</v>
      </c>
      <c r="K164" s="87"/>
      <c r="L164" s="87"/>
    </row>
    <row r="165" spans="1:12" ht="15" x14ac:dyDescent="0.25">
      <c r="A165" t="s">
        <v>21196</v>
      </c>
      <c r="B165" t="s">
        <v>16991</v>
      </c>
      <c r="C165" t="s">
        <v>16992</v>
      </c>
      <c r="D165" t="s">
        <v>16993</v>
      </c>
      <c r="E165">
        <v>7298</v>
      </c>
      <c r="F165" t="s">
        <v>16994</v>
      </c>
      <c r="G165" t="s">
        <v>1657</v>
      </c>
      <c r="H165" t="str">
        <f t="shared" si="4"/>
        <v>Kings7298Houston</v>
      </c>
      <c r="I165" t="str">
        <f t="shared" si="5"/>
        <v>Kings</v>
      </c>
      <c r="J165" s="97">
        <v>3196</v>
      </c>
      <c r="K165" s="87"/>
      <c r="L165" s="87"/>
    </row>
    <row r="166" spans="1:12" ht="15" x14ac:dyDescent="0.25">
      <c r="A166" t="s">
        <v>21201</v>
      </c>
      <c r="B166" t="s">
        <v>17008</v>
      </c>
      <c r="C166" t="s">
        <v>17009</v>
      </c>
      <c r="D166" t="s">
        <v>17010</v>
      </c>
      <c r="E166">
        <v>5801</v>
      </c>
      <c r="F166" t="s">
        <v>2354</v>
      </c>
      <c r="G166" t="s">
        <v>1657</v>
      </c>
      <c r="H166" t="str">
        <f t="shared" si="4"/>
        <v>Sunfrorest5801Houston</v>
      </c>
      <c r="I166" t="str">
        <f t="shared" si="5"/>
        <v>Sunfrorest</v>
      </c>
      <c r="J166" s="96">
        <v>1782</v>
      </c>
      <c r="K166" s="87"/>
      <c r="L166" s="87"/>
    </row>
    <row r="167" spans="1:12" ht="15" x14ac:dyDescent="0.25">
      <c r="A167" t="s">
        <v>21208</v>
      </c>
      <c r="B167" t="s">
        <v>17028</v>
      </c>
      <c r="C167" t="s">
        <v>17029</v>
      </c>
      <c r="D167" t="s">
        <v>17030</v>
      </c>
      <c r="E167">
        <v>5410</v>
      </c>
      <c r="F167" t="s">
        <v>1213</v>
      </c>
      <c r="G167" t="s">
        <v>1657</v>
      </c>
      <c r="H167" t="str">
        <f t="shared" si="4"/>
        <v>Braeswood5410Houston</v>
      </c>
      <c r="I167" t="str">
        <f t="shared" si="5"/>
        <v>Braeswood</v>
      </c>
      <c r="J167" s="97">
        <v>3311</v>
      </c>
      <c r="K167" s="87"/>
      <c r="L167" s="87"/>
    </row>
    <row r="168" spans="1:12" ht="15" x14ac:dyDescent="0.25">
      <c r="A168" t="s">
        <v>21214</v>
      </c>
      <c r="B168" t="s">
        <v>17048</v>
      </c>
      <c r="C168" t="s">
        <v>17049</v>
      </c>
      <c r="D168" t="s">
        <v>16884</v>
      </c>
      <c r="E168">
        <v>5625</v>
      </c>
      <c r="F168" t="s">
        <v>2366</v>
      </c>
      <c r="G168" t="s">
        <v>1657</v>
      </c>
      <c r="H168" t="str">
        <f t="shared" si="4"/>
        <v>Antonie5625Houston</v>
      </c>
      <c r="I168" t="str">
        <f t="shared" si="5"/>
        <v>Antonie</v>
      </c>
      <c r="J168" s="96">
        <v>1794</v>
      </c>
      <c r="K168" s="87"/>
      <c r="L168" s="87"/>
    </row>
    <row r="169" spans="1:12" ht="15" x14ac:dyDescent="0.25">
      <c r="A169" t="s">
        <v>21216</v>
      </c>
      <c r="B169" t="s">
        <v>17054</v>
      </c>
      <c r="C169" t="s">
        <v>17055</v>
      </c>
      <c r="D169" t="s">
        <v>16884</v>
      </c>
      <c r="E169">
        <v>12411</v>
      </c>
      <c r="F169" t="s">
        <v>1880</v>
      </c>
      <c r="G169" t="s">
        <v>1657</v>
      </c>
      <c r="H169" t="str">
        <f t="shared" si="4"/>
        <v>Antonie12411Houston</v>
      </c>
      <c r="I169" t="str">
        <f t="shared" si="5"/>
        <v>Antonie</v>
      </c>
      <c r="J169" s="88">
        <v>1398</v>
      </c>
      <c r="K169" s="87"/>
      <c r="L169" s="87"/>
    </row>
    <row r="170" spans="1:12" ht="15" x14ac:dyDescent="0.25">
      <c r="A170" t="s">
        <v>21252</v>
      </c>
      <c r="B170" t="s">
        <v>17165</v>
      </c>
      <c r="C170" t="s">
        <v>17166</v>
      </c>
      <c r="D170" t="s">
        <v>17167</v>
      </c>
      <c r="E170">
        <v>14811</v>
      </c>
      <c r="F170" t="s">
        <v>17168</v>
      </c>
      <c r="G170" t="s">
        <v>1657</v>
      </c>
      <c r="H170" t="str">
        <f t="shared" si="4"/>
        <v>Road14811Houston</v>
      </c>
      <c r="I170" t="str">
        <f t="shared" si="5"/>
        <v>Road</v>
      </c>
      <c r="J170" s="1">
        <v>16165</v>
      </c>
      <c r="K170" s="87"/>
      <c r="L170" s="87"/>
    </row>
    <row r="171" spans="1:12" ht="15" x14ac:dyDescent="0.25">
      <c r="A171" t="s">
        <v>21255</v>
      </c>
      <c r="B171" t="s">
        <v>17177</v>
      </c>
      <c r="C171" t="s">
        <v>17178</v>
      </c>
      <c r="D171" t="s">
        <v>17179</v>
      </c>
      <c r="E171">
        <v>4100</v>
      </c>
      <c r="F171" t="s">
        <v>17180</v>
      </c>
      <c r="G171" t="s">
        <v>1657</v>
      </c>
      <c r="H171" t="str">
        <f t="shared" si="4"/>
        <v>Southwest4100Houston</v>
      </c>
      <c r="I171" t="str">
        <f t="shared" si="5"/>
        <v>Southwest</v>
      </c>
      <c r="J171" s="88">
        <v>17395</v>
      </c>
      <c r="K171" s="87"/>
      <c r="L171" s="87"/>
    </row>
    <row r="172" spans="1:12" ht="15" x14ac:dyDescent="0.25">
      <c r="A172" t="s">
        <v>21266</v>
      </c>
      <c r="B172" t="s">
        <v>17210</v>
      </c>
      <c r="C172" t="s">
        <v>17211</v>
      </c>
      <c r="D172" t="s">
        <v>17212</v>
      </c>
      <c r="E172">
        <v>9400</v>
      </c>
      <c r="F172" t="s">
        <v>17213</v>
      </c>
      <c r="G172" t="s">
        <v>1657</v>
      </c>
      <c r="H172" t="str">
        <f t="shared" si="4"/>
        <v>Conventry9400Houston</v>
      </c>
      <c r="I172" t="str">
        <f t="shared" si="5"/>
        <v>Conventry</v>
      </c>
      <c r="J172" s="1">
        <v>3069</v>
      </c>
      <c r="K172" s="87"/>
      <c r="L172" s="87"/>
    </row>
    <row r="173" spans="1:12" ht="15" x14ac:dyDescent="0.25">
      <c r="A173" t="s">
        <v>21270</v>
      </c>
      <c r="B173" t="s">
        <v>17225</v>
      </c>
      <c r="C173" t="s">
        <v>17226</v>
      </c>
      <c r="D173" t="s">
        <v>17227</v>
      </c>
      <c r="E173">
        <v>5710</v>
      </c>
      <c r="F173" t="s">
        <v>17228</v>
      </c>
      <c r="G173" t="s">
        <v>1657</v>
      </c>
      <c r="H173" t="str">
        <f t="shared" si="4"/>
        <v>Mt.5710Houston</v>
      </c>
      <c r="I173" t="str">
        <f t="shared" si="5"/>
        <v>Mt.</v>
      </c>
      <c r="J173" s="1">
        <v>1599</v>
      </c>
      <c r="K173" s="87"/>
      <c r="L173" s="87"/>
    </row>
    <row r="174" spans="1:12" ht="15" x14ac:dyDescent="0.25">
      <c r="A174" t="s">
        <v>21277</v>
      </c>
      <c r="B174" t="s">
        <v>17247</v>
      </c>
      <c r="C174" t="s">
        <v>17248</v>
      </c>
      <c r="D174" t="s">
        <v>17249</v>
      </c>
      <c r="E174" t="s">
        <v>17250</v>
      </c>
      <c r="F174" t="s">
        <v>2501</v>
      </c>
      <c r="G174" t="s">
        <v>1657</v>
      </c>
      <c r="H174" t="str">
        <f t="shared" si="4"/>
        <v>Tannehill2100 &amp; 2121Houston</v>
      </c>
      <c r="I174" t="str">
        <f t="shared" si="5"/>
        <v>Tannehill</v>
      </c>
      <c r="J174" s="1">
        <v>1935</v>
      </c>
      <c r="K174" s="87"/>
      <c r="L174" s="87"/>
    </row>
    <row r="175" spans="1:12" ht="15" x14ac:dyDescent="0.25">
      <c r="A175" t="s">
        <v>21306</v>
      </c>
      <c r="B175" t="s">
        <v>17348</v>
      </c>
      <c r="C175" t="s">
        <v>17349</v>
      </c>
      <c r="D175" t="s">
        <v>17350</v>
      </c>
      <c r="E175">
        <v>301</v>
      </c>
      <c r="F175" t="s">
        <v>17351</v>
      </c>
      <c r="G175" t="s">
        <v>5046</v>
      </c>
      <c r="H175" t="str">
        <f t="shared" si="4"/>
        <v>Rolston301Irving</v>
      </c>
      <c r="I175" t="str">
        <f t="shared" si="5"/>
        <v>Rolston</v>
      </c>
      <c r="J175" s="95" t="s">
        <v>12616</v>
      </c>
      <c r="K175" s="87"/>
      <c r="L175" s="87"/>
    </row>
    <row r="176" spans="1:12" ht="15" x14ac:dyDescent="0.25">
      <c r="A176" t="s">
        <v>21321</v>
      </c>
      <c r="B176" t="s">
        <v>17399</v>
      </c>
      <c r="C176" t="s">
        <v>17400</v>
      </c>
      <c r="D176" t="s">
        <v>16481</v>
      </c>
      <c r="E176">
        <v>3800</v>
      </c>
      <c r="F176" t="s">
        <v>17401</v>
      </c>
      <c r="G176" t="s">
        <v>5046</v>
      </c>
      <c r="H176" t="str">
        <f t="shared" si="4"/>
        <v>Belt3800Irving</v>
      </c>
      <c r="I176" t="str">
        <f t="shared" si="5"/>
        <v>Belt</v>
      </c>
      <c r="J176" s="97">
        <v>13294</v>
      </c>
      <c r="K176" s="87"/>
      <c r="L176" s="87"/>
    </row>
    <row r="177" spans="1:12" ht="15" x14ac:dyDescent="0.25">
      <c r="A177" t="s">
        <v>21326</v>
      </c>
      <c r="B177" t="s">
        <v>17416</v>
      </c>
      <c r="C177" t="s">
        <v>17417</v>
      </c>
      <c r="D177" t="s">
        <v>17418</v>
      </c>
      <c r="E177">
        <v>2504</v>
      </c>
      <c r="F177" t="s">
        <v>17419</v>
      </c>
      <c r="G177" t="s">
        <v>5046</v>
      </c>
      <c r="H177" t="str">
        <f t="shared" si="4"/>
        <v>Finely2504Irving</v>
      </c>
      <c r="I177" t="str">
        <f t="shared" si="5"/>
        <v>Finely</v>
      </c>
      <c r="J177" s="97">
        <v>15245</v>
      </c>
      <c r="K177" s="87"/>
      <c r="L177" s="87"/>
    </row>
    <row r="178" spans="1:12" ht="15" x14ac:dyDescent="0.25">
      <c r="A178" t="s">
        <v>21331</v>
      </c>
      <c r="B178" t="s">
        <v>17432</v>
      </c>
      <c r="C178" t="s">
        <v>17433</v>
      </c>
      <c r="D178" t="s">
        <v>17434</v>
      </c>
      <c r="E178">
        <v>130</v>
      </c>
      <c r="F178" t="s">
        <v>17435</v>
      </c>
      <c r="G178" t="s">
        <v>5046</v>
      </c>
      <c r="H178" t="str">
        <f t="shared" si="4"/>
        <v>Highland130Irving</v>
      </c>
      <c r="I178" t="str">
        <f t="shared" si="5"/>
        <v>Highland</v>
      </c>
      <c r="J178" s="95" t="s">
        <v>12608</v>
      </c>
      <c r="K178" s="87"/>
      <c r="L178" s="87"/>
    </row>
    <row r="179" spans="1:12" ht="15" x14ac:dyDescent="0.25">
      <c r="A179" t="s">
        <v>21354</v>
      </c>
      <c r="B179" t="s">
        <v>17505</v>
      </c>
      <c r="C179" t="s">
        <v>17506</v>
      </c>
      <c r="D179" t="s">
        <v>17507</v>
      </c>
      <c r="E179" t="s">
        <v>17508</v>
      </c>
      <c r="F179" t="s">
        <v>17509</v>
      </c>
      <c r="G179" t="s">
        <v>5046</v>
      </c>
      <c r="H179" t="str">
        <f t="shared" si="4"/>
        <v>Parkridge7300-7388Irving</v>
      </c>
      <c r="I179" t="str">
        <f t="shared" si="5"/>
        <v>Parkridge</v>
      </c>
      <c r="J179" s="1">
        <v>13837</v>
      </c>
      <c r="K179" s="87"/>
      <c r="L179" s="87"/>
    </row>
    <row r="180" spans="1:12" ht="15" x14ac:dyDescent="0.25">
      <c r="A180" t="s">
        <v>21365</v>
      </c>
      <c r="B180" t="s">
        <v>17541</v>
      </c>
      <c r="C180" t="s">
        <v>17542</v>
      </c>
      <c r="D180" t="s">
        <v>17404</v>
      </c>
      <c r="E180" t="s">
        <v>17543</v>
      </c>
      <c r="F180" t="s">
        <v>17544</v>
      </c>
      <c r="G180" t="s">
        <v>5046</v>
      </c>
      <c r="H180" t="str">
        <f t="shared" si="4"/>
        <v>Airport1551-1613Irving</v>
      </c>
      <c r="I180" t="str">
        <f t="shared" si="5"/>
        <v>Airport</v>
      </c>
      <c r="J180" s="97">
        <v>15112</v>
      </c>
      <c r="K180" s="87"/>
      <c r="L180" s="87"/>
    </row>
    <row r="181" spans="1:12" ht="15" x14ac:dyDescent="0.25">
      <c r="A181" t="s">
        <v>21384</v>
      </c>
      <c r="B181" t="s">
        <v>17600</v>
      </c>
      <c r="C181" t="s">
        <v>17601</v>
      </c>
      <c r="D181" t="s">
        <v>17602</v>
      </c>
      <c r="E181">
        <v>1620</v>
      </c>
      <c r="F181" t="s">
        <v>15603</v>
      </c>
      <c r="G181" t="s">
        <v>5046</v>
      </c>
      <c r="H181" t="str">
        <f t="shared" si="4"/>
        <v>Virgina1620Irving</v>
      </c>
      <c r="I181" t="str">
        <f t="shared" si="5"/>
        <v>Virgina</v>
      </c>
      <c r="J181" s="88">
        <v>15651</v>
      </c>
      <c r="K181" s="87"/>
      <c r="L181" s="87"/>
    </row>
    <row r="182" spans="1:12" ht="15" x14ac:dyDescent="0.25">
      <c r="A182" t="s">
        <v>21468</v>
      </c>
      <c r="B182" t="s">
        <v>17882</v>
      </c>
      <c r="C182" t="s">
        <v>17883</v>
      </c>
      <c r="D182" t="s">
        <v>17884</v>
      </c>
      <c r="E182">
        <v>1114</v>
      </c>
      <c r="F182" t="s">
        <v>12641</v>
      </c>
      <c r="G182" t="s">
        <v>12339</v>
      </c>
      <c r="H182" t="str">
        <f t="shared" si="4"/>
        <v>15851114Lubbock</v>
      </c>
      <c r="I182" t="str">
        <f t="shared" si="5"/>
        <v>1585</v>
      </c>
      <c r="J182" s="90" t="s">
        <v>12639</v>
      </c>
      <c r="K182" s="87"/>
      <c r="L182" s="87"/>
    </row>
    <row r="183" spans="1:12" ht="15" x14ac:dyDescent="0.25">
      <c r="A183" t="s">
        <v>21469</v>
      </c>
      <c r="B183" t="s">
        <v>17885</v>
      </c>
      <c r="C183" t="s">
        <v>17886</v>
      </c>
      <c r="D183" t="s">
        <v>17887</v>
      </c>
      <c r="E183">
        <v>1215</v>
      </c>
      <c r="F183" t="s">
        <v>17888</v>
      </c>
      <c r="G183" t="s">
        <v>12339</v>
      </c>
      <c r="H183" t="str">
        <f t="shared" si="4"/>
        <v>Avenue1215Lubbock</v>
      </c>
      <c r="I183" t="str">
        <f t="shared" si="5"/>
        <v>Avenue</v>
      </c>
      <c r="J183" s="1">
        <v>30736</v>
      </c>
      <c r="K183" s="87"/>
      <c r="L183" s="87"/>
    </row>
    <row r="184" spans="1:12" ht="15" x14ac:dyDescent="0.25">
      <c r="A184" t="s">
        <v>21482</v>
      </c>
      <c r="B184" t="s">
        <v>17931</v>
      </c>
      <c r="C184" t="s">
        <v>17932</v>
      </c>
      <c r="D184" t="s">
        <v>17933</v>
      </c>
      <c r="E184">
        <v>8217</v>
      </c>
      <c r="F184" t="s">
        <v>17934</v>
      </c>
      <c r="G184" t="s">
        <v>12339</v>
      </c>
      <c r="H184" t="str">
        <f t="shared" si="4"/>
        <v>Avenue8217Lubbock</v>
      </c>
      <c r="I184" t="str">
        <f t="shared" si="5"/>
        <v>Avenue</v>
      </c>
      <c r="J184" s="97">
        <v>30720</v>
      </c>
      <c r="K184" s="87"/>
      <c r="L184" s="87"/>
    </row>
    <row r="185" spans="1:12" ht="15" x14ac:dyDescent="0.25">
      <c r="A185" t="s">
        <v>21483</v>
      </c>
      <c r="B185" t="s">
        <v>17935</v>
      </c>
      <c r="C185" t="s">
        <v>17936</v>
      </c>
      <c r="D185" t="s">
        <v>17912</v>
      </c>
      <c r="E185">
        <v>4901</v>
      </c>
      <c r="F185" t="s">
        <v>11934</v>
      </c>
      <c r="G185" t="s">
        <v>12339</v>
      </c>
      <c r="H185" t="str">
        <f t="shared" si="4"/>
        <v>4th4901Lubbock</v>
      </c>
      <c r="I185" t="str">
        <f t="shared" si="5"/>
        <v>4th</v>
      </c>
      <c r="J185" s="1">
        <v>30737</v>
      </c>
      <c r="K185" s="87"/>
      <c r="L185" s="87"/>
    </row>
    <row r="186" spans="1:12" ht="15" x14ac:dyDescent="0.25">
      <c r="A186" t="s">
        <v>21498</v>
      </c>
      <c r="B186" t="s">
        <v>17981</v>
      </c>
      <c r="C186" t="s">
        <v>17982</v>
      </c>
      <c r="D186" t="s">
        <v>17983</v>
      </c>
      <c r="E186">
        <v>2025</v>
      </c>
      <c r="F186" t="s">
        <v>5802</v>
      </c>
      <c r="G186" t="s">
        <v>17984</v>
      </c>
      <c r="H186" t="str">
        <f t="shared" si="4"/>
        <v>Lakepointe2025Lweisville</v>
      </c>
      <c r="I186" t="str">
        <f t="shared" si="5"/>
        <v>Lakepointe</v>
      </c>
      <c r="J186" s="97">
        <v>13646</v>
      </c>
      <c r="K186" s="87"/>
      <c r="L186" s="87"/>
    </row>
    <row r="187" spans="1:12" ht="15" x14ac:dyDescent="0.25">
      <c r="A187" t="s">
        <v>21503</v>
      </c>
      <c r="B187" t="s">
        <v>18000</v>
      </c>
      <c r="C187" t="s">
        <v>18001</v>
      </c>
      <c r="D187" t="s">
        <v>18002</v>
      </c>
      <c r="E187">
        <v>2501</v>
      </c>
      <c r="F187" t="s">
        <v>12116</v>
      </c>
      <c r="G187" t="s">
        <v>12110</v>
      </c>
      <c r="H187" t="str">
        <f t="shared" si="4"/>
        <v>I2501McAllen</v>
      </c>
      <c r="I187" t="str">
        <f t="shared" si="5"/>
        <v>I</v>
      </c>
      <c r="J187" s="1">
        <v>30546</v>
      </c>
      <c r="K187" s="87"/>
      <c r="L187" s="87"/>
    </row>
    <row r="188" spans="1:12" ht="15" x14ac:dyDescent="0.25">
      <c r="A188" t="s">
        <v>21505</v>
      </c>
      <c r="B188" t="s">
        <v>18007</v>
      </c>
      <c r="C188" t="s">
        <v>18008</v>
      </c>
      <c r="D188" t="s">
        <v>18009</v>
      </c>
      <c r="E188">
        <v>3101</v>
      </c>
      <c r="F188" t="s">
        <v>18010</v>
      </c>
      <c r="G188" t="s">
        <v>12110</v>
      </c>
      <c r="H188" t="str">
        <f t="shared" si="4"/>
        <v>8th3101McAllen</v>
      </c>
      <c r="I188" t="str">
        <f t="shared" si="5"/>
        <v>8th</v>
      </c>
      <c r="J188" s="97">
        <v>30544</v>
      </c>
      <c r="K188" s="87"/>
      <c r="L188" s="87"/>
    </row>
    <row r="189" spans="1:12" ht="15" x14ac:dyDescent="0.25">
      <c r="A189" t="s">
        <v>21510</v>
      </c>
      <c r="B189" t="s">
        <v>18025</v>
      </c>
      <c r="C189" t="s">
        <v>18026</v>
      </c>
      <c r="D189" t="s">
        <v>13010</v>
      </c>
      <c r="E189">
        <v>1901</v>
      </c>
      <c r="F189" t="s">
        <v>18027</v>
      </c>
      <c r="G189" t="s">
        <v>12110</v>
      </c>
      <c r="H189" t="str">
        <f t="shared" si="4"/>
        <v>2nd1901McAllen</v>
      </c>
      <c r="I189" t="str">
        <f t="shared" si="5"/>
        <v>2nd</v>
      </c>
      <c r="J189" s="1">
        <v>30549</v>
      </c>
      <c r="K189" s="87"/>
      <c r="L189" s="87"/>
    </row>
    <row r="190" spans="1:12" ht="15" x14ac:dyDescent="0.25">
      <c r="A190" t="s">
        <v>21536</v>
      </c>
      <c r="B190" t="s">
        <v>18113</v>
      </c>
      <c r="C190" t="s">
        <v>18114</v>
      </c>
      <c r="D190" t="s">
        <v>18115</v>
      </c>
      <c r="E190">
        <v>2136</v>
      </c>
      <c r="F190" t="s">
        <v>18116</v>
      </c>
      <c r="G190" t="s">
        <v>5088</v>
      </c>
      <c r="H190" t="str">
        <f t="shared" si="4"/>
        <v>Tradewind2136Mesquite</v>
      </c>
      <c r="I190" t="str">
        <f t="shared" si="5"/>
        <v>Tradewind</v>
      </c>
      <c r="J190" s="88">
        <v>14115</v>
      </c>
      <c r="K190" s="87"/>
      <c r="L190" s="87"/>
    </row>
    <row r="191" spans="1:12" ht="15" x14ac:dyDescent="0.25">
      <c r="A191" t="s">
        <v>21547</v>
      </c>
      <c r="B191" t="s">
        <v>18152</v>
      </c>
      <c r="C191" t="s">
        <v>18153</v>
      </c>
      <c r="D191" t="s">
        <v>18154</v>
      </c>
      <c r="E191">
        <v>3001</v>
      </c>
      <c r="F191" t="s">
        <v>16707</v>
      </c>
      <c r="G191" t="s">
        <v>12177</v>
      </c>
      <c r="H191" t="str">
        <f t="shared" si="4"/>
        <v>2nd3001Mineral Wells</v>
      </c>
      <c r="I191" t="str">
        <f t="shared" si="5"/>
        <v>2nd</v>
      </c>
      <c r="J191" s="97">
        <v>30596</v>
      </c>
      <c r="K191" s="87"/>
      <c r="L191" s="87"/>
    </row>
    <row r="192" spans="1:12" ht="15" x14ac:dyDescent="0.25">
      <c r="A192" t="s">
        <v>21552</v>
      </c>
      <c r="B192" t="s">
        <v>18170</v>
      </c>
      <c r="C192" t="s">
        <v>18171</v>
      </c>
      <c r="D192" t="s">
        <v>18172</v>
      </c>
      <c r="E192">
        <v>1003</v>
      </c>
      <c r="F192" t="s">
        <v>12322</v>
      </c>
      <c r="G192" t="s">
        <v>12320</v>
      </c>
      <c r="H192" t="str">
        <f t="shared" si="4"/>
        <v>Avenue1003Nederland</v>
      </c>
      <c r="I192" t="str">
        <f t="shared" si="5"/>
        <v>Avenue</v>
      </c>
      <c r="J192" s="88">
        <v>30689</v>
      </c>
      <c r="K192" s="87"/>
      <c r="L192" s="87"/>
    </row>
    <row r="193" spans="1:12" ht="15" x14ac:dyDescent="0.25">
      <c r="A193" t="s">
        <v>21571</v>
      </c>
      <c r="B193" t="s">
        <v>18231</v>
      </c>
      <c r="C193" t="s">
        <v>18232</v>
      </c>
      <c r="D193" t="s">
        <v>18233</v>
      </c>
      <c r="E193">
        <v>9012</v>
      </c>
      <c r="F193" t="s">
        <v>18234</v>
      </c>
      <c r="G193" t="s">
        <v>6541</v>
      </c>
      <c r="H193" t="str">
        <f t="shared" si="4"/>
        <v>Courtenay9012North Richland Hills</v>
      </c>
      <c r="I193" t="str">
        <f t="shared" si="5"/>
        <v>Courtenay</v>
      </c>
      <c r="J193" s="1">
        <v>17327</v>
      </c>
      <c r="K193" s="87"/>
      <c r="L193" s="87"/>
    </row>
    <row r="194" spans="1:12" ht="15" x14ac:dyDescent="0.25">
      <c r="A194" t="s">
        <v>21587</v>
      </c>
      <c r="B194" t="s">
        <v>18285</v>
      </c>
      <c r="C194" t="s">
        <v>18286</v>
      </c>
      <c r="D194" t="s">
        <v>18287</v>
      </c>
      <c r="F194" t="s">
        <v>12430</v>
      </c>
      <c r="G194" t="s">
        <v>12431</v>
      </c>
      <c r="H194" t="str">
        <f t="shared" ref="H194:H257" si="6">I194&amp;E194&amp;G194</f>
        <v>HovleyPalm Desert</v>
      </c>
      <c r="I194" t="str">
        <f t="shared" ref="I194:I257" si="7">IFERROR(LEFT(D194,FIND(" ",D194)-1),D194)</f>
        <v>Hovley</v>
      </c>
      <c r="J194" s="1">
        <v>30755</v>
      </c>
      <c r="K194" s="87"/>
      <c r="L194" s="87"/>
    </row>
    <row r="195" spans="1:12" ht="15" x14ac:dyDescent="0.25">
      <c r="A195" t="s">
        <v>21596</v>
      </c>
      <c r="B195" t="s">
        <v>18318</v>
      </c>
      <c r="C195" t="s">
        <v>18319</v>
      </c>
      <c r="D195" t="s">
        <v>18320</v>
      </c>
      <c r="E195">
        <v>4025</v>
      </c>
      <c r="F195" t="s">
        <v>4253</v>
      </c>
      <c r="G195" t="s">
        <v>3924</v>
      </c>
      <c r="H195" t="str">
        <f t="shared" si="6"/>
        <v>Burke4025Pasadena</v>
      </c>
      <c r="I195" t="str">
        <f t="shared" si="7"/>
        <v>Burke</v>
      </c>
      <c r="J195" s="1">
        <v>4010</v>
      </c>
      <c r="K195" s="87"/>
      <c r="L195" s="87"/>
    </row>
    <row r="196" spans="1:12" ht="15" x14ac:dyDescent="0.25">
      <c r="A196" t="s">
        <v>21611</v>
      </c>
      <c r="B196" t="s">
        <v>18367</v>
      </c>
      <c r="C196" t="s">
        <v>18368</v>
      </c>
      <c r="D196" t="s">
        <v>18369</v>
      </c>
      <c r="E196">
        <v>2301</v>
      </c>
      <c r="F196" t="s">
        <v>18370</v>
      </c>
      <c r="G196" t="s">
        <v>5009</v>
      </c>
      <c r="H196" t="str">
        <f t="shared" si="6"/>
        <v>Pebble2301Plano</v>
      </c>
      <c r="I196" t="str">
        <f t="shared" si="7"/>
        <v>Pebble</v>
      </c>
      <c r="J196" s="1">
        <v>14287</v>
      </c>
      <c r="K196" s="87"/>
      <c r="L196" s="87"/>
    </row>
    <row r="197" spans="1:12" ht="15" x14ac:dyDescent="0.25">
      <c r="A197" t="s">
        <v>21618</v>
      </c>
      <c r="B197" t="s">
        <v>18391</v>
      </c>
      <c r="C197" t="s">
        <v>18392</v>
      </c>
      <c r="D197" t="s">
        <v>13967</v>
      </c>
      <c r="E197" t="s">
        <v>18393</v>
      </c>
      <c r="F197" t="s">
        <v>18394</v>
      </c>
      <c r="G197" t="s">
        <v>5009</v>
      </c>
      <c r="H197" t="str">
        <f t="shared" si="6"/>
        <v>Avenue1509-1531Plano</v>
      </c>
      <c r="I197" t="str">
        <f t="shared" si="7"/>
        <v>Avenue</v>
      </c>
      <c r="J197" s="90" t="s">
        <v>12648</v>
      </c>
      <c r="K197" s="87"/>
      <c r="L197" s="87"/>
    </row>
    <row r="198" spans="1:12" ht="15" x14ac:dyDescent="0.25">
      <c r="A198" t="s">
        <v>21619</v>
      </c>
      <c r="B198" t="s">
        <v>18395</v>
      </c>
      <c r="C198" t="s">
        <v>18396</v>
      </c>
      <c r="D198" t="s">
        <v>18397</v>
      </c>
      <c r="E198">
        <v>18790</v>
      </c>
      <c r="F198" t="s">
        <v>18398</v>
      </c>
      <c r="G198" t="s">
        <v>5009</v>
      </c>
      <c r="H198" t="str">
        <f t="shared" si="6"/>
        <v>Lloyd18790Plano</v>
      </c>
      <c r="I198" t="str">
        <f t="shared" si="7"/>
        <v>Lloyd</v>
      </c>
      <c r="J198" s="88">
        <v>14629</v>
      </c>
      <c r="K198" s="87" t="s">
        <v>22235</v>
      </c>
      <c r="L198" s="87"/>
    </row>
    <row r="199" spans="1:12" ht="15" x14ac:dyDescent="0.25">
      <c r="A199" t="s">
        <v>21632</v>
      </c>
      <c r="B199" t="s">
        <v>18441</v>
      </c>
      <c r="C199" t="s">
        <v>18442</v>
      </c>
      <c r="D199" t="s">
        <v>18443</v>
      </c>
      <c r="E199">
        <v>106</v>
      </c>
      <c r="F199" t="s">
        <v>12668</v>
      </c>
      <c r="G199" t="s">
        <v>5862</v>
      </c>
      <c r="H199" t="str">
        <f t="shared" si="6"/>
        <v>342106Red Oak</v>
      </c>
      <c r="I199" t="str">
        <f t="shared" si="7"/>
        <v>342</v>
      </c>
      <c r="J199" s="95" t="s">
        <v>12666</v>
      </c>
      <c r="K199" s="87"/>
      <c r="L199" s="87"/>
    </row>
    <row r="200" spans="1:12" ht="15" x14ac:dyDescent="0.25">
      <c r="A200" t="s">
        <v>21649</v>
      </c>
      <c r="B200" t="s">
        <v>18503</v>
      </c>
      <c r="C200" t="s">
        <v>18504</v>
      </c>
      <c r="D200" t="s">
        <v>18505</v>
      </c>
      <c r="E200" t="s">
        <v>18506</v>
      </c>
      <c r="F200" t="s">
        <v>18507</v>
      </c>
      <c r="G200" t="s">
        <v>3328</v>
      </c>
      <c r="H200" t="str">
        <f t="shared" si="6"/>
        <v>Waterview915-935Richardson</v>
      </c>
      <c r="I200" t="str">
        <f t="shared" si="7"/>
        <v>Waterview</v>
      </c>
      <c r="J200" s="1">
        <v>14704</v>
      </c>
      <c r="K200" s="87"/>
      <c r="L200" s="87"/>
    </row>
    <row r="201" spans="1:12" ht="15" x14ac:dyDescent="0.25">
      <c r="A201" t="s">
        <v>21668</v>
      </c>
      <c r="B201" t="s">
        <v>18567</v>
      </c>
      <c r="C201" t="s">
        <v>18568</v>
      </c>
      <c r="D201" t="s">
        <v>18569</v>
      </c>
      <c r="E201" t="s">
        <v>18570</v>
      </c>
      <c r="F201" t="s">
        <v>18571</v>
      </c>
      <c r="G201" t="s">
        <v>332</v>
      </c>
      <c r="H201" t="str">
        <f t="shared" si="6"/>
        <v>Brocks6157-6163River Oaks</v>
      </c>
      <c r="I201" t="str">
        <f t="shared" si="7"/>
        <v>Brocks</v>
      </c>
      <c r="J201" s="95" t="s">
        <v>12708</v>
      </c>
      <c r="K201" s="87"/>
      <c r="L201" s="87"/>
    </row>
    <row r="202" spans="1:12" ht="15" x14ac:dyDescent="0.25">
      <c r="A202" t="s">
        <v>21711</v>
      </c>
      <c r="B202" t="s">
        <v>18713</v>
      </c>
      <c r="C202" t="s">
        <v>18714</v>
      </c>
      <c r="D202" t="s">
        <v>18715</v>
      </c>
      <c r="E202">
        <v>11726</v>
      </c>
      <c r="F202" t="s">
        <v>18716</v>
      </c>
      <c r="G202" t="s">
        <v>842</v>
      </c>
      <c r="H202" t="str">
        <f t="shared" si="6"/>
        <v>Avenue11726San Antonio</v>
      </c>
      <c r="I202" t="str">
        <f t="shared" si="7"/>
        <v>Avenue</v>
      </c>
      <c r="J202" s="88">
        <v>944</v>
      </c>
      <c r="K202" s="87"/>
      <c r="L202" s="87"/>
    </row>
    <row r="203" spans="1:12" ht="15" x14ac:dyDescent="0.25">
      <c r="A203" t="s">
        <v>21719</v>
      </c>
      <c r="B203" t="s">
        <v>18740</v>
      </c>
      <c r="C203" t="s">
        <v>18741</v>
      </c>
      <c r="D203" t="s">
        <v>18742</v>
      </c>
      <c r="E203">
        <v>3144</v>
      </c>
      <c r="F203" t="s">
        <v>18743</v>
      </c>
      <c r="G203" t="s">
        <v>842</v>
      </c>
      <c r="H203" t="str">
        <f t="shared" si="6"/>
        <v>Commerece3144San Antonio</v>
      </c>
      <c r="I203" t="str">
        <f t="shared" si="7"/>
        <v>Commerece</v>
      </c>
      <c r="J203" s="1">
        <v>16205</v>
      </c>
      <c r="K203" s="87"/>
      <c r="L203" s="87"/>
    </row>
    <row r="204" spans="1:12" ht="15" x14ac:dyDescent="0.25">
      <c r="A204" t="s">
        <v>21722</v>
      </c>
      <c r="B204" t="s">
        <v>18750</v>
      </c>
      <c r="C204" t="s">
        <v>18751</v>
      </c>
      <c r="D204" t="s">
        <v>18752</v>
      </c>
      <c r="E204">
        <v>2644</v>
      </c>
      <c r="F204" t="s">
        <v>677</v>
      </c>
      <c r="G204" t="s">
        <v>842</v>
      </c>
      <c r="H204" t="str">
        <f t="shared" si="6"/>
        <v>Ackermann2644San Antonio</v>
      </c>
      <c r="I204" t="str">
        <f t="shared" si="7"/>
        <v>Ackermann</v>
      </c>
      <c r="J204" s="88">
        <v>758</v>
      </c>
      <c r="K204" s="87"/>
      <c r="L204" s="87"/>
    </row>
    <row r="205" spans="1:12" ht="15" x14ac:dyDescent="0.25">
      <c r="A205" t="s">
        <v>21745</v>
      </c>
      <c r="B205" t="s">
        <v>18832</v>
      </c>
      <c r="C205" t="s">
        <v>18833</v>
      </c>
      <c r="D205" t="s">
        <v>18834</v>
      </c>
      <c r="E205">
        <v>8555</v>
      </c>
      <c r="F205" t="s">
        <v>1152</v>
      </c>
      <c r="G205" t="s">
        <v>842</v>
      </c>
      <c r="H205" t="str">
        <f t="shared" si="6"/>
        <v>Laurens8555San Antonio</v>
      </c>
      <c r="I205" t="str">
        <f t="shared" si="7"/>
        <v>Laurens</v>
      </c>
      <c r="J205" s="1">
        <v>864</v>
      </c>
      <c r="K205" s="87"/>
      <c r="L205" s="87"/>
    </row>
    <row r="206" spans="1:12" ht="15" x14ac:dyDescent="0.25">
      <c r="A206" t="s">
        <v>21750</v>
      </c>
      <c r="B206" t="s">
        <v>18849</v>
      </c>
      <c r="C206" t="s">
        <v>18850</v>
      </c>
      <c r="D206" t="s">
        <v>18851</v>
      </c>
      <c r="E206">
        <v>11800</v>
      </c>
      <c r="F206" t="s">
        <v>18852</v>
      </c>
      <c r="G206" t="s">
        <v>842</v>
      </c>
      <c r="H206" t="str">
        <f t="shared" si="6"/>
        <v>Braeview11800San Antonio</v>
      </c>
      <c r="I206" t="str">
        <f t="shared" si="7"/>
        <v>Braeview</v>
      </c>
      <c r="J206" s="1">
        <v>882</v>
      </c>
      <c r="K206" s="87"/>
      <c r="L206" s="87"/>
    </row>
    <row r="207" spans="1:12" ht="15" x14ac:dyDescent="0.25">
      <c r="A207" t="s">
        <v>21760</v>
      </c>
      <c r="B207" t="s">
        <v>18884</v>
      </c>
      <c r="C207" t="s">
        <v>18885</v>
      </c>
      <c r="D207" t="s">
        <v>1221</v>
      </c>
      <c r="E207" t="s">
        <v>18886</v>
      </c>
      <c r="F207" t="s">
        <v>18887</v>
      </c>
      <c r="G207" t="s">
        <v>842</v>
      </c>
      <c r="H207" t="str">
        <f t="shared" si="6"/>
        <v>Timber8840-8841San Antonio</v>
      </c>
      <c r="I207" t="str">
        <f t="shared" si="7"/>
        <v>Timber</v>
      </c>
      <c r="J207" s="1">
        <v>910</v>
      </c>
      <c r="K207" s="87"/>
      <c r="L207" s="87"/>
    </row>
    <row r="208" spans="1:12" ht="15" x14ac:dyDescent="0.25">
      <c r="A208" t="s">
        <v>21768</v>
      </c>
      <c r="B208" t="s">
        <v>18912</v>
      </c>
      <c r="C208" t="s">
        <v>18913</v>
      </c>
      <c r="D208" t="s">
        <v>18914</v>
      </c>
      <c r="E208">
        <v>4407</v>
      </c>
      <c r="F208" t="s">
        <v>18915</v>
      </c>
      <c r="G208" t="s">
        <v>842</v>
      </c>
      <c r="H208" t="str">
        <f t="shared" si="6"/>
        <v>Parkway4407San Antonio</v>
      </c>
      <c r="I208" t="str">
        <f t="shared" si="7"/>
        <v>Parkway</v>
      </c>
      <c r="J208" s="88">
        <v>30664</v>
      </c>
      <c r="K208" s="87"/>
      <c r="L208" s="87"/>
    </row>
    <row r="209" spans="1:12" ht="15" x14ac:dyDescent="0.25">
      <c r="A209" t="s">
        <v>21769</v>
      </c>
      <c r="B209" t="s">
        <v>18916</v>
      </c>
      <c r="C209" t="s">
        <v>18917</v>
      </c>
      <c r="D209" t="s">
        <v>18918</v>
      </c>
      <c r="E209">
        <v>11838</v>
      </c>
      <c r="F209" t="s">
        <v>1264</v>
      </c>
      <c r="G209" t="s">
        <v>842</v>
      </c>
      <c r="H209" t="str">
        <f t="shared" si="6"/>
        <v>Parliamnet11838San Antonio</v>
      </c>
      <c r="I209" t="str">
        <f t="shared" si="7"/>
        <v>Parliamnet</v>
      </c>
      <c r="J209" s="88">
        <v>943</v>
      </c>
      <c r="K209" s="87"/>
      <c r="L209" s="87"/>
    </row>
    <row r="210" spans="1:12" ht="15" x14ac:dyDescent="0.25">
      <c r="A210" t="s">
        <v>21784</v>
      </c>
      <c r="B210" t="s">
        <v>18970</v>
      </c>
      <c r="C210" t="s">
        <v>18971</v>
      </c>
      <c r="D210" t="s">
        <v>18972</v>
      </c>
      <c r="E210">
        <v>8916</v>
      </c>
      <c r="F210" t="s">
        <v>1319</v>
      </c>
      <c r="G210" t="s">
        <v>842</v>
      </c>
      <c r="H210" t="str">
        <f t="shared" si="6"/>
        <v>Datapoint8916San Antonio</v>
      </c>
      <c r="I210" t="str">
        <f t="shared" si="7"/>
        <v>Datapoint</v>
      </c>
      <c r="J210" s="88">
        <v>982</v>
      </c>
      <c r="K210" s="87"/>
      <c r="L210" s="87"/>
    </row>
    <row r="211" spans="1:12" ht="15" x14ac:dyDescent="0.25">
      <c r="A211" t="s">
        <v>21788</v>
      </c>
      <c r="B211" t="s">
        <v>18982</v>
      </c>
      <c r="C211" t="s">
        <v>18983</v>
      </c>
      <c r="D211" t="s">
        <v>18693</v>
      </c>
      <c r="E211">
        <v>5231</v>
      </c>
      <c r="F211" t="s">
        <v>18984</v>
      </c>
      <c r="G211" t="s">
        <v>842</v>
      </c>
      <c r="H211" t="str">
        <f t="shared" si="6"/>
        <v>Blanco5231San Antonio</v>
      </c>
      <c r="I211" t="str">
        <f t="shared" si="7"/>
        <v>Blanco</v>
      </c>
      <c r="J211" s="97">
        <v>18681</v>
      </c>
      <c r="K211" s="87"/>
      <c r="L211" s="87"/>
    </row>
    <row r="212" spans="1:12" ht="15" x14ac:dyDescent="0.25">
      <c r="A212" t="s">
        <v>21835</v>
      </c>
      <c r="B212" t="s">
        <v>19132</v>
      </c>
      <c r="C212" t="s">
        <v>19133</v>
      </c>
      <c r="D212" t="s">
        <v>19134</v>
      </c>
      <c r="E212">
        <v>4031</v>
      </c>
      <c r="F212" t="s">
        <v>19135</v>
      </c>
      <c r="G212" t="s">
        <v>842</v>
      </c>
      <c r="H212" t="str">
        <f t="shared" si="6"/>
        <v>Thousan4031San Antonio</v>
      </c>
      <c r="I212" t="str">
        <f t="shared" si="7"/>
        <v>Thousan</v>
      </c>
      <c r="J212" s="88">
        <v>1104</v>
      </c>
      <c r="K212" s="87"/>
      <c r="L212" s="87"/>
    </row>
    <row r="213" spans="1:12" ht="15" x14ac:dyDescent="0.25">
      <c r="A213" t="s">
        <v>21854</v>
      </c>
      <c r="B213" t="s">
        <v>19196</v>
      </c>
      <c r="C213" t="s">
        <v>19197</v>
      </c>
      <c r="D213" t="s">
        <v>19198</v>
      </c>
      <c r="E213">
        <v>222</v>
      </c>
      <c r="F213" t="s">
        <v>254</v>
      </c>
      <c r="G213" t="s">
        <v>498</v>
      </c>
      <c r="H213" t="str">
        <f t="shared" si="6"/>
        <v>Ramsey222San Marcos</v>
      </c>
      <c r="I213" t="str">
        <f t="shared" si="7"/>
        <v>Ramsey</v>
      </c>
      <c r="J213" s="88">
        <v>399</v>
      </c>
      <c r="K213" s="87"/>
      <c r="L213" s="87"/>
    </row>
    <row r="214" spans="1:12" ht="15" x14ac:dyDescent="0.25">
      <c r="A214" t="s">
        <v>21857</v>
      </c>
      <c r="B214" t="s">
        <v>19205</v>
      </c>
      <c r="C214" t="s">
        <v>19206</v>
      </c>
      <c r="D214" t="s">
        <v>19207</v>
      </c>
      <c r="E214">
        <v>1350</v>
      </c>
      <c r="F214" t="s">
        <v>19208</v>
      </c>
      <c r="G214" t="s">
        <v>498</v>
      </c>
      <c r="H214" t="str">
        <f t="shared" si="6"/>
        <v>Saddler1350San Marcos</v>
      </c>
      <c r="I214" t="str">
        <f t="shared" si="7"/>
        <v>Saddler</v>
      </c>
      <c r="J214" s="88">
        <v>17908</v>
      </c>
      <c r="K214" s="87"/>
      <c r="L214" s="87"/>
    </row>
    <row r="215" spans="1:12" ht="15" x14ac:dyDescent="0.25">
      <c r="A215" t="s">
        <v>21873</v>
      </c>
      <c r="B215" t="s">
        <v>19255</v>
      </c>
      <c r="C215" t="s">
        <v>19256</v>
      </c>
      <c r="D215" t="s">
        <v>19257</v>
      </c>
      <c r="E215">
        <v>3900</v>
      </c>
      <c r="F215" t="s">
        <v>19258</v>
      </c>
      <c r="G215" t="s">
        <v>12428</v>
      </c>
      <c r="H215" t="str">
        <f t="shared" si="6"/>
        <v>Avenue3900Snyder</v>
      </c>
      <c r="I215" t="str">
        <f t="shared" si="7"/>
        <v>Avenue</v>
      </c>
      <c r="J215" s="88">
        <v>30754</v>
      </c>
      <c r="K215" s="87"/>
      <c r="L215" s="87"/>
    </row>
    <row r="216" spans="1:12" ht="15" x14ac:dyDescent="0.25">
      <c r="A216" t="s">
        <v>21899</v>
      </c>
      <c r="B216" t="s">
        <v>19342</v>
      </c>
      <c r="C216" t="s">
        <v>19343</v>
      </c>
      <c r="D216" t="s">
        <v>19344</v>
      </c>
      <c r="E216">
        <v>400</v>
      </c>
      <c r="F216" t="s">
        <v>19345</v>
      </c>
      <c r="G216" t="s">
        <v>11802</v>
      </c>
      <c r="H216" t="str">
        <f t="shared" si="6"/>
        <v>Fryers400Temple</v>
      </c>
      <c r="I216" t="str">
        <f t="shared" si="7"/>
        <v>Fryers</v>
      </c>
      <c r="J216" s="97">
        <v>30344</v>
      </c>
      <c r="K216" s="87"/>
      <c r="L216" s="87"/>
    </row>
    <row r="217" spans="1:12" ht="15" x14ac:dyDescent="0.25">
      <c r="A217" t="s">
        <v>21965</v>
      </c>
      <c r="B217" t="s">
        <v>19566</v>
      </c>
      <c r="C217" t="s">
        <v>19567</v>
      </c>
      <c r="D217" t="s">
        <v>19568</v>
      </c>
      <c r="E217">
        <v>620</v>
      </c>
      <c r="F217" t="s">
        <v>11965</v>
      </c>
      <c r="G217" t="s">
        <v>4707</v>
      </c>
      <c r="H217" t="str">
        <f t="shared" si="6"/>
        <v>Hewiit620Waco</v>
      </c>
      <c r="I217" t="str">
        <f t="shared" si="7"/>
        <v>Hewiit</v>
      </c>
      <c r="J217" s="1">
        <v>30427</v>
      </c>
      <c r="K217" s="87"/>
      <c r="L217" s="87"/>
    </row>
    <row r="218" spans="1:12" ht="15" x14ac:dyDescent="0.25">
      <c r="A218" t="s">
        <v>21993</v>
      </c>
      <c r="B218" t="s">
        <v>19662</v>
      </c>
      <c r="C218" t="s">
        <v>19663</v>
      </c>
      <c r="D218" t="s">
        <v>19664</v>
      </c>
      <c r="F218" t="s">
        <v>19665</v>
      </c>
      <c r="G218" t="s">
        <v>7522</v>
      </c>
      <c r="H218" t="str">
        <f t="shared" si="6"/>
        <v>HollyWeatherford</v>
      </c>
      <c r="I218" t="str">
        <f t="shared" si="7"/>
        <v>Holly</v>
      </c>
      <c r="J218" s="88">
        <v>30256</v>
      </c>
      <c r="K218" s="87"/>
      <c r="L218" s="87"/>
    </row>
    <row r="219" spans="1:12" ht="15" x14ac:dyDescent="0.25">
      <c r="A219" t="s">
        <v>21996</v>
      </c>
      <c r="B219" t="s">
        <v>19673</v>
      </c>
      <c r="C219" t="s">
        <v>19674</v>
      </c>
      <c r="D219" t="s">
        <v>19675</v>
      </c>
      <c r="E219">
        <v>711</v>
      </c>
      <c r="F219" t="s">
        <v>18984</v>
      </c>
      <c r="G219" t="s">
        <v>7522</v>
      </c>
      <c r="H219" t="str">
        <f t="shared" si="6"/>
        <v>Sante711Weatherford</v>
      </c>
      <c r="I219" t="str">
        <f t="shared" si="7"/>
        <v>Sante</v>
      </c>
      <c r="J219" s="88">
        <v>30260</v>
      </c>
      <c r="K219" s="87"/>
      <c r="L219" s="87"/>
    </row>
    <row r="220" spans="1:12" ht="15" x14ac:dyDescent="0.25">
      <c r="A220" t="s">
        <v>22001</v>
      </c>
      <c r="B220" t="s">
        <v>19691</v>
      </c>
      <c r="C220" t="s">
        <v>19692</v>
      </c>
      <c r="D220" t="s">
        <v>13967</v>
      </c>
      <c r="E220">
        <v>2001</v>
      </c>
      <c r="F220" t="s">
        <v>1080</v>
      </c>
      <c r="G220" t="s">
        <v>12092</v>
      </c>
      <c r="H220" t="str">
        <f t="shared" si="6"/>
        <v>Avenue2001Wharton</v>
      </c>
      <c r="I220" t="str">
        <f t="shared" si="7"/>
        <v>Avenue</v>
      </c>
      <c r="J220" s="97">
        <v>30531</v>
      </c>
      <c r="K220" s="87"/>
      <c r="L220" s="87"/>
    </row>
    <row r="221" spans="1:12" ht="15" x14ac:dyDescent="0.25">
      <c r="A221" t="s">
        <v>22014</v>
      </c>
      <c r="B221" t="s">
        <v>19735</v>
      </c>
      <c r="C221" t="s">
        <v>19736</v>
      </c>
      <c r="D221" t="s">
        <v>19737</v>
      </c>
      <c r="E221">
        <v>2612</v>
      </c>
      <c r="F221" t="s">
        <v>481</v>
      </c>
      <c r="G221" t="s">
        <v>12140</v>
      </c>
      <c r="H221" t="str">
        <f t="shared" si="6"/>
        <v>Southest2612Wichita Falls</v>
      </c>
      <c r="I221" t="str">
        <f t="shared" si="7"/>
        <v>Southest</v>
      </c>
      <c r="J221" s="88">
        <v>30586</v>
      </c>
      <c r="K221" s="87"/>
      <c r="L221" s="87"/>
    </row>
    <row r="222" spans="1:12" ht="15" x14ac:dyDescent="0.25">
      <c r="A222" t="s">
        <v>20609</v>
      </c>
      <c r="B222" t="s">
        <v>15094</v>
      </c>
      <c r="C222" t="s">
        <v>15095</v>
      </c>
      <c r="D222" t="s">
        <v>15096</v>
      </c>
      <c r="E222">
        <v>929</v>
      </c>
      <c r="F222" t="s">
        <v>15097</v>
      </c>
      <c r="G222" t="s">
        <v>4996</v>
      </c>
      <c r="H222" t="str">
        <f t="shared" si="6"/>
        <v>Marsalis929Dallas</v>
      </c>
      <c r="I222" t="str">
        <f t="shared" si="7"/>
        <v>Marsalis</v>
      </c>
      <c r="J222" s="88">
        <v>30075</v>
      </c>
      <c r="K222" s="87"/>
      <c r="L222" s="87"/>
    </row>
    <row r="223" spans="1:12" ht="15" x14ac:dyDescent="0.25">
      <c r="A223" t="s">
        <v>20012</v>
      </c>
      <c r="B223" t="s">
        <v>13073</v>
      </c>
      <c r="C223" t="s">
        <v>13074</v>
      </c>
      <c r="D223" t="s">
        <v>13075</v>
      </c>
      <c r="E223">
        <v>800</v>
      </c>
      <c r="F223" t="s">
        <v>13076</v>
      </c>
      <c r="G223" t="s">
        <v>4402</v>
      </c>
      <c r="H223" t="str">
        <f t="shared" si="6"/>
        <v>Street800Alvin</v>
      </c>
      <c r="I223" t="str">
        <f t="shared" si="7"/>
        <v>Street</v>
      </c>
      <c r="J223" s="88">
        <v>4198</v>
      </c>
      <c r="K223" s="87"/>
      <c r="L223" s="87"/>
    </row>
    <row r="224" spans="1:12" ht="15" x14ac:dyDescent="0.25">
      <c r="A224" t="s">
        <v>20031</v>
      </c>
      <c r="B224" t="s">
        <v>13137</v>
      </c>
      <c r="C224" t="s">
        <v>13138</v>
      </c>
      <c r="D224" t="s">
        <v>13139</v>
      </c>
      <c r="E224">
        <v>301</v>
      </c>
      <c r="F224" t="s">
        <v>13140</v>
      </c>
      <c r="G224" t="s">
        <v>4412</v>
      </c>
      <c r="H224" t="str">
        <f t="shared" si="6"/>
        <v>Cannon301Angleton</v>
      </c>
      <c r="I224" t="str">
        <f t="shared" si="7"/>
        <v>Cannon</v>
      </c>
      <c r="J224" s="88">
        <v>4160</v>
      </c>
      <c r="K224" s="87"/>
      <c r="L224" s="87"/>
    </row>
    <row r="225" spans="1:12" ht="15" x14ac:dyDescent="0.25">
      <c r="A225" t="s">
        <v>19993</v>
      </c>
      <c r="B225" t="s">
        <v>13012</v>
      </c>
      <c r="C225" t="s">
        <v>13013</v>
      </c>
      <c r="D225" t="s">
        <v>13014</v>
      </c>
      <c r="E225">
        <v>1948</v>
      </c>
      <c r="F225" t="s">
        <v>13015</v>
      </c>
      <c r="G225" t="s">
        <v>11760</v>
      </c>
      <c r="H225" t="str">
        <f t="shared" si="6"/>
        <v>Denton1948Abilene</v>
      </c>
      <c r="I225" t="str">
        <f t="shared" si="7"/>
        <v>Denton</v>
      </c>
      <c r="J225" s="82">
        <f>IFERROR(INDEX('All Folders'!$A:$A,MATCH(H225,'All Folders'!$G:$G,0),1),"¶")</f>
        <v>30322</v>
      </c>
      <c r="K225" s="87"/>
      <c r="L225" s="87"/>
    </row>
    <row r="226" spans="1:12" ht="15" x14ac:dyDescent="0.25">
      <c r="A226" t="s">
        <v>19994</v>
      </c>
      <c r="B226" t="s">
        <v>13016</v>
      </c>
      <c r="C226" t="s">
        <v>13017</v>
      </c>
      <c r="D226" t="s">
        <v>11768</v>
      </c>
      <c r="E226">
        <v>1000</v>
      </c>
      <c r="F226" t="s">
        <v>13018</v>
      </c>
      <c r="G226" t="s">
        <v>11760</v>
      </c>
      <c r="H226" t="str">
        <f t="shared" si="6"/>
        <v>Justice1000Abilene</v>
      </c>
      <c r="I226" t="str">
        <f t="shared" si="7"/>
        <v>Justice</v>
      </c>
      <c r="J226" s="82">
        <f>IFERROR(INDEX('All Folders'!$A:$A,MATCH(H226,'All Folders'!$G:$G,0),1),"¶")</f>
        <v>30324</v>
      </c>
      <c r="K226" s="87"/>
      <c r="L226" s="87"/>
    </row>
    <row r="227" spans="1:12" ht="15" x14ac:dyDescent="0.25">
      <c r="A227" t="s">
        <v>19995</v>
      </c>
      <c r="B227" t="s">
        <v>13019</v>
      </c>
      <c r="C227" t="s">
        <v>13020</v>
      </c>
      <c r="D227" t="s">
        <v>11758</v>
      </c>
      <c r="E227">
        <v>2400</v>
      </c>
      <c r="F227" t="s">
        <v>13021</v>
      </c>
      <c r="G227" t="s">
        <v>11760</v>
      </c>
      <c r="H227" t="str">
        <f t="shared" si="6"/>
        <v>Buffalo2400Abilene</v>
      </c>
      <c r="I227" t="str">
        <f t="shared" si="7"/>
        <v>Buffalo</v>
      </c>
      <c r="J227" s="89">
        <f>IFERROR(INDEX('All Folders'!$A:$A,MATCH(H227,'All Folders'!$G:$G,0),1),"¶")</f>
        <v>30319</v>
      </c>
      <c r="K227" s="87"/>
      <c r="L227" s="87"/>
    </row>
    <row r="228" spans="1:12" ht="15" x14ac:dyDescent="0.25">
      <c r="A228" t="s">
        <v>19996</v>
      </c>
      <c r="B228" t="s">
        <v>13022</v>
      </c>
      <c r="C228" t="s">
        <v>13023</v>
      </c>
      <c r="D228" t="s">
        <v>13024</v>
      </c>
      <c r="E228">
        <v>5450</v>
      </c>
      <c r="F228" t="s">
        <v>7406</v>
      </c>
      <c r="G228" t="s">
        <v>11760</v>
      </c>
      <c r="H228" t="str">
        <f t="shared" si="6"/>
        <v>Texas5450Abilene</v>
      </c>
      <c r="I228" t="str">
        <f t="shared" si="7"/>
        <v>Texas</v>
      </c>
      <c r="J228" s="82">
        <f>IFERROR(INDEX('All Folders'!$A:$A,MATCH(H228,'All Folders'!$G:$G,0),1),"¶")</f>
        <v>30334</v>
      </c>
      <c r="K228" s="87"/>
      <c r="L228" s="87"/>
    </row>
    <row r="229" spans="1:12" ht="15" x14ac:dyDescent="0.25">
      <c r="A229" t="s">
        <v>19997</v>
      </c>
      <c r="B229" t="s">
        <v>13025</v>
      </c>
      <c r="C229" t="s">
        <v>13026</v>
      </c>
      <c r="D229" t="s">
        <v>13027</v>
      </c>
      <c r="E229">
        <v>3500</v>
      </c>
      <c r="F229" t="s">
        <v>11762</v>
      </c>
      <c r="G229" t="s">
        <v>11760</v>
      </c>
      <c r="H229" t="str">
        <f t="shared" si="6"/>
        <v>Cedar3500Abilene</v>
      </c>
      <c r="I229" t="str">
        <f t="shared" si="7"/>
        <v>Cedar</v>
      </c>
      <c r="J229" s="89">
        <f>IFERROR(INDEX('All Folders'!$A:$A,MATCH(H229,'All Folders'!$G:$G,0),1),"¶")</f>
        <v>30320</v>
      </c>
      <c r="K229" s="87"/>
      <c r="L229" s="87"/>
    </row>
    <row r="230" spans="1:12" ht="15" x14ac:dyDescent="0.25">
      <c r="A230" t="s">
        <v>19998</v>
      </c>
      <c r="B230" t="s">
        <v>13028</v>
      </c>
      <c r="C230" t="s">
        <v>13029</v>
      </c>
      <c r="D230" t="s">
        <v>13030</v>
      </c>
      <c r="E230">
        <v>3201</v>
      </c>
      <c r="F230" t="s">
        <v>11772</v>
      </c>
      <c r="G230" t="s">
        <v>11760</v>
      </c>
      <c r="H230" t="str">
        <f t="shared" si="6"/>
        <v>3rd3201Abilene</v>
      </c>
      <c r="I230" t="str">
        <f t="shared" si="7"/>
        <v>3rd</v>
      </c>
      <c r="J230" s="82">
        <f>IFERROR(INDEX('All Folders'!$A:$A,MATCH(H230,'All Folders'!$G:$G,0),1),"¶")</f>
        <v>30326</v>
      </c>
      <c r="K230" s="87"/>
      <c r="L230" s="87"/>
    </row>
    <row r="231" spans="1:12" ht="15" x14ac:dyDescent="0.25">
      <c r="A231" t="s">
        <v>19999</v>
      </c>
      <c r="B231" t="s">
        <v>13031</v>
      </c>
      <c r="C231" t="s">
        <v>13032</v>
      </c>
      <c r="D231" t="s">
        <v>13033</v>
      </c>
      <c r="E231">
        <v>5249</v>
      </c>
      <c r="F231" t="s">
        <v>1678</v>
      </c>
      <c r="G231" t="s">
        <v>11760</v>
      </c>
      <c r="H231" t="str">
        <f t="shared" si="6"/>
        <v>2775249Abilene</v>
      </c>
      <c r="I231" t="str">
        <f t="shared" si="7"/>
        <v>277</v>
      </c>
      <c r="J231" s="82">
        <f>IFERROR(INDEX('All Folders'!$A:$A,MATCH(H231,'All Folders'!$G:$G,0),1),"¶")</f>
        <v>30323</v>
      </c>
      <c r="K231" s="87"/>
      <c r="L231" s="87"/>
    </row>
    <row r="232" spans="1:12" ht="15" x14ac:dyDescent="0.25">
      <c r="A232" t="s">
        <v>20000</v>
      </c>
      <c r="B232" t="s">
        <v>13034</v>
      </c>
      <c r="C232" t="s">
        <v>13035</v>
      </c>
      <c r="D232" t="s">
        <v>13036</v>
      </c>
      <c r="E232">
        <v>2500</v>
      </c>
      <c r="F232" t="s">
        <v>13037</v>
      </c>
      <c r="G232" t="s">
        <v>11760</v>
      </c>
      <c r="H232" t="str">
        <f t="shared" si="6"/>
        <v>Nonesuch2500Abilene</v>
      </c>
      <c r="I232" t="str">
        <f t="shared" si="7"/>
        <v>Nonesuch</v>
      </c>
      <c r="J232" s="82">
        <f>IFERROR(INDEX('All Folders'!$A:$A,MATCH(H232,'All Folders'!$G:$G,0),1),"¶")</f>
        <v>30329</v>
      </c>
      <c r="K232" s="87"/>
      <c r="L232" s="87"/>
    </row>
    <row r="233" spans="1:12" ht="15" x14ac:dyDescent="0.25">
      <c r="A233" t="s">
        <v>20001</v>
      </c>
      <c r="B233" t="s">
        <v>13038</v>
      </c>
      <c r="C233" t="s">
        <v>13039</v>
      </c>
      <c r="D233" t="s">
        <v>13040</v>
      </c>
      <c r="E233">
        <v>1111</v>
      </c>
      <c r="F233" t="s">
        <v>11770</v>
      </c>
      <c r="G233" t="s">
        <v>11760</v>
      </c>
      <c r="H233" t="str">
        <f t="shared" si="6"/>
        <v>Musken1111Abilene</v>
      </c>
      <c r="I233" t="str">
        <f t="shared" si="7"/>
        <v>Musken</v>
      </c>
      <c r="J233" s="82">
        <f>IFERROR(INDEX('All Folders'!$A:$A,MATCH(H233,'All Folders'!$G:$G,0),1),"¶")</f>
        <v>30325</v>
      </c>
      <c r="K233" s="87"/>
      <c r="L233" s="87"/>
    </row>
    <row r="234" spans="1:12" ht="15" x14ac:dyDescent="0.25">
      <c r="A234" t="s">
        <v>20002</v>
      </c>
      <c r="B234" t="s">
        <v>13041</v>
      </c>
      <c r="C234" t="s">
        <v>13042</v>
      </c>
      <c r="D234" t="s">
        <v>13043</v>
      </c>
      <c r="E234">
        <v>610</v>
      </c>
      <c r="F234" t="s">
        <v>11780</v>
      </c>
      <c r="G234" t="s">
        <v>11760</v>
      </c>
      <c r="H234" t="str">
        <f t="shared" si="6"/>
        <v>Leggett610Abilene</v>
      </c>
      <c r="I234" t="str">
        <f t="shared" si="7"/>
        <v>Leggett</v>
      </c>
      <c r="J234" s="82">
        <f>IFERROR(INDEX('All Folders'!$A:$A,MATCH(H234,'All Folders'!$G:$G,0),1),"¶")</f>
        <v>30332</v>
      </c>
      <c r="K234" s="87"/>
      <c r="L234" s="87"/>
    </row>
    <row r="235" spans="1:12" ht="15" x14ac:dyDescent="0.25">
      <c r="A235" t="s">
        <v>20003</v>
      </c>
      <c r="B235" t="s">
        <v>13044</v>
      </c>
      <c r="C235" t="s">
        <v>13045</v>
      </c>
      <c r="D235" t="s">
        <v>13046</v>
      </c>
      <c r="E235">
        <v>2410</v>
      </c>
      <c r="F235" t="s">
        <v>9157</v>
      </c>
      <c r="G235" t="s">
        <v>11760</v>
      </c>
      <c r="H235" t="str">
        <f t="shared" si="6"/>
        <v>Willis2410Abilene</v>
      </c>
      <c r="I235" t="str">
        <f t="shared" si="7"/>
        <v>Willis</v>
      </c>
      <c r="J235" s="82">
        <f>IFERROR(INDEX('All Folders'!$A:$A,MATCH(H235,'All Folders'!$G:$G,0),1),"¶")</f>
        <v>30327</v>
      </c>
      <c r="K235" s="87"/>
      <c r="L235" s="87"/>
    </row>
    <row r="236" spans="1:12" ht="15" x14ac:dyDescent="0.25">
      <c r="A236" t="s">
        <v>20004</v>
      </c>
      <c r="B236" t="s">
        <v>13047</v>
      </c>
      <c r="C236" t="s">
        <v>13048</v>
      </c>
      <c r="D236" t="s">
        <v>13049</v>
      </c>
      <c r="E236">
        <v>3501</v>
      </c>
      <c r="F236" t="s">
        <v>11764</v>
      </c>
      <c r="G236" t="s">
        <v>11760</v>
      </c>
      <c r="H236" t="str">
        <f t="shared" si="6"/>
        <v>Curry3501Abilene</v>
      </c>
      <c r="I236" t="str">
        <f t="shared" si="7"/>
        <v>Curry</v>
      </c>
      <c r="J236" s="82">
        <f>IFERROR(INDEX('All Folders'!$A:$A,MATCH(H236,'All Folders'!$G:$G,0),1),"¶")</f>
        <v>30321</v>
      </c>
      <c r="K236" s="87"/>
      <c r="L236" s="87"/>
    </row>
    <row r="237" spans="1:12" ht="15" x14ac:dyDescent="0.25">
      <c r="A237" t="s">
        <v>20005</v>
      </c>
      <c r="B237" t="s">
        <v>13050</v>
      </c>
      <c r="C237" t="s">
        <v>13051</v>
      </c>
      <c r="D237" t="s">
        <v>13052</v>
      </c>
      <c r="E237">
        <v>14600</v>
      </c>
      <c r="F237" t="s">
        <v>5145</v>
      </c>
      <c r="G237" t="s">
        <v>5005</v>
      </c>
      <c r="H237" t="str">
        <f t="shared" si="6"/>
        <v>Marsh14600Addison</v>
      </c>
      <c r="I237" t="str">
        <f t="shared" si="7"/>
        <v>Marsh</v>
      </c>
      <c r="J237" s="82">
        <f>IFERROR(INDEX('All Folders'!$A:$A,MATCH(H237,'All Folders'!$G:$G,0),1),"¶")</f>
        <v>13166</v>
      </c>
      <c r="K237" s="87"/>
      <c r="L237" s="87"/>
    </row>
    <row r="238" spans="1:12" ht="15" x14ac:dyDescent="0.25">
      <c r="A238" t="s">
        <v>20006</v>
      </c>
      <c r="B238" t="s">
        <v>13053</v>
      </c>
      <c r="C238" t="s">
        <v>13054</v>
      </c>
      <c r="D238" t="s">
        <v>13055</v>
      </c>
      <c r="E238">
        <v>4500</v>
      </c>
      <c r="F238" t="s">
        <v>8141</v>
      </c>
      <c r="G238" t="s">
        <v>5005</v>
      </c>
      <c r="H238" t="str">
        <f t="shared" si="6"/>
        <v>Sojourn4500Addison</v>
      </c>
      <c r="I238" t="str">
        <f t="shared" si="7"/>
        <v>Sojourn</v>
      </c>
      <c r="J238" s="82">
        <f>IFERROR(INDEX('All Folders'!$A:$A,MATCH(H238,'All Folders'!$G:$G,0),1),"¶")</f>
        <v>15672</v>
      </c>
      <c r="K238" s="87"/>
      <c r="L238" s="87"/>
    </row>
    <row r="239" spans="1:12" ht="15" x14ac:dyDescent="0.25">
      <c r="A239" t="s">
        <v>20007</v>
      </c>
      <c r="B239" t="s">
        <v>13056</v>
      </c>
      <c r="C239" t="s">
        <v>13057</v>
      </c>
      <c r="D239" t="s">
        <v>13058</v>
      </c>
      <c r="E239">
        <v>4005</v>
      </c>
      <c r="F239" t="s">
        <v>13059</v>
      </c>
      <c r="G239" t="s">
        <v>5005</v>
      </c>
      <c r="H239" t="str">
        <f t="shared" si="6"/>
        <v>Brookhaven4005Addison</v>
      </c>
      <c r="I239" t="str">
        <f t="shared" si="7"/>
        <v>Brookhaven</v>
      </c>
      <c r="J239" s="82">
        <f>IFERROR(INDEX('All Folders'!$A:$A,MATCH(H239,'All Folders'!$G:$G,0),1),"¶")</f>
        <v>13476</v>
      </c>
      <c r="K239" s="87"/>
      <c r="L239" s="87"/>
    </row>
    <row r="240" spans="1:12" ht="15" x14ac:dyDescent="0.25">
      <c r="A240" t="s">
        <v>20008</v>
      </c>
      <c r="B240" t="s">
        <v>13060</v>
      </c>
      <c r="C240" t="s">
        <v>13061</v>
      </c>
      <c r="D240" t="s">
        <v>13058</v>
      </c>
      <c r="E240">
        <v>3900</v>
      </c>
      <c r="F240" t="s">
        <v>13062</v>
      </c>
      <c r="G240" t="s">
        <v>5005</v>
      </c>
      <c r="H240" t="str">
        <f t="shared" si="6"/>
        <v>Brookhaven3900Addison</v>
      </c>
      <c r="I240" t="str">
        <f t="shared" si="7"/>
        <v>Brookhaven</v>
      </c>
      <c r="J240" s="82">
        <f>IFERROR(INDEX('All Folders'!$A:$A,MATCH(H240,'All Folders'!$G:$G,0),1),"¶")</f>
        <v>13506</v>
      </c>
      <c r="K240" s="87"/>
      <c r="L240" s="87"/>
    </row>
    <row r="241" spans="1:12" ht="15" x14ac:dyDescent="0.25">
      <c r="A241" t="s">
        <v>20009</v>
      </c>
      <c r="B241" t="s">
        <v>13063</v>
      </c>
      <c r="C241" t="s">
        <v>13064</v>
      </c>
      <c r="D241" t="s">
        <v>13065</v>
      </c>
      <c r="E241">
        <v>5001</v>
      </c>
      <c r="F241" t="s">
        <v>11398</v>
      </c>
      <c r="G241" t="s">
        <v>5005</v>
      </c>
      <c r="H241" t="str">
        <f t="shared" si="6"/>
        <v>Addison5001Addison</v>
      </c>
      <c r="I241" t="str">
        <f t="shared" si="7"/>
        <v>Addison</v>
      </c>
      <c r="J241" s="82">
        <f>IFERROR(INDEX('All Folders'!$A:$A,MATCH(H241,'All Folders'!$G:$G,0),1),"¶")</f>
        <v>30000</v>
      </c>
      <c r="K241" s="87"/>
      <c r="L241" s="87"/>
    </row>
    <row r="242" spans="1:12" ht="15" x14ac:dyDescent="0.25">
      <c r="A242" t="s">
        <v>20010</v>
      </c>
      <c r="B242" t="s">
        <v>13066</v>
      </c>
      <c r="C242" t="s">
        <v>13067</v>
      </c>
      <c r="D242" t="s">
        <v>13068</v>
      </c>
      <c r="E242">
        <v>3767</v>
      </c>
      <c r="F242" t="s">
        <v>13069</v>
      </c>
      <c r="G242" t="s">
        <v>5005</v>
      </c>
      <c r="H242" t="str">
        <f t="shared" si="6"/>
        <v>Brokkhaven3767Addison</v>
      </c>
      <c r="I242" t="str">
        <f t="shared" si="7"/>
        <v>Brokkhaven</v>
      </c>
      <c r="J242" s="88">
        <v>13204</v>
      </c>
      <c r="K242" s="87"/>
      <c r="L242" s="87"/>
    </row>
    <row r="243" spans="1:12" ht="15" x14ac:dyDescent="0.25">
      <c r="A243" t="s">
        <v>20011</v>
      </c>
      <c r="B243" t="s">
        <v>13070</v>
      </c>
      <c r="C243" t="s">
        <v>13071</v>
      </c>
      <c r="D243" t="s">
        <v>13072</v>
      </c>
      <c r="E243">
        <v>301</v>
      </c>
      <c r="F243" t="s">
        <v>7967</v>
      </c>
      <c r="G243" t="s">
        <v>5140</v>
      </c>
      <c r="H243" t="str">
        <f t="shared" si="6"/>
        <v>Jupiter301Allen</v>
      </c>
      <c r="I243" t="str">
        <f t="shared" si="7"/>
        <v>Jupiter</v>
      </c>
      <c r="J243" s="82">
        <f>IFERROR(INDEX('All Folders'!$A:$A,MATCH(H243,'All Folders'!$G:$G,0),1),"¶")</f>
        <v>15519</v>
      </c>
      <c r="K243" s="87"/>
      <c r="L243" s="87"/>
    </row>
    <row r="244" spans="1:12" ht="15" x14ac:dyDescent="0.25">
      <c r="A244" t="s">
        <v>20013</v>
      </c>
      <c r="B244" t="s">
        <v>13077</v>
      </c>
      <c r="C244" t="s">
        <v>13078</v>
      </c>
      <c r="D244" t="s">
        <v>13079</v>
      </c>
      <c r="E244">
        <v>2551</v>
      </c>
      <c r="F244" t="s">
        <v>13080</v>
      </c>
      <c r="G244" t="s">
        <v>4402</v>
      </c>
      <c r="H244" t="str">
        <f t="shared" si="6"/>
        <v>352551Alvin</v>
      </c>
      <c r="I244" t="str">
        <f t="shared" si="7"/>
        <v>35</v>
      </c>
      <c r="J244" s="82">
        <f>IFERROR(INDEX('All Folders'!$A:$A,MATCH(H244,'All Folders'!$G:$G,0),1),"¶")</f>
        <v>4168</v>
      </c>
      <c r="K244" s="87"/>
      <c r="L244" s="87"/>
    </row>
    <row r="245" spans="1:12" ht="15" x14ac:dyDescent="0.25">
      <c r="A245" t="s">
        <v>20014</v>
      </c>
      <c r="B245" t="s">
        <v>13081</v>
      </c>
      <c r="C245" t="s">
        <v>13082</v>
      </c>
      <c r="D245" t="s">
        <v>13083</v>
      </c>
      <c r="E245">
        <v>2301</v>
      </c>
      <c r="F245" t="s">
        <v>13084</v>
      </c>
      <c r="G245" t="s">
        <v>4402</v>
      </c>
      <c r="H245" t="str">
        <f t="shared" si="6"/>
        <v>Fairway2301Alvin</v>
      </c>
      <c r="I245" t="str">
        <f t="shared" si="7"/>
        <v>Fairway</v>
      </c>
      <c r="J245" s="82">
        <f>IFERROR(INDEX('All Folders'!$A:$A,MATCH(H245,'All Folders'!$G:$G,0),1),"¶")</f>
        <v>4126</v>
      </c>
      <c r="K245" s="87"/>
      <c r="L245" s="87"/>
    </row>
    <row r="246" spans="1:12" ht="15" x14ac:dyDescent="0.25">
      <c r="A246" t="s">
        <v>20015</v>
      </c>
      <c r="B246" t="s">
        <v>13085</v>
      </c>
      <c r="C246" t="s">
        <v>13086</v>
      </c>
      <c r="D246" t="s">
        <v>13087</v>
      </c>
      <c r="E246">
        <v>1908</v>
      </c>
      <c r="F246" t="s">
        <v>6125</v>
      </c>
      <c r="G246" t="s">
        <v>4402</v>
      </c>
      <c r="H246" t="str">
        <f t="shared" si="6"/>
        <v>Rosharon1908Alvin</v>
      </c>
      <c r="I246" t="str">
        <f t="shared" si="7"/>
        <v>Rosharon</v>
      </c>
      <c r="J246" s="89">
        <f>IFERROR(INDEX('All Folders'!$A:$A,MATCH(H246,'All Folders'!$G:$G,0),1),"¶")</f>
        <v>4165</v>
      </c>
      <c r="K246" s="87"/>
      <c r="L246" s="87"/>
    </row>
    <row r="247" spans="1:12" ht="15" x14ac:dyDescent="0.25">
      <c r="A247" t="s">
        <v>20016</v>
      </c>
      <c r="B247" t="s">
        <v>13088</v>
      </c>
      <c r="C247" t="s">
        <v>13089</v>
      </c>
      <c r="D247" t="s">
        <v>13090</v>
      </c>
      <c r="E247">
        <v>3833</v>
      </c>
      <c r="F247" t="s">
        <v>4421</v>
      </c>
      <c r="G247" t="s">
        <v>4402</v>
      </c>
      <c r="H247" t="str">
        <f t="shared" si="6"/>
        <v>Mustang3833Alvin</v>
      </c>
      <c r="I247" t="str">
        <f t="shared" si="7"/>
        <v>Mustang</v>
      </c>
      <c r="J247" s="82">
        <f>IFERROR(INDEX('All Folders'!$A:$A,MATCH(H247,'All Folders'!$G:$G,0),1),"¶")</f>
        <v>4142</v>
      </c>
      <c r="K247" s="87"/>
      <c r="L247" s="87"/>
    </row>
    <row r="248" spans="1:12" ht="15" x14ac:dyDescent="0.25">
      <c r="A248" t="s">
        <v>20017</v>
      </c>
      <c r="B248" t="s">
        <v>13091</v>
      </c>
      <c r="C248" t="s">
        <v>13092</v>
      </c>
      <c r="D248" t="s">
        <v>13093</v>
      </c>
      <c r="E248">
        <v>1212</v>
      </c>
      <c r="F248" t="s">
        <v>12185</v>
      </c>
      <c r="G248" t="s">
        <v>12180</v>
      </c>
      <c r="H248" t="str">
        <f t="shared" si="6"/>
        <v>Williams1212Amarillo</v>
      </c>
      <c r="I248" t="str">
        <f t="shared" si="7"/>
        <v>Williams</v>
      </c>
      <c r="J248" s="82">
        <f>IFERROR(INDEX('All Folders'!$A:$A,MATCH(H248,'All Folders'!$G:$G,0),1),"¶")</f>
        <v>30601</v>
      </c>
      <c r="K248" s="87"/>
      <c r="L248" s="87"/>
    </row>
    <row r="249" spans="1:12" ht="15" x14ac:dyDescent="0.25">
      <c r="A249" t="s">
        <v>20018</v>
      </c>
      <c r="B249" t="s">
        <v>13094</v>
      </c>
      <c r="C249" t="s">
        <v>13095</v>
      </c>
      <c r="D249" t="s">
        <v>13096</v>
      </c>
      <c r="E249">
        <v>6302</v>
      </c>
      <c r="F249" t="s">
        <v>13097</v>
      </c>
      <c r="G249" t="s">
        <v>12180</v>
      </c>
      <c r="H249" t="str">
        <f t="shared" si="6"/>
        <v>Blake6302Amarillo</v>
      </c>
      <c r="I249" t="str">
        <f t="shared" si="7"/>
        <v>Blake</v>
      </c>
      <c r="J249" s="82">
        <f>IFERROR(INDEX('All Folders'!$A:$A,MATCH(H249,'All Folders'!$G:$G,0),1),"¶")</f>
        <v>30602</v>
      </c>
      <c r="K249" s="87"/>
      <c r="L249" s="87"/>
    </row>
    <row r="250" spans="1:12" ht="15" x14ac:dyDescent="0.25">
      <c r="A250" t="s">
        <v>20019</v>
      </c>
      <c r="B250" t="s">
        <v>13098</v>
      </c>
      <c r="C250" t="s">
        <v>13099</v>
      </c>
      <c r="D250" t="s">
        <v>13100</v>
      </c>
      <c r="E250">
        <v>1524</v>
      </c>
      <c r="F250" t="s">
        <v>12179</v>
      </c>
      <c r="G250" t="s">
        <v>12180</v>
      </c>
      <c r="H250" t="str">
        <f t="shared" si="6"/>
        <v>Bell1524Amarillo</v>
      </c>
      <c r="I250" t="str">
        <f t="shared" si="7"/>
        <v>Bell</v>
      </c>
      <c r="J250" s="82">
        <f>IFERROR(INDEX('All Folders'!$A:$A,MATCH(H250,'All Folders'!$G:$G,0),1),"¶")</f>
        <v>30597</v>
      </c>
      <c r="K250" s="87"/>
      <c r="L250" s="87"/>
    </row>
    <row r="251" spans="1:12" ht="15" x14ac:dyDescent="0.25">
      <c r="A251" t="s">
        <v>20020</v>
      </c>
      <c r="B251" t="s">
        <v>13101</v>
      </c>
      <c r="C251" t="s">
        <v>13102</v>
      </c>
      <c r="D251" t="s">
        <v>13100</v>
      </c>
      <c r="E251">
        <v>1550</v>
      </c>
      <c r="F251" t="s">
        <v>12181</v>
      </c>
      <c r="G251" t="s">
        <v>12180</v>
      </c>
      <c r="H251" t="str">
        <f t="shared" si="6"/>
        <v>Bell1550Amarillo</v>
      </c>
      <c r="I251" t="str">
        <f t="shared" si="7"/>
        <v>Bell</v>
      </c>
      <c r="J251" s="82">
        <f>IFERROR(INDEX('All Folders'!$A:$A,MATCH(H251,'All Folders'!$G:$G,0),1),"¶")</f>
        <v>30598</v>
      </c>
      <c r="K251" s="87"/>
      <c r="L251" s="87"/>
    </row>
    <row r="252" spans="1:12" ht="15" x14ac:dyDescent="0.25">
      <c r="A252" t="s">
        <v>20021</v>
      </c>
      <c r="B252" t="s">
        <v>13103</v>
      </c>
      <c r="C252" t="s">
        <v>13104</v>
      </c>
      <c r="D252" t="s">
        <v>13105</v>
      </c>
      <c r="E252">
        <v>3420</v>
      </c>
      <c r="F252" t="s">
        <v>13106</v>
      </c>
      <c r="G252" t="s">
        <v>12180</v>
      </c>
      <c r="H252" t="str">
        <f t="shared" si="6"/>
        <v>Coulter3420Amarillo</v>
      </c>
      <c r="I252" t="str">
        <f t="shared" si="7"/>
        <v>Coulter</v>
      </c>
      <c r="J252" s="82">
        <f>IFERROR(INDEX('All Folders'!$A:$A,MATCH(H252,'All Folders'!$G:$G,0),1),"¶")</f>
        <v>30606</v>
      </c>
      <c r="K252" s="87"/>
      <c r="L252" s="87"/>
    </row>
    <row r="253" spans="1:12" ht="15" x14ac:dyDescent="0.25">
      <c r="A253" t="s">
        <v>20022</v>
      </c>
      <c r="B253" t="s">
        <v>13107</v>
      </c>
      <c r="C253" t="s">
        <v>13108</v>
      </c>
      <c r="D253" t="s">
        <v>13109</v>
      </c>
      <c r="E253">
        <v>3100</v>
      </c>
      <c r="F253" t="s">
        <v>13110</v>
      </c>
      <c r="G253" t="s">
        <v>12180</v>
      </c>
      <c r="H253" t="str">
        <f t="shared" si="6"/>
        <v>27th3100Amarillo</v>
      </c>
      <c r="I253" t="str">
        <f t="shared" si="7"/>
        <v>27th</v>
      </c>
      <c r="J253" s="89">
        <f>IFERROR(INDEX('All Folders'!$A:$A,MATCH(H253,'All Folders'!$G:$G,0),1),"¶")</f>
        <v>30609</v>
      </c>
      <c r="K253" s="87"/>
      <c r="L253" s="87"/>
    </row>
    <row r="254" spans="1:12" ht="15" x14ac:dyDescent="0.25">
      <c r="A254" t="s">
        <v>20023</v>
      </c>
      <c r="B254" t="s">
        <v>13111</v>
      </c>
      <c r="C254" t="s">
        <v>13112</v>
      </c>
      <c r="D254" t="s">
        <v>13113</v>
      </c>
      <c r="E254">
        <v>3003</v>
      </c>
      <c r="F254" t="s">
        <v>13114</v>
      </c>
      <c r="G254" t="s">
        <v>12180</v>
      </c>
      <c r="H254" t="str">
        <f t="shared" si="6"/>
        <v>27th3003Amarillo</v>
      </c>
      <c r="I254" t="str">
        <f t="shared" si="7"/>
        <v>27th</v>
      </c>
      <c r="J254" s="82">
        <f>IFERROR(INDEX('All Folders'!$A:$A,MATCH(H254,'All Folders'!$G:$G,0),1),"¶")</f>
        <v>30610</v>
      </c>
      <c r="K254" s="87"/>
      <c r="L254" s="87"/>
    </row>
    <row r="255" spans="1:12" ht="15" x14ac:dyDescent="0.25">
      <c r="A255" t="s">
        <v>20024</v>
      </c>
      <c r="B255" t="s">
        <v>13115</v>
      </c>
      <c r="C255" t="s">
        <v>13116</v>
      </c>
      <c r="D255" t="s">
        <v>13117</v>
      </c>
      <c r="E255">
        <v>724</v>
      </c>
      <c r="F255" t="s">
        <v>12183</v>
      </c>
      <c r="G255" t="s">
        <v>12180</v>
      </c>
      <c r="H255" t="str">
        <f t="shared" si="6"/>
        <v>Polk724Amarillo</v>
      </c>
      <c r="I255" t="str">
        <f t="shared" si="7"/>
        <v>Polk</v>
      </c>
      <c r="J255" s="89">
        <f>IFERROR(INDEX('All Folders'!$A:$A,MATCH(H255,'All Folders'!$G:$G,0),1),"¶")</f>
        <v>30600</v>
      </c>
      <c r="K255" s="87"/>
      <c r="L255" s="87"/>
    </row>
    <row r="256" spans="1:12" ht="15" x14ac:dyDescent="0.25">
      <c r="A256" t="s">
        <v>20025</v>
      </c>
      <c r="B256" t="s">
        <v>13118</v>
      </c>
      <c r="C256" t="s">
        <v>13119</v>
      </c>
      <c r="D256" t="s">
        <v>12188</v>
      </c>
      <c r="E256">
        <v>4210</v>
      </c>
      <c r="F256" t="s">
        <v>13120</v>
      </c>
      <c r="G256" t="s">
        <v>12180</v>
      </c>
      <c r="H256" t="str">
        <f t="shared" si="6"/>
        <v>Paramount4210Amarillo</v>
      </c>
      <c r="I256" t="str">
        <f t="shared" si="7"/>
        <v>Paramount</v>
      </c>
      <c r="J256" s="82">
        <f>IFERROR(INDEX('All Folders'!$A:$A,MATCH(H256,'All Folders'!$G:$G,0),1),"¶")</f>
        <v>30603</v>
      </c>
      <c r="K256" s="87"/>
      <c r="L256" s="87"/>
    </row>
    <row r="257" spans="1:12" ht="15" x14ac:dyDescent="0.25">
      <c r="A257" t="s">
        <v>20026</v>
      </c>
      <c r="B257" t="s">
        <v>13121</v>
      </c>
      <c r="C257" t="s">
        <v>13122</v>
      </c>
      <c r="D257" t="s">
        <v>3870</v>
      </c>
      <c r="E257">
        <v>6600</v>
      </c>
      <c r="F257" t="s">
        <v>13123</v>
      </c>
      <c r="G257" t="s">
        <v>12180</v>
      </c>
      <c r="H257" t="str">
        <f t="shared" si="6"/>
        <v>Plum6600Amarillo</v>
      </c>
      <c r="I257" t="str">
        <f t="shared" si="7"/>
        <v>Plum</v>
      </c>
      <c r="J257" s="82">
        <f>IFERROR(INDEX('All Folders'!$A:$A,MATCH(H257,'All Folders'!$G:$G,0),1),"¶")</f>
        <v>30599</v>
      </c>
      <c r="K257" s="87"/>
      <c r="L257" s="87"/>
    </row>
    <row r="258" spans="1:12" ht="15" x14ac:dyDescent="0.25">
      <c r="A258" t="s">
        <v>20027</v>
      </c>
      <c r="B258" t="s">
        <v>13124</v>
      </c>
      <c r="C258" t="s">
        <v>13125</v>
      </c>
      <c r="D258" t="s">
        <v>13126</v>
      </c>
      <c r="E258">
        <v>5601</v>
      </c>
      <c r="F258" t="s">
        <v>13127</v>
      </c>
      <c r="G258" t="s">
        <v>12180</v>
      </c>
      <c r="H258" t="str">
        <f t="shared" ref="H258:H321" si="8">I258&amp;E258&amp;G258</f>
        <v>Bell5601Amarillo</v>
      </c>
      <c r="I258" t="str">
        <f t="shared" ref="I258:I321" si="9">IFERROR(LEFT(D258,FIND(" ",D258)-1),D258)</f>
        <v>Bell</v>
      </c>
      <c r="J258" s="89">
        <f>IFERROR(INDEX('All Folders'!$A:$A,MATCH(H258,'All Folders'!$G:$G,0),1),"¶")</f>
        <v>30604</v>
      </c>
      <c r="K258" s="87"/>
      <c r="L258" s="87"/>
    </row>
    <row r="259" spans="1:12" ht="15" x14ac:dyDescent="0.25">
      <c r="A259" t="s">
        <v>20028</v>
      </c>
      <c r="B259" t="s">
        <v>13128</v>
      </c>
      <c r="C259" t="s">
        <v>13129</v>
      </c>
      <c r="D259" t="s">
        <v>13126</v>
      </c>
      <c r="E259">
        <v>3920</v>
      </c>
      <c r="F259" t="s">
        <v>13130</v>
      </c>
      <c r="G259" t="s">
        <v>12180</v>
      </c>
      <c r="H259" t="str">
        <f t="shared" si="8"/>
        <v>Bell3920Amarillo</v>
      </c>
      <c r="I259" t="str">
        <f t="shared" si="9"/>
        <v>Bell</v>
      </c>
      <c r="J259" s="89">
        <f>IFERROR(INDEX('All Folders'!$A:$A,MATCH(H259,'All Folders'!$G:$G,0),1),"¶")</f>
        <v>30605</v>
      </c>
      <c r="K259" s="87"/>
      <c r="L259" s="87"/>
    </row>
    <row r="260" spans="1:12" ht="15" x14ac:dyDescent="0.25">
      <c r="A260" t="s">
        <v>20029</v>
      </c>
      <c r="B260" t="s">
        <v>13131</v>
      </c>
      <c r="C260" t="s">
        <v>13132</v>
      </c>
      <c r="D260" t="s">
        <v>13133</v>
      </c>
      <c r="E260">
        <v>4515</v>
      </c>
      <c r="F260" t="s">
        <v>12194</v>
      </c>
      <c r="G260" t="s">
        <v>12180</v>
      </c>
      <c r="H260" t="str">
        <f t="shared" si="8"/>
        <v>Virginia4515Amarillo</v>
      </c>
      <c r="I260" t="str">
        <f t="shared" si="9"/>
        <v>Virginia</v>
      </c>
      <c r="J260" s="82">
        <f>IFERROR(INDEX('All Folders'!$A:$A,MATCH(H260,'All Folders'!$G:$G,0),1),"¶")</f>
        <v>30607</v>
      </c>
      <c r="K260" s="87"/>
      <c r="L260" s="87"/>
    </row>
    <row r="261" spans="1:12" ht="15" x14ac:dyDescent="0.25">
      <c r="A261" t="s">
        <v>20030</v>
      </c>
      <c r="B261" t="s">
        <v>13134</v>
      </c>
      <c r="C261" t="s">
        <v>13135</v>
      </c>
      <c r="D261" t="s">
        <v>13136</v>
      </c>
      <c r="E261">
        <v>4301</v>
      </c>
      <c r="F261" t="s">
        <v>12200</v>
      </c>
      <c r="G261" t="s">
        <v>12180</v>
      </c>
      <c r="H261" t="str">
        <f t="shared" si="8"/>
        <v>51st4301Amarillo</v>
      </c>
      <c r="I261" t="str">
        <f t="shared" si="9"/>
        <v>51st</v>
      </c>
      <c r="J261" s="82">
        <f>IFERROR(INDEX('All Folders'!$A:$A,MATCH(H261,'All Folders'!$G:$G,0),1),"¶")</f>
        <v>30611</v>
      </c>
      <c r="K261" s="87"/>
      <c r="L261" s="87"/>
    </row>
    <row r="262" spans="1:12" ht="15" x14ac:dyDescent="0.25">
      <c r="A262" t="s">
        <v>20032</v>
      </c>
      <c r="B262" t="s">
        <v>13141</v>
      </c>
      <c r="C262" t="s">
        <v>13142</v>
      </c>
      <c r="D262" t="s">
        <v>13143</v>
      </c>
      <c r="E262">
        <v>203</v>
      </c>
      <c r="F262" t="s">
        <v>13144</v>
      </c>
      <c r="G262" t="s">
        <v>11818</v>
      </c>
      <c r="H262" t="str">
        <f t="shared" si="8"/>
        <v>Ransom203Aransas Pass</v>
      </c>
      <c r="I262" t="str">
        <f t="shared" si="9"/>
        <v>Ransom</v>
      </c>
      <c r="J262" s="82">
        <f>IFERROR(INDEX('All Folders'!$A:$A,MATCH(H262,'All Folders'!$G:$G,0),1),"¶")</f>
        <v>30351</v>
      </c>
      <c r="K262" s="87"/>
      <c r="L262" s="87"/>
    </row>
    <row r="263" spans="1:12" ht="15" x14ac:dyDescent="0.25">
      <c r="A263" t="s">
        <v>20033</v>
      </c>
      <c r="B263" t="s">
        <v>13145</v>
      </c>
      <c r="C263" t="s">
        <v>13146</v>
      </c>
      <c r="D263" t="s">
        <v>13147</v>
      </c>
      <c r="E263">
        <v>2001</v>
      </c>
      <c r="F263" t="s">
        <v>11820</v>
      </c>
      <c r="G263" t="s">
        <v>11818</v>
      </c>
      <c r="H263" t="str">
        <f t="shared" si="8"/>
        <v>McMullen2001Aransas Pass</v>
      </c>
      <c r="I263" t="str">
        <f t="shared" si="9"/>
        <v>McMullen</v>
      </c>
      <c r="J263" s="82">
        <f>IFERROR(INDEX('All Folders'!$A:$A,MATCH(H263,'All Folders'!$G:$G,0),1),"¶")</f>
        <v>30352</v>
      </c>
      <c r="K263" s="87"/>
      <c r="L263" s="87"/>
    </row>
    <row r="264" spans="1:12" ht="15" x14ac:dyDescent="0.25">
      <c r="A264" t="s">
        <v>20034</v>
      </c>
      <c r="B264" t="s">
        <v>13148</v>
      </c>
      <c r="C264" t="s">
        <v>13149</v>
      </c>
      <c r="D264" t="s">
        <v>13150</v>
      </c>
      <c r="E264">
        <v>615</v>
      </c>
      <c r="F264" t="s">
        <v>13151</v>
      </c>
      <c r="G264" t="s">
        <v>6555</v>
      </c>
      <c r="H264" t="str">
        <f t="shared" si="8"/>
        <v>Starlinda615Arlington</v>
      </c>
      <c r="I264" t="str">
        <f t="shared" si="9"/>
        <v>Starlinda</v>
      </c>
      <c r="J264" s="82" t="str">
        <f>IFERROR(INDEX('All Folders'!$A:$A,MATCH(H264,'All Folders'!$G:$G,0),1),"¶")</f>
        <v>SP10</v>
      </c>
      <c r="K264" s="87"/>
      <c r="L264" s="87"/>
    </row>
    <row r="265" spans="1:12" ht="15" x14ac:dyDescent="0.25">
      <c r="A265" t="s">
        <v>20035</v>
      </c>
      <c r="B265" t="s">
        <v>13152</v>
      </c>
      <c r="C265" t="s">
        <v>13153</v>
      </c>
      <c r="D265" t="s">
        <v>13154</v>
      </c>
      <c r="E265">
        <v>155</v>
      </c>
      <c r="F265" t="s">
        <v>13155</v>
      </c>
      <c r="G265" t="s">
        <v>6555</v>
      </c>
      <c r="H265" t="str">
        <f t="shared" si="8"/>
        <v>3rd155Arlington</v>
      </c>
      <c r="I265" t="str">
        <f t="shared" si="9"/>
        <v>3rd</v>
      </c>
      <c r="J265" s="82" t="str">
        <f>IFERROR(INDEX('All Folders'!$A:$A,MATCH(H265,'All Folders'!$G:$G,0),1),"¶")</f>
        <v>SP1</v>
      </c>
      <c r="K265" s="87"/>
      <c r="L265" s="87"/>
    </row>
    <row r="266" spans="1:12" ht="15" x14ac:dyDescent="0.25">
      <c r="A266" t="s">
        <v>20036</v>
      </c>
      <c r="B266" t="s">
        <v>13156</v>
      </c>
      <c r="C266" t="s">
        <v>13157</v>
      </c>
      <c r="D266" t="s">
        <v>13158</v>
      </c>
      <c r="E266">
        <v>1029</v>
      </c>
      <c r="F266" t="s">
        <v>11416</v>
      </c>
      <c r="G266" t="s">
        <v>6555</v>
      </c>
      <c r="H266" t="str">
        <f t="shared" si="8"/>
        <v>Arkansas1029Arlington</v>
      </c>
      <c r="I266" t="str">
        <f t="shared" si="9"/>
        <v>Arkansas</v>
      </c>
      <c r="J266" s="82">
        <f>IFERROR(INDEX('All Folders'!$A:$A,MATCH(H266,'All Folders'!$G:$G,0),1),"¶")</f>
        <v>30019</v>
      </c>
      <c r="K266" s="87"/>
      <c r="L266" s="87"/>
    </row>
    <row r="267" spans="1:12" ht="15" x14ac:dyDescent="0.25">
      <c r="A267" t="s">
        <v>20037</v>
      </c>
      <c r="B267" t="s">
        <v>13159</v>
      </c>
      <c r="C267" t="s">
        <v>13160</v>
      </c>
      <c r="D267" t="s">
        <v>13161</v>
      </c>
      <c r="E267">
        <v>1010</v>
      </c>
      <c r="F267" t="s">
        <v>13162</v>
      </c>
      <c r="G267" t="s">
        <v>6555</v>
      </c>
      <c r="H267" t="str">
        <f t="shared" si="8"/>
        <v>Arkansas1010Arlington</v>
      </c>
      <c r="I267" t="str">
        <f t="shared" si="9"/>
        <v>Arkansas</v>
      </c>
      <c r="J267" s="82">
        <f>IFERROR(INDEX('All Folders'!$A:$A,MATCH(H267,'All Folders'!$G:$G,0),1),"¶")</f>
        <v>30008</v>
      </c>
      <c r="K267" s="87"/>
      <c r="L267" s="87"/>
    </row>
    <row r="268" spans="1:12" ht="15" x14ac:dyDescent="0.25">
      <c r="A268" t="s">
        <v>20038</v>
      </c>
      <c r="B268" t="s">
        <v>13163</v>
      </c>
      <c r="C268" t="s">
        <v>13164</v>
      </c>
      <c r="D268" t="s">
        <v>13165</v>
      </c>
      <c r="E268">
        <v>1500</v>
      </c>
      <c r="F268" t="s">
        <v>13166</v>
      </c>
      <c r="G268" t="s">
        <v>6555</v>
      </c>
      <c r="H268" t="str">
        <f t="shared" si="8"/>
        <v>Lovers1500Arlington</v>
      </c>
      <c r="I268" t="str">
        <f t="shared" si="9"/>
        <v>Lovers</v>
      </c>
      <c r="J268" s="82">
        <f>IFERROR(INDEX('All Folders'!$A:$A,MATCH(H268,'All Folders'!$G:$G,0),1),"¶")</f>
        <v>18488</v>
      </c>
      <c r="K268" s="87"/>
      <c r="L268" s="87"/>
    </row>
    <row r="269" spans="1:12" ht="15" x14ac:dyDescent="0.25">
      <c r="A269" t="s">
        <v>20039</v>
      </c>
      <c r="B269" t="s">
        <v>13167</v>
      </c>
      <c r="C269" t="s">
        <v>13168</v>
      </c>
      <c r="D269" t="s">
        <v>13169</v>
      </c>
      <c r="E269">
        <v>2215</v>
      </c>
      <c r="F269" t="s">
        <v>7800</v>
      </c>
      <c r="G269" t="s">
        <v>6555</v>
      </c>
      <c r="H269" t="str">
        <f t="shared" si="8"/>
        <v>Harriett2215Arlington</v>
      </c>
      <c r="I269" t="str">
        <f t="shared" si="9"/>
        <v>Harriett</v>
      </c>
      <c r="J269" s="89">
        <f>IFERROR(INDEX('All Folders'!$A:$A,MATCH(H269,'All Folders'!$G:$G,0),1),"¶")</f>
        <v>15389</v>
      </c>
      <c r="K269" s="87"/>
      <c r="L269" s="87"/>
    </row>
    <row r="270" spans="1:12" ht="15" x14ac:dyDescent="0.25">
      <c r="A270" t="s">
        <v>20040</v>
      </c>
      <c r="B270" t="s">
        <v>13170</v>
      </c>
      <c r="C270" t="s">
        <v>13171</v>
      </c>
      <c r="D270" t="s">
        <v>13172</v>
      </c>
      <c r="E270">
        <v>600</v>
      </c>
      <c r="F270" t="s">
        <v>13173</v>
      </c>
      <c r="G270" t="s">
        <v>6555</v>
      </c>
      <c r="H270" t="str">
        <f t="shared" si="8"/>
        <v>Pioneer600Arlington</v>
      </c>
      <c r="I270" t="str">
        <f t="shared" si="9"/>
        <v>Pioneer</v>
      </c>
      <c r="J270" s="82">
        <f>IFERROR(INDEX('All Folders'!$A:$A,MATCH(H270,'All Folders'!$G:$G,0),1),"¶")</f>
        <v>15422</v>
      </c>
      <c r="K270" s="87"/>
      <c r="L270" s="87"/>
    </row>
    <row r="271" spans="1:12" ht="15" x14ac:dyDescent="0.25">
      <c r="A271" t="s">
        <v>20041</v>
      </c>
      <c r="B271" t="s">
        <v>13174</v>
      </c>
      <c r="C271" t="s">
        <v>13175</v>
      </c>
      <c r="D271" t="s">
        <v>13176</v>
      </c>
      <c r="E271">
        <v>2500</v>
      </c>
      <c r="F271" t="s">
        <v>13177</v>
      </c>
      <c r="G271" t="s">
        <v>6555</v>
      </c>
      <c r="H271" t="str">
        <f t="shared" si="8"/>
        <v>Ascension2500Arlington</v>
      </c>
      <c r="I271" t="str">
        <f t="shared" si="9"/>
        <v>Ascension</v>
      </c>
      <c r="J271" s="82">
        <f>IFERROR(INDEX('All Folders'!$A:$A,MATCH(H271,'All Folders'!$G:$G,0),1),"¶")</f>
        <v>14458</v>
      </c>
      <c r="K271" s="87"/>
      <c r="L271" s="87"/>
    </row>
    <row r="272" spans="1:12" ht="15" x14ac:dyDescent="0.25">
      <c r="A272" t="s">
        <v>20044</v>
      </c>
      <c r="B272" t="s">
        <v>13186</v>
      </c>
      <c r="C272" t="s">
        <v>13187</v>
      </c>
      <c r="D272" t="s">
        <v>13188</v>
      </c>
      <c r="E272">
        <v>716</v>
      </c>
      <c r="F272" t="s">
        <v>13189</v>
      </c>
      <c r="G272" t="s">
        <v>6555</v>
      </c>
      <c r="H272" t="str">
        <f t="shared" si="8"/>
        <v>Benge716Arlington</v>
      </c>
      <c r="I272" t="str">
        <f t="shared" si="9"/>
        <v>Benge</v>
      </c>
      <c r="J272" s="82" t="str">
        <f>IFERROR(INDEX('All Folders'!$A:$A,MATCH(H272,'All Folders'!$G:$G,0),1),"¶")</f>
        <v>SP2</v>
      </c>
      <c r="K272" s="87"/>
      <c r="L272" s="87"/>
    </row>
    <row r="273" spans="1:12" ht="15" x14ac:dyDescent="0.25">
      <c r="A273" t="s">
        <v>20045</v>
      </c>
      <c r="B273" t="s">
        <v>13190</v>
      </c>
      <c r="C273" t="s">
        <v>13191</v>
      </c>
      <c r="D273" t="s">
        <v>13192</v>
      </c>
      <c r="E273">
        <v>600</v>
      </c>
      <c r="F273" t="s">
        <v>13193</v>
      </c>
      <c r="G273" t="s">
        <v>6555</v>
      </c>
      <c r="H273" t="str">
        <f t="shared" si="8"/>
        <v>Mayfield600Arlington</v>
      </c>
      <c r="I273" t="str">
        <f t="shared" si="9"/>
        <v>Mayfield</v>
      </c>
      <c r="J273" s="82">
        <f>IFERROR(INDEX('All Folders'!$A:$A,MATCH(H273,'All Folders'!$G:$G,0),1),"¶")</f>
        <v>18451</v>
      </c>
      <c r="K273" s="87"/>
      <c r="L273" s="87"/>
    </row>
    <row r="274" spans="1:12" ht="15" x14ac:dyDescent="0.25">
      <c r="A274" t="s">
        <v>20046</v>
      </c>
      <c r="B274" t="s">
        <v>13194</v>
      </c>
      <c r="C274" t="s">
        <v>13195</v>
      </c>
      <c r="D274" t="s">
        <v>13161</v>
      </c>
      <c r="E274">
        <v>701</v>
      </c>
      <c r="F274" t="s">
        <v>13196</v>
      </c>
      <c r="G274" t="s">
        <v>6555</v>
      </c>
      <c r="H274" t="str">
        <f t="shared" si="8"/>
        <v>Arkansas701Arlington</v>
      </c>
      <c r="I274" t="str">
        <f t="shared" si="9"/>
        <v>Arkansas</v>
      </c>
      <c r="J274" s="82">
        <f>IFERROR(INDEX('All Folders'!$A:$A,MATCH(H274,'All Folders'!$G:$G,0),1),"¶")</f>
        <v>15290</v>
      </c>
      <c r="K274" s="87"/>
      <c r="L274" s="87"/>
    </row>
    <row r="275" spans="1:12" ht="15" x14ac:dyDescent="0.25">
      <c r="A275" t="s">
        <v>20047</v>
      </c>
      <c r="B275" t="s">
        <v>13197</v>
      </c>
      <c r="C275" t="s">
        <v>13198</v>
      </c>
      <c r="D275" t="s">
        <v>13199</v>
      </c>
      <c r="E275">
        <v>435</v>
      </c>
      <c r="F275" t="s">
        <v>13200</v>
      </c>
      <c r="G275" t="s">
        <v>6555</v>
      </c>
      <c r="H275" t="str">
        <f t="shared" si="8"/>
        <v>Bowen435Arlington</v>
      </c>
      <c r="I275" t="str">
        <f t="shared" si="9"/>
        <v>Bowen</v>
      </c>
      <c r="J275" s="82">
        <f>IFERROR(INDEX('All Folders'!$A:$A,MATCH(H275,'All Folders'!$G:$G,0),1),"¶")</f>
        <v>30003</v>
      </c>
      <c r="K275" s="87"/>
      <c r="L275" s="87"/>
    </row>
    <row r="276" spans="1:12" ht="15" x14ac:dyDescent="0.25">
      <c r="A276" t="s">
        <v>20048</v>
      </c>
      <c r="B276" t="s">
        <v>13201</v>
      </c>
      <c r="C276" t="s">
        <v>13202</v>
      </c>
      <c r="D276" t="s">
        <v>13203</v>
      </c>
      <c r="E276">
        <v>2008</v>
      </c>
      <c r="F276" t="s">
        <v>7941</v>
      </c>
      <c r="G276" t="s">
        <v>6555</v>
      </c>
      <c r="H276" t="str">
        <f t="shared" si="8"/>
        <v>Terlingua2008Arlington</v>
      </c>
      <c r="I276" t="str">
        <f t="shared" si="9"/>
        <v>Terlingua</v>
      </c>
      <c r="J276" s="82">
        <f>IFERROR(INDEX('All Folders'!$A:$A,MATCH(H276,'All Folders'!$G:$G,0),1),"¶")</f>
        <v>15501</v>
      </c>
      <c r="K276" s="87"/>
      <c r="L276" s="87"/>
    </row>
    <row r="277" spans="1:12" ht="15" x14ac:dyDescent="0.25">
      <c r="A277" t="s">
        <v>20049</v>
      </c>
      <c r="B277" t="s">
        <v>13204</v>
      </c>
      <c r="C277" t="s">
        <v>13205</v>
      </c>
      <c r="D277" t="s">
        <v>13206</v>
      </c>
      <c r="E277">
        <v>2005</v>
      </c>
      <c r="F277" t="s">
        <v>8121</v>
      </c>
      <c r="G277" t="s">
        <v>6555</v>
      </c>
      <c r="H277" t="str">
        <f t="shared" si="8"/>
        <v>Cooper2005Arlington</v>
      </c>
      <c r="I277" t="str">
        <f t="shared" si="9"/>
        <v>Cooper</v>
      </c>
      <c r="J277" s="82">
        <f>IFERROR(INDEX('All Folders'!$A:$A,MATCH(H277,'All Folders'!$G:$G,0),1),"¶")</f>
        <v>15656</v>
      </c>
      <c r="K277" s="87"/>
      <c r="L277" s="87"/>
    </row>
    <row r="278" spans="1:12" ht="15" x14ac:dyDescent="0.25">
      <c r="A278" t="s">
        <v>20051</v>
      </c>
      <c r="B278" t="s">
        <v>13211</v>
      </c>
      <c r="C278" t="s">
        <v>13212</v>
      </c>
      <c r="D278" t="s">
        <v>13213</v>
      </c>
      <c r="E278">
        <v>2103</v>
      </c>
      <c r="F278" t="s">
        <v>13214</v>
      </c>
      <c r="G278" t="s">
        <v>6555</v>
      </c>
      <c r="H278" t="str">
        <f t="shared" si="8"/>
        <v>Knoll2103Arlington</v>
      </c>
      <c r="I278" t="str">
        <f t="shared" si="9"/>
        <v>Knoll</v>
      </c>
      <c r="J278" s="82" t="str">
        <f>IFERROR(INDEX('All Folders'!$A:$A,MATCH(H278,'All Folders'!$G:$G,0),1),"¶")</f>
        <v>SP3</v>
      </c>
      <c r="K278" s="87"/>
      <c r="L278" s="87"/>
    </row>
    <row r="279" spans="1:12" ht="15" x14ac:dyDescent="0.25">
      <c r="A279" t="s">
        <v>20052</v>
      </c>
      <c r="B279" t="s">
        <v>13215</v>
      </c>
      <c r="C279" t="s">
        <v>13216</v>
      </c>
      <c r="D279" t="s">
        <v>13217</v>
      </c>
      <c r="E279">
        <v>111</v>
      </c>
      <c r="F279" t="s">
        <v>13218</v>
      </c>
      <c r="G279" t="s">
        <v>6555</v>
      </c>
      <c r="H279" t="str">
        <f t="shared" si="8"/>
        <v>3rd111Arlington</v>
      </c>
      <c r="I279" t="str">
        <f t="shared" si="9"/>
        <v>3rd</v>
      </c>
      <c r="J279" s="82">
        <f>IFERROR(INDEX('All Folders'!$A:$A,MATCH(H279,'All Folders'!$G:$G,0),1),"¶")</f>
        <v>30005</v>
      </c>
      <c r="K279" s="87"/>
      <c r="L279" s="87"/>
    </row>
    <row r="280" spans="1:12" ht="15" x14ac:dyDescent="0.25">
      <c r="A280" t="s">
        <v>20053</v>
      </c>
      <c r="B280" t="s">
        <v>13219</v>
      </c>
      <c r="C280" t="s">
        <v>13220</v>
      </c>
      <c r="D280" t="s">
        <v>13217</v>
      </c>
      <c r="E280">
        <v>201</v>
      </c>
      <c r="F280" t="s">
        <v>13218</v>
      </c>
      <c r="G280" t="s">
        <v>6555</v>
      </c>
      <c r="H280" t="str">
        <f t="shared" si="8"/>
        <v>3rd201Arlington</v>
      </c>
      <c r="I280" t="str">
        <f t="shared" si="9"/>
        <v>3rd</v>
      </c>
      <c r="J280" s="97">
        <v>30011</v>
      </c>
      <c r="K280" s="87"/>
      <c r="L280" s="87"/>
    </row>
    <row r="281" spans="1:12" ht="15" x14ac:dyDescent="0.25">
      <c r="A281" t="s">
        <v>20054</v>
      </c>
      <c r="B281" t="s">
        <v>13221</v>
      </c>
      <c r="C281" t="s">
        <v>13222</v>
      </c>
      <c r="D281" t="s">
        <v>13223</v>
      </c>
      <c r="E281">
        <v>1001</v>
      </c>
      <c r="F281" t="s">
        <v>13224</v>
      </c>
      <c r="G281" t="s">
        <v>6555</v>
      </c>
      <c r="H281" t="str">
        <f t="shared" si="8"/>
        <v>Center1001Arlington</v>
      </c>
      <c r="I281" t="str">
        <f t="shared" si="9"/>
        <v>Center</v>
      </c>
      <c r="J281" s="82">
        <f>IFERROR(INDEX('All Folders'!$A:$A,MATCH(H281,'All Folders'!$G:$G,0),1),"¶")</f>
        <v>30017</v>
      </c>
      <c r="K281" s="87"/>
      <c r="L281" s="87"/>
    </row>
    <row r="282" spans="1:12" ht="15" x14ac:dyDescent="0.25">
      <c r="A282" t="s">
        <v>20055</v>
      </c>
      <c r="B282" t="s">
        <v>13225</v>
      </c>
      <c r="C282" t="s">
        <v>13226</v>
      </c>
      <c r="D282" t="s">
        <v>13227</v>
      </c>
      <c r="E282">
        <v>2405</v>
      </c>
      <c r="F282" t="s">
        <v>13228</v>
      </c>
      <c r="G282" t="s">
        <v>6555</v>
      </c>
      <c r="H282" t="str">
        <f t="shared" si="8"/>
        <v>Park2405Arlington</v>
      </c>
      <c r="I282" t="str">
        <f t="shared" si="9"/>
        <v>Park</v>
      </c>
      <c r="J282" s="82" t="str">
        <f>IFERROR(INDEX('All Folders'!$A:$A,MATCH(H282,'All Folders'!$G:$G,0),1),"¶")</f>
        <v>SP9</v>
      </c>
      <c r="K282" s="87"/>
      <c r="L282" s="87"/>
    </row>
    <row r="283" spans="1:12" ht="15" x14ac:dyDescent="0.25">
      <c r="A283" t="s">
        <v>20056</v>
      </c>
      <c r="B283" t="s">
        <v>13229</v>
      </c>
      <c r="C283" t="s">
        <v>13230</v>
      </c>
      <c r="D283" t="s">
        <v>13231</v>
      </c>
      <c r="E283">
        <v>808</v>
      </c>
      <c r="F283" t="s">
        <v>8120</v>
      </c>
      <c r="G283" t="s">
        <v>6555</v>
      </c>
      <c r="H283" t="str">
        <f t="shared" si="8"/>
        <v>Sanford808Arlington</v>
      </c>
      <c r="I283" t="str">
        <f t="shared" si="9"/>
        <v>Sanford</v>
      </c>
      <c r="J283" s="82">
        <f>IFERROR(INDEX('All Folders'!$A:$A,MATCH(H283,'All Folders'!$G:$G,0),1),"¶")</f>
        <v>15655</v>
      </c>
      <c r="K283" s="87"/>
      <c r="L283" s="87"/>
    </row>
    <row r="284" spans="1:12" ht="15" x14ac:dyDescent="0.25">
      <c r="A284" t="s">
        <v>20057</v>
      </c>
      <c r="B284" t="s">
        <v>13232</v>
      </c>
      <c r="C284" t="s">
        <v>13233</v>
      </c>
      <c r="D284" t="s">
        <v>13234</v>
      </c>
      <c r="E284">
        <v>525</v>
      </c>
      <c r="F284" t="s">
        <v>13235</v>
      </c>
      <c r="G284" t="s">
        <v>6555</v>
      </c>
      <c r="H284" t="str">
        <f t="shared" si="8"/>
        <v>Lamar525Arlington</v>
      </c>
      <c r="I284" t="str">
        <f t="shared" si="9"/>
        <v>Lamar</v>
      </c>
      <c r="J284" s="82">
        <f>IFERROR(INDEX('All Folders'!$A:$A,MATCH(H284,'All Folders'!$G:$G,0),1),"¶")</f>
        <v>14368</v>
      </c>
      <c r="K284" s="87"/>
      <c r="L284" s="87"/>
    </row>
    <row r="285" spans="1:12" ht="15" x14ac:dyDescent="0.25">
      <c r="A285" t="s">
        <v>20058</v>
      </c>
      <c r="B285" t="s">
        <v>13236</v>
      </c>
      <c r="C285" t="s">
        <v>13237</v>
      </c>
      <c r="D285" t="s">
        <v>13172</v>
      </c>
      <c r="E285">
        <v>300</v>
      </c>
      <c r="F285" t="s">
        <v>13238</v>
      </c>
      <c r="G285" t="s">
        <v>6555</v>
      </c>
      <c r="H285" t="str">
        <f t="shared" si="8"/>
        <v>Pioneer300Arlington</v>
      </c>
      <c r="I285" t="str">
        <f t="shared" si="9"/>
        <v>Pioneer</v>
      </c>
      <c r="J285" s="82">
        <f>IFERROR(INDEX('All Folders'!$A:$A,MATCH(H285,'All Folders'!$G:$G,0),1),"¶")</f>
        <v>15535</v>
      </c>
      <c r="K285" s="87"/>
      <c r="L285" s="87"/>
    </row>
    <row r="286" spans="1:12" ht="15" x14ac:dyDescent="0.25">
      <c r="A286" t="s">
        <v>20059</v>
      </c>
      <c r="B286" t="s">
        <v>13239</v>
      </c>
      <c r="C286" t="s">
        <v>13240</v>
      </c>
      <c r="D286" t="s">
        <v>8762</v>
      </c>
      <c r="E286">
        <v>6504</v>
      </c>
      <c r="F286" t="s">
        <v>8763</v>
      </c>
      <c r="G286" t="s">
        <v>6555</v>
      </c>
      <c r="H286" t="str">
        <f t="shared" si="8"/>
        <v>Falcon6504Arlington</v>
      </c>
      <c r="I286" t="str">
        <f t="shared" si="9"/>
        <v>Falcon</v>
      </c>
      <c r="J286" s="89">
        <f>IFERROR(INDEX('All Folders'!$A:$A,MATCH(H286,'All Folders'!$G:$G,0),1),"¶")</f>
        <v>16240</v>
      </c>
      <c r="K286" s="87"/>
      <c r="L286" s="87"/>
    </row>
    <row r="287" spans="1:12" ht="15" x14ac:dyDescent="0.25">
      <c r="A287" t="s">
        <v>20060</v>
      </c>
      <c r="B287" t="s">
        <v>13241</v>
      </c>
      <c r="C287" t="s">
        <v>13242</v>
      </c>
      <c r="D287" t="s">
        <v>7384</v>
      </c>
      <c r="E287">
        <v>1727</v>
      </c>
      <c r="F287" t="s">
        <v>13243</v>
      </c>
      <c r="G287" t="s">
        <v>6555</v>
      </c>
      <c r="H287" t="str">
        <f t="shared" si="8"/>
        <v>Westview1727Arlington</v>
      </c>
      <c r="I287" t="str">
        <f t="shared" si="9"/>
        <v>Westview</v>
      </c>
      <c r="J287" s="82">
        <f>IFERROR(INDEX('All Folders'!$A:$A,MATCH(H287,'All Folders'!$G:$G,0),1),"¶")</f>
        <v>15342</v>
      </c>
      <c r="K287" s="87"/>
      <c r="L287" s="87"/>
    </row>
    <row r="288" spans="1:12" ht="15" x14ac:dyDescent="0.25">
      <c r="A288" t="s">
        <v>20061</v>
      </c>
      <c r="B288" t="s">
        <v>13244</v>
      </c>
      <c r="C288" t="s">
        <v>13245</v>
      </c>
      <c r="D288" t="s">
        <v>13246</v>
      </c>
      <c r="E288">
        <v>3601</v>
      </c>
      <c r="F288" t="s">
        <v>13247</v>
      </c>
      <c r="G288" t="s">
        <v>6555</v>
      </c>
      <c r="H288" t="str">
        <f t="shared" si="8"/>
        <v>Fielders3601Arlington</v>
      </c>
      <c r="I288" t="str">
        <f t="shared" si="9"/>
        <v>Fielders</v>
      </c>
      <c r="J288" s="97">
        <v>15345</v>
      </c>
      <c r="K288" s="87"/>
      <c r="L288" s="87"/>
    </row>
    <row r="289" spans="1:12" ht="15" x14ac:dyDescent="0.25">
      <c r="A289" t="s">
        <v>20063</v>
      </c>
      <c r="B289" t="s">
        <v>13252</v>
      </c>
      <c r="C289" t="s">
        <v>13253</v>
      </c>
      <c r="D289" t="s">
        <v>13254</v>
      </c>
      <c r="E289">
        <v>1609</v>
      </c>
      <c r="F289" t="s">
        <v>7805</v>
      </c>
      <c r="G289" t="s">
        <v>6555</v>
      </c>
      <c r="H289" t="str">
        <f t="shared" si="8"/>
        <v>Sherry1609Arlington</v>
      </c>
      <c r="I289" t="str">
        <f t="shared" si="9"/>
        <v>Sherry</v>
      </c>
      <c r="J289" s="82">
        <f>IFERROR(INDEX('All Folders'!$A:$A,MATCH(H289,'All Folders'!$G:$G,0),1),"¶")</f>
        <v>15393</v>
      </c>
      <c r="K289" s="87"/>
      <c r="L289" s="87"/>
    </row>
    <row r="290" spans="1:12" ht="15" x14ac:dyDescent="0.25">
      <c r="A290" t="s">
        <v>20064</v>
      </c>
      <c r="B290" t="s">
        <v>13255</v>
      </c>
      <c r="C290" t="s">
        <v>13256</v>
      </c>
      <c r="D290" t="s">
        <v>13257</v>
      </c>
      <c r="E290">
        <v>715</v>
      </c>
      <c r="F290" t="s">
        <v>7862</v>
      </c>
      <c r="G290" t="s">
        <v>6555</v>
      </c>
      <c r="H290" t="str">
        <f t="shared" si="8"/>
        <v>Washington715Arlington</v>
      </c>
      <c r="I290" t="str">
        <f t="shared" si="9"/>
        <v>Washington</v>
      </c>
      <c r="J290" s="82">
        <f>IFERROR(INDEX('All Folders'!$A:$A,MATCH(H290,'All Folders'!$G:$G,0),1),"¶")</f>
        <v>15435</v>
      </c>
      <c r="K290" s="87"/>
      <c r="L290" s="87"/>
    </row>
    <row r="291" spans="1:12" ht="15" x14ac:dyDescent="0.25">
      <c r="A291" t="s">
        <v>20065</v>
      </c>
      <c r="B291" t="s">
        <v>13258</v>
      </c>
      <c r="C291" t="s">
        <v>13259</v>
      </c>
      <c r="D291" t="s">
        <v>13260</v>
      </c>
      <c r="E291">
        <v>2706</v>
      </c>
      <c r="F291" t="s">
        <v>5640</v>
      </c>
      <c r="G291" t="s">
        <v>6555</v>
      </c>
      <c r="H291" t="str">
        <f t="shared" si="8"/>
        <v>Heather2706Arlington</v>
      </c>
      <c r="I291" t="str">
        <f t="shared" si="9"/>
        <v>Heather</v>
      </c>
      <c r="J291" s="82">
        <f>IFERROR(INDEX('All Folders'!$A:$A,MATCH(H291,'All Folders'!$G:$G,0),1),"¶")</f>
        <v>14399</v>
      </c>
      <c r="K291" s="87"/>
      <c r="L291" s="87"/>
    </row>
    <row r="292" spans="1:12" ht="15" x14ac:dyDescent="0.25">
      <c r="A292" t="s">
        <v>20066</v>
      </c>
      <c r="B292" t="s">
        <v>13261</v>
      </c>
      <c r="C292" t="s">
        <v>13262</v>
      </c>
      <c r="D292" t="s">
        <v>13188</v>
      </c>
      <c r="E292">
        <v>816</v>
      </c>
      <c r="F292" t="s">
        <v>13263</v>
      </c>
      <c r="G292" t="s">
        <v>6555</v>
      </c>
      <c r="H292" t="str">
        <f t="shared" si="8"/>
        <v>Benge816Arlington</v>
      </c>
      <c r="I292" t="str">
        <f t="shared" si="9"/>
        <v>Benge</v>
      </c>
      <c r="J292" s="82">
        <f>IFERROR(INDEX('All Folders'!$A:$A,MATCH(H292,'All Folders'!$G:$G,0),1),"¶")</f>
        <v>30002</v>
      </c>
      <c r="K292" s="87"/>
      <c r="L292" s="87"/>
    </row>
    <row r="293" spans="1:12" ht="15" x14ac:dyDescent="0.25">
      <c r="A293" t="s">
        <v>20067</v>
      </c>
      <c r="B293" t="s">
        <v>13264</v>
      </c>
      <c r="C293" t="s">
        <v>13265</v>
      </c>
      <c r="D293" t="s">
        <v>13266</v>
      </c>
      <c r="E293">
        <v>605</v>
      </c>
      <c r="F293" t="s">
        <v>13267</v>
      </c>
      <c r="G293" t="s">
        <v>6555</v>
      </c>
      <c r="H293" t="str">
        <f t="shared" si="8"/>
        <v>Brent605Arlington</v>
      </c>
      <c r="I293" t="str">
        <f t="shared" si="9"/>
        <v>Brent</v>
      </c>
      <c r="J293" s="82">
        <f>IFERROR(INDEX('All Folders'!$A:$A,MATCH(H293,'All Folders'!$G:$G,0),1),"¶")</f>
        <v>15544</v>
      </c>
      <c r="K293" s="87"/>
      <c r="L293" s="87"/>
    </row>
    <row r="294" spans="1:12" ht="15" x14ac:dyDescent="0.25">
      <c r="A294" t="s">
        <v>20068</v>
      </c>
      <c r="B294" t="s">
        <v>13268</v>
      </c>
      <c r="C294" t="s">
        <v>13269</v>
      </c>
      <c r="D294" t="s">
        <v>13270</v>
      </c>
      <c r="E294">
        <v>2504</v>
      </c>
      <c r="F294" t="s">
        <v>6719</v>
      </c>
      <c r="G294" t="s">
        <v>6555</v>
      </c>
      <c r="H294" t="str">
        <f t="shared" si="8"/>
        <v>Ivy2504Arlington</v>
      </c>
      <c r="I294" t="str">
        <f t="shared" si="9"/>
        <v>Ivy</v>
      </c>
      <c r="J294" s="82">
        <f>IFERROR(INDEX('All Folders'!$A:$A,MATCH(H294,'All Folders'!$G:$G,0),1),"¶")</f>
        <v>14406</v>
      </c>
      <c r="K294" s="87"/>
      <c r="L294" s="87"/>
    </row>
    <row r="295" spans="1:12" ht="15" x14ac:dyDescent="0.25">
      <c r="A295" t="s">
        <v>20069</v>
      </c>
      <c r="B295" t="s">
        <v>13271</v>
      </c>
      <c r="C295" t="s">
        <v>13272</v>
      </c>
      <c r="D295" t="s">
        <v>13273</v>
      </c>
      <c r="E295">
        <v>408</v>
      </c>
      <c r="F295" t="s">
        <v>13274</v>
      </c>
      <c r="G295" t="s">
        <v>6555</v>
      </c>
      <c r="H295" t="str">
        <f t="shared" si="8"/>
        <v>Fielder408Arlington</v>
      </c>
      <c r="I295" t="str">
        <f t="shared" si="9"/>
        <v>Fielder</v>
      </c>
      <c r="J295" s="82">
        <f>IFERROR(INDEX('All Folders'!$A:$A,MATCH(H295,'All Folders'!$G:$G,0),1),"¶")</f>
        <v>15575</v>
      </c>
      <c r="K295" s="87"/>
      <c r="L295" s="87"/>
    </row>
    <row r="296" spans="1:12" ht="15" x14ac:dyDescent="0.25">
      <c r="A296" t="s">
        <v>20070</v>
      </c>
      <c r="B296" t="s">
        <v>13275</v>
      </c>
      <c r="C296" t="s">
        <v>13276</v>
      </c>
      <c r="D296" t="s">
        <v>13277</v>
      </c>
      <c r="E296">
        <v>834</v>
      </c>
      <c r="F296" t="s">
        <v>6842</v>
      </c>
      <c r="G296" t="s">
        <v>6555</v>
      </c>
      <c r="H296" t="str">
        <f t="shared" si="8"/>
        <v>Timberlake834Arlington</v>
      </c>
      <c r="I296" t="str">
        <f t="shared" si="9"/>
        <v>Timberlake</v>
      </c>
      <c r="J296" s="82">
        <f>IFERROR(INDEX('All Folders'!$A:$A,MATCH(H296,'All Folders'!$G:$G,0),1),"¶")</f>
        <v>14496</v>
      </c>
      <c r="K296" s="87"/>
      <c r="L296" s="87"/>
    </row>
    <row r="297" spans="1:12" ht="15" x14ac:dyDescent="0.25">
      <c r="A297" t="s">
        <v>20071</v>
      </c>
      <c r="B297" t="s">
        <v>13278</v>
      </c>
      <c r="C297" t="s">
        <v>13279</v>
      </c>
      <c r="D297" t="s">
        <v>13280</v>
      </c>
      <c r="E297">
        <v>1676</v>
      </c>
      <c r="F297" t="s">
        <v>13281</v>
      </c>
      <c r="G297" t="s">
        <v>6555</v>
      </c>
      <c r="H297" t="str">
        <f t="shared" si="8"/>
        <v>Carter1676Arlington</v>
      </c>
      <c r="I297" t="str">
        <f t="shared" si="9"/>
        <v>Carter</v>
      </c>
      <c r="J297" s="82">
        <f>IFERROR(INDEX('All Folders'!$A:$A,MATCH(H297,'All Folders'!$G:$G,0),1),"¶")</f>
        <v>15556</v>
      </c>
      <c r="K297" s="87"/>
      <c r="L297" s="87"/>
    </row>
    <row r="298" spans="1:12" ht="15" x14ac:dyDescent="0.25">
      <c r="A298" t="s">
        <v>20072</v>
      </c>
      <c r="B298" t="s">
        <v>13282</v>
      </c>
      <c r="C298" t="s">
        <v>13283</v>
      </c>
      <c r="D298" t="s">
        <v>13284</v>
      </c>
      <c r="E298">
        <v>723</v>
      </c>
      <c r="F298" t="s">
        <v>13285</v>
      </c>
      <c r="G298" t="s">
        <v>6555</v>
      </c>
      <c r="H298" t="str">
        <f t="shared" si="8"/>
        <v>Garden723Arlington</v>
      </c>
      <c r="I298" t="str">
        <f t="shared" si="9"/>
        <v>Garden</v>
      </c>
      <c r="J298" s="82">
        <f>IFERROR(INDEX('All Folders'!$A:$A,MATCH(H298,'All Folders'!$G:$G,0),1),"¶")</f>
        <v>15455</v>
      </c>
      <c r="K298" s="87"/>
      <c r="L298" s="87"/>
    </row>
    <row r="299" spans="1:12" ht="15" x14ac:dyDescent="0.25">
      <c r="A299" t="s">
        <v>20073</v>
      </c>
      <c r="B299" t="s">
        <v>13286</v>
      </c>
      <c r="C299" t="s">
        <v>13287</v>
      </c>
      <c r="D299" t="s">
        <v>13172</v>
      </c>
      <c r="E299">
        <v>200</v>
      </c>
      <c r="F299" t="s">
        <v>8022</v>
      </c>
      <c r="G299" t="s">
        <v>6555</v>
      </c>
      <c r="H299" t="str">
        <f t="shared" si="8"/>
        <v>Pioneer200Arlington</v>
      </c>
      <c r="I299" t="str">
        <f t="shared" si="9"/>
        <v>Pioneer</v>
      </c>
      <c r="J299" s="82">
        <f>IFERROR(INDEX('All Folders'!$A:$A,MATCH(H299,'All Folders'!$G:$G,0),1),"¶")</f>
        <v>15567</v>
      </c>
      <c r="K299" s="87"/>
      <c r="L299" s="87"/>
    </row>
    <row r="300" spans="1:12" ht="15" x14ac:dyDescent="0.25">
      <c r="A300" t="s">
        <v>20074</v>
      </c>
      <c r="B300" t="s">
        <v>13288</v>
      </c>
      <c r="C300" t="s">
        <v>13289</v>
      </c>
      <c r="D300" t="s">
        <v>13290</v>
      </c>
      <c r="E300">
        <v>805</v>
      </c>
      <c r="F300" t="s">
        <v>2074</v>
      </c>
      <c r="G300" t="s">
        <v>6555</v>
      </c>
      <c r="H300" t="str">
        <f t="shared" si="8"/>
        <v>Center805Arlington</v>
      </c>
      <c r="I300" t="str">
        <f t="shared" si="9"/>
        <v>Center</v>
      </c>
      <c r="J300" s="82">
        <f>IFERROR(INDEX('All Folders'!$A:$A,MATCH(H300,'All Folders'!$G:$G,0),1),"¶")</f>
        <v>15700</v>
      </c>
      <c r="K300" s="87"/>
      <c r="L300" s="87"/>
    </row>
    <row r="301" spans="1:12" ht="15" x14ac:dyDescent="0.25">
      <c r="A301" t="s">
        <v>20075</v>
      </c>
      <c r="B301" t="s">
        <v>13291</v>
      </c>
      <c r="C301" t="s">
        <v>13292</v>
      </c>
      <c r="D301" t="s">
        <v>13293</v>
      </c>
      <c r="E301">
        <v>2505</v>
      </c>
      <c r="F301" t="s">
        <v>13294</v>
      </c>
      <c r="G301" t="s">
        <v>6555</v>
      </c>
      <c r="H301" t="str">
        <f t="shared" si="8"/>
        <v>Medlin2505Arlington</v>
      </c>
      <c r="I301" t="str">
        <f t="shared" si="9"/>
        <v>Medlin</v>
      </c>
      <c r="J301" s="82" t="str">
        <f>IFERROR(INDEX('All Folders'!$A:$A,MATCH(H301,'All Folders'!$G:$G,0),1),"¶")</f>
        <v>SP5</v>
      </c>
      <c r="K301" s="87"/>
      <c r="L301" s="87"/>
    </row>
    <row r="302" spans="1:12" ht="15" x14ac:dyDescent="0.25">
      <c r="A302" t="s">
        <v>20076</v>
      </c>
      <c r="B302" t="s">
        <v>13295</v>
      </c>
      <c r="C302" t="s">
        <v>13296</v>
      </c>
      <c r="D302" t="s">
        <v>13297</v>
      </c>
      <c r="E302">
        <v>1900</v>
      </c>
      <c r="F302" t="s">
        <v>11412</v>
      </c>
      <c r="G302" t="s">
        <v>6555</v>
      </c>
      <c r="H302" t="str">
        <f t="shared" si="8"/>
        <v>Melrose1900Arlington</v>
      </c>
      <c r="I302" t="str">
        <f t="shared" si="9"/>
        <v>Melrose</v>
      </c>
      <c r="J302" s="82">
        <f>IFERROR(INDEX('All Folders'!$A:$A,MATCH(H302,'All Folders'!$G:$G,0),1),"¶")</f>
        <v>30012</v>
      </c>
      <c r="K302" s="87"/>
      <c r="L302" s="87"/>
    </row>
    <row r="303" spans="1:12" ht="15" x14ac:dyDescent="0.25">
      <c r="A303" t="s">
        <v>20077</v>
      </c>
      <c r="B303" t="s">
        <v>13298</v>
      </c>
      <c r="C303" t="s">
        <v>13299</v>
      </c>
      <c r="D303" t="s">
        <v>13300</v>
      </c>
      <c r="E303">
        <v>2300</v>
      </c>
      <c r="F303" t="s">
        <v>13301</v>
      </c>
      <c r="G303" t="s">
        <v>6555</v>
      </c>
      <c r="H303" t="str">
        <f t="shared" si="8"/>
        <v>Misty2300Arlington</v>
      </c>
      <c r="I303" t="str">
        <f t="shared" si="9"/>
        <v>Misty</v>
      </c>
      <c r="J303" s="82">
        <f>IFERROR(INDEX('All Folders'!$A:$A,MATCH(H303,'All Folders'!$G:$G,0),1),"¶")</f>
        <v>14432</v>
      </c>
      <c r="K303" s="87"/>
      <c r="L303" s="87"/>
    </row>
    <row r="304" spans="1:12" ht="15" x14ac:dyDescent="0.25">
      <c r="A304" t="s">
        <v>20078</v>
      </c>
      <c r="B304" t="s">
        <v>13302</v>
      </c>
      <c r="C304" t="s">
        <v>13303</v>
      </c>
      <c r="D304" t="s">
        <v>13304</v>
      </c>
      <c r="E304">
        <v>304</v>
      </c>
      <c r="F304" t="s">
        <v>13305</v>
      </c>
      <c r="G304" t="s">
        <v>6555</v>
      </c>
      <c r="H304" t="str">
        <f t="shared" si="8"/>
        <v>Mitchell304Arlington</v>
      </c>
      <c r="I304" t="str">
        <f t="shared" si="9"/>
        <v>Mitchell</v>
      </c>
      <c r="J304" s="82" t="str">
        <f>IFERROR(INDEX('All Folders'!$A:$A,MATCH(H304,'All Folders'!$G:$G,0),1),"¶")</f>
        <v>SP6</v>
      </c>
      <c r="K304" s="87"/>
      <c r="L304" s="87"/>
    </row>
    <row r="305" spans="1:12" ht="15" x14ac:dyDescent="0.25">
      <c r="A305" t="s">
        <v>20079</v>
      </c>
      <c r="B305" t="s">
        <v>13306</v>
      </c>
      <c r="C305" t="s">
        <v>13307</v>
      </c>
      <c r="D305" t="s">
        <v>13308</v>
      </c>
      <c r="E305">
        <v>2900</v>
      </c>
      <c r="F305" t="s">
        <v>6764</v>
      </c>
      <c r="G305" t="s">
        <v>6555</v>
      </c>
      <c r="H305" t="str">
        <f t="shared" si="8"/>
        <v>Matlock2900Arlington</v>
      </c>
      <c r="I305" t="str">
        <f t="shared" si="9"/>
        <v>Matlock</v>
      </c>
      <c r="J305" s="82">
        <f>IFERROR(INDEX('All Folders'!$A:$A,MATCH(H305,'All Folders'!$G:$G,0),1),"¶")</f>
        <v>14436</v>
      </c>
      <c r="K305" s="87"/>
      <c r="L305" s="87"/>
    </row>
    <row r="306" spans="1:12" ht="15" x14ac:dyDescent="0.25">
      <c r="A306" t="s">
        <v>20080</v>
      </c>
      <c r="B306" t="s">
        <v>13309</v>
      </c>
      <c r="C306" t="s">
        <v>13310</v>
      </c>
      <c r="D306" t="s">
        <v>13311</v>
      </c>
      <c r="E306">
        <v>406</v>
      </c>
      <c r="F306" t="s">
        <v>12925</v>
      </c>
      <c r="G306" t="s">
        <v>6555</v>
      </c>
      <c r="H306" t="str">
        <f t="shared" si="8"/>
        <v>Oak406Arlington</v>
      </c>
      <c r="I306" t="str">
        <f t="shared" si="9"/>
        <v>Oak</v>
      </c>
      <c r="J306" s="82" t="str">
        <f>IFERROR(INDEX('All Folders'!$A:$A,MATCH(H306,'All Folders'!$G:$G,0),1),"¶")</f>
        <v>SP7</v>
      </c>
      <c r="K306" s="87"/>
      <c r="L306" s="87"/>
    </row>
    <row r="307" spans="1:12" ht="15" x14ac:dyDescent="0.25">
      <c r="A307" t="s">
        <v>20081</v>
      </c>
      <c r="B307" t="s">
        <v>13312</v>
      </c>
      <c r="C307" t="s">
        <v>13313</v>
      </c>
      <c r="D307" t="s">
        <v>13250</v>
      </c>
      <c r="E307">
        <v>2011</v>
      </c>
      <c r="F307" t="s">
        <v>12402</v>
      </c>
      <c r="G307" t="s">
        <v>6555</v>
      </c>
      <c r="H307" t="str">
        <f t="shared" si="8"/>
        <v>Lincoln2011Arlington</v>
      </c>
      <c r="I307" t="str">
        <f t="shared" si="9"/>
        <v>Lincoln</v>
      </c>
      <c r="J307" s="82">
        <f>IFERROR(INDEX('All Folders'!$A:$A,MATCH(H307,'All Folders'!$G:$G,0),1),"¶")</f>
        <v>15713</v>
      </c>
      <c r="K307" s="87"/>
      <c r="L307" s="87"/>
    </row>
    <row r="308" spans="1:12" ht="15" x14ac:dyDescent="0.25">
      <c r="A308" t="s">
        <v>20082</v>
      </c>
      <c r="B308" t="s">
        <v>13314</v>
      </c>
      <c r="C308" t="s">
        <v>13315</v>
      </c>
      <c r="D308" t="s">
        <v>13257</v>
      </c>
      <c r="E308">
        <v>707</v>
      </c>
      <c r="F308" t="s">
        <v>275</v>
      </c>
      <c r="G308" t="s">
        <v>6555</v>
      </c>
      <c r="H308" t="str">
        <f t="shared" si="8"/>
        <v>Washington707Arlington</v>
      </c>
      <c r="I308" t="str">
        <f t="shared" si="9"/>
        <v>Washington</v>
      </c>
      <c r="J308" s="82">
        <f>IFERROR(INDEX('All Folders'!$A:$A,MATCH(H308,'All Folders'!$G:$G,0),1),"¶")</f>
        <v>15392</v>
      </c>
      <c r="K308" s="87"/>
      <c r="L308" s="87"/>
    </row>
    <row r="309" spans="1:12" ht="15" x14ac:dyDescent="0.25">
      <c r="A309" t="s">
        <v>20083</v>
      </c>
      <c r="B309" t="s">
        <v>13316</v>
      </c>
      <c r="C309" t="s">
        <v>13317</v>
      </c>
      <c r="D309" t="s">
        <v>13311</v>
      </c>
      <c r="E309">
        <v>901</v>
      </c>
      <c r="F309" t="s">
        <v>7920</v>
      </c>
      <c r="G309" t="s">
        <v>6555</v>
      </c>
      <c r="H309" t="str">
        <f t="shared" si="8"/>
        <v>Oak901Arlington</v>
      </c>
      <c r="I309" t="str">
        <f t="shared" si="9"/>
        <v>Oak</v>
      </c>
      <c r="J309" s="82">
        <f>IFERROR(INDEX('All Folders'!$A:$A,MATCH(H309,'All Folders'!$G:$G,0),1),"¶")</f>
        <v>15483</v>
      </c>
      <c r="K309" s="87"/>
      <c r="L309" s="87"/>
    </row>
    <row r="310" spans="1:12" ht="15" x14ac:dyDescent="0.25">
      <c r="A310" t="s">
        <v>20084</v>
      </c>
      <c r="B310" t="s">
        <v>13318</v>
      </c>
      <c r="C310" t="s">
        <v>13319</v>
      </c>
      <c r="D310" t="s">
        <v>13320</v>
      </c>
      <c r="E310">
        <v>2420</v>
      </c>
      <c r="F310" t="s">
        <v>13321</v>
      </c>
      <c r="G310" t="s">
        <v>6555</v>
      </c>
      <c r="H310" t="str">
        <f t="shared" si="8"/>
        <v>Abram2420Arlington</v>
      </c>
      <c r="I310" t="str">
        <f t="shared" si="9"/>
        <v>Abram</v>
      </c>
      <c r="J310" s="82">
        <f>IFERROR(INDEX('All Folders'!$A:$A,MATCH(H310,'All Folders'!$G:$G,0),1),"¶")</f>
        <v>15506</v>
      </c>
      <c r="K310" s="87"/>
      <c r="L310" s="87"/>
    </row>
    <row r="311" spans="1:12" ht="15" x14ac:dyDescent="0.25">
      <c r="A311" t="s">
        <v>20085</v>
      </c>
      <c r="B311" t="s">
        <v>13322</v>
      </c>
      <c r="C311" t="s">
        <v>13323</v>
      </c>
      <c r="D311" t="s">
        <v>13324</v>
      </c>
      <c r="E311">
        <v>604</v>
      </c>
      <c r="F311" t="s">
        <v>2513</v>
      </c>
      <c r="G311" t="s">
        <v>6555</v>
      </c>
      <c r="H311" t="str">
        <f t="shared" si="8"/>
        <v>Causley604Arlington</v>
      </c>
      <c r="I311" t="str">
        <f t="shared" si="9"/>
        <v>Causley</v>
      </c>
      <c r="J311" s="82">
        <f>IFERROR(INDEX('All Folders'!$A:$A,MATCH(H311,'All Folders'!$G:$G,0),1),"¶")</f>
        <v>30004</v>
      </c>
      <c r="K311" s="87"/>
      <c r="L311" s="87"/>
    </row>
    <row r="312" spans="1:12" ht="15" x14ac:dyDescent="0.25">
      <c r="A312" t="s">
        <v>20086</v>
      </c>
      <c r="B312" t="s">
        <v>13325</v>
      </c>
      <c r="C312" t="s">
        <v>13326</v>
      </c>
      <c r="D312" t="s">
        <v>13327</v>
      </c>
      <c r="E312">
        <v>5223</v>
      </c>
      <c r="F312" t="s">
        <v>13328</v>
      </c>
      <c r="G312" t="s">
        <v>6555</v>
      </c>
      <c r="H312" t="str">
        <f t="shared" si="8"/>
        <v>Camino5223Arlington</v>
      </c>
      <c r="I312" t="str">
        <f t="shared" si="9"/>
        <v>Camino</v>
      </c>
      <c r="J312" s="82">
        <f>IFERROR(INDEX('All Folders'!$A:$A,MATCH(H312,'All Folders'!$G:$G,0),1),"¶")</f>
        <v>15509</v>
      </c>
      <c r="K312" s="87"/>
      <c r="L312" s="87"/>
    </row>
    <row r="313" spans="1:12" ht="15" x14ac:dyDescent="0.25">
      <c r="A313" t="s">
        <v>20087</v>
      </c>
      <c r="B313" t="s">
        <v>13329</v>
      </c>
      <c r="C313" t="s">
        <v>13330</v>
      </c>
      <c r="D313" t="s">
        <v>13331</v>
      </c>
      <c r="E313">
        <v>1541</v>
      </c>
      <c r="F313" t="s">
        <v>13332</v>
      </c>
      <c r="G313" t="s">
        <v>6555</v>
      </c>
      <c r="H313" t="str">
        <f t="shared" si="8"/>
        <v>Parkway1541Arlington</v>
      </c>
      <c r="I313" t="str">
        <f t="shared" si="9"/>
        <v>Parkway</v>
      </c>
      <c r="J313" s="88">
        <v>15533</v>
      </c>
      <c r="K313" s="87"/>
      <c r="L313" s="87"/>
    </row>
    <row r="314" spans="1:12" ht="15" x14ac:dyDescent="0.25">
      <c r="A314" t="s">
        <v>20088</v>
      </c>
      <c r="B314" t="s">
        <v>13333</v>
      </c>
      <c r="C314" t="s">
        <v>13334</v>
      </c>
      <c r="D314" t="s">
        <v>13227</v>
      </c>
      <c r="E314">
        <v>3100</v>
      </c>
      <c r="F314" t="s">
        <v>13335</v>
      </c>
      <c r="G314" t="s">
        <v>6555</v>
      </c>
      <c r="H314" t="str">
        <f t="shared" si="8"/>
        <v>Park3100Arlington</v>
      </c>
      <c r="I314" t="str">
        <f t="shared" si="9"/>
        <v>Park</v>
      </c>
      <c r="J314" s="82">
        <f>IFERROR(INDEX('All Folders'!$A:$A,MATCH(H314,'All Folders'!$G:$G,0),1),"¶")</f>
        <v>15521</v>
      </c>
      <c r="K314" s="87"/>
      <c r="L314" s="87"/>
    </row>
    <row r="315" spans="1:12" ht="15" x14ac:dyDescent="0.25">
      <c r="A315" t="s">
        <v>20089</v>
      </c>
      <c r="B315" t="s">
        <v>13336</v>
      </c>
      <c r="C315" t="s">
        <v>13337</v>
      </c>
      <c r="D315" t="s">
        <v>13338</v>
      </c>
      <c r="E315">
        <v>300</v>
      </c>
      <c r="F315" t="s">
        <v>13339</v>
      </c>
      <c r="G315" t="s">
        <v>6555</v>
      </c>
      <c r="H315" t="str">
        <f t="shared" si="8"/>
        <v>Park300Arlington</v>
      </c>
      <c r="I315" t="str">
        <f t="shared" si="9"/>
        <v>Park</v>
      </c>
      <c r="J315" s="82" t="str">
        <f>IFERROR(INDEX('All Folders'!$A:$A,MATCH(H315,'All Folders'!$G:$G,0),1),"¶")</f>
        <v>SP8</v>
      </c>
      <c r="K315" s="87"/>
      <c r="L315" s="87"/>
    </row>
    <row r="316" spans="1:12" ht="15" x14ac:dyDescent="0.25">
      <c r="A316" t="s">
        <v>20090</v>
      </c>
      <c r="B316" t="s">
        <v>13340</v>
      </c>
      <c r="C316" t="s">
        <v>13341</v>
      </c>
      <c r="D316" t="s">
        <v>13342</v>
      </c>
      <c r="E316">
        <v>3740</v>
      </c>
      <c r="F316" t="s">
        <v>6789</v>
      </c>
      <c r="G316" t="s">
        <v>6555</v>
      </c>
      <c r="H316" t="str">
        <f t="shared" si="8"/>
        <v>Little3740Arlington</v>
      </c>
      <c r="I316" t="str">
        <f t="shared" si="9"/>
        <v>Little</v>
      </c>
      <c r="J316" s="89">
        <f>IFERROR(INDEX('All Folders'!$A:$A,MATCH(H316,'All Folders'!$G:$G,0),1),"¶")</f>
        <v>14454</v>
      </c>
      <c r="K316" s="87"/>
      <c r="L316" s="87"/>
    </row>
    <row r="317" spans="1:12" ht="15" x14ac:dyDescent="0.25">
      <c r="A317" t="s">
        <v>20091</v>
      </c>
      <c r="B317" t="s">
        <v>13343</v>
      </c>
      <c r="C317" t="s">
        <v>13344</v>
      </c>
      <c r="D317" t="s">
        <v>13172</v>
      </c>
      <c r="E317">
        <v>1014</v>
      </c>
      <c r="F317" t="s">
        <v>13345</v>
      </c>
      <c r="G317" t="s">
        <v>6555</v>
      </c>
      <c r="H317" t="str">
        <f t="shared" si="8"/>
        <v>Pioneer1014Arlington</v>
      </c>
      <c r="I317" t="str">
        <f t="shared" si="9"/>
        <v>Pioneer</v>
      </c>
      <c r="J317" s="82">
        <f>IFERROR(INDEX('All Folders'!$A:$A,MATCH(H317,'All Folders'!$G:$G,0),1),"¶")</f>
        <v>30014</v>
      </c>
      <c r="K317" s="87"/>
      <c r="L317" s="87"/>
    </row>
    <row r="318" spans="1:12" ht="15" x14ac:dyDescent="0.25">
      <c r="A318" t="s">
        <v>20092</v>
      </c>
      <c r="B318" t="s">
        <v>13346</v>
      </c>
      <c r="C318" t="s">
        <v>13347</v>
      </c>
      <c r="D318" t="s">
        <v>13348</v>
      </c>
      <c r="E318">
        <v>2021</v>
      </c>
      <c r="F318" t="s">
        <v>13349</v>
      </c>
      <c r="G318" t="s">
        <v>6555</v>
      </c>
      <c r="H318" t="str">
        <f t="shared" si="8"/>
        <v>Pioneer2021Arlington</v>
      </c>
      <c r="I318" t="str">
        <f t="shared" si="9"/>
        <v>Pioneer</v>
      </c>
      <c r="J318" s="82">
        <f>IFERROR(INDEX('All Folders'!$A:$A,MATCH(H318,'All Folders'!$G:$G,0),1),"¶")</f>
        <v>15568</v>
      </c>
      <c r="K318" s="87"/>
      <c r="L318" s="87"/>
    </row>
    <row r="319" spans="1:12" ht="15" x14ac:dyDescent="0.25">
      <c r="A319" t="s">
        <v>20093</v>
      </c>
      <c r="B319" t="s">
        <v>13350</v>
      </c>
      <c r="C319" t="s">
        <v>13351</v>
      </c>
      <c r="D319" t="s">
        <v>8063</v>
      </c>
      <c r="E319">
        <v>711</v>
      </c>
      <c r="F319" t="s">
        <v>13352</v>
      </c>
      <c r="G319" t="s">
        <v>6555</v>
      </c>
      <c r="H319" t="str">
        <f t="shared" si="8"/>
        <v>Brentford711Arlington</v>
      </c>
      <c r="I319" t="str">
        <f t="shared" si="9"/>
        <v>Brentford</v>
      </c>
      <c r="J319" s="82">
        <f>IFERROR(INDEX('All Folders'!$A:$A,MATCH(H319,'All Folders'!$G:$G,0),1),"¶")</f>
        <v>15601</v>
      </c>
      <c r="K319" s="87"/>
      <c r="L319" s="87"/>
    </row>
    <row r="320" spans="1:12" ht="15" x14ac:dyDescent="0.25">
      <c r="A320" t="s">
        <v>20094</v>
      </c>
      <c r="B320" t="s">
        <v>13353</v>
      </c>
      <c r="C320" t="s">
        <v>13354</v>
      </c>
      <c r="D320" t="s">
        <v>13355</v>
      </c>
      <c r="E320">
        <v>2711</v>
      </c>
      <c r="F320" t="s">
        <v>6807</v>
      </c>
      <c r="G320" t="s">
        <v>6555</v>
      </c>
      <c r="H320" t="str">
        <f t="shared" si="8"/>
        <v>Trinity2711Arlington</v>
      </c>
      <c r="I320" t="str">
        <f t="shared" si="9"/>
        <v>Trinity</v>
      </c>
      <c r="J320" s="82">
        <f>IFERROR(INDEX('All Folders'!$A:$A,MATCH(H320,'All Folders'!$G:$G,0),1),"¶")</f>
        <v>14464</v>
      </c>
      <c r="K320" s="87"/>
      <c r="L320" s="87"/>
    </row>
    <row r="321" spans="1:12" ht="15" x14ac:dyDescent="0.25">
      <c r="A321" t="s">
        <v>20095</v>
      </c>
      <c r="B321" t="s">
        <v>13356</v>
      </c>
      <c r="C321" t="s">
        <v>13357</v>
      </c>
      <c r="D321" t="s">
        <v>13358</v>
      </c>
      <c r="E321">
        <v>1315</v>
      </c>
      <c r="F321" t="s">
        <v>13359</v>
      </c>
      <c r="G321" t="s">
        <v>6555</v>
      </c>
      <c r="H321" t="str">
        <f t="shared" si="8"/>
        <v>Cooper1315Arlington</v>
      </c>
      <c r="I321" t="str">
        <f t="shared" si="9"/>
        <v>Cooper</v>
      </c>
      <c r="J321" s="82">
        <f>IFERROR(INDEX('All Folders'!$A:$A,MATCH(H321,'All Folders'!$G:$G,0),1),"¶")</f>
        <v>15476</v>
      </c>
      <c r="K321" s="87"/>
      <c r="L321" s="87"/>
    </row>
    <row r="322" spans="1:12" ht="15" x14ac:dyDescent="0.25">
      <c r="A322" t="s">
        <v>20096</v>
      </c>
      <c r="B322" t="s">
        <v>13360</v>
      </c>
      <c r="C322" t="s">
        <v>13361</v>
      </c>
      <c r="D322" t="s">
        <v>13362</v>
      </c>
      <c r="E322">
        <v>711</v>
      </c>
      <c r="F322" t="s">
        <v>13363</v>
      </c>
      <c r="G322" t="s">
        <v>6555</v>
      </c>
      <c r="H322" t="str">
        <f t="shared" ref="H322:H385" si="10">I322&amp;E322&amp;G322</f>
        <v>Grand711Arlington</v>
      </c>
      <c r="I322" t="str">
        <f t="shared" ref="I322:I385" si="11">IFERROR(LEFT(D322,FIND(" ",D322)-1),D322)</f>
        <v>Grand</v>
      </c>
      <c r="J322" s="82">
        <f>IFERROR(INDEX('All Folders'!$A:$A,MATCH(H322,'All Folders'!$G:$G,0),1),"¶")</f>
        <v>15690</v>
      </c>
      <c r="K322" s="87"/>
      <c r="L322" s="87"/>
    </row>
    <row r="323" spans="1:12" ht="15" x14ac:dyDescent="0.25">
      <c r="A323" t="s">
        <v>20097</v>
      </c>
      <c r="B323" t="s">
        <v>13364</v>
      </c>
      <c r="C323" t="s">
        <v>13365</v>
      </c>
      <c r="D323" t="s">
        <v>13366</v>
      </c>
      <c r="E323">
        <v>501</v>
      </c>
      <c r="F323" t="s">
        <v>13367</v>
      </c>
      <c r="G323" t="s">
        <v>6555</v>
      </c>
      <c r="H323" t="str">
        <f t="shared" si="10"/>
        <v>Fuller501Arlington</v>
      </c>
      <c r="I323" t="str">
        <f t="shared" si="11"/>
        <v>Fuller</v>
      </c>
      <c r="J323" s="89">
        <f>IFERROR(INDEX('All Folders'!$A:$A,MATCH(H323,'All Folders'!$G:$G,0),1),"¶")</f>
        <v>15487</v>
      </c>
      <c r="K323" s="87"/>
      <c r="L323" s="87"/>
    </row>
    <row r="324" spans="1:12" ht="15" x14ac:dyDescent="0.25">
      <c r="A324" t="s">
        <v>20098</v>
      </c>
      <c r="B324" t="s">
        <v>13368</v>
      </c>
      <c r="C324" t="s">
        <v>13369</v>
      </c>
      <c r="D324" t="s">
        <v>13320</v>
      </c>
      <c r="E324">
        <v>3232</v>
      </c>
      <c r="F324" t="s">
        <v>13370</v>
      </c>
      <c r="G324" t="s">
        <v>6555</v>
      </c>
      <c r="H324" t="str">
        <f t="shared" si="10"/>
        <v>Abram3232Arlington</v>
      </c>
      <c r="I324" t="str">
        <f t="shared" si="11"/>
        <v>Abram</v>
      </c>
      <c r="J324" s="88">
        <v>30007</v>
      </c>
      <c r="K324" s="87"/>
      <c r="L324" s="87"/>
    </row>
    <row r="325" spans="1:12" ht="15" x14ac:dyDescent="0.25">
      <c r="A325" t="s">
        <v>20099</v>
      </c>
      <c r="B325" t="s">
        <v>13371</v>
      </c>
      <c r="C325" t="s">
        <v>13372</v>
      </c>
      <c r="D325" t="s">
        <v>13227</v>
      </c>
      <c r="E325">
        <v>2411</v>
      </c>
      <c r="F325" t="s">
        <v>13373</v>
      </c>
      <c r="G325" t="s">
        <v>6555</v>
      </c>
      <c r="H325" t="str">
        <f t="shared" si="10"/>
        <v>Park2411Arlington</v>
      </c>
      <c r="I325" t="str">
        <f t="shared" si="11"/>
        <v>Park</v>
      </c>
      <c r="J325" s="82">
        <f>IFERROR(INDEX('All Folders'!$A:$A,MATCH(H325,'All Folders'!$G:$G,0),1),"¶")</f>
        <v>30009</v>
      </c>
      <c r="K325" s="87"/>
      <c r="L325" s="87"/>
    </row>
    <row r="326" spans="1:12" ht="15" x14ac:dyDescent="0.25">
      <c r="A326" t="s">
        <v>20100</v>
      </c>
      <c r="B326" t="s">
        <v>13374</v>
      </c>
      <c r="C326" t="s">
        <v>13375</v>
      </c>
      <c r="D326" t="s">
        <v>13376</v>
      </c>
      <c r="E326">
        <v>2624</v>
      </c>
      <c r="F326" t="s">
        <v>6825</v>
      </c>
      <c r="G326" t="s">
        <v>6555</v>
      </c>
      <c r="H326" t="str">
        <f t="shared" si="10"/>
        <v>Southern2624Arlington</v>
      </c>
      <c r="I326" t="str">
        <f t="shared" si="11"/>
        <v>Southern</v>
      </c>
      <c r="J326" s="82">
        <f>IFERROR(INDEX('All Folders'!$A:$A,MATCH(H326,'All Folders'!$G:$G,0),1),"¶")</f>
        <v>14479</v>
      </c>
      <c r="K326" s="87"/>
      <c r="L326" s="87"/>
    </row>
    <row r="327" spans="1:12" ht="15" x14ac:dyDescent="0.25">
      <c r="A327" t="s">
        <v>20101</v>
      </c>
      <c r="B327" t="s">
        <v>13377</v>
      </c>
      <c r="C327" t="s">
        <v>13378</v>
      </c>
      <c r="D327" t="s">
        <v>13227</v>
      </c>
      <c r="E327">
        <v>2407</v>
      </c>
      <c r="F327" t="s">
        <v>13379</v>
      </c>
      <c r="G327" t="s">
        <v>6555</v>
      </c>
      <c r="H327" t="str">
        <f t="shared" si="10"/>
        <v>Park2407Arlington</v>
      </c>
      <c r="I327" t="str">
        <f t="shared" si="11"/>
        <v>Park</v>
      </c>
      <c r="J327" s="82">
        <f>IFERROR(INDEX('All Folders'!$A:$A,MATCH(H327,'All Folders'!$G:$G,0),1),"¶")</f>
        <v>30010</v>
      </c>
      <c r="K327" s="87"/>
      <c r="L327" s="87"/>
    </row>
    <row r="328" spans="1:12" ht="15" x14ac:dyDescent="0.25">
      <c r="A328" t="s">
        <v>20102</v>
      </c>
      <c r="B328" t="s">
        <v>13380</v>
      </c>
      <c r="C328" t="s">
        <v>13381</v>
      </c>
      <c r="D328" t="s">
        <v>13338</v>
      </c>
      <c r="E328">
        <v>420</v>
      </c>
      <c r="F328" t="s">
        <v>13382</v>
      </c>
      <c r="G328" t="s">
        <v>6555</v>
      </c>
      <c r="H328" t="str">
        <f t="shared" si="10"/>
        <v>Park420Arlington</v>
      </c>
      <c r="I328" t="str">
        <f t="shared" si="11"/>
        <v>Park</v>
      </c>
      <c r="J328" s="82">
        <f>IFERROR(INDEX('All Folders'!$A:$A,MATCH(H328,'All Folders'!$G:$G,0),1),"¶")</f>
        <v>14364</v>
      </c>
      <c r="K328" s="87"/>
      <c r="L328" s="87"/>
    </row>
    <row r="329" spans="1:12" ht="15" x14ac:dyDescent="0.25">
      <c r="A329" t="s">
        <v>20103</v>
      </c>
      <c r="B329" t="s">
        <v>13383</v>
      </c>
      <c r="C329" t="s">
        <v>13384</v>
      </c>
      <c r="D329" t="s">
        <v>13385</v>
      </c>
      <c r="E329">
        <v>2007</v>
      </c>
      <c r="F329" t="s">
        <v>8149</v>
      </c>
      <c r="G329" t="s">
        <v>6555</v>
      </c>
      <c r="H329" t="str">
        <f t="shared" si="10"/>
        <v>Springcrest2007Arlington</v>
      </c>
      <c r="I329" t="str">
        <f t="shared" si="11"/>
        <v>Springcrest</v>
      </c>
      <c r="J329" s="82">
        <f>IFERROR(INDEX('All Folders'!$A:$A,MATCH(H329,'All Folders'!$G:$G,0),1),"¶")</f>
        <v>15678</v>
      </c>
      <c r="K329" s="87"/>
      <c r="L329" s="87"/>
    </row>
    <row r="330" spans="1:12" ht="15" x14ac:dyDescent="0.25">
      <c r="A330" t="s">
        <v>20104</v>
      </c>
      <c r="B330" t="s">
        <v>13386</v>
      </c>
      <c r="C330" t="s">
        <v>13387</v>
      </c>
      <c r="D330" t="s">
        <v>13388</v>
      </c>
      <c r="E330">
        <v>1908</v>
      </c>
      <c r="F330" t="s">
        <v>8219</v>
      </c>
      <c r="G330" t="s">
        <v>6555</v>
      </c>
      <c r="H330" t="str">
        <f t="shared" si="10"/>
        <v>Randy1908Arlington</v>
      </c>
      <c r="I330" t="str">
        <f t="shared" si="11"/>
        <v>Randy</v>
      </c>
      <c r="J330" s="82">
        <f>IFERROR(INDEX('All Folders'!$A:$A,MATCH(H330,'All Folders'!$G:$G,0),1),"¶")</f>
        <v>15747</v>
      </c>
      <c r="K330" s="87"/>
      <c r="L330" s="87"/>
    </row>
    <row r="331" spans="1:12" ht="15" x14ac:dyDescent="0.25">
      <c r="A331" t="s">
        <v>20105</v>
      </c>
      <c r="B331" t="s">
        <v>13389</v>
      </c>
      <c r="C331" t="s">
        <v>13390</v>
      </c>
      <c r="D331" t="s">
        <v>13391</v>
      </c>
      <c r="E331">
        <v>812</v>
      </c>
      <c r="F331" t="s">
        <v>1377</v>
      </c>
      <c r="G331" t="s">
        <v>6555</v>
      </c>
      <c r="H331" t="str">
        <f t="shared" si="10"/>
        <v>Brown812Arlington</v>
      </c>
      <c r="I331" t="str">
        <f t="shared" si="11"/>
        <v>Brown</v>
      </c>
      <c r="J331" s="82">
        <f>IFERROR(INDEX('All Folders'!$A:$A,MATCH(H331,'All Folders'!$G:$G,0),1),"¶")</f>
        <v>15606</v>
      </c>
      <c r="K331" s="87"/>
      <c r="L331" s="87"/>
    </row>
    <row r="332" spans="1:12" ht="15" x14ac:dyDescent="0.25">
      <c r="A332" t="s">
        <v>20106</v>
      </c>
      <c r="B332" t="s">
        <v>13392</v>
      </c>
      <c r="C332" t="s">
        <v>13393</v>
      </c>
      <c r="D332" t="s">
        <v>13394</v>
      </c>
      <c r="E332">
        <v>2216</v>
      </c>
      <c r="F332" t="s">
        <v>6879</v>
      </c>
      <c r="G332" t="s">
        <v>6555</v>
      </c>
      <c r="H332" t="str">
        <f t="shared" si="10"/>
        <v>Plum2216Arlington</v>
      </c>
      <c r="I332" t="str">
        <f t="shared" si="11"/>
        <v>Plum</v>
      </c>
      <c r="J332" s="82">
        <f>IFERROR(INDEX('All Folders'!$A:$A,MATCH(H332,'All Folders'!$G:$G,0),1),"¶")</f>
        <v>14527</v>
      </c>
      <c r="K332" s="87"/>
      <c r="L332" s="87"/>
    </row>
    <row r="333" spans="1:12" ht="15" x14ac:dyDescent="0.25">
      <c r="A333" t="s">
        <v>20107</v>
      </c>
      <c r="B333" t="s">
        <v>13395</v>
      </c>
      <c r="C333" t="s">
        <v>13396</v>
      </c>
      <c r="D333" t="s">
        <v>13320</v>
      </c>
      <c r="E333">
        <v>2015</v>
      </c>
      <c r="F333" t="s">
        <v>13397</v>
      </c>
      <c r="G333" t="s">
        <v>6555</v>
      </c>
      <c r="H333" t="str">
        <f t="shared" si="10"/>
        <v>Abram2015Arlington</v>
      </c>
      <c r="I333" t="str">
        <f t="shared" si="11"/>
        <v>Abram</v>
      </c>
      <c r="J333" s="82">
        <f>IFERROR(INDEX('All Folders'!$A:$A,MATCH(H333,'All Folders'!$G:$G,0),1),"¶")</f>
        <v>15619</v>
      </c>
      <c r="K333" s="87"/>
      <c r="L333" s="87"/>
    </row>
    <row r="334" spans="1:12" ht="15" x14ac:dyDescent="0.25">
      <c r="A334" t="s">
        <v>20109</v>
      </c>
      <c r="B334" t="s">
        <v>13400</v>
      </c>
      <c r="C334" t="s">
        <v>13401</v>
      </c>
      <c r="D334" t="s">
        <v>13402</v>
      </c>
      <c r="E334">
        <v>1405</v>
      </c>
      <c r="F334" t="s">
        <v>1415</v>
      </c>
      <c r="G334" t="s">
        <v>6555</v>
      </c>
      <c r="H334" t="str">
        <f t="shared" si="10"/>
        <v>Elite1405Arlington</v>
      </c>
      <c r="I334" t="str">
        <f t="shared" si="11"/>
        <v>Elite</v>
      </c>
      <c r="J334" s="82">
        <f>IFERROR(INDEX('All Folders'!$A:$A,MATCH(H334,'All Folders'!$G:$G,0),1),"¶")</f>
        <v>15636</v>
      </c>
      <c r="K334" s="87"/>
      <c r="L334" s="87"/>
    </row>
    <row r="335" spans="1:12" ht="15" x14ac:dyDescent="0.25">
      <c r="A335" t="s">
        <v>20110</v>
      </c>
      <c r="B335" t="s">
        <v>13403</v>
      </c>
      <c r="C335" t="s">
        <v>13404</v>
      </c>
      <c r="D335" t="s">
        <v>13405</v>
      </c>
      <c r="E335">
        <v>2513</v>
      </c>
      <c r="F335" t="s">
        <v>13406</v>
      </c>
      <c r="G335" t="s">
        <v>6555</v>
      </c>
      <c r="H335" t="str">
        <f t="shared" si="10"/>
        <v>Summer2513Arlington</v>
      </c>
      <c r="I335" t="str">
        <f t="shared" si="11"/>
        <v>Summer</v>
      </c>
      <c r="J335" s="82">
        <f>IFERROR(INDEX('All Folders'!$A:$A,MATCH(H335,'All Folders'!$G:$G,0),1),"¶")</f>
        <v>15707</v>
      </c>
      <c r="K335" s="87"/>
      <c r="L335" s="87"/>
    </row>
    <row r="336" spans="1:12" ht="15" x14ac:dyDescent="0.25">
      <c r="A336" t="s">
        <v>20111</v>
      </c>
      <c r="B336" t="s">
        <v>13407</v>
      </c>
      <c r="C336" t="s">
        <v>13408</v>
      </c>
      <c r="D336" t="s">
        <v>13409</v>
      </c>
      <c r="E336">
        <v>5901</v>
      </c>
      <c r="F336" t="s">
        <v>441</v>
      </c>
      <c r="G336" t="s">
        <v>6555</v>
      </c>
      <c r="H336" t="str">
        <f t="shared" si="10"/>
        <v>Valleycreek5901Arlington</v>
      </c>
      <c r="I336" t="str">
        <f t="shared" si="11"/>
        <v>Valleycreek</v>
      </c>
      <c r="J336" s="82">
        <f>IFERROR(INDEX('All Folders'!$A:$A,MATCH(H336,'All Folders'!$G:$G,0),1),"¶")</f>
        <v>14505</v>
      </c>
      <c r="K336" s="87"/>
      <c r="L336" s="87"/>
    </row>
    <row r="337" spans="1:12" ht="15" x14ac:dyDescent="0.25">
      <c r="A337" t="s">
        <v>20112</v>
      </c>
      <c r="B337" t="s">
        <v>13410</v>
      </c>
      <c r="C337" t="s">
        <v>13411</v>
      </c>
      <c r="D337" t="s">
        <v>13412</v>
      </c>
      <c r="E337">
        <v>2500</v>
      </c>
      <c r="F337" t="s">
        <v>8084</v>
      </c>
      <c r="G337" t="s">
        <v>6555</v>
      </c>
      <c r="H337" t="str">
        <f t="shared" si="10"/>
        <v>Burney2500Arlington</v>
      </c>
      <c r="I337" t="str">
        <f t="shared" si="11"/>
        <v>Burney</v>
      </c>
      <c r="J337" s="82">
        <f>IFERROR(INDEX('All Folders'!$A:$A,MATCH(H337,'All Folders'!$G:$G,0),1),"¶")</f>
        <v>15621</v>
      </c>
      <c r="K337" s="87"/>
      <c r="L337" s="87"/>
    </row>
    <row r="338" spans="1:12" ht="15" x14ac:dyDescent="0.25">
      <c r="A338" t="s">
        <v>20113</v>
      </c>
      <c r="B338" t="s">
        <v>13413</v>
      </c>
      <c r="C338" t="s">
        <v>13414</v>
      </c>
      <c r="D338" t="s">
        <v>13415</v>
      </c>
      <c r="E338">
        <v>1736</v>
      </c>
      <c r="F338" t="s">
        <v>8688</v>
      </c>
      <c r="G338" t="s">
        <v>6555</v>
      </c>
      <c r="H338" t="str">
        <f t="shared" si="10"/>
        <v>Randol1736Arlington</v>
      </c>
      <c r="I338" t="str">
        <f t="shared" si="11"/>
        <v>Randol</v>
      </c>
      <c r="J338" s="82">
        <f>IFERROR(INDEX('All Folders'!$A:$A,MATCH(H338,'All Folders'!$G:$G,0),1),"¶")</f>
        <v>30015</v>
      </c>
      <c r="K338" s="87"/>
      <c r="L338" s="87"/>
    </row>
    <row r="339" spans="1:12" ht="15" x14ac:dyDescent="0.25">
      <c r="A339" t="s">
        <v>20114</v>
      </c>
      <c r="B339" t="s">
        <v>13416</v>
      </c>
      <c r="C339" t="s">
        <v>13417</v>
      </c>
      <c r="D339" t="s">
        <v>13418</v>
      </c>
      <c r="E339">
        <v>4624</v>
      </c>
      <c r="F339" t="s">
        <v>13419</v>
      </c>
      <c r="G339" t="s">
        <v>6555</v>
      </c>
      <c r="H339" t="str">
        <f t="shared" si="10"/>
        <v>Windstone4624Arlington</v>
      </c>
      <c r="I339" t="str">
        <f t="shared" si="11"/>
        <v>Windstone</v>
      </c>
      <c r="J339" s="91">
        <f>IFERROR(INDEX('All Folders'!$A:$A,MATCH(H339,'All Folders'!$G:$G,0),1),"¶")</f>
        <v>14515</v>
      </c>
      <c r="K339" s="87"/>
      <c r="L339" s="87"/>
    </row>
    <row r="340" spans="1:12" ht="15" x14ac:dyDescent="0.25">
      <c r="A340" t="s">
        <v>20115</v>
      </c>
      <c r="B340" t="s">
        <v>13420</v>
      </c>
      <c r="C340" t="s">
        <v>13421</v>
      </c>
      <c r="D340" t="s">
        <v>13227</v>
      </c>
      <c r="E340">
        <v>3025</v>
      </c>
      <c r="F340" t="s">
        <v>7973</v>
      </c>
      <c r="G340" t="s">
        <v>6555</v>
      </c>
      <c r="H340" t="str">
        <f t="shared" si="10"/>
        <v>Park3025Arlington</v>
      </c>
      <c r="I340" t="str">
        <f t="shared" si="11"/>
        <v>Park</v>
      </c>
      <c r="J340" s="82">
        <f>IFERROR(INDEX('All Folders'!$A:$A,MATCH(H340,'All Folders'!$G:$G,0),1),"¶")</f>
        <v>15525</v>
      </c>
      <c r="K340" s="87"/>
      <c r="L340" s="87"/>
    </row>
    <row r="341" spans="1:12" ht="15" x14ac:dyDescent="0.25">
      <c r="A341" t="s">
        <v>20118</v>
      </c>
      <c r="B341" t="s">
        <v>13429</v>
      </c>
      <c r="C341" t="s">
        <v>13430</v>
      </c>
      <c r="D341" t="s">
        <v>13431</v>
      </c>
      <c r="E341">
        <v>900</v>
      </c>
      <c r="F341" t="s">
        <v>11888</v>
      </c>
      <c r="G341" t="s">
        <v>11889</v>
      </c>
      <c r="H341" t="str">
        <f t="shared" si="10"/>
        <v>Corsicana900Athens</v>
      </c>
      <c r="I341" t="str">
        <f t="shared" si="11"/>
        <v>Corsicana</v>
      </c>
      <c r="J341" s="82">
        <f>IFERROR(INDEX('All Folders'!$A:$A,MATCH(H341,'All Folders'!$G:$G,0),1),"¶")</f>
        <v>30388</v>
      </c>
      <c r="K341" s="87"/>
      <c r="L341" s="87"/>
    </row>
    <row r="342" spans="1:12" ht="15" x14ac:dyDescent="0.25">
      <c r="A342" t="s">
        <v>20119</v>
      </c>
      <c r="B342" t="s">
        <v>13432</v>
      </c>
      <c r="C342" t="s">
        <v>13433</v>
      </c>
      <c r="D342" t="s">
        <v>13434</v>
      </c>
      <c r="E342">
        <v>307</v>
      </c>
      <c r="F342" t="s">
        <v>11703</v>
      </c>
      <c r="G342" t="s">
        <v>11704</v>
      </c>
      <c r="H342" t="str">
        <f t="shared" si="10"/>
        <v>Louise307Atlanta</v>
      </c>
      <c r="I342" t="str">
        <f t="shared" si="11"/>
        <v>Louise</v>
      </c>
      <c r="J342" s="82" t="str">
        <f>IFERROR(INDEX('All Folders'!$A:$A,MATCH(H342,'All Folders'!$G:$G,0),1),"¶")</f>
        <v>¶</v>
      </c>
      <c r="K342" s="87" t="s">
        <v>22232</v>
      </c>
      <c r="L342" s="87" t="s">
        <v>22292</v>
      </c>
    </row>
    <row r="343" spans="1:12" ht="15" x14ac:dyDescent="0.25">
      <c r="A343" t="s">
        <v>20120</v>
      </c>
      <c r="B343" t="s">
        <v>13435</v>
      </c>
      <c r="C343" t="s">
        <v>13436</v>
      </c>
      <c r="D343" t="s">
        <v>13437</v>
      </c>
      <c r="E343">
        <v>418</v>
      </c>
      <c r="F343" t="s">
        <v>13438</v>
      </c>
      <c r="G343" t="s">
        <v>12499</v>
      </c>
      <c r="H343" t="str">
        <f t="shared" si="10"/>
        <v>De418Aubrey</v>
      </c>
      <c r="I343" t="str">
        <f t="shared" si="11"/>
        <v>De</v>
      </c>
      <c r="J343" s="90" t="s">
        <v>12497</v>
      </c>
      <c r="K343" s="87"/>
      <c r="L343" s="87"/>
    </row>
    <row r="344" spans="1:12" ht="15" x14ac:dyDescent="0.25">
      <c r="A344" t="s">
        <v>20122</v>
      </c>
      <c r="B344" t="s">
        <v>13443</v>
      </c>
      <c r="C344" t="s">
        <v>13444</v>
      </c>
      <c r="D344" t="s">
        <v>13445</v>
      </c>
      <c r="E344">
        <v>2020</v>
      </c>
      <c r="F344" t="s">
        <v>13446</v>
      </c>
      <c r="G344" t="s">
        <v>7</v>
      </c>
      <c r="H344" t="str">
        <f t="shared" si="10"/>
        <v>Congress2020Austin</v>
      </c>
      <c r="I344" t="str">
        <f t="shared" si="11"/>
        <v>Congress</v>
      </c>
      <c r="J344" s="82">
        <f>IFERROR(INDEX('All Folders'!$A:$A,MATCH(H344,'All Folders'!$G:$G,0),1),"¶")</f>
        <v>30279</v>
      </c>
      <c r="K344" s="87"/>
      <c r="L344" s="87"/>
    </row>
    <row r="345" spans="1:12" ht="15" x14ac:dyDescent="0.25">
      <c r="A345" t="s">
        <v>20123</v>
      </c>
      <c r="B345" t="s">
        <v>13447</v>
      </c>
      <c r="C345" t="s">
        <v>13448</v>
      </c>
      <c r="D345" t="s">
        <v>13449</v>
      </c>
      <c r="E345">
        <v>10100</v>
      </c>
      <c r="F345" t="s">
        <v>13450</v>
      </c>
      <c r="G345" t="s">
        <v>7</v>
      </c>
      <c r="H345" t="str">
        <f t="shared" si="10"/>
        <v>Brownie10100Austin</v>
      </c>
      <c r="I345" t="str">
        <f t="shared" si="11"/>
        <v>Brownie</v>
      </c>
      <c r="J345" s="82">
        <f>IFERROR(INDEX('All Folders'!$A:$A,MATCH(H345,'All Folders'!$G:$G,0),1),"¶")</f>
        <v>30278</v>
      </c>
      <c r="K345" s="87"/>
      <c r="L345" s="87"/>
    </row>
    <row r="346" spans="1:12" ht="15" x14ac:dyDescent="0.25">
      <c r="A346" t="s">
        <v>20124</v>
      </c>
      <c r="B346" t="s">
        <v>13451</v>
      </c>
      <c r="C346" t="s">
        <v>13452</v>
      </c>
      <c r="D346" t="s">
        <v>13453</v>
      </c>
      <c r="E346">
        <v>2811</v>
      </c>
      <c r="F346" t="s">
        <v>13454</v>
      </c>
      <c r="G346" t="s">
        <v>7</v>
      </c>
      <c r="H346" t="str">
        <f t="shared" si="10"/>
        <v>La2811Austin</v>
      </c>
      <c r="I346" t="str">
        <f t="shared" si="11"/>
        <v>La</v>
      </c>
      <c r="J346" s="82">
        <f>IFERROR(INDEX('All Folders'!$A:$A,MATCH(H346,'All Folders'!$G:$G,0),1),"¶")</f>
        <v>443</v>
      </c>
      <c r="K346" s="87"/>
      <c r="L346" s="87"/>
    </row>
    <row r="347" spans="1:12" ht="15" x14ac:dyDescent="0.25">
      <c r="A347" t="s">
        <v>20125</v>
      </c>
      <c r="B347" t="s">
        <v>13455</v>
      </c>
      <c r="C347" t="s">
        <v>13456</v>
      </c>
      <c r="D347" t="s">
        <v>13457</v>
      </c>
      <c r="E347">
        <v>4703</v>
      </c>
      <c r="F347" t="s">
        <v>13458</v>
      </c>
      <c r="G347" t="s">
        <v>7</v>
      </c>
      <c r="H347" t="str">
        <f t="shared" si="10"/>
        <v>Teri4703Austin</v>
      </c>
      <c r="I347" t="str">
        <f t="shared" si="11"/>
        <v>Teri</v>
      </c>
      <c r="J347" s="82">
        <f>IFERROR(INDEX('All Folders'!$A:$A,MATCH(H347,'All Folders'!$G:$G,0),1),"¶")</f>
        <v>30306</v>
      </c>
      <c r="K347" s="87"/>
      <c r="L347" s="87"/>
    </row>
    <row r="348" spans="1:12" ht="15" x14ac:dyDescent="0.25">
      <c r="A348" t="s">
        <v>20126</v>
      </c>
      <c r="B348" t="s">
        <v>13459</v>
      </c>
      <c r="C348" t="s">
        <v>13460</v>
      </c>
      <c r="D348" t="s">
        <v>13461</v>
      </c>
      <c r="E348">
        <v>4900</v>
      </c>
      <c r="F348" t="s">
        <v>13462</v>
      </c>
      <c r="G348" t="s">
        <v>7</v>
      </c>
      <c r="H348" t="str">
        <f t="shared" si="10"/>
        <v>Oltorf4900Austin</v>
      </c>
      <c r="I348" t="str">
        <f t="shared" si="11"/>
        <v>Oltorf</v>
      </c>
      <c r="J348" s="82">
        <f>IFERROR(INDEX('All Folders'!$A:$A,MATCH(H348,'All Folders'!$G:$G,0),1),"¶")</f>
        <v>579</v>
      </c>
      <c r="K348" s="87"/>
      <c r="L348" s="87"/>
    </row>
    <row r="349" spans="1:12" ht="15" x14ac:dyDescent="0.25">
      <c r="A349" t="s">
        <v>20127</v>
      </c>
      <c r="B349" t="s">
        <v>13463</v>
      </c>
      <c r="C349" t="s">
        <v>13464</v>
      </c>
      <c r="D349" t="s">
        <v>13465</v>
      </c>
      <c r="E349">
        <v>8818</v>
      </c>
      <c r="F349" t="s">
        <v>13466</v>
      </c>
      <c r="G349" t="s">
        <v>7</v>
      </c>
      <c r="H349" t="str">
        <f t="shared" si="10"/>
        <v>Travis8818Austin</v>
      </c>
      <c r="I349" t="str">
        <f t="shared" si="11"/>
        <v>Travis</v>
      </c>
      <c r="J349" s="82">
        <f>IFERROR(INDEX('All Folders'!$A:$A,MATCH(H349,'All Folders'!$G:$G,0),1),"¶")</f>
        <v>16531</v>
      </c>
      <c r="K349" s="87"/>
      <c r="L349" s="87"/>
    </row>
    <row r="350" spans="1:12" ht="15" x14ac:dyDescent="0.25">
      <c r="A350" t="s">
        <v>20128</v>
      </c>
      <c r="B350" t="s">
        <v>13467</v>
      </c>
      <c r="C350" t="s">
        <v>13468</v>
      </c>
      <c r="D350" t="s">
        <v>13469</v>
      </c>
      <c r="E350">
        <v>7011</v>
      </c>
      <c r="F350" t="s">
        <v>13470</v>
      </c>
      <c r="G350" t="s">
        <v>7</v>
      </c>
      <c r="H350" t="str">
        <f t="shared" si="10"/>
        <v>Parmer7011Austin</v>
      </c>
      <c r="I350" t="str">
        <f t="shared" si="11"/>
        <v>Parmer</v>
      </c>
      <c r="J350" s="82">
        <f>IFERROR(INDEX('All Folders'!$A:$A,MATCH(H350,'All Folders'!$G:$G,0),1),"¶")</f>
        <v>536</v>
      </c>
      <c r="K350" s="87"/>
      <c r="L350" s="87"/>
    </row>
    <row r="351" spans="1:12" ht="15" x14ac:dyDescent="0.25">
      <c r="A351" t="s">
        <v>20129</v>
      </c>
      <c r="B351" t="s">
        <v>13471</v>
      </c>
      <c r="C351" t="s">
        <v>13472</v>
      </c>
      <c r="D351" t="s">
        <v>13473</v>
      </c>
      <c r="E351">
        <v>3220</v>
      </c>
      <c r="F351" t="s">
        <v>13474</v>
      </c>
      <c r="G351" t="s">
        <v>7</v>
      </c>
      <c r="H351" t="str">
        <f t="shared" si="10"/>
        <v>Duval3220Austin</v>
      </c>
      <c r="I351" t="str">
        <f t="shared" si="11"/>
        <v>Duval</v>
      </c>
      <c r="J351" s="82">
        <f>IFERROR(INDEX('All Folders'!$A:$A,MATCH(H351,'All Folders'!$G:$G,0),1),"¶")</f>
        <v>175</v>
      </c>
      <c r="K351" s="87"/>
      <c r="L351" s="87"/>
    </row>
    <row r="352" spans="1:12" ht="15" x14ac:dyDescent="0.25">
      <c r="A352" t="s">
        <v>20130</v>
      </c>
      <c r="B352" t="s">
        <v>13475</v>
      </c>
      <c r="C352" t="s">
        <v>13476</v>
      </c>
      <c r="D352" t="s">
        <v>13477</v>
      </c>
      <c r="E352">
        <v>11915</v>
      </c>
      <c r="F352" t="s">
        <v>13478</v>
      </c>
      <c r="G352" t="s">
        <v>7</v>
      </c>
      <c r="H352" t="str">
        <f t="shared" si="10"/>
        <v>Stonehollow11915Austin</v>
      </c>
      <c r="I352" t="str">
        <f t="shared" si="11"/>
        <v>Stonehollow</v>
      </c>
      <c r="J352" s="82">
        <f>IFERROR(INDEX('All Folders'!$A:$A,MATCH(H352,'All Folders'!$G:$G,0),1),"¶")</f>
        <v>433</v>
      </c>
      <c r="K352" s="87"/>
      <c r="L352" s="87"/>
    </row>
    <row r="353" spans="1:12" ht="15" x14ac:dyDescent="0.25">
      <c r="A353" t="s">
        <v>20131</v>
      </c>
      <c r="B353" t="s">
        <v>13479</v>
      </c>
      <c r="C353" t="s">
        <v>13480</v>
      </c>
      <c r="D353" t="s">
        <v>13481</v>
      </c>
      <c r="E353">
        <v>9417</v>
      </c>
      <c r="F353" t="s">
        <v>13482</v>
      </c>
      <c r="G353" t="s">
        <v>7</v>
      </c>
      <c r="H353" t="str">
        <f t="shared" si="10"/>
        <v>Great9417Austin</v>
      </c>
      <c r="I353" t="str">
        <f t="shared" si="11"/>
        <v>Great</v>
      </c>
      <c r="J353" s="82">
        <f>IFERROR(INDEX('All Folders'!$A:$A,MATCH(H353,'All Folders'!$G:$G,0),1),"¶")</f>
        <v>119</v>
      </c>
      <c r="K353" s="87"/>
      <c r="L353" s="87"/>
    </row>
    <row r="354" spans="1:12" ht="15" x14ac:dyDescent="0.25">
      <c r="A354" t="s">
        <v>20132</v>
      </c>
      <c r="B354" t="s">
        <v>13483</v>
      </c>
      <c r="C354" t="s">
        <v>13484</v>
      </c>
      <c r="D354" t="s">
        <v>13485</v>
      </c>
      <c r="E354">
        <v>10610</v>
      </c>
      <c r="F354" t="s">
        <v>13486</v>
      </c>
      <c r="G354" t="s">
        <v>7</v>
      </c>
      <c r="H354" t="str">
        <f t="shared" si="10"/>
        <v>Morado10610Austin</v>
      </c>
      <c r="I354" t="str">
        <f t="shared" si="11"/>
        <v>Morado</v>
      </c>
      <c r="J354" s="82">
        <f>IFERROR(INDEX('All Folders'!$A:$A,MATCH(H354,'All Folders'!$G:$G,0),1),"¶")</f>
        <v>17</v>
      </c>
      <c r="K354" s="87"/>
      <c r="L354" s="87"/>
    </row>
    <row r="355" spans="1:12" ht="15" x14ac:dyDescent="0.25">
      <c r="A355" t="s">
        <v>20133</v>
      </c>
      <c r="B355" t="s">
        <v>13487</v>
      </c>
      <c r="C355" t="s">
        <v>13488</v>
      </c>
      <c r="D355" t="s">
        <v>13489</v>
      </c>
      <c r="E355">
        <v>1901</v>
      </c>
      <c r="F355" t="s">
        <v>140</v>
      </c>
      <c r="G355" t="s">
        <v>7</v>
      </c>
      <c r="H355" t="str">
        <f t="shared" si="10"/>
        <v>Anderson1901Austin</v>
      </c>
      <c r="I355" t="str">
        <f t="shared" si="11"/>
        <v>Anderson</v>
      </c>
      <c r="J355" s="82">
        <f>IFERROR(INDEX('All Folders'!$A:$A,MATCH(H355,'All Folders'!$G:$G,0),1),"¶")</f>
        <v>79</v>
      </c>
      <c r="K355" s="87"/>
      <c r="L355" s="87"/>
    </row>
    <row r="356" spans="1:12" ht="15" x14ac:dyDescent="0.25">
      <c r="A356" t="s">
        <v>20134</v>
      </c>
      <c r="B356" t="s">
        <v>13490</v>
      </c>
      <c r="C356" t="s">
        <v>13491</v>
      </c>
      <c r="D356" t="s">
        <v>13492</v>
      </c>
      <c r="E356">
        <v>2317</v>
      </c>
      <c r="F356" t="s">
        <v>279</v>
      </c>
      <c r="G356" t="s">
        <v>7</v>
      </c>
      <c r="H356" t="str">
        <f t="shared" si="10"/>
        <v>Pleasant2317Austin</v>
      </c>
      <c r="I356" t="str">
        <f t="shared" si="11"/>
        <v>Pleasant</v>
      </c>
      <c r="J356" s="82">
        <f>IFERROR(INDEX('All Folders'!$A:$A,MATCH(H356,'All Folders'!$G:$G,0),1),"¶")</f>
        <v>170</v>
      </c>
      <c r="K356" s="87"/>
      <c r="L356" s="87"/>
    </row>
    <row r="357" spans="1:12" ht="15" x14ac:dyDescent="0.25">
      <c r="A357" t="s">
        <v>20136</v>
      </c>
      <c r="B357" t="s">
        <v>13497</v>
      </c>
      <c r="C357" t="s">
        <v>13498</v>
      </c>
      <c r="D357" t="s">
        <v>13499</v>
      </c>
      <c r="E357">
        <v>9024</v>
      </c>
      <c r="F357" t="s">
        <v>459</v>
      </c>
      <c r="G357" t="s">
        <v>7</v>
      </c>
      <c r="H357" t="str">
        <f t="shared" si="10"/>
        <v>Northgate9024Austin</v>
      </c>
      <c r="I357" t="str">
        <f t="shared" si="11"/>
        <v>Northgate</v>
      </c>
      <c r="J357" s="82">
        <f>IFERROR(INDEX('All Folders'!$A:$A,MATCH(H357,'All Folders'!$G:$G,0),1),"¶")</f>
        <v>307</v>
      </c>
      <c r="K357" s="87"/>
      <c r="L357" s="87"/>
    </row>
    <row r="358" spans="1:12" ht="15" x14ac:dyDescent="0.25">
      <c r="A358" t="s">
        <v>20137</v>
      </c>
      <c r="B358" t="s">
        <v>13500</v>
      </c>
      <c r="C358" t="s">
        <v>13501</v>
      </c>
      <c r="D358" t="s">
        <v>13502</v>
      </c>
      <c r="E358">
        <v>5417</v>
      </c>
      <c r="F358" t="s">
        <v>13503</v>
      </c>
      <c r="G358" t="s">
        <v>7</v>
      </c>
      <c r="H358" t="str">
        <f t="shared" si="10"/>
        <v>MoPac5417Austin</v>
      </c>
      <c r="I358" t="str">
        <f t="shared" si="11"/>
        <v>MoPac</v>
      </c>
      <c r="J358" s="82">
        <f>IFERROR(INDEX('All Folders'!$A:$A,MATCH(H358,'All Folders'!$G:$G,0),1),"¶")</f>
        <v>473</v>
      </c>
      <c r="K358" s="87"/>
      <c r="L358" s="87"/>
    </row>
    <row r="359" spans="1:12" ht="15" x14ac:dyDescent="0.25">
      <c r="A359" t="s">
        <v>20138</v>
      </c>
      <c r="B359" t="s">
        <v>13504</v>
      </c>
      <c r="C359" t="s">
        <v>13505</v>
      </c>
      <c r="D359" t="s">
        <v>13506</v>
      </c>
      <c r="E359" t="s">
        <v>13507</v>
      </c>
      <c r="F359" t="s">
        <v>13508</v>
      </c>
      <c r="G359" t="s">
        <v>7</v>
      </c>
      <c r="H359" t="str">
        <f t="shared" si="10"/>
        <v>Riverside4821 &amp; 4823Austin</v>
      </c>
      <c r="I359" t="str">
        <f t="shared" si="11"/>
        <v>Riverside</v>
      </c>
      <c r="J359" s="88">
        <v>18</v>
      </c>
      <c r="K359" s="87"/>
      <c r="L359" s="87"/>
    </row>
    <row r="360" spans="1:12" ht="15" x14ac:dyDescent="0.25">
      <c r="A360" t="s">
        <v>20139</v>
      </c>
      <c r="B360" t="s">
        <v>13509</v>
      </c>
      <c r="C360" t="s">
        <v>13510</v>
      </c>
      <c r="D360" t="s">
        <v>13511</v>
      </c>
      <c r="E360">
        <v>3603</v>
      </c>
      <c r="F360" t="s">
        <v>376</v>
      </c>
      <c r="G360" t="s">
        <v>7</v>
      </c>
      <c r="H360" t="str">
        <f t="shared" si="10"/>
        <v>Southridge3603Austin</v>
      </c>
      <c r="I360" t="str">
        <f t="shared" si="11"/>
        <v>Southridge</v>
      </c>
      <c r="J360" s="82">
        <f>IFERROR(INDEX('All Folders'!$A:$A,MATCH(H360,'All Folders'!$G:$G,0),1),"¶")</f>
        <v>242</v>
      </c>
      <c r="K360" s="87"/>
      <c r="L360" s="87"/>
    </row>
    <row r="361" spans="1:12" ht="15" x14ac:dyDescent="0.25">
      <c r="A361" t="s">
        <v>20140</v>
      </c>
      <c r="B361" t="s">
        <v>13512</v>
      </c>
      <c r="C361" t="s">
        <v>13513</v>
      </c>
      <c r="D361" t="s">
        <v>13514</v>
      </c>
      <c r="E361">
        <v>13145</v>
      </c>
      <c r="F361" t="s">
        <v>11742</v>
      </c>
      <c r="G361" t="s">
        <v>7</v>
      </c>
      <c r="H361" t="str">
        <f t="shared" si="10"/>
        <v>18313145Austin</v>
      </c>
      <c r="I361" t="str">
        <f t="shared" si="11"/>
        <v>183</v>
      </c>
      <c r="J361" s="82">
        <f>IFERROR(INDEX('All Folders'!$A:$A,MATCH(H361,'All Folders'!$G:$G,0),1),"¶")</f>
        <v>30298</v>
      </c>
      <c r="K361" s="87"/>
      <c r="L361" s="87"/>
    </row>
    <row r="362" spans="1:12" ht="15" x14ac:dyDescent="0.25">
      <c r="A362" t="s">
        <v>20141</v>
      </c>
      <c r="B362" t="s">
        <v>13515</v>
      </c>
      <c r="C362" t="s">
        <v>13516</v>
      </c>
      <c r="D362" t="s">
        <v>13517</v>
      </c>
      <c r="E362">
        <v>2101</v>
      </c>
      <c r="F362" t="s">
        <v>13518</v>
      </c>
      <c r="G362" t="s">
        <v>7</v>
      </c>
      <c r="H362" t="str">
        <f t="shared" si="10"/>
        <v>Elmont2101Austin</v>
      </c>
      <c r="I362" t="str">
        <f t="shared" si="11"/>
        <v>Elmont</v>
      </c>
      <c r="J362" s="82">
        <f>IFERROR(INDEX('All Folders'!$A:$A,MATCH(H362,'All Folders'!$G:$G,0),1),"¶")</f>
        <v>335</v>
      </c>
      <c r="K362" s="87"/>
      <c r="L362" s="87"/>
    </row>
    <row r="363" spans="1:12" ht="15" x14ac:dyDescent="0.25">
      <c r="A363" t="s">
        <v>20142</v>
      </c>
      <c r="B363" t="s">
        <v>13519</v>
      </c>
      <c r="C363" t="s">
        <v>13520</v>
      </c>
      <c r="D363" t="s">
        <v>13521</v>
      </c>
      <c r="E363">
        <v>2200</v>
      </c>
      <c r="F363" t="s">
        <v>13522</v>
      </c>
      <c r="G363" t="s">
        <v>7</v>
      </c>
      <c r="H363" t="str">
        <f t="shared" si="10"/>
        <v>Dickson2200Austin</v>
      </c>
      <c r="I363" t="str">
        <f t="shared" si="11"/>
        <v>Dickson</v>
      </c>
      <c r="J363" s="82">
        <f>IFERROR(INDEX('All Folders'!$A:$A,MATCH(H363,'All Folders'!$G:$G,0),1),"¶")</f>
        <v>131</v>
      </c>
      <c r="K363" s="87"/>
      <c r="L363" s="87"/>
    </row>
    <row r="364" spans="1:12" ht="15" x14ac:dyDescent="0.25">
      <c r="A364" t="s">
        <v>20143</v>
      </c>
      <c r="B364" t="s">
        <v>13523</v>
      </c>
      <c r="C364" t="s">
        <v>13524</v>
      </c>
      <c r="D364" t="s">
        <v>13525</v>
      </c>
      <c r="E364">
        <v>3816</v>
      </c>
      <c r="F364" t="s">
        <v>13526</v>
      </c>
      <c r="G364" t="s">
        <v>7</v>
      </c>
      <c r="H364" t="str">
        <f t="shared" si="10"/>
        <v>Lamar3816Austin</v>
      </c>
      <c r="I364" t="str">
        <f t="shared" si="11"/>
        <v>Lamar</v>
      </c>
      <c r="J364" s="82">
        <f>IFERROR(INDEX('All Folders'!$A:$A,MATCH(H364,'All Folders'!$G:$G,0),1),"¶")</f>
        <v>464</v>
      </c>
      <c r="K364" s="87"/>
      <c r="L364" s="87"/>
    </row>
    <row r="365" spans="1:12" ht="15" x14ac:dyDescent="0.25">
      <c r="A365" t="s">
        <v>20144</v>
      </c>
      <c r="B365" t="s">
        <v>13527</v>
      </c>
      <c r="C365" t="s">
        <v>13528</v>
      </c>
      <c r="D365" t="s">
        <v>13525</v>
      </c>
      <c r="E365">
        <v>3816</v>
      </c>
      <c r="F365" t="s">
        <v>13529</v>
      </c>
      <c r="G365" t="s">
        <v>7</v>
      </c>
      <c r="H365" t="str">
        <f t="shared" si="10"/>
        <v>Lamar3816Austin</v>
      </c>
      <c r="I365" t="str">
        <f t="shared" si="11"/>
        <v>Lamar</v>
      </c>
      <c r="J365" s="82">
        <f>IFERROR(INDEX('All Folders'!$A:$A,MATCH(H365,'All Folders'!$G:$G,0),1),"¶")</f>
        <v>464</v>
      </c>
      <c r="K365" s="87"/>
      <c r="L365" s="87"/>
    </row>
    <row r="366" spans="1:12" ht="15" x14ac:dyDescent="0.25">
      <c r="A366" t="s">
        <v>20145</v>
      </c>
      <c r="B366" t="s">
        <v>13530</v>
      </c>
      <c r="C366" t="s">
        <v>13531</v>
      </c>
      <c r="D366" t="s">
        <v>13532</v>
      </c>
      <c r="E366">
        <v>2336</v>
      </c>
      <c r="F366" t="s">
        <v>13533</v>
      </c>
      <c r="G366" t="s">
        <v>7</v>
      </c>
      <c r="H366" t="str">
        <f t="shared" si="10"/>
        <v>Douglas2336Austin</v>
      </c>
      <c r="I366" t="str">
        <f t="shared" si="11"/>
        <v>Douglas</v>
      </c>
      <c r="J366" s="82">
        <f>IFERROR(INDEX('All Folders'!$A:$A,MATCH(H366,'All Folders'!$G:$G,0),1),"¶")</f>
        <v>35</v>
      </c>
      <c r="K366" s="87"/>
      <c r="L366" s="87"/>
    </row>
    <row r="367" spans="1:12" ht="15" x14ac:dyDescent="0.25">
      <c r="A367" t="s">
        <v>20146</v>
      </c>
      <c r="B367" t="s">
        <v>13534</v>
      </c>
      <c r="C367" t="s">
        <v>13535</v>
      </c>
      <c r="D367" t="s">
        <v>13536</v>
      </c>
      <c r="E367">
        <v>4320</v>
      </c>
      <c r="F367" t="s">
        <v>13537</v>
      </c>
      <c r="G367" t="s">
        <v>7</v>
      </c>
      <c r="H367" t="str">
        <f t="shared" si="10"/>
        <v>Bull4320Austin</v>
      </c>
      <c r="I367" t="str">
        <f t="shared" si="11"/>
        <v>Bull</v>
      </c>
      <c r="J367" s="82">
        <f>IFERROR(INDEX('All Folders'!$A:$A,MATCH(H367,'All Folders'!$G:$G,0),1),"¶")</f>
        <v>134</v>
      </c>
      <c r="K367" s="87"/>
      <c r="L367" s="87"/>
    </row>
    <row r="368" spans="1:12" ht="15" x14ac:dyDescent="0.25">
      <c r="A368" t="s">
        <v>20147</v>
      </c>
      <c r="B368" t="s">
        <v>13538</v>
      </c>
      <c r="C368" t="s">
        <v>13539</v>
      </c>
      <c r="D368" t="s">
        <v>13445</v>
      </c>
      <c r="E368">
        <v>1007</v>
      </c>
      <c r="F368" t="s">
        <v>774</v>
      </c>
      <c r="G368" t="s">
        <v>7</v>
      </c>
      <c r="H368" t="str">
        <f t="shared" si="10"/>
        <v>Congress1007Austin</v>
      </c>
      <c r="I368" t="str">
        <f t="shared" si="11"/>
        <v>Congress</v>
      </c>
      <c r="J368" s="89">
        <f>IFERROR(INDEX('All Folders'!$A:$A,MATCH(H368,'All Folders'!$G:$G,0),1),"¶")</f>
        <v>537</v>
      </c>
      <c r="K368" s="87"/>
      <c r="L368" s="87"/>
    </row>
    <row r="369" spans="1:12" ht="15" x14ac:dyDescent="0.25">
      <c r="A369" t="s">
        <v>20148</v>
      </c>
      <c r="B369" t="s">
        <v>13540</v>
      </c>
      <c r="C369" t="s">
        <v>13541</v>
      </c>
      <c r="D369" t="s">
        <v>13542</v>
      </c>
      <c r="E369">
        <v>5700</v>
      </c>
      <c r="F369" t="s">
        <v>83</v>
      </c>
      <c r="G369" t="s">
        <v>7</v>
      </c>
      <c r="H369" t="str">
        <f t="shared" si="10"/>
        <v>Cameron5700Austin</v>
      </c>
      <c r="I369" t="str">
        <f t="shared" si="11"/>
        <v>Cameron</v>
      </c>
      <c r="J369" s="82">
        <f>IFERROR(INDEX('All Folders'!$A:$A,MATCH(H369,'All Folders'!$G:$G,0),1),"¶")</f>
        <v>41</v>
      </c>
      <c r="K369" s="87"/>
      <c r="L369" s="87"/>
    </row>
    <row r="370" spans="1:12" ht="15" x14ac:dyDescent="0.25">
      <c r="A370" t="s">
        <v>20149</v>
      </c>
      <c r="B370" t="s">
        <v>13543</v>
      </c>
      <c r="C370" t="s">
        <v>13544</v>
      </c>
      <c r="D370" t="s">
        <v>13545</v>
      </c>
      <c r="E370">
        <v>11316</v>
      </c>
      <c r="F370" t="s">
        <v>88</v>
      </c>
      <c r="G370" t="s">
        <v>7</v>
      </c>
      <c r="H370" t="str">
        <f t="shared" si="10"/>
        <v>Jollyville11316Austin</v>
      </c>
      <c r="I370" t="str">
        <f t="shared" si="11"/>
        <v>Jollyville</v>
      </c>
      <c r="J370" s="82">
        <f>IFERROR(INDEX('All Folders'!$A:$A,MATCH(H370,'All Folders'!$G:$G,0),1),"¶")</f>
        <v>44</v>
      </c>
      <c r="K370" s="87"/>
      <c r="L370" s="87"/>
    </row>
    <row r="371" spans="1:12" ht="15" x14ac:dyDescent="0.25">
      <c r="A371" t="s">
        <v>20150</v>
      </c>
      <c r="B371" t="s">
        <v>13546</v>
      </c>
      <c r="C371" t="s">
        <v>13547</v>
      </c>
      <c r="D371" t="s">
        <v>13548</v>
      </c>
      <c r="E371">
        <v>6307</v>
      </c>
      <c r="F371" t="s">
        <v>13549</v>
      </c>
      <c r="G371" t="s">
        <v>7</v>
      </c>
      <c r="H371" t="str">
        <f t="shared" si="10"/>
        <v>Bluff6307Austin</v>
      </c>
      <c r="I371" t="str">
        <f t="shared" si="11"/>
        <v>Bluff</v>
      </c>
      <c r="J371" s="82">
        <f>IFERROR(INDEX('All Folders'!$A:$A,MATCH(H371,'All Folders'!$G:$G,0),1),"¶")</f>
        <v>430</v>
      </c>
      <c r="K371" s="87"/>
      <c r="L371" s="87"/>
    </row>
    <row r="372" spans="1:12" ht="15" x14ac:dyDescent="0.25">
      <c r="A372" t="s">
        <v>20151</v>
      </c>
      <c r="B372" t="s">
        <v>13550</v>
      </c>
      <c r="C372" t="s">
        <v>13551</v>
      </c>
      <c r="D372" t="s">
        <v>13552</v>
      </c>
      <c r="E372">
        <v>6855</v>
      </c>
      <c r="F372" t="s">
        <v>309</v>
      </c>
      <c r="G372" t="s">
        <v>7</v>
      </c>
      <c r="H372" t="str">
        <f t="shared" si="10"/>
        <v>2906855Austin</v>
      </c>
      <c r="I372" t="str">
        <f t="shared" si="11"/>
        <v>290</v>
      </c>
      <c r="J372" s="89">
        <f>IFERROR(INDEX('All Folders'!$A:$A,MATCH(H372,'All Folders'!$G:$G,0),1),"¶")</f>
        <v>191</v>
      </c>
      <c r="K372" s="87"/>
      <c r="L372" s="87"/>
    </row>
    <row r="373" spans="1:12" ht="15" x14ac:dyDescent="0.25">
      <c r="A373" t="s">
        <v>20152</v>
      </c>
      <c r="B373" t="s">
        <v>13553</v>
      </c>
      <c r="C373" t="s">
        <v>13554</v>
      </c>
      <c r="D373" t="s">
        <v>13555</v>
      </c>
      <c r="E373">
        <v>311</v>
      </c>
      <c r="F373" t="s">
        <v>11729</v>
      </c>
      <c r="G373" t="s">
        <v>7</v>
      </c>
      <c r="H373" t="str">
        <f t="shared" si="10"/>
        <v>11th311Austin</v>
      </c>
      <c r="I373" t="str">
        <f t="shared" si="11"/>
        <v>11th</v>
      </c>
      <c r="J373" s="82" t="str">
        <f>IFERROR(INDEX('All Folders'!$A:$A,MATCH(H373,'All Folders'!$G:$G,0),1),"¶")</f>
        <v>¶</v>
      </c>
      <c r="K373" s="87" t="s">
        <v>22239</v>
      </c>
      <c r="L373" s="87" t="s">
        <v>22292</v>
      </c>
    </row>
    <row r="374" spans="1:12" ht="15" x14ac:dyDescent="0.25">
      <c r="A374" t="s">
        <v>20153</v>
      </c>
      <c r="B374" t="s">
        <v>13556</v>
      </c>
      <c r="C374" t="s">
        <v>13557</v>
      </c>
      <c r="D374" t="s">
        <v>8349</v>
      </c>
      <c r="E374">
        <v>3401</v>
      </c>
      <c r="F374" t="s">
        <v>13558</v>
      </c>
      <c r="G374" t="s">
        <v>7</v>
      </c>
      <c r="H374" t="str">
        <f t="shared" si="10"/>
        <v>Red3401Austin</v>
      </c>
      <c r="I374" t="str">
        <f t="shared" si="11"/>
        <v>Red</v>
      </c>
      <c r="J374" s="82">
        <f>IFERROR(INDEX('All Folders'!$A:$A,MATCH(H374,'All Folders'!$G:$G,0),1),"¶")</f>
        <v>48</v>
      </c>
      <c r="K374" s="87"/>
      <c r="L374" s="87"/>
    </row>
    <row r="375" spans="1:12" ht="15" x14ac:dyDescent="0.25">
      <c r="A375" t="s">
        <v>20154</v>
      </c>
      <c r="B375" t="s">
        <v>13559</v>
      </c>
      <c r="C375" t="s">
        <v>13560</v>
      </c>
      <c r="D375" t="s">
        <v>222</v>
      </c>
      <c r="E375">
        <v>1114</v>
      </c>
      <c r="F375" t="s">
        <v>13561</v>
      </c>
      <c r="G375" t="s">
        <v>7</v>
      </c>
      <c r="H375" t="str">
        <f t="shared" si="10"/>
        <v>Camino1114Austin</v>
      </c>
      <c r="I375" t="str">
        <f t="shared" si="11"/>
        <v>Camino</v>
      </c>
      <c r="J375" s="82">
        <f>IFERROR(INDEX('All Folders'!$A:$A,MATCH(H375,'All Folders'!$G:$G,0),1),"¶")</f>
        <v>227</v>
      </c>
      <c r="K375" s="87"/>
      <c r="L375" s="87"/>
    </row>
    <row r="376" spans="1:12" ht="15" x14ac:dyDescent="0.25">
      <c r="A376" t="s">
        <v>20155</v>
      </c>
      <c r="B376" t="s">
        <v>13562</v>
      </c>
      <c r="C376" t="s">
        <v>13563</v>
      </c>
      <c r="D376" t="s">
        <v>146</v>
      </c>
      <c r="E376">
        <v>1630</v>
      </c>
      <c r="F376" t="s">
        <v>13564</v>
      </c>
      <c r="G376" t="s">
        <v>7</v>
      </c>
      <c r="H376" t="str">
        <f t="shared" si="10"/>
        <v>Rutland1630Austin</v>
      </c>
      <c r="I376" t="str">
        <f t="shared" si="11"/>
        <v>Rutland</v>
      </c>
      <c r="J376" s="89">
        <f>IFERROR(INDEX('All Folders'!$A:$A,MATCH(H376,'All Folders'!$G:$G,0),1),"¶")</f>
        <v>248</v>
      </c>
      <c r="K376" s="87"/>
      <c r="L376" s="87"/>
    </row>
    <row r="377" spans="1:12" ht="15" x14ac:dyDescent="0.25">
      <c r="A377" t="s">
        <v>20156</v>
      </c>
      <c r="B377" t="s">
        <v>13565</v>
      </c>
      <c r="C377" t="s">
        <v>13566</v>
      </c>
      <c r="D377" t="s">
        <v>13567</v>
      </c>
      <c r="E377">
        <v>2819</v>
      </c>
      <c r="F377" t="s">
        <v>13568</v>
      </c>
      <c r="G377" t="s">
        <v>7</v>
      </c>
      <c r="H377" t="str">
        <f t="shared" si="10"/>
        <v>Foster2819Austin</v>
      </c>
      <c r="I377" t="str">
        <f t="shared" si="11"/>
        <v>Foster</v>
      </c>
      <c r="J377" s="82">
        <f>IFERROR(INDEX('All Folders'!$A:$A,MATCH(H377,'All Folders'!$G:$G,0),1),"¶")</f>
        <v>165</v>
      </c>
      <c r="K377" s="87"/>
      <c r="L377" s="87"/>
    </row>
    <row r="378" spans="1:12" ht="15" x14ac:dyDescent="0.25">
      <c r="A378" t="s">
        <v>20157</v>
      </c>
      <c r="B378" t="s">
        <v>13569</v>
      </c>
      <c r="C378" t="s">
        <v>13570</v>
      </c>
      <c r="D378" t="s">
        <v>13571</v>
      </c>
      <c r="E378">
        <v>2201</v>
      </c>
      <c r="F378" t="s">
        <v>13572</v>
      </c>
      <c r="G378" t="s">
        <v>7</v>
      </c>
      <c r="H378" t="str">
        <f t="shared" si="10"/>
        <v>Lakeshore2201Austin</v>
      </c>
      <c r="I378" t="str">
        <f t="shared" si="11"/>
        <v>Lakeshore</v>
      </c>
      <c r="J378" s="82">
        <f>IFERROR(INDEX('All Folders'!$A:$A,MATCH(H378,'All Folders'!$G:$G,0),1),"¶")</f>
        <v>312</v>
      </c>
      <c r="K378" s="87"/>
      <c r="L378" s="87"/>
    </row>
    <row r="379" spans="1:12" ht="15" x14ac:dyDescent="0.25">
      <c r="A379" t="s">
        <v>20158</v>
      </c>
      <c r="B379" t="s">
        <v>13573</v>
      </c>
      <c r="C379" t="s">
        <v>13574</v>
      </c>
      <c r="D379" t="s">
        <v>13575</v>
      </c>
      <c r="E379">
        <v>9501</v>
      </c>
      <c r="F379" t="s">
        <v>13576</v>
      </c>
      <c r="G379" t="s">
        <v>7</v>
      </c>
      <c r="H379" t="str">
        <f t="shared" si="10"/>
        <v>6209501Austin</v>
      </c>
      <c r="I379" t="str">
        <f t="shared" si="11"/>
        <v>620</v>
      </c>
      <c r="J379" s="82">
        <f>IFERROR(INDEX('All Folders'!$A:$A,MATCH(H379,'All Folders'!$G:$G,0),1),"¶")</f>
        <v>17303</v>
      </c>
      <c r="K379" s="87"/>
      <c r="L379" s="87"/>
    </row>
    <row r="380" spans="1:12" ht="15" x14ac:dyDescent="0.25">
      <c r="A380" t="s">
        <v>20159</v>
      </c>
      <c r="B380" t="s">
        <v>13577</v>
      </c>
      <c r="C380" t="s">
        <v>13578</v>
      </c>
      <c r="D380" t="s">
        <v>13579</v>
      </c>
      <c r="E380">
        <v>10000</v>
      </c>
      <c r="F380" t="s">
        <v>126</v>
      </c>
      <c r="G380" t="s">
        <v>7</v>
      </c>
      <c r="H380" t="str">
        <f t="shared" si="10"/>
        <v>Lamar10000Austin</v>
      </c>
      <c r="I380" t="str">
        <f t="shared" si="11"/>
        <v>Lamar</v>
      </c>
      <c r="J380" s="89">
        <f>IFERROR(INDEX('All Folders'!$A:$A,MATCH(H380,'All Folders'!$G:$G,0),1),"¶")</f>
        <v>69</v>
      </c>
      <c r="K380" s="87"/>
      <c r="L380" s="87"/>
    </row>
    <row r="381" spans="1:12" ht="15" x14ac:dyDescent="0.25">
      <c r="A381" t="s">
        <v>20161</v>
      </c>
      <c r="B381" t="s">
        <v>13584</v>
      </c>
      <c r="C381" t="s">
        <v>13585</v>
      </c>
      <c r="D381" t="s">
        <v>13586</v>
      </c>
      <c r="E381">
        <v>1009</v>
      </c>
      <c r="F381" t="s">
        <v>13587</v>
      </c>
      <c r="G381" t="s">
        <v>7</v>
      </c>
      <c r="H381" t="str">
        <f t="shared" si="10"/>
        <v>Grove1009Austin</v>
      </c>
      <c r="I381" t="str">
        <f t="shared" si="11"/>
        <v>Grove</v>
      </c>
      <c r="J381" s="89">
        <f>IFERROR(INDEX('All Folders'!$A:$A,MATCH(H381,'All Folders'!$G:$G,0),1),"¶")</f>
        <v>73</v>
      </c>
      <c r="K381" s="87"/>
      <c r="L381" s="87"/>
    </row>
    <row r="382" spans="1:12" ht="15" x14ac:dyDescent="0.25">
      <c r="A382" t="s">
        <v>20162</v>
      </c>
      <c r="B382" t="s">
        <v>13588</v>
      </c>
      <c r="C382" t="s">
        <v>13589</v>
      </c>
      <c r="D382" t="s">
        <v>13489</v>
      </c>
      <c r="E382">
        <v>1601</v>
      </c>
      <c r="F382" t="s">
        <v>141</v>
      </c>
      <c r="G382" t="s">
        <v>7</v>
      </c>
      <c r="H382" t="str">
        <f t="shared" si="10"/>
        <v>Anderson1601Austin</v>
      </c>
      <c r="I382" t="str">
        <f t="shared" si="11"/>
        <v>Anderson</v>
      </c>
      <c r="J382" s="82">
        <f>IFERROR(INDEX('All Folders'!$A:$A,MATCH(H382,'All Folders'!$G:$G,0),1),"¶")</f>
        <v>80</v>
      </c>
      <c r="K382" s="87"/>
      <c r="L382" s="87"/>
    </row>
    <row r="383" spans="1:12" ht="15" x14ac:dyDescent="0.25">
      <c r="A383" t="s">
        <v>20163</v>
      </c>
      <c r="B383" t="s">
        <v>13590</v>
      </c>
      <c r="C383" t="s">
        <v>13591</v>
      </c>
      <c r="D383" t="s">
        <v>13592</v>
      </c>
      <c r="E383">
        <v>1124</v>
      </c>
      <c r="F383" t="s">
        <v>147</v>
      </c>
      <c r="G383" t="s">
        <v>7</v>
      </c>
      <c r="H383" t="str">
        <f t="shared" si="10"/>
        <v>Rutland1124Austin</v>
      </c>
      <c r="I383" t="str">
        <f t="shared" si="11"/>
        <v>Rutland</v>
      </c>
      <c r="J383" s="82">
        <f>IFERROR(INDEX('All Folders'!$A:$A,MATCH(H383,'All Folders'!$G:$G,0),1),"¶")</f>
        <v>83</v>
      </c>
      <c r="K383" s="87"/>
      <c r="L383" s="87"/>
    </row>
    <row r="384" spans="1:12" ht="15" x14ac:dyDescent="0.25">
      <c r="A384" t="s">
        <v>20164</v>
      </c>
      <c r="B384" t="s">
        <v>13593</v>
      </c>
      <c r="C384" t="s">
        <v>13594</v>
      </c>
      <c r="D384" t="s">
        <v>13595</v>
      </c>
      <c r="E384">
        <v>12215</v>
      </c>
      <c r="F384" t="s">
        <v>9569</v>
      </c>
      <c r="G384" t="s">
        <v>7</v>
      </c>
      <c r="H384" t="str">
        <f t="shared" si="10"/>
        <v>Hunter's12215Austin</v>
      </c>
      <c r="I384" t="str">
        <f t="shared" si="11"/>
        <v>Hunter's</v>
      </c>
      <c r="J384" s="88">
        <v>17326</v>
      </c>
      <c r="K384" s="87"/>
      <c r="L384" s="87"/>
    </row>
    <row r="385" spans="1:12" ht="15" x14ac:dyDescent="0.25">
      <c r="A385" t="s">
        <v>20165</v>
      </c>
      <c r="B385" t="s">
        <v>13596</v>
      </c>
      <c r="C385" t="s">
        <v>13597</v>
      </c>
      <c r="D385" t="s">
        <v>13598</v>
      </c>
      <c r="E385">
        <v>3400</v>
      </c>
      <c r="F385" t="s">
        <v>13599</v>
      </c>
      <c r="G385" t="s">
        <v>7</v>
      </c>
      <c r="H385" t="str">
        <f t="shared" si="10"/>
        <v>6203400Austin</v>
      </c>
      <c r="I385" t="str">
        <f t="shared" si="11"/>
        <v>620</v>
      </c>
      <c r="J385" s="82">
        <f>IFERROR(INDEX('All Folders'!$A:$A,MATCH(H385,'All Folders'!$G:$G,0),1),"¶")</f>
        <v>15910</v>
      </c>
      <c r="K385" s="87"/>
      <c r="L385" s="87"/>
    </row>
    <row r="386" spans="1:12" ht="15" x14ac:dyDescent="0.25">
      <c r="A386" t="s">
        <v>20166</v>
      </c>
      <c r="B386" t="s">
        <v>13600</v>
      </c>
      <c r="C386" t="s">
        <v>13601</v>
      </c>
      <c r="D386" t="s">
        <v>13602</v>
      </c>
      <c r="E386">
        <v>4100</v>
      </c>
      <c r="F386" t="s">
        <v>1057</v>
      </c>
      <c r="G386" t="s">
        <v>7</v>
      </c>
      <c r="H386" t="str">
        <f t="shared" ref="H386:H449" si="12">I386&amp;E386&amp;G386</f>
        <v>Victory4100Austin</v>
      </c>
      <c r="I386" t="str">
        <f t="shared" ref="I386:I449" si="13">IFERROR(LEFT(D386,FIND(" ",D386)-1),D386)</f>
        <v>Victory</v>
      </c>
      <c r="J386" s="82">
        <f>IFERROR(INDEX('All Folders'!$A:$A,MATCH(H386,'All Folders'!$G:$G,0),1),"¶")</f>
        <v>94</v>
      </c>
      <c r="K386" s="87"/>
      <c r="L386" s="87"/>
    </row>
    <row r="387" spans="1:12" ht="15" x14ac:dyDescent="0.25">
      <c r="A387" t="s">
        <v>20167</v>
      </c>
      <c r="B387" t="s">
        <v>13603</v>
      </c>
      <c r="C387" t="s">
        <v>13604</v>
      </c>
      <c r="D387" t="s">
        <v>13605</v>
      </c>
      <c r="E387">
        <v>1007</v>
      </c>
      <c r="F387" t="s">
        <v>180</v>
      </c>
      <c r="G387" t="s">
        <v>7</v>
      </c>
      <c r="H387" t="str">
        <f t="shared" si="12"/>
        <v>Runberg1007Austin</v>
      </c>
      <c r="I387" t="str">
        <f t="shared" si="13"/>
        <v>Runberg</v>
      </c>
      <c r="J387" s="88">
        <v>103</v>
      </c>
      <c r="K387" s="87"/>
      <c r="L387" s="87"/>
    </row>
    <row r="388" spans="1:12" ht="15" x14ac:dyDescent="0.25">
      <c r="A388" t="s">
        <v>20168</v>
      </c>
      <c r="B388" t="s">
        <v>13606</v>
      </c>
      <c r="C388" t="s">
        <v>13607</v>
      </c>
      <c r="D388" t="s">
        <v>13608</v>
      </c>
      <c r="E388">
        <v>3706</v>
      </c>
      <c r="F388" t="s">
        <v>13609</v>
      </c>
      <c r="G388" t="s">
        <v>7</v>
      </c>
      <c r="H388" t="str">
        <f t="shared" si="12"/>
        <v>Goodwin3706Austin</v>
      </c>
      <c r="I388" t="str">
        <f t="shared" si="13"/>
        <v>Goodwin</v>
      </c>
      <c r="J388" s="82">
        <f>IFERROR(INDEX('All Folders'!$A:$A,MATCH(H388,'All Folders'!$G:$G,0),1),"¶")</f>
        <v>30289</v>
      </c>
      <c r="K388" s="87"/>
      <c r="L388" s="87"/>
    </row>
    <row r="389" spans="1:12" ht="15" x14ac:dyDescent="0.25">
      <c r="A389" t="s">
        <v>20169</v>
      </c>
      <c r="B389" t="s">
        <v>13610</v>
      </c>
      <c r="C389" t="s">
        <v>13611</v>
      </c>
      <c r="D389" t="s">
        <v>13495</v>
      </c>
      <c r="E389">
        <v>6103</v>
      </c>
      <c r="F389" t="s">
        <v>13612</v>
      </c>
      <c r="G389" t="s">
        <v>7</v>
      </c>
      <c r="H389" t="str">
        <f t="shared" si="12"/>
        <v>Manor6103Austin</v>
      </c>
      <c r="I389" t="str">
        <f t="shared" si="13"/>
        <v>Manor</v>
      </c>
      <c r="J389" s="82">
        <f>IFERROR(INDEX('All Folders'!$A:$A,MATCH(H389,'All Folders'!$G:$G,0),1),"¶")</f>
        <v>354</v>
      </c>
      <c r="K389" s="87"/>
      <c r="L389" s="87"/>
    </row>
    <row r="390" spans="1:12" ht="15" x14ac:dyDescent="0.25">
      <c r="A390" t="s">
        <v>20170</v>
      </c>
      <c r="B390" t="s">
        <v>13613</v>
      </c>
      <c r="C390" t="s">
        <v>13614</v>
      </c>
      <c r="D390" t="s">
        <v>13615</v>
      </c>
      <c r="E390">
        <v>5704</v>
      </c>
      <c r="F390" t="s">
        <v>3547</v>
      </c>
      <c r="G390" t="s">
        <v>7</v>
      </c>
      <c r="H390" t="str">
        <f t="shared" si="12"/>
        <v>Cougar5704Austin</v>
      </c>
      <c r="I390" t="str">
        <f t="shared" si="13"/>
        <v>Cougar</v>
      </c>
      <c r="J390" s="82">
        <f>IFERROR(INDEX('All Folders'!$A:$A,MATCH(H390,'All Folders'!$G:$G,0),1),"¶")</f>
        <v>30280</v>
      </c>
      <c r="K390" s="87"/>
      <c r="L390" s="87"/>
    </row>
    <row r="391" spans="1:12" ht="15" x14ac:dyDescent="0.25">
      <c r="A391" t="s">
        <v>20171</v>
      </c>
      <c r="B391" t="s">
        <v>13616</v>
      </c>
      <c r="C391" t="s">
        <v>13617</v>
      </c>
      <c r="D391" t="s">
        <v>13618</v>
      </c>
      <c r="E391">
        <v>3506</v>
      </c>
      <c r="F391" t="s">
        <v>194</v>
      </c>
      <c r="G391" t="s">
        <v>7</v>
      </c>
      <c r="H391" t="str">
        <f t="shared" si="12"/>
        <v>Manchaca3506Austin</v>
      </c>
      <c r="I391" t="str">
        <f t="shared" si="13"/>
        <v>Manchaca</v>
      </c>
      <c r="J391" s="82">
        <f>IFERROR(INDEX('All Folders'!$A:$A,MATCH(H391,'All Folders'!$G:$G,0),1),"¶")</f>
        <v>113</v>
      </c>
      <c r="K391" s="87"/>
      <c r="L391" s="87"/>
    </row>
    <row r="392" spans="1:12" ht="15" x14ac:dyDescent="0.25">
      <c r="A392" t="s">
        <v>20172</v>
      </c>
      <c r="B392" t="s">
        <v>13619</v>
      </c>
      <c r="C392" t="s">
        <v>13620</v>
      </c>
      <c r="D392" t="s">
        <v>13545</v>
      </c>
      <c r="E392">
        <v>11028</v>
      </c>
      <c r="F392" t="s">
        <v>13621</v>
      </c>
      <c r="G392" t="s">
        <v>7</v>
      </c>
      <c r="H392" t="str">
        <f t="shared" si="12"/>
        <v>Jollyville11028Austin</v>
      </c>
      <c r="I392" t="str">
        <f t="shared" si="13"/>
        <v>Jollyville</v>
      </c>
      <c r="J392" s="82">
        <f>IFERROR(INDEX('All Folders'!$A:$A,MATCH(H392,'All Folders'!$G:$G,0),1),"¶")</f>
        <v>116</v>
      </c>
      <c r="K392" s="87"/>
      <c r="L392" s="87"/>
    </row>
    <row r="393" spans="1:12" ht="15" x14ac:dyDescent="0.25">
      <c r="A393" t="s">
        <v>20173</v>
      </c>
      <c r="B393" t="s">
        <v>13622</v>
      </c>
      <c r="C393" t="s">
        <v>13623</v>
      </c>
      <c r="D393" t="s">
        <v>13624</v>
      </c>
      <c r="E393">
        <v>3014</v>
      </c>
      <c r="F393" t="s">
        <v>685</v>
      </c>
      <c r="G393" t="s">
        <v>7</v>
      </c>
      <c r="H393" t="str">
        <f t="shared" si="12"/>
        <v>William3014Austin</v>
      </c>
      <c r="I393" t="str">
        <f t="shared" si="13"/>
        <v>William</v>
      </c>
      <c r="J393" s="82">
        <f>IFERROR(INDEX('All Folders'!$A:$A,MATCH(H393,'All Folders'!$G:$G,0),1),"¶")</f>
        <v>470</v>
      </c>
      <c r="K393" s="87"/>
      <c r="L393" s="87"/>
    </row>
    <row r="394" spans="1:12" ht="15" x14ac:dyDescent="0.25">
      <c r="A394" t="s">
        <v>20174</v>
      </c>
      <c r="B394" t="s">
        <v>13625</v>
      </c>
      <c r="C394" t="s">
        <v>13626</v>
      </c>
      <c r="D394" t="s">
        <v>13627</v>
      </c>
      <c r="E394">
        <v>2801</v>
      </c>
      <c r="F394" t="s">
        <v>11750</v>
      </c>
      <c r="G394" t="s">
        <v>7</v>
      </c>
      <c r="H394" t="str">
        <f t="shared" si="12"/>
        <v>Wells2801Austin</v>
      </c>
      <c r="I394" t="str">
        <f t="shared" si="13"/>
        <v>Wells</v>
      </c>
      <c r="J394" s="82">
        <f>IFERROR(INDEX('All Folders'!$A:$A,MATCH(H394,'All Folders'!$G:$G,0),1),"¶")</f>
        <v>30312</v>
      </c>
      <c r="K394" s="87"/>
      <c r="L394" s="87"/>
    </row>
    <row r="395" spans="1:12" ht="15" x14ac:dyDescent="0.25">
      <c r="A395" t="s">
        <v>20175</v>
      </c>
      <c r="B395" t="s">
        <v>13628</v>
      </c>
      <c r="C395" t="s">
        <v>13629</v>
      </c>
      <c r="D395" t="s">
        <v>13630</v>
      </c>
      <c r="E395">
        <v>9811</v>
      </c>
      <c r="F395" t="s">
        <v>220</v>
      </c>
      <c r="G395" t="s">
        <v>7</v>
      </c>
      <c r="H395" t="str">
        <f t="shared" si="12"/>
        <v>Copper9811Austin</v>
      </c>
      <c r="I395" t="str">
        <f t="shared" si="13"/>
        <v>Copper</v>
      </c>
      <c r="J395" s="82">
        <f>IFERROR(INDEX('All Folders'!$A:$A,MATCH(H395,'All Folders'!$G:$G,0),1),"¶")</f>
        <v>130</v>
      </c>
      <c r="K395" s="87"/>
      <c r="L395" s="87"/>
    </row>
    <row r="396" spans="1:12" ht="15" x14ac:dyDescent="0.25">
      <c r="A396" t="s">
        <v>20176</v>
      </c>
      <c r="B396" t="s">
        <v>13631</v>
      </c>
      <c r="C396" t="s">
        <v>13632</v>
      </c>
      <c r="D396" t="s">
        <v>13633</v>
      </c>
      <c r="E396">
        <v>11350</v>
      </c>
      <c r="F396" t="s">
        <v>13634</v>
      </c>
      <c r="G396" t="s">
        <v>7</v>
      </c>
      <c r="H396" t="str">
        <f t="shared" si="12"/>
        <v>Four11350Austin</v>
      </c>
      <c r="I396" t="str">
        <f t="shared" si="13"/>
        <v>Four</v>
      </c>
      <c r="J396" s="89">
        <f>IFERROR(INDEX('All Folders'!$A:$A,MATCH(H396,'All Folders'!$G:$G,0),1),"¶")</f>
        <v>17559</v>
      </c>
      <c r="K396" s="87"/>
      <c r="L396" s="87"/>
    </row>
    <row r="397" spans="1:12" ht="15" x14ac:dyDescent="0.25">
      <c r="A397" t="s">
        <v>20177</v>
      </c>
      <c r="B397" t="s">
        <v>13635</v>
      </c>
      <c r="C397" t="s">
        <v>13636</v>
      </c>
      <c r="D397" t="s">
        <v>13575</v>
      </c>
      <c r="E397">
        <v>7655</v>
      </c>
      <c r="F397" t="s">
        <v>13637</v>
      </c>
      <c r="G397" t="s">
        <v>7</v>
      </c>
      <c r="H397" t="str">
        <f t="shared" si="12"/>
        <v>6207655Austin</v>
      </c>
      <c r="I397" t="str">
        <f t="shared" si="13"/>
        <v>620</v>
      </c>
      <c r="J397" s="82">
        <f>IFERROR(INDEX('All Folders'!$A:$A,MATCH(H397,'All Folders'!$G:$G,0),1),"¶")</f>
        <v>598</v>
      </c>
      <c r="K397" s="87"/>
      <c r="L397" s="87"/>
    </row>
    <row r="398" spans="1:12" ht="15" x14ac:dyDescent="0.25">
      <c r="A398" t="s">
        <v>20178</v>
      </c>
      <c r="B398" t="s">
        <v>13638</v>
      </c>
      <c r="C398" t="s">
        <v>13639</v>
      </c>
      <c r="D398" t="s">
        <v>13640</v>
      </c>
      <c r="E398">
        <v>3500</v>
      </c>
      <c r="F398" t="s">
        <v>183</v>
      </c>
      <c r="G398" t="s">
        <v>7</v>
      </c>
      <c r="H398" t="str">
        <f t="shared" si="12"/>
        <v>Greystone3500Austin</v>
      </c>
      <c r="I398" t="str">
        <f t="shared" si="13"/>
        <v>Greystone</v>
      </c>
      <c r="J398" s="82">
        <f>IFERROR(INDEX('All Folders'!$A:$A,MATCH(H398,'All Folders'!$G:$G,0),1),"¶")</f>
        <v>105</v>
      </c>
      <c r="K398" s="87"/>
      <c r="L398" s="87"/>
    </row>
    <row r="399" spans="1:12" ht="15" x14ac:dyDescent="0.25">
      <c r="A399" t="s">
        <v>20179</v>
      </c>
      <c r="B399" t="s">
        <v>13641</v>
      </c>
      <c r="C399" t="s">
        <v>13642</v>
      </c>
      <c r="D399" t="s">
        <v>13495</v>
      </c>
      <c r="E399">
        <v>3300</v>
      </c>
      <c r="F399" t="s">
        <v>11739</v>
      </c>
      <c r="G399" t="s">
        <v>7</v>
      </c>
      <c r="H399" t="str">
        <f t="shared" si="12"/>
        <v>Manor3300Austin</v>
      </c>
      <c r="I399" t="str">
        <f t="shared" si="13"/>
        <v>Manor</v>
      </c>
      <c r="J399" s="82">
        <f>IFERROR(INDEX('All Folders'!$A:$A,MATCH(H399,'All Folders'!$G:$G,0),1),"¶")</f>
        <v>30294</v>
      </c>
      <c r="K399" s="87"/>
      <c r="L399" s="87"/>
    </row>
    <row r="400" spans="1:12" ht="15" x14ac:dyDescent="0.25">
      <c r="A400" t="s">
        <v>20180</v>
      </c>
      <c r="B400" t="s">
        <v>13643</v>
      </c>
      <c r="C400" t="s">
        <v>13644</v>
      </c>
      <c r="D400" t="s">
        <v>13645</v>
      </c>
      <c r="E400">
        <v>5230</v>
      </c>
      <c r="F400" t="s">
        <v>226</v>
      </c>
      <c r="G400" t="s">
        <v>7</v>
      </c>
      <c r="H400" t="str">
        <f t="shared" si="12"/>
        <v>Thunder5230Austin</v>
      </c>
      <c r="I400" t="str">
        <f t="shared" si="13"/>
        <v>Thunder</v>
      </c>
      <c r="J400" s="82">
        <f>IFERROR(INDEX('All Folders'!$A:$A,MATCH(H400,'All Folders'!$G:$G,0),1),"¶")</f>
        <v>135</v>
      </c>
      <c r="K400" s="87"/>
      <c r="L400" s="87"/>
    </row>
    <row r="401" spans="1:12" ht="15" x14ac:dyDescent="0.25">
      <c r="A401" t="s">
        <v>20181</v>
      </c>
      <c r="B401" t="s">
        <v>13646</v>
      </c>
      <c r="C401" t="s">
        <v>13647</v>
      </c>
      <c r="D401" t="s">
        <v>13648</v>
      </c>
      <c r="E401">
        <v>1900</v>
      </c>
      <c r="F401" t="s">
        <v>11728</v>
      </c>
      <c r="G401" t="s">
        <v>7</v>
      </c>
      <c r="H401" t="str">
        <f t="shared" si="12"/>
        <v>Cuernavaca1900Austin</v>
      </c>
      <c r="I401" t="str">
        <f t="shared" si="13"/>
        <v>Cuernavaca</v>
      </c>
      <c r="J401" s="82">
        <f>IFERROR(INDEX('All Folders'!$A:$A,MATCH(H401,'All Folders'!$G:$G,0),1),"¶")</f>
        <v>30282</v>
      </c>
      <c r="K401" s="87"/>
      <c r="L401" s="87"/>
    </row>
    <row r="402" spans="1:12" ht="15" x14ac:dyDescent="0.25">
      <c r="A402" t="s">
        <v>20182</v>
      </c>
      <c r="B402" t="s">
        <v>13649</v>
      </c>
      <c r="C402" t="s">
        <v>13650</v>
      </c>
      <c r="D402" t="s">
        <v>13651</v>
      </c>
      <c r="E402">
        <v>1500</v>
      </c>
      <c r="F402" t="s">
        <v>13652</v>
      </c>
      <c r="G402" t="s">
        <v>7</v>
      </c>
      <c r="H402" t="str">
        <f t="shared" si="12"/>
        <v>Reagan1500Austin</v>
      </c>
      <c r="I402" t="str">
        <f t="shared" si="13"/>
        <v>Reagan</v>
      </c>
      <c r="J402" s="82">
        <f>IFERROR(INDEX('All Folders'!$A:$A,MATCH(H402,'All Folders'!$G:$G,0),1),"¶")</f>
        <v>199</v>
      </c>
      <c r="K402" s="87"/>
      <c r="L402" s="87"/>
    </row>
    <row r="403" spans="1:12" ht="15" x14ac:dyDescent="0.25">
      <c r="A403" t="s">
        <v>20183</v>
      </c>
      <c r="B403" t="s">
        <v>13653</v>
      </c>
      <c r="C403" t="s">
        <v>13654</v>
      </c>
      <c r="D403" t="s">
        <v>13655</v>
      </c>
      <c r="E403">
        <v>2409</v>
      </c>
      <c r="F403" t="s">
        <v>333</v>
      </c>
      <c r="G403" t="s">
        <v>7</v>
      </c>
      <c r="H403" t="str">
        <f t="shared" si="12"/>
        <v>Town2409Austin</v>
      </c>
      <c r="I403" t="str">
        <f t="shared" si="13"/>
        <v>Town</v>
      </c>
      <c r="J403" s="82">
        <f>IFERROR(INDEX('All Folders'!$A:$A,MATCH(H403,'All Folders'!$G:$G,0),1),"¶")</f>
        <v>207</v>
      </c>
      <c r="K403" s="87"/>
      <c r="L403" s="87"/>
    </row>
    <row r="404" spans="1:12" ht="15" x14ac:dyDescent="0.25">
      <c r="A404" t="s">
        <v>20184</v>
      </c>
      <c r="B404" t="s">
        <v>13656</v>
      </c>
      <c r="C404" t="s">
        <v>13657</v>
      </c>
      <c r="D404" t="s">
        <v>13658</v>
      </c>
      <c r="E404">
        <v>3605</v>
      </c>
      <c r="F404" t="s">
        <v>461</v>
      </c>
      <c r="G404" t="s">
        <v>7</v>
      </c>
      <c r="H404" t="str">
        <f t="shared" si="12"/>
        <v>Steck3605Austin</v>
      </c>
      <c r="I404" t="str">
        <f t="shared" si="13"/>
        <v>Steck</v>
      </c>
      <c r="J404" s="82">
        <f>IFERROR(INDEX('All Folders'!$A:$A,MATCH(H404,'All Folders'!$G:$G,0),1),"¶")</f>
        <v>308</v>
      </c>
      <c r="K404" s="87"/>
      <c r="L404" s="87"/>
    </row>
    <row r="405" spans="1:12" ht="15" x14ac:dyDescent="0.25">
      <c r="A405" t="s">
        <v>20186</v>
      </c>
      <c r="B405" t="s">
        <v>13663</v>
      </c>
      <c r="C405" t="s">
        <v>13664</v>
      </c>
      <c r="D405" t="s">
        <v>13665</v>
      </c>
      <c r="E405">
        <v>2430</v>
      </c>
      <c r="F405" t="s">
        <v>305</v>
      </c>
      <c r="G405" t="s">
        <v>7</v>
      </c>
      <c r="H405" t="str">
        <f t="shared" si="12"/>
        <v>Cromwell2430Austin</v>
      </c>
      <c r="I405" t="str">
        <f t="shared" si="13"/>
        <v>Cromwell</v>
      </c>
      <c r="J405" s="82">
        <f>IFERROR(INDEX('All Folders'!$A:$A,MATCH(H405,'All Folders'!$G:$G,0),1),"¶")</f>
        <v>188</v>
      </c>
      <c r="K405" s="87"/>
      <c r="L405" s="87"/>
    </row>
    <row r="406" spans="1:12" ht="15" x14ac:dyDescent="0.25">
      <c r="A406" t="s">
        <v>20187</v>
      </c>
      <c r="B406" t="s">
        <v>13666</v>
      </c>
      <c r="C406" t="s">
        <v>13667</v>
      </c>
      <c r="D406" t="s">
        <v>13548</v>
      </c>
      <c r="E406">
        <v>6503</v>
      </c>
      <c r="F406" t="s">
        <v>13668</v>
      </c>
      <c r="G406" t="s">
        <v>7</v>
      </c>
      <c r="H406" t="str">
        <f t="shared" si="12"/>
        <v>Bluff6503Austin</v>
      </c>
      <c r="I406" t="str">
        <f t="shared" si="13"/>
        <v>Bluff</v>
      </c>
      <c r="J406" s="82">
        <f>IFERROR(INDEX('All Folders'!$A:$A,MATCH(H406,'All Folders'!$G:$G,0),1),"¶")</f>
        <v>144</v>
      </c>
      <c r="K406" s="87"/>
      <c r="L406" s="87"/>
    </row>
    <row r="407" spans="1:12" ht="15" x14ac:dyDescent="0.25">
      <c r="A407" t="s">
        <v>20188</v>
      </c>
      <c r="B407" t="s">
        <v>13669</v>
      </c>
      <c r="C407" t="s">
        <v>13670</v>
      </c>
      <c r="D407" t="s">
        <v>244</v>
      </c>
      <c r="E407">
        <v>401</v>
      </c>
      <c r="F407" t="s">
        <v>245</v>
      </c>
      <c r="G407" t="s">
        <v>7</v>
      </c>
      <c r="H407" t="str">
        <f t="shared" si="12"/>
        <v>Masterson401Austin</v>
      </c>
      <c r="I407" t="str">
        <f t="shared" si="13"/>
        <v>Masterson</v>
      </c>
      <c r="J407" s="82">
        <f>IFERROR(INDEX('All Folders'!$A:$A,MATCH(H407,'All Folders'!$G:$G,0),1),"¶")</f>
        <v>147</v>
      </c>
      <c r="K407" s="87"/>
      <c r="L407" s="87"/>
    </row>
    <row r="408" spans="1:12" ht="15" x14ac:dyDescent="0.25">
      <c r="A408" t="s">
        <v>20189</v>
      </c>
      <c r="B408" t="s">
        <v>13671</v>
      </c>
      <c r="C408" t="s">
        <v>13672</v>
      </c>
      <c r="D408" t="s">
        <v>13673</v>
      </c>
      <c r="E408">
        <v>1515</v>
      </c>
      <c r="F408" t="s">
        <v>11751</v>
      </c>
      <c r="G408" t="s">
        <v>7</v>
      </c>
      <c r="H408" t="str">
        <f t="shared" si="12"/>
        <v>Wickersham1515Austin</v>
      </c>
      <c r="I408" t="str">
        <f t="shared" si="13"/>
        <v>Wickersham</v>
      </c>
      <c r="J408" s="82">
        <f>IFERROR(INDEX('All Folders'!$A:$A,MATCH(H408,'All Folders'!$G:$G,0),1),"¶")</f>
        <v>30313</v>
      </c>
      <c r="K408" s="87"/>
      <c r="L408" s="87"/>
    </row>
    <row r="409" spans="1:12" ht="15" x14ac:dyDescent="0.25">
      <c r="A409" t="s">
        <v>20190</v>
      </c>
      <c r="B409" t="s">
        <v>13674</v>
      </c>
      <c r="C409" t="s">
        <v>13675</v>
      </c>
      <c r="D409" t="s">
        <v>13506</v>
      </c>
      <c r="E409">
        <v>4700</v>
      </c>
      <c r="F409" t="s">
        <v>11751</v>
      </c>
      <c r="G409" t="s">
        <v>7</v>
      </c>
      <c r="H409" t="str">
        <f t="shared" si="12"/>
        <v>Riverside4700Austin</v>
      </c>
      <c r="I409" t="str">
        <f t="shared" si="13"/>
        <v>Riverside</v>
      </c>
      <c r="J409" s="82">
        <f>IFERROR(INDEX('All Folders'!$A:$A,MATCH(H409,'All Folders'!$G:$G,0),1),"¶")</f>
        <v>440</v>
      </c>
      <c r="K409" s="87"/>
      <c r="L409" s="87"/>
    </row>
    <row r="410" spans="1:12" ht="15" x14ac:dyDescent="0.25">
      <c r="A410" t="s">
        <v>20191</v>
      </c>
      <c r="B410" t="s">
        <v>13676</v>
      </c>
      <c r="C410" t="s">
        <v>13677</v>
      </c>
      <c r="D410" t="s">
        <v>13678</v>
      </c>
      <c r="E410">
        <v>12443</v>
      </c>
      <c r="F410" t="s">
        <v>783</v>
      </c>
      <c r="G410" t="s">
        <v>7</v>
      </c>
      <c r="H410" t="str">
        <f t="shared" si="12"/>
        <v>Tech12443Austin</v>
      </c>
      <c r="I410" t="str">
        <f t="shared" si="13"/>
        <v>Tech</v>
      </c>
      <c r="J410" s="82">
        <f>IFERROR(INDEX('All Folders'!$A:$A,MATCH(H410,'All Folders'!$G:$G,0),1),"¶")</f>
        <v>545</v>
      </c>
      <c r="K410" s="87"/>
      <c r="L410" s="87"/>
    </row>
    <row r="411" spans="1:12" ht="15" x14ac:dyDescent="0.25">
      <c r="A411" t="s">
        <v>20192</v>
      </c>
      <c r="B411" t="s">
        <v>13679</v>
      </c>
      <c r="C411" t="s">
        <v>13680</v>
      </c>
      <c r="D411" t="s">
        <v>13473</v>
      </c>
      <c r="E411">
        <v>3201</v>
      </c>
      <c r="F411" t="s">
        <v>260</v>
      </c>
      <c r="G411" t="s">
        <v>7</v>
      </c>
      <c r="H411" t="str">
        <f t="shared" si="12"/>
        <v>Duval3201Austin</v>
      </c>
      <c r="I411" t="str">
        <f t="shared" si="13"/>
        <v>Duval</v>
      </c>
      <c r="J411" s="82">
        <f>IFERROR(INDEX('All Folders'!$A:$A,MATCH(H411,'All Folders'!$G:$G,0),1),"¶")</f>
        <v>157</v>
      </c>
      <c r="K411" s="87"/>
      <c r="L411" s="87"/>
    </row>
    <row r="412" spans="1:12" ht="15" x14ac:dyDescent="0.25">
      <c r="A412" t="s">
        <v>20193</v>
      </c>
      <c r="B412" t="s">
        <v>13681</v>
      </c>
      <c r="C412" t="s">
        <v>13682</v>
      </c>
      <c r="D412" t="s">
        <v>13683</v>
      </c>
      <c r="E412">
        <v>3111</v>
      </c>
      <c r="F412" t="s">
        <v>262</v>
      </c>
      <c r="G412" t="s">
        <v>7</v>
      </c>
      <c r="H412" t="str">
        <f t="shared" si="12"/>
        <v>Parker3111Austin</v>
      </c>
      <c r="I412" t="str">
        <f t="shared" si="13"/>
        <v>Parker</v>
      </c>
      <c r="J412" s="82">
        <f>IFERROR(INDEX('All Folders'!$A:$A,MATCH(H412,'All Folders'!$G:$G,0),1),"¶")</f>
        <v>158</v>
      </c>
      <c r="K412" s="87"/>
      <c r="L412" s="87"/>
    </row>
    <row r="413" spans="1:12" ht="15" x14ac:dyDescent="0.25">
      <c r="A413" t="s">
        <v>20194</v>
      </c>
      <c r="B413" t="s">
        <v>13684</v>
      </c>
      <c r="C413" t="s">
        <v>13685</v>
      </c>
      <c r="D413" t="s">
        <v>67</v>
      </c>
      <c r="E413">
        <v>6000</v>
      </c>
      <c r="F413" t="s">
        <v>6760</v>
      </c>
      <c r="G413" t="s">
        <v>7</v>
      </c>
      <c r="H413" t="str">
        <f t="shared" si="12"/>
        <v>Shepherd6000Austin</v>
      </c>
      <c r="I413" t="str">
        <f t="shared" si="13"/>
        <v>Shepherd</v>
      </c>
      <c r="J413" s="89">
        <f>IFERROR(INDEX('All Folders'!$A:$A,MATCH(H413,'All Folders'!$G:$G,0),1),"¶")</f>
        <v>159</v>
      </c>
      <c r="K413" s="87"/>
      <c r="L413" s="87"/>
    </row>
    <row r="414" spans="1:12" ht="15" x14ac:dyDescent="0.25">
      <c r="A414" t="s">
        <v>20196</v>
      </c>
      <c r="B414" t="s">
        <v>13690</v>
      </c>
      <c r="C414" t="s">
        <v>13691</v>
      </c>
      <c r="D414" t="s">
        <v>13692</v>
      </c>
      <c r="E414">
        <v>1720</v>
      </c>
      <c r="F414" t="s">
        <v>285</v>
      </c>
      <c r="G414" t="s">
        <v>7</v>
      </c>
      <c r="H414" t="str">
        <f t="shared" si="12"/>
        <v>Woodward1720Austin</v>
      </c>
      <c r="I414" t="str">
        <f t="shared" si="13"/>
        <v>Woodward</v>
      </c>
      <c r="J414" s="88">
        <v>173</v>
      </c>
      <c r="K414" s="87"/>
      <c r="L414" s="87"/>
    </row>
    <row r="415" spans="1:12" ht="15" x14ac:dyDescent="0.25">
      <c r="A415" t="s">
        <v>20197</v>
      </c>
      <c r="B415" t="s">
        <v>13693</v>
      </c>
      <c r="C415" t="s">
        <v>13694</v>
      </c>
      <c r="D415" t="s">
        <v>13695</v>
      </c>
      <c r="E415" t="s">
        <v>13696</v>
      </c>
      <c r="F415" t="s">
        <v>13697</v>
      </c>
      <c r="G415" t="s">
        <v>7</v>
      </c>
      <c r="H415" t="str">
        <f t="shared" si="12"/>
        <v>Burton2000 &amp; 2101Austin</v>
      </c>
      <c r="I415" t="str">
        <f t="shared" si="13"/>
        <v>Burton</v>
      </c>
      <c r="J415" s="88">
        <v>284</v>
      </c>
      <c r="K415" s="87"/>
      <c r="L415" s="87"/>
    </row>
    <row r="416" spans="1:12" ht="15" x14ac:dyDescent="0.25">
      <c r="A416" t="s">
        <v>20198</v>
      </c>
      <c r="B416" t="s">
        <v>13698</v>
      </c>
      <c r="C416" t="s">
        <v>13699</v>
      </c>
      <c r="D416" t="s">
        <v>13700</v>
      </c>
      <c r="E416">
        <v>10616</v>
      </c>
      <c r="F416" t="s">
        <v>1260</v>
      </c>
      <c r="G416" t="s">
        <v>7</v>
      </c>
      <c r="H416" t="str">
        <f t="shared" si="12"/>
        <v>Mellow10616Austin</v>
      </c>
      <c r="I416" t="str">
        <f t="shared" si="13"/>
        <v>Mellow</v>
      </c>
      <c r="J416" s="82">
        <f>IFERROR(INDEX('All Folders'!$A:$A,MATCH(H416,'All Folders'!$G:$G,0),1),"¶")</f>
        <v>178</v>
      </c>
      <c r="K416" s="87"/>
      <c r="L416" s="87"/>
    </row>
    <row r="417" spans="1:12" ht="15" x14ac:dyDescent="0.25">
      <c r="A417" t="s">
        <v>20199</v>
      </c>
      <c r="B417" t="s">
        <v>13701</v>
      </c>
      <c r="C417" t="s">
        <v>13702</v>
      </c>
      <c r="D417" t="s">
        <v>13703</v>
      </c>
      <c r="E417">
        <v>8805</v>
      </c>
      <c r="F417" t="s">
        <v>1865</v>
      </c>
      <c r="G417" t="s">
        <v>7</v>
      </c>
      <c r="H417" t="str">
        <f t="shared" si="12"/>
        <v>Plaza8805Austin</v>
      </c>
      <c r="I417" t="str">
        <f t="shared" si="13"/>
        <v>Plaza</v>
      </c>
      <c r="J417" s="82">
        <f>IFERROR(INDEX('All Folders'!$A:$A,MATCH(H417,'All Folders'!$G:$G,0),1),"¶")</f>
        <v>182</v>
      </c>
      <c r="K417" s="87"/>
      <c r="L417" s="87"/>
    </row>
    <row r="418" spans="1:12" ht="15" x14ac:dyDescent="0.25">
      <c r="A418" t="s">
        <v>20200</v>
      </c>
      <c r="B418" t="s">
        <v>13704</v>
      </c>
      <c r="C418" t="s">
        <v>13705</v>
      </c>
      <c r="D418" t="s">
        <v>13552</v>
      </c>
      <c r="E418">
        <v>7227</v>
      </c>
      <c r="F418" t="s">
        <v>300</v>
      </c>
      <c r="G418" t="s">
        <v>7</v>
      </c>
      <c r="H418" t="str">
        <f t="shared" si="12"/>
        <v>2907227Austin</v>
      </c>
      <c r="I418" t="str">
        <f t="shared" si="13"/>
        <v>290</v>
      </c>
      <c r="J418" s="82">
        <f>IFERROR(INDEX('All Folders'!$A:$A,MATCH(H418,'All Folders'!$G:$G,0),1),"¶")</f>
        <v>184</v>
      </c>
      <c r="K418" s="87"/>
      <c r="L418" s="87"/>
    </row>
    <row r="419" spans="1:12" ht="15" x14ac:dyDescent="0.25">
      <c r="A419" t="s">
        <v>20201</v>
      </c>
      <c r="B419" t="s">
        <v>13706</v>
      </c>
      <c r="C419" t="s">
        <v>13707</v>
      </c>
      <c r="D419" t="s">
        <v>13708</v>
      </c>
      <c r="E419" t="s">
        <v>13709</v>
      </c>
      <c r="F419" t="s">
        <v>13710</v>
      </c>
      <c r="G419" t="s">
        <v>7</v>
      </c>
      <c r="H419" t="str">
        <f t="shared" si="12"/>
        <v>Argonne11600-11701Austin</v>
      </c>
      <c r="I419" t="str">
        <f t="shared" si="13"/>
        <v>Argonne</v>
      </c>
      <c r="J419" s="88">
        <v>15840</v>
      </c>
      <c r="K419" s="87"/>
      <c r="L419" s="87"/>
    </row>
    <row r="420" spans="1:12" ht="15" x14ac:dyDescent="0.25">
      <c r="A420" t="s">
        <v>20202</v>
      </c>
      <c r="B420" t="s">
        <v>13711</v>
      </c>
      <c r="C420" t="s">
        <v>13712</v>
      </c>
      <c r="D420" t="s">
        <v>13713</v>
      </c>
      <c r="E420">
        <v>1701</v>
      </c>
      <c r="F420" t="s">
        <v>13714</v>
      </c>
      <c r="G420" t="s">
        <v>7</v>
      </c>
      <c r="H420" t="str">
        <f t="shared" si="12"/>
        <v>Lavaca1701Austin</v>
      </c>
      <c r="I420" t="str">
        <f t="shared" si="13"/>
        <v>Lavaca</v>
      </c>
      <c r="J420" s="82">
        <f>IFERROR(INDEX('All Folders'!$A:$A,MATCH(H420,'All Folders'!$G:$G,0),1),"¶")</f>
        <v>30292</v>
      </c>
      <c r="K420" s="87"/>
      <c r="L420" s="87"/>
    </row>
    <row r="421" spans="1:12" ht="15" x14ac:dyDescent="0.25">
      <c r="A421" t="s">
        <v>20203</v>
      </c>
      <c r="B421" t="s">
        <v>13715</v>
      </c>
      <c r="C421" t="s">
        <v>13716</v>
      </c>
      <c r="D421" t="s">
        <v>13717</v>
      </c>
      <c r="E421">
        <v>12345</v>
      </c>
      <c r="F421" t="s">
        <v>13718</v>
      </c>
      <c r="G421" t="s">
        <v>7</v>
      </c>
      <c r="H421" t="str">
        <f t="shared" si="12"/>
        <v>Lamplight12345Austin</v>
      </c>
      <c r="I421" t="str">
        <f t="shared" si="13"/>
        <v>Lamplight</v>
      </c>
      <c r="J421" s="82">
        <f>IFERROR(INDEX('All Folders'!$A:$A,MATCH(H421,'All Folders'!$G:$G,0),1),"¶")</f>
        <v>519</v>
      </c>
      <c r="K421" s="87"/>
      <c r="L421" s="87"/>
    </row>
    <row r="422" spans="1:12" ht="15" x14ac:dyDescent="0.25">
      <c r="A422" t="s">
        <v>20204</v>
      </c>
      <c r="B422" t="s">
        <v>13719</v>
      </c>
      <c r="C422" t="s">
        <v>13720</v>
      </c>
      <c r="D422" t="s">
        <v>13721</v>
      </c>
      <c r="E422">
        <v>2201</v>
      </c>
      <c r="F422" t="s">
        <v>504</v>
      </c>
      <c r="G422" t="s">
        <v>7</v>
      </c>
      <c r="H422" t="str">
        <f t="shared" si="12"/>
        <v>Willow2201Austin</v>
      </c>
      <c r="I422" t="str">
        <f t="shared" si="13"/>
        <v>Willow</v>
      </c>
      <c r="J422" s="82">
        <f>IFERROR(INDEX('All Folders'!$A:$A,MATCH(H422,'All Folders'!$G:$G,0),1),"¶")</f>
        <v>338</v>
      </c>
      <c r="K422" s="87"/>
      <c r="L422" s="87"/>
    </row>
    <row r="423" spans="1:12" ht="15" x14ac:dyDescent="0.25">
      <c r="A423" t="s">
        <v>20205</v>
      </c>
      <c r="B423" t="s">
        <v>13722</v>
      </c>
      <c r="C423" t="s">
        <v>13723</v>
      </c>
      <c r="D423" t="s">
        <v>13592</v>
      </c>
      <c r="E423">
        <v>1101</v>
      </c>
      <c r="F423" t="s">
        <v>343</v>
      </c>
      <c r="G423" t="s">
        <v>7</v>
      </c>
      <c r="H423" t="str">
        <f t="shared" si="12"/>
        <v>Rutland1101Austin</v>
      </c>
      <c r="I423" t="str">
        <f t="shared" si="13"/>
        <v>Rutland</v>
      </c>
      <c r="J423" s="82">
        <f>IFERROR(INDEX('All Folders'!$A:$A,MATCH(H423,'All Folders'!$G:$G,0),1),"¶")</f>
        <v>216</v>
      </c>
      <c r="K423" s="87"/>
      <c r="L423" s="87"/>
    </row>
    <row r="424" spans="1:12" ht="15" x14ac:dyDescent="0.25">
      <c r="A424" t="s">
        <v>20206</v>
      </c>
      <c r="B424" t="s">
        <v>13724</v>
      </c>
      <c r="C424" t="s">
        <v>13725</v>
      </c>
      <c r="D424" t="s">
        <v>13592</v>
      </c>
      <c r="E424" t="s">
        <v>13726</v>
      </c>
      <c r="F424" t="s">
        <v>344</v>
      </c>
      <c r="G424" t="s">
        <v>7</v>
      </c>
      <c r="H424" t="str">
        <f t="shared" si="12"/>
        <v>Rutland1647 &amp; 1711Austin</v>
      </c>
      <c r="I424" t="str">
        <f t="shared" si="13"/>
        <v>Rutland</v>
      </c>
      <c r="J424" s="88">
        <v>217</v>
      </c>
      <c r="K424" s="87"/>
      <c r="L424" s="87"/>
    </row>
    <row r="425" spans="1:12" ht="15" x14ac:dyDescent="0.25">
      <c r="A425" t="s">
        <v>20207</v>
      </c>
      <c r="B425" t="s">
        <v>13727</v>
      </c>
      <c r="C425" t="s">
        <v>13728</v>
      </c>
      <c r="D425" t="s">
        <v>13618</v>
      </c>
      <c r="E425">
        <v>10801</v>
      </c>
      <c r="F425" t="s">
        <v>13729</v>
      </c>
      <c r="G425" t="s">
        <v>7</v>
      </c>
      <c r="H425" t="str">
        <f t="shared" si="12"/>
        <v>Manchaca10801Austin</v>
      </c>
      <c r="I425" t="str">
        <f t="shared" si="13"/>
        <v>Manchaca</v>
      </c>
      <c r="J425" s="88">
        <v>526</v>
      </c>
      <c r="K425" s="87"/>
      <c r="L425" s="87"/>
    </row>
    <row r="426" spans="1:12" ht="15" x14ac:dyDescent="0.25">
      <c r="A426" t="s">
        <v>20208</v>
      </c>
      <c r="B426" t="s">
        <v>13730</v>
      </c>
      <c r="C426" t="s">
        <v>13731</v>
      </c>
      <c r="D426" t="s">
        <v>13489</v>
      </c>
      <c r="E426">
        <v>2104</v>
      </c>
      <c r="F426" t="s">
        <v>13732</v>
      </c>
      <c r="G426" t="s">
        <v>7</v>
      </c>
      <c r="H426" t="str">
        <f t="shared" si="12"/>
        <v>Anderson2104Austin</v>
      </c>
      <c r="I426" t="str">
        <f t="shared" si="13"/>
        <v>Anderson</v>
      </c>
      <c r="J426" s="91">
        <f>IFERROR(INDEX('All Folders'!$A:$A,MATCH(H426,'All Folders'!$G:$G,0),1),"¶")</f>
        <v>336</v>
      </c>
      <c r="K426" s="87"/>
      <c r="L426" s="87"/>
    </row>
    <row r="427" spans="1:12" ht="15" x14ac:dyDescent="0.25">
      <c r="A427" t="s">
        <v>20209</v>
      </c>
      <c r="B427" t="s">
        <v>13733</v>
      </c>
      <c r="C427" t="s">
        <v>13734</v>
      </c>
      <c r="D427" t="s">
        <v>13735</v>
      </c>
      <c r="E427">
        <v>6409</v>
      </c>
      <c r="F427" t="s">
        <v>13736</v>
      </c>
      <c r="G427" t="s">
        <v>7</v>
      </c>
      <c r="H427" t="str">
        <f t="shared" si="12"/>
        <v>Hudson6409Austin</v>
      </c>
      <c r="I427" t="str">
        <f t="shared" si="13"/>
        <v>Hudson</v>
      </c>
      <c r="J427" s="82">
        <f>IFERROR(INDEX('All Folders'!$A:$A,MATCH(H427,'All Folders'!$G:$G,0),1),"¶")</f>
        <v>30290</v>
      </c>
      <c r="K427" s="87"/>
      <c r="L427" s="87"/>
    </row>
    <row r="428" spans="1:12" ht="15" x14ac:dyDescent="0.25">
      <c r="A428" t="s">
        <v>20210</v>
      </c>
      <c r="B428" t="s">
        <v>13737</v>
      </c>
      <c r="C428" t="s">
        <v>13738</v>
      </c>
      <c r="D428" t="s">
        <v>13739</v>
      </c>
      <c r="E428">
        <v>7201</v>
      </c>
      <c r="F428" t="s">
        <v>13740</v>
      </c>
      <c r="G428" t="s">
        <v>7</v>
      </c>
      <c r="H428" t="str">
        <f t="shared" si="12"/>
        <v>Haart7201Austin</v>
      </c>
      <c r="I428" t="str">
        <f t="shared" si="13"/>
        <v>Haart</v>
      </c>
      <c r="J428" s="88">
        <v>223</v>
      </c>
      <c r="K428" s="87"/>
      <c r="L428" s="87"/>
    </row>
    <row r="429" spans="1:12" ht="15" x14ac:dyDescent="0.25">
      <c r="A429" t="s">
        <v>20211</v>
      </c>
      <c r="B429" t="s">
        <v>13741</v>
      </c>
      <c r="C429" t="s">
        <v>13742</v>
      </c>
      <c r="D429" t="s">
        <v>13495</v>
      </c>
      <c r="E429">
        <v>2401</v>
      </c>
      <c r="F429" t="s">
        <v>13743</v>
      </c>
      <c r="G429" t="s">
        <v>7</v>
      </c>
      <c r="H429" t="str">
        <f t="shared" si="12"/>
        <v>Manor2401Austin</v>
      </c>
      <c r="I429" t="str">
        <f t="shared" si="13"/>
        <v>Manor</v>
      </c>
      <c r="J429" s="82">
        <f>IFERROR(INDEX('All Folders'!$A:$A,MATCH(H429,'All Folders'!$G:$G,0),1),"¶")</f>
        <v>224</v>
      </c>
      <c r="K429" s="87"/>
      <c r="L429" s="87"/>
    </row>
    <row r="430" spans="1:12" ht="15" x14ac:dyDescent="0.25">
      <c r="A430" t="s">
        <v>20212</v>
      </c>
      <c r="B430" t="s">
        <v>13744</v>
      </c>
      <c r="C430" t="s">
        <v>13745</v>
      </c>
      <c r="D430" t="s">
        <v>13746</v>
      </c>
      <c r="E430">
        <v>8750</v>
      </c>
      <c r="F430" t="s">
        <v>13747</v>
      </c>
      <c r="G430" t="s">
        <v>7</v>
      </c>
      <c r="H430" t="str">
        <f t="shared" si="12"/>
        <v>Birmingham8750Austin</v>
      </c>
      <c r="I430" t="str">
        <f t="shared" si="13"/>
        <v>Birmingham</v>
      </c>
      <c r="J430" s="82">
        <f>IFERROR(INDEX('All Folders'!$A:$A,MATCH(H430,'All Folders'!$G:$G,0),1),"¶")</f>
        <v>30277</v>
      </c>
      <c r="K430" s="87"/>
      <c r="L430" s="87"/>
    </row>
    <row r="431" spans="1:12" ht="15" x14ac:dyDescent="0.25">
      <c r="A431" t="s">
        <v>20213</v>
      </c>
      <c r="B431" t="s">
        <v>13748</v>
      </c>
      <c r="C431" t="s">
        <v>13749</v>
      </c>
      <c r="D431" t="s">
        <v>13703</v>
      </c>
      <c r="E431">
        <v>9200</v>
      </c>
      <c r="F431" t="s">
        <v>13750</v>
      </c>
      <c r="G431" t="s">
        <v>7</v>
      </c>
      <c r="H431" t="str">
        <f t="shared" si="12"/>
        <v>Plaza9200Austin</v>
      </c>
      <c r="I431" t="str">
        <f t="shared" si="13"/>
        <v>Plaza</v>
      </c>
      <c r="J431" s="82">
        <f>IFERROR(INDEX('All Folders'!$A:$A,MATCH(H431,'All Folders'!$G:$G,0),1),"¶")</f>
        <v>256</v>
      </c>
      <c r="K431" s="87"/>
      <c r="L431" s="87"/>
    </row>
    <row r="432" spans="1:12" ht="15" x14ac:dyDescent="0.25">
      <c r="A432" t="s">
        <v>20214</v>
      </c>
      <c r="B432" t="s">
        <v>13751</v>
      </c>
      <c r="C432" t="s">
        <v>13752</v>
      </c>
      <c r="D432" t="s">
        <v>13445</v>
      </c>
      <c r="E432">
        <v>4320</v>
      </c>
      <c r="F432" t="s">
        <v>13753</v>
      </c>
      <c r="G432" t="s">
        <v>7</v>
      </c>
      <c r="H432" t="str">
        <f t="shared" si="12"/>
        <v>Congress4320Austin</v>
      </c>
      <c r="I432" t="str">
        <f t="shared" si="13"/>
        <v>Congress</v>
      </c>
      <c r="J432" s="82">
        <f>IFERROR(INDEX('All Folders'!$A:$A,MATCH(H432,'All Folders'!$G:$G,0),1),"¶")</f>
        <v>228</v>
      </c>
      <c r="K432" s="87"/>
      <c r="L432" s="87"/>
    </row>
    <row r="433" spans="1:12" ht="15" x14ac:dyDescent="0.25">
      <c r="A433" t="s">
        <v>20215</v>
      </c>
      <c r="B433" t="s">
        <v>13754</v>
      </c>
      <c r="C433" t="s">
        <v>13755</v>
      </c>
      <c r="D433" t="s">
        <v>13756</v>
      </c>
      <c r="E433">
        <v>8515</v>
      </c>
      <c r="F433" t="s">
        <v>13757</v>
      </c>
      <c r="G433" t="s">
        <v>7</v>
      </c>
      <c r="H433" t="str">
        <f t="shared" si="12"/>
        <v>Shoal8515Austin</v>
      </c>
      <c r="I433" t="str">
        <f t="shared" si="13"/>
        <v>Shoal</v>
      </c>
      <c r="J433" s="91">
        <f>IFERROR(INDEX('All Folders'!$A:$A,MATCH(H433,'All Folders'!$G:$G,0),1),"¶")</f>
        <v>358</v>
      </c>
      <c r="K433" s="87"/>
      <c r="L433" s="87"/>
    </row>
    <row r="434" spans="1:12" ht="15" x14ac:dyDescent="0.25">
      <c r="A434" t="s">
        <v>20216</v>
      </c>
      <c r="B434" t="s">
        <v>13758</v>
      </c>
      <c r="C434" t="s">
        <v>13759</v>
      </c>
      <c r="D434" t="s">
        <v>13461</v>
      </c>
      <c r="E434">
        <v>1817</v>
      </c>
      <c r="F434" t="s">
        <v>398</v>
      </c>
      <c r="G434" t="s">
        <v>7</v>
      </c>
      <c r="H434" t="str">
        <f t="shared" si="12"/>
        <v>Oltorf1817Austin</v>
      </c>
      <c r="I434" t="str">
        <f t="shared" si="13"/>
        <v>Oltorf</v>
      </c>
      <c r="J434" s="91">
        <f>IFERROR(INDEX('All Folders'!$A:$A,MATCH(H434,'All Folders'!$G:$G,0),1),"¶")</f>
        <v>258</v>
      </c>
      <c r="K434" s="87"/>
      <c r="L434" s="87"/>
    </row>
    <row r="435" spans="1:12" ht="15" x14ac:dyDescent="0.25">
      <c r="A435" t="s">
        <v>20217</v>
      </c>
      <c r="B435" t="s">
        <v>13760</v>
      </c>
      <c r="C435" t="s">
        <v>13761</v>
      </c>
      <c r="D435" t="s">
        <v>13762</v>
      </c>
      <c r="E435">
        <v>1230</v>
      </c>
      <c r="F435" t="s">
        <v>13763</v>
      </c>
      <c r="G435" t="s">
        <v>7</v>
      </c>
      <c r="H435" t="str">
        <f t="shared" si="12"/>
        <v>381230Austin</v>
      </c>
      <c r="I435" t="str">
        <f t="shared" si="13"/>
        <v>38</v>
      </c>
      <c r="J435" s="96">
        <v>30275</v>
      </c>
      <c r="K435" s="87"/>
      <c r="L435" s="87"/>
    </row>
    <row r="436" spans="1:12" ht="15" x14ac:dyDescent="0.25">
      <c r="A436" t="s">
        <v>20219</v>
      </c>
      <c r="B436" t="s">
        <v>13769</v>
      </c>
      <c r="C436" t="s">
        <v>13770</v>
      </c>
      <c r="D436" t="s">
        <v>13771</v>
      </c>
      <c r="E436">
        <v>1001</v>
      </c>
      <c r="F436" t="s">
        <v>13772</v>
      </c>
      <c r="G436" t="s">
        <v>7</v>
      </c>
      <c r="H436" t="str">
        <f t="shared" si="12"/>
        <v>Nimbus1001Austin</v>
      </c>
      <c r="I436" t="str">
        <f t="shared" si="13"/>
        <v>Nimbus</v>
      </c>
      <c r="J436" s="88">
        <v>234</v>
      </c>
      <c r="K436" s="87"/>
      <c r="L436" s="87"/>
    </row>
    <row r="437" spans="1:12" ht="15" x14ac:dyDescent="0.25">
      <c r="A437" t="s">
        <v>20220</v>
      </c>
      <c r="B437" t="s">
        <v>13773</v>
      </c>
      <c r="C437" t="s">
        <v>13774</v>
      </c>
      <c r="D437" t="s">
        <v>13775</v>
      </c>
      <c r="E437">
        <v>6300</v>
      </c>
      <c r="F437" t="s">
        <v>13776</v>
      </c>
      <c r="G437" t="s">
        <v>7</v>
      </c>
      <c r="H437" t="str">
        <f t="shared" si="12"/>
        <v>Congress6300Austin</v>
      </c>
      <c r="I437" t="str">
        <f t="shared" si="13"/>
        <v>Congress</v>
      </c>
      <c r="J437" s="82">
        <f>IFERROR(INDEX('All Folders'!$A:$A,MATCH(H437,'All Folders'!$G:$G,0),1),"¶")</f>
        <v>16399</v>
      </c>
      <c r="K437" s="87"/>
      <c r="L437" s="87"/>
    </row>
    <row r="438" spans="1:12" ht="15" x14ac:dyDescent="0.25">
      <c r="A438" t="s">
        <v>20221</v>
      </c>
      <c r="B438" t="s">
        <v>13777</v>
      </c>
      <c r="C438" t="s">
        <v>13778</v>
      </c>
      <c r="D438" t="s">
        <v>13779</v>
      </c>
      <c r="E438">
        <v>8801</v>
      </c>
      <c r="F438" t="s">
        <v>8126</v>
      </c>
      <c r="G438" t="s">
        <v>7</v>
      </c>
      <c r="H438" t="str">
        <f t="shared" si="12"/>
        <v>6208801Austin</v>
      </c>
      <c r="I438" t="str">
        <f t="shared" si="13"/>
        <v>620</v>
      </c>
      <c r="J438" s="82">
        <f>IFERROR(INDEX('All Folders'!$A:$A,MATCH(H438,'All Folders'!$G:$G,0),1),"¶")</f>
        <v>479</v>
      </c>
      <c r="K438" s="87"/>
      <c r="L438" s="87"/>
    </row>
    <row r="439" spans="1:12" ht="15" x14ac:dyDescent="0.25">
      <c r="A439" t="s">
        <v>20222</v>
      </c>
      <c r="B439" t="s">
        <v>13780</v>
      </c>
      <c r="C439" t="s">
        <v>13781</v>
      </c>
      <c r="D439" t="s">
        <v>13782</v>
      </c>
      <c r="E439">
        <v>10320</v>
      </c>
      <c r="F439" t="s">
        <v>8126</v>
      </c>
      <c r="G439" t="s">
        <v>7</v>
      </c>
      <c r="H439" t="str">
        <f t="shared" si="12"/>
        <v>Boulder10320Austin</v>
      </c>
      <c r="I439" t="str">
        <f t="shared" si="13"/>
        <v>Boulder</v>
      </c>
      <c r="J439" s="82">
        <f>IFERROR(INDEX('All Folders'!$A:$A,MATCH(H439,'All Folders'!$G:$G,0),1),"¶")</f>
        <v>515</v>
      </c>
      <c r="K439" s="87"/>
      <c r="L439" s="87"/>
    </row>
    <row r="440" spans="1:12" ht="15" x14ac:dyDescent="0.25">
      <c r="A440" t="s">
        <v>20223</v>
      </c>
      <c r="B440" t="s">
        <v>13783</v>
      </c>
      <c r="C440" t="s">
        <v>13784</v>
      </c>
      <c r="D440" t="s">
        <v>368</v>
      </c>
      <c r="E440">
        <v>6201</v>
      </c>
      <c r="F440" t="s">
        <v>369</v>
      </c>
      <c r="G440" t="s">
        <v>7</v>
      </c>
      <c r="H440" t="str">
        <f t="shared" si="12"/>
        <v>Sneed6201Austin</v>
      </c>
      <c r="I440" t="str">
        <f t="shared" si="13"/>
        <v>Sneed</v>
      </c>
      <c r="J440" s="82">
        <f>IFERROR(INDEX('All Folders'!$A:$A,MATCH(H440,'All Folders'!$G:$G,0),1),"¶")</f>
        <v>235</v>
      </c>
      <c r="K440" s="87"/>
      <c r="L440" s="87"/>
    </row>
    <row r="441" spans="1:12" ht="15" x14ac:dyDescent="0.25">
      <c r="A441" t="s">
        <v>20224</v>
      </c>
      <c r="B441" t="s">
        <v>13785</v>
      </c>
      <c r="C441" t="s">
        <v>13786</v>
      </c>
      <c r="D441" t="s">
        <v>13787</v>
      </c>
      <c r="E441">
        <v>6808</v>
      </c>
      <c r="F441" t="s">
        <v>372</v>
      </c>
      <c r="G441" t="s">
        <v>7</v>
      </c>
      <c r="H441" t="str">
        <f t="shared" si="12"/>
        <v>356808Austin</v>
      </c>
      <c r="I441" t="str">
        <f t="shared" si="13"/>
        <v>35</v>
      </c>
      <c r="J441" s="82">
        <f>IFERROR(INDEX('All Folders'!$A:$A,MATCH(H441,'All Folders'!$G:$G,0),1),"¶")</f>
        <v>238</v>
      </c>
      <c r="K441" s="87"/>
      <c r="L441" s="87"/>
    </row>
    <row r="442" spans="1:12" ht="15" x14ac:dyDescent="0.25">
      <c r="A442" t="s">
        <v>20225</v>
      </c>
      <c r="B442" t="s">
        <v>13788</v>
      </c>
      <c r="C442" t="s">
        <v>13789</v>
      </c>
      <c r="D442" t="s">
        <v>13790</v>
      </c>
      <c r="E442">
        <v>6407</v>
      </c>
      <c r="F442" t="s">
        <v>13791</v>
      </c>
      <c r="G442" t="s">
        <v>7</v>
      </c>
      <c r="H442" t="str">
        <f t="shared" si="12"/>
        <v>Springdale6407Austin</v>
      </c>
      <c r="I442" t="str">
        <f t="shared" si="13"/>
        <v>Springdale</v>
      </c>
      <c r="J442" s="82">
        <f>IFERROR(INDEX('All Folders'!$A:$A,MATCH(H442,'All Folders'!$G:$G,0),1),"¶")</f>
        <v>245</v>
      </c>
      <c r="K442" s="87"/>
      <c r="L442" s="87"/>
    </row>
    <row r="443" spans="1:12" ht="15" x14ac:dyDescent="0.25">
      <c r="A443" t="s">
        <v>20226</v>
      </c>
      <c r="B443" t="s">
        <v>13792</v>
      </c>
      <c r="C443" t="s">
        <v>13793</v>
      </c>
      <c r="D443" t="s">
        <v>13790</v>
      </c>
      <c r="E443">
        <v>554</v>
      </c>
      <c r="F443" t="s">
        <v>517</v>
      </c>
      <c r="G443" t="s">
        <v>7</v>
      </c>
      <c r="H443" t="str">
        <f t="shared" si="12"/>
        <v>Springdale554Austin</v>
      </c>
      <c r="I443" t="str">
        <f t="shared" si="13"/>
        <v>Springdale</v>
      </c>
      <c r="J443" s="82">
        <f>IFERROR(INDEX('All Folders'!$A:$A,MATCH(H443,'All Folders'!$G:$G,0),1),"¶")</f>
        <v>30304</v>
      </c>
      <c r="K443" s="87"/>
      <c r="L443" s="87"/>
    </row>
    <row r="444" spans="1:12" ht="15" x14ac:dyDescent="0.25">
      <c r="A444" t="s">
        <v>20227</v>
      </c>
      <c r="B444" t="s">
        <v>13794</v>
      </c>
      <c r="C444" t="s">
        <v>13795</v>
      </c>
      <c r="D444" t="s">
        <v>13796</v>
      </c>
      <c r="E444">
        <v>8585</v>
      </c>
      <c r="F444" t="s">
        <v>13797</v>
      </c>
      <c r="G444" t="s">
        <v>7</v>
      </c>
      <c r="H444" t="str">
        <f t="shared" si="12"/>
        <v>Spicewood8585Austin</v>
      </c>
      <c r="I444" t="str">
        <f t="shared" si="13"/>
        <v>Spicewood</v>
      </c>
      <c r="J444" s="82">
        <f>IFERROR(INDEX('All Folders'!$A:$A,MATCH(H444,'All Folders'!$G:$G,0),1),"¶")</f>
        <v>466</v>
      </c>
      <c r="K444" s="87"/>
      <c r="L444" s="87"/>
    </row>
    <row r="445" spans="1:12" ht="15" x14ac:dyDescent="0.25">
      <c r="A445" t="s">
        <v>20228</v>
      </c>
      <c r="B445" t="s">
        <v>13798</v>
      </c>
      <c r="C445" t="s">
        <v>13799</v>
      </c>
      <c r="D445" t="s">
        <v>5166</v>
      </c>
      <c r="E445">
        <v>2704</v>
      </c>
      <c r="F445" t="s">
        <v>13800</v>
      </c>
      <c r="G445" t="s">
        <v>7</v>
      </c>
      <c r="H445" t="str">
        <f t="shared" si="12"/>
        <v>Rio2704Austin</v>
      </c>
      <c r="I445" t="str">
        <f t="shared" si="13"/>
        <v>Rio</v>
      </c>
      <c r="J445" s="82">
        <f>IFERROR(INDEX('All Folders'!$A:$A,MATCH(H445,'All Folders'!$G:$G,0),1),"¶")</f>
        <v>17427</v>
      </c>
      <c r="K445" s="87"/>
      <c r="L445" s="87"/>
    </row>
    <row r="446" spans="1:12" ht="15" x14ac:dyDescent="0.25">
      <c r="A446" t="s">
        <v>20229</v>
      </c>
      <c r="B446" t="s">
        <v>13801</v>
      </c>
      <c r="C446" t="s">
        <v>13802</v>
      </c>
      <c r="D446" t="s">
        <v>13579</v>
      </c>
      <c r="E446">
        <v>10401</v>
      </c>
      <c r="F446" t="s">
        <v>13803</v>
      </c>
      <c r="G446" t="s">
        <v>7</v>
      </c>
      <c r="H446" t="str">
        <f t="shared" si="12"/>
        <v>Lamar10401Austin</v>
      </c>
      <c r="I446" t="str">
        <f t="shared" si="13"/>
        <v>Lamar</v>
      </c>
      <c r="J446" s="82">
        <f>IFERROR(INDEX('All Folders'!$A:$A,MATCH(H446,'All Folders'!$G:$G,0),1),"¶")</f>
        <v>251</v>
      </c>
      <c r="K446" s="87"/>
      <c r="L446" s="87"/>
    </row>
    <row r="447" spans="1:12" ht="15" x14ac:dyDescent="0.25">
      <c r="A447" t="s">
        <v>20230</v>
      </c>
      <c r="B447" t="s">
        <v>13804</v>
      </c>
      <c r="C447" t="s">
        <v>13805</v>
      </c>
      <c r="D447" t="s">
        <v>13806</v>
      </c>
      <c r="E447">
        <v>2320</v>
      </c>
      <c r="F447" t="s">
        <v>13807</v>
      </c>
      <c r="G447" t="s">
        <v>7</v>
      </c>
      <c r="H447" t="str">
        <f t="shared" si="12"/>
        <v>Gracy2320Austin</v>
      </c>
      <c r="I447" t="str">
        <f t="shared" si="13"/>
        <v>Gracy</v>
      </c>
      <c r="J447" s="82">
        <f>IFERROR(INDEX('All Folders'!$A:$A,MATCH(H447,'All Folders'!$G:$G,0),1),"¶")</f>
        <v>15909</v>
      </c>
      <c r="K447" s="87"/>
      <c r="L447" s="87"/>
    </row>
    <row r="448" spans="1:12" ht="15" x14ac:dyDescent="0.25">
      <c r="A448" t="s">
        <v>20231</v>
      </c>
      <c r="B448" t="s">
        <v>13808</v>
      </c>
      <c r="C448" t="s">
        <v>13809</v>
      </c>
      <c r="D448" t="s">
        <v>13618</v>
      </c>
      <c r="E448">
        <v>4911</v>
      </c>
      <c r="F448" t="s">
        <v>395</v>
      </c>
      <c r="G448" t="s">
        <v>7</v>
      </c>
      <c r="H448" t="str">
        <f t="shared" si="12"/>
        <v>Manchaca4911Austin</v>
      </c>
      <c r="I448" t="str">
        <f t="shared" si="13"/>
        <v>Manchaca</v>
      </c>
      <c r="J448" s="82">
        <f>IFERROR(INDEX('All Folders'!$A:$A,MATCH(H448,'All Folders'!$G:$G,0),1),"¶")</f>
        <v>255</v>
      </c>
      <c r="K448" s="87"/>
      <c r="L448" s="87"/>
    </row>
    <row r="449" spans="1:12" ht="15" x14ac:dyDescent="0.25">
      <c r="A449" t="s">
        <v>20232</v>
      </c>
      <c r="B449" t="s">
        <v>13810</v>
      </c>
      <c r="C449" t="s">
        <v>13811</v>
      </c>
      <c r="D449" t="s">
        <v>13812</v>
      </c>
      <c r="E449">
        <v>7905</v>
      </c>
      <c r="F449" t="s">
        <v>401</v>
      </c>
      <c r="G449" t="s">
        <v>7</v>
      </c>
      <c r="H449" t="str">
        <f t="shared" si="12"/>
        <v>San7905Austin</v>
      </c>
      <c r="I449" t="str">
        <f t="shared" si="13"/>
        <v>San</v>
      </c>
      <c r="J449" s="82">
        <f>IFERROR(INDEX('All Folders'!$A:$A,MATCH(H449,'All Folders'!$G:$G,0),1),"¶")</f>
        <v>260</v>
      </c>
      <c r="K449" s="87"/>
      <c r="L449" s="87"/>
    </row>
    <row r="450" spans="1:12" ht="15" x14ac:dyDescent="0.25">
      <c r="A450" t="s">
        <v>20233</v>
      </c>
      <c r="B450" t="s">
        <v>13813</v>
      </c>
      <c r="C450" t="s">
        <v>13814</v>
      </c>
      <c r="D450" t="s">
        <v>13815</v>
      </c>
      <c r="E450">
        <v>833</v>
      </c>
      <c r="F450" t="s">
        <v>11734</v>
      </c>
      <c r="G450" t="s">
        <v>7</v>
      </c>
      <c r="H450" t="str">
        <f t="shared" ref="H450:H513" si="14">I450&amp;E450&amp;G450</f>
        <v>Fairfield833Austin</v>
      </c>
      <c r="I450" t="str">
        <f t="shared" ref="I450:I513" si="15">IFERROR(LEFT(D450,FIND(" ",D450)-1),D450)</f>
        <v>Fairfield</v>
      </c>
      <c r="J450" s="82">
        <f>IFERROR(INDEX('All Folders'!$A:$A,MATCH(H450,'All Folders'!$G:$G,0),1),"¶")</f>
        <v>30287</v>
      </c>
      <c r="K450" s="87"/>
      <c r="L450" s="87"/>
    </row>
    <row r="451" spans="1:12" ht="15" x14ac:dyDescent="0.25">
      <c r="A451" t="s">
        <v>20234</v>
      </c>
      <c r="B451" t="s">
        <v>13816</v>
      </c>
      <c r="C451" t="s">
        <v>13817</v>
      </c>
      <c r="D451" t="s">
        <v>1488</v>
      </c>
      <c r="E451">
        <v>2005</v>
      </c>
      <c r="F451" t="s">
        <v>13818</v>
      </c>
      <c r="G451" t="s">
        <v>7</v>
      </c>
      <c r="H451" t="str">
        <f t="shared" si="14"/>
        <v>Willow2005Austin</v>
      </c>
      <c r="I451" t="str">
        <f t="shared" si="15"/>
        <v>Willow</v>
      </c>
      <c r="J451" s="82">
        <f>IFERROR(INDEX('All Folders'!$A:$A,MATCH(H451,'All Folders'!$G:$G,0),1),"¶")</f>
        <v>208</v>
      </c>
      <c r="K451" s="87"/>
      <c r="L451" s="87"/>
    </row>
    <row r="452" spans="1:12" ht="15" x14ac:dyDescent="0.25">
      <c r="A452" t="s">
        <v>20235</v>
      </c>
      <c r="B452" t="s">
        <v>13819</v>
      </c>
      <c r="C452" t="s">
        <v>13820</v>
      </c>
      <c r="D452" t="s">
        <v>13821</v>
      </c>
      <c r="E452">
        <v>2616</v>
      </c>
      <c r="F452" t="s">
        <v>11746</v>
      </c>
      <c r="G452" t="s">
        <v>7</v>
      </c>
      <c r="H452" t="str">
        <f t="shared" si="14"/>
        <v>Salado2616Austin</v>
      </c>
      <c r="I452" t="str">
        <f t="shared" si="15"/>
        <v>Salado</v>
      </c>
      <c r="J452" s="82">
        <f>IFERROR(INDEX('All Folders'!$A:$A,MATCH(H452,'All Folders'!$G:$G,0),1),"¶")</f>
        <v>30303</v>
      </c>
      <c r="K452" s="87"/>
      <c r="L452" s="87"/>
    </row>
    <row r="453" spans="1:12" ht="15" x14ac:dyDescent="0.25">
      <c r="A453" t="s">
        <v>20236</v>
      </c>
      <c r="B453" t="s">
        <v>13822</v>
      </c>
      <c r="C453" t="s">
        <v>13823</v>
      </c>
      <c r="D453" t="s">
        <v>13824</v>
      </c>
      <c r="E453" t="s">
        <v>13825</v>
      </c>
      <c r="F453" t="s">
        <v>13826</v>
      </c>
      <c r="G453" t="s">
        <v>7</v>
      </c>
      <c r="H453" t="str">
        <f t="shared" si="14"/>
        <v>Royal1500-1600Austin</v>
      </c>
      <c r="I453" t="str">
        <f t="shared" si="15"/>
        <v>Royal</v>
      </c>
      <c r="J453" s="88">
        <v>7</v>
      </c>
      <c r="K453" s="87"/>
      <c r="L453" s="87"/>
    </row>
    <row r="454" spans="1:12" ht="15" x14ac:dyDescent="0.25">
      <c r="A454" t="s">
        <v>20237</v>
      </c>
      <c r="B454" t="s">
        <v>13827</v>
      </c>
      <c r="C454" t="s">
        <v>13828</v>
      </c>
      <c r="D454" t="s">
        <v>13829</v>
      </c>
      <c r="E454">
        <v>12001</v>
      </c>
      <c r="F454" t="s">
        <v>3398</v>
      </c>
      <c r="G454" t="s">
        <v>7</v>
      </c>
      <c r="H454" t="str">
        <f t="shared" si="14"/>
        <v>Metric12001Austin</v>
      </c>
      <c r="I454" t="str">
        <f t="shared" si="15"/>
        <v>Metric</v>
      </c>
      <c r="J454" s="82">
        <f>IFERROR(INDEX('All Folders'!$A:$A,MATCH(H454,'All Folders'!$G:$G,0),1),"¶")</f>
        <v>198</v>
      </c>
      <c r="K454" s="87"/>
      <c r="L454" s="87"/>
    </row>
    <row r="455" spans="1:12" ht="15" x14ac:dyDescent="0.25">
      <c r="A455" t="s">
        <v>20238</v>
      </c>
      <c r="B455" t="s">
        <v>13830</v>
      </c>
      <c r="C455" t="s">
        <v>13831</v>
      </c>
      <c r="D455" t="s">
        <v>13832</v>
      </c>
      <c r="E455">
        <v>744</v>
      </c>
      <c r="F455" t="s">
        <v>13833</v>
      </c>
      <c r="G455" t="s">
        <v>7</v>
      </c>
      <c r="H455" t="str">
        <f t="shared" si="14"/>
        <v>William744Austin</v>
      </c>
      <c r="I455" t="str">
        <f t="shared" si="15"/>
        <v>William</v>
      </c>
      <c r="J455" s="82">
        <f>IFERROR(INDEX('All Folders'!$A:$A,MATCH(H455,'All Folders'!$G:$G,0),1),"¶")</f>
        <v>261</v>
      </c>
      <c r="K455" s="87"/>
      <c r="L455" s="87"/>
    </row>
    <row r="456" spans="1:12" ht="15" x14ac:dyDescent="0.25">
      <c r="A456" t="s">
        <v>20239</v>
      </c>
      <c r="B456" t="s">
        <v>13834</v>
      </c>
      <c r="C456" t="s">
        <v>13835</v>
      </c>
      <c r="D456" t="s">
        <v>13836</v>
      </c>
      <c r="E456">
        <v>4600</v>
      </c>
      <c r="F456" t="s">
        <v>13837</v>
      </c>
      <c r="G456" t="s">
        <v>7</v>
      </c>
      <c r="H456" t="str">
        <f t="shared" si="14"/>
        <v>Seton4600Austin</v>
      </c>
      <c r="I456" t="str">
        <f t="shared" si="15"/>
        <v>Seton</v>
      </c>
      <c r="J456" s="82">
        <f>IFERROR(INDEX('All Folders'!$A:$A,MATCH(H456,'All Folders'!$G:$G,0),1),"¶")</f>
        <v>427</v>
      </c>
      <c r="K456" s="87"/>
      <c r="L456" s="87"/>
    </row>
    <row r="457" spans="1:12" ht="15" x14ac:dyDescent="0.25">
      <c r="A457" t="s">
        <v>20240</v>
      </c>
      <c r="B457" t="s">
        <v>13838</v>
      </c>
      <c r="C457" t="s">
        <v>13839</v>
      </c>
      <c r="D457" t="s">
        <v>13840</v>
      </c>
      <c r="E457">
        <v>3501</v>
      </c>
      <c r="F457" t="s">
        <v>13841</v>
      </c>
      <c r="G457" t="s">
        <v>7</v>
      </c>
      <c r="H457" t="str">
        <f t="shared" si="14"/>
        <v>Shoreline3501Austin</v>
      </c>
      <c r="I457" t="str">
        <f t="shared" si="15"/>
        <v>Shoreline</v>
      </c>
      <c r="J457" s="82">
        <f>IFERROR(INDEX('All Folders'!$A:$A,MATCH(H457,'All Folders'!$G:$G,0),1),"¶")</f>
        <v>567</v>
      </c>
      <c r="K457" s="87"/>
      <c r="L457" s="87"/>
    </row>
    <row r="458" spans="1:12" ht="15" x14ac:dyDescent="0.25">
      <c r="A458" t="s">
        <v>20241</v>
      </c>
      <c r="B458" t="s">
        <v>13842</v>
      </c>
      <c r="C458" t="s">
        <v>13843</v>
      </c>
      <c r="D458" t="s">
        <v>13618</v>
      </c>
      <c r="E458">
        <v>3707</v>
      </c>
      <c r="F458" t="s">
        <v>13844</v>
      </c>
      <c r="G458" t="s">
        <v>7</v>
      </c>
      <c r="H458" t="str">
        <f t="shared" si="14"/>
        <v>Manchaca3707Austin</v>
      </c>
      <c r="I458" t="str">
        <f t="shared" si="15"/>
        <v>Manchaca</v>
      </c>
      <c r="J458" s="82">
        <f>IFERROR(INDEX('All Folders'!$A:$A,MATCH(H458,'All Folders'!$G:$G,0),1),"¶")</f>
        <v>93</v>
      </c>
      <c r="K458" s="87"/>
      <c r="L458" s="87"/>
    </row>
    <row r="459" spans="1:12" ht="15" x14ac:dyDescent="0.25">
      <c r="A459" t="s">
        <v>20242</v>
      </c>
      <c r="B459" t="s">
        <v>13845</v>
      </c>
      <c r="C459" t="s">
        <v>13846</v>
      </c>
      <c r="D459" t="s">
        <v>13847</v>
      </c>
      <c r="E459">
        <v>2200</v>
      </c>
      <c r="F459" t="s">
        <v>628</v>
      </c>
      <c r="G459" t="s">
        <v>7</v>
      </c>
      <c r="H459" t="str">
        <f t="shared" si="14"/>
        <v>Panther2200Austin</v>
      </c>
      <c r="I459" t="str">
        <f t="shared" si="15"/>
        <v>Panther</v>
      </c>
      <c r="J459" s="82">
        <f>IFERROR(INDEX('All Folders'!$A:$A,MATCH(H459,'All Folders'!$G:$G,0),1),"¶")</f>
        <v>424</v>
      </c>
      <c r="K459" s="87"/>
      <c r="L459" s="87"/>
    </row>
    <row r="460" spans="1:12" ht="15" x14ac:dyDescent="0.25">
      <c r="A460" t="s">
        <v>20243</v>
      </c>
      <c r="B460" t="s">
        <v>13848</v>
      </c>
      <c r="C460" t="s">
        <v>13849</v>
      </c>
      <c r="D460" t="s">
        <v>13850</v>
      </c>
      <c r="E460" t="s">
        <v>13851</v>
      </c>
      <c r="F460" t="s">
        <v>13852</v>
      </c>
      <c r="G460" t="s">
        <v>7</v>
      </c>
      <c r="H460" t="str">
        <f t="shared" si="14"/>
        <v>Broadmoor1200 &amp; 1201Austin</v>
      </c>
      <c r="I460" t="str">
        <f t="shared" si="15"/>
        <v>Broadmoor</v>
      </c>
      <c r="J460" s="97">
        <v>75</v>
      </c>
      <c r="K460" s="87"/>
      <c r="L460" s="87"/>
    </row>
    <row r="461" spans="1:12" ht="15" x14ac:dyDescent="0.25">
      <c r="A461" t="s">
        <v>20244</v>
      </c>
      <c r="B461" t="s">
        <v>13853</v>
      </c>
      <c r="C461" t="s">
        <v>13854</v>
      </c>
      <c r="D461" t="s">
        <v>13481</v>
      </c>
      <c r="E461">
        <v>9009</v>
      </c>
      <c r="F461" t="s">
        <v>13855</v>
      </c>
      <c r="G461" t="s">
        <v>7</v>
      </c>
      <c r="H461" t="str">
        <f t="shared" si="14"/>
        <v>Great9009Austin</v>
      </c>
      <c r="I461" t="str">
        <f t="shared" si="15"/>
        <v>Great</v>
      </c>
      <c r="J461" s="82">
        <f>IFERROR(INDEX('All Folders'!$A:$A,MATCH(H461,'All Folders'!$G:$G,0),1),"¶")</f>
        <v>121</v>
      </c>
      <c r="K461" s="87"/>
      <c r="L461" s="87"/>
    </row>
    <row r="462" spans="1:12" ht="15" x14ac:dyDescent="0.25">
      <c r="A462" t="s">
        <v>20245</v>
      </c>
      <c r="B462" t="s">
        <v>13856</v>
      </c>
      <c r="C462" t="s">
        <v>13857</v>
      </c>
      <c r="D462" t="s">
        <v>13858</v>
      </c>
      <c r="E462">
        <v>1100</v>
      </c>
      <c r="F462" t="s">
        <v>13859</v>
      </c>
      <c r="G462" t="s">
        <v>7</v>
      </c>
      <c r="H462" t="str">
        <f t="shared" si="14"/>
        <v>Reinli1100Austin</v>
      </c>
      <c r="I462" t="str">
        <f t="shared" si="15"/>
        <v>Reinli</v>
      </c>
      <c r="J462" s="88">
        <v>107</v>
      </c>
      <c r="K462" s="87"/>
      <c r="L462" s="87"/>
    </row>
    <row r="463" spans="1:12" ht="15" x14ac:dyDescent="0.25">
      <c r="A463" t="s">
        <v>20246</v>
      </c>
      <c r="B463" t="s">
        <v>13860</v>
      </c>
      <c r="C463" t="s">
        <v>13861</v>
      </c>
      <c r="D463" t="s">
        <v>13862</v>
      </c>
      <c r="E463">
        <v>1215</v>
      </c>
      <c r="F463" t="s">
        <v>13863</v>
      </c>
      <c r="G463" t="s">
        <v>7</v>
      </c>
      <c r="H463" t="str">
        <f t="shared" si="14"/>
        <v>Slaughter1215Austin</v>
      </c>
      <c r="I463" t="str">
        <f t="shared" si="15"/>
        <v>Slaughter</v>
      </c>
      <c r="J463" s="82">
        <f>IFERROR(INDEX('All Folders'!$A:$A,MATCH(H463,'All Folders'!$G:$G,0),1),"¶")</f>
        <v>15874</v>
      </c>
      <c r="K463" s="87"/>
      <c r="L463" s="87"/>
    </row>
    <row r="464" spans="1:12" ht="15" x14ac:dyDescent="0.25">
      <c r="A464" t="s">
        <v>20247</v>
      </c>
      <c r="B464" t="s">
        <v>13864</v>
      </c>
      <c r="C464" t="s">
        <v>13865</v>
      </c>
      <c r="D464" t="s">
        <v>13866</v>
      </c>
      <c r="E464">
        <v>8054</v>
      </c>
      <c r="F464" t="s">
        <v>13867</v>
      </c>
      <c r="G464" t="s">
        <v>7</v>
      </c>
      <c r="H464" t="str">
        <f t="shared" si="14"/>
        <v>Exchange8054Austin</v>
      </c>
      <c r="I464" t="str">
        <f t="shared" si="15"/>
        <v>Exchange</v>
      </c>
      <c r="J464" s="82">
        <f>IFERROR(INDEX('All Folders'!$A:$A,MATCH(H464,'All Folders'!$G:$G,0),1),"¶")</f>
        <v>505</v>
      </c>
      <c r="K464" s="87"/>
      <c r="L464" s="87"/>
    </row>
    <row r="465" spans="1:12" ht="15" x14ac:dyDescent="0.25">
      <c r="A465" t="s">
        <v>20248</v>
      </c>
      <c r="B465" t="s">
        <v>13868</v>
      </c>
      <c r="C465" t="s">
        <v>13869</v>
      </c>
      <c r="D465" t="s">
        <v>13870</v>
      </c>
      <c r="E465">
        <v>6805</v>
      </c>
      <c r="F465" t="s">
        <v>327</v>
      </c>
      <c r="G465" t="s">
        <v>7</v>
      </c>
      <c r="H465" t="str">
        <f t="shared" si="14"/>
        <v>Woodhollow6805Austin</v>
      </c>
      <c r="I465" t="str">
        <f t="shared" si="15"/>
        <v>Woodhollow</v>
      </c>
      <c r="J465" s="88">
        <v>203</v>
      </c>
      <c r="K465" s="87"/>
      <c r="L465" s="87"/>
    </row>
    <row r="466" spans="1:12" ht="15" x14ac:dyDescent="0.25">
      <c r="A466" t="s">
        <v>20250</v>
      </c>
      <c r="B466" t="s">
        <v>13874</v>
      </c>
      <c r="C466" t="s">
        <v>13875</v>
      </c>
      <c r="D466" t="s">
        <v>13806</v>
      </c>
      <c r="E466">
        <v>2600</v>
      </c>
      <c r="F466" t="s">
        <v>346</v>
      </c>
      <c r="G466" t="s">
        <v>7</v>
      </c>
      <c r="H466" t="str">
        <f t="shared" si="14"/>
        <v>Gracy2600Austin</v>
      </c>
      <c r="I466" t="str">
        <f t="shared" si="15"/>
        <v>Gracy</v>
      </c>
      <c r="J466" s="82">
        <f>IFERROR(INDEX('All Folders'!$A:$A,MATCH(H466,'All Folders'!$G:$G,0),1),"¶")</f>
        <v>218</v>
      </c>
      <c r="K466" s="87"/>
      <c r="L466" s="87"/>
    </row>
    <row r="467" spans="1:12" ht="15" x14ac:dyDescent="0.25">
      <c r="A467" t="s">
        <v>20251</v>
      </c>
      <c r="B467" t="s">
        <v>13876</v>
      </c>
      <c r="C467" t="s">
        <v>13877</v>
      </c>
      <c r="D467" t="s">
        <v>13695</v>
      </c>
      <c r="E467">
        <v>2124</v>
      </c>
      <c r="F467" t="s">
        <v>13878</v>
      </c>
      <c r="G467" t="s">
        <v>7</v>
      </c>
      <c r="H467" t="str">
        <f t="shared" si="14"/>
        <v>Burton2124Austin</v>
      </c>
      <c r="I467" t="str">
        <f t="shared" si="15"/>
        <v>Burton</v>
      </c>
      <c r="J467" s="82">
        <f>IFERROR(INDEX('All Folders'!$A:$A,MATCH(H467,'All Folders'!$G:$G,0),1),"¶")</f>
        <v>11</v>
      </c>
      <c r="K467" s="87"/>
      <c r="L467" s="87"/>
    </row>
    <row r="468" spans="1:12" ht="15" x14ac:dyDescent="0.25">
      <c r="A468" t="s">
        <v>20252</v>
      </c>
      <c r="B468" t="s">
        <v>13879</v>
      </c>
      <c r="C468" t="s">
        <v>13880</v>
      </c>
      <c r="D468" t="s">
        <v>13881</v>
      </c>
      <c r="E468">
        <v>1071</v>
      </c>
      <c r="F468" t="s">
        <v>13882</v>
      </c>
      <c r="G468" t="s">
        <v>7</v>
      </c>
      <c r="H468" t="str">
        <f t="shared" si="14"/>
        <v>Clayton1071Austin</v>
      </c>
      <c r="I468" t="str">
        <f t="shared" si="15"/>
        <v>Clayton</v>
      </c>
      <c r="J468" s="82">
        <f>IFERROR(INDEX('All Folders'!$A:$A,MATCH(H468,'All Folders'!$G:$G,0),1),"¶")</f>
        <v>281</v>
      </c>
      <c r="K468" s="87"/>
      <c r="L468" s="87"/>
    </row>
    <row r="469" spans="1:12" ht="15" x14ac:dyDescent="0.25">
      <c r="A469" t="s">
        <v>20253</v>
      </c>
      <c r="B469" t="s">
        <v>13883</v>
      </c>
      <c r="C469" t="s">
        <v>13884</v>
      </c>
      <c r="D469" t="s">
        <v>13885</v>
      </c>
      <c r="E469">
        <v>910</v>
      </c>
      <c r="F469" t="s">
        <v>11730</v>
      </c>
      <c r="G469" t="s">
        <v>7</v>
      </c>
      <c r="H469" t="str">
        <f t="shared" si="14"/>
        <v>40th910Austin</v>
      </c>
      <c r="I469" t="str">
        <f t="shared" si="15"/>
        <v>40th</v>
      </c>
      <c r="J469" s="82">
        <f>IFERROR(INDEX('All Folders'!$A:$A,MATCH(H469,'All Folders'!$G:$G,0),1),"¶")</f>
        <v>30285</v>
      </c>
      <c r="K469" s="87"/>
      <c r="L469" s="87"/>
    </row>
    <row r="470" spans="1:12" ht="15" x14ac:dyDescent="0.25">
      <c r="A470" t="s">
        <v>20254</v>
      </c>
      <c r="B470" t="s">
        <v>13886</v>
      </c>
      <c r="C470" t="s">
        <v>13887</v>
      </c>
      <c r="D470" t="s">
        <v>13888</v>
      </c>
      <c r="E470">
        <v>1600</v>
      </c>
      <c r="F470" t="s">
        <v>13889</v>
      </c>
      <c r="G470" t="s">
        <v>7</v>
      </c>
      <c r="H470" t="str">
        <f t="shared" si="14"/>
        <v>Wickersham1600Austin</v>
      </c>
      <c r="I470" t="str">
        <f t="shared" si="15"/>
        <v>Wickersham</v>
      </c>
      <c r="J470" s="82">
        <f>IFERROR(INDEX('All Folders'!$A:$A,MATCH(H470,'All Folders'!$G:$G,0),1),"¶")</f>
        <v>507</v>
      </c>
      <c r="K470" s="87"/>
      <c r="L470" s="87"/>
    </row>
    <row r="471" spans="1:12" ht="15" x14ac:dyDescent="0.25">
      <c r="A471" t="s">
        <v>20255</v>
      </c>
      <c r="B471" t="s">
        <v>13890</v>
      </c>
      <c r="C471" t="s">
        <v>13891</v>
      </c>
      <c r="D471" t="s">
        <v>13824</v>
      </c>
      <c r="E471">
        <v>1616</v>
      </c>
      <c r="F471" t="s">
        <v>328</v>
      </c>
      <c r="G471" t="s">
        <v>7</v>
      </c>
      <c r="H471" t="str">
        <f t="shared" si="14"/>
        <v>Royal1616Austin</v>
      </c>
      <c r="I471" t="str">
        <f t="shared" si="15"/>
        <v>Royal</v>
      </c>
      <c r="J471" s="82">
        <f>IFERROR(INDEX('All Folders'!$A:$A,MATCH(H471,'All Folders'!$G:$G,0),1),"¶")</f>
        <v>204</v>
      </c>
      <c r="K471" s="87"/>
      <c r="L471" s="87"/>
    </row>
    <row r="472" spans="1:12" ht="15" x14ac:dyDescent="0.25">
      <c r="A472" t="s">
        <v>20256</v>
      </c>
      <c r="B472" t="s">
        <v>13892</v>
      </c>
      <c r="C472" t="s">
        <v>13893</v>
      </c>
      <c r="D472" t="s">
        <v>13469</v>
      </c>
      <c r="E472">
        <v>9500</v>
      </c>
      <c r="F472" t="s">
        <v>777</v>
      </c>
      <c r="G472" t="s">
        <v>7</v>
      </c>
      <c r="H472" t="str">
        <f t="shared" si="14"/>
        <v>Parmer9500Austin</v>
      </c>
      <c r="I472" t="str">
        <f t="shared" si="15"/>
        <v>Parmer</v>
      </c>
      <c r="J472" s="82">
        <f>IFERROR(INDEX('All Folders'!$A:$A,MATCH(H472,'All Folders'!$G:$G,0),1),"¶")</f>
        <v>540</v>
      </c>
      <c r="K472" s="87"/>
      <c r="L472" s="87"/>
    </row>
    <row r="473" spans="1:12" ht="15" x14ac:dyDescent="0.25">
      <c r="A473" t="s">
        <v>20257</v>
      </c>
      <c r="B473" t="s">
        <v>13894</v>
      </c>
      <c r="C473" t="s">
        <v>13895</v>
      </c>
      <c r="D473" t="s">
        <v>693</v>
      </c>
      <c r="E473">
        <v>1500</v>
      </c>
      <c r="F473" t="s">
        <v>788</v>
      </c>
      <c r="G473" t="s">
        <v>7</v>
      </c>
      <c r="H473" t="str">
        <f t="shared" si="14"/>
        <v>Crossing1500Austin</v>
      </c>
      <c r="I473" t="str">
        <f t="shared" si="15"/>
        <v>Crossing</v>
      </c>
      <c r="J473" s="82">
        <f>IFERROR(INDEX('All Folders'!$A:$A,MATCH(H473,'All Folders'!$G:$G,0),1),"¶")</f>
        <v>549</v>
      </c>
      <c r="K473" s="87"/>
      <c r="L473" s="87"/>
    </row>
    <row r="474" spans="1:12" ht="15" x14ac:dyDescent="0.25">
      <c r="A474" t="s">
        <v>20258</v>
      </c>
      <c r="B474" t="s">
        <v>13896</v>
      </c>
      <c r="C474" t="s">
        <v>13897</v>
      </c>
      <c r="D474" t="s">
        <v>13898</v>
      </c>
      <c r="E474">
        <v>12800</v>
      </c>
      <c r="F474" t="s">
        <v>13899</v>
      </c>
      <c r="G474" t="s">
        <v>7</v>
      </c>
      <c r="H474" t="str">
        <f t="shared" si="14"/>
        <v>Turtle12800Austin</v>
      </c>
      <c r="I474" t="str">
        <f t="shared" si="15"/>
        <v>Turtle</v>
      </c>
      <c r="J474" s="89">
        <f>IFERROR(INDEX('All Folders'!$A:$A,MATCH(H474,'All Folders'!$G:$G,0),1),"¶")</f>
        <v>18777</v>
      </c>
      <c r="K474" s="87"/>
      <c r="L474" s="87"/>
    </row>
    <row r="475" spans="1:12" ht="15" x14ac:dyDescent="0.25">
      <c r="A475" t="s">
        <v>20259</v>
      </c>
      <c r="B475" t="s">
        <v>13900</v>
      </c>
      <c r="C475" t="s">
        <v>13901</v>
      </c>
      <c r="D475" t="s">
        <v>13579</v>
      </c>
      <c r="E475">
        <v>12820</v>
      </c>
      <c r="F475" t="s">
        <v>13902</v>
      </c>
      <c r="G475" t="s">
        <v>7</v>
      </c>
      <c r="H475" t="str">
        <f t="shared" si="14"/>
        <v>Lamar12820Austin</v>
      </c>
      <c r="I475" t="str">
        <f t="shared" si="15"/>
        <v>Lamar</v>
      </c>
      <c r="J475" s="97">
        <v>15930</v>
      </c>
      <c r="K475" s="87"/>
      <c r="L475" s="87"/>
    </row>
    <row r="476" spans="1:12" ht="15" x14ac:dyDescent="0.25">
      <c r="A476" t="s">
        <v>20260</v>
      </c>
      <c r="B476" t="s">
        <v>13903</v>
      </c>
      <c r="C476" t="s">
        <v>13904</v>
      </c>
      <c r="D476" t="s">
        <v>13579</v>
      </c>
      <c r="E476">
        <v>9036</v>
      </c>
      <c r="F476" t="s">
        <v>13905</v>
      </c>
      <c r="G476" t="s">
        <v>7</v>
      </c>
      <c r="H476" t="str">
        <f t="shared" si="14"/>
        <v>Lamar9036Austin</v>
      </c>
      <c r="I476" t="str">
        <f t="shared" si="15"/>
        <v>Lamar</v>
      </c>
      <c r="J476" s="82">
        <f>IFERROR(INDEX('All Folders'!$A:$A,MATCH(H476,'All Folders'!$G:$G,0),1),"¶")</f>
        <v>290</v>
      </c>
      <c r="K476" s="87"/>
      <c r="L476" s="87"/>
    </row>
    <row r="477" spans="1:12" ht="15" x14ac:dyDescent="0.25">
      <c r="A477" t="s">
        <v>20261</v>
      </c>
      <c r="B477" t="s">
        <v>13906</v>
      </c>
      <c r="C477" t="s">
        <v>13907</v>
      </c>
      <c r="D477" t="s">
        <v>8654</v>
      </c>
      <c r="E477">
        <v>2810</v>
      </c>
      <c r="F477" t="s">
        <v>13908</v>
      </c>
      <c r="G477" t="s">
        <v>7</v>
      </c>
      <c r="H477" t="str">
        <f t="shared" si="14"/>
        <v>Hemphill2810Austin</v>
      </c>
      <c r="I477" t="str">
        <f t="shared" si="15"/>
        <v>Hemphill</v>
      </c>
      <c r="J477" s="82">
        <f>IFERROR(INDEX('All Folders'!$A:$A,MATCH(H477,'All Folders'!$G:$G,0),1),"¶")</f>
        <v>16151</v>
      </c>
      <c r="K477" s="87"/>
      <c r="L477" s="87"/>
    </row>
    <row r="478" spans="1:12" ht="15" x14ac:dyDescent="0.25">
      <c r="A478" t="s">
        <v>20262</v>
      </c>
      <c r="B478" t="s">
        <v>13909</v>
      </c>
      <c r="C478" t="s">
        <v>13910</v>
      </c>
      <c r="D478" t="s">
        <v>13911</v>
      </c>
      <c r="E478">
        <v>2215</v>
      </c>
      <c r="F478" t="s">
        <v>13912</v>
      </c>
      <c r="G478" t="s">
        <v>7</v>
      </c>
      <c r="H478" t="str">
        <f t="shared" si="14"/>
        <v>Town2215Austin</v>
      </c>
      <c r="I478" t="str">
        <f t="shared" si="15"/>
        <v>Town</v>
      </c>
      <c r="J478" s="89">
        <f>IFERROR(INDEX('All Folders'!$A:$A,MATCH(H478,'All Folders'!$G:$G,0),1),"¶")</f>
        <v>30</v>
      </c>
      <c r="K478" s="87"/>
      <c r="L478" s="87"/>
    </row>
    <row r="479" spans="1:12" ht="15" x14ac:dyDescent="0.25">
      <c r="A479" t="s">
        <v>20263</v>
      </c>
      <c r="B479" t="s">
        <v>13913</v>
      </c>
      <c r="C479" t="s">
        <v>13914</v>
      </c>
      <c r="D479" t="s">
        <v>13779</v>
      </c>
      <c r="E479">
        <v>8025</v>
      </c>
      <c r="F479" t="s">
        <v>13915</v>
      </c>
      <c r="G479" t="s">
        <v>7</v>
      </c>
      <c r="H479" t="str">
        <f t="shared" si="14"/>
        <v>6208025Austin</v>
      </c>
      <c r="I479" t="str">
        <f t="shared" si="15"/>
        <v>620</v>
      </c>
      <c r="J479" s="82">
        <f>IFERROR(INDEX('All Folders'!$A:$A,MATCH(H479,'All Folders'!$G:$G,0),1),"¶")</f>
        <v>559</v>
      </c>
      <c r="K479" s="87"/>
      <c r="L479" s="87"/>
    </row>
    <row r="480" spans="1:12" ht="15" x14ac:dyDescent="0.25">
      <c r="A480" t="s">
        <v>20264</v>
      </c>
      <c r="B480" t="s">
        <v>13916</v>
      </c>
      <c r="C480" t="s">
        <v>13917</v>
      </c>
      <c r="D480" t="s">
        <v>13918</v>
      </c>
      <c r="E480">
        <v>6804</v>
      </c>
      <c r="F480" t="s">
        <v>13919</v>
      </c>
      <c r="G480" t="s">
        <v>7</v>
      </c>
      <c r="H480" t="str">
        <f t="shared" si="14"/>
        <v>Capital6804Austin</v>
      </c>
      <c r="I480" t="str">
        <f t="shared" si="15"/>
        <v>Capital</v>
      </c>
      <c r="J480" s="82">
        <f>IFERROR(INDEX('All Folders'!$A:$A,MATCH(H480,'All Folders'!$G:$G,0),1),"¶")</f>
        <v>404</v>
      </c>
      <c r="K480" s="87"/>
      <c r="L480" s="87"/>
    </row>
    <row r="481" spans="1:12" ht="15" x14ac:dyDescent="0.25">
      <c r="A481" t="s">
        <v>20265</v>
      </c>
      <c r="B481" t="s">
        <v>13920</v>
      </c>
      <c r="C481" t="s">
        <v>13921</v>
      </c>
      <c r="D481" t="s">
        <v>13922</v>
      </c>
      <c r="E481">
        <v>1781</v>
      </c>
      <c r="F481" t="s">
        <v>13923</v>
      </c>
      <c r="G481" t="s">
        <v>7</v>
      </c>
      <c r="H481" t="str">
        <f t="shared" si="14"/>
        <v>Spyglass1781Austin</v>
      </c>
      <c r="I481" t="str">
        <f t="shared" si="15"/>
        <v>Spyglass</v>
      </c>
      <c r="J481" s="82">
        <f>IFERROR(INDEX('All Folders'!$A:$A,MATCH(H481,'All Folders'!$G:$G,0),1),"¶")</f>
        <v>247</v>
      </c>
      <c r="K481" s="87"/>
      <c r="L481" s="87"/>
    </row>
    <row r="482" spans="1:12" ht="15" x14ac:dyDescent="0.25">
      <c r="A482" t="s">
        <v>20266</v>
      </c>
      <c r="B482" t="s">
        <v>13924</v>
      </c>
      <c r="C482" t="s">
        <v>13925</v>
      </c>
      <c r="D482" t="s">
        <v>13695</v>
      </c>
      <c r="E482">
        <v>1900</v>
      </c>
      <c r="F482" t="s">
        <v>13926</v>
      </c>
      <c r="G482" t="s">
        <v>7</v>
      </c>
      <c r="H482" t="str">
        <f t="shared" si="14"/>
        <v>Burton1900Austin</v>
      </c>
      <c r="I482" t="str">
        <f t="shared" si="15"/>
        <v>Burton</v>
      </c>
      <c r="J482" s="82">
        <f>IFERROR(INDEX('All Folders'!$A:$A,MATCH(H482,'All Folders'!$G:$G,0),1),"¶")</f>
        <v>122</v>
      </c>
      <c r="K482" s="87"/>
      <c r="L482" s="87"/>
    </row>
    <row r="483" spans="1:12" ht="15" x14ac:dyDescent="0.25">
      <c r="A483" t="s">
        <v>20267</v>
      </c>
      <c r="B483" t="s">
        <v>13927</v>
      </c>
      <c r="C483" t="s">
        <v>13928</v>
      </c>
      <c r="D483" t="s">
        <v>13766</v>
      </c>
      <c r="E483">
        <v>8312</v>
      </c>
      <c r="F483" t="s">
        <v>467</v>
      </c>
      <c r="G483" t="s">
        <v>7</v>
      </c>
      <c r="H483" t="str">
        <f t="shared" si="14"/>
        <v>358312Austin</v>
      </c>
      <c r="I483" t="str">
        <f t="shared" si="15"/>
        <v>35</v>
      </c>
      <c r="J483" s="82">
        <f>IFERROR(INDEX('All Folders'!$A:$A,MATCH(H483,'All Folders'!$G:$G,0),1),"¶")</f>
        <v>313</v>
      </c>
      <c r="K483" s="87"/>
      <c r="L483" s="87"/>
    </row>
    <row r="484" spans="1:12" ht="15" x14ac:dyDescent="0.25">
      <c r="A484" t="s">
        <v>20268</v>
      </c>
      <c r="B484" t="s">
        <v>13929</v>
      </c>
      <c r="C484" t="s">
        <v>13930</v>
      </c>
      <c r="D484" t="s">
        <v>13525</v>
      </c>
      <c r="E484">
        <v>3505</v>
      </c>
      <c r="F484" t="s">
        <v>472</v>
      </c>
      <c r="G484" t="s">
        <v>7</v>
      </c>
      <c r="H484" t="str">
        <f t="shared" si="14"/>
        <v>Lamar3505Austin</v>
      </c>
      <c r="I484" t="str">
        <f t="shared" si="15"/>
        <v>Lamar</v>
      </c>
      <c r="J484" s="82">
        <f>IFERROR(INDEX('All Folders'!$A:$A,MATCH(H484,'All Folders'!$G:$G,0),1),"¶")</f>
        <v>317</v>
      </c>
      <c r="K484" s="87"/>
      <c r="L484" s="87"/>
    </row>
    <row r="485" spans="1:12" ht="15" x14ac:dyDescent="0.25">
      <c r="A485" t="s">
        <v>20269</v>
      </c>
      <c r="B485" t="s">
        <v>13931</v>
      </c>
      <c r="C485" t="s">
        <v>13932</v>
      </c>
      <c r="D485" t="s">
        <v>13933</v>
      </c>
      <c r="E485">
        <v>517</v>
      </c>
      <c r="F485" t="s">
        <v>13934</v>
      </c>
      <c r="G485" t="s">
        <v>7790</v>
      </c>
      <c r="H485" t="str">
        <f t="shared" si="14"/>
        <v>Main517Azle</v>
      </c>
      <c r="I485" t="str">
        <f t="shared" si="15"/>
        <v>Main</v>
      </c>
      <c r="J485" s="82" t="str">
        <f>IFERROR(INDEX('All Folders'!$A:$A,MATCH(H485,'All Folders'!$G:$G,0),1),"¶")</f>
        <v>SP12</v>
      </c>
      <c r="K485" s="87"/>
      <c r="L485" s="87"/>
    </row>
    <row r="486" spans="1:12" ht="15" x14ac:dyDescent="0.25">
      <c r="A486" t="s">
        <v>20270</v>
      </c>
      <c r="B486" t="s">
        <v>13935</v>
      </c>
      <c r="C486" t="s">
        <v>13936</v>
      </c>
      <c r="D486" t="s">
        <v>13937</v>
      </c>
      <c r="E486">
        <v>1021</v>
      </c>
      <c r="F486" t="s">
        <v>7876</v>
      </c>
      <c r="G486" t="s">
        <v>7790</v>
      </c>
      <c r="H486" t="str">
        <f t="shared" si="14"/>
        <v>Timber1021Azle</v>
      </c>
      <c r="I486" t="str">
        <f t="shared" si="15"/>
        <v>Timber</v>
      </c>
      <c r="J486" s="97">
        <v>15447</v>
      </c>
      <c r="K486" s="87"/>
      <c r="L486" s="87"/>
    </row>
    <row r="487" spans="1:12" ht="15" x14ac:dyDescent="0.25">
      <c r="A487" t="s">
        <v>20271</v>
      </c>
      <c r="B487" t="s">
        <v>13938</v>
      </c>
      <c r="C487" t="s">
        <v>13939</v>
      </c>
      <c r="D487" t="s">
        <v>13940</v>
      </c>
      <c r="E487">
        <v>133</v>
      </c>
      <c r="F487" t="s">
        <v>13941</v>
      </c>
      <c r="G487" t="s">
        <v>7790</v>
      </c>
      <c r="H487" t="str">
        <f t="shared" si="14"/>
        <v>Boyd133Azle</v>
      </c>
      <c r="I487" t="str">
        <f t="shared" si="15"/>
        <v>Boyd</v>
      </c>
      <c r="J487" s="82">
        <f>IFERROR(INDEX('All Folders'!$A:$A,MATCH(H487,'All Folders'!$G:$G,0),1),"¶")</f>
        <v>30020</v>
      </c>
      <c r="K487" s="87"/>
      <c r="L487" s="87"/>
    </row>
    <row r="488" spans="1:12" ht="15" x14ac:dyDescent="0.25">
      <c r="A488" t="s">
        <v>20272</v>
      </c>
      <c r="B488" t="s">
        <v>13942</v>
      </c>
      <c r="C488" t="s">
        <v>13943</v>
      </c>
      <c r="D488" t="s">
        <v>13944</v>
      </c>
      <c r="E488">
        <v>12904</v>
      </c>
      <c r="F488" t="s">
        <v>13945</v>
      </c>
      <c r="G488" t="s">
        <v>5012</v>
      </c>
      <c r="H488" t="str">
        <f t="shared" si="14"/>
        <v>Elam12904Balch Springs</v>
      </c>
      <c r="I488" t="str">
        <f t="shared" si="15"/>
        <v>Elam</v>
      </c>
      <c r="J488" s="82" t="str">
        <f>IFERROR(INDEX('All Folders'!$A:$A,MATCH(H488,'All Folders'!$G:$G,0),1),"¶")</f>
        <v>SP13</v>
      </c>
      <c r="K488" s="87"/>
      <c r="L488" s="87"/>
    </row>
    <row r="489" spans="1:12" ht="15" x14ac:dyDescent="0.25">
      <c r="A489" t="s">
        <v>20273</v>
      </c>
      <c r="B489" t="s">
        <v>13946</v>
      </c>
      <c r="C489" t="s">
        <v>13947</v>
      </c>
      <c r="D489" t="s">
        <v>13948</v>
      </c>
      <c r="E489">
        <v>3301</v>
      </c>
      <c r="F489" t="s">
        <v>13949</v>
      </c>
      <c r="G489" t="s">
        <v>5012</v>
      </c>
      <c r="H489" t="str">
        <f t="shared" si="14"/>
        <v>Glenshire3301Balch Springs</v>
      </c>
      <c r="I489" t="str">
        <f t="shared" si="15"/>
        <v>Glenshire</v>
      </c>
      <c r="J489" s="82">
        <f>IFERROR(INDEX('All Folders'!$A:$A,MATCH(H489,'All Folders'!$G:$G,0),1),"¶")</f>
        <v>13903</v>
      </c>
      <c r="K489" s="87"/>
      <c r="L489" s="87"/>
    </row>
    <row r="490" spans="1:12" ht="15" x14ac:dyDescent="0.25">
      <c r="A490" t="s">
        <v>20274</v>
      </c>
      <c r="B490" t="s">
        <v>13950</v>
      </c>
      <c r="C490" t="s">
        <v>13951</v>
      </c>
      <c r="D490" t="s">
        <v>13952</v>
      </c>
      <c r="E490">
        <v>12222</v>
      </c>
      <c r="F490" t="s">
        <v>13953</v>
      </c>
      <c r="G490" t="s">
        <v>5012</v>
      </c>
      <c r="H490" t="str">
        <f t="shared" si="14"/>
        <v>Quail12222Balch Springs</v>
      </c>
      <c r="I490" t="str">
        <f t="shared" si="15"/>
        <v>Quail</v>
      </c>
      <c r="J490" s="82">
        <f>IFERROR(INDEX('All Folders'!$A:$A,MATCH(H490,'All Folders'!$G:$G,0),1),"¶")</f>
        <v>13904</v>
      </c>
      <c r="K490" s="87"/>
      <c r="L490" s="87"/>
    </row>
    <row r="491" spans="1:12" ht="15" x14ac:dyDescent="0.25">
      <c r="A491" t="s">
        <v>20275</v>
      </c>
      <c r="B491" t="s">
        <v>13954</v>
      </c>
      <c r="C491" t="s">
        <v>13955</v>
      </c>
      <c r="D491" t="s">
        <v>13956</v>
      </c>
      <c r="E491">
        <v>4614</v>
      </c>
      <c r="F491" t="s">
        <v>13957</v>
      </c>
      <c r="G491" t="s">
        <v>5012</v>
      </c>
      <c r="H491" t="str">
        <f t="shared" si="14"/>
        <v>Pioneer4614Balch Springs</v>
      </c>
      <c r="I491" t="str">
        <f t="shared" si="15"/>
        <v>Pioneer</v>
      </c>
      <c r="J491" s="82">
        <f>IFERROR(INDEX('All Folders'!$A:$A,MATCH(H491,'All Folders'!$G:$G,0),1),"¶")</f>
        <v>13790</v>
      </c>
      <c r="K491" s="87"/>
      <c r="L491" s="87"/>
    </row>
    <row r="492" spans="1:12" ht="15" x14ac:dyDescent="0.25">
      <c r="A492" t="s">
        <v>20276</v>
      </c>
      <c r="B492" t="s">
        <v>13958</v>
      </c>
      <c r="C492" t="s">
        <v>13959</v>
      </c>
      <c r="D492" t="s">
        <v>13952</v>
      </c>
      <c r="E492">
        <v>12725</v>
      </c>
      <c r="F492" t="s">
        <v>13960</v>
      </c>
      <c r="G492" t="s">
        <v>5012</v>
      </c>
      <c r="H492" t="str">
        <f t="shared" si="14"/>
        <v>Quail12725Balch Springs</v>
      </c>
      <c r="I492" t="str">
        <f t="shared" si="15"/>
        <v>Quail</v>
      </c>
      <c r="J492" s="88">
        <v>13907</v>
      </c>
      <c r="K492" s="87"/>
      <c r="L492" s="87"/>
    </row>
    <row r="493" spans="1:12" ht="15" x14ac:dyDescent="0.25">
      <c r="A493" t="s">
        <v>20277</v>
      </c>
      <c r="B493" t="s">
        <v>13961</v>
      </c>
      <c r="C493" t="s">
        <v>13962</v>
      </c>
      <c r="D493" t="s">
        <v>13963</v>
      </c>
      <c r="E493">
        <v>500</v>
      </c>
      <c r="F493" t="s">
        <v>13964</v>
      </c>
      <c r="G493" t="s">
        <v>5012</v>
      </c>
      <c r="H493" t="str">
        <f t="shared" si="14"/>
        <v>Cartwright500Balch Springs</v>
      </c>
      <c r="I493" t="str">
        <f t="shared" si="15"/>
        <v>Cartwright</v>
      </c>
      <c r="J493" s="82">
        <f>IFERROR(INDEX('All Folders'!$A:$A,MATCH(H493,'All Folders'!$G:$G,0),1),"¶")</f>
        <v>16306</v>
      </c>
      <c r="K493" s="87"/>
      <c r="L493" s="87"/>
    </row>
    <row r="494" spans="1:12" ht="15" x14ac:dyDescent="0.25">
      <c r="A494" t="s">
        <v>20278</v>
      </c>
      <c r="B494" t="s">
        <v>13965</v>
      </c>
      <c r="C494" t="s">
        <v>13966</v>
      </c>
      <c r="D494" t="s">
        <v>13967</v>
      </c>
      <c r="E494">
        <v>5001</v>
      </c>
      <c r="F494" t="s">
        <v>12072</v>
      </c>
      <c r="G494" t="s">
        <v>4987</v>
      </c>
      <c r="H494" t="str">
        <f t="shared" si="14"/>
        <v>Avenue5001Bay City</v>
      </c>
      <c r="I494" t="str">
        <f t="shared" si="15"/>
        <v>Avenue</v>
      </c>
      <c r="J494" s="88">
        <v>30518</v>
      </c>
      <c r="K494" s="87"/>
      <c r="L494" s="87"/>
    </row>
    <row r="495" spans="1:12" ht="15" x14ac:dyDescent="0.25">
      <c r="A495" t="s">
        <v>20279</v>
      </c>
      <c r="B495" t="s">
        <v>13968</v>
      </c>
      <c r="C495" t="s">
        <v>13969</v>
      </c>
      <c r="D495" t="s">
        <v>13970</v>
      </c>
      <c r="E495">
        <v>1700</v>
      </c>
      <c r="F495" t="s">
        <v>12074</v>
      </c>
      <c r="G495" t="s">
        <v>4987</v>
      </c>
      <c r="H495" t="str">
        <f t="shared" si="14"/>
        <v>Baywood1700Bay City</v>
      </c>
      <c r="I495" t="str">
        <f t="shared" si="15"/>
        <v>Baywood</v>
      </c>
      <c r="J495" s="89">
        <f>IFERROR(INDEX('All Folders'!$A:$A,MATCH(H495,'All Folders'!$G:$G,0),1),"¶")</f>
        <v>30519</v>
      </c>
      <c r="K495" s="87"/>
      <c r="L495" s="87"/>
    </row>
    <row r="496" spans="1:12" ht="15" x14ac:dyDescent="0.25">
      <c r="A496" t="s">
        <v>20280</v>
      </c>
      <c r="B496" t="s">
        <v>13971</v>
      </c>
      <c r="C496" t="s">
        <v>13972</v>
      </c>
      <c r="D496" t="s">
        <v>13973</v>
      </c>
      <c r="E496">
        <v>1909</v>
      </c>
      <c r="F496" t="s">
        <v>13974</v>
      </c>
      <c r="G496" t="s">
        <v>4987</v>
      </c>
      <c r="H496" t="str">
        <f t="shared" si="14"/>
        <v>Hamman1909Bay City</v>
      </c>
      <c r="I496" t="str">
        <f t="shared" si="15"/>
        <v>Hamman</v>
      </c>
      <c r="J496" s="89">
        <f>IFERROR(INDEX('All Folders'!$A:$A,MATCH(H496,'All Folders'!$G:$G,0),1),"¶")</f>
        <v>30521</v>
      </c>
      <c r="K496" s="87"/>
      <c r="L496" s="87"/>
    </row>
    <row r="497" spans="1:12" ht="15" x14ac:dyDescent="0.25">
      <c r="A497" t="s">
        <v>20281</v>
      </c>
      <c r="B497" t="s">
        <v>13975</v>
      </c>
      <c r="C497" t="s">
        <v>13976</v>
      </c>
      <c r="D497" t="s">
        <v>13973</v>
      </c>
      <c r="E497">
        <v>2300</v>
      </c>
      <c r="F497" t="s">
        <v>13977</v>
      </c>
      <c r="G497" t="s">
        <v>4987</v>
      </c>
      <c r="H497" t="str">
        <f t="shared" si="14"/>
        <v>Hamman2300Bay City</v>
      </c>
      <c r="I497" t="str">
        <f t="shared" si="15"/>
        <v>Hamman</v>
      </c>
      <c r="J497" s="82">
        <f>IFERROR(INDEX('All Folders'!$A:$A,MATCH(H497,'All Folders'!$G:$G,0),1),"¶")</f>
        <v>30520</v>
      </c>
      <c r="K497" s="87"/>
      <c r="L497" s="87"/>
    </row>
    <row r="498" spans="1:12" ht="15" x14ac:dyDescent="0.25">
      <c r="A498" t="s">
        <v>20282</v>
      </c>
      <c r="B498" t="s">
        <v>13978</v>
      </c>
      <c r="C498" t="s">
        <v>13979</v>
      </c>
      <c r="D498" t="s">
        <v>13980</v>
      </c>
      <c r="E498">
        <v>813</v>
      </c>
      <c r="F498" t="s">
        <v>13981</v>
      </c>
      <c r="G498" t="s">
        <v>2609</v>
      </c>
      <c r="H498" t="str">
        <f t="shared" si="14"/>
        <v>Northwood813Baytown</v>
      </c>
      <c r="I498" t="str">
        <f t="shared" si="15"/>
        <v>Northwood</v>
      </c>
      <c r="J498" s="82">
        <f>IFERROR(INDEX('All Folders'!$A:$A,MATCH(H498,'All Folders'!$G:$G,0),1),"¶")</f>
        <v>30449</v>
      </c>
      <c r="K498" s="87"/>
      <c r="L498" s="87"/>
    </row>
    <row r="499" spans="1:12" ht="15" x14ac:dyDescent="0.25">
      <c r="A499" t="s">
        <v>20283</v>
      </c>
      <c r="B499" t="s">
        <v>13982</v>
      </c>
      <c r="C499" t="s">
        <v>13983</v>
      </c>
      <c r="D499" t="s">
        <v>13984</v>
      </c>
      <c r="E499">
        <v>3403</v>
      </c>
      <c r="F499" t="s">
        <v>13985</v>
      </c>
      <c r="G499" t="s">
        <v>2609</v>
      </c>
      <c r="H499" t="str">
        <f t="shared" si="14"/>
        <v>Garth3403Baytown</v>
      </c>
      <c r="I499" t="str">
        <f t="shared" si="15"/>
        <v>Garth</v>
      </c>
      <c r="J499" s="82">
        <f>IFERROR(INDEX('All Folders'!$A:$A,MATCH(H499,'All Folders'!$G:$G,0),1),"¶")</f>
        <v>2934</v>
      </c>
      <c r="K499" s="87"/>
      <c r="L499" s="87"/>
    </row>
    <row r="500" spans="1:12" ht="15" x14ac:dyDescent="0.25">
      <c r="A500" t="s">
        <v>20284</v>
      </c>
      <c r="B500" t="s">
        <v>13986</v>
      </c>
      <c r="C500" t="s">
        <v>13987</v>
      </c>
      <c r="D500" t="s">
        <v>13988</v>
      </c>
      <c r="E500">
        <v>3190</v>
      </c>
      <c r="F500" t="s">
        <v>12295</v>
      </c>
      <c r="G500" t="s">
        <v>12292</v>
      </c>
      <c r="H500" t="str">
        <f t="shared" si="14"/>
        <v>Eastex3190Beaumont</v>
      </c>
      <c r="I500" t="str">
        <f t="shared" si="15"/>
        <v>Eastex</v>
      </c>
      <c r="J500" s="89" t="str">
        <f>IFERROR(INDEX('All Folders'!$A:$A,MATCH(H500,'All Folders'!$G:$G,0),1),"¶")</f>
        <v>¶</v>
      </c>
      <c r="K500" s="87" t="s">
        <v>22232</v>
      </c>
      <c r="L500" s="87" t="s">
        <v>22292</v>
      </c>
    </row>
    <row r="501" spans="1:12" ht="15" x14ac:dyDescent="0.25">
      <c r="A501" t="s">
        <v>20286</v>
      </c>
      <c r="B501" t="s">
        <v>13993</v>
      </c>
      <c r="C501" t="s">
        <v>13994</v>
      </c>
      <c r="D501" t="s">
        <v>13995</v>
      </c>
      <c r="E501">
        <v>1280</v>
      </c>
      <c r="F501" t="s">
        <v>12311</v>
      </c>
      <c r="G501" t="s">
        <v>12292</v>
      </c>
      <c r="H501" t="str">
        <f t="shared" si="14"/>
        <v>Saxe1280Beaumont</v>
      </c>
      <c r="I501" t="str">
        <f t="shared" si="15"/>
        <v>Saxe</v>
      </c>
      <c r="J501" s="82">
        <f>IFERROR(INDEX('All Folders'!$A:$A,MATCH(H501,'All Folders'!$G:$G,0),1),"¶")</f>
        <v>30683</v>
      </c>
      <c r="K501" s="87"/>
      <c r="L501" s="87"/>
    </row>
    <row r="502" spans="1:12" ht="15" x14ac:dyDescent="0.25">
      <c r="A502" t="s">
        <v>20287</v>
      </c>
      <c r="B502" t="s">
        <v>13996</v>
      </c>
      <c r="C502" t="s">
        <v>13997</v>
      </c>
      <c r="D502" t="s">
        <v>13998</v>
      </c>
      <c r="E502">
        <v>2570</v>
      </c>
      <c r="F502" t="s">
        <v>13999</v>
      </c>
      <c r="G502" t="s">
        <v>12292</v>
      </c>
      <c r="H502" t="str">
        <f t="shared" si="14"/>
        <v>Sweetgum2570Beaumont</v>
      </c>
      <c r="I502" t="str">
        <f t="shared" si="15"/>
        <v>Sweetgum</v>
      </c>
      <c r="J502" s="82">
        <f>IFERROR(INDEX('All Folders'!$A:$A,MATCH(H502,'All Folders'!$G:$G,0),1),"¶")</f>
        <v>30684</v>
      </c>
      <c r="K502" s="87"/>
      <c r="L502" s="87"/>
    </row>
    <row r="503" spans="1:12" ht="15" x14ac:dyDescent="0.25">
      <c r="A503" t="s">
        <v>20288</v>
      </c>
      <c r="B503" t="s">
        <v>14000</v>
      </c>
      <c r="C503" t="s">
        <v>14001</v>
      </c>
      <c r="D503" t="s">
        <v>14002</v>
      </c>
      <c r="E503">
        <v>1605</v>
      </c>
      <c r="F503" t="s">
        <v>3252</v>
      </c>
      <c r="G503" t="s">
        <v>12292</v>
      </c>
      <c r="H503" t="str">
        <f t="shared" si="14"/>
        <v>Corner1605Beaumont</v>
      </c>
      <c r="I503" t="str">
        <f t="shared" si="15"/>
        <v>Corner</v>
      </c>
      <c r="J503" s="82">
        <f>IFERROR(INDEX('All Folders'!$A:$A,MATCH(H503,'All Folders'!$G:$G,0),1),"¶")</f>
        <v>30671</v>
      </c>
      <c r="K503" s="87"/>
      <c r="L503" s="87"/>
    </row>
    <row r="504" spans="1:12" ht="15" x14ac:dyDescent="0.25">
      <c r="A504" t="s">
        <v>20289</v>
      </c>
      <c r="B504" t="s">
        <v>14003</v>
      </c>
      <c r="C504" t="s">
        <v>14004</v>
      </c>
      <c r="D504" t="s">
        <v>12298</v>
      </c>
      <c r="E504">
        <v>3155</v>
      </c>
      <c r="F504" t="s">
        <v>12298</v>
      </c>
      <c r="G504" t="s">
        <v>12292</v>
      </c>
      <c r="H504" t="str">
        <f t="shared" si="14"/>
        <v>French3155Beaumont</v>
      </c>
      <c r="I504" t="str">
        <f t="shared" si="15"/>
        <v>French</v>
      </c>
      <c r="J504" s="82">
        <f>IFERROR(INDEX('All Folders'!$A:$A,MATCH(H504,'All Folders'!$G:$G,0),1),"¶")</f>
        <v>30675</v>
      </c>
      <c r="K504" s="87"/>
      <c r="L504" s="87"/>
    </row>
    <row r="505" spans="1:12" ht="15" x14ac:dyDescent="0.25">
      <c r="A505" t="s">
        <v>20290</v>
      </c>
      <c r="B505" t="s">
        <v>14005</v>
      </c>
      <c r="C505" t="s">
        <v>14006</v>
      </c>
      <c r="D505" t="s">
        <v>14007</v>
      </c>
      <c r="E505">
        <v>520</v>
      </c>
      <c r="F505" t="s">
        <v>12294</v>
      </c>
      <c r="G505" t="s">
        <v>12292</v>
      </c>
      <c r="H505" t="str">
        <f t="shared" si="14"/>
        <v>Dowlen520Beaumont</v>
      </c>
      <c r="I505" t="str">
        <f t="shared" si="15"/>
        <v>Dowlen</v>
      </c>
      <c r="J505" s="82">
        <f>IFERROR(INDEX('All Folders'!$A:$A,MATCH(H505,'All Folders'!$G:$G,0),1),"¶")</f>
        <v>30672</v>
      </c>
      <c r="K505" s="87"/>
      <c r="L505" s="87"/>
    </row>
    <row r="506" spans="1:12" ht="15" x14ac:dyDescent="0.25">
      <c r="A506" t="s">
        <v>20291</v>
      </c>
      <c r="B506" t="s">
        <v>14008</v>
      </c>
      <c r="C506" t="s">
        <v>14009</v>
      </c>
      <c r="D506" t="s">
        <v>14010</v>
      </c>
      <c r="E506">
        <v>6550</v>
      </c>
      <c r="F506" t="s">
        <v>12308</v>
      </c>
      <c r="G506" t="s">
        <v>12292</v>
      </c>
      <c r="H506" t="str">
        <f t="shared" si="14"/>
        <v>Prutzman6550Beaumont</v>
      </c>
      <c r="I506" t="str">
        <f t="shared" si="15"/>
        <v>Prutzman</v>
      </c>
      <c r="J506" s="82">
        <f>IFERROR(INDEX('All Folders'!$A:$A,MATCH(H506,'All Folders'!$G:$G,0),1),"¶")</f>
        <v>30681</v>
      </c>
      <c r="K506" s="87"/>
      <c r="L506" s="87"/>
    </row>
    <row r="507" spans="1:12" ht="15" x14ac:dyDescent="0.25">
      <c r="A507" t="s">
        <v>20292</v>
      </c>
      <c r="B507" t="s">
        <v>14011</v>
      </c>
      <c r="C507" t="s">
        <v>14012</v>
      </c>
      <c r="D507" t="s">
        <v>14013</v>
      </c>
      <c r="E507">
        <v>1215</v>
      </c>
      <c r="F507" t="s">
        <v>12302</v>
      </c>
      <c r="G507" t="s">
        <v>12292</v>
      </c>
      <c r="H507" t="str">
        <f t="shared" si="14"/>
        <v>Longfellow1215Beaumont</v>
      </c>
      <c r="I507" t="str">
        <f t="shared" si="15"/>
        <v>Longfellow</v>
      </c>
      <c r="J507" s="82">
        <f>IFERROR(INDEX('All Folders'!$A:$A,MATCH(H507,'All Folders'!$G:$G,0),1),"¶")</f>
        <v>30678</v>
      </c>
      <c r="K507" s="87"/>
      <c r="L507" s="87"/>
    </row>
    <row r="508" spans="1:12" ht="15" x14ac:dyDescent="0.25">
      <c r="A508" t="s">
        <v>20293</v>
      </c>
      <c r="B508" t="s">
        <v>14014</v>
      </c>
      <c r="C508" t="s">
        <v>14015</v>
      </c>
      <c r="D508" t="s">
        <v>14016</v>
      </c>
      <c r="E508">
        <v>4365</v>
      </c>
      <c r="F508" t="s">
        <v>14017</v>
      </c>
      <c r="G508" t="s">
        <v>12292</v>
      </c>
      <c r="H508" t="str">
        <f t="shared" si="14"/>
        <v>4th4365Beaumont</v>
      </c>
      <c r="I508" t="str">
        <f t="shared" si="15"/>
        <v>4th</v>
      </c>
      <c r="J508" s="82">
        <f>IFERROR(INDEX('All Folders'!$A:$A,MATCH(H508,'All Folders'!$G:$G,0),1),"¶")</f>
        <v>30682</v>
      </c>
      <c r="K508" s="87"/>
      <c r="L508" s="87"/>
    </row>
    <row r="509" spans="1:12" ht="15" x14ac:dyDescent="0.25">
      <c r="A509" t="s">
        <v>20294</v>
      </c>
      <c r="B509" t="s">
        <v>14018</v>
      </c>
      <c r="C509" t="s">
        <v>14019</v>
      </c>
      <c r="D509" t="s">
        <v>14020</v>
      </c>
      <c r="E509">
        <v>5550</v>
      </c>
      <c r="F509" t="s">
        <v>8057</v>
      </c>
      <c r="G509" t="s">
        <v>12292</v>
      </c>
      <c r="H509" t="str">
        <f t="shared" si="14"/>
        <v>Folsom5550Beaumont</v>
      </c>
      <c r="I509" t="str">
        <f t="shared" si="15"/>
        <v>Folsom</v>
      </c>
      <c r="J509" s="82">
        <f>IFERROR(INDEX('All Folders'!$A:$A,MATCH(H509,'All Folders'!$G:$G,0),1),"¶")</f>
        <v>30674</v>
      </c>
      <c r="K509" s="87"/>
      <c r="L509" s="87"/>
    </row>
    <row r="510" spans="1:12" ht="15" x14ac:dyDescent="0.25">
      <c r="A510" t="s">
        <v>20295</v>
      </c>
      <c r="B510" t="s">
        <v>14021</v>
      </c>
      <c r="C510" t="s">
        <v>14022</v>
      </c>
      <c r="D510" t="s">
        <v>14023</v>
      </c>
      <c r="E510">
        <v>4165</v>
      </c>
      <c r="F510" t="s">
        <v>14024</v>
      </c>
      <c r="G510" t="s">
        <v>12292</v>
      </c>
      <c r="H510" t="str">
        <f t="shared" si="14"/>
        <v>Old4165Beaumont</v>
      </c>
      <c r="I510" t="str">
        <f t="shared" si="15"/>
        <v>Old</v>
      </c>
      <c r="J510" s="82">
        <f>IFERROR(INDEX('All Folders'!$A:$A,MATCH(H510,'All Folders'!$G:$G,0),1),"¶")</f>
        <v>30680</v>
      </c>
      <c r="K510" s="87"/>
      <c r="L510" s="87"/>
    </row>
    <row r="511" spans="1:12" ht="15" x14ac:dyDescent="0.25">
      <c r="A511" t="s">
        <v>20296</v>
      </c>
      <c r="B511" t="s">
        <v>14025</v>
      </c>
      <c r="C511" t="s">
        <v>14026</v>
      </c>
      <c r="D511" t="s">
        <v>14027</v>
      </c>
      <c r="E511">
        <v>125</v>
      </c>
      <c r="F511" t="s">
        <v>12300</v>
      </c>
      <c r="G511" t="s">
        <v>12292</v>
      </c>
      <c r="H511" t="str">
        <f t="shared" si="14"/>
        <v>10125Beaumont</v>
      </c>
      <c r="I511" t="str">
        <f t="shared" si="15"/>
        <v>10</v>
      </c>
      <c r="J511" s="82">
        <f>IFERROR(INDEX('All Folders'!$A:$A,MATCH(H511,'All Folders'!$G:$G,0),1),"¶")</f>
        <v>30676</v>
      </c>
      <c r="K511" s="87"/>
      <c r="L511" s="87"/>
    </row>
    <row r="512" spans="1:12" ht="15" x14ac:dyDescent="0.25">
      <c r="A512" t="s">
        <v>20297</v>
      </c>
      <c r="B512" t="s">
        <v>14028</v>
      </c>
      <c r="C512" t="s">
        <v>14029</v>
      </c>
      <c r="D512" t="s">
        <v>14030</v>
      </c>
      <c r="E512">
        <v>6550</v>
      </c>
      <c r="F512" t="s">
        <v>6845</v>
      </c>
      <c r="G512" t="s">
        <v>12292</v>
      </c>
      <c r="H512" t="str">
        <f t="shared" si="14"/>
        <v>Lexington6550Beaumont</v>
      </c>
      <c r="I512" t="str">
        <f t="shared" si="15"/>
        <v>Lexington</v>
      </c>
      <c r="J512" s="89">
        <f>IFERROR(INDEX('All Folders'!$A:$A,MATCH(H512,'All Folders'!$G:$G,0),1),"¶")</f>
        <v>30677</v>
      </c>
      <c r="K512" s="87"/>
      <c r="L512" s="87"/>
    </row>
    <row r="513" spans="1:12" ht="15" x14ac:dyDescent="0.25">
      <c r="A513" t="s">
        <v>20298</v>
      </c>
      <c r="B513" t="s">
        <v>14031</v>
      </c>
      <c r="C513" t="s">
        <v>14032</v>
      </c>
      <c r="D513" t="s">
        <v>14033</v>
      </c>
      <c r="E513">
        <v>4215</v>
      </c>
      <c r="F513" t="s">
        <v>12304</v>
      </c>
      <c r="G513" t="s">
        <v>12292</v>
      </c>
      <c r="H513" t="str">
        <f t="shared" si="14"/>
        <v>Major4215Beaumont</v>
      </c>
      <c r="I513" t="str">
        <f t="shared" si="15"/>
        <v>Major</v>
      </c>
      <c r="J513" s="82">
        <f>IFERROR(INDEX('All Folders'!$A:$A,MATCH(H513,'All Folders'!$G:$G,0),1),"¶")</f>
        <v>30679</v>
      </c>
      <c r="K513" s="87"/>
      <c r="L513" s="87"/>
    </row>
    <row r="514" spans="1:12" ht="15" x14ac:dyDescent="0.25">
      <c r="A514" t="s">
        <v>20299</v>
      </c>
      <c r="B514" t="s">
        <v>14034</v>
      </c>
      <c r="C514" t="s">
        <v>14035</v>
      </c>
      <c r="D514" t="s">
        <v>14036</v>
      </c>
      <c r="E514">
        <v>1121</v>
      </c>
      <c r="F514" t="s">
        <v>14037</v>
      </c>
      <c r="G514" t="s">
        <v>4942</v>
      </c>
      <c r="H514" t="str">
        <f t="shared" ref="H514:H577" si="16">I514&amp;E514&amp;G514</f>
        <v>Amherst1121Bedford</v>
      </c>
      <c r="I514" t="str">
        <f t="shared" ref="I514:I577" si="17">IFERROR(LEFT(D514,FIND(" ",D514)-1),D514)</f>
        <v>Amherst</v>
      </c>
      <c r="J514" s="82">
        <f>IFERROR(INDEX('All Folders'!$A:$A,MATCH(H514,'All Folders'!$G:$G,0),1),"¶")</f>
        <v>15286</v>
      </c>
      <c r="K514" s="87"/>
      <c r="L514" s="87"/>
    </row>
    <row r="515" spans="1:12" ht="15" x14ac:dyDescent="0.25">
      <c r="A515" t="s">
        <v>20300</v>
      </c>
      <c r="B515" t="s">
        <v>14038</v>
      </c>
      <c r="C515" t="s">
        <v>14039</v>
      </c>
      <c r="D515" t="s">
        <v>14040</v>
      </c>
      <c r="E515">
        <v>400</v>
      </c>
      <c r="F515" t="s">
        <v>14041</v>
      </c>
      <c r="G515" t="s">
        <v>4942</v>
      </c>
      <c r="H515" t="str">
        <f t="shared" si="16"/>
        <v>Pecan400Bedford</v>
      </c>
      <c r="I515" t="str">
        <f t="shared" si="17"/>
        <v>Pecan</v>
      </c>
      <c r="J515" s="89">
        <f>IFERROR(INDEX('All Folders'!$A:$A,MATCH(H515,'All Folders'!$G:$G,0),1),"¶")</f>
        <v>15481</v>
      </c>
      <c r="K515" s="87"/>
      <c r="L515" s="87"/>
    </row>
    <row r="516" spans="1:12" ht="15" x14ac:dyDescent="0.25">
      <c r="A516" t="s">
        <v>20301</v>
      </c>
      <c r="B516" t="s">
        <v>14042</v>
      </c>
      <c r="C516" t="s">
        <v>14043</v>
      </c>
      <c r="D516" t="s">
        <v>14044</v>
      </c>
      <c r="E516">
        <v>328</v>
      </c>
      <c r="F516" t="s">
        <v>7829</v>
      </c>
      <c r="G516" t="s">
        <v>4942</v>
      </c>
      <c r="H516" t="str">
        <f t="shared" si="16"/>
        <v>Bedford328Bedford</v>
      </c>
      <c r="I516" t="str">
        <f t="shared" si="17"/>
        <v>Bedford</v>
      </c>
      <c r="J516" s="82">
        <f>IFERROR(INDEX('All Folders'!$A:$A,MATCH(H516,'All Folders'!$G:$G,0),1),"¶")</f>
        <v>15411</v>
      </c>
      <c r="K516" s="87"/>
      <c r="L516" s="87"/>
    </row>
    <row r="517" spans="1:12" ht="15" x14ac:dyDescent="0.25">
      <c r="A517" t="s">
        <v>20302</v>
      </c>
      <c r="B517" t="s">
        <v>14045</v>
      </c>
      <c r="C517" t="s">
        <v>14046</v>
      </c>
      <c r="D517" t="s">
        <v>14047</v>
      </c>
      <c r="E517">
        <v>805</v>
      </c>
      <c r="F517" t="s">
        <v>14048</v>
      </c>
      <c r="G517" t="s">
        <v>4942</v>
      </c>
      <c r="H517" t="str">
        <f t="shared" si="16"/>
        <v>Central805Bedford</v>
      </c>
      <c r="I517" t="str">
        <f t="shared" si="17"/>
        <v>Central</v>
      </c>
      <c r="J517" s="82">
        <f>IFERROR(INDEX('All Folders'!$A:$A,MATCH(H517,'All Folders'!$G:$G,0),1),"¶")</f>
        <v>15375</v>
      </c>
      <c r="K517" s="87"/>
      <c r="L517" s="87"/>
    </row>
    <row r="518" spans="1:12" ht="15" x14ac:dyDescent="0.25">
      <c r="A518" t="s">
        <v>20303</v>
      </c>
      <c r="B518" t="s">
        <v>14049</v>
      </c>
      <c r="C518" t="s">
        <v>14050</v>
      </c>
      <c r="D518" t="s">
        <v>14051</v>
      </c>
      <c r="E518">
        <v>1325</v>
      </c>
      <c r="F518" t="s">
        <v>8104</v>
      </c>
      <c r="G518" t="s">
        <v>4942</v>
      </c>
      <c r="H518" t="str">
        <f t="shared" si="16"/>
        <v>Tennis1325Bedford</v>
      </c>
      <c r="I518" t="str">
        <f t="shared" si="17"/>
        <v>Tennis</v>
      </c>
      <c r="J518" s="82">
        <f>IFERROR(INDEX('All Folders'!$A:$A,MATCH(H518,'All Folders'!$G:$G,0),1),"¶")</f>
        <v>15643</v>
      </c>
      <c r="K518" s="87"/>
      <c r="L518" s="87"/>
    </row>
    <row r="519" spans="1:12" ht="15" x14ac:dyDescent="0.25">
      <c r="A519" t="s">
        <v>20304</v>
      </c>
      <c r="B519" t="s">
        <v>14052</v>
      </c>
      <c r="C519" t="s">
        <v>14053</v>
      </c>
      <c r="D519" t="s">
        <v>14054</v>
      </c>
      <c r="E519">
        <v>1401</v>
      </c>
      <c r="F519" t="s">
        <v>14055</v>
      </c>
      <c r="G519" t="s">
        <v>4942</v>
      </c>
      <c r="H519" t="str">
        <f t="shared" si="16"/>
        <v>Shady1401Bedford</v>
      </c>
      <c r="I519" t="str">
        <f t="shared" si="17"/>
        <v>Shady</v>
      </c>
      <c r="J519" s="82">
        <f>IFERROR(INDEX('All Folders'!$A:$A,MATCH(H519,'All Folders'!$G:$G,0),1),"¶")</f>
        <v>15520</v>
      </c>
      <c r="K519" s="87"/>
      <c r="L519" s="87"/>
    </row>
    <row r="520" spans="1:12" ht="15" x14ac:dyDescent="0.25">
      <c r="A520" t="s">
        <v>20305</v>
      </c>
      <c r="B520" t="s">
        <v>14056</v>
      </c>
      <c r="C520" t="s">
        <v>14057</v>
      </c>
      <c r="D520" t="s">
        <v>14058</v>
      </c>
      <c r="E520">
        <v>2200</v>
      </c>
      <c r="F520" t="s">
        <v>14059</v>
      </c>
      <c r="G520" t="s">
        <v>4942</v>
      </c>
      <c r="H520" t="str">
        <f t="shared" si="16"/>
        <v>Murphy2200Bedford</v>
      </c>
      <c r="I520" t="str">
        <f t="shared" si="17"/>
        <v>Murphy</v>
      </c>
      <c r="J520" s="82">
        <f>IFERROR(INDEX('All Folders'!$A:$A,MATCH(H520,'All Folders'!$G:$G,0),1),"¶")</f>
        <v>14516</v>
      </c>
      <c r="K520" s="87"/>
      <c r="L520" s="87"/>
    </row>
    <row r="521" spans="1:12" ht="15" x14ac:dyDescent="0.25">
      <c r="A521" t="s">
        <v>20306</v>
      </c>
      <c r="B521" t="s">
        <v>14060</v>
      </c>
      <c r="C521" t="s">
        <v>14061</v>
      </c>
      <c r="D521" t="s">
        <v>14062</v>
      </c>
      <c r="E521">
        <v>4000</v>
      </c>
      <c r="F521" t="s">
        <v>14063</v>
      </c>
      <c r="G521" t="s">
        <v>11823</v>
      </c>
      <c r="H521" t="str">
        <f t="shared" si="16"/>
        <v>Mary's4000Beeville</v>
      </c>
      <c r="I521" t="str">
        <f t="shared" si="17"/>
        <v>Mary's</v>
      </c>
      <c r="J521" s="88">
        <v>30353</v>
      </c>
      <c r="K521" s="87"/>
      <c r="L521" s="87"/>
    </row>
    <row r="522" spans="1:12" ht="15" x14ac:dyDescent="0.25">
      <c r="A522" t="s">
        <v>20307</v>
      </c>
      <c r="B522" t="s">
        <v>14064</v>
      </c>
      <c r="C522" t="s">
        <v>14065</v>
      </c>
      <c r="D522" t="s">
        <v>14066</v>
      </c>
      <c r="E522">
        <v>3510</v>
      </c>
      <c r="F522" t="s">
        <v>14067</v>
      </c>
      <c r="G522" t="s">
        <v>6909</v>
      </c>
      <c r="H522" t="str">
        <f t="shared" si="16"/>
        <v>Boston3510Benbrook</v>
      </c>
      <c r="I522" t="str">
        <f t="shared" si="17"/>
        <v>Boston</v>
      </c>
      <c r="J522" s="82">
        <f>IFERROR(INDEX('All Folders'!$A:$A,MATCH(H522,'All Folders'!$G:$G,0),1),"¶")</f>
        <v>30021</v>
      </c>
      <c r="K522" s="87"/>
      <c r="L522" s="87"/>
    </row>
    <row r="523" spans="1:12" ht="15" x14ac:dyDescent="0.25">
      <c r="A523" t="s">
        <v>20308</v>
      </c>
      <c r="B523" t="s">
        <v>14068</v>
      </c>
      <c r="C523" t="s">
        <v>14069</v>
      </c>
      <c r="D523" t="s">
        <v>14070</v>
      </c>
      <c r="E523">
        <v>5513</v>
      </c>
      <c r="F523" t="s">
        <v>6908</v>
      </c>
      <c r="G523" t="s">
        <v>6909</v>
      </c>
      <c r="H523" t="str">
        <f t="shared" si="16"/>
        <v>Cross5513Benbrook</v>
      </c>
      <c r="I523" t="str">
        <f t="shared" si="17"/>
        <v>Cross</v>
      </c>
      <c r="J523" s="82">
        <f>IFERROR(INDEX('All Folders'!$A:$A,MATCH(H523,'All Folders'!$G:$G,0),1),"¶")</f>
        <v>14559</v>
      </c>
      <c r="K523" s="87"/>
      <c r="L523" s="87"/>
    </row>
    <row r="524" spans="1:12" ht="15" x14ac:dyDescent="0.25">
      <c r="A524" t="s">
        <v>20309</v>
      </c>
      <c r="B524" t="s">
        <v>14071</v>
      </c>
      <c r="C524" t="s">
        <v>14072</v>
      </c>
      <c r="D524" t="s">
        <v>14073</v>
      </c>
      <c r="E524">
        <v>1425</v>
      </c>
      <c r="F524" t="s">
        <v>1287</v>
      </c>
      <c r="G524" t="s">
        <v>12207</v>
      </c>
      <c r="H524" t="str">
        <f t="shared" si="16"/>
        <v>6th1425Big Spring</v>
      </c>
      <c r="I524" t="str">
        <f t="shared" si="17"/>
        <v>6th</v>
      </c>
      <c r="J524" s="82">
        <f>IFERROR(INDEX('All Folders'!$A:$A,MATCH(H524,'All Folders'!$G:$G,0),1),"¶")</f>
        <v>30614</v>
      </c>
      <c r="K524" s="87"/>
      <c r="L524" s="87"/>
    </row>
    <row r="525" spans="1:12" ht="15" x14ac:dyDescent="0.25">
      <c r="A525" t="s">
        <v>20310</v>
      </c>
      <c r="B525" t="s">
        <v>14074</v>
      </c>
      <c r="C525" t="s">
        <v>14075</v>
      </c>
      <c r="D525" t="s">
        <v>14076</v>
      </c>
      <c r="E525">
        <v>155</v>
      </c>
      <c r="F525" t="s">
        <v>14077</v>
      </c>
      <c r="G525" t="s">
        <v>11705</v>
      </c>
      <c r="H525" t="str">
        <f t="shared" si="16"/>
        <v>Walnut155Blossom</v>
      </c>
      <c r="I525" t="str">
        <f t="shared" si="17"/>
        <v>Walnut</v>
      </c>
      <c r="J525" s="82">
        <f>IFERROR(INDEX('All Folders'!$A:$A,MATCH(H525,'All Folders'!$G:$G,0),1),"¶")</f>
        <v>30267</v>
      </c>
      <c r="K525" s="87"/>
      <c r="L525" s="87"/>
    </row>
    <row r="526" spans="1:12" ht="15" x14ac:dyDescent="0.25">
      <c r="A526" t="s">
        <v>20311</v>
      </c>
      <c r="B526" t="s">
        <v>14078</v>
      </c>
      <c r="C526" t="s">
        <v>14079</v>
      </c>
      <c r="D526" t="s">
        <v>14080</v>
      </c>
      <c r="E526">
        <v>605</v>
      </c>
      <c r="F526" t="s">
        <v>14081</v>
      </c>
      <c r="G526" t="s">
        <v>12096</v>
      </c>
      <c r="H526" t="str">
        <f t="shared" si="16"/>
        <v>Parades605Brownsville</v>
      </c>
      <c r="I526" t="str">
        <f t="shared" si="17"/>
        <v>Parades</v>
      </c>
      <c r="J526" s="82">
        <f>IFERROR(INDEX('All Folders'!$A:$A,MATCH(H526,'All Folders'!$G:$G,0),1),"¶")</f>
        <v>30534</v>
      </c>
      <c r="K526" s="87"/>
      <c r="L526" s="87"/>
    </row>
    <row r="527" spans="1:12" ht="15" x14ac:dyDescent="0.25">
      <c r="A527" t="s">
        <v>20312</v>
      </c>
      <c r="B527" t="s">
        <v>14082</v>
      </c>
      <c r="C527" t="s">
        <v>14083</v>
      </c>
      <c r="D527" t="s">
        <v>14084</v>
      </c>
      <c r="E527">
        <v>2700</v>
      </c>
      <c r="F527" t="s">
        <v>12095</v>
      </c>
      <c r="G527" t="s">
        <v>12096</v>
      </c>
      <c r="H527" t="str">
        <f t="shared" si="16"/>
        <v>8022700Brownsville</v>
      </c>
      <c r="I527" t="str">
        <f t="shared" si="17"/>
        <v>802</v>
      </c>
      <c r="J527" s="82">
        <f>IFERROR(INDEX('All Folders'!$A:$A,MATCH(H527,'All Folders'!$G:$G,0),1),"¶")</f>
        <v>30533</v>
      </c>
      <c r="K527" s="87"/>
      <c r="L527" s="87"/>
    </row>
    <row r="528" spans="1:12" ht="15" x14ac:dyDescent="0.25">
      <c r="A528" t="s">
        <v>20313</v>
      </c>
      <c r="B528" t="s">
        <v>14085</v>
      </c>
      <c r="C528" t="s">
        <v>14086</v>
      </c>
      <c r="D528" t="s">
        <v>14087</v>
      </c>
      <c r="E528">
        <v>2313</v>
      </c>
      <c r="F528" t="s">
        <v>12099</v>
      </c>
      <c r="G528" t="s">
        <v>12096</v>
      </c>
      <c r="H528" t="str">
        <f t="shared" si="16"/>
        <v>Shilder2313Brownsville</v>
      </c>
      <c r="I528" t="str">
        <f t="shared" si="17"/>
        <v>Shilder</v>
      </c>
      <c r="J528" s="88">
        <v>30535</v>
      </c>
      <c r="K528" s="87" t="s">
        <v>22232</v>
      </c>
      <c r="L528" s="87" t="s">
        <v>22292</v>
      </c>
    </row>
    <row r="529" spans="1:12" ht="15" x14ac:dyDescent="0.25">
      <c r="A529" t="s">
        <v>20314</v>
      </c>
      <c r="B529" t="s">
        <v>14088</v>
      </c>
      <c r="C529" t="s">
        <v>14089</v>
      </c>
      <c r="D529" t="s">
        <v>14090</v>
      </c>
      <c r="E529">
        <v>1700</v>
      </c>
      <c r="F529" t="s">
        <v>14091</v>
      </c>
      <c r="G529" t="s">
        <v>12419</v>
      </c>
      <c r="H529" t="str">
        <f t="shared" si="16"/>
        <v>Good1700Brownwood</v>
      </c>
      <c r="I529" t="str">
        <f t="shared" si="17"/>
        <v>Good</v>
      </c>
      <c r="J529" s="82">
        <f>IFERROR(INDEX('All Folders'!$A:$A,MATCH(H529,'All Folders'!$G:$G,0),1),"¶")</f>
        <v>30751</v>
      </c>
      <c r="K529" s="87"/>
      <c r="L529" s="87"/>
    </row>
    <row r="530" spans="1:12" ht="15" x14ac:dyDescent="0.25">
      <c r="A530" t="s">
        <v>20315</v>
      </c>
      <c r="B530" t="s">
        <v>14092</v>
      </c>
      <c r="C530" t="s">
        <v>14093</v>
      </c>
      <c r="D530" t="s">
        <v>14094</v>
      </c>
      <c r="E530">
        <v>1512</v>
      </c>
      <c r="F530" t="s">
        <v>14095</v>
      </c>
      <c r="G530" t="s">
        <v>8774</v>
      </c>
      <c r="H530" t="str">
        <f t="shared" si="16"/>
        <v>Hollow1512Bryan</v>
      </c>
      <c r="I530" t="str">
        <f t="shared" si="17"/>
        <v>Hollow</v>
      </c>
      <c r="J530" s="91">
        <f>IFERROR(INDEX('All Folders'!$A:$A,MATCH(H530,'All Folders'!$G:$G,0),1),"¶")</f>
        <v>30451</v>
      </c>
      <c r="K530" s="87"/>
      <c r="L530" s="87"/>
    </row>
    <row r="531" spans="1:12" ht="15" x14ac:dyDescent="0.25">
      <c r="A531" t="s">
        <v>20316</v>
      </c>
      <c r="B531" t="s">
        <v>14096</v>
      </c>
      <c r="C531" t="s">
        <v>14097</v>
      </c>
      <c r="D531" t="s">
        <v>14098</v>
      </c>
      <c r="E531">
        <v>3200</v>
      </c>
      <c r="F531" t="s">
        <v>14099</v>
      </c>
      <c r="G531" t="s">
        <v>8774</v>
      </c>
      <c r="H531" t="str">
        <f t="shared" si="16"/>
        <v>Finfeather3200Bryan</v>
      </c>
      <c r="I531" t="str">
        <f t="shared" si="17"/>
        <v>Finfeather</v>
      </c>
      <c r="J531" s="82">
        <f>IFERROR(INDEX('All Folders'!$A:$A,MATCH(H531,'All Folders'!$G:$G,0),1),"¶")</f>
        <v>30450</v>
      </c>
      <c r="K531" s="87"/>
      <c r="L531" s="87"/>
    </row>
    <row r="532" spans="1:12" ht="15" x14ac:dyDescent="0.25">
      <c r="A532" t="s">
        <v>20317</v>
      </c>
      <c r="B532" t="s">
        <v>14100</v>
      </c>
      <c r="C532" t="s">
        <v>14101</v>
      </c>
      <c r="D532" t="s">
        <v>14102</v>
      </c>
      <c r="E532">
        <v>208</v>
      </c>
      <c r="F532" t="s">
        <v>14103</v>
      </c>
      <c r="G532" t="s">
        <v>8774</v>
      </c>
      <c r="H532" t="str">
        <f t="shared" si="16"/>
        <v>Lynn208Bryan</v>
      </c>
      <c r="I532" t="str">
        <f t="shared" si="17"/>
        <v>Lynn</v>
      </c>
      <c r="J532" s="82">
        <f>IFERROR(INDEX('All Folders'!$A:$A,MATCH(H532,'All Folders'!$G:$G,0),1),"¶")</f>
        <v>30452</v>
      </c>
      <c r="K532" s="87"/>
      <c r="L532" s="87"/>
    </row>
    <row r="533" spans="1:12" ht="15" x14ac:dyDescent="0.25">
      <c r="A533" t="s">
        <v>20318</v>
      </c>
      <c r="B533" t="s">
        <v>14104</v>
      </c>
      <c r="C533" t="s">
        <v>14105</v>
      </c>
      <c r="D533" t="s">
        <v>14106</v>
      </c>
      <c r="E533">
        <v>2903</v>
      </c>
      <c r="F533" t="s">
        <v>2603</v>
      </c>
      <c r="G533" t="s">
        <v>8774</v>
      </c>
      <c r="H533" t="str">
        <f t="shared" si="16"/>
        <v>Silver2903Bryan</v>
      </c>
      <c r="I533" t="str">
        <f t="shared" si="17"/>
        <v>Silver</v>
      </c>
      <c r="J533" s="82">
        <f>IFERROR(INDEX('All Folders'!$A:$A,MATCH(H533,'All Folders'!$G:$G,0),1),"¶")</f>
        <v>30453</v>
      </c>
      <c r="K533" s="87"/>
      <c r="L533" s="87"/>
    </row>
    <row r="534" spans="1:12" ht="15" x14ac:dyDescent="0.25">
      <c r="A534" t="s">
        <v>20319</v>
      </c>
      <c r="B534" t="s">
        <v>14107</v>
      </c>
      <c r="C534" t="s">
        <v>14108</v>
      </c>
      <c r="D534" t="s">
        <v>14109</v>
      </c>
      <c r="E534">
        <v>3535</v>
      </c>
      <c r="F534" t="s">
        <v>6125</v>
      </c>
      <c r="G534" t="s">
        <v>8774</v>
      </c>
      <c r="H534" t="str">
        <f t="shared" si="16"/>
        <v>Plainsman3535Bryan</v>
      </c>
      <c r="I534" t="str">
        <f t="shared" si="17"/>
        <v>Plainsman</v>
      </c>
      <c r="J534" s="82">
        <f>IFERROR(INDEX('All Folders'!$A:$A,MATCH(H534,'All Folders'!$G:$G,0),1),"¶")</f>
        <v>16250</v>
      </c>
      <c r="K534" s="87"/>
      <c r="L534" s="87"/>
    </row>
    <row r="535" spans="1:12" ht="15" x14ac:dyDescent="0.25">
      <c r="A535" t="s">
        <v>20321</v>
      </c>
      <c r="B535" t="s">
        <v>14114</v>
      </c>
      <c r="C535" t="s">
        <v>14115</v>
      </c>
      <c r="D535" t="s">
        <v>14116</v>
      </c>
      <c r="E535">
        <v>3130</v>
      </c>
      <c r="F535" t="s">
        <v>164</v>
      </c>
      <c r="G535" t="s">
        <v>8774</v>
      </c>
      <c r="H535" t="str">
        <f t="shared" si="16"/>
        <v>29th3130Bryan</v>
      </c>
      <c r="I535" t="str">
        <f t="shared" si="17"/>
        <v>29th</v>
      </c>
      <c r="J535" s="82">
        <f>IFERROR(INDEX('All Folders'!$A:$A,MATCH(H535,'All Folders'!$G:$G,0),1),"¶")</f>
        <v>16290</v>
      </c>
      <c r="K535" s="87"/>
      <c r="L535" s="87"/>
    </row>
    <row r="536" spans="1:12" ht="15" x14ac:dyDescent="0.25">
      <c r="A536" t="s">
        <v>20322</v>
      </c>
      <c r="B536" t="s">
        <v>14117</v>
      </c>
      <c r="C536" t="s">
        <v>14118</v>
      </c>
      <c r="D536" t="s">
        <v>14119</v>
      </c>
      <c r="E536">
        <v>3301</v>
      </c>
      <c r="F536" t="s">
        <v>541</v>
      </c>
      <c r="G536" t="s">
        <v>8774</v>
      </c>
      <c r="H536" t="str">
        <f t="shared" si="16"/>
        <v>Providence3301Bryan</v>
      </c>
      <c r="I536" t="str">
        <f t="shared" si="17"/>
        <v>Providence</v>
      </c>
      <c r="J536" s="82">
        <f>IFERROR(INDEX('All Folders'!$A:$A,MATCH(H536,'All Folders'!$G:$G,0),1),"¶")</f>
        <v>16252</v>
      </c>
      <c r="K536" s="87"/>
      <c r="L536" s="87"/>
    </row>
    <row r="537" spans="1:12" ht="15" x14ac:dyDescent="0.25">
      <c r="A537" t="s">
        <v>20323</v>
      </c>
      <c r="B537" t="s">
        <v>14120</v>
      </c>
      <c r="C537" t="s">
        <v>14121</v>
      </c>
      <c r="D537" t="s">
        <v>1472</v>
      </c>
      <c r="E537">
        <v>940</v>
      </c>
      <c r="F537" t="s">
        <v>11757</v>
      </c>
      <c r="G537" t="s">
        <v>6898</v>
      </c>
      <c r="H537" t="str">
        <f t="shared" si="16"/>
        <v>Walnut940Burleson</v>
      </c>
      <c r="I537" t="str">
        <f t="shared" si="17"/>
        <v>Walnut</v>
      </c>
      <c r="J537" s="82">
        <f>IFERROR(INDEX('All Folders'!$A:$A,MATCH(H537,'All Folders'!$G:$G,0),1),"¶")</f>
        <v>30318</v>
      </c>
      <c r="K537" s="87"/>
      <c r="L537" s="87"/>
    </row>
    <row r="538" spans="1:12" ht="15" x14ac:dyDescent="0.25">
      <c r="A538" t="s">
        <v>20324</v>
      </c>
      <c r="B538" t="s">
        <v>14122</v>
      </c>
      <c r="C538" t="s">
        <v>14123</v>
      </c>
      <c r="D538" t="s">
        <v>14124</v>
      </c>
      <c r="E538">
        <v>10</v>
      </c>
      <c r="F538" t="s">
        <v>14125</v>
      </c>
      <c r="G538" t="s">
        <v>12203</v>
      </c>
      <c r="H538" t="str">
        <f t="shared" si="16"/>
        <v>Cottonwood10Canyon</v>
      </c>
      <c r="I538" t="str">
        <f t="shared" si="17"/>
        <v>Cottonwood</v>
      </c>
      <c r="J538" s="82">
        <f>IFERROR(INDEX('All Folders'!$A:$A,MATCH(H538,'All Folders'!$G:$G,0),1),"¶")</f>
        <v>30612</v>
      </c>
      <c r="K538" s="87"/>
      <c r="L538" s="87"/>
    </row>
    <row r="539" spans="1:12" ht="15" x14ac:dyDescent="0.25">
      <c r="A539" t="s">
        <v>20325</v>
      </c>
      <c r="B539" t="s">
        <v>14126</v>
      </c>
      <c r="C539" t="s">
        <v>14127</v>
      </c>
      <c r="D539" t="s">
        <v>14128</v>
      </c>
      <c r="E539">
        <v>2201</v>
      </c>
      <c r="F539" t="s">
        <v>14129</v>
      </c>
      <c r="G539" t="s">
        <v>5060</v>
      </c>
      <c r="H539" t="str">
        <f t="shared" si="16"/>
        <v>Jackson2201Carrollton</v>
      </c>
      <c r="I539" t="str">
        <f t="shared" si="17"/>
        <v>Jackson</v>
      </c>
      <c r="J539" s="82" t="str">
        <f>IFERROR(INDEX('All Folders'!$A:$A,MATCH(H539,'All Folders'!$G:$G,0),1),"¶")</f>
        <v>SP15</v>
      </c>
      <c r="K539" s="87"/>
      <c r="L539" s="87"/>
    </row>
    <row r="540" spans="1:12" ht="15" x14ac:dyDescent="0.25">
      <c r="A540" t="s">
        <v>20326</v>
      </c>
      <c r="B540" t="s">
        <v>14130</v>
      </c>
      <c r="C540" t="s">
        <v>14131</v>
      </c>
      <c r="D540" t="s">
        <v>14132</v>
      </c>
      <c r="E540">
        <v>4600</v>
      </c>
      <c r="F540" t="s">
        <v>14133</v>
      </c>
      <c r="G540" t="s">
        <v>5060</v>
      </c>
      <c r="H540" t="str">
        <f t="shared" si="16"/>
        <v>Josey4600Carrollton</v>
      </c>
      <c r="I540" t="str">
        <f t="shared" si="17"/>
        <v>Josey</v>
      </c>
      <c r="J540" s="82">
        <f>IFERROR(INDEX('All Folders'!$A:$A,MATCH(H540,'All Folders'!$G:$G,0),1),"¶")</f>
        <v>13130</v>
      </c>
      <c r="K540" s="87"/>
      <c r="L540" s="87"/>
    </row>
    <row r="541" spans="1:12" ht="15" x14ac:dyDescent="0.25">
      <c r="A541" t="s">
        <v>20327</v>
      </c>
      <c r="B541" t="s">
        <v>14134</v>
      </c>
      <c r="C541" t="s">
        <v>14135</v>
      </c>
      <c r="D541" t="s">
        <v>14136</v>
      </c>
      <c r="E541">
        <v>1110</v>
      </c>
      <c r="F541" t="s">
        <v>14137</v>
      </c>
      <c r="G541" t="s">
        <v>5060</v>
      </c>
      <c r="H541" t="str">
        <f t="shared" si="16"/>
        <v>Branch1110Carrollton</v>
      </c>
      <c r="I541" t="str">
        <f t="shared" si="17"/>
        <v>Branch</v>
      </c>
      <c r="J541" s="82">
        <f>IFERROR(INDEX('All Folders'!$A:$A,MATCH(H541,'All Folders'!$G:$G,0),1),"¶")</f>
        <v>13179</v>
      </c>
      <c r="K541" s="87"/>
      <c r="L541" s="87"/>
    </row>
    <row r="542" spans="1:12" ht="15" x14ac:dyDescent="0.25">
      <c r="A542" t="s">
        <v>20328</v>
      </c>
      <c r="B542" t="s">
        <v>14138</v>
      </c>
      <c r="C542" t="s">
        <v>14139</v>
      </c>
      <c r="D542" t="s">
        <v>14140</v>
      </c>
      <c r="E542">
        <v>1600</v>
      </c>
      <c r="F542" t="s">
        <v>6960</v>
      </c>
      <c r="G542" t="s">
        <v>5060</v>
      </c>
      <c r="H542" t="str">
        <f t="shared" si="16"/>
        <v>Belt1600Carrollton</v>
      </c>
      <c r="I542" t="str">
        <f t="shared" si="17"/>
        <v>Belt</v>
      </c>
      <c r="J542" s="82">
        <f>IFERROR(INDEX('All Folders'!$A:$A,MATCH(H542,'All Folders'!$G:$G,0),1),"¶")</f>
        <v>14606</v>
      </c>
      <c r="K542" s="87"/>
      <c r="L542" s="87"/>
    </row>
    <row r="543" spans="1:12" ht="15" x14ac:dyDescent="0.25">
      <c r="A543" t="s">
        <v>20329</v>
      </c>
      <c r="B543" t="s">
        <v>14141</v>
      </c>
      <c r="C543" t="s">
        <v>14142</v>
      </c>
      <c r="D543" t="s">
        <v>14143</v>
      </c>
      <c r="E543">
        <v>2416</v>
      </c>
      <c r="F543" t="s">
        <v>14144</v>
      </c>
      <c r="G543" t="s">
        <v>5060</v>
      </c>
      <c r="H543" t="str">
        <f t="shared" si="16"/>
        <v>Ridgeale2416Carrollton</v>
      </c>
      <c r="I543" t="str">
        <f t="shared" si="17"/>
        <v>Ridgeale</v>
      </c>
      <c r="J543" s="90" t="s">
        <v>12664</v>
      </c>
      <c r="K543" s="87"/>
      <c r="L543" s="87"/>
    </row>
    <row r="544" spans="1:12" ht="15" x14ac:dyDescent="0.25">
      <c r="A544" t="s">
        <v>20330</v>
      </c>
      <c r="B544" t="s">
        <v>14145</v>
      </c>
      <c r="C544" t="s">
        <v>14146</v>
      </c>
      <c r="D544" t="s">
        <v>14147</v>
      </c>
      <c r="E544">
        <v>1300</v>
      </c>
      <c r="F544" t="s">
        <v>7018</v>
      </c>
      <c r="G544" t="s">
        <v>5060</v>
      </c>
      <c r="H544" t="str">
        <f t="shared" si="16"/>
        <v>Crosby1300Carrollton</v>
      </c>
      <c r="I544" t="str">
        <f t="shared" si="17"/>
        <v>Crosby</v>
      </c>
      <c r="J544" s="82">
        <f>IFERROR(INDEX('All Folders'!$A:$A,MATCH(H544,'All Folders'!$G:$G,0),1),"¶")</f>
        <v>14654</v>
      </c>
      <c r="K544" s="87"/>
      <c r="L544" s="87"/>
    </row>
    <row r="545" spans="1:12" ht="15" x14ac:dyDescent="0.25">
      <c r="A545" t="s">
        <v>20331</v>
      </c>
      <c r="B545" t="s">
        <v>14148</v>
      </c>
      <c r="C545" t="s">
        <v>14149</v>
      </c>
      <c r="D545" t="s">
        <v>14150</v>
      </c>
      <c r="E545">
        <v>1920</v>
      </c>
      <c r="F545" t="s">
        <v>14151</v>
      </c>
      <c r="G545" t="s">
        <v>5060</v>
      </c>
      <c r="H545" t="str">
        <f t="shared" si="16"/>
        <v>Josey1920Carrollton</v>
      </c>
      <c r="I545" t="str">
        <f t="shared" si="17"/>
        <v>Josey</v>
      </c>
      <c r="J545" s="82">
        <f>IFERROR(INDEX('All Folders'!$A:$A,MATCH(H545,'All Folders'!$G:$G,0),1),"¶")</f>
        <v>30023</v>
      </c>
      <c r="K545" s="87"/>
      <c r="L545" s="87"/>
    </row>
    <row r="546" spans="1:12" ht="15" x14ac:dyDescent="0.25">
      <c r="A546" t="s">
        <v>20333</v>
      </c>
      <c r="B546" t="s">
        <v>14156</v>
      </c>
      <c r="C546" t="s">
        <v>14157</v>
      </c>
      <c r="D546" t="s">
        <v>13052</v>
      </c>
      <c r="E546">
        <v>2121</v>
      </c>
      <c r="F546" t="s">
        <v>5755</v>
      </c>
      <c r="G546" t="s">
        <v>5060</v>
      </c>
      <c r="H546" t="str">
        <f t="shared" si="16"/>
        <v>Marsh2121Carrollton</v>
      </c>
      <c r="I546" t="str">
        <f t="shared" si="17"/>
        <v>Marsh</v>
      </c>
      <c r="J546" s="82">
        <f>IFERROR(INDEX('All Folders'!$A:$A,MATCH(H546,'All Folders'!$G:$G,0),1),"¶")</f>
        <v>13615</v>
      </c>
      <c r="K546" s="87"/>
      <c r="L546" s="87"/>
    </row>
    <row r="547" spans="1:12" ht="15" x14ac:dyDescent="0.25">
      <c r="A547" t="s">
        <v>20334</v>
      </c>
      <c r="B547" t="s">
        <v>14158</v>
      </c>
      <c r="C547" t="s">
        <v>14159</v>
      </c>
      <c r="D547" t="s">
        <v>14160</v>
      </c>
      <c r="E547">
        <v>1400</v>
      </c>
      <c r="F547" t="s">
        <v>6997</v>
      </c>
      <c r="G547" t="s">
        <v>5060</v>
      </c>
      <c r="H547" t="str">
        <f t="shared" si="16"/>
        <v>Crosby1400Carrollton</v>
      </c>
      <c r="I547" t="str">
        <f t="shared" si="17"/>
        <v>Crosby</v>
      </c>
      <c r="J547" s="82">
        <f>IFERROR(INDEX('All Folders'!$A:$A,MATCH(H547,'All Folders'!$G:$G,0),1),"¶")</f>
        <v>14639</v>
      </c>
      <c r="K547" s="87"/>
      <c r="L547" s="87"/>
    </row>
    <row r="548" spans="1:12" ht="15" x14ac:dyDescent="0.25">
      <c r="A548" t="s">
        <v>20335</v>
      </c>
      <c r="B548" t="s">
        <v>14161</v>
      </c>
      <c r="C548" t="s">
        <v>14162</v>
      </c>
      <c r="D548" t="s">
        <v>14163</v>
      </c>
      <c r="E548">
        <v>2610</v>
      </c>
      <c r="F548" t="s">
        <v>14164</v>
      </c>
      <c r="G548" t="s">
        <v>5060</v>
      </c>
      <c r="H548" t="str">
        <f t="shared" si="16"/>
        <v>Lakehill2610Carrollton</v>
      </c>
      <c r="I548" t="str">
        <f t="shared" si="17"/>
        <v>Lakehill</v>
      </c>
      <c r="J548" s="82">
        <f>IFERROR(INDEX('All Folders'!$A:$A,MATCH(H548,'All Folders'!$G:$G,0),1),"¶")</f>
        <v>13644</v>
      </c>
      <c r="K548" s="87"/>
      <c r="L548" s="87"/>
    </row>
    <row r="549" spans="1:12" ht="15" x14ac:dyDescent="0.25">
      <c r="A549" t="s">
        <v>20336</v>
      </c>
      <c r="B549" t="s">
        <v>14165</v>
      </c>
      <c r="C549" t="s">
        <v>14166</v>
      </c>
      <c r="D549" t="s">
        <v>14167</v>
      </c>
      <c r="E549">
        <v>1310</v>
      </c>
      <c r="F549" t="s">
        <v>12692</v>
      </c>
      <c r="G549" t="s">
        <v>5060</v>
      </c>
      <c r="H549" t="str">
        <f t="shared" si="16"/>
        <v>School1310Carrollton</v>
      </c>
      <c r="I549" t="str">
        <f t="shared" si="17"/>
        <v>School</v>
      </c>
      <c r="J549" s="82" t="str">
        <f>IFERROR(INDEX('All Folders'!$A:$A,MATCH(H549,'All Folders'!$G:$G,0),1),"¶")</f>
        <v>SP18</v>
      </c>
      <c r="K549" s="87"/>
      <c r="L549" s="87"/>
    </row>
    <row r="550" spans="1:12" ht="15" x14ac:dyDescent="0.25">
      <c r="A550" t="s">
        <v>20337</v>
      </c>
      <c r="B550" t="s">
        <v>14168</v>
      </c>
      <c r="C550" t="s">
        <v>14169</v>
      </c>
      <c r="D550" t="s">
        <v>14170</v>
      </c>
      <c r="E550">
        <v>1801</v>
      </c>
      <c r="F550" t="s">
        <v>14171</v>
      </c>
      <c r="G550" t="s">
        <v>5060</v>
      </c>
      <c r="H550" t="str">
        <f t="shared" si="16"/>
        <v>Cox1801Carrollton</v>
      </c>
      <c r="I550" t="str">
        <f t="shared" si="17"/>
        <v>Cox</v>
      </c>
      <c r="J550" s="82">
        <f>IFERROR(INDEX('All Folders'!$A:$A,MATCH(H550,'All Folders'!$G:$G,0),1),"¶")</f>
        <v>30022</v>
      </c>
      <c r="K550" s="87"/>
      <c r="L550" s="87"/>
    </row>
    <row r="551" spans="1:12" ht="15" x14ac:dyDescent="0.25">
      <c r="A551" t="s">
        <v>20338</v>
      </c>
      <c r="B551" t="s">
        <v>14172</v>
      </c>
      <c r="C551" t="s">
        <v>14173</v>
      </c>
      <c r="D551" t="s">
        <v>14174</v>
      </c>
      <c r="E551">
        <v>1455</v>
      </c>
      <c r="F551" t="s">
        <v>14175</v>
      </c>
      <c r="G551" t="s">
        <v>5060</v>
      </c>
      <c r="H551" t="str">
        <f t="shared" si="16"/>
        <v>Perry1455Carrollton</v>
      </c>
      <c r="I551" t="str">
        <f t="shared" si="17"/>
        <v>Perry</v>
      </c>
      <c r="J551" s="82">
        <f>IFERROR(INDEX('All Folders'!$A:$A,MATCH(H551,'All Folders'!$G:$G,0),1),"¶")</f>
        <v>13993</v>
      </c>
      <c r="K551" s="87"/>
      <c r="L551" s="87"/>
    </row>
    <row r="552" spans="1:12" ht="15" x14ac:dyDescent="0.25">
      <c r="A552" t="s">
        <v>20339</v>
      </c>
      <c r="B552" t="s">
        <v>14176</v>
      </c>
      <c r="C552" t="s">
        <v>14177</v>
      </c>
      <c r="D552" t="s">
        <v>14178</v>
      </c>
      <c r="E552">
        <v>1050</v>
      </c>
      <c r="F552" t="s">
        <v>14179</v>
      </c>
      <c r="G552" t="s">
        <v>5060</v>
      </c>
      <c r="H552" t="str">
        <f t="shared" si="16"/>
        <v>Park1050Carrollton</v>
      </c>
      <c r="I552" t="str">
        <f t="shared" si="17"/>
        <v>Park</v>
      </c>
      <c r="J552" s="82">
        <f>IFERROR(INDEX('All Folders'!$A:$A,MATCH(H552,'All Folders'!$G:$G,0),1),"¶")</f>
        <v>14076</v>
      </c>
      <c r="K552" s="87"/>
      <c r="L552" s="87"/>
    </row>
    <row r="553" spans="1:12" ht="15" x14ac:dyDescent="0.25">
      <c r="A553" t="s">
        <v>20340</v>
      </c>
      <c r="B553" t="s">
        <v>14180</v>
      </c>
      <c r="C553" t="s">
        <v>14181</v>
      </c>
      <c r="D553" t="s">
        <v>14182</v>
      </c>
      <c r="E553">
        <v>1404</v>
      </c>
      <c r="F553" t="s">
        <v>254</v>
      </c>
      <c r="G553" t="s">
        <v>5060</v>
      </c>
      <c r="H553" t="str">
        <f t="shared" si="16"/>
        <v>Fannidelia1404Carrollton</v>
      </c>
      <c r="I553" t="str">
        <f t="shared" si="17"/>
        <v>Fannidelia</v>
      </c>
      <c r="J553" s="82" t="str">
        <f>IFERROR(INDEX('All Folders'!$A:$A,MATCH(H553,'All Folders'!$G:$G,0),1),"¶")</f>
        <v>SP14</v>
      </c>
      <c r="K553" s="87"/>
      <c r="L553" s="87"/>
    </row>
    <row r="554" spans="1:12" ht="15" x14ac:dyDescent="0.25">
      <c r="A554" t="s">
        <v>20341</v>
      </c>
      <c r="B554" t="s">
        <v>14183</v>
      </c>
      <c r="C554" t="s">
        <v>14184</v>
      </c>
      <c r="D554" t="s">
        <v>14185</v>
      </c>
      <c r="E554">
        <v>3420</v>
      </c>
      <c r="F554" t="s">
        <v>6218</v>
      </c>
      <c r="G554" t="s">
        <v>5060</v>
      </c>
      <c r="H554" t="str">
        <f t="shared" si="16"/>
        <v>Country3420Carrollton</v>
      </c>
      <c r="I554" t="str">
        <f t="shared" si="17"/>
        <v>Country</v>
      </c>
      <c r="J554" s="91">
        <f>IFERROR(INDEX('All Folders'!$A:$A,MATCH(H554,'All Folders'!$G:$G,0),1),"¶")</f>
        <v>13977</v>
      </c>
      <c r="K554" s="87"/>
      <c r="L554" s="87"/>
    </row>
    <row r="555" spans="1:12" ht="15" x14ac:dyDescent="0.25">
      <c r="A555" t="s">
        <v>20343</v>
      </c>
      <c r="B555" t="s">
        <v>14190</v>
      </c>
      <c r="C555" t="s">
        <v>14191</v>
      </c>
      <c r="D555" t="s">
        <v>13052</v>
      </c>
      <c r="E555">
        <v>2250</v>
      </c>
      <c r="F555" t="s">
        <v>14192</v>
      </c>
      <c r="G555" t="s">
        <v>5060</v>
      </c>
      <c r="H555" t="str">
        <f t="shared" si="16"/>
        <v>Marsh2250Carrollton</v>
      </c>
      <c r="I555" t="str">
        <f t="shared" si="17"/>
        <v>Marsh</v>
      </c>
      <c r="J555" s="82">
        <f>IFERROR(INDEX('All Folders'!$A:$A,MATCH(H555,'All Folders'!$G:$G,0),1),"¶")</f>
        <v>13650</v>
      </c>
      <c r="K555" s="87"/>
      <c r="L555" s="87"/>
    </row>
    <row r="556" spans="1:12" ht="15" x14ac:dyDescent="0.25">
      <c r="A556" t="s">
        <v>20344</v>
      </c>
      <c r="B556" t="s">
        <v>14193</v>
      </c>
      <c r="C556" t="s">
        <v>14194</v>
      </c>
      <c r="D556" t="s">
        <v>6435</v>
      </c>
      <c r="E556">
        <v>2800</v>
      </c>
      <c r="F556" t="s">
        <v>14195</v>
      </c>
      <c r="G556" t="s">
        <v>5060</v>
      </c>
      <c r="H556" t="str">
        <f t="shared" si="16"/>
        <v>Keller2800Carrollton</v>
      </c>
      <c r="I556" t="str">
        <f t="shared" si="17"/>
        <v>Keller</v>
      </c>
      <c r="J556" s="82" t="str">
        <f>IFERROR(INDEX('All Folders'!$A:$A,MATCH(H556,'All Folders'!$G:$G,0),1),"¶")</f>
        <v>SP16</v>
      </c>
      <c r="K556" s="87"/>
      <c r="L556" s="87"/>
    </row>
    <row r="557" spans="1:12" ht="15" x14ac:dyDescent="0.25">
      <c r="A557" t="s">
        <v>20345</v>
      </c>
      <c r="B557" t="s">
        <v>14196</v>
      </c>
      <c r="C557" t="s">
        <v>14197</v>
      </c>
      <c r="D557" t="s">
        <v>14198</v>
      </c>
      <c r="E557">
        <v>1220</v>
      </c>
      <c r="F557" t="s">
        <v>14199</v>
      </c>
      <c r="G557" t="s">
        <v>5060</v>
      </c>
      <c r="H557" t="str">
        <f t="shared" si="16"/>
        <v>Indian1220Carrollton</v>
      </c>
      <c r="I557" t="str">
        <f t="shared" si="17"/>
        <v>Indian</v>
      </c>
      <c r="J557" s="82">
        <f>IFERROR(INDEX('All Folders'!$A:$A,MATCH(H557,'All Folders'!$G:$G,0),1),"¶")</f>
        <v>18132</v>
      </c>
      <c r="K557" s="87"/>
      <c r="L557" s="87"/>
    </row>
    <row r="558" spans="1:12" ht="15" x14ac:dyDescent="0.25">
      <c r="A558" t="s">
        <v>20346</v>
      </c>
      <c r="B558" t="s">
        <v>14200</v>
      </c>
      <c r="C558" t="s">
        <v>14201</v>
      </c>
      <c r="D558" t="s">
        <v>14132</v>
      </c>
      <c r="E558">
        <v>3022</v>
      </c>
      <c r="F558" t="s">
        <v>14202</v>
      </c>
      <c r="G558" t="s">
        <v>5060</v>
      </c>
      <c r="H558" t="str">
        <f t="shared" si="16"/>
        <v>Josey3022Carrollton</v>
      </c>
      <c r="I558" t="str">
        <f t="shared" si="17"/>
        <v>Josey</v>
      </c>
      <c r="J558" s="82">
        <f>IFERROR(INDEX('All Folders'!$A:$A,MATCH(H558,'All Folders'!$G:$G,0),1),"¶")</f>
        <v>14248</v>
      </c>
      <c r="K558" s="87"/>
      <c r="L558" s="87"/>
    </row>
    <row r="559" spans="1:12" ht="15" x14ac:dyDescent="0.25">
      <c r="A559" t="s">
        <v>20348</v>
      </c>
      <c r="B559" t="s">
        <v>14206</v>
      </c>
      <c r="C559" t="s">
        <v>14207</v>
      </c>
      <c r="D559" t="s">
        <v>14208</v>
      </c>
      <c r="E559">
        <v>211</v>
      </c>
      <c r="F559" t="s">
        <v>14209</v>
      </c>
      <c r="G559" t="s">
        <v>11698</v>
      </c>
      <c r="H559" t="str">
        <f t="shared" si="16"/>
        <v>Meadow211Castroville</v>
      </c>
      <c r="I559" t="str">
        <f t="shared" si="17"/>
        <v>Meadow</v>
      </c>
      <c r="J559" s="82">
        <f>IFERROR(INDEX('All Folders'!$A:$A,MATCH(H559,'All Folders'!$G:$G,0),1),"¶")</f>
        <v>30263</v>
      </c>
      <c r="K559" s="87"/>
      <c r="L559" s="87"/>
    </row>
    <row r="560" spans="1:12" ht="15" x14ac:dyDescent="0.25">
      <c r="A560" t="s">
        <v>20349</v>
      </c>
      <c r="B560" t="s">
        <v>14210</v>
      </c>
      <c r="C560" t="s">
        <v>14211</v>
      </c>
      <c r="D560" t="s">
        <v>14212</v>
      </c>
      <c r="E560">
        <v>315</v>
      </c>
      <c r="F560" t="s">
        <v>14213</v>
      </c>
      <c r="G560" t="s">
        <v>5407</v>
      </c>
      <c r="H560" t="str">
        <f t="shared" si="16"/>
        <v>Cedar315Cedar Hill</v>
      </c>
      <c r="I560" t="str">
        <f t="shared" si="17"/>
        <v>Cedar</v>
      </c>
      <c r="J560" s="89" t="str">
        <f>IFERROR(INDEX('All Folders'!$A:$A,MATCH(H560,'All Folders'!$G:$G,0),1),"¶")</f>
        <v>SP19</v>
      </c>
      <c r="K560" s="87"/>
      <c r="L560" s="87"/>
    </row>
    <row r="561" spans="1:12" ht="15" x14ac:dyDescent="0.25">
      <c r="A561" t="s">
        <v>20350</v>
      </c>
      <c r="B561" t="s">
        <v>14214</v>
      </c>
      <c r="C561" t="s">
        <v>14215</v>
      </c>
      <c r="D561" t="s">
        <v>14216</v>
      </c>
      <c r="E561">
        <v>312</v>
      </c>
      <c r="F561" t="s">
        <v>14216</v>
      </c>
      <c r="G561" t="s">
        <v>5407</v>
      </c>
      <c r="H561" t="str">
        <f t="shared" si="16"/>
        <v>Hickerson312Cedar Hill</v>
      </c>
      <c r="I561" t="str">
        <f t="shared" si="17"/>
        <v>Hickerson</v>
      </c>
      <c r="J561" s="82" t="str">
        <f>IFERROR(INDEX('All Folders'!$A:$A,MATCH(H561,'All Folders'!$G:$G,0),1),"¶")</f>
        <v>SP20</v>
      </c>
      <c r="K561" s="87"/>
      <c r="L561" s="87"/>
    </row>
    <row r="562" spans="1:12" ht="15" x14ac:dyDescent="0.25">
      <c r="A562" t="s">
        <v>20351</v>
      </c>
      <c r="B562" t="s">
        <v>14217</v>
      </c>
      <c r="C562" t="s">
        <v>14218</v>
      </c>
      <c r="D562" t="s">
        <v>14219</v>
      </c>
      <c r="E562">
        <v>706</v>
      </c>
      <c r="F562" t="s">
        <v>12776</v>
      </c>
      <c r="G562" t="s">
        <v>5407</v>
      </c>
      <c r="H562" t="str">
        <f t="shared" si="16"/>
        <v>Lemons706Cedar Hill</v>
      </c>
      <c r="I562" t="str">
        <f t="shared" si="17"/>
        <v>Lemons</v>
      </c>
      <c r="J562" s="82" t="str">
        <f>IFERROR(INDEX('All Folders'!$A:$A,MATCH(H562,'All Folders'!$G:$G,0),1),"¶")</f>
        <v>SP21</v>
      </c>
      <c r="K562" s="87"/>
      <c r="L562" s="87"/>
    </row>
    <row r="563" spans="1:12" ht="15" x14ac:dyDescent="0.25">
      <c r="A563" t="s">
        <v>20352</v>
      </c>
      <c r="B563" t="s">
        <v>14220</v>
      </c>
      <c r="C563" t="s">
        <v>14221</v>
      </c>
      <c r="D563" t="s">
        <v>14222</v>
      </c>
      <c r="E563">
        <v>151</v>
      </c>
      <c r="F563" t="s">
        <v>14223</v>
      </c>
      <c r="G563" t="s">
        <v>5407</v>
      </c>
      <c r="H563" t="str">
        <f t="shared" si="16"/>
        <v>Little151Cedar Hill</v>
      </c>
      <c r="I563" t="str">
        <f t="shared" si="17"/>
        <v>Little</v>
      </c>
      <c r="J563" s="82">
        <f>IFERROR(INDEX('All Folders'!$A:$A,MATCH(H563,'All Folders'!$G:$G,0),1),"¶")</f>
        <v>13351</v>
      </c>
      <c r="K563" s="87"/>
      <c r="L563" s="87"/>
    </row>
    <row r="564" spans="1:12" ht="15" x14ac:dyDescent="0.25">
      <c r="A564" t="s">
        <v>20353</v>
      </c>
      <c r="B564" t="s">
        <v>14224</v>
      </c>
      <c r="C564" t="s">
        <v>14225</v>
      </c>
      <c r="D564" t="s">
        <v>14226</v>
      </c>
      <c r="E564">
        <v>403</v>
      </c>
      <c r="F564" t="s">
        <v>14227</v>
      </c>
      <c r="G564" t="s">
        <v>705</v>
      </c>
      <c r="H564" t="str">
        <f t="shared" si="16"/>
        <v>Buttercup403Cedar Park</v>
      </c>
      <c r="I564" t="str">
        <f t="shared" si="17"/>
        <v>Buttercup</v>
      </c>
      <c r="J564" s="82">
        <f>IFERROR(INDEX('All Folders'!$A:$A,MATCH(H564,'All Folders'!$G:$G,0),1),"¶")</f>
        <v>15838</v>
      </c>
      <c r="K564" s="87"/>
      <c r="L564" s="87"/>
    </row>
    <row r="565" spans="1:12" ht="15" x14ac:dyDescent="0.25">
      <c r="A565" t="s">
        <v>20354</v>
      </c>
      <c r="B565" t="s">
        <v>14228</v>
      </c>
      <c r="C565" t="s">
        <v>14229</v>
      </c>
      <c r="D565" t="s">
        <v>14230</v>
      </c>
      <c r="E565">
        <v>350</v>
      </c>
      <c r="F565" t="s">
        <v>9954</v>
      </c>
      <c r="G565" t="s">
        <v>705</v>
      </c>
      <c r="H565" t="str">
        <f t="shared" si="16"/>
        <v>Cypress350Cedar Park</v>
      </c>
      <c r="I565" t="str">
        <f t="shared" si="17"/>
        <v>Cypress</v>
      </c>
      <c r="J565" s="82">
        <f>IFERROR(INDEX('All Folders'!$A:$A,MATCH(H565,'All Folders'!$G:$G,0),1),"¶")</f>
        <v>17620</v>
      </c>
      <c r="K565" s="87"/>
      <c r="L565" s="87"/>
    </row>
    <row r="566" spans="1:12" ht="15" x14ac:dyDescent="0.25">
      <c r="A566" t="s">
        <v>20355</v>
      </c>
      <c r="B566" t="s">
        <v>14231</v>
      </c>
      <c r="C566" t="s">
        <v>14232</v>
      </c>
      <c r="D566" t="s">
        <v>14233</v>
      </c>
      <c r="E566">
        <v>1661</v>
      </c>
      <c r="F566" t="s">
        <v>14234</v>
      </c>
      <c r="G566" t="s">
        <v>11427</v>
      </c>
      <c r="H566" t="str">
        <f t="shared" si="16"/>
        <v>Woodard1661Cleburne</v>
      </c>
      <c r="I566" t="str">
        <f t="shared" si="17"/>
        <v>Woodard</v>
      </c>
      <c r="J566" s="82">
        <f>IFERROR(INDEX('All Folders'!$A:$A,MATCH(H566,'All Folders'!$G:$G,0),1),"¶")</f>
        <v>30025</v>
      </c>
      <c r="K566" s="87"/>
      <c r="L566" s="87"/>
    </row>
    <row r="567" spans="1:12" ht="15" x14ac:dyDescent="0.25">
      <c r="A567" t="s">
        <v>20356</v>
      </c>
      <c r="B567" t="s">
        <v>14235</v>
      </c>
      <c r="C567" t="s">
        <v>14236</v>
      </c>
      <c r="D567" t="s">
        <v>14237</v>
      </c>
      <c r="E567">
        <v>101</v>
      </c>
      <c r="F567" t="s">
        <v>14238</v>
      </c>
      <c r="G567" t="s">
        <v>11427</v>
      </c>
      <c r="H567" t="str">
        <f t="shared" si="16"/>
        <v>Westcourt101Cleburne</v>
      </c>
      <c r="I567" t="str">
        <f t="shared" si="17"/>
        <v>Westcourt</v>
      </c>
      <c r="J567" s="82">
        <f>IFERROR(INDEX('All Folders'!$A:$A,MATCH(H567,'All Folders'!$G:$G,0),1),"¶")</f>
        <v>30024</v>
      </c>
      <c r="K567" s="87"/>
      <c r="L567" s="87"/>
    </row>
    <row r="568" spans="1:12" ht="15" x14ac:dyDescent="0.25">
      <c r="A568" t="s">
        <v>20357</v>
      </c>
      <c r="B568" t="s">
        <v>14239</v>
      </c>
      <c r="C568" t="s">
        <v>14240</v>
      </c>
      <c r="D568" t="s">
        <v>14241</v>
      </c>
      <c r="E568">
        <v>605</v>
      </c>
      <c r="F568" t="s">
        <v>2497</v>
      </c>
      <c r="G568" t="s">
        <v>11427</v>
      </c>
      <c r="H568" t="str">
        <f t="shared" si="16"/>
        <v>Caddo605Cleburne</v>
      </c>
      <c r="I568" t="str">
        <f t="shared" si="17"/>
        <v>Caddo</v>
      </c>
      <c r="J568" s="82" t="str">
        <f>IFERROR(INDEX('All Folders'!$A:$A,MATCH(H568,'All Folders'!$G:$G,0),1),"¶")</f>
        <v>SP22</v>
      </c>
      <c r="K568" s="87"/>
      <c r="L568" s="87"/>
    </row>
    <row r="569" spans="1:12" ht="15" x14ac:dyDescent="0.25">
      <c r="A569" t="s">
        <v>20358</v>
      </c>
      <c r="B569" t="s">
        <v>14242</v>
      </c>
      <c r="C569" t="s">
        <v>14243</v>
      </c>
      <c r="D569" t="s">
        <v>14244</v>
      </c>
      <c r="E569">
        <v>201</v>
      </c>
      <c r="F569" t="s">
        <v>14245</v>
      </c>
      <c r="G569" t="s">
        <v>4399</v>
      </c>
      <c r="H569" t="str">
        <f t="shared" si="16"/>
        <v>Hackberry201Clute</v>
      </c>
      <c r="I569" t="str">
        <f t="shared" si="17"/>
        <v>Hackberry</v>
      </c>
      <c r="J569" s="88">
        <v>4181</v>
      </c>
      <c r="K569" s="87"/>
      <c r="L569" s="87"/>
    </row>
    <row r="570" spans="1:12" ht="15" x14ac:dyDescent="0.25">
      <c r="A570" t="s">
        <v>20359</v>
      </c>
      <c r="B570" t="s">
        <v>14246</v>
      </c>
      <c r="C570" t="s">
        <v>14247</v>
      </c>
      <c r="D570" t="s">
        <v>14248</v>
      </c>
      <c r="E570">
        <v>200</v>
      </c>
      <c r="F570" t="s">
        <v>4425</v>
      </c>
      <c r="G570" t="s">
        <v>4399</v>
      </c>
      <c r="H570" t="str">
        <f t="shared" si="16"/>
        <v>Brazoswood200Clute</v>
      </c>
      <c r="I570" t="str">
        <f t="shared" si="17"/>
        <v>Brazoswood</v>
      </c>
      <c r="J570" s="82">
        <f>IFERROR(INDEX('All Folders'!$A:$A,MATCH(H570,'All Folders'!$G:$G,0),1),"¶")</f>
        <v>4144</v>
      </c>
      <c r="K570" s="87"/>
      <c r="L570" s="87"/>
    </row>
    <row r="571" spans="1:12" ht="15" x14ac:dyDescent="0.25">
      <c r="A571" t="s">
        <v>20360</v>
      </c>
      <c r="B571" t="s">
        <v>14249</v>
      </c>
      <c r="C571" t="s">
        <v>14250</v>
      </c>
      <c r="D571" t="s">
        <v>14244</v>
      </c>
      <c r="E571">
        <v>202</v>
      </c>
      <c r="F571" t="s">
        <v>280</v>
      </c>
      <c r="G571" t="s">
        <v>4399</v>
      </c>
      <c r="H571" t="str">
        <f t="shared" si="16"/>
        <v>Hackberry202Clute</v>
      </c>
      <c r="I571" t="str">
        <f t="shared" si="17"/>
        <v>Hackberry</v>
      </c>
      <c r="J571" s="82">
        <f>IFERROR(INDEX('All Folders'!$A:$A,MATCH(H571,'All Folders'!$G:$G,0),1),"¶")</f>
        <v>30454</v>
      </c>
      <c r="K571" s="87"/>
      <c r="L571" s="87"/>
    </row>
    <row r="572" spans="1:12" ht="15" x14ac:dyDescent="0.25">
      <c r="A572" t="s">
        <v>20361</v>
      </c>
      <c r="B572" t="s">
        <v>14251</v>
      </c>
      <c r="C572" t="s">
        <v>14252</v>
      </c>
      <c r="D572" t="s">
        <v>14253</v>
      </c>
      <c r="E572">
        <v>1201</v>
      </c>
      <c r="F572" t="s">
        <v>14254</v>
      </c>
      <c r="G572" t="s">
        <v>8612</v>
      </c>
      <c r="H572" t="str">
        <f t="shared" si="16"/>
        <v>Harvey1201College Station</v>
      </c>
      <c r="I572" t="str">
        <f t="shared" si="17"/>
        <v>Harvey</v>
      </c>
      <c r="J572" s="82">
        <f>IFERROR(INDEX('All Folders'!$A:$A,MATCH(H572,'All Folders'!$G:$G,0),1),"¶")</f>
        <v>16298</v>
      </c>
      <c r="K572" s="87"/>
      <c r="L572" s="87"/>
    </row>
    <row r="573" spans="1:12" ht="15" x14ac:dyDescent="0.25">
      <c r="A573" t="s">
        <v>20362</v>
      </c>
      <c r="B573" t="s">
        <v>14255</v>
      </c>
      <c r="C573" t="s">
        <v>14256</v>
      </c>
      <c r="D573" t="s">
        <v>14257</v>
      </c>
      <c r="E573">
        <v>205</v>
      </c>
      <c r="F573" t="s">
        <v>14258</v>
      </c>
      <c r="G573" t="s">
        <v>8612</v>
      </c>
      <c r="H573" t="str">
        <f t="shared" si="16"/>
        <v>Parkway205College Station</v>
      </c>
      <c r="I573" t="str">
        <f t="shared" si="17"/>
        <v>Parkway</v>
      </c>
      <c r="J573" s="88">
        <v>30456</v>
      </c>
      <c r="K573" s="87"/>
      <c r="L573" s="87"/>
    </row>
    <row r="574" spans="1:12" ht="15" x14ac:dyDescent="0.25">
      <c r="A574" t="s">
        <v>20363</v>
      </c>
      <c r="B574" t="s">
        <v>14259</v>
      </c>
      <c r="C574" t="s">
        <v>14260</v>
      </c>
      <c r="D574" t="s">
        <v>14261</v>
      </c>
      <c r="E574">
        <v>2400</v>
      </c>
      <c r="F574" t="s">
        <v>14262</v>
      </c>
      <c r="G574" t="s">
        <v>8612</v>
      </c>
      <c r="H574" t="str">
        <f t="shared" si="16"/>
        <v>Central2400College Station</v>
      </c>
      <c r="I574" t="str">
        <f t="shared" si="17"/>
        <v>Central</v>
      </c>
      <c r="J574" s="82">
        <f>IFERROR(INDEX('All Folders'!$A:$A,MATCH(H574,'All Folders'!$G:$G,0),1),"¶")</f>
        <v>16119</v>
      </c>
      <c r="K574" s="87"/>
      <c r="L574" s="87"/>
    </row>
    <row r="575" spans="1:12" ht="15" x14ac:dyDescent="0.25">
      <c r="A575" t="s">
        <v>20364</v>
      </c>
      <c r="B575" t="s">
        <v>14263</v>
      </c>
      <c r="C575" t="s">
        <v>14264</v>
      </c>
      <c r="D575" t="s">
        <v>14265</v>
      </c>
      <c r="E575">
        <v>601</v>
      </c>
      <c r="F575" t="s">
        <v>11411</v>
      </c>
      <c r="G575" t="s">
        <v>8612</v>
      </c>
      <c r="H575" t="str">
        <f t="shared" si="16"/>
        <v>Luther601College Station</v>
      </c>
      <c r="I575" t="str">
        <f t="shared" si="17"/>
        <v>Luther</v>
      </c>
      <c r="J575" s="82">
        <f>IFERROR(INDEX('All Folders'!$A:$A,MATCH(H575,'All Folders'!$G:$G,0),1),"¶")</f>
        <v>16285</v>
      </c>
      <c r="K575" s="87"/>
      <c r="L575" s="87"/>
    </row>
    <row r="576" spans="1:12" ht="15" x14ac:dyDescent="0.25">
      <c r="A576" t="s">
        <v>20365</v>
      </c>
      <c r="B576" t="s">
        <v>14266</v>
      </c>
      <c r="C576" t="s">
        <v>14267</v>
      </c>
      <c r="D576" t="s">
        <v>14268</v>
      </c>
      <c r="E576">
        <v>309</v>
      </c>
      <c r="F576" t="s">
        <v>14269</v>
      </c>
      <c r="G576" t="s">
        <v>8612</v>
      </c>
      <c r="H576" t="str">
        <f t="shared" si="16"/>
        <v>Redmond309College Station</v>
      </c>
      <c r="I576" t="str">
        <f t="shared" si="17"/>
        <v>Redmond</v>
      </c>
      <c r="J576" s="89">
        <f>IFERROR(INDEX('All Folders'!$A:$A,MATCH(H576,'All Folders'!$G:$G,0),1),"¶")</f>
        <v>16312</v>
      </c>
      <c r="K576" s="87"/>
      <c r="L576" s="87"/>
    </row>
    <row r="577" spans="1:12" ht="15" x14ac:dyDescent="0.25">
      <c r="A577" t="s">
        <v>20366</v>
      </c>
      <c r="B577" t="s">
        <v>14270</v>
      </c>
      <c r="C577" t="s">
        <v>14271</v>
      </c>
      <c r="D577" t="s">
        <v>14257</v>
      </c>
      <c r="E577">
        <v>1600</v>
      </c>
      <c r="F577" t="s">
        <v>3509</v>
      </c>
      <c r="G577" t="s">
        <v>8612</v>
      </c>
      <c r="H577" t="str">
        <f t="shared" si="16"/>
        <v>Parkway1600College Station</v>
      </c>
      <c r="I577" t="str">
        <f t="shared" si="17"/>
        <v>Parkway</v>
      </c>
      <c r="J577" s="97">
        <v>16122</v>
      </c>
      <c r="K577" s="87"/>
      <c r="L577" s="87"/>
    </row>
    <row r="578" spans="1:12" ht="15" x14ac:dyDescent="0.25">
      <c r="A578" t="s">
        <v>20367</v>
      </c>
      <c r="B578" t="s">
        <v>14272</v>
      </c>
      <c r="C578" t="s">
        <v>14273</v>
      </c>
      <c r="D578" t="s">
        <v>14274</v>
      </c>
      <c r="E578">
        <v>1501</v>
      </c>
      <c r="F578" t="s">
        <v>14275</v>
      </c>
      <c r="G578" t="s">
        <v>8612</v>
      </c>
      <c r="H578" t="str">
        <f t="shared" ref="H578:H641" si="18">I578&amp;E578&amp;G578</f>
        <v>Holleman1501College Station</v>
      </c>
      <c r="I578" t="str">
        <f t="shared" ref="I578:I641" si="19">IFERROR(LEFT(D578,FIND(" ",D578)-1),D578)</f>
        <v>Holleman</v>
      </c>
      <c r="J578" s="82">
        <f>IFERROR(INDEX('All Folders'!$A:$A,MATCH(H578,'All Folders'!$G:$G,0),1),"¶")</f>
        <v>16305</v>
      </c>
      <c r="K578" s="87"/>
      <c r="L578" s="87"/>
    </row>
    <row r="579" spans="1:12" ht="15" x14ac:dyDescent="0.25">
      <c r="A579" t="s">
        <v>20368</v>
      </c>
      <c r="B579" t="s">
        <v>14276</v>
      </c>
      <c r="C579" t="s">
        <v>14277</v>
      </c>
      <c r="D579" t="s">
        <v>14278</v>
      </c>
      <c r="E579">
        <v>1903</v>
      </c>
      <c r="F579" t="s">
        <v>14279</v>
      </c>
      <c r="G579" t="s">
        <v>8612</v>
      </c>
      <c r="H579" t="str">
        <f t="shared" si="18"/>
        <v>Dartmouth1903College Station</v>
      </c>
      <c r="I579" t="str">
        <f t="shared" si="19"/>
        <v>Dartmouth</v>
      </c>
      <c r="J579" s="82">
        <f>IFERROR(INDEX('All Folders'!$A:$A,MATCH(H579,'All Folders'!$G:$G,0),1),"¶")</f>
        <v>30455</v>
      </c>
      <c r="K579" s="87"/>
      <c r="L579" s="87"/>
    </row>
    <row r="580" spans="1:12" ht="15" x14ac:dyDescent="0.25">
      <c r="A580" t="s">
        <v>20370</v>
      </c>
      <c r="B580" t="s">
        <v>14284</v>
      </c>
      <c r="C580" t="s">
        <v>14285</v>
      </c>
      <c r="D580" t="s">
        <v>14257</v>
      </c>
      <c r="E580">
        <v>1011</v>
      </c>
      <c r="F580" t="s">
        <v>14286</v>
      </c>
      <c r="G580" t="s">
        <v>8612</v>
      </c>
      <c r="H580" t="str">
        <f t="shared" si="18"/>
        <v>Parkway1011College Station</v>
      </c>
      <c r="I580" t="str">
        <f t="shared" si="19"/>
        <v>Parkway</v>
      </c>
      <c r="J580" s="88">
        <v>16276</v>
      </c>
      <c r="K580" s="87"/>
      <c r="L580" s="87"/>
    </row>
    <row r="581" spans="1:12" ht="15" x14ac:dyDescent="0.25">
      <c r="A581" t="s">
        <v>20371</v>
      </c>
      <c r="B581" t="s">
        <v>14287</v>
      </c>
      <c r="C581" t="s">
        <v>14288</v>
      </c>
      <c r="D581" t="s">
        <v>14257</v>
      </c>
      <c r="E581">
        <v>502</v>
      </c>
      <c r="F581" t="s">
        <v>3037</v>
      </c>
      <c r="G581" t="s">
        <v>8612</v>
      </c>
      <c r="H581" t="str">
        <f t="shared" si="18"/>
        <v>Parkway502College Station</v>
      </c>
      <c r="I581" t="str">
        <f t="shared" si="19"/>
        <v>Parkway</v>
      </c>
      <c r="J581" s="88">
        <v>16314</v>
      </c>
      <c r="K581" s="87"/>
      <c r="L581" s="87"/>
    </row>
    <row r="582" spans="1:12" ht="15" x14ac:dyDescent="0.25">
      <c r="A582" t="s">
        <v>20372</v>
      </c>
      <c r="B582" t="s">
        <v>14289</v>
      </c>
      <c r="C582" t="s">
        <v>14290</v>
      </c>
      <c r="D582" t="s">
        <v>14291</v>
      </c>
      <c r="E582">
        <v>928</v>
      </c>
      <c r="F582" t="s">
        <v>14292</v>
      </c>
      <c r="G582" t="s">
        <v>12422</v>
      </c>
      <c r="H582" t="str">
        <f t="shared" si="18"/>
        <v>Waco928Colorado City</v>
      </c>
      <c r="I582" t="str">
        <f t="shared" si="19"/>
        <v>Waco</v>
      </c>
      <c r="J582" s="82">
        <f>IFERROR(INDEX('All Folders'!$A:$A,MATCH(H582,'All Folders'!$G:$G,0),1),"¶")</f>
        <v>30752</v>
      </c>
      <c r="K582" s="87"/>
      <c r="L582" s="87"/>
    </row>
    <row r="583" spans="1:12" ht="15" x14ac:dyDescent="0.25">
      <c r="A583" t="s">
        <v>20373</v>
      </c>
      <c r="B583" t="s">
        <v>14293</v>
      </c>
      <c r="C583" t="s">
        <v>14294</v>
      </c>
      <c r="D583" t="s">
        <v>14295</v>
      </c>
      <c r="E583">
        <v>4215</v>
      </c>
      <c r="F583" t="s">
        <v>12461</v>
      </c>
      <c r="G583" t="s">
        <v>12462</v>
      </c>
      <c r="H583" t="str">
        <f t="shared" si="18"/>
        <v>Bethel4215Columbia</v>
      </c>
      <c r="I583" t="str">
        <f t="shared" si="19"/>
        <v>Bethel</v>
      </c>
      <c r="J583" s="82">
        <f>IFERROR(INDEX('All Folders'!$A:$A,MATCH(H583,'All Folders'!$G:$G,0),1),"¶")</f>
        <v>30769</v>
      </c>
      <c r="K583" s="87"/>
      <c r="L583" s="87"/>
    </row>
    <row r="584" spans="1:12" ht="15" x14ac:dyDescent="0.25">
      <c r="A584" t="s">
        <v>20374</v>
      </c>
      <c r="B584" t="s">
        <v>14296</v>
      </c>
      <c r="C584" t="s">
        <v>14297</v>
      </c>
      <c r="D584" t="s">
        <v>11436</v>
      </c>
      <c r="E584">
        <v>2309</v>
      </c>
      <c r="F584" t="s">
        <v>14298</v>
      </c>
      <c r="G584" t="s">
        <v>5434</v>
      </c>
      <c r="H584" t="str">
        <f t="shared" si="18"/>
        <v>Washington2309Commerce</v>
      </c>
      <c r="I584" t="str">
        <f t="shared" si="19"/>
        <v>Washington</v>
      </c>
      <c r="J584" s="82">
        <f>IFERROR(INDEX('All Folders'!$A:$A,MATCH(H584,'All Folders'!$G:$G,0),1),"¶")</f>
        <v>30030</v>
      </c>
      <c r="K584" s="87"/>
      <c r="L584" s="87"/>
    </row>
    <row r="585" spans="1:12" ht="15" x14ac:dyDescent="0.25">
      <c r="A585" t="s">
        <v>20375</v>
      </c>
      <c r="B585" t="s">
        <v>14299</v>
      </c>
      <c r="C585" t="s">
        <v>14300</v>
      </c>
      <c r="D585" t="s">
        <v>14301</v>
      </c>
      <c r="E585">
        <v>2458</v>
      </c>
      <c r="F585" t="s">
        <v>14302</v>
      </c>
      <c r="G585" t="s">
        <v>5434</v>
      </c>
      <c r="H585" t="str">
        <f t="shared" si="18"/>
        <v>Westgate2458Commerce</v>
      </c>
      <c r="I585" t="str">
        <f t="shared" si="19"/>
        <v>Westgate</v>
      </c>
      <c r="J585" s="82">
        <f>IFERROR(INDEX('All Folders'!$A:$A,MATCH(H585,'All Folders'!$G:$G,0),1),"¶")</f>
        <v>30031</v>
      </c>
      <c r="K585" s="87"/>
      <c r="L585" s="87"/>
    </row>
    <row r="586" spans="1:12" ht="15" x14ac:dyDescent="0.25">
      <c r="A586" t="s">
        <v>20376</v>
      </c>
      <c r="B586" t="s">
        <v>14303</v>
      </c>
      <c r="C586" t="s">
        <v>14304</v>
      </c>
      <c r="D586" t="s">
        <v>14305</v>
      </c>
      <c r="E586">
        <v>2210</v>
      </c>
      <c r="F586" t="s">
        <v>14306</v>
      </c>
      <c r="G586" t="s">
        <v>4616</v>
      </c>
      <c r="H586" t="str">
        <f t="shared" si="18"/>
        <v>Westview2210Conroe</v>
      </c>
      <c r="I586" t="str">
        <f t="shared" si="19"/>
        <v>Westview</v>
      </c>
      <c r="J586" s="82">
        <f>IFERROR(INDEX('All Folders'!$A:$A,MATCH(H586,'All Folders'!$G:$G,0),1),"¶")</f>
        <v>4391</v>
      </c>
      <c r="K586" s="87"/>
      <c r="L586" s="87"/>
    </row>
    <row r="587" spans="1:12" ht="15" x14ac:dyDescent="0.25">
      <c r="A587" t="s">
        <v>20377</v>
      </c>
      <c r="B587" t="s">
        <v>14307</v>
      </c>
      <c r="C587" t="s">
        <v>14308</v>
      </c>
      <c r="D587" t="s">
        <v>14309</v>
      </c>
      <c r="E587">
        <v>2200</v>
      </c>
      <c r="F587" t="s">
        <v>2603</v>
      </c>
      <c r="G587" t="s">
        <v>4616</v>
      </c>
      <c r="H587" t="str">
        <f t="shared" si="18"/>
        <v>Montgomery2200Conroe</v>
      </c>
      <c r="I587" t="str">
        <f t="shared" si="19"/>
        <v>Montgomery</v>
      </c>
      <c r="J587" s="82">
        <f>IFERROR(INDEX('All Folders'!$A:$A,MATCH(H587,'All Folders'!$G:$G,0),1),"¶")</f>
        <v>4394</v>
      </c>
      <c r="K587" s="87"/>
      <c r="L587" s="87"/>
    </row>
    <row r="588" spans="1:12" ht="15" x14ac:dyDescent="0.25">
      <c r="A588" t="s">
        <v>20378</v>
      </c>
      <c r="B588" t="s">
        <v>14310</v>
      </c>
      <c r="C588" t="s">
        <v>14311</v>
      </c>
      <c r="D588" t="s">
        <v>14312</v>
      </c>
      <c r="E588">
        <v>1840</v>
      </c>
      <c r="F588" t="s">
        <v>14313</v>
      </c>
      <c r="G588" t="s">
        <v>4616</v>
      </c>
      <c r="H588" t="str">
        <f t="shared" si="18"/>
        <v>Longmire1840Conroe</v>
      </c>
      <c r="I588" t="str">
        <f t="shared" si="19"/>
        <v>Longmire</v>
      </c>
      <c r="J588" s="82">
        <f>IFERROR(INDEX('All Folders'!$A:$A,MATCH(H588,'All Folders'!$G:$G,0),1),"¶")</f>
        <v>16760</v>
      </c>
      <c r="K588" s="87"/>
      <c r="L588" s="87"/>
    </row>
    <row r="589" spans="1:12" ht="15" x14ac:dyDescent="0.25">
      <c r="A589" t="s">
        <v>20379</v>
      </c>
      <c r="B589" t="s">
        <v>14314</v>
      </c>
      <c r="C589" t="s">
        <v>14315</v>
      </c>
      <c r="D589" t="s">
        <v>14316</v>
      </c>
      <c r="E589">
        <v>3030</v>
      </c>
      <c r="F589" t="s">
        <v>14317</v>
      </c>
      <c r="G589" t="s">
        <v>4616</v>
      </c>
      <c r="H589" t="str">
        <f t="shared" si="18"/>
        <v>Frazier3030Conroe</v>
      </c>
      <c r="I589" t="str">
        <f t="shared" si="19"/>
        <v>Frazier</v>
      </c>
      <c r="J589" s="82">
        <f>IFERROR(INDEX('All Folders'!$A:$A,MATCH(H589,'All Folders'!$G:$G,0),1),"¶")</f>
        <v>4364</v>
      </c>
      <c r="K589" s="87"/>
      <c r="L589" s="87"/>
    </row>
    <row r="590" spans="1:12" ht="15" x14ac:dyDescent="0.25">
      <c r="A590" t="s">
        <v>20380</v>
      </c>
      <c r="B590" t="s">
        <v>14318</v>
      </c>
      <c r="C590" t="s">
        <v>14319</v>
      </c>
      <c r="D590" t="s">
        <v>14320</v>
      </c>
      <c r="E590">
        <v>808</v>
      </c>
      <c r="F590" t="s">
        <v>14321</v>
      </c>
      <c r="G590" t="s">
        <v>4616</v>
      </c>
      <c r="H590" t="str">
        <f t="shared" si="18"/>
        <v>Gladstell808Conroe</v>
      </c>
      <c r="I590" t="str">
        <f t="shared" si="19"/>
        <v>Gladstell</v>
      </c>
      <c r="J590" s="82">
        <f>IFERROR(INDEX('All Folders'!$A:$A,MATCH(H590,'All Folders'!$G:$G,0),1),"¶")</f>
        <v>4361</v>
      </c>
      <c r="K590" s="87"/>
      <c r="L590" s="87"/>
    </row>
    <row r="591" spans="1:12" ht="15" x14ac:dyDescent="0.25">
      <c r="A591" t="s">
        <v>20381</v>
      </c>
      <c r="B591" t="s">
        <v>14322</v>
      </c>
      <c r="C591" t="s">
        <v>14323</v>
      </c>
      <c r="D591" t="s">
        <v>14324</v>
      </c>
      <c r="E591">
        <v>1600</v>
      </c>
      <c r="F591" t="s">
        <v>4774</v>
      </c>
      <c r="G591" t="s">
        <v>4616</v>
      </c>
      <c r="H591" t="str">
        <f t="shared" si="18"/>
        <v>River1600Conroe</v>
      </c>
      <c r="I591" t="str">
        <f t="shared" si="19"/>
        <v>River</v>
      </c>
      <c r="J591" s="82">
        <f>IFERROR(INDEX('All Folders'!$A:$A,MATCH(H591,'All Folders'!$G:$G,0),1),"¶")</f>
        <v>4392</v>
      </c>
      <c r="K591" s="87"/>
      <c r="L591" s="87"/>
    </row>
    <row r="592" spans="1:12" ht="15" x14ac:dyDescent="0.25">
      <c r="A592" t="s">
        <v>20382</v>
      </c>
      <c r="B592" t="s">
        <v>14325</v>
      </c>
      <c r="C592" t="s">
        <v>14326</v>
      </c>
      <c r="D592" t="s">
        <v>14327</v>
      </c>
      <c r="E592">
        <v>291</v>
      </c>
      <c r="F592" t="s">
        <v>14328</v>
      </c>
      <c r="G592" t="s">
        <v>4616</v>
      </c>
      <c r="H592" t="str">
        <f t="shared" si="18"/>
        <v>Scarborough291Conroe</v>
      </c>
      <c r="I592" t="str">
        <f t="shared" si="19"/>
        <v>Scarborough</v>
      </c>
      <c r="J592" s="82">
        <f>IFERROR(INDEX('All Folders'!$A:$A,MATCH(H592,'All Folders'!$G:$G,0),1),"¶")</f>
        <v>4386</v>
      </c>
      <c r="K592" s="87"/>
      <c r="L592" s="87"/>
    </row>
    <row r="593" spans="1:12" ht="15" x14ac:dyDescent="0.25">
      <c r="A593" t="s">
        <v>20383</v>
      </c>
      <c r="B593" t="s">
        <v>14329</v>
      </c>
      <c r="C593" t="s">
        <v>14330</v>
      </c>
      <c r="D593" t="s">
        <v>14324</v>
      </c>
      <c r="E593">
        <v>201</v>
      </c>
      <c r="F593" t="s">
        <v>14331</v>
      </c>
      <c r="G593" t="s">
        <v>4616</v>
      </c>
      <c r="H593" t="str">
        <f t="shared" si="18"/>
        <v>River201Conroe</v>
      </c>
      <c r="I593" t="str">
        <f t="shared" si="19"/>
        <v>River</v>
      </c>
      <c r="J593" s="82">
        <f>IFERROR(INDEX('All Folders'!$A:$A,MATCH(H593,'All Folders'!$G:$G,0),1),"¶")</f>
        <v>17718</v>
      </c>
      <c r="K593" s="87"/>
      <c r="L593" s="87"/>
    </row>
    <row r="594" spans="1:12" ht="15" x14ac:dyDescent="0.25">
      <c r="A594" t="s">
        <v>20384</v>
      </c>
      <c r="B594" t="s">
        <v>14332</v>
      </c>
      <c r="C594" t="s">
        <v>14333</v>
      </c>
      <c r="D594" t="s">
        <v>14316</v>
      </c>
      <c r="E594">
        <v>2205</v>
      </c>
      <c r="F594" t="s">
        <v>14334</v>
      </c>
      <c r="G594" t="s">
        <v>4616</v>
      </c>
      <c r="H594" t="str">
        <f t="shared" si="18"/>
        <v>Frazier2205Conroe</v>
      </c>
      <c r="I594" t="str">
        <f t="shared" si="19"/>
        <v>Frazier</v>
      </c>
      <c r="J594" s="82">
        <f>IFERROR(INDEX('All Folders'!$A:$A,MATCH(H594,'All Folders'!$G:$G,0),1),"¶")</f>
        <v>4331</v>
      </c>
      <c r="K594" s="87"/>
      <c r="L594" s="87"/>
    </row>
    <row r="595" spans="1:12" ht="15" x14ac:dyDescent="0.25">
      <c r="A595" t="s">
        <v>20385</v>
      </c>
      <c r="B595" t="s">
        <v>14335</v>
      </c>
      <c r="C595" t="s">
        <v>14336</v>
      </c>
      <c r="D595" t="s">
        <v>14337</v>
      </c>
      <c r="E595">
        <v>200</v>
      </c>
      <c r="F595" t="s">
        <v>14338</v>
      </c>
      <c r="G595" t="s">
        <v>4616</v>
      </c>
      <c r="H595" t="str">
        <f t="shared" si="18"/>
        <v>Fountains200Conroe</v>
      </c>
      <c r="I595" t="str">
        <f t="shared" si="19"/>
        <v>Fountains</v>
      </c>
      <c r="J595" s="82">
        <f>IFERROR(INDEX('All Folders'!$A:$A,MATCH(H595,'All Folders'!$G:$G,0),1),"¶")</f>
        <v>18195</v>
      </c>
      <c r="K595" s="87"/>
      <c r="L595" s="87"/>
    </row>
    <row r="596" spans="1:12" ht="15" x14ac:dyDescent="0.25">
      <c r="A596" t="s">
        <v>20387</v>
      </c>
      <c r="B596" t="s">
        <v>14343</v>
      </c>
      <c r="C596" t="s">
        <v>14344</v>
      </c>
      <c r="D596" t="s">
        <v>14345</v>
      </c>
      <c r="E596">
        <v>2020</v>
      </c>
      <c r="F596" t="s">
        <v>14346</v>
      </c>
      <c r="G596" t="s">
        <v>4616</v>
      </c>
      <c r="H596" t="str">
        <f t="shared" si="18"/>
        <v>Plantation2020Conroe</v>
      </c>
      <c r="I596" t="str">
        <f t="shared" si="19"/>
        <v>Plantation</v>
      </c>
      <c r="J596" s="82">
        <f>IFERROR(INDEX('All Folders'!$A:$A,MATCH(H596,'All Folders'!$G:$G,0),1),"¶")</f>
        <v>4374</v>
      </c>
      <c r="K596" s="87"/>
      <c r="L596" s="87"/>
    </row>
    <row r="597" spans="1:12" ht="15" x14ac:dyDescent="0.25">
      <c r="A597" t="s">
        <v>20388</v>
      </c>
      <c r="B597" t="s">
        <v>14347</v>
      </c>
      <c r="C597" t="s">
        <v>14348</v>
      </c>
      <c r="D597" t="s">
        <v>14349</v>
      </c>
      <c r="E597">
        <v>9180</v>
      </c>
      <c r="F597" t="s">
        <v>396</v>
      </c>
      <c r="G597" t="s">
        <v>1087</v>
      </c>
      <c r="H597" t="str">
        <f t="shared" si="18"/>
        <v>Shadow9180Converse</v>
      </c>
      <c r="I597" t="str">
        <f t="shared" si="19"/>
        <v>Shadow</v>
      </c>
      <c r="J597" s="82">
        <f>IFERROR(INDEX('All Folders'!$A:$A,MATCH(H597,'All Folders'!$G:$G,0),1),"¶")</f>
        <v>821</v>
      </c>
      <c r="K597" s="87"/>
      <c r="L597" s="87"/>
    </row>
    <row r="598" spans="1:12" ht="15" x14ac:dyDescent="0.25">
      <c r="A598" t="s">
        <v>20389</v>
      </c>
      <c r="B598" t="s">
        <v>14350</v>
      </c>
      <c r="C598" t="s">
        <v>14351</v>
      </c>
      <c r="D598" t="s">
        <v>14352</v>
      </c>
      <c r="E598">
        <v>9060</v>
      </c>
      <c r="F598" t="s">
        <v>1428</v>
      </c>
      <c r="G598" t="s">
        <v>1087</v>
      </c>
      <c r="H598" t="str">
        <f t="shared" si="18"/>
        <v>789060Converse</v>
      </c>
      <c r="I598" t="str">
        <f t="shared" si="19"/>
        <v>78</v>
      </c>
      <c r="J598" s="82">
        <f>IFERROR(INDEX('All Folders'!$A:$A,MATCH(H598,'All Folders'!$G:$G,0),1),"¶")</f>
        <v>1068</v>
      </c>
      <c r="K598" s="87"/>
      <c r="L598" s="87"/>
    </row>
    <row r="599" spans="1:12" ht="15" x14ac:dyDescent="0.25">
      <c r="A599" t="s">
        <v>20390</v>
      </c>
      <c r="B599" t="s">
        <v>14353</v>
      </c>
      <c r="C599" t="s">
        <v>14354</v>
      </c>
      <c r="D599" t="s">
        <v>13083</v>
      </c>
      <c r="E599">
        <v>777</v>
      </c>
      <c r="F599" t="s">
        <v>14355</v>
      </c>
      <c r="G599" t="s">
        <v>5612</v>
      </c>
      <c r="H599" t="str">
        <f t="shared" si="18"/>
        <v>Fairway777Coppell</v>
      </c>
      <c r="I599" t="str">
        <f t="shared" si="19"/>
        <v>Fairway</v>
      </c>
      <c r="J599" s="82">
        <f>IFERROR(INDEX('All Folders'!$A:$A,MATCH(H599,'All Folders'!$G:$G,0),1),"¶")</f>
        <v>13504</v>
      </c>
      <c r="K599" s="87"/>
      <c r="L599" s="87"/>
    </row>
    <row r="600" spans="1:12" ht="15" x14ac:dyDescent="0.25">
      <c r="A600" t="s">
        <v>20391</v>
      </c>
      <c r="B600" t="s">
        <v>14356</v>
      </c>
      <c r="C600" t="s">
        <v>14357</v>
      </c>
      <c r="D600" t="s">
        <v>14358</v>
      </c>
      <c r="E600">
        <v>218</v>
      </c>
      <c r="F600" t="s">
        <v>12814</v>
      </c>
      <c r="G600" t="s">
        <v>5612</v>
      </c>
      <c r="H600" t="str">
        <f t="shared" si="18"/>
        <v>Samuel218Coppell</v>
      </c>
      <c r="I600" t="str">
        <f t="shared" si="19"/>
        <v>Samuel</v>
      </c>
      <c r="J600" s="82" t="str">
        <f>IFERROR(INDEX('All Folders'!$A:$A,MATCH(H600,'All Folders'!$G:$G,0),1),"¶")</f>
        <v>SP23</v>
      </c>
      <c r="K600" s="87"/>
      <c r="L600" s="87"/>
    </row>
    <row r="601" spans="1:12" ht="15" x14ac:dyDescent="0.25">
      <c r="A601" t="s">
        <v>20393</v>
      </c>
      <c r="B601" t="s">
        <v>14363</v>
      </c>
      <c r="C601" t="s">
        <v>14364</v>
      </c>
      <c r="D601" t="s">
        <v>14365</v>
      </c>
      <c r="E601">
        <v>1701</v>
      </c>
      <c r="F601" t="s">
        <v>11831</v>
      </c>
      <c r="G601" t="s">
        <v>11826</v>
      </c>
      <c r="H601" t="str">
        <f t="shared" si="18"/>
        <v>Ennis1701Corpus Christi</v>
      </c>
      <c r="I601" t="str">
        <f t="shared" si="19"/>
        <v>Ennis</v>
      </c>
      <c r="J601" s="82">
        <f>IFERROR(INDEX('All Folders'!$A:$A,MATCH(H601,'All Folders'!$G:$G,0),1),"¶")</f>
        <v>30357</v>
      </c>
      <c r="K601" s="87"/>
      <c r="L601" s="87"/>
    </row>
    <row r="602" spans="1:12" ht="15" x14ac:dyDescent="0.25">
      <c r="A602" t="s">
        <v>20394</v>
      </c>
      <c r="B602" t="s">
        <v>14366</v>
      </c>
      <c r="C602" t="s">
        <v>14367</v>
      </c>
      <c r="D602" t="s">
        <v>14368</v>
      </c>
      <c r="E602">
        <v>5701</v>
      </c>
      <c r="F602" t="s">
        <v>14369</v>
      </c>
      <c r="G602" t="s">
        <v>11826</v>
      </c>
      <c r="H602" t="str">
        <f t="shared" si="18"/>
        <v>Williams5701Corpus Christi</v>
      </c>
      <c r="I602" t="str">
        <f t="shared" si="19"/>
        <v>Williams</v>
      </c>
      <c r="J602" s="82">
        <f>IFERROR(INDEX('All Folders'!$A:$A,MATCH(H602,'All Folders'!$G:$G,0),1),"¶")</f>
        <v>30369</v>
      </c>
      <c r="K602" s="87"/>
      <c r="L602" s="87"/>
    </row>
    <row r="603" spans="1:12" ht="15" x14ac:dyDescent="0.25">
      <c r="A603" t="s">
        <v>20395</v>
      </c>
      <c r="B603" t="s">
        <v>14370</v>
      </c>
      <c r="C603" t="s">
        <v>14371</v>
      </c>
      <c r="D603" t="s">
        <v>14372</v>
      </c>
      <c r="E603">
        <v>3401</v>
      </c>
      <c r="F603" t="s">
        <v>14373</v>
      </c>
      <c r="G603" t="s">
        <v>11826</v>
      </c>
      <c r="H603" t="str">
        <f t="shared" si="18"/>
        <v>Alameda3401Corpus Christi</v>
      </c>
      <c r="I603" t="str">
        <f t="shared" si="19"/>
        <v>Alameda</v>
      </c>
      <c r="J603" s="82">
        <f>IFERROR(INDEX('All Folders'!$A:$A,MATCH(H603,'All Folders'!$G:$G,0),1),"¶")</f>
        <v>30363</v>
      </c>
      <c r="K603" s="87"/>
      <c r="L603" s="87"/>
    </row>
    <row r="604" spans="1:12" ht="15" x14ac:dyDescent="0.25">
      <c r="A604" t="s">
        <v>20397</v>
      </c>
      <c r="B604" t="s">
        <v>14378</v>
      </c>
      <c r="C604" t="s">
        <v>14379</v>
      </c>
      <c r="D604" t="s">
        <v>14380</v>
      </c>
      <c r="E604">
        <v>4502</v>
      </c>
      <c r="F604" t="s">
        <v>11829</v>
      </c>
      <c r="G604" t="s">
        <v>11826</v>
      </c>
      <c r="H604" t="str">
        <f t="shared" si="18"/>
        <v>Corona4502Corpus Christi</v>
      </c>
      <c r="I604" t="str">
        <f t="shared" si="19"/>
        <v>Corona</v>
      </c>
      <c r="J604" s="89">
        <f>IFERROR(INDEX('All Folders'!$A:$A,MATCH(H604,'All Folders'!$G:$G,0),1),"¶")</f>
        <v>30356</v>
      </c>
      <c r="K604" s="87"/>
      <c r="L604" s="87"/>
    </row>
    <row r="605" spans="1:12" ht="15" x14ac:dyDescent="0.25">
      <c r="A605" t="s">
        <v>20398</v>
      </c>
      <c r="B605" t="s">
        <v>14381</v>
      </c>
      <c r="C605" t="s">
        <v>14382</v>
      </c>
      <c r="D605" t="s">
        <v>14383</v>
      </c>
      <c r="E605">
        <v>6533</v>
      </c>
      <c r="F605" t="s">
        <v>11841</v>
      </c>
      <c r="G605" t="s">
        <v>11826</v>
      </c>
      <c r="H605" t="str">
        <f t="shared" si="18"/>
        <v>Patti6533Corpus Christi</v>
      </c>
      <c r="I605" t="str">
        <f t="shared" si="19"/>
        <v>Patti</v>
      </c>
      <c r="J605" s="82">
        <f>IFERROR(INDEX('All Folders'!$A:$A,MATCH(H605,'All Folders'!$G:$G,0),1),"¶")</f>
        <v>30362</v>
      </c>
      <c r="K605" s="87"/>
      <c r="L605" s="87"/>
    </row>
    <row r="606" spans="1:12" ht="15" x14ac:dyDescent="0.25">
      <c r="A606" t="s">
        <v>20399</v>
      </c>
      <c r="B606" t="s">
        <v>14384</v>
      </c>
      <c r="C606" t="s">
        <v>14385</v>
      </c>
      <c r="D606" t="s">
        <v>14372</v>
      </c>
      <c r="E606">
        <v>5525</v>
      </c>
      <c r="F606" t="s">
        <v>11844</v>
      </c>
      <c r="G606" t="s">
        <v>11826</v>
      </c>
      <c r="H606" t="str">
        <f t="shared" si="18"/>
        <v>Alameda5525Corpus Christi</v>
      </c>
      <c r="I606" t="str">
        <f t="shared" si="19"/>
        <v>Alameda</v>
      </c>
      <c r="J606" s="82">
        <f>IFERROR(INDEX('All Folders'!$A:$A,MATCH(H606,'All Folders'!$G:$G,0),1),"¶")</f>
        <v>30364</v>
      </c>
      <c r="K606" s="87"/>
      <c r="L606" s="87"/>
    </row>
    <row r="607" spans="1:12" ht="15" x14ac:dyDescent="0.25">
      <c r="A607" t="s">
        <v>20400</v>
      </c>
      <c r="B607" t="s">
        <v>14386</v>
      </c>
      <c r="C607" t="s">
        <v>14387</v>
      </c>
      <c r="D607" t="s">
        <v>14388</v>
      </c>
      <c r="E607">
        <v>3701</v>
      </c>
      <c r="F607" t="s">
        <v>14389</v>
      </c>
      <c r="G607" t="s">
        <v>11826</v>
      </c>
      <c r="H607" t="str">
        <f t="shared" si="18"/>
        <v>Cimarron3701Corpus Christi</v>
      </c>
      <c r="I607" t="str">
        <f t="shared" si="19"/>
        <v>Cimarron</v>
      </c>
      <c r="J607" s="82">
        <f>IFERROR(INDEX('All Folders'!$A:$A,MATCH(H607,'All Folders'!$G:$G,0),1),"¶")</f>
        <v>30355</v>
      </c>
      <c r="K607" s="87"/>
      <c r="L607" s="87"/>
    </row>
    <row r="608" spans="1:12" ht="15" x14ac:dyDescent="0.25">
      <c r="A608" t="s">
        <v>20401</v>
      </c>
      <c r="B608" t="s">
        <v>14390</v>
      </c>
      <c r="C608" t="s">
        <v>14391</v>
      </c>
      <c r="D608" t="s">
        <v>14392</v>
      </c>
      <c r="E608">
        <v>5901</v>
      </c>
      <c r="F608" t="s">
        <v>11850</v>
      </c>
      <c r="G608" t="s">
        <v>11826</v>
      </c>
      <c r="H608" t="str">
        <f t="shared" si="18"/>
        <v>Weber5901Corpus Christi</v>
      </c>
      <c r="I608" t="str">
        <f t="shared" si="19"/>
        <v>Weber</v>
      </c>
      <c r="J608" s="89">
        <f>IFERROR(INDEX('All Folders'!$A:$A,MATCH(H608,'All Folders'!$G:$G,0),1),"¶")</f>
        <v>30367</v>
      </c>
      <c r="K608" s="87"/>
      <c r="L608" s="87"/>
    </row>
    <row r="609" spans="1:12" ht="15" x14ac:dyDescent="0.25">
      <c r="A609" t="s">
        <v>20402</v>
      </c>
      <c r="B609" t="s">
        <v>14393</v>
      </c>
      <c r="C609" t="s">
        <v>14394</v>
      </c>
      <c r="D609" t="s">
        <v>14395</v>
      </c>
      <c r="E609">
        <v>5701</v>
      </c>
      <c r="F609" t="s">
        <v>14396</v>
      </c>
      <c r="G609" t="s">
        <v>11826</v>
      </c>
      <c r="H609" t="str">
        <f t="shared" si="18"/>
        <v>Saratoga5701Corpus Christi</v>
      </c>
      <c r="I609" t="str">
        <f t="shared" si="19"/>
        <v>Saratoga</v>
      </c>
      <c r="J609" s="82">
        <f>IFERROR(INDEX('All Folders'!$A:$A,MATCH(H609,'All Folders'!$G:$G,0),1),"¶")</f>
        <v>30365</v>
      </c>
      <c r="K609" s="87"/>
      <c r="L609" s="87"/>
    </row>
    <row r="610" spans="1:12" ht="15" x14ac:dyDescent="0.25">
      <c r="A610" t="s">
        <v>20403</v>
      </c>
      <c r="B610" t="s">
        <v>14397</v>
      </c>
      <c r="C610" t="s">
        <v>14398</v>
      </c>
      <c r="D610" t="s">
        <v>14399</v>
      </c>
      <c r="E610">
        <v>5757</v>
      </c>
      <c r="F610" t="s">
        <v>11858</v>
      </c>
      <c r="G610" t="s">
        <v>11826</v>
      </c>
      <c r="H610" t="str">
        <f t="shared" si="18"/>
        <v>Woolridge5757Corpus Christi</v>
      </c>
      <c r="I610" t="str">
        <f t="shared" si="19"/>
        <v>Woolridge</v>
      </c>
      <c r="J610" s="88">
        <v>30371</v>
      </c>
      <c r="K610" s="87"/>
      <c r="L610" s="87"/>
    </row>
    <row r="611" spans="1:12" ht="15" x14ac:dyDescent="0.25">
      <c r="A611" t="s">
        <v>20404</v>
      </c>
      <c r="B611" t="s">
        <v>14400</v>
      </c>
      <c r="C611" t="s">
        <v>14401</v>
      </c>
      <c r="D611" t="s">
        <v>14402</v>
      </c>
      <c r="E611">
        <v>4040</v>
      </c>
      <c r="F611" t="s">
        <v>14403</v>
      </c>
      <c r="G611" t="s">
        <v>11826</v>
      </c>
      <c r="H611" t="str">
        <f t="shared" si="18"/>
        <v>Schanen4040Corpus Christi</v>
      </c>
      <c r="I611" t="str">
        <f t="shared" si="19"/>
        <v>Schanen</v>
      </c>
      <c r="J611" s="82">
        <f>IFERROR(INDEX('All Folders'!$A:$A,MATCH(H611,'All Folders'!$G:$G,0),1),"¶")</f>
        <v>30366</v>
      </c>
      <c r="K611" s="87"/>
      <c r="L611" s="87"/>
    </row>
    <row r="612" spans="1:12" ht="15" x14ac:dyDescent="0.25">
      <c r="A612" t="s">
        <v>20405</v>
      </c>
      <c r="B612" t="s">
        <v>14404</v>
      </c>
      <c r="C612" t="s">
        <v>14405</v>
      </c>
      <c r="D612" t="s">
        <v>14406</v>
      </c>
      <c r="E612">
        <v>6730</v>
      </c>
      <c r="F612" t="s">
        <v>14407</v>
      </c>
      <c r="G612" t="s">
        <v>11826</v>
      </c>
      <c r="H612" t="str">
        <f t="shared" si="18"/>
        <v>Everhart6730Corpus Christi</v>
      </c>
      <c r="I612" t="str">
        <f t="shared" si="19"/>
        <v>Everhart</v>
      </c>
      <c r="J612" s="82">
        <f>IFERROR(INDEX('All Folders'!$A:$A,MATCH(H612,'All Folders'!$G:$G,0),1),"¶")</f>
        <v>30358</v>
      </c>
      <c r="K612" s="87"/>
      <c r="L612" s="87"/>
    </row>
    <row r="613" spans="1:12" ht="15" x14ac:dyDescent="0.25">
      <c r="A613" t="s">
        <v>20406</v>
      </c>
      <c r="B613" t="s">
        <v>14408</v>
      </c>
      <c r="C613" t="s">
        <v>14409</v>
      </c>
      <c r="D613" t="s">
        <v>14410</v>
      </c>
      <c r="E613">
        <v>4021</v>
      </c>
      <c r="F613" t="s">
        <v>11856</v>
      </c>
      <c r="G613" t="s">
        <v>11826</v>
      </c>
      <c r="H613" t="str">
        <f t="shared" si="18"/>
        <v>Wood4021Corpus Christi</v>
      </c>
      <c r="I613" t="str">
        <f t="shared" si="19"/>
        <v>Wood</v>
      </c>
      <c r="J613" s="82">
        <f>IFERROR(INDEX('All Folders'!$A:$A,MATCH(H613,'All Folders'!$G:$G,0),1),"¶")</f>
        <v>30370</v>
      </c>
      <c r="K613" s="87"/>
      <c r="L613" s="87"/>
    </row>
    <row r="614" spans="1:12" ht="15" x14ac:dyDescent="0.25">
      <c r="A614" t="s">
        <v>20407</v>
      </c>
      <c r="B614" t="s">
        <v>14411</v>
      </c>
      <c r="C614" t="s">
        <v>14412</v>
      </c>
      <c r="D614" t="s">
        <v>14413</v>
      </c>
      <c r="E614">
        <v>802</v>
      </c>
      <c r="F614" t="s">
        <v>14414</v>
      </c>
      <c r="G614" t="s">
        <v>11826</v>
      </c>
      <c r="H614" t="str">
        <f t="shared" si="18"/>
        <v>Barry802Corpus Christi</v>
      </c>
      <c r="I614" t="str">
        <f t="shared" si="19"/>
        <v>Barry</v>
      </c>
      <c r="J614" s="82">
        <f>IFERROR(INDEX('All Folders'!$A:$A,MATCH(H614,'All Folders'!$G:$G,0),1),"¶")</f>
        <v>30354</v>
      </c>
      <c r="K614" s="87"/>
      <c r="L614" s="87"/>
    </row>
    <row r="615" spans="1:12" ht="15" x14ac:dyDescent="0.25">
      <c r="A615" t="s">
        <v>20408</v>
      </c>
      <c r="B615" t="s">
        <v>14415</v>
      </c>
      <c r="C615" t="s">
        <v>14416</v>
      </c>
      <c r="D615" t="s">
        <v>94</v>
      </c>
      <c r="E615">
        <v>108</v>
      </c>
      <c r="F615" t="s">
        <v>94</v>
      </c>
      <c r="G615" t="s">
        <v>7438</v>
      </c>
      <c r="H615" t="str">
        <f t="shared" si="18"/>
        <v>Centennial108Crowley</v>
      </c>
      <c r="I615" t="str">
        <f t="shared" si="19"/>
        <v>Centennial</v>
      </c>
      <c r="J615" s="82">
        <f>IFERROR(INDEX('All Folders'!$A:$A,MATCH(H615,'All Folders'!$G:$G,0),1),"¶")</f>
        <v>30032</v>
      </c>
      <c r="K615" s="87"/>
      <c r="L615" s="87"/>
    </row>
    <row r="616" spans="1:12" ht="15" x14ac:dyDescent="0.25">
      <c r="A616" t="s">
        <v>20409</v>
      </c>
      <c r="B616" t="s">
        <v>14417</v>
      </c>
      <c r="C616" t="s">
        <v>14418</v>
      </c>
      <c r="D616" t="s">
        <v>14419</v>
      </c>
      <c r="E616">
        <v>10850</v>
      </c>
      <c r="F616" t="s">
        <v>14420</v>
      </c>
      <c r="G616" t="s">
        <v>4996</v>
      </c>
      <c r="H616" t="str">
        <f t="shared" si="18"/>
        <v>Walnut10850Dallas</v>
      </c>
      <c r="I616" t="str">
        <f t="shared" si="19"/>
        <v>Walnut</v>
      </c>
      <c r="J616" s="82">
        <f>IFERROR(INDEX('All Folders'!$A:$A,MATCH(H616,'All Folders'!$G:$G,0),1),"¶")</f>
        <v>30108</v>
      </c>
      <c r="K616" s="87"/>
      <c r="L616" s="87"/>
    </row>
    <row r="617" spans="1:12" ht="15" x14ac:dyDescent="0.25">
      <c r="A617" t="s">
        <v>20410</v>
      </c>
      <c r="B617" t="s">
        <v>14421</v>
      </c>
      <c r="C617" t="s">
        <v>14422</v>
      </c>
      <c r="D617" t="s">
        <v>14423</v>
      </c>
      <c r="E617">
        <v>1248</v>
      </c>
      <c r="F617" t="s">
        <v>14424</v>
      </c>
      <c r="G617" t="s">
        <v>4996</v>
      </c>
      <c r="H617" t="str">
        <f t="shared" si="18"/>
        <v>Westmount1248Dallas</v>
      </c>
      <c r="I617" t="str">
        <f t="shared" si="19"/>
        <v>Westmount</v>
      </c>
      <c r="J617" s="82">
        <f>IFERROR(INDEX('All Folders'!$A:$A,MATCH(H617,'All Folders'!$G:$G,0),1),"¶")</f>
        <v>30111</v>
      </c>
      <c r="K617" s="87"/>
      <c r="L617" s="87"/>
    </row>
    <row r="618" spans="1:12" ht="15" x14ac:dyDescent="0.25">
      <c r="A618" t="s">
        <v>20411</v>
      </c>
      <c r="B618" t="s">
        <v>14425</v>
      </c>
      <c r="C618" t="s">
        <v>14426</v>
      </c>
      <c r="D618" t="s">
        <v>14427</v>
      </c>
      <c r="E618">
        <v>1305</v>
      </c>
      <c r="F618" t="s">
        <v>14428</v>
      </c>
      <c r="G618" t="s">
        <v>4996</v>
      </c>
      <c r="H618" t="str">
        <f t="shared" si="18"/>
        <v>Plymouth1305Dallas</v>
      </c>
      <c r="I618" t="str">
        <f t="shared" si="19"/>
        <v>Plymouth</v>
      </c>
      <c r="J618" s="82">
        <f>IFERROR(INDEX('All Folders'!$A:$A,MATCH(H618,'All Folders'!$G:$G,0),1),"¶")</f>
        <v>30077</v>
      </c>
      <c r="K618" s="87"/>
      <c r="L618" s="87"/>
    </row>
    <row r="619" spans="1:12" ht="15" x14ac:dyDescent="0.25">
      <c r="A619" t="s">
        <v>20412</v>
      </c>
      <c r="B619" t="s">
        <v>14429</v>
      </c>
      <c r="C619" t="s">
        <v>14430</v>
      </c>
      <c r="D619" t="s">
        <v>14431</v>
      </c>
      <c r="E619">
        <v>14255</v>
      </c>
      <c r="F619" t="s">
        <v>14432</v>
      </c>
      <c r="G619" t="s">
        <v>4996</v>
      </c>
      <c r="H619" t="str">
        <f t="shared" si="18"/>
        <v>Preston14255Dallas</v>
      </c>
      <c r="I619" t="str">
        <f t="shared" si="19"/>
        <v>Preston</v>
      </c>
      <c r="J619" s="82">
        <f>IFERROR(INDEX('All Folders'!$A:$A,MATCH(H619,'All Folders'!$G:$G,0),1),"¶")</f>
        <v>13350</v>
      </c>
      <c r="K619" s="87"/>
      <c r="L619" s="87"/>
    </row>
    <row r="620" spans="1:12" ht="15" x14ac:dyDescent="0.25">
      <c r="A620" t="s">
        <v>20413</v>
      </c>
      <c r="B620" t="s">
        <v>14433</v>
      </c>
      <c r="C620" t="s">
        <v>14434</v>
      </c>
      <c r="D620" t="s">
        <v>14435</v>
      </c>
      <c r="E620">
        <v>1501</v>
      </c>
      <c r="F620" t="s">
        <v>14436</v>
      </c>
      <c r="G620" t="s">
        <v>4996</v>
      </c>
      <c r="H620" t="str">
        <f t="shared" si="18"/>
        <v>Carroll1501Dallas</v>
      </c>
      <c r="I620" t="str">
        <f t="shared" si="19"/>
        <v>Carroll</v>
      </c>
      <c r="J620" s="82" t="str">
        <f>IFERROR(INDEX('All Folders'!$A:$A,MATCH(H620,'All Folders'!$G:$G,0),1),"¶")</f>
        <v>SP32</v>
      </c>
      <c r="K620" s="87"/>
      <c r="L620" s="87"/>
    </row>
    <row r="621" spans="1:12" ht="15" x14ac:dyDescent="0.25">
      <c r="A621" t="s">
        <v>20415</v>
      </c>
      <c r="B621" t="s">
        <v>14441</v>
      </c>
      <c r="C621" t="s">
        <v>14442</v>
      </c>
      <c r="D621" t="s">
        <v>14443</v>
      </c>
      <c r="E621">
        <v>1715</v>
      </c>
      <c r="F621" t="s">
        <v>14444</v>
      </c>
      <c r="G621" t="s">
        <v>4996</v>
      </c>
      <c r="H621" t="str">
        <f t="shared" si="18"/>
        <v>Bennett1715Dallas</v>
      </c>
      <c r="I621" t="str">
        <f t="shared" si="19"/>
        <v>Bennett</v>
      </c>
      <c r="J621" s="82" t="str">
        <f>IFERROR(INDEX('All Folders'!$A:$A,MATCH(H621,'All Folders'!$G:$G,0),1),"¶")</f>
        <v>SP28</v>
      </c>
      <c r="K621" s="87"/>
      <c r="L621" s="87"/>
    </row>
    <row r="622" spans="1:12" ht="15" x14ac:dyDescent="0.25">
      <c r="A622" t="s">
        <v>20416</v>
      </c>
      <c r="B622" t="s">
        <v>14445</v>
      </c>
      <c r="C622" t="s">
        <v>14446</v>
      </c>
      <c r="D622" t="s">
        <v>14447</v>
      </c>
      <c r="E622">
        <v>1826</v>
      </c>
      <c r="F622" t="s">
        <v>14448</v>
      </c>
      <c r="G622" t="s">
        <v>4996</v>
      </c>
      <c r="H622" t="str">
        <f t="shared" si="18"/>
        <v>Fitzhugh1826Dallas</v>
      </c>
      <c r="I622" t="str">
        <f t="shared" si="19"/>
        <v>Fitzhugh</v>
      </c>
      <c r="J622" s="90" t="s">
        <v>12862</v>
      </c>
      <c r="K622" s="87"/>
      <c r="L622" s="87"/>
    </row>
    <row r="623" spans="1:12" ht="15" x14ac:dyDescent="0.25">
      <c r="A623" t="s">
        <v>20418</v>
      </c>
      <c r="B623" t="s">
        <v>14453</v>
      </c>
      <c r="C623" t="s">
        <v>14454</v>
      </c>
      <c r="D623" t="s">
        <v>14455</v>
      </c>
      <c r="E623">
        <v>2212</v>
      </c>
      <c r="F623" t="s">
        <v>14456</v>
      </c>
      <c r="G623" t="s">
        <v>4996</v>
      </c>
      <c r="H623" t="str">
        <f t="shared" si="18"/>
        <v>Fitzhugh2212Dallas</v>
      </c>
      <c r="I623" t="str">
        <f t="shared" si="19"/>
        <v>Fitzhugh</v>
      </c>
      <c r="J623" s="82" t="str">
        <f>IFERROR(INDEX('All Folders'!$A:$A,MATCH(H623,'All Folders'!$G:$G,0),1),"¶")</f>
        <v>SP46</v>
      </c>
      <c r="K623" s="87"/>
      <c r="L623" s="87"/>
    </row>
    <row r="624" spans="1:12" ht="15" x14ac:dyDescent="0.25">
      <c r="A624" t="s">
        <v>20419</v>
      </c>
      <c r="B624" t="s">
        <v>14457</v>
      </c>
      <c r="C624" t="s">
        <v>14458</v>
      </c>
      <c r="D624" t="s">
        <v>14459</v>
      </c>
      <c r="E624">
        <v>2801</v>
      </c>
      <c r="F624" t="s">
        <v>14460</v>
      </c>
      <c r="G624" t="s">
        <v>4996</v>
      </c>
      <c r="H624" t="str">
        <f t="shared" si="18"/>
        <v>Throckmorton2801Dallas</v>
      </c>
      <c r="I624" t="str">
        <f t="shared" si="19"/>
        <v>Throckmorton</v>
      </c>
      <c r="J624" s="82" t="str">
        <f>IFERROR(INDEX('All Folders'!$A:$A,MATCH(H624,'All Folders'!$G:$G,0),1),"¶")</f>
        <v>SP87</v>
      </c>
      <c r="K624" s="87"/>
      <c r="L624" s="87"/>
    </row>
    <row r="625" spans="1:12" ht="15" x14ac:dyDescent="0.25">
      <c r="A625" t="s">
        <v>20421</v>
      </c>
      <c r="B625" t="s">
        <v>14465</v>
      </c>
      <c r="C625" t="s">
        <v>14466</v>
      </c>
      <c r="D625" t="s">
        <v>14467</v>
      </c>
      <c r="E625">
        <v>2910</v>
      </c>
      <c r="F625" t="s">
        <v>14468</v>
      </c>
      <c r="G625" t="s">
        <v>4996</v>
      </c>
      <c r="H625" t="str">
        <f t="shared" si="18"/>
        <v>Ruidosa2910Dallas</v>
      </c>
      <c r="I625" t="str">
        <f t="shared" si="19"/>
        <v>Ruidosa</v>
      </c>
      <c r="J625" s="82" t="str">
        <f>IFERROR(INDEX('All Folders'!$A:$A,MATCH(H625,'All Folders'!$G:$G,0),1),"¶")</f>
        <v>SP82</v>
      </c>
      <c r="K625" s="87"/>
      <c r="L625" s="87"/>
    </row>
    <row r="626" spans="1:12" ht="15" x14ac:dyDescent="0.25">
      <c r="A626" t="s">
        <v>20422</v>
      </c>
      <c r="B626" t="s">
        <v>14469</v>
      </c>
      <c r="C626" t="s">
        <v>14470</v>
      </c>
      <c r="D626" t="s">
        <v>14471</v>
      </c>
      <c r="E626">
        <v>3111</v>
      </c>
      <c r="F626" t="s">
        <v>14472</v>
      </c>
      <c r="G626" t="s">
        <v>4996</v>
      </c>
      <c r="H626" t="str">
        <f t="shared" si="18"/>
        <v>Welborn3111Dallas</v>
      </c>
      <c r="I626" t="str">
        <f t="shared" si="19"/>
        <v>Welborn</v>
      </c>
      <c r="J626" s="82">
        <f>IFERROR(INDEX('All Folders'!$A:$A,MATCH(H626,'All Folders'!$G:$G,0),1),"¶")</f>
        <v>30110</v>
      </c>
      <c r="K626" s="87"/>
      <c r="L626" s="87"/>
    </row>
    <row r="627" spans="1:12" ht="15" x14ac:dyDescent="0.25">
      <c r="A627" t="s">
        <v>20423</v>
      </c>
      <c r="B627" t="s">
        <v>14473</v>
      </c>
      <c r="C627" t="s">
        <v>14474</v>
      </c>
      <c r="D627" t="s">
        <v>14475</v>
      </c>
      <c r="E627">
        <v>3660</v>
      </c>
      <c r="F627" t="s">
        <v>14476</v>
      </c>
      <c r="G627" t="s">
        <v>4996</v>
      </c>
      <c r="H627" t="str">
        <f t="shared" si="18"/>
        <v>Rickshaw3660Dallas</v>
      </c>
      <c r="I627" t="str">
        <f t="shared" si="19"/>
        <v>Rickshaw</v>
      </c>
      <c r="J627" s="90" t="s">
        <v>12950</v>
      </c>
      <c r="K627" s="87"/>
      <c r="L627" s="87"/>
    </row>
    <row r="628" spans="1:12" ht="15" x14ac:dyDescent="0.25">
      <c r="A628" t="s">
        <v>20424</v>
      </c>
      <c r="B628" t="s">
        <v>14477</v>
      </c>
      <c r="C628" t="s">
        <v>14478</v>
      </c>
      <c r="D628" t="s">
        <v>14479</v>
      </c>
      <c r="E628">
        <v>4014</v>
      </c>
      <c r="F628" t="s">
        <v>14480</v>
      </c>
      <c r="G628" t="s">
        <v>4996</v>
      </c>
      <c r="H628" t="str">
        <f t="shared" si="18"/>
        <v>Hall4014Dallas</v>
      </c>
      <c r="I628" t="str">
        <f t="shared" si="19"/>
        <v>Hall</v>
      </c>
      <c r="J628" s="90" t="s">
        <v>12889</v>
      </c>
      <c r="K628" s="87"/>
      <c r="L628" s="87"/>
    </row>
    <row r="629" spans="1:12" ht="15" x14ac:dyDescent="0.25">
      <c r="A629" t="s">
        <v>20425</v>
      </c>
      <c r="B629" t="s">
        <v>14481</v>
      </c>
      <c r="C629" t="s">
        <v>14482</v>
      </c>
      <c r="D629" t="s">
        <v>13933</v>
      </c>
      <c r="E629">
        <v>4100</v>
      </c>
      <c r="F629" t="s">
        <v>14483</v>
      </c>
      <c r="G629" t="s">
        <v>4996</v>
      </c>
      <c r="H629" t="str">
        <f t="shared" si="18"/>
        <v>Main4100Dallas</v>
      </c>
      <c r="I629" t="str">
        <f t="shared" si="19"/>
        <v>Main</v>
      </c>
      <c r="J629" s="90" t="s">
        <v>12914</v>
      </c>
      <c r="K629" s="87"/>
      <c r="L629" s="87"/>
    </row>
    <row r="630" spans="1:12" ht="15" x14ac:dyDescent="0.25">
      <c r="A630" t="s">
        <v>20426</v>
      </c>
      <c r="B630" t="s">
        <v>14484</v>
      </c>
      <c r="C630" t="s">
        <v>14485</v>
      </c>
      <c r="D630" t="s">
        <v>14486</v>
      </c>
      <c r="E630">
        <v>4207</v>
      </c>
      <c r="F630" t="s">
        <v>14487</v>
      </c>
      <c r="G630" t="s">
        <v>4996</v>
      </c>
      <c r="H630" t="str">
        <f t="shared" si="18"/>
        <v>Live4207Dallas</v>
      </c>
      <c r="I630" t="str">
        <f t="shared" si="19"/>
        <v>Live</v>
      </c>
      <c r="J630" s="82">
        <f>IFERROR(INDEX('All Folders'!$A:$A,MATCH(H630,'All Folders'!$G:$G,0),1),"¶")</f>
        <v>30063</v>
      </c>
      <c r="K630" s="87"/>
      <c r="L630" s="87"/>
    </row>
    <row r="631" spans="1:12" ht="15" x14ac:dyDescent="0.25">
      <c r="A631" t="s">
        <v>20427</v>
      </c>
      <c r="B631" t="s">
        <v>14488</v>
      </c>
      <c r="C631" t="s">
        <v>14489</v>
      </c>
      <c r="D631" t="s">
        <v>14490</v>
      </c>
      <c r="E631">
        <v>4320</v>
      </c>
      <c r="F631" t="s">
        <v>14491</v>
      </c>
      <c r="G631" t="s">
        <v>4996</v>
      </c>
      <c r="H631" t="str">
        <f t="shared" si="18"/>
        <v>Gaston4320Dallas</v>
      </c>
      <c r="I631" t="str">
        <f t="shared" si="19"/>
        <v>Gaston</v>
      </c>
      <c r="J631" s="82" t="str">
        <f>IFERROR(INDEX('All Folders'!$A:$A,MATCH(H631,'All Folders'!$G:$G,0),1),"¶")</f>
        <v>SP50</v>
      </c>
      <c r="K631" s="87"/>
      <c r="L631" s="87"/>
    </row>
    <row r="632" spans="1:12" ht="15" x14ac:dyDescent="0.25">
      <c r="A632" t="s">
        <v>20429</v>
      </c>
      <c r="B632" t="s">
        <v>14496</v>
      </c>
      <c r="C632" t="s">
        <v>14497</v>
      </c>
      <c r="D632" t="s">
        <v>14498</v>
      </c>
      <c r="E632">
        <v>4429</v>
      </c>
      <c r="F632" t="s">
        <v>14499</v>
      </c>
      <c r="G632" t="s">
        <v>4996</v>
      </c>
      <c r="H632" t="str">
        <f t="shared" si="18"/>
        <v>Bowser4429Dallas</v>
      </c>
      <c r="I632" t="str">
        <f t="shared" si="19"/>
        <v>Bowser</v>
      </c>
      <c r="J632" s="82" t="str">
        <f>IFERROR(INDEX('All Folders'!$A:$A,MATCH(H632,'All Folders'!$G:$G,0),1),"¶")</f>
        <v>SP29</v>
      </c>
      <c r="K632" s="87"/>
      <c r="L632" s="87"/>
    </row>
    <row r="633" spans="1:12" ht="15" x14ac:dyDescent="0.25">
      <c r="A633" t="s">
        <v>20431</v>
      </c>
      <c r="B633" t="s">
        <v>14504</v>
      </c>
      <c r="C633" t="s">
        <v>14505</v>
      </c>
      <c r="D633" t="s">
        <v>14506</v>
      </c>
      <c r="E633">
        <v>4625</v>
      </c>
      <c r="F633" t="s">
        <v>14507</v>
      </c>
      <c r="G633" t="s">
        <v>4996</v>
      </c>
      <c r="H633" t="str">
        <f t="shared" si="18"/>
        <v>Cedar4625Dallas</v>
      </c>
      <c r="I633" t="str">
        <f t="shared" si="19"/>
        <v>Cedar</v>
      </c>
      <c r="J633" s="82">
        <f>IFERROR(INDEX('All Folders'!$A:$A,MATCH(H633,'All Folders'!$G:$G,0),1),"¶")</f>
        <v>30041</v>
      </c>
      <c r="K633" s="87"/>
      <c r="L633" s="87"/>
    </row>
    <row r="634" spans="1:12" ht="15" x14ac:dyDescent="0.25">
      <c r="A634" t="s">
        <v>20433</v>
      </c>
      <c r="B634" t="s">
        <v>14512</v>
      </c>
      <c r="C634" t="s">
        <v>14513</v>
      </c>
      <c r="D634" t="s">
        <v>14510</v>
      </c>
      <c r="E634">
        <v>5217</v>
      </c>
      <c r="F634" t="s">
        <v>14514</v>
      </c>
      <c r="G634" t="s">
        <v>4996</v>
      </c>
      <c r="H634" t="str">
        <f t="shared" si="18"/>
        <v>Bryan5217Dallas</v>
      </c>
      <c r="I634" t="str">
        <f t="shared" si="19"/>
        <v>Bryan</v>
      </c>
      <c r="J634" s="82" t="str">
        <f>IFERROR(INDEX('All Folders'!$A:$A,MATCH(H634,'All Folders'!$G:$G,0),1),"¶")</f>
        <v>SP31</v>
      </c>
      <c r="K634" s="87"/>
      <c r="L634" s="87"/>
    </row>
    <row r="635" spans="1:12" ht="15" x14ac:dyDescent="0.25">
      <c r="A635" t="s">
        <v>20434</v>
      </c>
      <c r="B635" t="s">
        <v>14515</v>
      </c>
      <c r="C635" t="s">
        <v>14516</v>
      </c>
      <c r="D635" t="s">
        <v>14517</v>
      </c>
      <c r="E635">
        <v>5708</v>
      </c>
      <c r="F635" t="s">
        <v>14518</v>
      </c>
      <c r="G635" t="s">
        <v>4996</v>
      </c>
      <c r="H635" t="str">
        <f t="shared" si="18"/>
        <v>Hudson5708Dallas</v>
      </c>
      <c r="I635" t="str">
        <f t="shared" si="19"/>
        <v>Hudson</v>
      </c>
      <c r="J635" s="82" t="str">
        <f>IFERROR(INDEX('All Folders'!$A:$A,MATCH(H635,'All Folders'!$G:$G,0),1),"¶")</f>
        <v>SP56</v>
      </c>
      <c r="K635" s="87"/>
      <c r="L635" s="87"/>
    </row>
    <row r="636" spans="1:12" ht="15" x14ac:dyDescent="0.25">
      <c r="A636" t="s">
        <v>20435</v>
      </c>
      <c r="B636" t="s">
        <v>14519</v>
      </c>
      <c r="C636" t="s">
        <v>14520</v>
      </c>
      <c r="D636" t="s">
        <v>14521</v>
      </c>
      <c r="E636">
        <v>5829</v>
      </c>
      <c r="F636" t="s">
        <v>14522</v>
      </c>
      <c r="G636" t="s">
        <v>4996</v>
      </c>
      <c r="H636" t="str">
        <f t="shared" si="18"/>
        <v>Prospect5829Dallas</v>
      </c>
      <c r="I636" t="str">
        <f t="shared" si="19"/>
        <v>Prospect</v>
      </c>
      <c r="J636" s="82" t="str">
        <f>IFERROR(INDEX('All Folders'!$A:$A,MATCH(H636,'All Folders'!$G:$G,0),1),"¶")</f>
        <v>SP76</v>
      </c>
      <c r="K636" s="87"/>
      <c r="L636" s="87"/>
    </row>
    <row r="637" spans="1:12" ht="15" x14ac:dyDescent="0.25">
      <c r="A637" t="s">
        <v>20436</v>
      </c>
      <c r="B637" t="s">
        <v>14523</v>
      </c>
      <c r="C637" t="s">
        <v>14524</v>
      </c>
      <c r="D637" t="s">
        <v>14525</v>
      </c>
      <c r="E637">
        <v>5840</v>
      </c>
      <c r="F637" t="s">
        <v>14526</v>
      </c>
      <c r="G637" t="s">
        <v>4996</v>
      </c>
      <c r="H637" t="str">
        <f t="shared" si="18"/>
        <v>Williamstown5840Dallas</v>
      </c>
      <c r="I637" t="str">
        <f t="shared" si="19"/>
        <v>Williamstown</v>
      </c>
      <c r="J637" s="82" t="str">
        <f>IFERROR(INDEX('All Folders'!$A:$A,MATCH(H637,'All Folders'!$G:$G,0),1),"¶")</f>
        <v>SP89</v>
      </c>
      <c r="K637" s="87"/>
      <c r="L637" s="87"/>
    </row>
    <row r="638" spans="1:12" ht="15" x14ac:dyDescent="0.25">
      <c r="A638" t="s">
        <v>20437</v>
      </c>
      <c r="B638" t="s">
        <v>14527</v>
      </c>
      <c r="C638" t="s">
        <v>14528</v>
      </c>
      <c r="D638" t="s">
        <v>14529</v>
      </c>
      <c r="E638">
        <v>5902</v>
      </c>
      <c r="F638" t="s">
        <v>14530</v>
      </c>
      <c r="G638" t="s">
        <v>4996</v>
      </c>
      <c r="H638" t="str">
        <f t="shared" si="18"/>
        <v>Preston5902Dallas</v>
      </c>
      <c r="I638" t="str">
        <f t="shared" si="19"/>
        <v>Preston</v>
      </c>
      <c r="J638" s="82">
        <f>IFERROR(INDEX('All Folders'!$A:$A,MATCH(H638,'All Folders'!$G:$G,0),1),"¶")</f>
        <v>13895</v>
      </c>
      <c r="K638" s="87"/>
      <c r="L638" s="87"/>
    </row>
    <row r="639" spans="1:12" ht="15" x14ac:dyDescent="0.25">
      <c r="A639" t="s">
        <v>20439</v>
      </c>
      <c r="B639" t="s">
        <v>14535</v>
      </c>
      <c r="C639" t="s">
        <v>14536</v>
      </c>
      <c r="D639" t="s">
        <v>14537</v>
      </c>
      <c r="E639">
        <v>600</v>
      </c>
      <c r="F639" t="s">
        <v>14538</v>
      </c>
      <c r="G639" t="s">
        <v>4996</v>
      </c>
      <c r="H639" t="str">
        <f t="shared" si="18"/>
        <v>Elsbeth600Dallas</v>
      </c>
      <c r="I639" t="str">
        <f t="shared" si="19"/>
        <v>Elsbeth</v>
      </c>
      <c r="J639" s="82" t="str">
        <f>IFERROR(INDEX('All Folders'!$A:$A,MATCH(H639,'All Folders'!$G:$G,0),1),"¶")</f>
        <v>SP41</v>
      </c>
      <c r="K639" s="87"/>
      <c r="L639" s="87"/>
    </row>
    <row r="640" spans="1:12" ht="15" x14ac:dyDescent="0.25">
      <c r="A640" t="s">
        <v>20440</v>
      </c>
      <c r="B640" t="s">
        <v>14539</v>
      </c>
      <c r="C640" t="s">
        <v>14540</v>
      </c>
      <c r="D640" t="s">
        <v>14541</v>
      </c>
      <c r="E640">
        <v>7575</v>
      </c>
      <c r="F640" t="s">
        <v>14542</v>
      </c>
      <c r="G640" t="s">
        <v>4996</v>
      </c>
      <c r="H640" t="str">
        <f t="shared" si="18"/>
        <v>Chaucer7575Dallas</v>
      </c>
      <c r="I640" t="str">
        <f t="shared" si="19"/>
        <v>Chaucer</v>
      </c>
      <c r="J640" s="82">
        <f>IFERROR(INDEX('All Folders'!$A:$A,MATCH(H640,'All Folders'!$G:$G,0),1),"¶")</f>
        <v>30043</v>
      </c>
      <c r="K640" s="87"/>
      <c r="L640" s="87"/>
    </row>
    <row r="641" spans="1:12" ht="15" x14ac:dyDescent="0.25">
      <c r="A641" t="s">
        <v>20441</v>
      </c>
      <c r="B641" t="s">
        <v>14543</v>
      </c>
      <c r="C641" t="s">
        <v>14544</v>
      </c>
      <c r="D641" t="s">
        <v>14545</v>
      </c>
      <c r="E641">
        <v>7650</v>
      </c>
      <c r="F641" t="s">
        <v>14546</v>
      </c>
      <c r="G641" t="s">
        <v>4996</v>
      </c>
      <c r="H641" t="str">
        <f t="shared" si="18"/>
        <v>Ronnie7650Dallas</v>
      </c>
      <c r="I641" t="str">
        <f t="shared" si="19"/>
        <v>Ronnie</v>
      </c>
      <c r="J641" s="82" t="str">
        <f>IFERROR(INDEX('All Folders'!$A:$A,MATCH(H641,'All Folders'!$G:$G,0),1),"¶")</f>
        <v>SP81</v>
      </c>
      <c r="K641" s="87"/>
      <c r="L641" s="87"/>
    </row>
    <row r="642" spans="1:12" ht="15" x14ac:dyDescent="0.25">
      <c r="A642" t="s">
        <v>20443</v>
      </c>
      <c r="B642" t="s">
        <v>14551</v>
      </c>
      <c r="C642" t="s">
        <v>14552</v>
      </c>
      <c r="D642" t="s">
        <v>6022</v>
      </c>
      <c r="E642">
        <v>8317</v>
      </c>
      <c r="F642" t="s">
        <v>14553</v>
      </c>
      <c r="G642" t="s">
        <v>4996</v>
      </c>
      <c r="H642" t="str">
        <f t="shared" ref="H642:H705" si="20">I642&amp;E642&amp;G642</f>
        <v>Park8317Dallas</v>
      </c>
      <c r="I642" t="str">
        <f t="shared" ref="I642:I705" si="21">IFERROR(LEFT(D642,FIND(" ",D642)-1),D642)</f>
        <v>Park</v>
      </c>
      <c r="J642" s="82">
        <f>IFERROR(INDEX('All Folders'!$A:$A,MATCH(H642,'All Folders'!$G:$G,0),1),"¶")</f>
        <v>15256</v>
      </c>
      <c r="K642" s="87"/>
      <c r="L642" s="87"/>
    </row>
    <row r="643" spans="1:12" ht="15" x14ac:dyDescent="0.25">
      <c r="A643" t="s">
        <v>20444</v>
      </c>
      <c r="B643" t="s">
        <v>14554</v>
      </c>
      <c r="C643" t="s">
        <v>14555</v>
      </c>
      <c r="D643" t="s">
        <v>14556</v>
      </c>
      <c r="E643">
        <v>2105</v>
      </c>
      <c r="F643" t="s">
        <v>14557</v>
      </c>
      <c r="G643" t="s">
        <v>4996</v>
      </c>
      <c r="H643" t="str">
        <f t="shared" si="20"/>
        <v>Davis2105Dallas</v>
      </c>
      <c r="I643" t="str">
        <f t="shared" si="21"/>
        <v>Davis</v>
      </c>
      <c r="J643" s="82">
        <f>IFERROR(INDEX('All Folders'!$A:$A,MATCH(H643,'All Folders'!$G:$G,0),1),"¶")</f>
        <v>30104</v>
      </c>
      <c r="K643" s="87"/>
      <c r="L643" s="87"/>
    </row>
    <row r="644" spans="1:12" ht="15" x14ac:dyDescent="0.25">
      <c r="A644" t="s">
        <v>20445</v>
      </c>
      <c r="B644" t="s">
        <v>14558</v>
      </c>
      <c r="C644" t="s">
        <v>14559</v>
      </c>
      <c r="D644" t="s">
        <v>14560</v>
      </c>
      <c r="E644">
        <v>10843</v>
      </c>
      <c r="F644" t="s">
        <v>7149</v>
      </c>
      <c r="G644" t="s">
        <v>4996</v>
      </c>
      <c r="H644" t="str">
        <f t="shared" si="20"/>
        <v>Central10843Dallas</v>
      </c>
      <c r="I644" t="str">
        <f t="shared" si="21"/>
        <v>Central</v>
      </c>
      <c r="J644" s="82">
        <f>IFERROR(INDEX('All Folders'!$A:$A,MATCH(H644,'All Folders'!$G:$G,0),1),"¶")</f>
        <v>14779</v>
      </c>
      <c r="K644" s="87"/>
      <c r="L644" s="87"/>
    </row>
    <row r="645" spans="1:12" ht="15" x14ac:dyDescent="0.25">
      <c r="A645" t="s">
        <v>20446</v>
      </c>
      <c r="B645" t="s">
        <v>14561</v>
      </c>
      <c r="C645" t="s">
        <v>14562</v>
      </c>
      <c r="D645" t="s">
        <v>14455</v>
      </c>
      <c r="E645">
        <v>2707</v>
      </c>
      <c r="F645" t="s">
        <v>14563</v>
      </c>
      <c r="G645" t="s">
        <v>4996</v>
      </c>
      <c r="H645" t="str">
        <f t="shared" si="20"/>
        <v>Fitzhugh2707Dallas</v>
      </c>
      <c r="I645" t="str">
        <f t="shared" si="21"/>
        <v>Fitzhugh</v>
      </c>
      <c r="J645" s="82">
        <f>IFERROR(INDEX('All Folders'!$A:$A,MATCH(H645,'All Folders'!$G:$G,0),1),"¶")</f>
        <v>17435</v>
      </c>
      <c r="K645" s="87"/>
      <c r="L645" s="87"/>
    </row>
    <row r="646" spans="1:12" ht="15" x14ac:dyDescent="0.25">
      <c r="A646" t="s">
        <v>20447</v>
      </c>
      <c r="B646" t="s">
        <v>14564</v>
      </c>
      <c r="C646" t="s">
        <v>14565</v>
      </c>
      <c r="D646" t="s">
        <v>14486</v>
      </c>
      <c r="E646">
        <v>5027</v>
      </c>
      <c r="F646" t="s">
        <v>5011</v>
      </c>
      <c r="G646" t="s">
        <v>4996</v>
      </c>
      <c r="H646" t="str">
        <f t="shared" si="20"/>
        <v>Live5027Dallas</v>
      </c>
      <c r="I646" t="str">
        <f t="shared" si="21"/>
        <v>Live</v>
      </c>
      <c r="J646" s="82" t="str">
        <f>IFERROR(INDEX('All Folders'!$A:$A,MATCH(H646,'All Folders'!$G:$G,0),1),"¶")</f>
        <v>SP65</v>
      </c>
      <c r="K646" s="87"/>
      <c r="L646" s="87"/>
    </row>
    <row r="647" spans="1:12" ht="15" x14ac:dyDescent="0.25">
      <c r="A647" t="s">
        <v>20448</v>
      </c>
      <c r="B647" t="s">
        <v>14566</v>
      </c>
      <c r="C647" t="s">
        <v>14567</v>
      </c>
      <c r="D647" t="s">
        <v>14568</v>
      </c>
      <c r="E647">
        <v>4300</v>
      </c>
      <c r="F647" t="s">
        <v>14569</v>
      </c>
      <c r="G647" t="s">
        <v>4996</v>
      </c>
      <c r="H647" t="str">
        <f t="shared" si="20"/>
        <v>Rosemeade4300Dallas</v>
      </c>
      <c r="I647" t="str">
        <f t="shared" si="21"/>
        <v>Rosemeade</v>
      </c>
      <c r="J647" s="82">
        <f>IFERROR(INDEX('All Folders'!$A:$A,MATCH(H647,'All Folders'!$G:$G,0),1),"¶")</f>
        <v>14221</v>
      </c>
      <c r="K647" s="87"/>
      <c r="L647" s="87"/>
    </row>
    <row r="648" spans="1:12" ht="15" x14ac:dyDescent="0.25">
      <c r="A648" t="s">
        <v>20449</v>
      </c>
      <c r="B648" t="s">
        <v>14570</v>
      </c>
      <c r="C648" t="s">
        <v>14571</v>
      </c>
      <c r="D648" t="s">
        <v>14572</v>
      </c>
      <c r="E648">
        <v>3302</v>
      </c>
      <c r="F648" t="s">
        <v>14573</v>
      </c>
      <c r="G648" t="s">
        <v>4996</v>
      </c>
      <c r="H648" t="str">
        <f t="shared" si="20"/>
        <v>Linda3302Dallas</v>
      </c>
      <c r="I648" t="str">
        <f t="shared" si="21"/>
        <v>Linda</v>
      </c>
      <c r="J648" s="82">
        <f>IFERROR(INDEX('All Folders'!$A:$A,MATCH(H648,'All Folders'!$G:$G,0),1),"¶")</f>
        <v>14820</v>
      </c>
      <c r="K648" s="87"/>
      <c r="L648" s="87"/>
    </row>
    <row r="649" spans="1:12" ht="15" x14ac:dyDescent="0.25">
      <c r="A649" t="s">
        <v>20451</v>
      </c>
      <c r="B649" t="s">
        <v>14576</v>
      </c>
      <c r="C649" t="s">
        <v>14577</v>
      </c>
      <c r="D649" t="s">
        <v>14578</v>
      </c>
      <c r="E649">
        <v>12009</v>
      </c>
      <c r="F649" t="s">
        <v>14579</v>
      </c>
      <c r="G649" t="s">
        <v>4996</v>
      </c>
      <c r="H649" t="str">
        <f t="shared" si="20"/>
        <v>Coit12009Dallas</v>
      </c>
      <c r="I649" t="str">
        <f t="shared" si="21"/>
        <v>Coit</v>
      </c>
      <c r="J649" s="82">
        <f>IFERROR(INDEX('All Folders'!$A:$A,MATCH(H649,'All Folders'!$G:$G,0),1),"¶")</f>
        <v>13936</v>
      </c>
      <c r="K649" s="87"/>
      <c r="L649" s="87"/>
    </row>
    <row r="650" spans="1:12" ht="15" x14ac:dyDescent="0.25">
      <c r="A650" t="s">
        <v>20452</v>
      </c>
      <c r="B650" t="s">
        <v>14580</v>
      </c>
      <c r="C650" t="s">
        <v>14581</v>
      </c>
      <c r="D650" t="s">
        <v>14582</v>
      </c>
      <c r="E650">
        <v>3514</v>
      </c>
      <c r="F650" t="s">
        <v>14583</v>
      </c>
      <c r="G650" t="s">
        <v>4996</v>
      </c>
      <c r="H650" t="str">
        <f t="shared" si="20"/>
        <v>Nogales3514Dallas</v>
      </c>
      <c r="I650" t="str">
        <f t="shared" si="21"/>
        <v>Nogales</v>
      </c>
      <c r="J650" s="82">
        <f>IFERROR(INDEX('All Folders'!$A:$A,MATCH(H650,'All Folders'!$G:$G,0),1),"¶")</f>
        <v>30079</v>
      </c>
      <c r="K650" s="87"/>
      <c r="L650" s="87"/>
    </row>
    <row r="651" spans="1:12" ht="15" x14ac:dyDescent="0.25">
      <c r="A651" t="s">
        <v>20453</v>
      </c>
      <c r="B651" t="s">
        <v>14584</v>
      </c>
      <c r="C651" t="s">
        <v>14585</v>
      </c>
      <c r="D651" t="s">
        <v>14586</v>
      </c>
      <c r="E651">
        <v>11515</v>
      </c>
      <c r="F651" t="s">
        <v>14587</v>
      </c>
      <c r="G651" t="s">
        <v>4996</v>
      </c>
      <c r="H651" t="str">
        <f t="shared" si="20"/>
        <v>Leisure11515Dallas</v>
      </c>
      <c r="I651" t="str">
        <f t="shared" si="21"/>
        <v>Leisure</v>
      </c>
      <c r="J651" s="82">
        <f>IFERROR(INDEX('All Folders'!$A:$A,MATCH(H651,'All Folders'!$G:$G,0),1),"¶")</f>
        <v>15484</v>
      </c>
      <c r="K651" s="87"/>
      <c r="L651" s="87"/>
    </row>
    <row r="652" spans="1:12" ht="15" x14ac:dyDescent="0.25">
      <c r="A652" t="s">
        <v>20454</v>
      </c>
      <c r="B652" t="s">
        <v>14588</v>
      </c>
      <c r="C652" t="s">
        <v>14589</v>
      </c>
      <c r="D652" t="s">
        <v>14590</v>
      </c>
      <c r="E652">
        <v>5704</v>
      </c>
      <c r="F652" t="s">
        <v>5142</v>
      </c>
      <c r="G652" t="s">
        <v>4996</v>
      </c>
      <c r="H652" t="str">
        <f t="shared" si="20"/>
        <v>Spring5704Dallas</v>
      </c>
      <c r="I652" t="str">
        <f t="shared" si="21"/>
        <v>Spring</v>
      </c>
      <c r="J652" s="82">
        <f>IFERROR(INDEX('All Folders'!$A:$A,MATCH(H652,'All Folders'!$G:$G,0),1),"¶")</f>
        <v>13164</v>
      </c>
      <c r="K652" s="87"/>
      <c r="L652" s="87"/>
    </row>
    <row r="653" spans="1:12" ht="15" x14ac:dyDescent="0.25">
      <c r="A653" t="s">
        <v>20455</v>
      </c>
      <c r="B653" t="s">
        <v>14591</v>
      </c>
      <c r="C653" t="s">
        <v>14592</v>
      </c>
      <c r="D653" t="s">
        <v>5070</v>
      </c>
      <c r="E653">
        <v>9855</v>
      </c>
      <c r="F653" t="s">
        <v>14593</v>
      </c>
      <c r="G653" t="s">
        <v>4996</v>
      </c>
      <c r="H653" t="str">
        <f t="shared" si="20"/>
        <v>Shadow9855Dallas</v>
      </c>
      <c r="I653" t="str">
        <f t="shared" si="21"/>
        <v>Shadow</v>
      </c>
      <c r="J653" s="82">
        <f>IFERROR(INDEX('All Folders'!$A:$A,MATCH(H653,'All Folders'!$G:$G,0),1),"¶")</f>
        <v>13114</v>
      </c>
      <c r="K653" s="87"/>
      <c r="L653" s="87"/>
    </row>
    <row r="654" spans="1:12" ht="15" x14ac:dyDescent="0.25">
      <c r="A654" t="s">
        <v>20456</v>
      </c>
      <c r="B654" t="s">
        <v>14594</v>
      </c>
      <c r="C654" t="s">
        <v>14595</v>
      </c>
      <c r="D654" t="s">
        <v>14596</v>
      </c>
      <c r="E654">
        <v>11760</v>
      </c>
      <c r="F654" t="s">
        <v>14597</v>
      </c>
      <c r="G654" t="s">
        <v>4996</v>
      </c>
      <c r="H654" t="str">
        <f t="shared" si="20"/>
        <v>Ferguson11760Dallas</v>
      </c>
      <c r="I654" t="str">
        <f t="shared" si="21"/>
        <v>Ferguson</v>
      </c>
      <c r="J654" s="82">
        <f>IFERROR(INDEX('All Folders'!$A:$A,MATCH(H654,'All Folders'!$G:$G,0),1),"¶")</f>
        <v>13120</v>
      </c>
      <c r="K654" s="87"/>
      <c r="L654" s="87"/>
    </row>
    <row r="655" spans="1:12" ht="15" x14ac:dyDescent="0.25">
      <c r="A655" t="s">
        <v>20457</v>
      </c>
      <c r="B655" t="s">
        <v>14598</v>
      </c>
      <c r="C655" t="s">
        <v>14599</v>
      </c>
      <c r="D655" t="s">
        <v>14600</v>
      </c>
      <c r="E655">
        <v>321</v>
      </c>
      <c r="F655" t="s">
        <v>14601</v>
      </c>
      <c r="G655" t="s">
        <v>4996</v>
      </c>
      <c r="H655" t="str">
        <f t="shared" si="20"/>
        <v>8th321Dallas</v>
      </c>
      <c r="I655" t="str">
        <f t="shared" si="21"/>
        <v>8th</v>
      </c>
      <c r="J655" s="82">
        <f>IFERROR(INDEX('All Folders'!$A:$A,MATCH(H655,'All Folders'!$G:$G,0),1),"¶")</f>
        <v>30045</v>
      </c>
      <c r="K655" s="87"/>
      <c r="L655" s="87"/>
    </row>
    <row r="656" spans="1:12" ht="15" x14ac:dyDescent="0.25">
      <c r="A656" t="s">
        <v>20458</v>
      </c>
      <c r="B656" t="s">
        <v>14602</v>
      </c>
      <c r="C656" t="s">
        <v>14603</v>
      </c>
      <c r="D656" t="s">
        <v>14604</v>
      </c>
      <c r="E656">
        <v>2808</v>
      </c>
      <c r="F656" t="s">
        <v>14605</v>
      </c>
      <c r="G656" t="s">
        <v>4996</v>
      </c>
      <c r="H656" t="str">
        <f t="shared" si="20"/>
        <v>Saint2808Dallas</v>
      </c>
      <c r="I656" t="str">
        <f t="shared" si="21"/>
        <v>Saint</v>
      </c>
      <c r="J656" s="82">
        <f>IFERROR(INDEX('All Folders'!$A:$A,MATCH(H656,'All Folders'!$G:$G,0),1),"¶")</f>
        <v>13125</v>
      </c>
      <c r="K656" s="87"/>
      <c r="L656" s="87"/>
    </row>
    <row r="657" spans="1:12" ht="15" x14ac:dyDescent="0.25">
      <c r="A657" t="s">
        <v>20459</v>
      </c>
      <c r="B657" t="s">
        <v>14606</v>
      </c>
      <c r="C657" t="s">
        <v>14607</v>
      </c>
      <c r="D657" t="s">
        <v>14608</v>
      </c>
      <c r="E657">
        <v>11661</v>
      </c>
      <c r="F657" t="s">
        <v>5084</v>
      </c>
      <c r="G657" t="s">
        <v>4996</v>
      </c>
      <c r="H657" t="str">
        <f t="shared" si="20"/>
        <v>Dennis11661Dallas</v>
      </c>
      <c r="I657" t="str">
        <f t="shared" si="21"/>
        <v>Dennis</v>
      </c>
      <c r="J657" s="82">
        <f>IFERROR(INDEX('All Folders'!$A:$A,MATCH(H657,'All Folders'!$G:$G,0),1),"¶")</f>
        <v>13122</v>
      </c>
      <c r="K657" s="87"/>
      <c r="L657" s="87"/>
    </row>
    <row r="658" spans="1:12" ht="15" x14ac:dyDescent="0.25">
      <c r="A658" t="s">
        <v>20460</v>
      </c>
      <c r="B658" t="s">
        <v>14609</v>
      </c>
      <c r="C658" t="s">
        <v>14610</v>
      </c>
      <c r="D658" t="s">
        <v>14611</v>
      </c>
      <c r="E658">
        <v>2807</v>
      </c>
      <c r="F658" t="s">
        <v>7172</v>
      </c>
      <c r="G658" t="s">
        <v>4996</v>
      </c>
      <c r="H658" t="str">
        <f t="shared" si="20"/>
        <v>Bachman2807Dallas</v>
      </c>
      <c r="I658" t="str">
        <f t="shared" si="21"/>
        <v>Bachman</v>
      </c>
      <c r="J658" s="82">
        <f>IFERROR(INDEX('All Folders'!$A:$A,MATCH(H658,'All Folders'!$G:$G,0),1),"¶")</f>
        <v>14797</v>
      </c>
      <c r="K658" s="87"/>
      <c r="L658" s="87"/>
    </row>
    <row r="659" spans="1:12" ht="15" x14ac:dyDescent="0.25">
      <c r="A659" t="s">
        <v>20461</v>
      </c>
      <c r="B659" t="s">
        <v>14612</v>
      </c>
      <c r="C659" t="s">
        <v>14613</v>
      </c>
      <c r="D659" t="s">
        <v>14614</v>
      </c>
      <c r="E659">
        <v>8117</v>
      </c>
      <c r="F659" t="s">
        <v>14615</v>
      </c>
      <c r="G659" t="s">
        <v>4996</v>
      </c>
      <c r="H659" t="str">
        <f t="shared" si="20"/>
        <v>Barclay8117Dallas</v>
      </c>
      <c r="I659" t="str">
        <f t="shared" si="21"/>
        <v>Barclay</v>
      </c>
      <c r="J659" s="82">
        <f>IFERROR(INDEX('All Folders'!$A:$A,MATCH(H659,'All Folders'!$G:$G,0),1),"¶")</f>
        <v>13141</v>
      </c>
      <c r="K659" s="87"/>
      <c r="L659" s="87"/>
    </row>
    <row r="660" spans="1:12" ht="15" x14ac:dyDescent="0.25">
      <c r="A660" t="s">
        <v>20462</v>
      </c>
      <c r="B660" t="s">
        <v>14616</v>
      </c>
      <c r="C660" t="s">
        <v>14617</v>
      </c>
      <c r="D660" t="s">
        <v>14618</v>
      </c>
      <c r="E660">
        <v>1315</v>
      </c>
      <c r="F660" t="s">
        <v>14619</v>
      </c>
      <c r="G660" t="s">
        <v>4996</v>
      </c>
      <c r="H660" t="str">
        <f t="shared" si="20"/>
        <v>Barry1315Dallas</v>
      </c>
      <c r="I660" t="str">
        <f t="shared" si="21"/>
        <v>Barry</v>
      </c>
      <c r="J660" s="82">
        <f>IFERROR(INDEX('All Folders'!$A:$A,MATCH(H660,'All Folders'!$G:$G,0),1),"¶")</f>
        <v>30086</v>
      </c>
      <c r="K660" s="87"/>
      <c r="L660" s="87"/>
    </row>
    <row r="661" spans="1:12" ht="15" x14ac:dyDescent="0.25">
      <c r="A661" t="s">
        <v>20463</v>
      </c>
      <c r="B661" t="s">
        <v>14620</v>
      </c>
      <c r="C661" t="s">
        <v>14621</v>
      </c>
      <c r="D661" t="s">
        <v>14622</v>
      </c>
      <c r="E661">
        <v>3353</v>
      </c>
      <c r="F661" t="s">
        <v>3787</v>
      </c>
      <c r="G661" t="s">
        <v>4996</v>
      </c>
      <c r="H661" t="str">
        <f t="shared" si="20"/>
        <v>Lombardy3353Dallas</v>
      </c>
      <c r="I661" t="str">
        <f t="shared" si="21"/>
        <v>Lombardy</v>
      </c>
      <c r="J661" s="82">
        <f>IFERROR(INDEX('All Folders'!$A:$A,MATCH(H661,'All Folders'!$G:$G,0),1),"¶")</f>
        <v>13146</v>
      </c>
      <c r="K661" s="87"/>
      <c r="L661" s="87"/>
    </row>
    <row r="662" spans="1:12" ht="15" x14ac:dyDescent="0.25">
      <c r="A662" t="s">
        <v>20464</v>
      </c>
      <c r="B662" t="s">
        <v>14623</v>
      </c>
      <c r="C662" t="s">
        <v>14624</v>
      </c>
      <c r="D662" t="s">
        <v>14625</v>
      </c>
      <c r="E662">
        <v>9959</v>
      </c>
      <c r="F662" t="s">
        <v>14626</v>
      </c>
      <c r="G662" t="s">
        <v>4996</v>
      </c>
      <c r="H662" t="str">
        <f t="shared" si="20"/>
        <v>Adelta9959Dallas</v>
      </c>
      <c r="I662" t="str">
        <f t="shared" si="21"/>
        <v>Adelta</v>
      </c>
      <c r="J662" s="88">
        <v>13147</v>
      </c>
      <c r="K662" s="87"/>
      <c r="L662" s="87"/>
    </row>
    <row r="663" spans="1:12" ht="15" x14ac:dyDescent="0.25">
      <c r="A663" t="s">
        <v>20466</v>
      </c>
      <c r="B663" t="s">
        <v>14629</v>
      </c>
      <c r="C663" t="s">
        <v>14630</v>
      </c>
      <c r="D663" t="s">
        <v>14631</v>
      </c>
      <c r="E663">
        <v>5315</v>
      </c>
      <c r="F663" t="s">
        <v>12844</v>
      </c>
      <c r="G663" t="s">
        <v>4996</v>
      </c>
      <c r="H663" t="str">
        <f t="shared" si="20"/>
        <v>Columbia5315Dallas</v>
      </c>
      <c r="I663" t="str">
        <f t="shared" si="21"/>
        <v>Columbia</v>
      </c>
      <c r="J663" s="82" t="str">
        <f>IFERROR(INDEX('All Folders'!$A:$A,MATCH(H663,'All Folders'!$G:$G,0),1),"¶")</f>
        <v>SP37</v>
      </c>
      <c r="K663" s="87"/>
      <c r="L663" s="87"/>
    </row>
    <row r="664" spans="1:12" ht="15" x14ac:dyDescent="0.25">
      <c r="A664" t="s">
        <v>20467</v>
      </c>
      <c r="B664" t="s">
        <v>14632</v>
      </c>
      <c r="C664" t="s">
        <v>14633</v>
      </c>
      <c r="D664" t="s">
        <v>14634</v>
      </c>
      <c r="E664">
        <v>3628</v>
      </c>
      <c r="F664" t="s">
        <v>14635</v>
      </c>
      <c r="G664" t="s">
        <v>4996</v>
      </c>
      <c r="H664" t="str">
        <f t="shared" si="20"/>
        <v>Pine3628Dallas</v>
      </c>
      <c r="I664" t="str">
        <f t="shared" si="21"/>
        <v>Pine</v>
      </c>
      <c r="J664" s="82" t="str">
        <f>IFERROR(INDEX('All Folders'!$A:$A,MATCH(H664,'All Folders'!$G:$G,0),1),"¶")</f>
        <v>SP75</v>
      </c>
      <c r="K664" s="87"/>
      <c r="L664" s="87"/>
    </row>
    <row r="665" spans="1:12" ht="15" x14ac:dyDescent="0.25">
      <c r="A665" t="s">
        <v>20468</v>
      </c>
      <c r="B665" t="s">
        <v>14636</v>
      </c>
      <c r="C665" t="s">
        <v>14637</v>
      </c>
      <c r="D665" t="s">
        <v>14638</v>
      </c>
      <c r="E665">
        <v>3131</v>
      </c>
      <c r="F665" t="s">
        <v>14639</v>
      </c>
      <c r="G665" t="s">
        <v>4996</v>
      </c>
      <c r="H665" t="str">
        <f t="shared" si="20"/>
        <v>Norwalk3131Dallas</v>
      </c>
      <c r="I665" t="str">
        <f t="shared" si="21"/>
        <v>Norwalk</v>
      </c>
      <c r="J665" s="88">
        <v>30081</v>
      </c>
      <c r="K665" s="87"/>
      <c r="L665" s="87"/>
    </row>
    <row r="666" spans="1:12" ht="15" x14ac:dyDescent="0.25">
      <c r="A666" t="s">
        <v>20469</v>
      </c>
      <c r="B666" t="s">
        <v>14640</v>
      </c>
      <c r="C666" t="s">
        <v>14641</v>
      </c>
      <c r="D666" t="s">
        <v>5101</v>
      </c>
      <c r="E666">
        <v>3131</v>
      </c>
      <c r="F666" t="s">
        <v>14639</v>
      </c>
      <c r="G666" t="s">
        <v>4996</v>
      </c>
      <c r="H666" t="str">
        <f t="shared" si="20"/>
        <v>Webb3131Dallas</v>
      </c>
      <c r="I666" t="str">
        <f t="shared" si="21"/>
        <v>Webb</v>
      </c>
      <c r="J666" s="82">
        <f>IFERROR(INDEX('All Folders'!$A:$A,MATCH(H666,'All Folders'!$G:$G,0),1),"¶")</f>
        <v>30109</v>
      </c>
      <c r="K666" s="87"/>
      <c r="L666" s="87"/>
    </row>
    <row r="667" spans="1:12" ht="15" x14ac:dyDescent="0.25">
      <c r="A667" t="s">
        <v>20470</v>
      </c>
      <c r="B667" t="s">
        <v>14642</v>
      </c>
      <c r="C667" t="s">
        <v>14643</v>
      </c>
      <c r="D667" t="s">
        <v>5446</v>
      </c>
      <c r="E667">
        <v>14735</v>
      </c>
      <c r="F667" t="s">
        <v>5147</v>
      </c>
      <c r="G667" t="s">
        <v>4996</v>
      </c>
      <c r="H667" t="str">
        <f t="shared" si="20"/>
        <v>Montfort14735Dallas</v>
      </c>
      <c r="I667" t="str">
        <f t="shared" si="21"/>
        <v>Montfort</v>
      </c>
      <c r="J667" s="82">
        <f>IFERROR(INDEX('All Folders'!$A:$A,MATCH(H667,'All Folders'!$G:$G,0),1),"¶")</f>
        <v>30068</v>
      </c>
      <c r="K667" s="87"/>
      <c r="L667" s="87"/>
    </row>
    <row r="668" spans="1:12" ht="15" x14ac:dyDescent="0.25">
      <c r="A668" t="s">
        <v>20471</v>
      </c>
      <c r="B668" t="s">
        <v>14644</v>
      </c>
      <c r="C668" t="s">
        <v>14645</v>
      </c>
      <c r="D668" t="s">
        <v>14646</v>
      </c>
      <c r="E668">
        <v>3211</v>
      </c>
      <c r="F668" t="s">
        <v>11499</v>
      </c>
      <c r="G668" t="s">
        <v>4996</v>
      </c>
      <c r="H668" t="str">
        <f t="shared" si="20"/>
        <v>Vernon3211Dallas</v>
      </c>
      <c r="I668" t="str">
        <f t="shared" si="21"/>
        <v>Vernon</v>
      </c>
      <c r="J668" s="82">
        <f>IFERROR(INDEX('All Folders'!$A:$A,MATCH(H668,'All Folders'!$G:$G,0),1),"¶")</f>
        <v>30091</v>
      </c>
      <c r="K668" s="87"/>
      <c r="L668" s="87"/>
    </row>
    <row r="669" spans="1:12" ht="15" x14ac:dyDescent="0.25">
      <c r="A669" t="s">
        <v>20472</v>
      </c>
      <c r="B669" t="s">
        <v>14647</v>
      </c>
      <c r="C669" t="s">
        <v>14648</v>
      </c>
      <c r="D669" t="s">
        <v>14649</v>
      </c>
      <c r="E669">
        <v>324</v>
      </c>
      <c r="F669" t="s">
        <v>12818</v>
      </c>
      <c r="G669" t="s">
        <v>4996</v>
      </c>
      <c r="H669" t="str">
        <f t="shared" si="20"/>
        <v>8th324Dallas</v>
      </c>
      <c r="I669" t="str">
        <f t="shared" si="21"/>
        <v>8th</v>
      </c>
      <c r="J669" s="82" t="str">
        <f>IFERROR(INDEX('All Folders'!$A:$A,MATCH(H669,'All Folders'!$G:$G,0),1),"¶")</f>
        <v>SP25</v>
      </c>
      <c r="K669" s="87"/>
      <c r="L669" s="87"/>
    </row>
    <row r="670" spans="1:12" ht="15" x14ac:dyDescent="0.25">
      <c r="A670" t="s">
        <v>20473</v>
      </c>
      <c r="B670" t="s">
        <v>14650</v>
      </c>
      <c r="C670" t="s">
        <v>14651</v>
      </c>
      <c r="D670" t="s">
        <v>14490</v>
      </c>
      <c r="E670">
        <v>5921</v>
      </c>
      <c r="F670" t="s">
        <v>14652</v>
      </c>
      <c r="G670" t="s">
        <v>4996</v>
      </c>
      <c r="H670" t="str">
        <f t="shared" si="20"/>
        <v>Gaston5921Dallas</v>
      </c>
      <c r="I670" t="str">
        <f t="shared" si="21"/>
        <v>Gaston</v>
      </c>
      <c r="J670" s="82" t="str">
        <f>IFERROR(INDEX('All Folders'!$A:$A,MATCH(H670,'All Folders'!$G:$G,0),1),"¶")</f>
        <v>SP52</v>
      </c>
      <c r="K670" s="87"/>
      <c r="L670" s="87"/>
    </row>
    <row r="671" spans="1:12" ht="15" x14ac:dyDescent="0.25">
      <c r="A671" t="s">
        <v>20474</v>
      </c>
      <c r="B671" t="s">
        <v>14653</v>
      </c>
      <c r="C671" t="s">
        <v>14654</v>
      </c>
      <c r="D671" t="s">
        <v>14455</v>
      </c>
      <c r="E671">
        <v>1728</v>
      </c>
      <c r="F671" t="s">
        <v>14655</v>
      </c>
      <c r="G671" t="s">
        <v>4996</v>
      </c>
      <c r="H671" t="str">
        <f t="shared" si="20"/>
        <v>Fitzhugh1728Dallas</v>
      </c>
      <c r="I671" t="str">
        <f t="shared" si="21"/>
        <v>Fitzhugh</v>
      </c>
      <c r="J671" s="82" t="str">
        <f>IFERROR(INDEX('All Folders'!$A:$A,MATCH(H671,'All Folders'!$G:$G,0),1),"¶")</f>
        <v>SP47</v>
      </c>
      <c r="K671" s="87"/>
      <c r="L671" s="87"/>
    </row>
    <row r="672" spans="1:12" ht="15" x14ac:dyDescent="0.25">
      <c r="A672" t="s">
        <v>20475</v>
      </c>
      <c r="B672" t="s">
        <v>14656</v>
      </c>
      <c r="C672" t="s">
        <v>14657</v>
      </c>
      <c r="D672" t="s">
        <v>14658</v>
      </c>
      <c r="E672">
        <v>3823</v>
      </c>
      <c r="F672" t="s">
        <v>14659</v>
      </c>
      <c r="G672" t="s">
        <v>4996</v>
      </c>
      <c r="H672" t="str">
        <f t="shared" si="20"/>
        <v>Bonnie3823Dallas</v>
      </c>
      <c r="I672" t="str">
        <f t="shared" si="21"/>
        <v>Bonnie</v>
      </c>
      <c r="J672" s="82">
        <f>IFERROR(INDEX('All Folders'!$A:$A,MATCH(H672,'All Folders'!$G:$G,0),1),"¶")</f>
        <v>30038</v>
      </c>
      <c r="K672" s="87"/>
      <c r="L672" s="87"/>
    </row>
    <row r="673" spans="1:12" ht="15" x14ac:dyDescent="0.25">
      <c r="A673" t="s">
        <v>20476</v>
      </c>
      <c r="B673" t="s">
        <v>14660</v>
      </c>
      <c r="C673" t="s">
        <v>14661</v>
      </c>
      <c r="D673" t="s">
        <v>14658</v>
      </c>
      <c r="E673">
        <v>3827</v>
      </c>
      <c r="F673" t="s">
        <v>14659</v>
      </c>
      <c r="G673" t="s">
        <v>4996</v>
      </c>
      <c r="H673" t="str">
        <f t="shared" si="20"/>
        <v>Bonnie3827Dallas</v>
      </c>
      <c r="I673" t="str">
        <f t="shared" si="21"/>
        <v>Bonnie</v>
      </c>
      <c r="J673" s="88">
        <v>30112</v>
      </c>
      <c r="K673" s="87"/>
      <c r="L673" s="87"/>
    </row>
    <row r="674" spans="1:12" ht="15" x14ac:dyDescent="0.25">
      <c r="A674" t="s">
        <v>20477</v>
      </c>
      <c r="B674" t="s">
        <v>14662</v>
      </c>
      <c r="C674" t="s">
        <v>14663</v>
      </c>
      <c r="D674" t="s">
        <v>14664</v>
      </c>
      <c r="E674">
        <v>3103</v>
      </c>
      <c r="F674" t="s">
        <v>14665</v>
      </c>
      <c r="G674" t="s">
        <v>4996</v>
      </c>
      <c r="H674" t="str">
        <f t="shared" si="20"/>
        <v>Springwood3103Dallas</v>
      </c>
      <c r="I674" t="str">
        <f t="shared" si="21"/>
        <v>Springwood</v>
      </c>
      <c r="J674" s="82">
        <f>IFERROR(INDEX('All Folders'!$A:$A,MATCH(H674,'All Folders'!$G:$G,0),1),"¶")</f>
        <v>30098</v>
      </c>
      <c r="K674" s="87"/>
      <c r="L674" s="87"/>
    </row>
    <row r="675" spans="1:12" ht="15" x14ac:dyDescent="0.25">
      <c r="A675" t="s">
        <v>20478</v>
      </c>
      <c r="B675" t="s">
        <v>14666</v>
      </c>
      <c r="C675" t="s">
        <v>14667</v>
      </c>
      <c r="D675" t="s">
        <v>14668</v>
      </c>
      <c r="E675">
        <v>4710</v>
      </c>
      <c r="F675" t="s">
        <v>7278</v>
      </c>
      <c r="G675" t="s">
        <v>4996</v>
      </c>
      <c r="H675" t="str">
        <f t="shared" si="20"/>
        <v>Lake4710Dallas</v>
      </c>
      <c r="I675" t="str">
        <f t="shared" si="21"/>
        <v>Lake</v>
      </c>
      <c r="J675" s="82">
        <f>IFERROR(INDEX('All Folders'!$A:$A,MATCH(H675,'All Folders'!$G:$G,0),1),"¶")</f>
        <v>14896</v>
      </c>
      <c r="K675" s="87"/>
      <c r="L675" s="87"/>
    </row>
    <row r="676" spans="1:12" ht="15" x14ac:dyDescent="0.25">
      <c r="A676" t="s">
        <v>20479</v>
      </c>
      <c r="B676" t="s">
        <v>14669</v>
      </c>
      <c r="C676" t="s">
        <v>14670</v>
      </c>
      <c r="D676" t="s">
        <v>14076</v>
      </c>
      <c r="E676">
        <v>10110</v>
      </c>
      <c r="F676" t="s">
        <v>6888</v>
      </c>
      <c r="G676" t="s">
        <v>4996</v>
      </c>
      <c r="H676" t="str">
        <f t="shared" si="20"/>
        <v>Walnut10110Dallas</v>
      </c>
      <c r="I676" t="str">
        <f t="shared" si="21"/>
        <v>Walnut</v>
      </c>
      <c r="J676" s="82">
        <f>IFERROR(INDEX('All Folders'!$A:$A,MATCH(H676,'All Folders'!$G:$G,0),1),"¶")</f>
        <v>14543</v>
      </c>
      <c r="K676" s="87"/>
      <c r="L676" s="87"/>
    </row>
    <row r="677" spans="1:12" ht="15" x14ac:dyDescent="0.25">
      <c r="A677" t="s">
        <v>20480</v>
      </c>
      <c r="B677" t="s">
        <v>14671</v>
      </c>
      <c r="C677" t="s">
        <v>14672</v>
      </c>
      <c r="D677" t="s">
        <v>14673</v>
      </c>
      <c r="E677">
        <v>5440</v>
      </c>
      <c r="F677" t="s">
        <v>5174</v>
      </c>
      <c r="G677" t="s">
        <v>4996</v>
      </c>
      <c r="H677" t="str">
        <f t="shared" si="20"/>
        <v>Jim5440Dallas</v>
      </c>
      <c r="I677" t="str">
        <f t="shared" si="21"/>
        <v>Jim</v>
      </c>
      <c r="J677" s="82">
        <f>IFERROR(INDEX('All Folders'!$A:$A,MATCH(H677,'All Folders'!$G:$G,0),1),"¶")</f>
        <v>13186</v>
      </c>
      <c r="K677" s="87"/>
      <c r="L677" s="87"/>
    </row>
    <row r="678" spans="1:12" ht="15" x14ac:dyDescent="0.25">
      <c r="A678" t="s">
        <v>20481</v>
      </c>
      <c r="B678" t="s">
        <v>14674</v>
      </c>
      <c r="C678" t="s">
        <v>14675</v>
      </c>
      <c r="D678" t="s">
        <v>14676</v>
      </c>
      <c r="E678">
        <v>13700</v>
      </c>
      <c r="F678" t="s">
        <v>7269</v>
      </c>
      <c r="G678" t="s">
        <v>4996</v>
      </c>
      <c r="H678" t="str">
        <f t="shared" si="20"/>
        <v>CF13700Dallas</v>
      </c>
      <c r="I678" t="str">
        <f t="shared" si="21"/>
        <v>CF</v>
      </c>
      <c r="J678" s="82">
        <f>IFERROR(INDEX('All Folders'!$A:$A,MATCH(H678,'All Folders'!$G:$G,0),1),"¶")</f>
        <v>14889</v>
      </c>
      <c r="K678" s="87"/>
      <c r="L678" s="87"/>
    </row>
    <row r="679" spans="1:12" ht="15" x14ac:dyDescent="0.25">
      <c r="A679" t="s">
        <v>20482</v>
      </c>
      <c r="B679" t="s">
        <v>14677</v>
      </c>
      <c r="C679" t="s">
        <v>14678</v>
      </c>
      <c r="D679" t="s">
        <v>14679</v>
      </c>
      <c r="E679">
        <v>1720</v>
      </c>
      <c r="F679" t="s">
        <v>72</v>
      </c>
      <c r="G679" t="s">
        <v>4996</v>
      </c>
      <c r="H679" t="str">
        <f t="shared" si="20"/>
        <v>John1720Dallas</v>
      </c>
      <c r="I679" t="str">
        <f t="shared" si="21"/>
        <v>John</v>
      </c>
      <c r="J679" s="82">
        <f>IFERROR(INDEX('All Folders'!$A:$A,MATCH(H679,'All Folders'!$G:$G,0),1),"¶")</f>
        <v>13191</v>
      </c>
      <c r="K679" s="87"/>
      <c r="L679" s="87"/>
    </row>
    <row r="680" spans="1:12" ht="15" x14ac:dyDescent="0.25">
      <c r="A680" t="s">
        <v>20483</v>
      </c>
      <c r="B680" t="s">
        <v>14680</v>
      </c>
      <c r="C680" t="s">
        <v>14681</v>
      </c>
      <c r="D680" t="s">
        <v>14682</v>
      </c>
      <c r="E680">
        <v>3900</v>
      </c>
      <c r="F680" t="s">
        <v>14683</v>
      </c>
      <c r="G680" t="s">
        <v>4996</v>
      </c>
      <c r="H680" t="str">
        <f t="shared" si="20"/>
        <v>Investor3900Dallas</v>
      </c>
      <c r="I680" t="str">
        <f t="shared" si="21"/>
        <v>Investor</v>
      </c>
      <c r="J680" s="82">
        <f>IFERROR(INDEX('All Folders'!$A:$A,MATCH(H680,'All Folders'!$G:$G,0),1),"¶")</f>
        <v>13193</v>
      </c>
      <c r="K680" s="87"/>
      <c r="L680" s="87"/>
    </row>
    <row r="681" spans="1:12" ht="15" x14ac:dyDescent="0.25">
      <c r="A681" t="s">
        <v>20484</v>
      </c>
      <c r="B681" t="s">
        <v>14684</v>
      </c>
      <c r="C681" t="s">
        <v>14685</v>
      </c>
      <c r="D681" t="s">
        <v>14686</v>
      </c>
      <c r="E681">
        <v>9827</v>
      </c>
      <c r="F681" t="s">
        <v>14687</v>
      </c>
      <c r="G681" t="s">
        <v>4996</v>
      </c>
      <c r="H681" t="str">
        <f t="shared" si="20"/>
        <v>Brockbank9827Dallas</v>
      </c>
      <c r="I681" t="str">
        <f t="shared" si="21"/>
        <v>Brockbank</v>
      </c>
      <c r="J681" s="82">
        <f>IFERROR(INDEX('All Folders'!$A:$A,MATCH(H681,'All Folders'!$G:$G,0),1),"¶")</f>
        <v>13198</v>
      </c>
      <c r="K681" s="87"/>
      <c r="L681" s="87"/>
    </row>
    <row r="682" spans="1:12" ht="15" x14ac:dyDescent="0.25">
      <c r="A682" t="s">
        <v>20485</v>
      </c>
      <c r="B682" t="s">
        <v>14688</v>
      </c>
      <c r="C682" t="s">
        <v>14689</v>
      </c>
      <c r="D682" t="s">
        <v>14590</v>
      </c>
      <c r="E682">
        <v>8360</v>
      </c>
      <c r="F682" t="s">
        <v>11508</v>
      </c>
      <c r="G682" t="s">
        <v>4996</v>
      </c>
      <c r="H682" t="str">
        <f t="shared" si="20"/>
        <v>Spring8360Dallas</v>
      </c>
      <c r="I682" t="str">
        <f t="shared" si="21"/>
        <v>Spring</v>
      </c>
      <c r="J682" s="88">
        <v>30097</v>
      </c>
      <c r="K682" s="87"/>
      <c r="L682" s="87"/>
    </row>
    <row r="683" spans="1:12" ht="15" x14ac:dyDescent="0.25">
      <c r="A683" t="s">
        <v>20486</v>
      </c>
      <c r="B683" t="s">
        <v>14690</v>
      </c>
      <c r="C683" t="s">
        <v>14691</v>
      </c>
      <c r="D683" t="s">
        <v>7583</v>
      </c>
      <c r="E683" t="s">
        <v>14692</v>
      </c>
      <c r="F683" t="s">
        <v>14693</v>
      </c>
      <c r="G683" t="s">
        <v>4996</v>
      </c>
      <c r="H683" t="str">
        <f t="shared" si="20"/>
        <v>Norwalk3200-3203Dallas</v>
      </c>
      <c r="I683" t="str">
        <f t="shared" si="21"/>
        <v>Norwalk</v>
      </c>
      <c r="J683" s="88">
        <v>30080</v>
      </c>
      <c r="K683" s="87"/>
      <c r="L683" s="87"/>
    </row>
    <row r="684" spans="1:12" ht="15" x14ac:dyDescent="0.25">
      <c r="A684" t="s">
        <v>20488</v>
      </c>
      <c r="B684" t="s">
        <v>14698</v>
      </c>
      <c r="C684" t="s">
        <v>14699</v>
      </c>
      <c r="D684" t="s">
        <v>14700</v>
      </c>
      <c r="E684">
        <v>9901</v>
      </c>
      <c r="F684" t="s">
        <v>14701</v>
      </c>
      <c r="G684" t="s">
        <v>4996</v>
      </c>
      <c r="H684" t="str">
        <f t="shared" si="20"/>
        <v>Bruton9901Dallas</v>
      </c>
      <c r="I684" t="str">
        <f t="shared" si="21"/>
        <v>Bruton</v>
      </c>
      <c r="J684" s="82">
        <f>IFERROR(INDEX('All Folders'!$A:$A,MATCH(H684,'All Folders'!$G:$G,0),1),"¶")</f>
        <v>13210</v>
      </c>
      <c r="K684" s="87"/>
      <c r="L684" s="87"/>
    </row>
    <row r="685" spans="1:12" ht="15" x14ac:dyDescent="0.25">
      <c r="A685" t="s">
        <v>20489</v>
      </c>
      <c r="B685" t="s">
        <v>14702</v>
      </c>
      <c r="C685" t="s">
        <v>14703</v>
      </c>
      <c r="D685" t="s">
        <v>14704</v>
      </c>
      <c r="E685">
        <v>3219</v>
      </c>
      <c r="F685" t="s">
        <v>14705</v>
      </c>
      <c r="G685" t="s">
        <v>4996</v>
      </c>
      <c r="H685" t="str">
        <f t="shared" si="20"/>
        <v>San3219Dallas</v>
      </c>
      <c r="I685" t="str">
        <f t="shared" si="21"/>
        <v>San</v>
      </c>
      <c r="J685" s="82" t="str">
        <f>IFERROR(INDEX('All Folders'!$A:$A,MATCH(H685,'All Folders'!$G:$G,0),1),"¶")</f>
        <v>SP83</v>
      </c>
      <c r="K685" s="87"/>
      <c r="L685" s="87"/>
    </row>
    <row r="686" spans="1:12" ht="15" x14ac:dyDescent="0.25">
      <c r="A686" t="s">
        <v>20490</v>
      </c>
      <c r="B686" t="s">
        <v>14706</v>
      </c>
      <c r="C686" t="s">
        <v>14707</v>
      </c>
      <c r="D686" t="s">
        <v>14708</v>
      </c>
      <c r="E686">
        <v>2901</v>
      </c>
      <c r="F686" t="s">
        <v>14709</v>
      </c>
      <c r="G686" t="s">
        <v>4996</v>
      </c>
      <c r="H686" t="str">
        <f t="shared" si="20"/>
        <v>Cityplace2901Dallas</v>
      </c>
      <c r="I686" t="str">
        <f t="shared" si="21"/>
        <v>Cityplace</v>
      </c>
      <c r="J686" s="88">
        <v>15951</v>
      </c>
      <c r="K686" s="87"/>
      <c r="L686" s="87"/>
    </row>
    <row r="687" spans="1:12" ht="15" x14ac:dyDescent="0.25">
      <c r="A687" t="s">
        <v>20491</v>
      </c>
      <c r="B687" t="s">
        <v>14710</v>
      </c>
      <c r="C687" t="s">
        <v>14711</v>
      </c>
      <c r="D687" t="s">
        <v>14679</v>
      </c>
      <c r="E687">
        <v>1810</v>
      </c>
      <c r="F687" t="s">
        <v>5209</v>
      </c>
      <c r="G687" t="s">
        <v>4996</v>
      </c>
      <c r="H687" t="str">
        <f t="shared" si="20"/>
        <v>John1810Dallas</v>
      </c>
      <c r="I687" t="str">
        <f t="shared" si="21"/>
        <v>John</v>
      </c>
      <c r="J687" s="82">
        <f>IFERROR(INDEX('All Folders'!$A:$A,MATCH(H687,'All Folders'!$G:$G,0),1),"¶")</f>
        <v>13211</v>
      </c>
      <c r="K687" s="87"/>
      <c r="L687" s="87"/>
    </row>
    <row r="688" spans="1:12" ht="15" x14ac:dyDescent="0.25">
      <c r="A688" t="s">
        <v>20492</v>
      </c>
      <c r="B688" t="s">
        <v>14712</v>
      </c>
      <c r="C688" t="s">
        <v>14713</v>
      </c>
      <c r="D688" t="s">
        <v>14714</v>
      </c>
      <c r="E688">
        <v>3969</v>
      </c>
      <c r="F688" t="s">
        <v>14715</v>
      </c>
      <c r="G688" t="s">
        <v>4996</v>
      </c>
      <c r="H688" t="str">
        <f t="shared" si="20"/>
        <v>Altoona3969Dallas</v>
      </c>
      <c r="I688" t="str">
        <f t="shared" si="21"/>
        <v>Altoona</v>
      </c>
      <c r="J688" s="82">
        <f>IFERROR(INDEX('All Folders'!$A:$A,MATCH(H688,'All Folders'!$G:$G,0),1),"¶")</f>
        <v>14044</v>
      </c>
      <c r="K688" s="87"/>
      <c r="L688" s="87"/>
    </row>
    <row r="689" spans="1:12" ht="15" x14ac:dyDescent="0.25">
      <c r="A689" t="s">
        <v>20493</v>
      </c>
      <c r="B689" t="s">
        <v>14716</v>
      </c>
      <c r="C689" t="s">
        <v>14717</v>
      </c>
      <c r="D689" t="s">
        <v>14718</v>
      </c>
      <c r="E689">
        <v>6706</v>
      </c>
      <c r="F689" t="s">
        <v>14719</v>
      </c>
      <c r="G689" t="s">
        <v>4996</v>
      </c>
      <c r="H689" t="str">
        <f t="shared" si="20"/>
        <v>Eastridge6706Dallas</v>
      </c>
      <c r="I689" t="str">
        <f t="shared" si="21"/>
        <v>Eastridge</v>
      </c>
      <c r="J689" s="82">
        <f>IFERROR(INDEX('All Folders'!$A:$A,MATCH(H689,'All Folders'!$G:$G,0),1),"¶")</f>
        <v>13217</v>
      </c>
      <c r="K689" s="87"/>
      <c r="L689" s="87"/>
    </row>
    <row r="690" spans="1:12" ht="15" x14ac:dyDescent="0.25">
      <c r="A690" t="s">
        <v>20494</v>
      </c>
      <c r="B690" t="s">
        <v>14720</v>
      </c>
      <c r="C690" t="s">
        <v>14721</v>
      </c>
      <c r="D690" t="s">
        <v>14596</v>
      </c>
      <c r="E690">
        <v>7323</v>
      </c>
      <c r="F690" t="s">
        <v>14722</v>
      </c>
      <c r="G690" t="s">
        <v>4996</v>
      </c>
      <c r="H690" t="str">
        <f t="shared" si="20"/>
        <v>Ferguson7323Dallas</v>
      </c>
      <c r="I690" t="str">
        <f t="shared" si="21"/>
        <v>Ferguson</v>
      </c>
      <c r="J690" s="82">
        <f>IFERROR(INDEX('All Folders'!$A:$A,MATCH(H690,'All Folders'!$G:$G,0),1),"¶")</f>
        <v>30050</v>
      </c>
      <c r="K690" s="87"/>
      <c r="L690" s="87"/>
    </row>
    <row r="691" spans="1:12" ht="15" x14ac:dyDescent="0.25">
      <c r="A691" t="s">
        <v>20496</v>
      </c>
      <c r="B691" t="s">
        <v>14726</v>
      </c>
      <c r="C691" t="s">
        <v>14727</v>
      </c>
      <c r="D691" t="s">
        <v>14728</v>
      </c>
      <c r="E691">
        <v>2727</v>
      </c>
      <c r="F691" t="s">
        <v>8480</v>
      </c>
      <c r="G691" t="s">
        <v>4996</v>
      </c>
      <c r="H691" t="str">
        <f t="shared" si="20"/>
        <v>Jefferson2727Dallas</v>
      </c>
      <c r="I691" t="str">
        <f t="shared" si="21"/>
        <v>Jefferson</v>
      </c>
      <c r="J691" s="82">
        <f>IFERROR(INDEX('All Folders'!$A:$A,MATCH(H691,'All Folders'!$G:$G,0),1),"¶")</f>
        <v>16001</v>
      </c>
      <c r="K691" s="87"/>
      <c r="L691" s="87"/>
    </row>
    <row r="692" spans="1:12" ht="15" x14ac:dyDescent="0.25">
      <c r="A692" t="s">
        <v>20497</v>
      </c>
      <c r="B692" t="s">
        <v>14729</v>
      </c>
      <c r="C692" t="s">
        <v>14730</v>
      </c>
      <c r="D692" t="s">
        <v>14731</v>
      </c>
      <c r="E692">
        <v>2970</v>
      </c>
      <c r="F692" t="s">
        <v>14732</v>
      </c>
      <c r="G692" t="s">
        <v>4996</v>
      </c>
      <c r="H692" t="str">
        <f t="shared" si="20"/>
        <v>Peavy2970Dallas</v>
      </c>
      <c r="I692" t="str">
        <f t="shared" si="21"/>
        <v>Peavy</v>
      </c>
      <c r="J692" s="82">
        <f>IFERROR(INDEX('All Folders'!$A:$A,MATCH(H692,'All Folders'!$G:$G,0),1),"¶")</f>
        <v>15014</v>
      </c>
      <c r="K692" s="87"/>
      <c r="L692" s="87"/>
    </row>
    <row r="693" spans="1:12" ht="15" x14ac:dyDescent="0.25">
      <c r="A693" t="s">
        <v>20498</v>
      </c>
      <c r="B693" t="s">
        <v>14733</v>
      </c>
      <c r="C693" t="s">
        <v>14734</v>
      </c>
      <c r="D693" t="s">
        <v>14735</v>
      </c>
      <c r="E693">
        <v>100</v>
      </c>
      <c r="F693" t="s">
        <v>14736</v>
      </c>
      <c r="G693" t="s">
        <v>4996</v>
      </c>
      <c r="H693" t="str">
        <f t="shared" si="20"/>
        <v>Randolph100Dallas</v>
      </c>
      <c r="I693" t="str">
        <f t="shared" si="21"/>
        <v>Randolph</v>
      </c>
      <c r="J693" s="82">
        <f>IFERROR(INDEX('All Folders'!$A:$A,MATCH(H693,'All Folders'!$G:$G,0),1),"¶")</f>
        <v>13244</v>
      </c>
      <c r="K693" s="87"/>
      <c r="L693" s="87"/>
    </row>
    <row r="694" spans="1:12" ht="15" x14ac:dyDescent="0.25">
      <c r="A694" t="s">
        <v>20499</v>
      </c>
      <c r="B694" t="s">
        <v>14737</v>
      </c>
      <c r="C694" t="s">
        <v>14738</v>
      </c>
      <c r="D694" t="s">
        <v>14596</v>
      </c>
      <c r="E694">
        <v>7621</v>
      </c>
      <c r="F694" t="s">
        <v>14739</v>
      </c>
      <c r="G694" t="s">
        <v>4996</v>
      </c>
      <c r="H694" t="str">
        <f t="shared" si="20"/>
        <v>Ferguson7621Dallas</v>
      </c>
      <c r="I694" t="str">
        <f t="shared" si="21"/>
        <v>Ferguson</v>
      </c>
      <c r="J694" s="82">
        <f>IFERROR(INDEX('All Folders'!$A:$A,MATCH(H694,'All Folders'!$G:$G,0),1),"¶")</f>
        <v>30051</v>
      </c>
      <c r="K694" s="87"/>
      <c r="L694" s="87"/>
    </row>
    <row r="695" spans="1:12" ht="15" x14ac:dyDescent="0.25">
      <c r="A695" t="s">
        <v>20500</v>
      </c>
      <c r="B695" t="s">
        <v>14740</v>
      </c>
      <c r="C695" t="s">
        <v>14741</v>
      </c>
      <c r="D695" t="s">
        <v>14742</v>
      </c>
      <c r="E695">
        <v>3303</v>
      </c>
      <c r="F695" t="s">
        <v>14743</v>
      </c>
      <c r="G695" t="s">
        <v>4996</v>
      </c>
      <c r="H695" t="str">
        <f t="shared" si="20"/>
        <v>Chapel3303Dallas</v>
      </c>
      <c r="I695" t="str">
        <f t="shared" si="21"/>
        <v>Chapel</v>
      </c>
      <c r="J695" s="82">
        <f>IFERROR(INDEX('All Folders'!$A:$A,MATCH(H695,'All Folders'!$G:$G,0),1),"¶")</f>
        <v>15161</v>
      </c>
      <c r="K695" s="87"/>
      <c r="L695" s="87"/>
    </row>
    <row r="696" spans="1:12" ht="15" x14ac:dyDescent="0.25">
      <c r="A696" t="s">
        <v>20502</v>
      </c>
      <c r="B696" t="s">
        <v>14746</v>
      </c>
      <c r="C696" t="s">
        <v>14747</v>
      </c>
      <c r="D696" t="s">
        <v>13117</v>
      </c>
      <c r="E696" t="s">
        <v>14748</v>
      </c>
      <c r="F696" t="s">
        <v>11497</v>
      </c>
      <c r="G696" t="s">
        <v>4996</v>
      </c>
      <c r="H696" t="str">
        <f t="shared" si="20"/>
        <v>Polk3425-3235Dallas</v>
      </c>
      <c r="I696" t="str">
        <f t="shared" si="21"/>
        <v>Polk</v>
      </c>
      <c r="J696" s="88">
        <v>30090</v>
      </c>
      <c r="K696" s="87"/>
      <c r="L696" s="87"/>
    </row>
    <row r="697" spans="1:12" ht="15" x14ac:dyDescent="0.25">
      <c r="A697" t="s">
        <v>20503</v>
      </c>
      <c r="B697" t="s">
        <v>14749</v>
      </c>
      <c r="C697" t="s">
        <v>14750</v>
      </c>
      <c r="D697" t="s">
        <v>14751</v>
      </c>
      <c r="E697">
        <v>7117</v>
      </c>
      <c r="F697" t="s">
        <v>14752</v>
      </c>
      <c r="G697" t="s">
        <v>4996</v>
      </c>
      <c r="H697" t="str">
        <f t="shared" si="20"/>
        <v>Holly7117Dallas</v>
      </c>
      <c r="I697" t="str">
        <f t="shared" si="21"/>
        <v>Holly</v>
      </c>
      <c r="J697" s="82">
        <f>IFERROR(INDEX('All Folders'!$A:$A,MATCH(H697,'All Folders'!$G:$G,0),1),"¶")</f>
        <v>14638</v>
      </c>
      <c r="K697" s="87"/>
      <c r="L697" s="87"/>
    </row>
    <row r="698" spans="1:12" ht="15" x14ac:dyDescent="0.25">
      <c r="A698" t="s">
        <v>20504</v>
      </c>
      <c r="B698" t="s">
        <v>14753</v>
      </c>
      <c r="C698" t="s">
        <v>14754</v>
      </c>
      <c r="D698" t="s">
        <v>14755</v>
      </c>
      <c r="E698">
        <v>9637</v>
      </c>
      <c r="F698" t="s">
        <v>14756</v>
      </c>
      <c r="G698" t="s">
        <v>4996</v>
      </c>
      <c r="H698" t="str">
        <f t="shared" si="20"/>
        <v>Forest9637Dallas</v>
      </c>
      <c r="I698" t="str">
        <f t="shared" si="21"/>
        <v>Forest</v>
      </c>
      <c r="J698" s="82">
        <f>IFERROR(INDEX('All Folders'!$A:$A,MATCH(H698,'All Folders'!$G:$G,0),1),"¶")</f>
        <v>13262</v>
      </c>
      <c r="K698" s="87"/>
      <c r="L698" s="87"/>
    </row>
    <row r="699" spans="1:12" ht="15" x14ac:dyDescent="0.25">
      <c r="A699" t="s">
        <v>20505</v>
      </c>
      <c r="B699" t="s">
        <v>14757</v>
      </c>
      <c r="C699" t="s">
        <v>14758</v>
      </c>
      <c r="D699" t="s">
        <v>14759</v>
      </c>
      <c r="E699">
        <v>2636</v>
      </c>
      <c r="F699" t="s">
        <v>5278</v>
      </c>
      <c r="G699" t="s">
        <v>4996</v>
      </c>
      <c r="H699" t="str">
        <f t="shared" si="20"/>
        <v>Frankford2636Dallas</v>
      </c>
      <c r="I699" t="str">
        <f t="shared" si="21"/>
        <v>Frankford</v>
      </c>
      <c r="J699" s="88">
        <v>13264</v>
      </c>
      <c r="K699" s="87"/>
      <c r="L699" s="87"/>
    </row>
    <row r="700" spans="1:12" ht="15" x14ac:dyDescent="0.25">
      <c r="A700" t="s">
        <v>20506</v>
      </c>
      <c r="B700" t="s">
        <v>14760</v>
      </c>
      <c r="C700" t="s">
        <v>14761</v>
      </c>
      <c r="D700" t="s">
        <v>14762</v>
      </c>
      <c r="E700">
        <v>10931</v>
      </c>
      <c r="F700" t="s">
        <v>14763</v>
      </c>
      <c r="G700" t="s">
        <v>4996</v>
      </c>
      <c r="H700" t="str">
        <f t="shared" si="20"/>
        <v>Stone10931Dallas</v>
      </c>
      <c r="I700" t="str">
        <f t="shared" si="21"/>
        <v>Stone</v>
      </c>
      <c r="J700" s="82">
        <f>IFERROR(INDEX('All Folders'!$A:$A,MATCH(H700,'All Folders'!$G:$G,0),1),"¶")</f>
        <v>13276</v>
      </c>
      <c r="K700" s="87"/>
      <c r="L700" s="87"/>
    </row>
    <row r="701" spans="1:12" ht="15" x14ac:dyDescent="0.25">
      <c r="A701" t="s">
        <v>20507</v>
      </c>
      <c r="B701" t="s">
        <v>14764</v>
      </c>
      <c r="C701" t="s">
        <v>14765</v>
      </c>
      <c r="D701" t="s">
        <v>14766</v>
      </c>
      <c r="E701">
        <v>9825</v>
      </c>
      <c r="F701" t="s">
        <v>14767</v>
      </c>
      <c r="G701" t="s">
        <v>4996</v>
      </c>
      <c r="H701" t="str">
        <f t="shared" si="20"/>
        <v>Webb9825Dallas</v>
      </c>
      <c r="I701" t="str">
        <f t="shared" si="21"/>
        <v>Webb</v>
      </c>
      <c r="J701" s="82">
        <f>IFERROR(INDEX('All Folders'!$A:$A,MATCH(H701,'All Folders'!$G:$G,0),1),"¶")</f>
        <v>15235</v>
      </c>
      <c r="K701" s="87"/>
      <c r="L701" s="87"/>
    </row>
    <row r="702" spans="1:12" ht="15" x14ac:dyDescent="0.25">
      <c r="A702" t="s">
        <v>20508</v>
      </c>
      <c r="B702" t="s">
        <v>14768</v>
      </c>
      <c r="C702" t="s">
        <v>14769</v>
      </c>
      <c r="D702" t="s">
        <v>14770</v>
      </c>
      <c r="E702">
        <v>1818</v>
      </c>
      <c r="F702" t="s">
        <v>11512</v>
      </c>
      <c r="G702" t="s">
        <v>4996</v>
      </c>
      <c r="H702" t="str">
        <f t="shared" si="20"/>
        <v>Stevens1818Dallas</v>
      </c>
      <c r="I702" t="str">
        <f t="shared" si="21"/>
        <v>Stevens</v>
      </c>
      <c r="J702" s="82">
        <f>IFERROR(INDEX('All Folders'!$A:$A,MATCH(H702,'All Folders'!$G:$G,0),1),"¶")</f>
        <v>30099</v>
      </c>
      <c r="K702" s="87"/>
      <c r="L702" s="87"/>
    </row>
    <row r="703" spans="1:12" ht="15" x14ac:dyDescent="0.25">
      <c r="A703" t="s">
        <v>20509</v>
      </c>
      <c r="B703" t="s">
        <v>14771</v>
      </c>
      <c r="C703" t="s">
        <v>14772</v>
      </c>
      <c r="D703" t="s">
        <v>14773</v>
      </c>
      <c r="E703">
        <v>11620</v>
      </c>
      <c r="F703" t="s">
        <v>14774</v>
      </c>
      <c r="G703" t="s">
        <v>4996</v>
      </c>
      <c r="H703" t="str">
        <f t="shared" si="20"/>
        <v>Audelia11620Dallas</v>
      </c>
      <c r="I703" t="str">
        <f t="shared" si="21"/>
        <v>Audelia</v>
      </c>
      <c r="J703" s="82">
        <f>IFERROR(INDEX('All Folders'!$A:$A,MATCH(H703,'All Folders'!$G:$G,0),1),"¶")</f>
        <v>13281</v>
      </c>
      <c r="K703" s="87"/>
      <c r="L703" s="87"/>
    </row>
    <row r="704" spans="1:12" ht="15" x14ac:dyDescent="0.25">
      <c r="A704" t="s">
        <v>20510</v>
      </c>
      <c r="B704" t="s">
        <v>14775</v>
      </c>
      <c r="C704" t="s">
        <v>14776</v>
      </c>
      <c r="D704" t="s">
        <v>14777</v>
      </c>
      <c r="E704">
        <v>3955</v>
      </c>
      <c r="F704" t="s">
        <v>14778</v>
      </c>
      <c r="G704" t="s">
        <v>4996</v>
      </c>
      <c r="H704" t="str">
        <f t="shared" si="20"/>
        <v>Mather3955Dallas</v>
      </c>
      <c r="I704" t="str">
        <f t="shared" si="21"/>
        <v>Mather</v>
      </c>
      <c r="J704" s="82" t="str">
        <f>IFERROR(INDEX('All Folders'!$A:$A,MATCH(H704,'All Folders'!$G:$G,0),1),"¶")</f>
        <v>SP68</v>
      </c>
      <c r="K704" s="87"/>
      <c r="L704" s="87"/>
    </row>
    <row r="705" spans="1:12" ht="15" x14ac:dyDescent="0.25">
      <c r="A705" t="s">
        <v>20511</v>
      </c>
      <c r="B705" t="s">
        <v>14779</v>
      </c>
      <c r="C705" t="s">
        <v>14780</v>
      </c>
      <c r="D705" t="s">
        <v>14781</v>
      </c>
      <c r="E705">
        <v>3829</v>
      </c>
      <c r="F705" t="s">
        <v>14782</v>
      </c>
      <c r="G705" t="s">
        <v>4996</v>
      </c>
      <c r="H705" t="str">
        <f t="shared" si="20"/>
        <v>Gannon3829Dallas</v>
      </c>
      <c r="I705" t="str">
        <f t="shared" si="21"/>
        <v>Gannon</v>
      </c>
      <c r="J705" s="82">
        <f>IFERROR(INDEX('All Folders'!$A:$A,MATCH(H705,'All Folders'!$G:$G,0),1),"¶")</f>
        <v>14186</v>
      </c>
      <c r="K705" s="87"/>
      <c r="L705" s="87"/>
    </row>
    <row r="706" spans="1:12" ht="15" x14ac:dyDescent="0.25">
      <c r="A706" t="s">
        <v>20512</v>
      </c>
      <c r="B706" t="s">
        <v>14783</v>
      </c>
      <c r="C706" t="s">
        <v>14784</v>
      </c>
      <c r="D706" t="s">
        <v>14781</v>
      </c>
      <c r="E706">
        <v>3839</v>
      </c>
      <c r="F706" t="s">
        <v>14785</v>
      </c>
      <c r="G706" t="s">
        <v>4996</v>
      </c>
      <c r="H706" t="str">
        <f t="shared" ref="H706:H769" si="22">I706&amp;E706&amp;G706</f>
        <v>Gannon3839Dallas</v>
      </c>
      <c r="I706" t="str">
        <f t="shared" ref="I706:I769" si="23">IFERROR(LEFT(D706,FIND(" ",D706)-1),D706)</f>
        <v>Gannon</v>
      </c>
      <c r="J706" s="82">
        <f>IFERROR(INDEX('All Folders'!$A:$A,MATCH(H706,'All Folders'!$G:$G,0),1),"¶")</f>
        <v>13932</v>
      </c>
      <c r="K706" s="87"/>
      <c r="L706" s="87"/>
    </row>
    <row r="707" spans="1:12" ht="15" x14ac:dyDescent="0.25">
      <c r="A707" t="s">
        <v>20513</v>
      </c>
      <c r="B707" t="s">
        <v>14786</v>
      </c>
      <c r="C707" t="s">
        <v>14787</v>
      </c>
      <c r="D707" t="s">
        <v>14788</v>
      </c>
      <c r="E707">
        <v>7407</v>
      </c>
      <c r="F707" t="s">
        <v>6915</v>
      </c>
      <c r="G707" t="s">
        <v>4996</v>
      </c>
      <c r="H707" t="str">
        <f t="shared" si="22"/>
        <v>Fair7407Dallas</v>
      </c>
      <c r="I707" t="str">
        <f t="shared" si="23"/>
        <v>Fair</v>
      </c>
      <c r="J707" s="82">
        <f>IFERROR(INDEX('All Folders'!$A:$A,MATCH(H707,'All Folders'!$G:$G,0),1),"¶")</f>
        <v>14565</v>
      </c>
      <c r="K707" s="87"/>
      <c r="L707" s="87"/>
    </row>
    <row r="708" spans="1:12" ht="15" x14ac:dyDescent="0.25">
      <c r="A708" t="s">
        <v>20514</v>
      </c>
      <c r="B708" t="s">
        <v>14789</v>
      </c>
      <c r="C708" t="s">
        <v>14790</v>
      </c>
      <c r="D708" t="s">
        <v>14791</v>
      </c>
      <c r="E708">
        <v>3919</v>
      </c>
      <c r="F708" t="s">
        <v>14792</v>
      </c>
      <c r="G708" t="s">
        <v>4996</v>
      </c>
      <c r="H708" t="str">
        <f t="shared" si="22"/>
        <v>Sidney3919Dallas</v>
      </c>
      <c r="I708" t="str">
        <f t="shared" si="23"/>
        <v>Sidney</v>
      </c>
      <c r="J708" s="82" t="str">
        <f>IFERROR(INDEX('All Folders'!$A:$A,MATCH(H708,'All Folders'!$G:$G,0),1),"¶")</f>
        <v>SP85</v>
      </c>
      <c r="K708" s="87"/>
      <c r="L708" s="87"/>
    </row>
    <row r="709" spans="1:12" ht="15" x14ac:dyDescent="0.25">
      <c r="A709" t="s">
        <v>20515</v>
      </c>
      <c r="B709" t="s">
        <v>14793</v>
      </c>
      <c r="C709" t="s">
        <v>14794</v>
      </c>
      <c r="D709" t="s">
        <v>6022</v>
      </c>
      <c r="E709">
        <v>8350</v>
      </c>
      <c r="F709" t="s">
        <v>14795</v>
      </c>
      <c r="G709" t="s">
        <v>4996</v>
      </c>
      <c r="H709" t="str">
        <f t="shared" si="22"/>
        <v>Park8350Dallas</v>
      </c>
      <c r="I709" t="str">
        <f t="shared" si="23"/>
        <v>Park</v>
      </c>
      <c r="J709" s="82">
        <f>IFERROR(INDEX('All Folders'!$A:$A,MATCH(H709,'All Folders'!$G:$G,0),1),"¶")</f>
        <v>13295</v>
      </c>
      <c r="K709" s="87"/>
      <c r="L709" s="87"/>
    </row>
    <row r="710" spans="1:12" ht="15" x14ac:dyDescent="0.25">
      <c r="A710" t="s">
        <v>20516</v>
      </c>
      <c r="B710" t="s">
        <v>14796</v>
      </c>
      <c r="C710" t="s">
        <v>14797</v>
      </c>
      <c r="D710" t="s">
        <v>14798</v>
      </c>
      <c r="E710">
        <v>7965</v>
      </c>
      <c r="F710" t="s">
        <v>5331</v>
      </c>
      <c r="G710" t="s">
        <v>4996</v>
      </c>
      <c r="H710" t="str">
        <f t="shared" si="22"/>
        <v>Cliffbrook7965Dallas</v>
      </c>
      <c r="I710" t="str">
        <f t="shared" si="23"/>
        <v>Cliffbrook</v>
      </c>
      <c r="J710" s="82">
        <f>IFERROR(INDEX('All Folders'!$A:$A,MATCH(H710,'All Folders'!$G:$G,0),1),"¶")</f>
        <v>13299</v>
      </c>
      <c r="K710" s="87"/>
      <c r="L710" s="87"/>
    </row>
    <row r="711" spans="1:12" ht="15" x14ac:dyDescent="0.25">
      <c r="A711" t="s">
        <v>20517</v>
      </c>
      <c r="B711" t="s">
        <v>14799</v>
      </c>
      <c r="C711" t="s">
        <v>14800</v>
      </c>
      <c r="D711" t="s">
        <v>5101</v>
      </c>
      <c r="E711">
        <v>3333</v>
      </c>
      <c r="F711" t="s">
        <v>5337</v>
      </c>
      <c r="G711" t="s">
        <v>4996</v>
      </c>
      <c r="H711" t="str">
        <f t="shared" si="22"/>
        <v>Webb3333Dallas</v>
      </c>
      <c r="I711" t="str">
        <f t="shared" si="23"/>
        <v>Webb</v>
      </c>
      <c r="J711" s="82">
        <f>IFERROR(INDEX('All Folders'!$A:$A,MATCH(H711,'All Folders'!$G:$G,0),1),"¶")</f>
        <v>13303</v>
      </c>
      <c r="K711" s="87"/>
      <c r="L711" s="87"/>
    </row>
    <row r="712" spans="1:12" ht="15" x14ac:dyDescent="0.25">
      <c r="A712" t="s">
        <v>20518</v>
      </c>
      <c r="B712" t="s">
        <v>14801</v>
      </c>
      <c r="C712" t="s">
        <v>14802</v>
      </c>
      <c r="D712" t="s">
        <v>14773</v>
      </c>
      <c r="E712">
        <v>13030</v>
      </c>
      <c r="F712" t="s">
        <v>14803</v>
      </c>
      <c r="G712" t="s">
        <v>4996</v>
      </c>
      <c r="H712" t="str">
        <f t="shared" si="22"/>
        <v>Audelia13030Dallas</v>
      </c>
      <c r="I712" t="str">
        <f t="shared" si="23"/>
        <v>Audelia</v>
      </c>
      <c r="J712" s="82">
        <f>IFERROR(INDEX('All Folders'!$A:$A,MATCH(H712,'All Folders'!$G:$G,0),1),"¶")</f>
        <v>13925</v>
      </c>
      <c r="K712" s="87"/>
      <c r="L712" s="87"/>
    </row>
    <row r="713" spans="1:12" ht="15" x14ac:dyDescent="0.25">
      <c r="A713" t="s">
        <v>20520</v>
      </c>
      <c r="B713" t="s">
        <v>14808</v>
      </c>
      <c r="C713" t="s">
        <v>14809</v>
      </c>
      <c r="D713" t="s">
        <v>14631</v>
      </c>
      <c r="E713">
        <v>5114</v>
      </c>
      <c r="F713" t="s">
        <v>14810</v>
      </c>
      <c r="G713" t="s">
        <v>4996</v>
      </c>
      <c r="H713" t="str">
        <f t="shared" si="22"/>
        <v>Columbia5114Dallas</v>
      </c>
      <c r="I713" t="str">
        <f t="shared" si="23"/>
        <v>Columbia</v>
      </c>
      <c r="J713" s="90" t="s">
        <v>12840</v>
      </c>
      <c r="K713" s="87"/>
      <c r="L713" s="87"/>
    </row>
    <row r="714" spans="1:12" ht="15" x14ac:dyDescent="0.25">
      <c r="A714" t="s">
        <v>20521</v>
      </c>
      <c r="B714" t="s">
        <v>14811</v>
      </c>
      <c r="C714" t="s">
        <v>14812</v>
      </c>
      <c r="D714" t="s">
        <v>14813</v>
      </c>
      <c r="E714">
        <v>13450</v>
      </c>
      <c r="F714" t="s">
        <v>14258</v>
      </c>
      <c r="G714" t="s">
        <v>4996</v>
      </c>
      <c r="H714" t="str">
        <f t="shared" si="22"/>
        <v>Maham13450Dallas</v>
      </c>
      <c r="I714" t="str">
        <f t="shared" si="23"/>
        <v>Maham</v>
      </c>
      <c r="J714" s="82">
        <f>IFERROR(INDEX('All Folders'!$A:$A,MATCH(H714,'All Folders'!$G:$G,0),1),"¶")</f>
        <v>13321</v>
      </c>
      <c r="K714" s="87"/>
      <c r="L714" s="87"/>
    </row>
    <row r="715" spans="1:12" ht="15" x14ac:dyDescent="0.25">
      <c r="A715" t="s">
        <v>20522</v>
      </c>
      <c r="B715" t="s">
        <v>14814</v>
      </c>
      <c r="C715" t="s">
        <v>14815</v>
      </c>
      <c r="D715" t="s">
        <v>14816</v>
      </c>
      <c r="E715">
        <v>7414</v>
      </c>
      <c r="F715" t="s">
        <v>6240</v>
      </c>
      <c r="G715" t="s">
        <v>4996</v>
      </c>
      <c r="H715" t="str">
        <f t="shared" si="22"/>
        <v>Grand7414Dallas</v>
      </c>
      <c r="I715" t="str">
        <f t="shared" si="23"/>
        <v>Grand</v>
      </c>
      <c r="J715" s="82">
        <f>IFERROR(INDEX('All Folders'!$A:$A,MATCH(H715,'All Folders'!$G:$G,0),1),"¶")</f>
        <v>13996</v>
      </c>
      <c r="K715" s="87"/>
      <c r="L715" s="87"/>
    </row>
    <row r="716" spans="1:12" ht="15" x14ac:dyDescent="0.25">
      <c r="A716" t="s">
        <v>20523</v>
      </c>
      <c r="B716" t="s">
        <v>14817</v>
      </c>
      <c r="C716" t="s">
        <v>14818</v>
      </c>
      <c r="D716" t="s">
        <v>14819</v>
      </c>
      <c r="E716">
        <v>10062</v>
      </c>
      <c r="F716" t="s">
        <v>14820</v>
      </c>
      <c r="G716" t="s">
        <v>4996</v>
      </c>
      <c r="H716" t="str">
        <f t="shared" si="22"/>
        <v>Royal10062Dallas</v>
      </c>
      <c r="I716" t="str">
        <f t="shared" si="23"/>
        <v>Royal</v>
      </c>
      <c r="J716" s="82">
        <f>IFERROR(INDEX('All Folders'!$A:$A,MATCH(H716,'All Folders'!$G:$G,0),1),"¶")</f>
        <v>30085</v>
      </c>
      <c r="K716" s="87"/>
      <c r="L716" s="87"/>
    </row>
    <row r="717" spans="1:12" ht="15" x14ac:dyDescent="0.25">
      <c r="A717" t="s">
        <v>20524</v>
      </c>
      <c r="B717" t="s">
        <v>14821</v>
      </c>
      <c r="C717" t="s">
        <v>14822</v>
      </c>
      <c r="D717" t="s">
        <v>14742</v>
      </c>
      <c r="E717">
        <v>3232</v>
      </c>
      <c r="F717" t="s">
        <v>14823</v>
      </c>
      <c r="G717" t="s">
        <v>4996</v>
      </c>
      <c r="H717" t="str">
        <f t="shared" si="22"/>
        <v>Chapel3232Dallas</v>
      </c>
      <c r="I717" t="str">
        <f t="shared" si="23"/>
        <v>Chapel</v>
      </c>
      <c r="J717" s="82">
        <f>IFERROR(INDEX('All Folders'!$A:$A,MATCH(H717,'All Folders'!$G:$G,0),1),"¶")</f>
        <v>30042</v>
      </c>
      <c r="K717" s="87"/>
      <c r="L717" s="87"/>
    </row>
    <row r="718" spans="1:12" ht="15" x14ac:dyDescent="0.25">
      <c r="A718" t="s">
        <v>20525</v>
      </c>
      <c r="B718" t="s">
        <v>14824</v>
      </c>
      <c r="C718" t="s">
        <v>14825</v>
      </c>
      <c r="D718" t="s">
        <v>14826</v>
      </c>
      <c r="E718">
        <v>1930</v>
      </c>
      <c r="F718" t="s">
        <v>7673</v>
      </c>
      <c r="G718" t="s">
        <v>4996</v>
      </c>
      <c r="H718" t="str">
        <f t="shared" si="22"/>
        <v>Atlantic1930Dallas</v>
      </c>
      <c r="I718" t="str">
        <f t="shared" si="23"/>
        <v>Atlantic</v>
      </c>
      <c r="J718" s="82">
        <f>IFERROR(INDEX('All Folders'!$A:$A,MATCH(H718,'All Folders'!$G:$G,0),1),"¶")</f>
        <v>15279</v>
      </c>
      <c r="K718" s="87"/>
      <c r="L718" s="87"/>
    </row>
    <row r="719" spans="1:12" ht="15" x14ac:dyDescent="0.25">
      <c r="A719" t="s">
        <v>20526</v>
      </c>
      <c r="B719" t="s">
        <v>14827</v>
      </c>
      <c r="C719" t="s">
        <v>14828</v>
      </c>
      <c r="D719" t="s">
        <v>14829</v>
      </c>
      <c r="E719">
        <v>2924</v>
      </c>
      <c r="F719" t="s">
        <v>5416</v>
      </c>
      <c r="G719" t="s">
        <v>4996</v>
      </c>
      <c r="H719" t="str">
        <f t="shared" si="22"/>
        <v>Lucas2924Dallas</v>
      </c>
      <c r="I719" t="str">
        <f t="shared" si="23"/>
        <v>Lucas</v>
      </c>
      <c r="J719" s="82">
        <f>IFERROR(INDEX('All Folders'!$A:$A,MATCH(H719,'All Folders'!$G:$G,0),1),"¶")</f>
        <v>13356</v>
      </c>
      <c r="K719" s="87"/>
      <c r="L719" s="87"/>
    </row>
    <row r="720" spans="1:12" ht="15" x14ac:dyDescent="0.25">
      <c r="A720" t="s">
        <v>20528</v>
      </c>
      <c r="B720" t="s">
        <v>14833</v>
      </c>
      <c r="C720" t="s">
        <v>14834</v>
      </c>
      <c r="D720" t="s">
        <v>14832</v>
      </c>
      <c r="E720">
        <v>919</v>
      </c>
      <c r="F720" t="s">
        <v>14835</v>
      </c>
      <c r="G720" t="s">
        <v>4996</v>
      </c>
      <c r="H720" t="str">
        <f t="shared" si="22"/>
        <v>Wheatland919Dallas</v>
      </c>
      <c r="I720" t="str">
        <f t="shared" si="23"/>
        <v>Wheatland</v>
      </c>
      <c r="J720" s="82">
        <f>IFERROR(INDEX('All Folders'!$A:$A,MATCH(H720,'All Folders'!$G:$G,0),1),"¶")</f>
        <v>30107</v>
      </c>
      <c r="K720" s="87"/>
      <c r="L720" s="87"/>
    </row>
    <row r="721" spans="1:12" ht="15" x14ac:dyDescent="0.25">
      <c r="A721" t="s">
        <v>20529</v>
      </c>
      <c r="B721" t="s">
        <v>14836</v>
      </c>
      <c r="C721" t="s">
        <v>14837</v>
      </c>
      <c r="D721" t="s">
        <v>14832</v>
      </c>
      <c r="E721">
        <v>1005</v>
      </c>
      <c r="F721" t="s">
        <v>14835</v>
      </c>
      <c r="G721" t="s">
        <v>4996</v>
      </c>
      <c r="H721" t="str">
        <f t="shared" si="22"/>
        <v>Wheatland1005Dallas</v>
      </c>
      <c r="I721" t="str">
        <f t="shared" si="23"/>
        <v>Wheatland</v>
      </c>
      <c r="J721" s="82">
        <f>IFERROR(INDEX('All Folders'!$A:$A,MATCH(H721,'All Folders'!$G:$G,0),1),"¶")</f>
        <v>15246</v>
      </c>
      <c r="K721" s="87"/>
      <c r="L721" s="87"/>
    </row>
    <row r="722" spans="1:12" ht="15" x14ac:dyDescent="0.25">
      <c r="A722" t="s">
        <v>20530</v>
      </c>
      <c r="B722" t="s">
        <v>14838</v>
      </c>
      <c r="C722" t="s">
        <v>14839</v>
      </c>
      <c r="D722" t="s">
        <v>14840</v>
      </c>
      <c r="E722">
        <v>5557</v>
      </c>
      <c r="F722" t="s">
        <v>14841</v>
      </c>
      <c r="G722" t="s">
        <v>4996</v>
      </c>
      <c r="H722" t="str">
        <f t="shared" si="22"/>
        <v>Alpha5557Dallas</v>
      </c>
      <c r="I722" t="str">
        <f t="shared" si="23"/>
        <v>Alpha</v>
      </c>
      <c r="J722" s="82">
        <f>IFERROR(INDEX('All Folders'!$A:$A,MATCH(H722,'All Folders'!$G:$G,0),1),"¶")</f>
        <v>14662</v>
      </c>
      <c r="K722" s="87"/>
      <c r="L722" s="87"/>
    </row>
    <row r="723" spans="1:12" ht="15" x14ac:dyDescent="0.25">
      <c r="A723" t="s">
        <v>20532</v>
      </c>
      <c r="B723" t="s">
        <v>14846</v>
      </c>
      <c r="C723" t="s">
        <v>14847</v>
      </c>
      <c r="D723" t="s">
        <v>14832</v>
      </c>
      <c r="E723">
        <v>1301</v>
      </c>
      <c r="F723" t="s">
        <v>14848</v>
      </c>
      <c r="G723" t="s">
        <v>4996</v>
      </c>
      <c r="H723" t="str">
        <f t="shared" si="22"/>
        <v>Wheatland1301Dallas</v>
      </c>
      <c r="I723" t="str">
        <f t="shared" si="23"/>
        <v>Wheatland</v>
      </c>
      <c r="J723" s="82">
        <f>IFERROR(INDEX('All Folders'!$A:$A,MATCH(H723,'All Folders'!$G:$G,0),1),"¶")</f>
        <v>15107</v>
      </c>
      <c r="K723" s="87"/>
      <c r="L723" s="87"/>
    </row>
    <row r="724" spans="1:12" ht="15" x14ac:dyDescent="0.25">
      <c r="A724" t="s">
        <v>20533</v>
      </c>
      <c r="B724" t="s">
        <v>14849</v>
      </c>
      <c r="C724" t="s">
        <v>14850</v>
      </c>
      <c r="D724" t="s">
        <v>14851</v>
      </c>
      <c r="E724">
        <v>3402</v>
      </c>
      <c r="F724" t="s">
        <v>14852</v>
      </c>
      <c r="G724" t="s">
        <v>4996</v>
      </c>
      <c r="H724" t="str">
        <f t="shared" si="22"/>
        <v>Buckner3402Dallas</v>
      </c>
      <c r="I724" t="str">
        <f t="shared" si="23"/>
        <v>Buckner</v>
      </c>
      <c r="J724" s="82">
        <f>IFERROR(INDEX('All Folders'!$A:$A,MATCH(H724,'All Folders'!$G:$G,0),1),"¶")</f>
        <v>13379</v>
      </c>
      <c r="K724" s="87"/>
      <c r="L724" s="87"/>
    </row>
    <row r="725" spans="1:12" ht="15" x14ac:dyDescent="0.25">
      <c r="A725" t="s">
        <v>20534</v>
      </c>
      <c r="B725" t="s">
        <v>14853</v>
      </c>
      <c r="C725" t="s">
        <v>14854</v>
      </c>
      <c r="D725" t="s">
        <v>14855</v>
      </c>
      <c r="E725">
        <v>1775</v>
      </c>
      <c r="F725" t="s">
        <v>14856</v>
      </c>
      <c r="G725" t="s">
        <v>4996</v>
      </c>
      <c r="H725" t="str">
        <f t="shared" si="22"/>
        <v>Young1775Dallas</v>
      </c>
      <c r="I725" t="str">
        <f t="shared" si="23"/>
        <v>Young</v>
      </c>
      <c r="J725" s="82" t="str">
        <f>IFERROR(INDEX('All Folders'!$A:$A,MATCH(H725,'All Folders'!$G:$G,0),1),"¶")</f>
        <v>SP91</v>
      </c>
      <c r="K725" s="87"/>
      <c r="L725" s="87"/>
    </row>
    <row r="726" spans="1:12" ht="15" x14ac:dyDescent="0.25">
      <c r="A726" t="s">
        <v>20537</v>
      </c>
      <c r="B726" t="s">
        <v>14863</v>
      </c>
      <c r="C726" t="s">
        <v>14864</v>
      </c>
      <c r="D726" t="s">
        <v>14865</v>
      </c>
      <c r="E726">
        <v>8405</v>
      </c>
      <c r="F726" t="s">
        <v>5462</v>
      </c>
      <c r="G726" t="s">
        <v>4996</v>
      </c>
      <c r="H726" t="str">
        <f t="shared" si="22"/>
        <v>La8405Dallas</v>
      </c>
      <c r="I726" t="str">
        <f t="shared" si="23"/>
        <v>La</v>
      </c>
      <c r="J726" s="82">
        <f>IFERROR(INDEX('All Folders'!$A:$A,MATCH(H726,'All Folders'!$G:$G,0),1),"¶")</f>
        <v>13393</v>
      </c>
      <c r="K726" s="87"/>
      <c r="L726" s="87"/>
    </row>
    <row r="727" spans="1:12" ht="15" x14ac:dyDescent="0.25">
      <c r="A727" t="s">
        <v>20538</v>
      </c>
      <c r="B727" t="s">
        <v>14866</v>
      </c>
      <c r="C727" t="s">
        <v>14867</v>
      </c>
      <c r="D727" t="s">
        <v>14631</v>
      </c>
      <c r="E727">
        <v>4602</v>
      </c>
      <c r="F727" t="s">
        <v>14868</v>
      </c>
      <c r="G727" t="s">
        <v>4996</v>
      </c>
      <c r="H727" t="str">
        <f t="shared" si="22"/>
        <v>Columbia4602Dallas</v>
      </c>
      <c r="I727" t="str">
        <f t="shared" si="23"/>
        <v>Columbia</v>
      </c>
      <c r="J727" s="82" t="str">
        <f>IFERROR(INDEX('All Folders'!$A:$A,MATCH(H727,'All Folders'!$G:$G,0),1),"¶")</f>
        <v>SP35</v>
      </c>
      <c r="K727" s="87"/>
      <c r="L727" s="87"/>
    </row>
    <row r="728" spans="1:12" ht="15" x14ac:dyDescent="0.25">
      <c r="A728" t="s">
        <v>20539</v>
      </c>
      <c r="B728" t="s">
        <v>14869</v>
      </c>
      <c r="C728" t="s">
        <v>14870</v>
      </c>
      <c r="D728" t="s">
        <v>14600</v>
      </c>
      <c r="E728">
        <v>308</v>
      </c>
      <c r="F728" t="s">
        <v>12816</v>
      </c>
      <c r="G728" t="s">
        <v>4996</v>
      </c>
      <c r="H728" t="str">
        <f t="shared" si="22"/>
        <v>8th308Dallas</v>
      </c>
      <c r="I728" t="str">
        <f t="shared" si="23"/>
        <v>8th</v>
      </c>
      <c r="J728" s="82" t="str">
        <f>IFERROR(INDEX('All Folders'!$A:$A,MATCH(H728,'All Folders'!$G:$G,0),1),"¶")</f>
        <v>SP24</v>
      </c>
      <c r="K728" s="87"/>
      <c r="L728" s="87"/>
    </row>
    <row r="729" spans="1:12" ht="15" x14ac:dyDescent="0.25">
      <c r="A729" t="s">
        <v>20540</v>
      </c>
      <c r="B729" t="s">
        <v>14871</v>
      </c>
      <c r="C729" t="s">
        <v>14872</v>
      </c>
      <c r="D729" t="s">
        <v>14873</v>
      </c>
      <c r="E729">
        <v>409</v>
      </c>
      <c r="F729" t="s">
        <v>12820</v>
      </c>
      <c r="G729" t="s">
        <v>4996</v>
      </c>
      <c r="H729" t="str">
        <f t="shared" si="22"/>
        <v>9th409Dallas</v>
      </c>
      <c r="I729" t="str">
        <f t="shared" si="23"/>
        <v>9th</v>
      </c>
      <c r="J729" s="82" t="str">
        <f>IFERROR(INDEX('All Folders'!$A:$A,MATCH(H729,'All Folders'!$G:$G,0),1),"¶")</f>
        <v>SP26</v>
      </c>
      <c r="K729" s="87"/>
      <c r="L729" s="87"/>
    </row>
    <row r="730" spans="1:12" ht="15" x14ac:dyDescent="0.25">
      <c r="A730" t="s">
        <v>20541</v>
      </c>
      <c r="B730" t="s">
        <v>14874</v>
      </c>
      <c r="C730" t="s">
        <v>14875</v>
      </c>
      <c r="D730" t="s">
        <v>14876</v>
      </c>
      <c r="E730">
        <v>6201</v>
      </c>
      <c r="F730" t="s">
        <v>5504</v>
      </c>
      <c r="G730" t="s">
        <v>4996</v>
      </c>
      <c r="H730" t="str">
        <f t="shared" si="22"/>
        <v>Bordeaux6201Dallas</v>
      </c>
      <c r="I730" t="str">
        <f t="shared" si="23"/>
        <v>Bordeaux</v>
      </c>
      <c r="J730" s="82">
        <f>IFERROR(INDEX('All Folders'!$A:$A,MATCH(H730,'All Folders'!$G:$G,0),1),"¶")</f>
        <v>13420</v>
      </c>
      <c r="K730" s="87"/>
      <c r="L730" s="87"/>
    </row>
    <row r="731" spans="1:12" ht="15" x14ac:dyDescent="0.25">
      <c r="A731" t="s">
        <v>20542</v>
      </c>
      <c r="B731" t="s">
        <v>14877</v>
      </c>
      <c r="C731" t="s">
        <v>14878</v>
      </c>
      <c r="D731" t="s">
        <v>14879</v>
      </c>
      <c r="E731">
        <v>4633</v>
      </c>
      <c r="F731" t="s">
        <v>14880</v>
      </c>
      <c r="G731" t="s">
        <v>4996</v>
      </c>
      <c r="H731" t="str">
        <f t="shared" si="22"/>
        <v>Fairmount4633Dallas</v>
      </c>
      <c r="I731" t="str">
        <f t="shared" si="23"/>
        <v>Fairmount</v>
      </c>
      <c r="J731" s="82" t="str">
        <f>IFERROR(INDEX('All Folders'!$A:$A,MATCH(H731,'All Folders'!$G:$G,0),1),"¶")</f>
        <v>SP43</v>
      </c>
      <c r="K731" s="87"/>
      <c r="L731" s="87"/>
    </row>
    <row r="732" spans="1:12" ht="15" x14ac:dyDescent="0.25">
      <c r="A732" t="s">
        <v>20543</v>
      </c>
      <c r="B732" t="s">
        <v>14881</v>
      </c>
      <c r="C732" t="s">
        <v>14882</v>
      </c>
      <c r="D732" t="s">
        <v>14883</v>
      </c>
      <c r="E732">
        <v>11011</v>
      </c>
      <c r="F732" t="s">
        <v>5506</v>
      </c>
      <c r="G732" t="s">
        <v>4996</v>
      </c>
      <c r="H732" t="str">
        <f t="shared" si="22"/>
        <v>Woodmeadow11011Dallas</v>
      </c>
      <c r="I732" t="str">
        <f t="shared" si="23"/>
        <v>Woodmeadow</v>
      </c>
      <c r="J732" s="82">
        <f>IFERROR(INDEX('All Folders'!$A:$A,MATCH(H732,'All Folders'!$G:$G,0),1),"¶")</f>
        <v>13422</v>
      </c>
      <c r="K732" s="87"/>
      <c r="L732" s="87"/>
    </row>
    <row r="733" spans="1:12" ht="15" x14ac:dyDescent="0.25">
      <c r="A733" t="s">
        <v>20544</v>
      </c>
      <c r="B733" t="s">
        <v>14884</v>
      </c>
      <c r="C733" t="s">
        <v>14885</v>
      </c>
      <c r="D733" t="s">
        <v>14451</v>
      </c>
      <c r="E733" t="s">
        <v>14886</v>
      </c>
      <c r="F733" t="s">
        <v>14887</v>
      </c>
      <c r="G733" t="s">
        <v>4996</v>
      </c>
      <c r="H733" t="str">
        <f t="shared" si="22"/>
        <v>Moser2110-2100Dallas</v>
      </c>
      <c r="I733" t="str">
        <f t="shared" si="23"/>
        <v>Moser</v>
      </c>
      <c r="J733" s="90" t="s">
        <v>12928</v>
      </c>
      <c r="K733" s="87"/>
      <c r="L733" s="87"/>
    </row>
    <row r="734" spans="1:12" ht="15" x14ac:dyDescent="0.25">
      <c r="A734" t="s">
        <v>20545</v>
      </c>
      <c r="B734" t="s">
        <v>14888</v>
      </c>
      <c r="C734" t="s">
        <v>14889</v>
      </c>
      <c r="D734" t="s">
        <v>14890</v>
      </c>
      <c r="E734">
        <v>9655</v>
      </c>
      <c r="F734" t="s">
        <v>14891</v>
      </c>
      <c r="G734" t="s">
        <v>4996</v>
      </c>
      <c r="H734" t="str">
        <f t="shared" si="22"/>
        <v>Chimney9655Dallas</v>
      </c>
      <c r="I734" t="str">
        <f t="shared" si="23"/>
        <v>Chimney</v>
      </c>
      <c r="J734" s="82">
        <f>IFERROR(INDEX('All Folders'!$A:$A,MATCH(H734,'All Folders'!$G:$G,0),1),"¶")</f>
        <v>13436</v>
      </c>
      <c r="K734" s="87"/>
      <c r="L734" s="87"/>
    </row>
    <row r="735" spans="1:12" ht="15" x14ac:dyDescent="0.25">
      <c r="A735" t="s">
        <v>20546</v>
      </c>
      <c r="B735" t="s">
        <v>14892</v>
      </c>
      <c r="C735" t="s">
        <v>14893</v>
      </c>
      <c r="D735" t="s">
        <v>14755</v>
      </c>
      <c r="E735">
        <v>9659</v>
      </c>
      <c r="F735" t="s">
        <v>8197</v>
      </c>
      <c r="G735" t="s">
        <v>4996</v>
      </c>
      <c r="H735" t="str">
        <f t="shared" si="22"/>
        <v>Forest9659Dallas</v>
      </c>
      <c r="I735" t="str">
        <f t="shared" si="23"/>
        <v>Forest</v>
      </c>
      <c r="J735" s="82">
        <f>IFERROR(INDEX('All Folders'!$A:$A,MATCH(H735,'All Folders'!$G:$G,0),1),"¶")</f>
        <v>13437</v>
      </c>
      <c r="K735" s="87"/>
      <c r="L735" s="87"/>
    </row>
    <row r="736" spans="1:12" ht="15" x14ac:dyDescent="0.25">
      <c r="A736" t="s">
        <v>20547</v>
      </c>
      <c r="B736" t="s">
        <v>14894</v>
      </c>
      <c r="C736" t="s">
        <v>14895</v>
      </c>
      <c r="D736" t="s">
        <v>14755</v>
      </c>
      <c r="E736">
        <v>9601</v>
      </c>
      <c r="F736" t="s">
        <v>5531</v>
      </c>
      <c r="G736" t="s">
        <v>4996</v>
      </c>
      <c r="H736" t="str">
        <f t="shared" si="22"/>
        <v>Forest9601Dallas</v>
      </c>
      <c r="I736" t="str">
        <f t="shared" si="23"/>
        <v>Forest</v>
      </c>
      <c r="J736" s="82">
        <f>IFERROR(INDEX('All Folders'!$A:$A,MATCH(H736,'All Folders'!$G:$G,0),1),"¶")</f>
        <v>13441</v>
      </c>
      <c r="K736" s="87"/>
      <c r="L736" s="87"/>
    </row>
    <row r="737" spans="1:12" ht="15" x14ac:dyDescent="0.25">
      <c r="A737" t="s">
        <v>20549</v>
      </c>
      <c r="B737" t="s">
        <v>14900</v>
      </c>
      <c r="C737" t="s">
        <v>14901</v>
      </c>
      <c r="D737" t="s">
        <v>14902</v>
      </c>
      <c r="E737">
        <v>12993</v>
      </c>
      <c r="F737" t="s">
        <v>14903</v>
      </c>
      <c r="G737" t="s">
        <v>4996</v>
      </c>
      <c r="H737" t="str">
        <f t="shared" si="22"/>
        <v>Jupiter12993Dallas</v>
      </c>
      <c r="I737" t="str">
        <f t="shared" si="23"/>
        <v>Jupiter</v>
      </c>
      <c r="J737" s="82">
        <f>IFERROR(INDEX('All Folders'!$A:$A,MATCH(H737,'All Folders'!$G:$G,0),1),"¶")</f>
        <v>13445</v>
      </c>
      <c r="K737" s="87"/>
      <c r="L737" s="87"/>
    </row>
    <row r="738" spans="1:12" ht="15" x14ac:dyDescent="0.25">
      <c r="A738" t="s">
        <v>20550</v>
      </c>
      <c r="B738" t="s">
        <v>14904</v>
      </c>
      <c r="C738" t="s">
        <v>14905</v>
      </c>
      <c r="D738" t="s">
        <v>14906</v>
      </c>
      <c r="E738">
        <v>10950</v>
      </c>
      <c r="F738" t="s">
        <v>14907</v>
      </c>
      <c r="G738" t="s">
        <v>4996</v>
      </c>
      <c r="H738" t="str">
        <f t="shared" si="22"/>
        <v>Woodmedow10950Dallas</v>
      </c>
      <c r="I738" t="str">
        <f t="shared" si="23"/>
        <v>Woodmedow</v>
      </c>
      <c r="J738" s="88">
        <v>13447</v>
      </c>
      <c r="K738" s="87"/>
      <c r="L738" s="87"/>
    </row>
    <row r="739" spans="1:12" ht="15" x14ac:dyDescent="0.25">
      <c r="A739" t="s">
        <v>20551</v>
      </c>
      <c r="B739" t="s">
        <v>14908</v>
      </c>
      <c r="C739" t="s">
        <v>14909</v>
      </c>
      <c r="D739" t="s">
        <v>14819</v>
      </c>
      <c r="E739">
        <v>9450</v>
      </c>
      <c r="F739" t="s">
        <v>14910</v>
      </c>
      <c r="G739" t="s">
        <v>4996</v>
      </c>
      <c r="H739" t="str">
        <f t="shared" si="22"/>
        <v>Royal9450Dallas</v>
      </c>
      <c r="I739" t="str">
        <f t="shared" si="23"/>
        <v>Royal</v>
      </c>
      <c r="J739" s="82">
        <f>IFERROR(INDEX('All Folders'!$A:$A,MATCH(H739,'All Folders'!$G:$G,0),1),"¶")</f>
        <v>13457</v>
      </c>
      <c r="K739" s="87"/>
      <c r="L739" s="87"/>
    </row>
    <row r="740" spans="1:12" ht="15" x14ac:dyDescent="0.25">
      <c r="A740" t="s">
        <v>20552</v>
      </c>
      <c r="B740" t="s">
        <v>14911</v>
      </c>
      <c r="C740" t="s">
        <v>14912</v>
      </c>
      <c r="D740" t="s">
        <v>14913</v>
      </c>
      <c r="E740">
        <v>5759</v>
      </c>
      <c r="F740" t="s">
        <v>14914</v>
      </c>
      <c r="G740" t="s">
        <v>4996</v>
      </c>
      <c r="H740" t="str">
        <f t="shared" si="22"/>
        <v>Pineland5759Dallas</v>
      </c>
      <c r="I740" t="str">
        <f t="shared" si="23"/>
        <v>Pineland</v>
      </c>
      <c r="J740" s="82">
        <f>IFERROR(INDEX('All Folders'!$A:$A,MATCH(H740,'All Folders'!$G:$G,0),1),"¶")</f>
        <v>13456</v>
      </c>
      <c r="K740" s="87"/>
      <c r="L740" s="87"/>
    </row>
    <row r="741" spans="1:12" ht="15" x14ac:dyDescent="0.25">
      <c r="A741" t="s">
        <v>20553</v>
      </c>
      <c r="B741" t="s">
        <v>14915</v>
      </c>
      <c r="C741" t="s">
        <v>14916</v>
      </c>
      <c r="D741" t="s">
        <v>14917</v>
      </c>
      <c r="E741">
        <v>4810</v>
      </c>
      <c r="F741" t="s">
        <v>11495</v>
      </c>
      <c r="G741" t="s">
        <v>4996</v>
      </c>
      <c r="H741" t="str">
        <f t="shared" si="22"/>
        <v>Lancaster4810Dallas</v>
      </c>
      <c r="I741" t="str">
        <f t="shared" si="23"/>
        <v>Lancaster</v>
      </c>
      <c r="J741" s="82">
        <f>IFERROR(INDEX('All Folders'!$A:$A,MATCH(H741,'All Folders'!$G:$G,0),1),"¶")</f>
        <v>30089</v>
      </c>
      <c r="K741" s="87"/>
      <c r="L741" s="87"/>
    </row>
    <row r="742" spans="1:12" ht="15" x14ac:dyDescent="0.25">
      <c r="A742" t="s">
        <v>20554</v>
      </c>
      <c r="B742" t="s">
        <v>14918</v>
      </c>
      <c r="C742" t="s">
        <v>14919</v>
      </c>
      <c r="D742" t="s">
        <v>14920</v>
      </c>
      <c r="E742">
        <v>950</v>
      </c>
      <c r="F742" t="s">
        <v>14921</v>
      </c>
      <c r="G742" t="s">
        <v>4996</v>
      </c>
      <c r="H742" t="str">
        <f t="shared" si="22"/>
        <v>Kiest950Dallas</v>
      </c>
      <c r="I742" t="str">
        <f t="shared" si="23"/>
        <v>Kiest</v>
      </c>
      <c r="J742" s="82">
        <f>IFERROR(INDEX('All Folders'!$A:$A,MATCH(H742,'All Folders'!$G:$G,0),1),"¶")</f>
        <v>30105</v>
      </c>
      <c r="K742" s="87"/>
      <c r="L742" s="87"/>
    </row>
    <row r="743" spans="1:12" ht="15" x14ac:dyDescent="0.25">
      <c r="A743" t="s">
        <v>20555</v>
      </c>
      <c r="B743" t="s">
        <v>14922</v>
      </c>
      <c r="C743" t="s">
        <v>14923</v>
      </c>
      <c r="D743" t="s">
        <v>14924</v>
      </c>
      <c r="E743">
        <v>1239</v>
      </c>
      <c r="F743" t="s">
        <v>7677</v>
      </c>
      <c r="G743" t="s">
        <v>4996</v>
      </c>
      <c r="H743" t="str">
        <f t="shared" si="22"/>
        <v>Hartsdale1239Dallas</v>
      </c>
      <c r="I743" t="str">
        <f t="shared" si="23"/>
        <v>Hartsdale</v>
      </c>
      <c r="J743" s="82">
        <f>IFERROR(INDEX('All Folders'!$A:$A,MATCH(H743,'All Folders'!$G:$G,0),1),"¶")</f>
        <v>15284</v>
      </c>
      <c r="K743" s="87"/>
      <c r="L743" s="87"/>
    </row>
    <row r="744" spans="1:12" ht="15" x14ac:dyDescent="0.25">
      <c r="A744" t="s">
        <v>20556</v>
      </c>
      <c r="B744" t="s">
        <v>14925</v>
      </c>
      <c r="C744" t="s">
        <v>14926</v>
      </c>
      <c r="D744" t="s">
        <v>14927</v>
      </c>
      <c r="E744">
        <v>1820</v>
      </c>
      <c r="F744" t="s">
        <v>14928</v>
      </c>
      <c r="G744" t="s">
        <v>4996</v>
      </c>
      <c r="H744" t="str">
        <f t="shared" si="22"/>
        <v>Garrett1820Dallas</v>
      </c>
      <c r="I744" t="str">
        <f t="shared" si="23"/>
        <v>Garrett</v>
      </c>
      <c r="J744" s="82">
        <f>IFERROR(INDEX('All Folders'!$A:$A,MATCH(H744,'All Folders'!$G:$G,0),1),"¶")</f>
        <v>18051</v>
      </c>
      <c r="K744" s="87"/>
      <c r="L744" s="87"/>
    </row>
    <row r="745" spans="1:12" ht="15" x14ac:dyDescent="0.25">
      <c r="A745" t="s">
        <v>20557</v>
      </c>
      <c r="B745" t="s">
        <v>14929</v>
      </c>
      <c r="C745" t="s">
        <v>14930</v>
      </c>
      <c r="D745" t="s">
        <v>14931</v>
      </c>
      <c r="E745">
        <v>1407</v>
      </c>
      <c r="F745" t="s">
        <v>14931</v>
      </c>
      <c r="G745" t="s">
        <v>4996</v>
      </c>
      <c r="H745" t="str">
        <f t="shared" si="22"/>
        <v>Garrett1407Dallas</v>
      </c>
      <c r="I745" t="str">
        <f t="shared" si="23"/>
        <v>Garrett</v>
      </c>
      <c r="J745" s="82" t="str">
        <f>IFERROR(INDEX('All Folders'!$A:$A,MATCH(H745,'All Folders'!$G:$G,0),1),"¶")</f>
        <v>SP49</v>
      </c>
      <c r="K745" s="87"/>
      <c r="L745" s="87"/>
    </row>
    <row r="746" spans="1:12" ht="15" x14ac:dyDescent="0.25">
      <c r="A746" t="s">
        <v>20558</v>
      </c>
      <c r="B746" t="s">
        <v>14932</v>
      </c>
      <c r="C746" t="s">
        <v>14933</v>
      </c>
      <c r="D746" t="s">
        <v>14490</v>
      </c>
      <c r="E746">
        <v>4912</v>
      </c>
      <c r="F746" t="s">
        <v>14934</v>
      </c>
      <c r="G746" t="s">
        <v>4996</v>
      </c>
      <c r="H746" t="str">
        <f t="shared" si="22"/>
        <v>Gaston4912Dallas</v>
      </c>
      <c r="I746" t="str">
        <f t="shared" si="23"/>
        <v>Gaston</v>
      </c>
      <c r="J746" s="82" t="str">
        <f>IFERROR(INDEX('All Folders'!$A:$A,MATCH(H746,'All Folders'!$G:$G,0),1),"¶")</f>
        <v>SP51</v>
      </c>
      <c r="K746" s="87"/>
      <c r="L746" s="87"/>
    </row>
    <row r="747" spans="1:12" ht="15" x14ac:dyDescent="0.25">
      <c r="A747" t="s">
        <v>20559</v>
      </c>
      <c r="B747" t="s">
        <v>14935</v>
      </c>
      <c r="C747" t="s">
        <v>14936</v>
      </c>
      <c r="D747" t="s">
        <v>14937</v>
      </c>
      <c r="E747">
        <v>8300</v>
      </c>
      <c r="F747" t="s">
        <v>14938</v>
      </c>
      <c r="G747" t="s">
        <v>4996</v>
      </c>
      <c r="H747" t="str">
        <f t="shared" si="22"/>
        <v>Skillman8300Dallas</v>
      </c>
      <c r="I747" t="str">
        <f t="shared" si="23"/>
        <v>Skillman</v>
      </c>
      <c r="J747" s="82">
        <f>IFERROR(INDEX('All Folders'!$A:$A,MATCH(H747,'All Folders'!$G:$G,0),1),"¶")</f>
        <v>13490</v>
      </c>
      <c r="K747" s="87"/>
      <c r="L747" s="87"/>
    </row>
    <row r="748" spans="1:12" ht="15" x14ac:dyDescent="0.25">
      <c r="A748" t="s">
        <v>20560</v>
      </c>
      <c r="B748" t="s">
        <v>14939</v>
      </c>
      <c r="C748" t="s">
        <v>14940</v>
      </c>
      <c r="D748" t="s">
        <v>14941</v>
      </c>
      <c r="E748">
        <v>1520</v>
      </c>
      <c r="F748" t="s">
        <v>5735</v>
      </c>
      <c r="G748" t="s">
        <v>4996</v>
      </c>
      <c r="H748" t="str">
        <f t="shared" si="22"/>
        <v>Beckley1520Dallas</v>
      </c>
      <c r="I748" t="str">
        <f t="shared" si="23"/>
        <v>Beckley</v>
      </c>
      <c r="J748" s="82">
        <f>IFERROR(INDEX('All Folders'!$A:$A,MATCH(H748,'All Folders'!$G:$G,0),1),"¶")</f>
        <v>13601</v>
      </c>
      <c r="K748" s="87"/>
      <c r="L748" s="87"/>
    </row>
    <row r="749" spans="1:12" ht="15" x14ac:dyDescent="0.25">
      <c r="A749" t="s">
        <v>20561</v>
      </c>
      <c r="B749" t="s">
        <v>14942</v>
      </c>
      <c r="C749" t="s">
        <v>14943</v>
      </c>
      <c r="D749" t="s">
        <v>14759</v>
      </c>
      <c r="E749">
        <v>3621</v>
      </c>
      <c r="F749" t="s">
        <v>14944</v>
      </c>
      <c r="G749" t="s">
        <v>4996</v>
      </c>
      <c r="H749" t="str">
        <f t="shared" si="22"/>
        <v>Frankford3621Dallas</v>
      </c>
      <c r="I749" t="str">
        <f t="shared" si="23"/>
        <v>Frankford</v>
      </c>
      <c r="J749" s="82">
        <f>IFERROR(INDEX('All Folders'!$A:$A,MATCH(H749,'All Folders'!$G:$G,0),1),"¶")</f>
        <v>13511</v>
      </c>
      <c r="K749" s="87"/>
      <c r="L749" s="87"/>
    </row>
    <row r="750" spans="1:12" ht="15" x14ac:dyDescent="0.25">
      <c r="A750" t="s">
        <v>20562</v>
      </c>
      <c r="B750" t="s">
        <v>14945</v>
      </c>
      <c r="C750" t="s">
        <v>14946</v>
      </c>
      <c r="D750" t="s">
        <v>14947</v>
      </c>
      <c r="E750">
        <v>1625</v>
      </c>
      <c r="F750" t="s">
        <v>14948</v>
      </c>
      <c r="G750" t="s">
        <v>4996</v>
      </c>
      <c r="H750" t="str">
        <f t="shared" si="22"/>
        <v>Grigsby1625Dallas</v>
      </c>
      <c r="I750" t="str">
        <f t="shared" si="23"/>
        <v>Grigsby</v>
      </c>
      <c r="J750" s="82" t="str">
        <f>IFERROR(INDEX('All Folders'!$A:$A,MATCH(H750,'All Folders'!$G:$G,0),1),"¶")</f>
        <v>SP54</v>
      </c>
      <c r="K750" s="87"/>
      <c r="L750" s="87"/>
    </row>
    <row r="751" spans="1:12" ht="15" x14ac:dyDescent="0.25">
      <c r="A751" t="s">
        <v>20563</v>
      </c>
      <c r="B751" t="s">
        <v>14949</v>
      </c>
      <c r="C751" t="s">
        <v>14950</v>
      </c>
      <c r="D751" t="s">
        <v>13445</v>
      </c>
      <c r="E751">
        <v>4300</v>
      </c>
      <c r="F751" t="s">
        <v>14951</v>
      </c>
      <c r="G751" t="s">
        <v>4996</v>
      </c>
      <c r="H751" t="str">
        <f t="shared" si="22"/>
        <v>Congress4300Dallas</v>
      </c>
      <c r="I751" t="str">
        <f t="shared" si="23"/>
        <v>Congress</v>
      </c>
      <c r="J751" s="82" t="str">
        <f>IFERROR(INDEX('All Folders'!$A:$A,MATCH(H751,'All Folders'!$G:$G,0),1),"¶")</f>
        <v>SP38</v>
      </c>
      <c r="K751" s="87"/>
      <c r="L751" s="87"/>
    </row>
    <row r="752" spans="1:12" ht="15" x14ac:dyDescent="0.25">
      <c r="A752" t="s">
        <v>20564</v>
      </c>
      <c r="B752" t="s">
        <v>14952</v>
      </c>
      <c r="C752" t="s">
        <v>14953</v>
      </c>
      <c r="D752" t="s">
        <v>14954</v>
      </c>
      <c r="E752">
        <v>4328</v>
      </c>
      <c r="F752" t="s">
        <v>14951</v>
      </c>
      <c r="G752" t="s">
        <v>4996</v>
      </c>
      <c r="H752" t="str">
        <f t="shared" si="22"/>
        <v>Hartford4328Dallas</v>
      </c>
      <c r="I752" t="str">
        <f t="shared" si="23"/>
        <v>Hartford</v>
      </c>
      <c r="J752" s="82">
        <f>IFERROR(INDEX('All Folders'!$A:$A,MATCH(H752,'All Folders'!$G:$G,0),1),"¶")</f>
        <v>30053</v>
      </c>
      <c r="K752" s="87"/>
      <c r="L752" s="87"/>
    </row>
    <row r="753" spans="1:12" ht="15" x14ac:dyDescent="0.25">
      <c r="A753" t="s">
        <v>20565</v>
      </c>
      <c r="B753" t="s">
        <v>14955</v>
      </c>
      <c r="C753" t="s">
        <v>14956</v>
      </c>
      <c r="D753" t="s">
        <v>14957</v>
      </c>
      <c r="E753">
        <v>4121</v>
      </c>
      <c r="F753" t="s">
        <v>14958</v>
      </c>
      <c r="G753" t="s">
        <v>4996</v>
      </c>
      <c r="H753" t="str">
        <f t="shared" si="22"/>
        <v>Harvest4121Dallas</v>
      </c>
      <c r="I753" t="str">
        <f t="shared" si="23"/>
        <v>Harvest</v>
      </c>
      <c r="J753" s="82">
        <f>IFERROR(INDEX('All Folders'!$A:$A,MATCH(H753,'All Folders'!$G:$G,0),1),"¶")</f>
        <v>13519</v>
      </c>
      <c r="K753" s="87"/>
      <c r="L753" s="87"/>
    </row>
    <row r="754" spans="1:12" ht="15" x14ac:dyDescent="0.25">
      <c r="A754" t="s">
        <v>20566</v>
      </c>
      <c r="B754" t="s">
        <v>14959</v>
      </c>
      <c r="C754" t="s">
        <v>14960</v>
      </c>
      <c r="D754" t="s">
        <v>14961</v>
      </c>
      <c r="E754">
        <v>3301</v>
      </c>
      <c r="F754" t="s">
        <v>5632</v>
      </c>
      <c r="G754" t="s">
        <v>4996</v>
      </c>
      <c r="H754" t="str">
        <f t="shared" si="22"/>
        <v>Hundall3301Dallas</v>
      </c>
      <c r="I754" t="str">
        <f t="shared" si="23"/>
        <v>Hundall</v>
      </c>
      <c r="J754" s="88">
        <v>13521</v>
      </c>
      <c r="K754" s="87"/>
      <c r="L754" s="87"/>
    </row>
    <row r="755" spans="1:12" ht="15" x14ac:dyDescent="0.25">
      <c r="A755" t="s">
        <v>20567</v>
      </c>
      <c r="B755" t="s">
        <v>14962</v>
      </c>
      <c r="C755" t="s">
        <v>14963</v>
      </c>
      <c r="D755" t="s">
        <v>14964</v>
      </c>
      <c r="E755">
        <v>9755</v>
      </c>
      <c r="F755" t="s">
        <v>3547</v>
      </c>
      <c r="G755" t="s">
        <v>4996</v>
      </c>
      <c r="H755" t="str">
        <f t="shared" si="22"/>
        <v>Scyenee9755Dallas</v>
      </c>
      <c r="I755" t="str">
        <f t="shared" si="23"/>
        <v>Scyenee</v>
      </c>
      <c r="J755" s="88">
        <v>13528</v>
      </c>
      <c r="K755" s="87"/>
      <c r="L755" s="87"/>
    </row>
    <row r="756" spans="1:12" ht="15" x14ac:dyDescent="0.25">
      <c r="A756" t="s">
        <v>20568</v>
      </c>
      <c r="B756" t="s">
        <v>14965</v>
      </c>
      <c r="C756" t="s">
        <v>14966</v>
      </c>
      <c r="D756" t="s">
        <v>14658</v>
      </c>
      <c r="E756">
        <v>5821</v>
      </c>
      <c r="F756" t="s">
        <v>14967</v>
      </c>
      <c r="G756" t="s">
        <v>4996</v>
      </c>
      <c r="H756" t="str">
        <f t="shared" si="22"/>
        <v>Bonnie5821Dallas</v>
      </c>
      <c r="I756" t="str">
        <f t="shared" si="23"/>
        <v>Bonnie</v>
      </c>
      <c r="J756" s="82">
        <f>IFERROR(INDEX('All Folders'!$A:$A,MATCH(H756,'All Folders'!$G:$G,0),1),"¶")</f>
        <v>30039</v>
      </c>
      <c r="K756" s="87"/>
      <c r="L756" s="87"/>
    </row>
    <row r="757" spans="1:12" ht="15" x14ac:dyDescent="0.25">
      <c r="A757" t="s">
        <v>20569</v>
      </c>
      <c r="B757" t="s">
        <v>14968</v>
      </c>
      <c r="C757" t="s">
        <v>14969</v>
      </c>
      <c r="D757" t="s">
        <v>14970</v>
      </c>
      <c r="E757">
        <v>9707</v>
      </c>
      <c r="F757" t="s">
        <v>11465</v>
      </c>
      <c r="G757" t="s">
        <v>4996</v>
      </c>
      <c r="H757" t="str">
        <f t="shared" si="22"/>
        <v>Kingsley9707Dallas</v>
      </c>
      <c r="I757" t="str">
        <f t="shared" si="23"/>
        <v>Kingsley</v>
      </c>
      <c r="J757" s="82">
        <f>IFERROR(INDEX('All Folders'!$A:$A,MATCH(H757,'All Folders'!$G:$G,0),1),"¶")</f>
        <v>30061</v>
      </c>
      <c r="K757" s="87"/>
      <c r="L757" s="87"/>
    </row>
    <row r="758" spans="1:12" ht="15" x14ac:dyDescent="0.25">
      <c r="A758" t="s">
        <v>20570</v>
      </c>
      <c r="B758" t="s">
        <v>14971</v>
      </c>
      <c r="C758" t="s">
        <v>14972</v>
      </c>
      <c r="D758" t="s">
        <v>14973</v>
      </c>
      <c r="E758">
        <v>2600</v>
      </c>
      <c r="F758" t="s">
        <v>5661</v>
      </c>
      <c r="G758" t="s">
        <v>4996</v>
      </c>
      <c r="H758" t="str">
        <f t="shared" si="22"/>
        <v>Highland2600Dallas</v>
      </c>
      <c r="I758" t="str">
        <f t="shared" si="23"/>
        <v>Highland</v>
      </c>
      <c r="J758" s="82">
        <f>IFERROR(INDEX('All Folders'!$A:$A,MATCH(H758,'All Folders'!$G:$G,0),1),"¶")</f>
        <v>13547</v>
      </c>
      <c r="K758" s="87"/>
      <c r="L758" s="87"/>
    </row>
    <row r="759" spans="1:12" ht="15" x14ac:dyDescent="0.25">
      <c r="A759" t="s">
        <v>20571</v>
      </c>
      <c r="B759" t="s">
        <v>14974</v>
      </c>
      <c r="C759" t="s">
        <v>14975</v>
      </c>
      <c r="D759" t="s">
        <v>7230</v>
      </c>
      <c r="E759">
        <v>6271</v>
      </c>
      <c r="F759" t="s">
        <v>14976</v>
      </c>
      <c r="G759" t="s">
        <v>4996</v>
      </c>
      <c r="H759" t="str">
        <f t="shared" si="22"/>
        <v>Highland6271Dallas</v>
      </c>
      <c r="I759" t="str">
        <f t="shared" si="23"/>
        <v>Highland</v>
      </c>
      <c r="J759" s="82">
        <f>IFERROR(INDEX('All Folders'!$A:$A,MATCH(H759,'All Folders'!$G:$G,0),1),"¶")</f>
        <v>14853</v>
      </c>
      <c r="K759" s="87"/>
      <c r="L759" s="87"/>
    </row>
    <row r="760" spans="1:12" ht="15" x14ac:dyDescent="0.25">
      <c r="A760" t="s">
        <v>20572</v>
      </c>
      <c r="B760" t="s">
        <v>14977</v>
      </c>
      <c r="C760" t="s">
        <v>14978</v>
      </c>
      <c r="D760" t="s">
        <v>14979</v>
      </c>
      <c r="E760">
        <v>2704</v>
      </c>
      <c r="F760" t="s">
        <v>7629</v>
      </c>
      <c r="G760" t="s">
        <v>4996</v>
      </c>
      <c r="H760" t="str">
        <f t="shared" si="22"/>
        <v>Cockrell2704Dallas</v>
      </c>
      <c r="I760" t="str">
        <f t="shared" si="23"/>
        <v>Cockrell</v>
      </c>
      <c r="J760" s="82">
        <f>IFERROR(INDEX('All Folders'!$A:$A,MATCH(H760,'All Folders'!$G:$G,0),1),"¶")</f>
        <v>15231</v>
      </c>
      <c r="K760" s="87"/>
      <c r="L760" s="87"/>
    </row>
    <row r="761" spans="1:12" ht="15" x14ac:dyDescent="0.25">
      <c r="A761" t="s">
        <v>20573</v>
      </c>
      <c r="B761" t="s">
        <v>14980</v>
      </c>
      <c r="C761" t="s">
        <v>14981</v>
      </c>
      <c r="D761" t="s">
        <v>14982</v>
      </c>
      <c r="E761">
        <v>2910</v>
      </c>
      <c r="F761" t="s">
        <v>14983</v>
      </c>
      <c r="G761" t="s">
        <v>4996</v>
      </c>
      <c r="H761" t="str">
        <f t="shared" si="22"/>
        <v>Prichard2910Dallas</v>
      </c>
      <c r="I761" t="str">
        <f t="shared" si="23"/>
        <v>Prichard</v>
      </c>
      <c r="J761" s="82">
        <f>IFERROR(INDEX('All Folders'!$A:$A,MATCH(H761,'All Folders'!$G:$G,0),1),"¶")</f>
        <v>15254</v>
      </c>
      <c r="K761" s="87"/>
      <c r="L761" s="87"/>
    </row>
    <row r="762" spans="1:12" ht="15" x14ac:dyDescent="0.25">
      <c r="A762" t="s">
        <v>20575</v>
      </c>
      <c r="B762" t="s">
        <v>14986</v>
      </c>
      <c r="C762" t="s">
        <v>14987</v>
      </c>
      <c r="D762" t="s">
        <v>14751</v>
      </c>
      <c r="E762">
        <v>7112</v>
      </c>
      <c r="F762" t="s">
        <v>7117</v>
      </c>
      <c r="G762" t="s">
        <v>4996</v>
      </c>
      <c r="H762" t="str">
        <f t="shared" si="22"/>
        <v>Holly7112Dallas</v>
      </c>
      <c r="I762" t="str">
        <f t="shared" si="23"/>
        <v>Holly</v>
      </c>
      <c r="J762" s="82">
        <f>IFERROR(INDEX('All Folders'!$A:$A,MATCH(H762,'All Folders'!$G:$G,0),1),"¶")</f>
        <v>14752</v>
      </c>
      <c r="K762" s="87"/>
      <c r="L762" s="87"/>
    </row>
    <row r="763" spans="1:12" ht="15" x14ac:dyDescent="0.25">
      <c r="A763" t="s">
        <v>20576</v>
      </c>
      <c r="B763" t="s">
        <v>14988</v>
      </c>
      <c r="C763" t="s">
        <v>14989</v>
      </c>
      <c r="D763" t="s">
        <v>14990</v>
      </c>
      <c r="E763">
        <v>9710</v>
      </c>
      <c r="F763" t="s">
        <v>14991</v>
      </c>
      <c r="G763" t="s">
        <v>4996</v>
      </c>
      <c r="H763" t="str">
        <f t="shared" si="22"/>
        <v>Military9710Dallas</v>
      </c>
      <c r="I763" t="str">
        <f t="shared" si="23"/>
        <v>Military</v>
      </c>
      <c r="J763" s="82">
        <f>IFERROR(INDEX('All Folders'!$A:$A,MATCH(H763,'All Folders'!$G:$G,0),1),"¶")</f>
        <v>15260</v>
      </c>
      <c r="K763" s="87"/>
      <c r="L763" s="87"/>
    </row>
    <row r="764" spans="1:12" ht="15" x14ac:dyDescent="0.25">
      <c r="A764" t="s">
        <v>20577</v>
      </c>
      <c r="B764" t="s">
        <v>14992</v>
      </c>
      <c r="C764" t="s">
        <v>14993</v>
      </c>
      <c r="D764" t="s">
        <v>14596</v>
      </c>
      <c r="E764">
        <v>11611</v>
      </c>
      <c r="F764" t="s">
        <v>5697</v>
      </c>
      <c r="G764" t="s">
        <v>4996</v>
      </c>
      <c r="H764" t="str">
        <f t="shared" si="22"/>
        <v>Ferguson11611Dallas</v>
      </c>
      <c r="I764" t="str">
        <f t="shared" si="23"/>
        <v>Ferguson</v>
      </c>
      <c r="J764" s="82">
        <f>IFERROR(INDEX('All Folders'!$A:$A,MATCH(H764,'All Folders'!$G:$G,0),1),"¶")</f>
        <v>13573</v>
      </c>
      <c r="K764" s="87"/>
      <c r="L764" s="87"/>
    </row>
    <row r="765" spans="1:12" ht="15" x14ac:dyDescent="0.25">
      <c r="A765" t="s">
        <v>20578</v>
      </c>
      <c r="B765" t="s">
        <v>14994</v>
      </c>
      <c r="C765" t="s">
        <v>14995</v>
      </c>
      <c r="D765" t="s">
        <v>14806</v>
      </c>
      <c r="E765">
        <v>333</v>
      </c>
      <c r="F765" t="s">
        <v>14996</v>
      </c>
      <c r="G765" t="s">
        <v>4996</v>
      </c>
      <c r="H765" t="str">
        <f t="shared" si="22"/>
        <v>Illinois333Dallas</v>
      </c>
      <c r="I765" t="str">
        <f t="shared" si="23"/>
        <v>Illinois</v>
      </c>
      <c r="J765" s="82" t="str">
        <f>IFERROR(INDEX('All Folders'!$A:$A,MATCH(H765,'All Folders'!$G:$G,0),1),"¶")</f>
        <v>SP57</v>
      </c>
      <c r="K765" s="87"/>
      <c r="L765" s="87"/>
    </row>
    <row r="766" spans="1:12" ht="15" x14ac:dyDescent="0.25">
      <c r="A766" t="s">
        <v>20580</v>
      </c>
      <c r="B766" t="s">
        <v>15001</v>
      </c>
      <c r="C766" t="s">
        <v>15002</v>
      </c>
      <c r="D766" t="s">
        <v>15003</v>
      </c>
      <c r="E766">
        <v>312</v>
      </c>
      <c r="F766" t="s">
        <v>15004</v>
      </c>
      <c r="G766" t="s">
        <v>4996</v>
      </c>
      <c r="H766" t="str">
        <f t="shared" si="22"/>
        <v>Gilpin312Dallas</v>
      </c>
      <c r="I766" t="str">
        <f t="shared" si="23"/>
        <v>Gilpin</v>
      </c>
      <c r="J766" s="82">
        <f>IFERROR(INDEX('All Folders'!$A:$A,MATCH(H766,'All Folders'!$G:$G,0),1),"¶")</f>
        <v>30074</v>
      </c>
      <c r="K766" s="87"/>
      <c r="L766" s="87"/>
    </row>
    <row r="767" spans="1:12" ht="15" x14ac:dyDescent="0.25">
      <c r="A767" t="s">
        <v>20581</v>
      </c>
      <c r="B767" t="s">
        <v>15005</v>
      </c>
      <c r="C767" t="s">
        <v>15006</v>
      </c>
      <c r="D767" t="s">
        <v>11471</v>
      </c>
      <c r="E767">
        <v>3621</v>
      </c>
      <c r="F767" t="s">
        <v>15004</v>
      </c>
      <c r="G767" t="s">
        <v>4996</v>
      </c>
      <c r="H767" t="str">
        <f t="shared" si="22"/>
        <v>Mt.3621Dallas</v>
      </c>
      <c r="I767" t="str">
        <f t="shared" si="23"/>
        <v>Mt.</v>
      </c>
      <c r="J767" s="82">
        <f>IFERROR(INDEX('All Folders'!$A:$A,MATCH(H767,'All Folders'!$G:$G,0),1),"¶")</f>
        <v>30069</v>
      </c>
      <c r="K767" s="87"/>
      <c r="L767" s="87"/>
    </row>
    <row r="768" spans="1:12" ht="15" x14ac:dyDescent="0.25">
      <c r="A768" t="s">
        <v>20582</v>
      </c>
      <c r="B768" t="s">
        <v>15007</v>
      </c>
      <c r="C768" t="s">
        <v>15008</v>
      </c>
      <c r="D768" t="s">
        <v>14755</v>
      </c>
      <c r="E768">
        <v>9669</v>
      </c>
      <c r="F768" t="s">
        <v>15009</v>
      </c>
      <c r="G768" t="s">
        <v>4996</v>
      </c>
      <c r="H768" t="str">
        <f t="shared" si="22"/>
        <v>Forest9669Dallas</v>
      </c>
      <c r="I768" t="str">
        <f t="shared" si="23"/>
        <v>Forest</v>
      </c>
      <c r="J768" s="82">
        <f>IFERROR(INDEX('All Folders'!$A:$A,MATCH(H768,'All Folders'!$G:$G,0),1),"¶")</f>
        <v>13593</v>
      </c>
      <c r="K768" s="87"/>
      <c r="L768" s="87"/>
    </row>
    <row r="769" spans="1:12" ht="15" x14ac:dyDescent="0.25">
      <c r="A769" t="s">
        <v>20584</v>
      </c>
      <c r="B769" t="s">
        <v>15013</v>
      </c>
      <c r="C769" t="s">
        <v>15014</v>
      </c>
      <c r="D769" t="s">
        <v>15015</v>
      </c>
      <c r="E769">
        <v>3326</v>
      </c>
      <c r="F769" t="s">
        <v>12935</v>
      </c>
      <c r="G769" t="s">
        <v>4996</v>
      </c>
      <c r="H769" t="str">
        <f t="shared" si="22"/>
        <v>Navajo3326Dallas</v>
      </c>
      <c r="I769" t="str">
        <f t="shared" si="23"/>
        <v>Navajo</v>
      </c>
      <c r="J769" s="82" t="str">
        <f>IFERROR(INDEX('All Folders'!$A:$A,MATCH(H769,'All Folders'!$G:$G,0),1),"¶")</f>
        <v>SP73</v>
      </c>
      <c r="K769" s="87"/>
      <c r="L769" s="87"/>
    </row>
    <row r="770" spans="1:12" ht="15" x14ac:dyDescent="0.25">
      <c r="A770" t="s">
        <v>20585</v>
      </c>
      <c r="B770" t="s">
        <v>15016</v>
      </c>
      <c r="C770" t="s">
        <v>15017</v>
      </c>
      <c r="D770" t="s">
        <v>15018</v>
      </c>
      <c r="E770">
        <v>910</v>
      </c>
      <c r="F770" t="s">
        <v>15019</v>
      </c>
      <c r="G770" t="s">
        <v>4996</v>
      </c>
      <c r="H770" t="str">
        <f t="shared" ref="H770:H833" si="24">I770&amp;E770&amp;G770</f>
        <v>Texas910Dallas</v>
      </c>
      <c r="I770" t="str">
        <f t="shared" ref="I770:I833" si="25">IFERROR(LEFT(D770,FIND(" ",D770)-1),D770)</f>
        <v>Texas</v>
      </c>
      <c r="J770" s="82">
        <f>IFERROR(INDEX('All Folders'!$A:$A,MATCH(H770,'All Folders'!$G:$G,0),1),"¶")</f>
        <v>13600</v>
      </c>
      <c r="K770" s="87"/>
      <c r="L770" s="87"/>
    </row>
    <row r="771" spans="1:12" ht="15" x14ac:dyDescent="0.25">
      <c r="A771" t="s">
        <v>20586</v>
      </c>
      <c r="B771" t="s">
        <v>15020</v>
      </c>
      <c r="C771" t="s">
        <v>15021</v>
      </c>
      <c r="D771" t="s">
        <v>15022</v>
      </c>
      <c r="E771">
        <v>10106</v>
      </c>
      <c r="F771" t="s">
        <v>15023</v>
      </c>
      <c r="G771" t="s">
        <v>4996</v>
      </c>
      <c r="H771" t="str">
        <f t="shared" si="24"/>
        <v>Technology10106Dallas</v>
      </c>
      <c r="I771" t="str">
        <f t="shared" si="25"/>
        <v>Technology</v>
      </c>
      <c r="J771" s="82">
        <f>IFERROR(INDEX('All Folders'!$A:$A,MATCH(H771,'All Folders'!$G:$G,0),1),"¶")</f>
        <v>13602</v>
      </c>
      <c r="K771" s="87"/>
      <c r="L771" s="87"/>
    </row>
    <row r="772" spans="1:12" ht="15" x14ac:dyDescent="0.25">
      <c r="A772" t="s">
        <v>20587</v>
      </c>
      <c r="B772" t="s">
        <v>15024</v>
      </c>
      <c r="C772" t="s">
        <v>15025</v>
      </c>
      <c r="D772" t="s">
        <v>15026</v>
      </c>
      <c r="E772">
        <v>4651</v>
      </c>
      <c r="F772" t="s">
        <v>15027</v>
      </c>
      <c r="G772" t="s">
        <v>4996</v>
      </c>
      <c r="H772" t="str">
        <f t="shared" si="24"/>
        <v>Timberglen4651Dallas</v>
      </c>
      <c r="I772" t="str">
        <f t="shared" si="25"/>
        <v>Timberglen</v>
      </c>
      <c r="J772" s="82">
        <f>IFERROR(INDEX('All Folders'!$A:$A,MATCH(H772,'All Folders'!$G:$G,0),1),"¶")</f>
        <v>30101</v>
      </c>
      <c r="K772" s="87"/>
      <c r="L772" s="87"/>
    </row>
    <row r="773" spans="1:12" ht="15" x14ac:dyDescent="0.25">
      <c r="A773" t="s">
        <v>20588</v>
      </c>
      <c r="B773" t="s">
        <v>15028</v>
      </c>
      <c r="C773" t="s">
        <v>15029</v>
      </c>
      <c r="D773" t="s">
        <v>14622</v>
      </c>
      <c r="E773">
        <v>3130</v>
      </c>
      <c r="F773" t="s">
        <v>15030</v>
      </c>
      <c r="G773" t="s">
        <v>4996</v>
      </c>
      <c r="H773" t="str">
        <f t="shared" si="24"/>
        <v>Lombardy3130Dallas</v>
      </c>
      <c r="I773" t="str">
        <f t="shared" si="25"/>
        <v>Lombardy</v>
      </c>
      <c r="J773" s="82">
        <f>IFERROR(INDEX('All Folders'!$A:$A,MATCH(H773,'All Folders'!$G:$G,0),1),"¶")</f>
        <v>14768</v>
      </c>
      <c r="K773" s="87"/>
      <c r="L773" s="87"/>
    </row>
    <row r="774" spans="1:12" ht="15" x14ac:dyDescent="0.25">
      <c r="A774" t="s">
        <v>20589</v>
      </c>
      <c r="B774" t="s">
        <v>15031</v>
      </c>
      <c r="C774" t="s">
        <v>15032</v>
      </c>
      <c r="D774" t="s">
        <v>14646</v>
      </c>
      <c r="E774">
        <v>3311</v>
      </c>
      <c r="F774" t="s">
        <v>11500</v>
      </c>
      <c r="G774" t="s">
        <v>4996</v>
      </c>
      <c r="H774" t="str">
        <f t="shared" si="24"/>
        <v>Vernon3311Dallas</v>
      </c>
      <c r="I774" t="str">
        <f t="shared" si="25"/>
        <v>Vernon</v>
      </c>
      <c r="J774" s="82">
        <f>IFERROR(INDEX('All Folders'!$A:$A,MATCH(H774,'All Folders'!$G:$G,0),1),"¶")</f>
        <v>30092</v>
      </c>
      <c r="K774" s="87"/>
      <c r="L774" s="87"/>
    </row>
    <row r="775" spans="1:12" ht="15" x14ac:dyDescent="0.25">
      <c r="A775" t="s">
        <v>20590</v>
      </c>
      <c r="B775" t="s">
        <v>15033</v>
      </c>
      <c r="C775" t="s">
        <v>15034</v>
      </c>
      <c r="D775" t="s">
        <v>15035</v>
      </c>
      <c r="E775">
        <v>3811</v>
      </c>
      <c r="F775" t="s">
        <v>12905</v>
      </c>
      <c r="G775" t="s">
        <v>4996</v>
      </c>
      <c r="H775" t="str">
        <f t="shared" si="24"/>
        <v>Kiest3811Dallas</v>
      </c>
      <c r="I775" t="str">
        <f t="shared" si="25"/>
        <v>Kiest</v>
      </c>
      <c r="J775" s="82" t="str">
        <f>IFERROR(INDEX('All Folders'!$A:$A,MATCH(H775,'All Folders'!$G:$G,0),1),"¶")</f>
        <v>SP60</v>
      </c>
      <c r="K775" s="87"/>
      <c r="L775" s="87"/>
    </row>
    <row r="776" spans="1:12" ht="15" x14ac:dyDescent="0.25">
      <c r="A776" t="s">
        <v>20591</v>
      </c>
      <c r="B776" t="s">
        <v>15036</v>
      </c>
      <c r="C776" t="s">
        <v>15037</v>
      </c>
      <c r="D776" t="s">
        <v>15035</v>
      </c>
      <c r="E776">
        <v>3808</v>
      </c>
      <c r="F776" t="s">
        <v>12907</v>
      </c>
      <c r="G776" t="s">
        <v>4996</v>
      </c>
      <c r="H776" t="str">
        <f t="shared" si="24"/>
        <v>Kiest3808Dallas</v>
      </c>
      <c r="I776" t="str">
        <f t="shared" si="25"/>
        <v>Kiest</v>
      </c>
      <c r="J776" s="82" t="str">
        <f>IFERROR(INDEX('All Folders'!$A:$A,MATCH(H776,'All Folders'!$G:$G,0),1),"¶")</f>
        <v>SP61</v>
      </c>
      <c r="K776" s="87"/>
      <c r="L776" s="87"/>
    </row>
    <row r="777" spans="1:12" ht="15" x14ac:dyDescent="0.25">
      <c r="A777" t="s">
        <v>20592</v>
      </c>
      <c r="B777" t="s">
        <v>15038</v>
      </c>
      <c r="C777" t="s">
        <v>15039</v>
      </c>
      <c r="D777" t="s">
        <v>14920</v>
      </c>
      <c r="E777">
        <v>4542</v>
      </c>
      <c r="F777" t="s">
        <v>15040</v>
      </c>
      <c r="G777" t="s">
        <v>4996</v>
      </c>
      <c r="H777" t="str">
        <f t="shared" si="24"/>
        <v>Kiest4542Dallas</v>
      </c>
      <c r="I777" t="str">
        <f t="shared" si="25"/>
        <v>Kiest</v>
      </c>
      <c r="J777" s="82">
        <f>IFERROR(INDEX('All Folders'!$A:$A,MATCH(H777,'All Folders'!$G:$G,0),1),"¶")</f>
        <v>15210</v>
      </c>
      <c r="K777" s="87"/>
      <c r="L777" s="87"/>
    </row>
    <row r="778" spans="1:12" ht="15" x14ac:dyDescent="0.25">
      <c r="A778" t="s">
        <v>20593</v>
      </c>
      <c r="B778" t="s">
        <v>15041</v>
      </c>
      <c r="C778" t="s">
        <v>15042</v>
      </c>
      <c r="D778" t="s">
        <v>15043</v>
      </c>
      <c r="E778">
        <v>2787</v>
      </c>
      <c r="F778" t="s">
        <v>11462</v>
      </c>
      <c r="G778" t="s">
        <v>4996</v>
      </c>
      <c r="H778" t="str">
        <f t="shared" si="24"/>
        <v>Kings2787Dallas</v>
      </c>
      <c r="I778" t="str">
        <f t="shared" si="25"/>
        <v>Kings</v>
      </c>
      <c r="J778" s="82">
        <f>IFERROR(INDEX('All Folders'!$A:$A,MATCH(H778,'All Folders'!$G:$G,0),1),"¶")</f>
        <v>30059</v>
      </c>
      <c r="K778" s="87"/>
      <c r="L778" s="87"/>
    </row>
    <row r="779" spans="1:12" ht="15" x14ac:dyDescent="0.25">
      <c r="A779" t="s">
        <v>20594</v>
      </c>
      <c r="B779" t="s">
        <v>15044</v>
      </c>
      <c r="C779" t="s">
        <v>15045</v>
      </c>
      <c r="D779" t="s">
        <v>14819</v>
      </c>
      <c r="E779">
        <v>10028</v>
      </c>
      <c r="F779" t="s">
        <v>15046</v>
      </c>
      <c r="G779" t="s">
        <v>4996</v>
      </c>
      <c r="H779" t="str">
        <f t="shared" si="24"/>
        <v>Royal10028Dallas</v>
      </c>
      <c r="I779" t="str">
        <f t="shared" si="25"/>
        <v>Royal</v>
      </c>
      <c r="J779" s="88">
        <v>30113</v>
      </c>
      <c r="K779" s="87"/>
      <c r="L779" s="87"/>
    </row>
    <row r="780" spans="1:12" ht="15" x14ac:dyDescent="0.25">
      <c r="A780" t="s">
        <v>20596</v>
      </c>
      <c r="B780" t="s">
        <v>15050</v>
      </c>
      <c r="C780" t="s">
        <v>15051</v>
      </c>
      <c r="D780" t="s">
        <v>15052</v>
      </c>
      <c r="E780">
        <v>7751</v>
      </c>
      <c r="F780" t="s">
        <v>7620</v>
      </c>
      <c r="G780" t="s">
        <v>4996</v>
      </c>
      <c r="H780" t="str">
        <f t="shared" si="24"/>
        <v>RL7751Dallas</v>
      </c>
      <c r="I780" t="str">
        <f t="shared" si="25"/>
        <v>RL</v>
      </c>
      <c r="J780" s="82">
        <f>IFERROR(INDEX('All Folders'!$A:$A,MATCH(H780,'All Folders'!$G:$G,0),1),"¶")</f>
        <v>30046</v>
      </c>
      <c r="K780" s="87"/>
      <c r="L780" s="87"/>
    </row>
    <row r="781" spans="1:12" ht="15" x14ac:dyDescent="0.25">
      <c r="A781" t="s">
        <v>20597</v>
      </c>
      <c r="B781" t="s">
        <v>15053</v>
      </c>
      <c r="C781" t="s">
        <v>15054</v>
      </c>
      <c r="D781" t="s">
        <v>15055</v>
      </c>
      <c r="E781">
        <v>12500</v>
      </c>
      <c r="F781" t="s">
        <v>15056</v>
      </c>
      <c r="G781" t="s">
        <v>4996</v>
      </c>
      <c r="H781" t="str">
        <f t="shared" si="24"/>
        <v>Merit12500Dallas</v>
      </c>
      <c r="I781" t="str">
        <f t="shared" si="25"/>
        <v>Merit</v>
      </c>
      <c r="J781" s="82">
        <f>IFERROR(INDEX('All Folders'!$A:$A,MATCH(H781,'All Folders'!$G:$G,0),1),"¶")</f>
        <v>13630</v>
      </c>
      <c r="K781" s="87"/>
      <c r="L781" s="87"/>
    </row>
    <row r="782" spans="1:12" ht="15" x14ac:dyDescent="0.25">
      <c r="A782" t="s">
        <v>20598</v>
      </c>
      <c r="B782" t="s">
        <v>15057</v>
      </c>
      <c r="C782" t="s">
        <v>15058</v>
      </c>
      <c r="D782" t="s">
        <v>14140</v>
      </c>
      <c r="E782">
        <v>5769</v>
      </c>
      <c r="F782" t="s">
        <v>7006</v>
      </c>
      <c r="G782" t="s">
        <v>4996</v>
      </c>
      <c r="H782" t="str">
        <f t="shared" si="24"/>
        <v>Belt5769Dallas</v>
      </c>
      <c r="I782" t="str">
        <f t="shared" si="25"/>
        <v>Belt</v>
      </c>
      <c r="J782" s="88">
        <v>14645</v>
      </c>
      <c r="K782" s="87"/>
      <c r="L782" s="87"/>
    </row>
    <row r="783" spans="1:12" ht="15" x14ac:dyDescent="0.25">
      <c r="A783" t="s">
        <v>20599</v>
      </c>
      <c r="B783" t="s">
        <v>15059</v>
      </c>
      <c r="C783" t="s">
        <v>15060</v>
      </c>
      <c r="D783" t="s">
        <v>14590</v>
      </c>
      <c r="E783">
        <v>8376</v>
      </c>
      <c r="F783" t="s">
        <v>15061</v>
      </c>
      <c r="G783" t="s">
        <v>4996</v>
      </c>
      <c r="H783" t="str">
        <f t="shared" si="24"/>
        <v>Spring8376Dallas</v>
      </c>
      <c r="I783" t="str">
        <f t="shared" si="25"/>
        <v>Spring</v>
      </c>
      <c r="J783" s="82">
        <f>IFERROR(INDEX('All Folders'!$A:$A,MATCH(H783,'All Folders'!$G:$G,0),1),"¶")</f>
        <v>30096</v>
      </c>
      <c r="K783" s="87"/>
      <c r="L783" s="87"/>
    </row>
    <row r="784" spans="1:12" ht="15" x14ac:dyDescent="0.25">
      <c r="A784" t="s">
        <v>20600</v>
      </c>
      <c r="B784" t="s">
        <v>15062</v>
      </c>
      <c r="C784" t="s">
        <v>15063</v>
      </c>
      <c r="D784" t="s">
        <v>15064</v>
      </c>
      <c r="E784">
        <v>2620</v>
      </c>
      <c r="F784" t="s">
        <v>15065</v>
      </c>
      <c r="G784" t="s">
        <v>4996</v>
      </c>
      <c r="H784" t="str">
        <f t="shared" si="24"/>
        <v>Colorado2620Dallas</v>
      </c>
      <c r="I784" t="str">
        <f t="shared" si="25"/>
        <v>Colorado</v>
      </c>
      <c r="J784" s="82">
        <f>IFERROR(INDEX('All Folders'!$A:$A,MATCH(H784,'All Folders'!$G:$G,0),1),"¶")</f>
        <v>30044</v>
      </c>
      <c r="K784" s="87"/>
      <c r="L784" s="87"/>
    </row>
    <row r="785" spans="1:12" ht="15" x14ac:dyDescent="0.25">
      <c r="A785" t="s">
        <v>20601</v>
      </c>
      <c r="B785" t="s">
        <v>15066</v>
      </c>
      <c r="C785" t="s">
        <v>15067</v>
      </c>
      <c r="D785" t="s">
        <v>15068</v>
      </c>
      <c r="E785">
        <v>3208</v>
      </c>
      <c r="F785" t="s">
        <v>5851</v>
      </c>
      <c r="G785" t="s">
        <v>4996</v>
      </c>
      <c r="H785" t="str">
        <f t="shared" si="24"/>
        <v>Community3208Dallas</v>
      </c>
      <c r="I785" t="str">
        <f t="shared" si="25"/>
        <v>Community</v>
      </c>
      <c r="J785" s="82">
        <f>IFERROR(INDEX('All Folders'!$A:$A,MATCH(H785,'All Folders'!$G:$G,0),1),"¶")</f>
        <v>13679</v>
      </c>
      <c r="K785" s="87"/>
      <c r="L785" s="87"/>
    </row>
    <row r="786" spans="1:12" ht="15" x14ac:dyDescent="0.25">
      <c r="A786" t="s">
        <v>20602</v>
      </c>
      <c r="B786" t="s">
        <v>15069</v>
      </c>
      <c r="C786" t="s">
        <v>15070</v>
      </c>
      <c r="D786" t="s">
        <v>15071</v>
      </c>
      <c r="E786">
        <v>5613</v>
      </c>
      <c r="F786" t="s">
        <v>15072</v>
      </c>
      <c r="G786" t="s">
        <v>4996</v>
      </c>
      <c r="H786" t="str">
        <f t="shared" si="24"/>
        <v>Lindell5613Dallas</v>
      </c>
      <c r="I786" t="str">
        <f t="shared" si="25"/>
        <v>Lindell</v>
      </c>
      <c r="J786" s="82" t="str">
        <f>IFERROR(INDEX('All Folders'!$A:$A,MATCH(H786,'All Folders'!$G:$G,0),1),"¶")</f>
        <v>SP64</v>
      </c>
      <c r="K786" s="87"/>
      <c r="L786" s="87"/>
    </row>
    <row r="787" spans="1:12" ht="15" x14ac:dyDescent="0.25">
      <c r="A787" t="s">
        <v>20603</v>
      </c>
      <c r="B787" t="s">
        <v>15073</v>
      </c>
      <c r="C787" t="s">
        <v>15074</v>
      </c>
      <c r="D787" t="s">
        <v>15075</v>
      </c>
      <c r="E787">
        <v>11117</v>
      </c>
      <c r="F787" t="s">
        <v>15075</v>
      </c>
      <c r="G787" t="s">
        <v>4996</v>
      </c>
      <c r="H787" t="str">
        <f t="shared" si="24"/>
        <v>Lochwood11117Dallas</v>
      </c>
      <c r="I787" t="str">
        <f t="shared" si="25"/>
        <v>Lochwood</v>
      </c>
      <c r="J787" s="82">
        <f>IFERROR(INDEX('All Folders'!$A:$A,MATCH(H787,'All Folders'!$G:$G,0),1),"¶")</f>
        <v>13689</v>
      </c>
      <c r="K787" s="87"/>
      <c r="L787" s="87"/>
    </row>
    <row r="788" spans="1:12" ht="15" x14ac:dyDescent="0.25">
      <c r="A788" t="s">
        <v>20604</v>
      </c>
      <c r="B788" t="s">
        <v>15076</v>
      </c>
      <c r="C788" t="s">
        <v>15077</v>
      </c>
      <c r="D788" t="s">
        <v>15078</v>
      </c>
      <c r="E788">
        <v>12708</v>
      </c>
      <c r="F788" t="s">
        <v>15079</v>
      </c>
      <c r="G788" t="s">
        <v>4996</v>
      </c>
      <c r="H788" t="str">
        <f t="shared" si="24"/>
        <v>Schroeder12708Dallas</v>
      </c>
      <c r="I788" t="str">
        <f t="shared" si="25"/>
        <v>Schroeder</v>
      </c>
      <c r="J788" s="82">
        <f>IFERROR(INDEX('All Folders'!$A:$A,MATCH(H788,'All Folders'!$G:$G,0),1),"¶")</f>
        <v>14625</v>
      </c>
      <c r="K788" s="87"/>
      <c r="L788" s="87"/>
    </row>
    <row r="789" spans="1:12" ht="15" x14ac:dyDescent="0.25">
      <c r="A789" t="s">
        <v>20605</v>
      </c>
      <c r="B789" t="s">
        <v>15080</v>
      </c>
      <c r="C789" t="s">
        <v>15081</v>
      </c>
      <c r="D789" t="s">
        <v>14506</v>
      </c>
      <c r="E789">
        <v>4606</v>
      </c>
      <c r="F789" t="s">
        <v>15082</v>
      </c>
      <c r="G789" t="s">
        <v>4996</v>
      </c>
      <c r="H789" t="str">
        <f t="shared" si="24"/>
        <v>Cedar4606Dallas</v>
      </c>
      <c r="I789" t="str">
        <f t="shared" si="25"/>
        <v>Cedar</v>
      </c>
      <c r="J789" s="82">
        <f>IFERROR(INDEX('All Folders'!$A:$A,MATCH(H789,'All Folders'!$G:$G,0),1),"¶")</f>
        <v>13702</v>
      </c>
      <c r="K789" s="87"/>
      <c r="L789" s="87"/>
    </row>
    <row r="790" spans="1:12" ht="15" x14ac:dyDescent="0.25">
      <c r="A790" t="s">
        <v>20606</v>
      </c>
      <c r="B790" t="s">
        <v>15083</v>
      </c>
      <c r="C790" t="s">
        <v>15084</v>
      </c>
      <c r="D790" t="s">
        <v>14578</v>
      </c>
      <c r="E790">
        <v>17817</v>
      </c>
      <c r="F790" t="s">
        <v>15085</v>
      </c>
      <c r="G790" t="s">
        <v>4996</v>
      </c>
      <c r="H790" t="str">
        <f t="shared" si="24"/>
        <v>Coit17817Dallas</v>
      </c>
      <c r="I790" t="str">
        <f t="shared" si="25"/>
        <v>Coit</v>
      </c>
      <c r="J790" s="82">
        <f>IFERROR(INDEX('All Folders'!$A:$A,MATCH(H790,'All Folders'!$G:$G,0),1),"¶")</f>
        <v>14678</v>
      </c>
      <c r="K790" s="87"/>
      <c r="L790" s="87"/>
    </row>
    <row r="791" spans="1:12" ht="15" x14ac:dyDescent="0.25">
      <c r="A791" t="s">
        <v>20607</v>
      </c>
      <c r="B791" t="s">
        <v>15086</v>
      </c>
      <c r="C791" t="s">
        <v>15087</v>
      </c>
      <c r="D791" t="s">
        <v>15088</v>
      </c>
      <c r="E791">
        <v>7550</v>
      </c>
      <c r="F791" t="s">
        <v>15089</v>
      </c>
      <c r="G791" t="s">
        <v>4996</v>
      </c>
      <c r="H791" t="str">
        <f t="shared" si="24"/>
        <v>Cliff7550Dallas</v>
      </c>
      <c r="I791" t="str">
        <f t="shared" si="25"/>
        <v>Cliff</v>
      </c>
      <c r="J791" s="82">
        <f>IFERROR(INDEX('All Folders'!$A:$A,MATCH(H791,'All Folders'!$G:$G,0),1),"¶")</f>
        <v>13316</v>
      </c>
      <c r="K791" s="87"/>
      <c r="L791" s="87"/>
    </row>
    <row r="792" spans="1:12" ht="15" x14ac:dyDescent="0.25">
      <c r="A792" t="s">
        <v>20608</v>
      </c>
      <c r="B792" t="s">
        <v>15090</v>
      </c>
      <c r="C792" t="s">
        <v>15091</v>
      </c>
      <c r="D792" t="s">
        <v>15092</v>
      </c>
      <c r="E792">
        <v>7501</v>
      </c>
      <c r="F792" t="s">
        <v>15093</v>
      </c>
      <c r="G792" t="s">
        <v>4996</v>
      </c>
      <c r="H792" t="str">
        <f t="shared" si="24"/>
        <v>Chesterfield7501Dallas</v>
      </c>
      <c r="I792" t="str">
        <f t="shared" si="25"/>
        <v>Chesterfield</v>
      </c>
      <c r="J792" s="82">
        <f>IFERROR(INDEX('All Folders'!$A:$A,MATCH(H792,'All Folders'!$G:$G,0),1),"¶")</f>
        <v>13347</v>
      </c>
      <c r="K792" s="87"/>
      <c r="L792" s="87"/>
    </row>
    <row r="793" spans="1:12" ht="15" x14ac:dyDescent="0.25">
      <c r="A793" t="s">
        <v>20610</v>
      </c>
      <c r="B793" t="s">
        <v>15098</v>
      </c>
      <c r="C793" t="s">
        <v>15099</v>
      </c>
      <c r="D793" t="s">
        <v>15100</v>
      </c>
      <c r="E793">
        <v>7526</v>
      </c>
      <c r="F793" t="s">
        <v>15101</v>
      </c>
      <c r="G793" t="s">
        <v>4996</v>
      </c>
      <c r="H793" t="str">
        <f t="shared" si="24"/>
        <v>Hunnicut7526Dallas</v>
      </c>
      <c r="I793" t="str">
        <f t="shared" si="25"/>
        <v>Hunnicut</v>
      </c>
      <c r="J793" s="82">
        <f>IFERROR(INDEX('All Folders'!$A:$A,MATCH(H793,'All Folders'!$G:$G,0),1),"¶")</f>
        <v>14220</v>
      </c>
      <c r="K793" s="87"/>
      <c r="L793" s="87"/>
    </row>
    <row r="794" spans="1:12" ht="15" x14ac:dyDescent="0.25">
      <c r="A794" t="s">
        <v>20611</v>
      </c>
      <c r="B794" t="s">
        <v>15102</v>
      </c>
      <c r="C794" t="s">
        <v>15103</v>
      </c>
      <c r="D794" t="s">
        <v>15104</v>
      </c>
      <c r="E794">
        <v>7720</v>
      </c>
      <c r="F794" t="s">
        <v>15105</v>
      </c>
      <c r="G794" t="s">
        <v>4996</v>
      </c>
      <c r="H794" t="str">
        <f t="shared" si="24"/>
        <v>McCallum7720Dallas</v>
      </c>
      <c r="I794" t="str">
        <f t="shared" si="25"/>
        <v>McCallum</v>
      </c>
      <c r="J794" s="82">
        <f>IFERROR(INDEX('All Folders'!$A:$A,MATCH(H794,'All Folders'!$G:$G,0),1),"¶")</f>
        <v>14696</v>
      </c>
      <c r="K794" s="87"/>
      <c r="L794" s="87"/>
    </row>
    <row r="795" spans="1:12" ht="15" x14ac:dyDescent="0.25">
      <c r="A795" t="s">
        <v>20612</v>
      </c>
      <c r="B795" t="s">
        <v>15106</v>
      </c>
      <c r="C795" t="s">
        <v>15107</v>
      </c>
      <c r="D795" t="s">
        <v>15104</v>
      </c>
      <c r="E795">
        <v>7740</v>
      </c>
      <c r="F795" t="s">
        <v>11470</v>
      </c>
      <c r="G795" t="s">
        <v>4996</v>
      </c>
      <c r="H795" t="str">
        <f t="shared" si="24"/>
        <v>McCallum7740Dallas</v>
      </c>
      <c r="I795" t="str">
        <f t="shared" si="25"/>
        <v>McCallum</v>
      </c>
      <c r="J795" s="82">
        <f>IFERROR(INDEX('All Folders'!$A:$A,MATCH(H795,'All Folders'!$G:$G,0),1),"¶")</f>
        <v>30066</v>
      </c>
      <c r="K795" s="87"/>
      <c r="L795" s="87"/>
    </row>
    <row r="796" spans="1:12" ht="15" x14ac:dyDescent="0.25">
      <c r="A796" t="s">
        <v>20613</v>
      </c>
      <c r="B796" t="s">
        <v>15108</v>
      </c>
      <c r="C796" t="s">
        <v>15109</v>
      </c>
      <c r="D796" t="s">
        <v>15104</v>
      </c>
      <c r="E796">
        <v>7760</v>
      </c>
      <c r="F796" t="s">
        <v>7076</v>
      </c>
      <c r="G796" t="s">
        <v>4996</v>
      </c>
      <c r="H796" t="str">
        <f t="shared" si="24"/>
        <v>McCallum7760Dallas</v>
      </c>
      <c r="I796" t="str">
        <f t="shared" si="25"/>
        <v>McCallum</v>
      </c>
      <c r="J796" s="82">
        <f>IFERROR(INDEX('All Folders'!$A:$A,MATCH(H796,'All Folders'!$G:$G,0),1),"¶")</f>
        <v>14711</v>
      </c>
      <c r="K796" s="87"/>
      <c r="L796" s="87"/>
    </row>
    <row r="797" spans="1:12" ht="15" x14ac:dyDescent="0.25">
      <c r="A797" t="s">
        <v>20615</v>
      </c>
      <c r="B797" t="s">
        <v>15114</v>
      </c>
      <c r="C797" t="s">
        <v>15115</v>
      </c>
      <c r="D797" t="s">
        <v>14902</v>
      </c>
      <c r="E797">
        <v>12610</v>
      </c>
      <c r="F797" t="s">
        <v>5907</v>
      </c>
      <c r="G797" t="s">
        <v>4996</v>
      </c>
      <c r="H797" t="str">
        <f t="shared" si="24"/>
        <v>Jupiter12610Dallas</v>
      </c>
      <c r="I797" t="str">
        <f t="shared" si="25"/>
        <v>Jupiter</v>
      </c>
      <c r="J797" s="82">
        <f>IFERROR(INDEX('All Folders'!$A:$A,MATCH(H797,'All Folders'!$G:$G,0),1),"¶")</f>
        <v>13725</v>
      </c>
      <c r="K797" s="87"/>
      <c r="L797" s="87"/>
    </row>
    <row r="798" spans="1:12" ht="15" x14ac:dyDescent="0.25">
      <c r="A798" t="s">
        <v>20616</v>
      </c>
      <c r="B798" t="s">
        <v>15116</v>
      </c>
      <c r="C798" t="s">
        <v>15117</v>
      </c>
      <c r="D798" t="s">
        <v>14829</v>
      </c>
      <c r="E798">
        <v>2816</v>
      </c>
      <c r="F798" t="s">
        <v>257</v>
      </c>
      <c r="G798" t="s">
        <v>4996</v>
      </c>
      <c r="H798" t="str">
        <f t="shared" si="24"/>
        <v>Lucas2816Dallas</v>
      </c>
      <c r="I798" t="str">
        <f t="shared" si="25"/>
        <v>Lucas</v>
      </c>
      <c r="J798" s="82">
        <f>IFERROR(INDEX('All Folders'!$A:$A,MATCH(H798,'All Folders'!$G:$G,0),1),"¶")</f>
        <v>13736</v>
      </c>
      <c r="K798" s="87"/>
      <c r="L798" s="87"/>
    </row>
    <row r="799" spans="1:12" ht="15" x14ac:dyDescent="0.25">
      <c r="A799" t="s">
        <v>20617</v>
      </c>
      <c r="B799" t="s">
        <v>15118</v>
      </c>
      <c r="C799" t="s">
        <v>15119</v>
      </c>
      <c r="D799" t="s">
        <v>15120</v>
      </c>
      <c r="E799">
        <v>8550</v>
      </c>
      <c r="F799" t="s">
        <v>10969</v>
      </c>
      <c r="G799" t="s">
        <v>4996</v>
      </c>
      <c r="H799" t="str">
        <f t="shared" si="24"/>
        <v>Midpark8550Dallas</v>
      </c>
      <c r="I799" t="str">
        <f t="shared" si="25"/>
        <v>Midpark</v>
      </c>
      <c r="J799" s="82">
        <f>IFERROR(INDEX('All Folders'!$A:$A,MATCH(H799,'All Folders'!$G:$G,0),1),"¶")</f>
        <v>18570</v>
      </c>
      <c r="K799" s="87"/>
      <c r="L799" s="87"/>
    </row>
    <row r="800" spans="1:12" ht="15" x14ac:dyDescent="0.25">
      <c r="A800" t="s">
        <v>20618</v>
      </c>
      <c r="B800" t="s">
        <v>15121</v>
      </c>
      <c r="C800" t="s">
        <v>15122</v>
      </c>
      <c r="D800" t="s">
        <v>15123</v>
      </c>
      <c r="E800">
        <v>2900</v>
      </c>
      <c r="F800" t="s">
        <v>15124</v>
      </c>
      <c r="G800" t="s">
        <v>4996</v>
      </c>
      <c r="H800" t="str">
        <f t="shared" si="24"/>
        <v>Dilido2900Dallas</v>
      </c>
      <c r="I800" t="str">
        <f t="shared" si="25"/>
        <v>Dilido</v>
      </c>
      <c r="J800" s="82">
        <f>IFERROR(INDEX('All Folders'!$A:$A,MATCH(H800,'All Folders'!$G:$G,0),1),"¶")</f>
        <v>13279</v>
      </c>
      <c r="K800" s="87"/>
      <c r="L800" s="87"/>
    </row>
    <row r="801" spans="1:12" ht="15" x14ac:dyDescent="0.25">
      <c r="A801" t="s">
        <v>20619</v>
      </c>
      <c r="B801" t="s">
        <v>15125</v>
      </c>
      <c r="C801" t="s">
        <v>15126</v>
      </c>
      <c r="D801" t="s">
        <v>15127</v>
      </c>
      <c r="E801">
        <v>3720</v>
      </c>
      <c r="F801" t="s">
        <v>12946</v>
      </c>
      <c r="G801" t="s">
        <v>4996</v>
      </c>
      <c r="H801" t="str">
        <f t="shared" si="24"/>
        <v>Rawlins3720Dallas</v>
      </c>
      <c r="I801" t="str">
        <f t="shared" si="25"/>
        <v>Rawlins</v>
      </c>
      <c r="J801" s="82" t="str">
        <f>IFERROR(INDEX('All Folders'!$A:$A,MATCH(H801,'All Folders'!$G:$G,0),1),"¶")</f>
        <v>SP77</v>
      </c>
      <c r="K801" s="87"/>
      <c r="L801" s="87"/>
    </row>
    <row r="802" spans="1:12" ht="15" x14ac:dyDescent="0.25">
      <c r="A802" t="s">
        <v>20620</v>
      </c>
      <c r="B802" t="s">
        <v>15128</v>
      </c>
      <c r="C802" t="s">
        <v>15129</v>
      </c>
      <c r="D802" t="s">
        <v>15130</v>
      </c>
      <c r="E802">
        <v>11330</v>
      </c>
      <c r="F802" t="s">
        <v>8500</v>
      </c>
      <c r="G802" t="s">
        <v>4996</v>
      </c>
      <c r="H802" t="str">
        <f t="shared" si="24"/>
        <v>Amanda11330Dallas</v>
      </c>
      <c r="I802" t="str">
        <f t="shared" si="25"/>
        <v>Amanda</v>
      </c>
      <c r="J802" s="82">
        <f>IFERROR(INDEX('All Folders'!$A:$A,MATCH(H802,'All Folders'!$G:$G,0),1),"¶")</f>
        <v>30036</v>
      </c>
      <c r="K802" s="87"/>
      <c r="L802" s="87"/>
    </row>
    <row r="803" spans="1:12" ht="15" x14ac:dyDescent="0.25">
      <c r="A803" t="s">
        <v>20621</v>
      </c>
      <c r="B803" t="s">
        <v>15131</v>
      </c>
      <c r="C803" t="s">
        <v>15132</v>
      </c>
      <c r="D803" t="s">
        <v>14529</v>
      </c>
      <c r="E803">
        <v>5445</v>
      </c>
      <c r="F803" t="s">
        <v>5941</v>
      </c>
      <c r="G803" t="s">
        <v>4996</v>
      </c>
      <c r="H803" t="str">
        <f t="shared" si="24"/>
        <v>Preston5445Dallas</v>
      </c>
      <c r="I803" t="str">
        <f t="shared" si="25"/>
        <v>Preston</v>
      </c>
      <c r="J803" s="82">
        <f>IFERROR(INDEX('All Folders'!$A:$A,MATCH(H803,'All Folders'!$G:$G,0),1),"¶")</f>
        <v>13755</v>
      </c>
      <c r="K803" s="87"/>
      <c r="L803" s="87"/>
    </row>
    <row r="804" spans="1:12" ht="15" x14ac:dyDescent="0.25">
      <c r="A804" t="s">
        <v>20622</v>
      </c>
      <c r="B804" t="s">
        <v>15133</v>
      </c>
      <c r="C804" t="s">
        <v>15134</v>
      </c>
      <c r="D804" t="s">
        <v>15135</v>
      </c>
      <c r="E804">
        <v>318</v>
      </c>
      <c r="F804" t="s">
        <v>9044</v>
      </c>
      <c r="G804" t="s">
        <v>4996</v>
      </c>
      <c r="H804" t="str">
        <f t="shared" si="24"/>
        <v>Akard318Dallas</v>
      </c>
      <c r="I804" t="str">
        <f t="shared" si="25"/>
        <v>Akard</v>
      </c>
      <c r="J804" s="82">
        <f>IFERROR(INDEX('All Folders'!$A:$A,MATCH(H804,'All Folders'!$G:$G,0),1),"¶")</f>
        <v>30070</v>
      </c>
      <c r="K804" s="87"/>
      <c r="L804" s="87"/>
    </row>
    <row r="805" spans="1:12" ht="15" x14ac:dyDescent="0.25">
      <c r="A805" t="s">
        <v>20623</v>
      </c>
      <c r="B805" t="s">
        <v>15136</v>
      </c>
      <c r="C805" t="s">
        <v>15137</v>
      </c>
      <c r="D805" t="s">
        <v>15138</v>
      </c>
      <c r="E805">
        <v>5875</v>
      </c>
      <c r="F805" t="s">
        <v>15139</v>
      </c>
      <c r="G805" t="s">
        <v>4996</v>
      </c>
      <c r="H805" t="str">
        <f t="shared" si="24"/>
        <v>Mountain5875Dallas</v>
      </c>
      <c r="I805" t="str">
        <f t="shared" si="25"/>
        <v>Mountain</v>
      </c>
      <c r="J805" s="82">
        <f>IFERROR(INDEX('All Folders'!$A:$A,MATCH(H805,'All Folders'!$G:$G,0),1),"¶")</f>
        <v>15273</v>
      </c>
      <c r="K805" s="87"/>
      <c r="L805" s="87"/>
    </row>
    <row r="806" spans="1:12" ht="15" x14ac:dyDescent="0.25">
      <c r="A806" t="s">
        <v>20624</v>
      </c>
      <c r="B806" t="s">
        <v>15140</v>
      </c>
      <c r="C806" t="s">
        <v>15141</v>
      </c>
      <c r="D806" t="s">
        <v>15142</v>
      </c>
      <c r="E806">
        <v>9760</v>
      </c>
      <c r="F806" t="s">
        <v>15143</v>
      </c>
      <c r="G806" t="s">
        <v>4996</v>
      </c>
      <c r="H806" t="str">
        <f t="shared" si="24"/>
        <v>Scyene9760Dallas</v>
      </c>
      <c r="I806" t="str">
        <f t="shared" si="25"/>
        <v>Scyene</v>
      </c>
      <c r="J806" s="82">
        <f>IFERROR(INDEX('All Folders'!$A:$A,MATCH(H806,'All Folders'!$G:$G,0),1),"¶")</f>
        <v>13761</v>
      </c>
      <c r="K806" s="87"/>
      <c r="L806" s="87"/>
    </row>
    <row r="807" spans="1:12" ht="15" x14ac:dyDescent="0.25">
      <c r="A807" t="s">
        <v>20625</v>
      </c>
      <c r="B807" t="s">
        <v>15144</v>
      </c>
      <c r="C807" t="s">
        <v>15145</v>
      </c>
      <c r="D807" t="s">
        <v>15146</v>
      </c>
      <c r="E807">
        <v>9387</v>
      </c>
      <c r="F807" t="s">
        <v>5956</v>
      </c>
      <c r="G807" t="s">
        <v>4996</v>
      </c>
      <c r="H807" t="str">
        <f t="shared" si="24"/>
        <v>Pinyon9387Dallas</v>
      </c>
      <c r="I807" t="str">
        <f t="shared" si="25"/>
        <v>Pinyon</v>
      </c>
      <c r="J807" s="82">
        <f>IFERROR(INDEX('All Folders'!$A:$A,MATCH(H807,'All Folders'!$G:$G,0),1),"¶")</f>
        <v>13767</v>
      </c>
      <c r="K807" s="87"/>
      <c r="L807" s="87"/>
    </row>
    <row r="808" spans="1:12" ht="15" x14ac:dyDescent="0.25">
      <c r="A808" t="s">
        <v>20626</v>
      </c>
      <c r="B808" t="s">
        <v>15147</v>
      </c>
      <c r="C808" t="s">
        <v>15148</v>
      </c>
      <c r="D808" t="s">
        <v>6022</v>
      </c>
      <c r="E808">
        <v>8662</v>
      </c>
      <c r="F808" t="s">
        <v>5954</v>
      </c>
      <c r="G808" t="s">
        <v>4996</v>
      </c>
      <c r="H808" t="str">
        <f t="shared" si="24"/>
        <v>Park8662Dallas</v>
      </c>
      <c r="I808" t="str">
        <f t="shared" si="25"/>
        <v>Park</v>
      </c>
      <c r="J808" s="82">
        <f>IFERROR(INDEX('All Folders'!$A:$A,MATCH(H808,'All Folders'!$G:$G,0),1),"¶")</f>
        <v>13766</v>
      </c>
      <c r="K808" s="87"/>
      <c r="L808" s="87"/>
    </row>
    <row r="809" spans="1:12" ht="15" x14ac:dyDescent="0.25">
      <c r="A809" t="s">
        <v>20629</v>
      </c>
      <c r="B809" t="s">
        <v>15156</v>
      </c>
      <c r="C809" t="s">
        <v>15157</v>
      </c>
      <c r="D809" t="s">
        <v>14427</v>
      </c>
      <c r="E809">
        <v>640</v>
      </c>
      <c r="F809" t="s">
        <v>11478</v>
      </c>
      <c r="G809" t="s">
        <v>4996</v>
      </c>
      <c r="H809" t="str">
        <f t="shared" si="24"/>
        <v>Plymouth640Dallas</v>
      </c>
      <c r="I809" t="str">
        <f t="shared" si="25"/>
        <v>Plymouth</v>
      </c>
      <c r="J809" s="82">
        <f>IFERROR(INDEX('All Folders'!$A:$A,MATCH(H809,'All Folders'!$G:$G,0),1),"¶")</f>
        <v>30076</v>
      </c>
      <c r="K809" s="87"/>
      <c r="L809" s="87"/>
    </row>
    <row r="810" spans="1:12" ht="15" x14ac:dyDescent="0.25">
      <c r="A810" t="s">
        <v>20630</v>
      </c>
      <c r="B810" t="s">
        <v>15158</v>
      </c>
      <c r="C810" t="s">
        <v>15159</v>
      </c>
      <c r="D810" t="s">
        <v>15160</v>
      </c>
      <c r="E810">
        <v>6041</v>
      </c>
      <c r="F810" t="s">
        <v>7095</v>
      </c>
      <c r="G810" t="s">
        <v>4996</v>
      </c>
      <c r="H810" t="str">
        <f t="shared" si="24"/>
        <v>Ridgecrest6041Dallas</v>
      </c>
      <c r="I810" t="str">
        <f t="shared" si="25"/>
        <v>Ridgecrest</v>
      </c>
      <c r="J810" s="82">
        <f>IFERROR(INDEX('All Folders'!$A:$A,MATCH(H810,'All Folders'!$G:$G,0),1),"¶")</f>
        <v>14734</v>
      </c>
      <c r="K810" s="87"/>
      <c r="L810" s="87"/>
    </row>
    <row r="811" spans="1:12" ht="15" x14ac:dyDescent="0.25">
      <c r="A811" t="s">
        <v>20632</v>
      </c>
      <c r="B811" t="s">
        <v>15163</v>
      </c>
      <c r="C811" t="s">
        <v>15164</v>
      </c>
      <c r="D811" t="s">
        <v>15165</v>
      </c>
      <c r="E811">
        <v>9640</v>
      </c>
      <c r="F811" t="s">
        <v>5962</v>
      </c>
      <c r="G811" t="s">
        <v>4996</v>
      </c>
      <c r="H811" t="str">
        <f t="shared" si="24"/>
        <v>Timberline9640Dallas</v>
      </c>
      <c r="I811" t="str">
        <f t="shared" si="25"/>
        <v>Timberline</v>
      </c>
      <c r="J811" s="82">
        <f>IFERROR(INDEX('All Folders'!$A:$A,MATCH(H811,'All Folders'!$G:$G,0),1),"¶")</f>
        <v>30102</v>
      </c>
      <c r="K811" s="87"/>
      <c r="L811" s="87"/>
    </row>
    <row r="812" spans="1:12" ht="15" x14ac:dyDescent="0.25">
      <c r="A812" t="s">
        <v>20633</v>
      </c>
      <c r="B812" t="s">
        <v>15166</v>
      </c>
      <c r="C812" t="s">
        <v>15167</v>
      </c>
      <c r="D812" t="s">
        <v>15165</v>
      </c>
      <c r="E812">
        <v>9680</v>
      </c>
      <c r="F812" t="s">
        <v>5962</v>
      </c>
      <c r="G812" t="s">
        <v>4996</v>
      </c>
      <c r="H812" t="str">
        <f t="shared" si="24"/>
        <v>Timberline9680Dallas</v>
      </c>
      <c r="I812" t="str">
        <f t="shared" si="25"/>
        <v>Timberline</v>
      </c>
      <c r="J812" s="82">
        <f>IFERROR(INDEX('All Folders'!$A:$A,MATCH(H812,'All Folders'!$G:$G,0),1),"¶")</f>
        <v>13772</v>
      </c>
      <c r="K812" s="87"/>
      <c r="L812" s="87"/>
    </row>
    <row r="813" spans="1:12" ht="15" x14ac:dyDescent="0.25">
      <c r="A813" t="s">
        <v>20634</v>
      </c>
      <c r="B813" t="s">
        <v>15168</v>
      </c>
      <c r="C813" t="s">
        <v>15169</v>
      </c>
      <c r="D813" t="s">
        <v>15170</v>
      </c>
      <c r="E813">
        <v>13980</v>
      </c>
      <c r="F813" t="s">
        <v>5964</v>
      </c>
      <c r="G813" t="s">
        <v>4996</v>
      </c>
      <c r="H813" t="str">
        <f t="shared" si="24"/>
        <v>Peyton13980Dallas</v>
      </c>
      <c r="I813" t="str">
        <f t="shared" si="25"/>
        <v>Peyton</v>
      </c>
      <c r="J813" s="82">
        <f>IFERROR(INDEX('All Folders'!$A:$A,MATCH(H813,'All Folders'!$G:$G,0),1),"¶")</f>
        <v>13773</v>
      </c>
      <c r="K813" s="87"/>
      <c r="L813" s="87"/>
    </row>
    <row r="814" spans="1:12" ht="15" x14ac:dyDescent="0.25">
      <c r="A814" t="s">
        <v>20635</v>
      </c>
      <c r="B814" t="s">
        <v>15171</v>
      </c>
      <c r="C814" t="s">
        <v>15172</v>
      </c>
      <c r="D814" t="s">
        <v>15170</v>
      </c>
      <c r="E814" t="s">
        <v>12937</v>
      </c>
      <c r="F814" t="s">
        <v>5964</v>
      </c>
      <c r="G814" t="s">
        <v>4996</v>
      </c>
      <c r="H814" t="str">
        <f t="shared" si="24"/>
        <v>Peyton13934-14030Dallas</v>
      </c>
      <c r="I814" t="str">
        <f t="shared" si="25"/>
        <v>Peyton</v>
      </c>
      <c r="J814" s="82" t="str">
        <f>IFERROR(INDEX('All Folders'!$A:$A,MATCH(H814,'All Folders'!$G:$G,0),1),"¶")</f>
        <v>SP74</v>
      </c>
      <c r="K814" s="87"/>
      <c r="L814" s="87"/>
    </row>
    <row r="815" spans="1:12" ht="15" x14ac:dyDescent="0.25">
      <c r="A815" t="s">
        <v>20636</v>
      </c>
      <c r="B815" t="s">
        <v>15173</v>
      </c>
      <c r="C815" t="s">
        <v>15174</v>
      </c>
      <c r="D815" t="s">
        <v>15175</v>
      </c>
      <c r="E815">
        <v>2607</v>
      </c>
      <c r="F815" t="s">
        <v>15176</v>
      </c>
      <c r="G815" t="s">
        <v>4996</v>
      </c>
      <c r="H815" t="str">
        <f t="shared" si="24"/>
        <v>52nd2607Dallas</v>
      </c>
      <c r="I815" t="str">
        <f t="shared" si="25"/>
        <v>52nd</v>
      </c>
      <c r="J815" s="82">
        <f>IFERROR(INDEX('All Folders'!$A:$A,MATCH(H815,'All Folders'!$G:$G,0),1),"¶")</f>
        <v>30034</v>
      </c>
      <c r="K815" s="87"/>
      <c r="L815" s="87"/>
    </row>
    <row r="816" spans="1:12" ht="15" x14ac:dyDescent="0.25">
      <c r="A816" t="s">
        <v>20637</v>
      </c>
      <c r="B816" t="s">
        <v>15177</v>
      </c>
      <c r="C816" t="s">
        <v>15178</v>
      </c>
      <c r="D816" t="s">
        <v>14883</v>
      </c>
      <c r="E816">
        <v>11050</v>
      </c>
      <c r="F816" t="s">
        <v>7105</v>
      </c>
      <c r="G816" t="s">
        <v>4996</v>
      </c>
      <c r="H816" t="str">
        <f t="shared" si="24"/>
        <v>Woodmeadow11050Dallas</v>
      </c>
      <c r="I816" t="str">
        <f t="shared" si="25"/>
        <v>Woodmeadow</v>
      </c>
      <c r="J816" s="82">
        <f>IFERROR(INDEX('All Folders'!$A:$A,MATCH(H816,'All Folders'!$G:$G,0),1),"¶")</f>
        <v>14744</v>
      </c>
      <c r="K816" s="87"/>
      <c r="L816" s="87"/>
    </row>
    <row r="817" spans="1:12" ht="15" x14ac:dyDescent="0.25">
      <c r="A817" t="s">
        <v>20638</v>
      </c>
      <c r="B817" t="s">
        <v>15179</v>
      </c>
      <c r="C817" t="s">
        <v>15180</v>
      </c>
      <c r="D817" t="s">
        <v>15181</v>
      </c>
      <c r="E817">
        <v>2911</v>
      </c>
      <c r="F817" t="s">
        <v>15182</v>
      </c>
      <c r="G817" t="s">
        <v>4996</v>
      </c>
      <c r="H817" t="str">
        <f t="shared" si="24"/>
        <v>Clydedale2911Dallas</v>
      </c>
      <c r="I817" t="str">
        <f t="shared" si="25"/>
        <v>Clydedale</v>
      </c>
      <c r="J817" s="82">
        <f>IFERROR(INDEX('All Folders'!$A:$A,MATCH(H817,'All Folders'!$G:$G,0),1),"¶")</f>
        <v>15173</v>
      </c>
      <c r="K817" s="87"/>
      <c r="L817" s="87"/>
    </row>
    <row r="818" spans="1:12" ht="15" x14ac:dyDescent="0.25">
      <c r="A818" t="s">
        <v>20639</v>
      </c>
      <c r="B818" t="s">
        <v>15183</v>
      </c>
      <c r="C818" t="s">
        <v>15184</v>
      </c>
      <c r="D818" t="s">
        <v>15185</v>
      </c>
      <c r="E818">
        <v>9000</v>
      </c>
      <c r="F818" t="s">
        <v>15186</v>
      </c>
      <c r="G818" t="s">
        <v>4996</v>
      </c>
      <c r="H818" t="str">
        <f t="shared" si="24"/>
        <v>Poppy9000Dallas</v>
      </c>
      <c r="I818" t="str">
        <f t="shared" si="25"/>
        <v>Poppy</v>
      </c>
      <c r="J818" s="82">
        <f>IFERROR(INDEX('All Folders'!$A:$A,MATCH(H818,'All Folders'!$G:$G,0),1),"¶")</f>
        <v>13887</v>
      </c>
      <c r="K818" s="87"/>
      <c r="L818" s="87"/>
    </row>
    <row r="819" spans="1:12" ht="15" x14ac:dyDescent="0.25">
      <c r="A819" t="s">
        <v>20640</v>
      </c>
      <c r="B819" t="s">
        <v>15187</v>
      </c>
      <c r="C819" t="s">
        <v>15188</v>
      </c>
      <c r="D819" t="s">
        <v>15189</v>
      </c>
      <c r="E819">
        <v>4611</v>
      </c>
      <c r="F819" t="s">
        <v>15190</v>
      </c>
      <c r="G819" t="s">
        <v>4996</v>
      </c>
      <c r="H819" t="str">
        <f t="shared" si="24"/>
        <v>Samuell4611Dallas</v>
      </c>
      <c r="I819" t="str">
        <f t="shared" si="25"/>
        <v>Samuell</v>
      </c>
      <c r="J819" s="82">
        <f>IFERROR(INDEX('All Folders'!$A:$A,MATCH(H819,'All Folders'!$G:$G,0),1),"¶")</f>
        <v>13786</v>
      </c>
      <c r="K819" s="87"/>
      <c r="L819" s="87"/>
    </row>
    <row r="820" spans="1:12" ht="15" x14ac:dyDescent="0.25">
      <c r="A820" t="s">
        <v>20641</v>
      </c>
      <c r="B820" t="s">
        <v>15191</v>
      </c>
      <c r="C820" t="s">
        <v>15192</v>
      </c>
      <c r="D820" t="s">
        <v>15193</v>
      </c>
      <c r="E820">
        <v>2803</v>
      </c>
      <c r="F820" t="s">
        <v>1968</v>
      </c>
      <c r="G820" t="s">
        <v>4996</v>
      </c>
      <c r="H820" t="str">
        <f t="shared" si="24"/>
        <v>Illinois2803Dallas</v>
      </c>
      <c r="I820" t="str">
        <f t="shared" si="25"/>
        <v>Illinois</v>
      </c>
      <c r="J820" s="82" t="str">
        <f>IFERROR(INDEX('All Folders'!$A:$A,MATCH(H820,'All Folders'!$G:$G,0),1),"¶")</f>
        <v>SP58</v>
      </c>
      <c r="K820" s="87"/>
      <c r="L820" s="87"/>
    </row>
    <row r="821" spans="1:12" ht="15" x14ac:dyDescent="0.25">
      <c r="A821" t="s">
        <v>20642</v>
      </c>
      <c r="B821" t="s">
        <v>15194</v>
      </c>
      <c r="C821" t="s">
        <v>15195</v>
      </c>
      <c r="D821" t="s">
        <v>15196</v>
      </c>
      <c r="E821">
        <v>4950</v>
      </c>
      <c r="F821" t="s">
        <v>7638</v>
      </c>
      <c r="G821" t="s">
        <v>4996</v>
      </c>
      <c r="H821" t="str">
        <f t="shared" si="24"/>
        <v>Wadsworth4950Dallas</v>
      </c>
      <c r="I821" t="str">
        <f t="shared" si="25"/>
        <v>Wadsworth</v>
      </c>
      <c r="J821" s="82">
        <f>IFERROR(INDEX('All Folders'!$A:$A,MATCH(H821,'All Folders'!$G:$G,0),1),"¶")</f>
        <v>15242</v>
      </c>
      <c r="K821" s="87"/>
      <c r="L821" s="87"/>
    </row>
    <row r="822" spans="1:12" ht="15" x14ac:dyDescent="0.25">
      <c r="A822" t="s">
        <v>20643</v>
      </c>
      <c r="B822" t="s">
        <v>15197</v>
      </c>
      <c r="C822" t="s">
        <v>15198</v>
      </c>
      <c r="D822" t="s">
        <v>15199</v>
      </c>
      <c r="E822">
        <v>2202</v>
      </c>
      <c r="F822" t="s">
        <v>15200</v>
      </c>
      <c r="G822" t="s">
        <v>4996</v>
      </c>
      <c r="H822" t="str">
        <f t="shared" si="24"/>
        <v>Southland2202Dallas</v>
      </c>
      <c r="I822" t="str">
        <f t="shared" si="25"/>
        <v>Southland</v>
      </c>
      <c r="J822" s="82">
        <f>IFERROR(INDEX('All Folders'!$A:$A,MATCH(H822,'All Folders'!$G:$G,0),1),"¶")</f>
        <v>30095</v>
      </c>
      <c r="K822" s="87"/>
      <c r="L822" s="87"/>
    </row>
    <row r="823" spans="1:12" ht="15" x14ac:dyDescent="0.25">
      <c r="A823" t="s">
        <v>20644</v>
      </c>
      <c r="B823" t="s">
        <v>15201</v>
      </c>
      <c r="C823" t="s">
        <v>15202</v>
      </c>
      <c r="D823" t="s">
        <v>15203</v>
      </c>
      <c r="E823">
        <v>9701</v>
      </c>
      <c r="F823" t="s">
        <v>6014</v>
      </c>
      <c r="G823" t="s">
        <v>4996</v>
      </c>
      <c r="H823" t="str">
        <f t="shared" si="24"/>
        <v>Dale9701Dallas</v>
      </c>
      <c r="I823" t="str">
        <f t="shared" si="25"/>
        <v>Dale</v>
      </c>
      <c r="J823" s="82">
        <f>IFERROR(INDEX('All Folders'!$A:$A,MATCH(H823,'All Folders'!$G:$G,0),1),"¶")</f>
        <v>13818</v>
      </c>
      <c r="K823" s="87"/>
      <c r="L823" s="87"/>
    </row>
    <row r="824" spans="1:12" ht="15" x14ac:dyDescent="0.25">
      <c r="A824" t="s">
        <v>20645</v>
      </c>
      <c r="B824" t="s">
        <v>15204</v>
      </c>
      <c r="C824" t="s">
        <v>15205</v>
      </c>
      <c r="D824" t="s">
        <v>15206</v>
      </c>
      <c r="E824">
        <v>7425</v>
      </c>
      <c r="F824" t="s">
        <v>7537</v>
      </c>
      <c r="G824" t="s">
        <v>4996</v>
      </c>
      <c r="H824" t="str">
        <f t="shared" si="24"/>
        <v>La7425Dallas</v>
      </c>
      <c r="I824" t="str">
        <f t="shared" si="25"/>
        <v>La</v>
      </c>
      <c r="J824" s="82">
        <f>IFERROR(INDEX('All Folders'!$A:$A,MATCH(H824,'All Folders'!$G:$G,0),1),"¶")</f>
        <v>15138</v>
      </c>
      <c r="K824" s="87"/>
      <c r="L824" s="87"/>
    </row>
    <row r="825" spans="1:12" ht="15" x14ac:dyDescent="0.25">
      <c r="A825" t="s">
        <v>20646</v>
      </c>
      <c r="B825" t="s">
        <v>15207</v>
      </c>
      <c r="C825" t="s">
        <v>15208</v>
      </c>
      <c r="D825" t="s">
        <v>14596</v>
      </c>
      <c r="E825">
        <v>7827</v>
      </c>
      <c r="F825" t="s">
        <v>12861</v>
      </c>
      <c r="G825" t="s">
        <v>4996</v>
      </c>
      <c r="H825" t="str">
        <f t="shared" si="24"/>
        <v>Ferguson7827Dallas</v>
      </c>
      <c r="I825" t="str">
        <f t="shared" si="25"/>
        <v>Ferguson</v>
      </c>
      <c r="J825" s="82" t="str">
        <f>IFERROR(INDEX('All Folders'!$A:$A,MATCH(H825,'All Folders'!$G:$G,0),1),"¶")</f>
        <v>SP44</v>
      </c>
      <c r="K825" s="87"/>
      <c r="L825" s="87"/>
    </row>
    <row r="826" spans="1:12" ht="15" x14ac:dyDescent="0.25">
      <c r="A826" t="s">
        <v>20647</v>
      </c>
      <c r="B826" t="s">
        <v>15209</v>
      </c>
      <c r="C826" t="s">
        <v>15210</v>
      </c>
      <c r="D826" t="s">
        <v>6022</v>
      </c>
      <c r="E826">
        <v>3040</v>
      </c>
      <c r="F826" t="s">
        <v>15211</v>
      </c>
      <c r="G826" t="s">
        <v>4996</v>
      </c>
      <c r="H826" t="str">
        <f t="shared" si="24"/>
        <v>Park3040Dallas</v>
      </c>
      <c r="I826" t="str">
        <f t="shared" si="25"/>
        <v>Park</v>
      </c>
      <c r="J826" s="82">
        <f>IFERROR(INDEX('All Folders'!$A:$A,MATCH(H826,'All Folders'!$G:$G,0),1),"¶")</f>
        <v>13824</v>
      </c>
      <c r="K826" s="87"/>
      <c r="L826" s="87"/>
    </row>
    <row r="827" spans="1:12" ht="15" x14ac:dyDescent="0.25">
      <c r="A827" t="s">
        <v>20648</v>
      </c>
      <c r="B827" t="s">
        <v>15212</v>
      </c>
      <c r="C827" t="s">
        <v>15213</v>
      </c>
      <c r="D827" t="s">
        <v>14431</v>
      </c>
      <c r="E827">
        <v>17878</v>
      </c>
      <c r="F827" t="s">
        <v>15214</v>
      </c>
      <c r="G827" t="s">
        <v>4996</v>
      </c>
      <c r="H827" t="str">
        <f t="shared" si="24"/>
        <v>Preston17878Dallas</v>
      </c>
      <c r="I827" t="str">
        <f t="shared" si="25"/>
        <v>Preston</v>
      </c>
      <c r="J827" s="82">
        <f>IFERROR(INDEX('All Folders'!$A:$A,MATCH(H827,'All Folders'!$G:$G,0),1),"¶")</f>
        <v>14785</v>
      </c>
      <c r="K827" s="87"/>
      <c r="L827" s="87"/>
    </row>
    <row r="828" spans="1:12" ht="15" x14ac:dyDescent="0.25">
      <c r="A828" t="s">
        <v>20649</v>
      </c>
      <c r="B828" t="s">
        <v>15215</v>
      </c>
      <c r="C828" t="s">
        <v>15216</v>
      </c>
      <c r="D828" t="s">
        <v>15217</v>
      </c>
      <c r="E828">
        <v>405</v>
      </c>
      <c r="F828" t="s">
        <v>548</v>
      </c>
      <c r="G828" t="s">
        <v>4996</v>
      </c>
      <c r="H828" t="str">
        <f t="shared" si="24"/>
        <v>Ewing405Dallas</v>
      </c>
      <c r="I828" t="str">
        <f t="shared" si="25"/>
        <v>Ewing</v>
      </c>
      <c r="J828" s="82" t="str">
        <f>IFERROR(INDEX('All Folders'!$A:$A,MATCH(H828,'All Folders'!$G:$G,0),1),"¶")</f>
        <v>SP42</v>
      </c>
      <c r="K828" s="87"/>
      <c r="L828" s="87"/>
    </row>
    <row r="829" spans="1:12" ht="15" x14ac:dyDescent="0.25">
      <c r="A829" t="s">
        <v>20650</v>
      </c>
      <c r="B829" t="s">
        <v>15218</v>
      </c>
      <c r="C829" t="s">
        <v>15219</v>
      </c>
      <c r="D829" t="s">
        <v>6029</v>
      </c>
      <c r="E829">
        <v>13005</v>
      </c>
      <c r="F829" t="s">
        <v>291</v>
      </c>
      <c r="G829" t="s">
        <v>4996</v>
      </c>
      <c r="H829" t="str">
        <f t="shared" si="24"/>
        <v>Meandering13005Dallas</v>
      </c>
      <c r="I829" t="str">
        <f t="shared" si="25"/>
        <v>Meandering</v>
      </c>
      <c r="J829" s="82">
        <f>IFERROR(INDEX('All Folders'!$A:$A,MATCH(H829,'All Folders'!$G:$G,0),1),"¶")</f>
        <v>13830</v>
      </c>
      <c r="K829" s="87"/>
      <c r="L829" s="87"/>
    </row>
    <row r="830" spans="1:12" ht="15" x14ac:dyDescent="0.25">
      <c r="A830" t="s">
        <v>20651</v>
      </c>
      <c r="B830" t="s">
        <v>15220</v>
      </c>
      <c r="C830" t="s">
        <v>15221</v>
      </c>
      <c r="D830" t="s">
        <v>15222</v>
      </c>
      <c r="E830">
        <v>6727</v>
      </c>
      <c r="F830" t="s">
        <v>15223</v>
      </c>
      <c r="G830" t="s">
        <v>4996</v>
      </c>
      <c r="H830" t="str">
        <f t="shared" si="24"/>
        <v>Shadybrook6727Dallas</v>
      </c>
      <c r="I830" t="str">
        <f t="shared" si="25"/>
        <v>Shadybrook</v>
      </c>
      <c r="J830" s="82">
        <f>IFERROR(INDEX('All Folders'!$A:$A,MATCH(H830,'All Folders'!$G:$G,0),1),"¶")</f>
        <v>30094</v>
      </c>
      <c r="K830" s="87"/>
      <c r="L830" s="87"/>
    </row>
    <row r="831" spans="1:12" ht="15" x14ac:dyDescent="0.25">
      <c r="A831" t="s">
        <v>20653</v>
      </c>
      <c r="B831" t="s">
        <v>15228</v>
      </c>
      <c r="C831" t="s">
        <v>15229</v>
      </c>
      <c r="D831" t="s">
        <v>15230</v>
      </c>
      <c r="E831">
        <v>7575</v>
      </c>
      <c r="F831" t="s">
        <v>3329</v>
      </c>
      <c r="G831" t="s">
        <v>4996</v>
      </c>
      <c r="H831" t="str">
        <f t="shared" si="24"/>
        <v>Westmoreland7575Dallas</v>
      </c>
      <c r="I831" t="str">
        <f t="shared" si="25"/>
        <v>Westmoreland</v>
      </c>
      <c r="J831" s="82">
        <f>IFERROR(INDEX('All Folders'!$A:$A,MATCH(H831,'All Folders'!$G:$G,0),1),"¶")</f>
        <v>15175</v>
      </c>
      <c r="K831" s="87"/>
      <c r="L831" s="87"/>
    </row>
    <row r="832" spans="1:12" ht="15" x14ac:dyDescent="0.25">
      <c r="A832" t="s">
        <v>20654</v>
      </c>
      <c r="B832" t="s">
        <v>15231</v>
      </c>
      <c r="C832" t="s">
        <v>15232</v>
      </c>
      <c r="D832" t="s">
        <v>6022</v>
      </c>
      <c r="E832">
        <v>8780</v>
      </c>
      <c r="F832" t="s">
        <v>15233</v>
      </c>
      <c r="G832" t="s">
        <v>4996</v>
      </c>
      <c r="H832" t="str">
        <f t="shared" si="24"/>
        <v>Park8780Dallas</v>
      </c>
      <c r="I832" t="str">
        <f t="shared" si="25"/>
        <v>Park</v>
      </c>
      <c r="J832" s="82">
        <f>IFERROR(INDEX('All Folders'!$A:$A,MATCH(H832,'All Folders'!$G:$G,0),1),"¶")</f>
        <v>13831</v>
      </c>
      <c r="K832" s="87"/>
      <c r="L832" s="87"/>
    </row>
    <row r="833" spans="1:12" ht="15" x14ac:dyDescent="0.25">
      <c r="A833" t="s">
        <v>20655</v>
      </c>
      <c r="B833" t="s">
        <v>15234</v>
      </c>
      <c r="C833" t="s">
        <v>15235</v>
      </c>
      <c r="D833" t="s">
        <v>14990</v>
      </c>
      <c r="E833">
        <v>8008</v>
      </c>
      <c r="F833" t="s">
        <v>15236</v>
      </c>
      <c r="G833" t="s">
        <v>4996</v>
      </c>
      <c r="H833" t="str">
        <f t="shared" si="24"/>
        <v>Military8008Dallas</v>
      </c>
      <c r="I833" t="str">
        <f t="shared" si="25"/>
        <v>Military</v>
      </c>
      <c r="J833" s="82">
        <f>IFERROR(INDEX('All Folders'!$A:$A,MATCH(H833,'All Folders'!$G:$G,0),1),"¶")</f>
        <v>15183</v>
      </c>
      <c r="K833" s="87"/>
      <c r="L833" s="87"/>
    </row>
    <row r="834" spans="1:12" ht="15" x14ac:dyDescent="0.25">
      <c r="A834" t="s">
        <v>20658</v>
      </c>
      <c r="B834" t="s">
        <v>15242</v>
      </c>
      <c r="C834" t="s">
        <v>15243</v>
      </c>
      <c r="D834" t="s">
        <v>15244</v>
      </c>
      <c r="E834">
        <v>3001</v>
      </c>
      <c r="F834" t="s">
        <v>7599</v>
      </c>
      <c r="G834" t="s">
        <v>4996</v>
      </c>
      <c r="H834" t="str">
        <f t="shared" ref="H834:H897" si="26">I834&amp;E834&amp;G834</f>
        <v>Kendale3001Dallas</v>
      </c>
      <c r="I834" t="str">
        <f t="shared" ref="I834:I897" si="27">IFERROR(LEFT(D834,FIND(" ",D834)-1),D834)</f>
        <v>Kendale</v>
      </c>
      <c r="J834" s="82">
        <f>IFERROR(INDEX('All Folders'!$A:$A,MATCH(H834,'All Folders'!$G:$G,0),1),"¶")</f>
        <v>15208</v>
      </c>
      <c r="K834" s="87"/>
      <c r="L834" s="87"/>
    </row>
    <row r="835" spans="1:12" ht="15" x14ac:dyDescent="0.25">
      <c r="A835" t="s">
        <v>20660</v>
      </c>
      <c r="B835" t="s">
        <v>15249</v>
      </c>
      <c r="C835" t="s">
        <v>15250</v>
      </c>
      <c r="D835" t="s">
        <v>15043</v>
      </c>
      <c r="E835">
        <v>3102</v>
      </c>
      <c r="F835" t="s">
        <v>11463</v>
      </c>
      <c r="G835" t="s">
        <v>4996</v>
      </c>
      <c r="H835" t="str">
        <f t="shared" si="26"/>
        <v>Kings3102Dallas</v>
      </c>
      <c r="I835" t="str">
        <f t="shared" si="27"/>
        <v>Kings</v>
      </c>
      <c r="J835" s="82">
        <f>IFERROR(INDEX('All Folders'!$A:$A,MATCH(H835,'All Folders'!$G:$G,0),1),"¶")</f>
        <v>30060</v>
      </c>
      <c r="K835" s="87"/>
      <c r="L835" s="87"/>
    </row>
    <row r="836" spans="1:12" ht="15" x14ac:dyDescent="0.25">
      <c r="A836" t="s">
        <v>20661</v>
      </c>
      <c r="B836" t="s">
        <v>15251</v>
      </c>
      <c r="C836" t="s">
        <v>15252</v>
      </c>
      <c r="D836" t="s">
        <v>15253</v>
      </c>
      <c r="E836">
        <v>2625</v>
      </c>
      <c r="F836" t="s">
        <v>6077</v>
      </c>
      <c r="G836" t="s">
        <v>4996</v>
      </c>
      <c r="H836" t="str">
        <f t="shared" si="26"/>
        <v>Hudnall2625Dallas</v>
      </c>
      <c r="I836" t="str">
        <f t="shared" si="27"/>
        <v>Hudnall</v>
      </c>
      <c r="J836" s="82">
        <f>IFERROR(INDEX('All Folders'!$A:$A,MATCH(H836,'All Folders'!$G:$G,0),1),"¶")</f>
        <v>13869</v>
      </c>
      <c r="K836" s="87"/>
      <c r="L836" s="87"/>
    </row>
    <row r="837" spans="1:12" ht="15" x14ac:dyDescent="0.25">
      <c r="A837" t="s">
        <v>20663</v>
      </c>
      <c r="B837" t="s">
        <v>15256</v>
      </c>
      <c r="C837" t="s">
        <v>15257</v>
      </c>
      <c r="D837" t="s">
        <v>14819</v>
      </c>
      <c r="E837">
        <v>2825</v>
      </c>
      <c r="F837" t="s">
        <v>15258</v>
      </c>
      <c r="G837" t="s">
        <v>4996</v>
      </c>
      <c r="H837" t="str">
        <f t="shared" si="26"/>
        <v>Royal2825Dallas</v>
      </c>
      <c r="I837" t="str">
        <f t="shared" si="27"/>
        <v>Royal</v>
      </c>
      <c r="J837" s="82">
        <f>IFERROR(INDEX('All Folders'!$A:$A,MATCH(H837,'All Folders'!$G:$G,0),1),"¶")</f>
        <v>18322</v>
      </c>
      <c r="K837" s="87"/>
      <c r="L837" s="87"/>
    </row>
    <row r="838" spans="1:12" ht="15" x14ac:dyDescent="0.25">
      <c r="A838" t="s">
        <v>20664</v>
      </c>
      <c r="B838" t="s">
        <v>15259</v>
      </c>
      <c r="C838" t="s">
        <v>15260</v>
      </c>
      <c r="D838" t="s">
        <v>15261</v>
      </c>
      <c r="E838">
        <v>3330</v>
      </c>
      <c r="F838" t="s">
        <v>6457</v>
      </c>
      <c r="G838" t="s">
        <v>4996</v>
      </c>
      <c r="H838" t="str">
        <f t="shared" si="26"/>
        <v>Webb3330Dallas</v>
      </c>
      <c r="I838" t="str">
        <f t="shared" si="27"/>
        <v>Webb</v>
      </c>
      <c r="J838" s="82">
        <f>IFERROR(INDEX('All Folders'!$A:$A,MATCH(H838,'All Folders'!$G:$G,0),1),"¶")</f>
        <v>14184</v>
      </c>
      <c r="K838" s="87"/>
      <c r="L838" s="87"/>
    </row>
    <row r="839" spans="1:12" ht="15" x14ac:dyDescent="0.25">
      <c r="A839" t="s">
        <v>20665</v>
      </c>
      <c r="B839" t="s">
        <v>15262</v>
      </c>
      <c r="C839" t="s">
        <v>15263</v>
      </c>
      <c r="D839" t="s">
        <v>15264</v>
      </c>
      <c r="E839">
        <v>1441</v>
      </c>
      <c r="F839" t="s">
        <v>7519</v>
      </c>
      <c r="G839" t="s">
        <v>4996</v>
      </c>
      <c r="H839" t="str">
        <f t="shared" si="26"/>
        <v>Jim1441Dallas</v>
      </c>
      <c r="I839" t="str">
        <f t="shared" si="27"/>
        <v>Jim</v>
      </c>
      <c r="J839" s="82">
        <f>IFERROR(INDEX('All Folders'!$A:$A,MATCH(H839,'All Folders'!$G:$G,0),1),"¶")</f>
        <v>15118</v>
      </c>
      <c r="K839" s="87"/>
      <c r="L839" s="87"/>
    </row>
    <row r="840" spans="1:12" ht="15" x14ac:dyDescent="0.25">
      <c r="A840" t="s">
        <v>20666</v>
      </c>
      <c r="B840" t="s">
        <v>15265</v>
      </c>
      <c r="C840" t="s">
        <v>15266</v>
      </c>
      <c r="D840" t="s">
        <v>15267</v>
      </c>
      <c r="E840">
        <v>9236</v>
      </c>
      <c r="F840" t="s">
        <v>6088</v>
      </c>
      <c r="G840" t="s">
        <v>4996</v>
      </c>
      <c r="H840" t="str">
        <f t="shared" si="26"/>
        <v>Church9236Dallas</v>
      </c>
      <c r="I840" t="str">
        <f t="shared" si="27"/>
        <v>Church</v>
      </c>
      <c r="J840" s="82">
        <f>IFERROR(INDEX('All Folders'!$A:$A,MATCH(H840,'All Folders'!$G:$G,0),1),"¶")</f>
        <v>13875</v>
      </c>
      <c r="K840" s="87"/>
      <c r="L840" s="87"/>
    </row>
    <row r="841" spans="1:12" ht="15" x14ac:dyDescent="0.25">
      <c r="A841" t="s">
        <v>20667</v>
      </c>
      <c r="B841" t="s">
        <v>15268</v>
      </c>
      <c r="C841" t="s">
        <v>15269</v>
      </c>
      <c r="D841" t="s">
        <v>14762</v>
      </c>
      <c r="E841">
        <v>10588</v>
      </c>
      <c r="F841" t="s">
        <v>7241</v>
      </c>
      <c r="G841" t="s">
        <v>4996</v>
      </c>
      <c r="H841" t="str">
        <f t="shared" si="26"/>
        <v>Stone10588Dallas</v>
      </c>
      <c r="I841" t="str">
        <f t="shared" si="27"/>
        <v>Stone</v>
      </c>
      <c r="J841" s="82">
        <f>IFERROR(INDEX('All Folders'!$A:$A,MATCH(H841,'All Folders'!$G:$G,0),1),"¶")</f>
        <v>14864</v>
      </c>
      <c r="K841" s="87"/>
      <c r="L841" s="87"/>
    </row>
    <row r="842" spans="1:12" ht="15" x14ac:dyDescent="0.25">
      <c r="A842" t="s">
        <v>20669</v>
      </c>
      <c r="B842" t="s">
        <v>15274</v>
      </c>
      <c r="C842" t="s">
        <v>15275</v>
      </c>
      <c r="D842" t="s">
        <v>13933</v>
      </c>
      <c r="E842">
        <v>1623</v>
      </c>
      <c r="F842" t="s">
        <v>15276</v>
      </c>
      <c r="G842" t="s">
        <v>4996</v>
      </c>
      <c r="H842" t="str">
        <f t="shared" si="26"/>
        <v>Main1623Dallas</v>
      </c>
      <c r="I842" t="str">
        <f t="shared" si="27"/>
        <v>Main</v>
      </c>
      <c r="J842" s="82">
        <f>IFERROR(INDEX('All Folders'!$A:$A,MATCH(H842,'All Folders'!$G:$G,0),1),"¶")</f>
        <v>13888</v>
      </c>
      <c r="K842" s="87"/>
      <c r="L842" s="87"/>
    </row>
    <row r="843" spans="1:12" ht="15" x14ac:dyDescent="0.25">
      <c r="A843" t="s">
        <v>20670</v>
      </c>
      <c r="B843" t="s">
        <v>15277</v>
      </c>
      <c r="C843" t="s">
        <v>15278</v>
      </c>
      <c r="D843" t="s">
        <v>14590</v>
      </c>
      <c r="E843">
        <v>5631</v>
      </c>
      <c r="F843" t="s">
        <v>6116</v>
      </c>
      <c r="G843" t="s">
        <v>4996</v>
      </c>
      <c r="H843" t="str">
        <f t="shared" si="26"/>
        <v>Spring5631Dallas</v>
      </c>
      <c r="I843" t="str">
        <f t="shared" si="27"/>
        <v>Spring</v>
      </c>
      <c r="J843" s="82">
        <f>IFERROR(INDEX('All Folders'!$A:$A,MATCH(H843,'All Folders'!$G:$G,0),1),"¶")</f>
        <v>13899</v>
      </c>
      <c r="K843" s="87"/>
      <c r="L843" s="87"/>
    </row>
    <row r="844" spans="1:12" ht="15" x14ac:dyDescent="0.25">
      <c r="A844" t="s">
        <v>20671</v>
      </c>
      <c r="B844" t="s">
        <v>15279</v>
      </c>
      <c r="C844" t="s">
        <v>15280</v>
      </c>
      <c r="D844" t="s">
        <v>14773</v>
      </c>
      <c r="E844">
        <v>11700</v>
      </c>
      <c r="F844" t="s">
        <v>6118</v>
      </c>
      <c r="G844" t="s">
        <v>4996</v>
      </c>
      <c r="H844" t="str">
        <f t="shared" si="26"/>
        <v>Audelia11700Dallas</v>
      </c>
      <c r="I844" t="str">
        <f t="shared" si="27"/>
        <v>Audelia</v>
      </c>
      <c r="J844" s="82">
        <f>IFERROR(INDEX('All Folders'!$A:$A,MATCH(H844,'All Folders'!$G:$G,0),1),"¶")</f>
        <v>13902</v>
      </c>
      <c r="K844" s="87"/>
      <c r="L844" s="87"/>
    </row>
    <row r="845" spans="1:12" ht="15" x14ac:dyDescent="0.25">
      <c r="A845" t="s">
        <v>20672</v>
      </c>
      <c r="B845" t="s">
        <v>15281</v>
      </c>
      <c r="C845" t="s">
        <v>15282</v>
      </c>
      <c r="D845" t="s">
        <v>15142</v>
      </c>
      <c r="E845">
        <v>9666</v>
      </c>
      <c r="F845" t="s">
        <v>15283</v>
      </c>
      <c r="G845" t="s">
        <v>4996</v>
      </c>
      <c r="H845" t="str">
        <f t="shared" si="26"/>
        <v>Scyene9666Dallas</v>
      </c>
      <c r="I845" t="str">
        <f t="shared" si="27"/>
        <v>Scyene</v>
      </c>
      <c r="J845" s="82">
        <f>IFERROR(INDEX('All Folders'!$A:$A,MATCH(H845,'All Folders'!$G:$G,0),1),"¶")</f>
        <v>13906</v>
      </c>
      <c r="K845" s="87"/>
      <c r="L845" s="87"/>
    </row>
    <row r="846" spans="1:12" ht="15" x14ac:dyDescent="0.25">
      <c r="A846" t="s">
        <v>20676</v>
      </c>
      <c r="B846" t="s">
        <v>15295</v>
      </c>
      <c r="C846" t="s">
        <v>15296</v>
      </c>
      <c r="D846" t="s">
        <v>15297</v>
      </c>
      <c r="E846">
        <v>8303</v>
      </c>
      <c r="F846" t="s">
        <v>15298</v>
      </c>
      <c r="G846" t="s">
        <v>4996</v>
      </c>
      <c r="H846" t="str">
        <f t="shared" si="26"/>
        <v>Skillman8303Dallas</v>
      </c>
      <c r="I846" t="str">
        <f t="shared" si="27"/>
        <v>Skillman</v>
      </c>
      <c r="J846" s="82">
        <f>IFERROR(INDEX('All Folders'!$A:$A,MATCH(H846,'All Folders'!$G:$G,0),1),"¶")</f>
        <v>13200</v>
      </c>
      <c r="K846" s="87"/>
      <c r="L846" s="87"/>
    </row>
    <row r="847" spans="1:12" ht="15" x14ac:dyDescent="0.25">
      <c r="A847" t="s">
        <v>20677</v>
      </c>
      <c r="B847" t="s">
        <v>15299</v>
      </c>
      <c r="C847" t="s">
        <v>15300</v>
      </c>
      <c r="D847" t="s">
        <v>15301</v>
      </c>
      <c r="E847">
        <v>2928</v>
      </c>
      <c r="F847" t="s">
        <v>11488</v>
      </c>
      <c r="G847" t="s">
        <v>4996</v>
      </c>
      <c r="H847" t="str">
        <f t="shared" si="26"/>
        <v>Remond2928Dallas</v>
      </c>
      <c r="I847" t="str">
        <f t="shared" si="27"/>
        <v>Remond</v>
      </c>
      <c r="J847" s="82">
        <f>IFERROR(INDEX('All Folders'!$A:$A,MATCH(H847,'All Folders'!$G:$G,0),1),"¶")</f>
        <v>30084</v>
      </c>
      <c r="K847" s="87"/>
      <c r="L847" s="87"/>
    </row>
    <row r="848" spans="1:12" ht="15" x14ac:dyDescent="0.25">
      <c r="A848" t="s">
        <v>20678</v>
      </c>
      <c r="B848" t="s">
        <v>15302</v>
      </c>
      <c r="C848" t="s">
        <v>15303</v>
      </c>
      <c r="D848" t="s">
        <v>14076</v>
      </c>
      <c r="E848">
        <v>9801</v>
      </c>
      <c r="F848" t="s">
        <v>15304</v>
      </c>
      <c r="G848" t="s">
        <v>4996</v>
      </c>
      <c r="H848" t="str">
        <f t="shared" si="26"/>
        <v>Walnut9801Dallas</v>
      </c>
      <c r="I848" t="str">
        <f t="shared" si="27"/>
        <v>Walnut</v>
      </c>
      <c r="J848" s="82" t="str">
        <f>IFERROR(INDEX('All Folders'!$A:$A,MATCH(H848,'All Folders'!$G:$G,0),1),"¶")</f>
        <v>SP88</v>
      </c>
      <c r="K848" s="87"/>
      <c r="L848" s="87"/>
    </row>
    <row r="849" spans="1:12" ht="15" x14ac:dyDescent="0.25">
      <c r="A849" t="s">
        <v>20679</v>
      </c>
      <c r="B849" t="s">
        <v>15305</v>
      </c>
      <c r="C849" t="s">
        <v>15306</v>
      </c>
      <c r="D849" t="s">
        <v>14076</v>
      </c>
      <c r="E849">
        <v>9999</v>
      </c>
      <c r="F849" t="s">
        <v>6177</v>
      </c>
      <c r="G849" t="s">
        <v>4996</v>
      </c>
      <c r="H849" t="str">
        <f t="shared" si="26"/>
        <v>Walnut9999Dallas</v>
      </c>
      <c r="I849" t="str">
        <f t="shared" si="27"/>
        <v>Walnut</v>
      </c>
      <c r="J849" s="82">
        <f>IFERROR(INDEX('All Folders'!$A:$A,MATCH(H849,'All Folders'!$G:$G,0),1),"¶")</f>
        <v>13942</v>
      </c>
      <c r="K849" s="87"/>
      <c r="L849" s="87"/>
    </row>
    <row r="850" spans="1:12" ht="15" x14ac:dyDescent="0.25">
      <c r="A850" t="s">
        <v>20680</v>
      </c>
      <c r="B850" t="s">
        <v>15307</v>
      </c>
      <c r="C850" t="s">
        <v>15308</v>
      </c>
      <c r="D850" t="s">
        <v>15309</v>
      </c>
      <c r="E850">
        <v>526</v>
      </c>
      <c r="F850" t="s">
        <v>8601</v>
      </c>
      <c r="G850" t="s">
        <v>4996</v>
      </c>
      <c r="H850" t="str">
        <f t="shared" si="26"/>
        <v>Walton526Dallas</v>
      </c>
      <c r="I850" t="str">
        <f t="shared" si="27"/>
        <v>Walton</v>
      </c>
      <c r="J850" s="82">
        <f>IFERROR(INDEX('All Folders'!$A:$A,MATCH(H850,'All Folders'!$G:$G,0),1),"¶")</f>
        <v>16112</v>
      </c>
      <c r="K850" s="87"/>
      <c r="L850" s="87"/>
    </row>
    <row r="851" spans="1:12" ht="15" x14ac:dyDescent="0.25">
      <c r="A851" t="s">
        <v>20681</v>
      </c>
      <c r="B851" t="s">
        <v>15310</v>
      </c>
      <c r="C851" t="s">
        <v>15311</v>
      </c>
      <c r="D851" t="s">
        <v>14755</v>
      </c>
      <c r="E851">
        <v>9737</v>
      </c>
      <c r="F851" t="s">
        <v>15312</v>
      </c>
      <c r="G851" t="s">
        <v>4996</v>
      </c>
      <c r="H851" t="str">
        <f t="shared" si="26"/>
        <v>Forest9737Dallas</v>
      </c>
      <c r="I851" t="str">
        <f t="shared" si="27"/>
        <v>Forest</v>
      </c>
      <c r="J851" s="82">
        <f>IFERROR(INDEX('All Folders'!$A:$A,MATCH(H851,'All Folders'!$G:$G,0),1),"¶")</f>
        <v>13944</v>
      </c>
      <c r="K851" s="87"/>
      <c r="L851" s="87"/>
    </row>
    <row r="852" spans="1:12" ht="15" x14ac:dyDescent="0.25">
      <c r="A852" t="s">
        <v>20682</v>
      </c>
      <c r="B852" t="s">
        <v>15313</v>
      </c>
      <c r="C852" t="s">
        <v>15314</v>
      </c>
      <c r="D852" t="s">
        <v>15315</v>
      </c>
      <c r="E852">
        <v>7879</v>
      </c>
      <c r="F852" t="s">
        <v>6187</v>
      </c>
      <c r="G852" t="s">
        <v>4996</v>
      </c>
      <c r="H852" t="str">
        <f t="shared" si="26"/>
        <v>Riverfall7879Dallas</v>
      </c>
      <c r="I852" t="str">
        <f t="shared" si="27"/>
        <v>Riverfall</v>
      </c>
      <c r="J852" s="82">
        <f>IFERROR(INDEX('All Folders'!$A:$A,MATCH(H852,'All Folders'!$G:$G,0),1),"¶")</f>
        <v>13951</v>
      </c>
      <c r="K852" s="87"/>
      <c r="L852" s="87"/>
    </row>
    <row r="853" spans="1:12" ht="15" x14ac:dyDescent="0.25">
      <c r="A853" t="s">
        <v>20683</v>
      </c>
      <c r="B853" t="s">
        <v>15316</v>
      </c>
      <c r="C853" t="s">
        <v>15317</v>
      </c>
      <c r="D853" t="s">
        <v>15318</v>
      </c>
      <c r="E853">
        <v>9823</v>
      </c>
      <c r="F853" t="s">
        <v>15319</v>
      </c>
      <c r="G853" t="s">
        <v>4996</v>
      </c>
      <c r="H853" t="str">
        <f t="shared" si="26"/>
        <v>Summerwood9823Dallas</v>
      </c>
      <c r="I853" t="str">
        <f t="shared" si="27"/>
        <v>Summerwood</v>
      </c>
      <c r="J853" s="82">
        <f>IFERROR(INDEX('All Folders'!$A:$A,MATCH(H853,'All Folders'!$G:$G,0),1),"¶")</f>
        <v>30100</v>
      </c>
      <c r="K853" s="87"/>
      <c r="L853" s="87"/>
    </row>
    <row r="854" spans="1:12" ht="15" x14ac:dyDescent="0.25">
      <c r="A854" t="s">
        <v>20685</v>
      </c>
      <c r="B854" t="s">
        <v>15322</v>
      </c>
      <c r="C854" t="s">
        <v>15323</v>
      </c>
      <c r="D854" t="s">
        <v>15324</v>
      </c>
      <c r="E854">
        <v>3530</v>
      </c>
      <c r="F854" t="s">
        <v>5569</v>
      </c>
      <c r="G854" t="s">
        <v>4996</v>
      </c>
      <c r="H854" t="str">
        <f t="shared" si="26"/>
        <v>Travis3530Dallas</v>
      </c>
      <c r="I854" t="str">
        <f t="shared" si="27"/>
        <v>Travis</v>
      </c>
      <c r="J854" s="82">
        <f>IFERROR(INDEX('All Folders'!$A:$A,MATCH(H854,'All Folders'!$G:$G,0),1),"¶")</f>
        <v>13471</v>
      </c>
      <c r="K854" s="87"/>
      <c r="L854" s="87"/>
    </row>
    <row r="855" spans="1:12" ht="15" x14ac:dyDescent="0.25">
      <c r="A855" t="s">
        <v>20686</v>
      </c>
      <c r="B855" t="s">
        <v>15325</v>
      </c>
      <c r="C855" t="s">
        <v>15326</v>
      </c>
      <c r="D855" t="s">
        <v>15327</v>
      </c>
      <c r="E855">
        <v>3783</v>
      </c>
      <c r="F855" t="s">
        <v>15328</v>
      </c>
      <c r="G855" t="s">
        <v>4996</v>
      </c>
      <c r="H855" t="str">
        <f t="shared" si="26"/>
        <v>Legendary3783Dallas</v>
      </c>
      <c r="I855" t="str">
        <f t="shared" si="27"/>
        <v>Legendary</v>
      </c>
      <c r="J855" s="82">
        <f>IFERROR(INDEX('All Folders'!$A:$A,MATCH(H855,'All Folders'!$G:$G,0),1),"¶")</f>
        <v>18235</v>
      </c>
      <c r="K855" s="87"/>
      <c r="L855" s="87"/>
    </row>
    <row r="856" spans="1:12" ht="15" x14ac:dyDescent="0.25">
      <c r="A856" t="s">
        <v>20687</v>
      </c>
      <c r="B856" t="s">
        <v>15329</v>
      </c>
      <c r="C856" t="s">
        <v>15330</v>
      </c>
      <c r="D856" t="s">
        <v>15175</v>
      </c>
      <c r="E856">
        <v>2121</v>
      </c>
      <c r="F856" t="s">
        <v>11442</v>
      </c>
      <c r="G856" t="s">
        <v>4996</v>
      </c>
      <c r="H856" t="str">
        <f t="shared" si="26"/>
        <v>52nd2121Dallas</v>
      </c>
      <c r="I856" t="str">
        <f t="shared" si="27"/>
        <v>52nd</v>
      </c>
      <c r="J856" s="82">
        <f>IFERROR(INDEX('All Folders'!$A:$A,MATCH(H856,'All Folders'!$G:$G,0),1),"¶")</f>
        <v>30035</v>
      </c>
      <c r="K856" s="87"/>
      <c r="L856" s="87"/>
    </row>
    <row r="857" spans="1:12" ht="15" x14ac:dyDescent="0.25">
      <c r="A857" t="s">
        <v>20688</v>
      </c>
      <c r="B857" t="s">
        <v>15331</v>
      </c>
      <c r="C857" t="s">
        <v>15332</v>
      </c>
      <c r="D857" t="s">
        <v>14568</v>
      </c>
      <c r="E857">
        <v>3939</v>
      </c>
      <c r="F857" t="s">
        <v>15333</v>
      </c>
      <c r="G857" t="s">
        <v>4996</v>
      </c>
      <c r="H857" t="str">
        <f t="shared" si="26"/>
        <v>Rosemeade3939Dallas</v>
      </c>
      <c r="I857" t="str">
        <f t="shared" si="27"/>
        <v>Rosemeade</v>
      </c>
      <c r="J857" s="82">
        <f>IFERROR(INDEX('All Folders'!$A:$A,MATCH(H857,'All Folders'!$G:$G,0),1),"¶")</f>
        <v>13965</v>
      </c>
      <c r="K857" s="87"/>
      <c r="L857" s="87"/>
    </row>
    <row r="858" spans="1:12" ht="15" x14ac:dyDescent="0.25">
      <c r="A858" t="s">
        <v>20689</v>
      </c>
      <c r="B858" t="s">
        <v>15334</v>
      </c>
      <c r="C858" t="s">
        <v>15335</v>
      </c>
      <c r="D858" t="s">
        <v>15068</v>
      </c>
      <c r="E858">
        <v>2625</v>
      </c>
      <c r="F858" t="s">
        <v>6212</v>
      </c>
      <c r="G858" t="s">
        <v>4996</v>
      </c>
      <c r="H858" t="str">
        <f t="shared" si="26"/>
        <v>Community2625Dallas</v>
      </c>
      <c r="I858" t="str">
        <f t="shared" si="27"/>
        <v>Community</v>
      </c>
      <c r="J858" s="82">
        <f>IFERROR(INDEX('All Folders'!$A:$A,MATCH(H858,'All Folders'!$G:$G,0),1),"¶")</f>
        <v>13974</v>
      </c>
      <c r="K858" s="87"/>
      <c r="L858" s="87"/>
    </row>
    <row r="859" spans="1:12" ht="15" x14ac:dyDescent="0.25">
      <c r="A859" t="s">
        <v>20690</v>
      </c>
      <c r="B859" t="s">
        <v>15336</v>
      </c>
      <c r="C859" t="s">
        <v>15337</v>
      </c>
      <c r="D859" t="s">
        <v>15338</v>
      </c>
      <c r="E859">
        <v>5353</v>
      </c>
      <c r="F859" t="s">
        <v>6945</v>
      </c>
      <c r="G859" t="s">
        <v>4996</v>
      </c>
      <c r="H859" t="str">
        <f t="shared" si="26"/>
        <v>Keller5353Dallas</v>
      </c>
      <c r="I859" t="str">
        <f t="shared" si="27"/>
        <v>Keller</v>
      </c>
      <c r="J859" s="82">
        <f>IFERROR(INDEX('All Folders'!$A:$A,MATCH(H859,'All Folders'!$G:$G,0),1),"¶")</f>
        <v>14594</v>
      </c>
      <c r="K859" s="87"/>
      <c r="L859" s="87"/>
    </row>
    <row r="860" spans="1:12" ht="15" x14ac:dyDescent="0.25">
      <c r="A860" t="s">
        <v>20692</v>
      </c>
      <c r="B860" t="s">
        <v>15341</v>
      </c>
      <c r="C860" t="s">
        <v>15342</v>
      </c>
      <c r="D860" t="s">
        <v>15343</v>
      </c>
      <c r="E860">
        <v>1198</v>
      </c>
      <c r="F860" t="s">
        <v>15344</v>
      </c>
      <c r="G860" t="s">
        <v>4996</v>
      </c>
      <c r="H860" t="str">
        <f t="shared" si="26"/>
        <v>Saint1198Dallas</v>
      </c>
      <c r="I860" t="str">
        <f t="shared" si="27"/>
        <v>Saint</v>
      </c>
      <c r="J860" s="82">
        <f>IFERROR(INDEX('All Folders'!$A:$A,MATCH(H860,'All Folders'!$G:$G,0),1),"¶")</f>
        <v>15145</v>
      </c>
      <c r="K860" s="87"/>
      <c r="L860" s="87"/>
    </row>
    <row r="861" spans="1:12" ht="15" x14ac:dyDescent="0.25">
      <c r="A861" t="s">
        <v>20693</v>
      </c>
      <c r="B861" t="s">
        <v>15345</v>
      </c>
      <c r="C861" t="s">
        <v>15346</v>
      </c>
      <c r="D861" t="s">
        <v>6286</v>
      </c>
      <c r="E861">
        <v>8943</v>
      </c>
      <c r="F861" t="s">
        <v>15347</v>
      </c>
      <c r="G861" t="s">
        <v>4996</v>
      </c>
      <c r="H861" t="str">
        <f t="shared" si="26"/>
        <v>Senate8943Dallas</v>
      </c>
      <c r="I861" t="str">
        <f t="shared" si="27"/>
        <v>Senate</v>
      </c>
      <c r="J861" s="82">
        <f>IFERROR(INDEX('All Folders'!$A:$A,MATCH(H861,'All Folders'!$G:$G,0),1),"¶")</f>
        <v>14047</v>
      </c>
      <c r="K861" s="87"/>
      <c r="L861" s="87"/>
    </row>
    <row r="862" spans="1:12" ht="15" x14ac:dyDescent="0.25">
      <c r="A862" t="s">
        <v>20694</v>
      </c>
      <c r="B862" t="s">
        <v>15348</v>
      </c>
      <c r="C862" t="s">
        <v>15349</v>
      </c>
      <c r="D862" t="s">
        <v>15350</v>
      </c>
      <c r="E862">
        <v>2516</v>
      </c>
      <c r="F862" t="s">
        <v>6222</v>
      </c>
      <c r="G862" t="s">
        <v>4996</v>
      </c>
      <c r="H862" t="str">
        <f t="shared" si="26"/>
        <v>New2516Dallas</v>
      </c>
      <c r="I862" t="str">
        <f t="shared" si="27"/>
        <v>New</v>
      </c>
      <c r="J862" s="82">
        <f>IFERROR(INDEX('All Folders'!$A:$A,MATCH(H862,'All Folders'!$G:$G,0),1),"¶")</f>
        <v>13980</v>
      </c>
      <c r="K862" s="87"/>
      <c r="L862" s="87"/>
    </row>
    <row r="863" spans="1:12" ht="15" x14ac:dyDescent="0.25">
      <c r="A863" t="s">
        <v>20695</v>
      </c>
      <c r="B863" t="s">
        <v>15351</v>
      </c>
      <c r="C863" t="s">
        <v>15352</v>
      </c>
      <c r="D863" t="s">
        <v>14704</v>
      </c>
      <c r="E863">
        <v>4407</v>
      </c>
      <c r="F863" t="s">
        <v>12966</v>
      </c>
      <c r="G863" t="s">
        <v>4996</v>
      </c>
      <c r="H863" t="str">
        <f t="shared" si="26"/>
        <v>San4407Dallas</v>
      </c>
      <c r="I863" t="str">
        <f t="shared" si="27"/>
        <v>San</v>
      </c>
      <c r="J863" s="82" t="str">
        <f>IFERROR(INDEX('All Folders'!$A:$A,MATCH(H863,'All Folders'!$G:$G,0),1),"¶")</f>
        <v>SP84</v>
      </c>
      <c r="K863" s="87"/>
      <c r="L863" s="87"/>
    </row>
    <row r="864" spans="1:12" ht="15" x14ac:dyDescent="0.25">
      <c r="A864" t="s">
        <v>20696</v>
      </c>
      <c r="B864" t="s">
        <v>15353</v>
      </c>
      <c r="C864" t="s">
        <v>15354</v>
      </c>
      <c r="D864" t="s">
        <v>15355</v>
      </c>
      <c r="E864">
        <v>2600</v>
      </c>
      <c r="F864" t="s">
        <v>15356</v>
      </c>
      <c r="G864" t="s">
        <v>4996</v>
      </c>
      <c r="H864" t="str">
        <f t="shared" si="26"/>
        <v>Arroyo2600Dallas</v>
      </c>
      <c r="I864" t="str">
        <f t="shared" si="27"/>
        <v>Arroyo</v>
      </c>
      <c r="J864" s="82">
        <f>IFERROR(INDEX('All Folders'!$A:$A,MATCH(H864,'All Folders'!$G:$G,0),1),"¶")</f>
        <v>13987</v>
      </c>
      <c r="K864" s="87"/>
      <c r="L864" s="87"/>
    </row>
    <row r="865" spans="1:12" ht="15" x14ac:dyDescent="0.25">
      <c r="A865" t="s">
        <v>20697</v>
      </c>
      <c r="B865" t="s">
        <v>15357</v>
      </c>
      <c r="C865" t="s">
        <v>15358</v>
      </c>
      <c r="D865" t="s">
        <v>14596</v>
      </c>
      <c r="E865">
        <v>11511</v>
      </c>
      <c r="F865" t="s">
        <v>15359</v>
      </c>
      <c r="G865" t="s">
        <v>4996</v>
      </c>
      <c r="H865" t="str">
        <f t="shared" si="26"/>
        <v>Ferguson11511Dallas</v>
      </c>
      <c r="I865" t="str">
        <f t="shared" si="27"/>
        <v>Ferguson</v>
      </c>
      <c r="J865" s="82">
        <f>IFERROR(INDEX('All Folders'!$A:$A,MATCH(H865,'All Folders'!$G:$G,0),1),"¶")</f>
        <v>14598</v>
      </c>
      <c r="K865" s="87"/>
      <c r="L865" s="87"/>
    </row>
    <row r="866" spans="1:12" ht="15" x14ac:dyDescent="0.25">
      <c r="A866" t="s">
        <v>20698</v>
      </c>
      <c r="B866" t="s">
        <v>15360</v>
      </c>
      <c r="C866" t="s">
        <v>15361</v>
      </c>
      <c r="D866" t="s">
        <v>14731</v>
      </c>
      <c r="E866">
        <v>2880</v>
      </c>
      <c r="F866" t="s">
        <v>15362</v>
      </c>
      <c r="G866" t="s">
        <v>4996</v>
      </c>
      <c r="H866" t="str">
        <f t="shared" si="26"/>
        <v>Peavy2880Dallas</v>
      </c>
      <c r="I866" t="str">
        <f t="shared" si="27"/>
        <v>Peavy</v>
      </c>
      <c r="J866" s="82">
        <f>IFERROR(INDEX('All Folders'!$A:$A,MATCH(H866,'All Folders'!$G:$G,0),1),"¶")</f>
        <v>13369</v>
      </c>
      <c r="K866" s="87"/>
      <c r="L866" s="87"/>
    </row>
    <row r="867" spans="1:12" ht="15" x14ac:dyDescent="0.25">
      <c r="A867" t="s">
        <v>20699</v>
      </c>
      <c r="B867" t="s">
        <v>15363</v>
      </c>
      <c r="C867" t="s">
        <v>15364</v>
      </c>
      <c r="D867" t="s">
        <v>15297</v>
      </c>
      <c r="E867">
        <v>9455</v>
      </c>
      <c r="F867" t="s">
        <v>6246</v>
      </c>
      <c r="G867" t="s">
        <v>4996</v>
      </c>
      <c r="H867" t="str">
        <f t="shared" si="26"/>
        <v>Skillman9455Dallas</v>
      </c>
      <c r="I867" t="str">
        <f t="shared" si="27"/>
        <v>Skillman</v>
      </c>
      <c r="J867" s="82">
        <f>IFERROR(INDEX('All Folders'!$A:$A,MATCH(H867,'All Folders'!$G:$G,0),1),"¶")</f>
        <v>14003</v>
      </c>
      <c r="K867" s="87"/>
      <c r="L867" s="87"/>
    </row>
    <row r="868" spans="1:12" ht="15" x14ac:dyDescent="0.25">
      <c r="A868" t="s">
        <v>20700</v>
      </c>
      <c r="B868" t="s">
        <v>15365</v>
      </c>
      <c r="C868" t="s">
        <v>15366</v>
      </c>
      <c r="D868" t="s">
        <v>15367</v>
      </c>
      <c r="E868">
        <v>5936</v>
      </c>
      <c r="F868" t="s">
        <v>6962</v>
      </c>
      <c r="G868" t="s">
        <v>4996</v>
      </c>
      <c r="H868" t="str">
        <f t="shared" si="26"/>
        <v>Lovers5936Dallas</v>
      </c>
      <c r="I868" t="str">
        <f t="shared" si="27"/>
        <v>Lovers</v>
      </c>
      <c r="J868" s="82">
        <f>IFERROR(INDEX('All Folders'!$A:$A,MATCH(H868,'All Folders'!$G:$G,0),1),"¶")</f>
        <v>14607</v>
      </c>
      <c r="K868" s="87"/>
      <c r="L868" s="87"/>
    </row>
    <row r="869" spans="1:12" ht="15" x14ac:dyDescent="0.25">
      <c r="A869" t="s">
        <v>20702</v>
      </c>
      <c r="B869" t="s">
        <v>15371</v>
      </c>
      <c r="C869" t="s">
        <v>15372</v>
      </c>
      <c r="D869" t="s">
        <v>15373</v>
      </c>
      <c r="E869">
        <v>11100</v>
      </c>
      <c r="F869" t="s">
        <v>6966</v>
      </c>
      <c r="G869" t="s">
        <v>4996</v>
      </c>
      <c r="H869" t="str">
        <f t="shared" si="26"/>
        <v>Walnut11100Dallas</v>
      </c>
      <c r="I869" t="str">
        <f t="shared" si="27"/>
        <v>Walnut</v>
      </c>
      <c r="J869" s="82">
        <f>IFERROR(INDEX('All Folders'!$A:$A,MATCH(H869,'All Folders'!$G:$G,0),1),"¶")</f>
        <v>14611</v>
      </c>
      <c r="K869" s="87"/>
      <c r="L869" s="87"/>
    </row>
    <row r="870" spans="1:12" ht="15" x14ac:dyDescent="0.25">
      <c r="A870" t="s">
        <v>20703</v>
      </c>
      <c r="B870" t="s">
        <v>15374</v>
      </c>
      <c r="C870" t="s">
        <v>15375</v>
      </c>
      <c r="D870" t="s">
        <v>6250</v>
      </c>
      <c r="E870">
        <v>4700</v>
      </c>
      <c r="F870" t="s">
        <v>15376</v>
      </c>
      <c r="G870" t="s">
        <v>4996</v>
      </c>
      <c r="H870" t="str">
        <f t="shared" si="26"/>
        <v>Wimbleton4700Dallas</v>
      </c>
      <c r="I870" t="str">
        <f t="shared" si="27"/>
        <v>Wimbleton</v>
      </c>
      <c r="J870" s="82">
        <f>IFERROR(INDEX('All Folders'!$A:$A,MATCH(H870,'All Folders'!$G:$G,0),1),"¶")</f>
        <v>14008</v>
      </c>
      <c r="K870" s="87"/>
      <c r="L870" s="87"/>
    </row>
    <row r="871" spans="1:12" ht="15" x14ac:dyDescent="0.25">
      <c r="A871" t="s">
        <v>20704</v>
      </c>
      <c r="B871" t="s">
        <v>15377</v>
      </c>
      <c r="C871" t="s">
        <v>15378</v>
      </c>
      <c r="D871" t="s">
        <v>15379</v>
      </c>
      <c r="E871">
        <v>8039</v>
      </c>
      <c r="F871" t="s">
        <v>5443</v>
      </c>
      <c r="G871" t="s">
        <v>4996</v>
      </c>
      <c r="H871" t="str">
        <f t="shared" si="26"/>
        <v>Chariot8039Dallas</v>
      </c>
      <c r="I871" t="str">
        <f t="shared" si="27"/>
        <v>Chariot</v>
      </c>
      <c r="J871" s="82">
        <f>IFERROR(INDEX('All Folders'!$A:$A,MATCH(H871,'All Folders'!$G:$G,0),1),"¶")</f>
        <v>13380</v>
      </c>
      <c r="K871" s="87"/>
      <c r="L871" s="87"/>
    </row>
    <row r="872" spans="1:12" ht="15" x14ac:dyDescent="0.25">
      <c r="A872" t="s">
        <v>20705</v>
      </c>
      <c r="B872" t="s">
        <v>15380</v>
      </c>
      <c r="C872" t="s">
        <v>15381</v>
      </c>
      <c r="D872" t="s">
        <v>15382</v>
      </c>
      <c r="E872">
        <v>2222</v>
      </c>
      <c r="F872" t="s">
        <v>15383</v>
      </c>
      <c r="G872" t="s">
        <v>4996</v>
      </c>
      <c r="H872" t="str">
        <f t="shared" si="26"/>
        <v>Graycliff2222Dallas</v>
      </c>
      <c r="I872" t="str">
        <f t="shared" si="27"/>
        <v>Graycliff</v>
      </c>
      <c r="J872" s="82">
        <f>IFERROR(INDEX('All Folders'!$A:$A,MATCH(H872,'All Folders'!$G:$G,0),1),"¶")</f>
        <v>13229</v>
      </c>
      <c r="K872" s="87"/>
      <c r="L872" s="87"/>
    </row>
    <row r="873" spans="1:12" ht="15" x14ac:dyDescent="0.25">
      <c r="A873" t="s">
        <v>20707</v>
      </c>
      <c r="B873" t="s">
        <v>15387</v>
      </c>
      <c r="C873" t="s">
        <v>15388</v>
      </c>
      <c r="D873" t="s">
        <v>14742</v>
      </c>
      <c r="E873">
        <v>3109</v>
      </c>
      <c r="F873" t="s">
        <v>15389</v>
      </c>
      <c r="G873" t="s">
        <v>4996</v>
      </c>
      <c r="H873" t="str">
        <f t="shared" si="26"/>
        <v>Chapel3109Dallas</v>
      </c>
      <c r="I873" t="str">
        <f t="shared" si="27"/>
        <v>Chapel</v>
      </c>
      <c r="J873" s="82">
        <f>IFERROR(INDEX('All Folders'!$A:$A,MATCH(H873,'All Folders'!$G:$G,0),1),"¶")</f>
        <v>14116</v>
      </c>
      <c r="K873" s="87"/>
      <c r="L873" s="87"/>
    </row>
    <row r="874" spans="1:12" ht="15" x14ac:dyDescent="0.25">
      <c r="A874" t="s">
        <v>20709</v>
      </c>
      <c r="B874" t="s">
        <v>15393</v>
      </c>
      <c r="C874" t="s">
        <v>15394</v>
      </c>
      <c r="D874" t="s">
        <v>14819</v>
      </c>
      <c r="E874">
        <v>2838</v>
      </c>
      <c r="F874" t="s">
        <v>15392</v>
      </c>
      <c r="G874" t="s">
        <v>4996</v>
      </c>
      <c r="H874" t="str">
        <f t="shared" si="26"/>
        <v>Royal2838Dallas</v>
      </c>
      <c r="I874" t="str">
        <f t="shared" si="27"/>
        <v>Royal</v>
      </c>
      <c r="J874" s="82">
        <f>IFERROR(INDEX('All Folders'!$A:$A,MATCH(H874,'All Folders'!$G:$G,0),1),"¶")</f>
        <v>15104</v>
      </c>
      <c r="K874" s="87"/>
      <c r="L874" s="87"/>
    </row>
    <row r="875" spans="1:12" ht="15" x14ac:dyDescent="0.25">
      <c r="A875" t="s">
        <v>20710</v>
      </c>
      <c r="B875" t="s">
        <v>15395</v>
      </c>
      <c r="C875" t="s">
        <v>15396</v>
      </c>
      <c r="D875" t="s">
        <v>14596</v>
      </c>
      <c r="E875">
        <v>7803</v>
      </c>
      <c r="F875" t="s">
        <v>2434</v>
      </c>
      <c r="G875" t="s">
        <v>4996</v>
      </c>
      <c r="H875" t="str">
        <f t="shared" si="26"/>
        <v>Ferguson7803Dallas</v>
      </c>
      <c r="I875" t="str">
        <f t="shared" si="27"/>
        <v>Ferguson</v>
      </c>
      <c r="J875" s="82">
        <f>IFERROR(INDEX('All Folders'!$A:$A,MATCH(H875,'All Folders'!$G:$G,0),1),"¶")</f>
        <v>15120</v>
      </c>
      <c r="K875" s="87"/>
      <c r="L875" s="87"/>
    </row>
    <row r="876" spans="1:12" ht="15" x14ac:dyDescent="0.25">
      <c r="A876" t="s">
        <v>20711</v>
      </c>
      <c r="B876" t="s">
        <v>15397</v>
      </c>
      <c r="C876" t="s">
        <v>15398</v>
      </c>
      <c r="D876" t="s">
        <v>15399</v>
      </c>
      <c r="E876">
        <v>442</v>
      </c>
      <c r="F876" t="s">
        <v>6279</v>
      </c>
      <c r="G876" t="s">
        <v>4996</v>
      </c>
      <c r="H876" t="str">
        <f t="shared" si="26"/>
        <v>Saint442Dallas</v>
      </c>
      <c r="I876" t="str">
        <f t="shared" si="27"/>
        <v>Saint</v>
      </c>
      <c r="J876" s="82">
        <f>IFERROR(INDEX('All Folders'!$A:$A,MATCH(H876,'All Folders'!$G:$G,0),1),"¶")</f>
        <v>14039</v>
      </c>
      <c r="K876" s="87"/>
      <c r="L876" s="87"/>
    </row>
    <row r="877" spans="1:12" ht="15" x14ac:dyDescent="0.25">
      <c r="A877" t="s">
        <v>20712</v>
      </c>
      <c r="B877" t="s">
        <v>15400</v>
      </c>
      <c r="C877" t="s">
        <v>15401</v>
      </c>
      <c r="D877" t="s">
        <v>14700</v>
      </c>
      <c r="E877">
        <v>9855</v>
      </c>
      <c r="F877" t="s">
        <v>15402</v>
      </c>
      <c r="G877" t="s">
        <v>4996</v>
      </c>
      <c r="H877" t="str">
        <f t="shared" si="26"/>
        <v>Bruton9855Dallas</v>
      </c>
      <c r="I877" t="str">
        <f t="shared" si="27"/>
        <v>Bruton</v>
      </c>
      <c r="J877" s="82" t="str">
        <f>IFERROR(INDEX('All Folders'!$A:$A,MATCH(H877,'All Folders'!$G:$G,0),1),"¶")</f>
        <v>SP30</v>
      </c>
      <c r="K877" s="87"/>
      <c r="L877" s="87"/>
    </row>
    <row r="878" spans="1:12" ht="15" x14ac:dyDescent="0.25">
      <c r="A878" t="s">
        <v>20713</v>
      </c>
      <c r="B878" t="s">
        <v>15403</v>
      </c>
      <c r="C878" t="s">
        <v>15404</v>
      </c>
      <c r="D878" t="s">
        <v>15405</v>
      </c>
      <c r="E878">
        <v>4136</v>
      </c>
      <c r="F878" t="s">
        <v>15406</v>
      </c>
      <c r="G878" t="s">
        <v>4996</v>
      </c>
      <c r="H878" t="str">
        <f t="shared" si="26"/>
        <v>Cole4136Dallas</v>
      </c>
      <c r="I878" t="str">
        <f t="shared" si="27"/>
        <v>Cole</v>
      </c>
      <c r="J878" s="82" t="str">
        <f>IFERROR(INDEX('All Folders'!$A:$A,MATCH(H878,'All Folders'!$G:$G,0),1),"¶")</f>
        <v>SP34</v>
      </c>
      <c r="K878" s="87"/>
      <c r="L878" s="87"/>
    </row>
    <row r="879" spans="1:12" ht="15" x14ac:dyDescent="0.25">
      <c r="A879" t="s">
        <v>20714</v>
      </c>
      <c r="B879" t="s">
        <v>15407</v>
      </c>
      <c r="C879" t="s">
        <v>15408</v>
      </c>
      <c r="D879" t="s">
        <v>15409</v>
      </c>
      <c r="E879">
        <v>9624</v>
      </c>
      <c r="F879" t="s">
        <v>6917</v>
      </c>
      <c r="G879" t="s">
        <v>4996</v>
      </c>
      <c r="H879" t="str">
        <f t="shared" si="26"/>
        <v>Rolling9624Dallas</v>
      </c>
      <c r="I879" t="str">
        <f t="shared" si="27"/>
        <v>Rolling</v>
      </c>
      <c r="J879" s="82">
        <f>IFERROR(INDEX('All Folders'!$A:$A,MATCH(H879,'All Folders'!$G:$G,0),1),"¶")</f>
        <v>14569</v>
      </c>
      <c r="K879" s="87"/>
      <c r="L879" s="87"/>
    </row>
    <row r="880" spans="1:12" ht="15" x14ac:dyDescent="0.25">
      <c r="A880" t="s">
        <v>20715</v>
      </c>
      <c r="B880" t="s">
        <v>15410</v>
      </c>
      <c r="C880" t="s">
        <v>15411</v>
      </c>
      <c r="D880" t="s">
        <v>15412</v>
      </c>
      <c r="E880">
        <v>10010</v>
      </c>
      <c r="F880" t="s">
        <v>15413</v>
      </c>
      <c r="G880" t="s">
        <v>4996</v>
      </c>
      <c r="H880" t="str">
        <f t="shared" si="26"/>
        <v>Whitehurst10010Dallas</v>
      </c>
      <c r="I880" t="str">
        <f t="shared" si="27"/>
        <v>Whitehurst</v>
      </c>
      <c r="J880" s="82">
        <f>IFERROR(INDEX('All Folders'!$A:$A,MATCH(H880,'All Folders'!$G:$G,0),1),"¶")</f>
        <v>14069</v>
      </c>
      <c r="K880" s="87"/>
      <c r="L880" s="87"/>
    </row>
    <row r="881" spans="1:12" ht="15" x14ac:dyDescent="0.25">
      <c r="A881" t="s">
        <v>20716</v>
      </c>
      <c r="B881" t="s">
        <v>15414</v>
      </c>
      <c r="C881" t="s">
        <v>15415</v>
      </c>
      <c r="D881" t="s">
        <v>14788</v>
      </c>
      <c r="E881">
        <v>7502</v>
      </c>
      <c r="F881" t="s">
        <v>15416</v>
      </c>
      <c r="G881" t="s">
        <v>4996</v>
      </c>
      <c r="H881" t="str">
        <f t="shared" si="26"/>
        <v>Fair7502Dallas</v>
      </c>
      <c r="I881" t="str">
        <f t="shared" si="27"/>
        <v>Fair</v>
      </c>
      <c r="J881" s="82">
        <f>IFERROR(INDEX('All Folders'!$A:$A,MATCH(H881,'All Folders'!$G:$G,0),1),"¶")</f>
        <v>30048</v>
      </c>
      <c r="K881" s="87"/>
      <c r="L881" s="87"/>
    </row>
    <row r="882" spans="1:12" ht="15" x14ac:dyDescent="0.25">
      <c r="A882" t="s">
        <v>20717</v>
      </c>
      <c r="B882" t="s">
        <v>15417</v>
      </c>
      <c r="C882" t="s">
        <v>15418</v>
      </c>
      <c r="D882" t="s">
        <v>15419</v>
      </c>
      <c r="E882">
        <v>7272</v>
      </c>
      <c r="F882" t="s">
        <v>6335</v>
      </c>
      <c r="G882" t="s">
        <v>4996</v>
      </c>
      <c r="H882" t="str">
        <f t="shared" si="26"/>
        <v>Marvin7272Dallas</v>
      </c>
      <c r="I882" t="str">
        <f t="shared" si="27"/>
        <v>Marvin</v>
      </c>
      <c r="J882" s="82">
        <f>IFERROR(INDEX('All Folders'!$A:$A,MATCH(H882,'All Folders'!$G:$G,0),1),"¶")</f>
        <v>14086</v>
      </c>
      <c r="K882" s="87"/>
      <c r="L882" s="87"/>
    </row>
    <row r="883" spans="1:12" ht="15" x14ac:dyDescent="0.25">
      <c r="A883" t="s">
        <v>20718</v>
      </c>
      <c r="B883" t="s">
        <v>15420</v>
      </c>
      <c r="C883" t="s">
        <v>15421</v>
      </c>
      <c r="D883" t="s">
        <v>15422</v>
      </c>
      <c r="E883">
        <v>5051</v>
      </c>
      <c r="F883" t="s">
        <v>15423</v>
      </c>
      <c r="G883" t="s">
        <v>4996</v>
      </c>
      <c r="H883" t="str">
        <f t="shared" si="26"/>
        <v>Lahoma5051Dallas</v>
      </c>
      <c r="I883" t="str">
        <f t="shared" si="27"/>
        <v>Lahoma</v>
      </c>
      <c r="J883" s="82">
        <f>IFERROR(INDEX('All Folders'!$A:$A,MATCH(H883,'All Folders'!$G:$G,0),1),"¶")</f>
        <v>14090</v>
      </c>
      <c r="K883" s="87"/>
      <c r="L883" s="87"/>
    </row>
    <row r="884" spans="1:12" ht="15" x14ac:dyDescent="0.25">
      <c r="A884" t="s">
        <v>20719</v>
      </c>
      <c r="B884" t="s">
        <v>15424</v>
      </c>
      <c r="C884" t="s">
        <v>15425</v>
      </c>
      <c r="D884" t="s">
        <v>15426</v>
      </c>
      <c r="E884">
        <v>6050</v>
      </c>
      <c r="F884" t="s">
        <v>15427</v>
      </c>
      <c r="G884" t="s">
        <v>4996</v>
      </c>
      <c r="H884" t="str">
        <f t="shared" si="26"/>
        <v>Melody6050Dallas</v>
      </c>
      <c r="I884" t="str">
        <f t="shared" si="27"/>
        <v>Melody</v>
      </c>
      <c r="J884" s="82" t="str">
        <f>IFERROR(INDEX('All Folders'!$A:$A,MATCH(H884,'All Folders'!$G:$G,0),1),"¶")</f>
        <v>SP70</v>
      </c>
      <c r="K884" s="87"/>
      <c r="L884" s="87"/>
    </row>
    <row r="885" spans="1:12" ht="15" x14ac:dyDescent="0.25">
      <c r="A885" t="s">
        <v>20721</v>
      </c>
      <c r="B885" t="s">
        <v>15431</v>
      </c>
      <c r="C885" t="s">
        <v>15432</v>
      </c>
      <c r="D885" t="s">
        <v>14423</v>
      </c>
      <c r="E885">
        <v>510</v>
      </c>
      <c r="F885" t="s">
        <v>15433</v>
      </c>
      <c r="G885" t="s">
        <v>4996</v>
      </c>
      <c r="H885" t="str">
        <f t="shared" si="26"/>
        <v>Westmount510Dallas</v>
      </c>
      <c r="I885" t="str">
        <f t="shared" si="27"/>
        <v>Westmount</v>
      </c>
      <c r="J885" s="82">
        <f>IFERROR(INDEX('All Folders'!$A:$A,MATCH(H885,'All Folders'!$G:$G,0),1),"¶")</f>
        <v>15056</v>
      </c>
      <c r="K885" s="87"/>
      <c r="L885" s="87"/>
    </row>
    <row r="886" spans="1:12" ht="15" x14ac:dyDescent="0.25">
      <c r="A886" t="s">
        <v>20722</v>
      </c>
      <c r="B886" t="s">
        <v>15434</v>
      </c>
      <c r="C886" t="s">
        <v>15435</v>
      </c>
      <c r="D886" t="s">
        <v>15436</v>
      </c>
      <c r="E886">
        <v>1130</v>
      </c>
      <c r="F886" t="s">
        <v>1685</v>
      </c>
      <c r="G886" t="s">
        <v>4996</v>
      </c>
      <c r="H886" t="str">
        <f t="shared" si="26"/>
        <v>Ledbetter1130Dallas</v>
      </c>
      <c r="I886" t="str">
        <f t="shared" si="27"/>
        <v>Ledbetter</v>
      </c>
      <c r="J886" s="82">
        <f>IFERROR(INDEX('All Folders'!$A:$A,MATCH(H886,'All Folders'!$G:$G,0),1),"¶")</f>
        <v>15076</v>
      </c>
      <c r="K886" s="87"/>
      <c r="L886" s="87"/>
    </row>
    <row r="887" spans="1:12" ht="15" x14ac:dyDescent="0.25">
      <c r="A887" t="s">
        <v>20723</v>
      </c>
      <c r="B887" t="s">
        <v>15437</v>
      </c>
      <c r="C887" t="s">
        <v>15438</v>
      </c>
      <c r="D887" t="s">
        <v>14506</v>
      </c>
      <c r="E887">
        <v>2215</v>
      </c>
      <c r="F887" t="s">
        <v>8943</v>
      </c>
      <c r="G887" t="s">
        <v>4996</v>
      </c>
      <c r="H887" t="str">
        <f t="shared" si="26"/>
        <v>Cedar2215Dallas</v>
      </c>
      <c r="I887" t="str">
        <f t="shared" si="27"/>
        <v>Cedar</v>
      </c>
      <c r="J887" s="82">
        <f>IFERROR(INDEX('All Folders'!$A:$A,MATCH(H887,'All Folders'!$G:$G,0),1),"¶")</f>
        <v>16494</v>
      </c>
      <c r="K887" s="87"/>
      <c r="L887" s="87"/>
    </row>
    <row r="888" spans="1:12" ht="15" x14ac:dyDescent="0.25">
      <c r="A888" t="s">
        <v>20725</v>
      </c>
      <c r="B888" t="s">
        <v>15443</v>
      </c>
      <c r="C888" t="s">
        <v>15444</v>
      </c>
      <c r="D888" t="s">
        <v>15445</v>
      </c>
      <c r="E888">
        <v>4341</v>
      </c>
      <c r="F888" t="s">
        <v>15446</v>
      </c>
      <c r="G888" t="s">
        <v>4996</v>
      </c>
      <c r="H888" t="str">
        <f t="shared" si="26"/>
        <v>Horizon4341Dallas</v>
      </c>
      <c r="I888" t="str">
        <f t="shared" si="27"/>
        <v>Horizon</v>
      </c>
      <c r="J888" s="82">
        <f>IFERROR(INDEX('All Folders'!$A:$A,MATCH(H888,'All Folders'!$G:$G,0),1),"¶")</f>
        <v>13181</v>
      </c>
      <c r="K888" s="87"/>
      <c r="L888" s="87"/>
    </row>
    <row r="889" spans="1:12" ht="15" x14ac:dyDescent="0.25">
      <c r="A889" t="s">
        <v>20727</v>
      </c>
      <c r="B889" t="s">
        <v>15450</v>
      </c>
      <c r="C889" t="s">
        <v>15451</v>
      </c>
      <c r="D889" t="s">
        <v>15452</v>
      </c>
      <c r="E889">
        <v>5445</v>
      </c>
      <c r="F889" t="s">
        <v>6963</v>
      </c>
      <c r="G889" t="s">
        <v>4996</v>
      </c>
      <c r="H889" t="str">
        <f t="shared" si="26"/>
        <v>Caruth5445Dallas</v>
      </c>
      <c r="I889" t="str">
        <f t="shared" si="27"/>
        <v>Caruth</v>
      </c>
      <c r="J889" s="82">
        <f>IFERROR(INDEX('All Folders'!$A:$A,MATCH(H889,'All Folders'!$G:$G,0),1),"¶")</f>
        <v>14608</v>
      </c>
      <c r="K889" s="87"/>
      <c r="L889" s="87"/>
    </row>
    <row r="890" spans="1:12" ht="15" x14ac:dyDescent="0.25">
      <c r="A890" t="s">
        <v>20728</v>
      </c>
      <c r="B890" t="s">
        <v>15453</v>
      </c>
      <c r="C890" t="s">
        <v>15454</v>
      </c>
      <c r="D890" t="s">
        <v>5101</v>
      </c>
      <c r="E890">
        <v>3130</v>
      </c>
      <c r="F890" t="s">
        <v>15455</v>
      </c>
      <c r="G890" t="s">
        <v>4996</v>
      </c>
      <c r="H890" t="str">
        <f t="shared" si="26"/>
        <v>Webb3130Dallas</v>
      </c>
      <c r="I890" t="str">
        <f t="shared" si="27"/>
        <v>Webb</v>
      </c>
      <c r="J890" s="82">
        <f>IFERROR(INDEX('All Folders'!$A:$A,MATCH(H890,'All Folders'!$G:$G,0),1),"¶")</f>
        <v>14870</v>
      </c>
      <c r="K890" s="87"/>
      <c r="L890" s="87"/>
    </row>
    <row r="891" spans="1:12" ht="15" x14ac:dyDescent="0.25">
      <c r="A891" t="s">
        <v>20729</v>
      </c>
      <c r="B891" t="s">
        <v>15456</v>
      </c>
      <c r="C891" t="s">
        <v>15457</v>
      </c>
      <c r="D891" t="s">
        <v>15458</v>
      </c>
      <c r="E891">
        <v>17250</v>
      </c>
      <c r="F891" t="s">
        <v>15459</v>
      </c>
      <c r="G891" t="s">
        <v>4996</v>
      </c>
      <c r="H891" t="str">
        <f t="shared" si="26"/>
        <v>Knoll17250Dallas</v>
      </c>
      <c r="I891" t="str">
        <f t="shared" si="27"/>
        <v>Knoll</v>
      </c>
      <c r="J891" s="82">
        <f>IFERROR(INDEX('All Folders'!$A:$A,MATCH(H891,'All Folders'!$G:$G,0),1),"¶")</f>
        <v>13335</v>
      </c>
      <c r="K891" s="87"/>
      <c r="L891" s="87"/>
    </row>
    <row r="892" spans="1:12" ht="15" x14ac:dyDescent="0.25">
      <c r="A892" t="s">
        <v>20730</v>
      </c>
      <c r="B892" t="s">
        <v>15460</v>
      </c>
      <c r="C892" t="s">
        <v>15461</v>
      </c>
      <c r="D892" t="s">
        <v>15104</v>
      </c>
      <c r="E892">
        <v>7777</v>
      </c>
      <c r="F892" t="s">
        <v>15462</v>
      </c>
      <c r="G892" t="s">
        <v>4996</v>
      </c>
      <c r="H892" t="str">
        <f t="shared" si="26"/>
        <v>McCallum7777Dallas</v>
      </c>
      <c r="I892" t="str">
        <f t="shared" si="27"/>
        <v>McCallum</v>
      </c>
      <c r="J892" s="82">
        <f>IFERROR(INDEX('All Folders'!$A:$A,MATCH(H892,'All Folders'!$G:$G,0),1),"¶")</f>
        <v>14635</v>
      </c>
      <c r="K892" s="87"/>
      <c r="L892" s="87"/>
    </row>
    <row r="893" spans="1:12" ht="15" x14ac:dyDescent="0.25">
      <c r="A893" t="s">
        <v>20731</v>
      </c>
      <c r="B893" t="s">
        <v>15463</v>
      </c>
      <c r="C893" t="s">
        <v>15464</v>
      </c>
      <c r="D893" t="s">
        <v>15465</v>
      </c>
      <c r="E893">
        <v>2806</v>
      </c>
      <c r="F893" t="s">
        <v>12949</v>
      </c>
      <c r="G893" t="s">
        <v>4996</v>
      </c>
      <c r="H893" t="str">
        <f t="shared" si="26"/>
        <v>Reagan2806Dallas</v>
      </c>
      <c r="I893" t="str">
        <f t="shared" si="27"/>
        <v>Reagan</v>
      </c>
      <c r="J893" s="82" t="str">
        <f>IFERROR(INDEX('All Folders'!$A:$A,MATCH(H893,'All Folders'!$G:$G,0),1),"¶")</f>
        <v>SP78</v>
      </c>
      <c r="K893" s="87"/>
      <c r="L893" s="87"/>
    </row>
    <row r="894" spans="1:12" ht="15" x14ac:dyDescent="0.25">
      <c r="A894" t="s">
        <v>20732</v>
      </c>
      <c r="B894" t="s">
        <v>15466</v>
      </c>
      <c r="C894" t="s">
        <v>15467</v>
      </c>
      <c r="D894" t="s">
        <v>15468</v>
      </c>
      <c r="E894">
        <v>2525</v>
      </c>
      <c r="F894" t="s">
        <v>15469</v>
      </c>
      <c r="G894" t="s">
        <v>4996</v>
      </c>
      <c r="H894" t="str">
        <f t="shared" si="26"/>
        <v>Henderson2525Dallas</v>
      </c>
      <c r="I894" t="str">
        <f t="shared" si="27"/>
        <v>Henderson</v>
      </c>
      <c r="J894" s="82">
        <f>IFERROR(INDEX('All Folders'!$A:$A,MATCH(H894,'All Folders'!$G:$G,0),1),"¶")</f>
        <v>16197</v>
      </c>
      <c r="K894" s="87"/>
      <c r="L894" s="87"/>
    </row>
    <row r="895" spans="1:12" ht="15" x14ac:dyDescent="0.25">
      <c r="A895" t="s">
        <v>20733</v>
      </c>
      <c r="B895" t="s">
        <v>15470</v>
      </c>
      <c r="C895" t="s">
        <v>15471</v>
      </c>
      <c r="D895" t="s">
        <v>14700</v>
      </c>
      <c r="E895">
        <v>9797</v>
      </c>
      <c r="F895" t="s">
        <v>5512</v>
      </c>
      <c r="G895" t="s">
        <v>4996</v>
      </c>
      <c r="H895" t="str">
        <f t="shared" si="26"/>
        <v>Bruton9797Dallas</v>
      </c>
      <c r="I895" t="str">
        <f t="shared" si="27"/>
        <v>Bruton</v>
      </c>
      <c r="J895" s="82">
        <f>IFERROR(INDEX('All Folders'!$A:$A,MATCH(H895,'All Folders'!$G:$G,0),1),"¶")</f>
        <v>13426</v>
      </c>
      <c r="K895" s="87"/>
      <c r="L895" s="87"/>
    </row>
    <row r="896" spans="1:12" ht="15" x14ac:dyDescent="0.25">
      <c r="A896" t="s">
        <v>20734</v>
      </c>
      <c r="B896" t="s">
        <v>15472</v>
      </c>
      <c r="C896" t="s">
        <v>15473</v>
      </c>
      <c r="D896" t="s">
        <v>15436</v>
      </c>
      <c r="E896">
        <v>2805</v>
      </c>
      <c r="F896" t="s">
        <v>2489</v>
      </c>
      <c r="G896" t="s">
        <v>4996</v>
      </c>
      <c r="H896" t="str">
        <f t="shared" si="26"/>
        <v>Ledbetter2805Dallas</v>
      </c>
      <c r="I896" t="str">
        <f t="shared" si="27"/>
        <v>Ledbetter</v>
      </c>
      <c r="J896" s="82">
        <f>IFERROR(INDEX('All Folders'!$A:$A,MATCH(H896,'All Folders'!$G:$G,0),1),"¶")</f>
        <v>16004</v>
      </c>
      <c r="K896" s="87"/>
      <c r="L896" s="87"/>
    </row>
    <row r="897" spans="1:12" ht="15" x14ac:dyDescent="0.25">
      <c r="A897" t="s">
        <v>20736</v>
      </c>
      <c r="B897" t="s">
        <v>15478</v>
      </c>
      <c r="C897" t="s">
        <v>15479</v>
      </c>
      <c r="D897" t="s">
        <v>15253</v>
      </c>
      <c r="E897">
        <v>3136</v>
      </c>
      <c r="F897" t="s">
        <v>15480</v>
      </c>
      <c r="G897" t="s">
        <v>4996</v>
      </c>
      <c r="H897" t="str">
        <f t="shared" si="26"/>
        <v>Hudnall3136Dallas</v>
      </c>
      <c r="I897" t="str">
        <f t="shared" si="27"/>
        <v>Hudnall</v>
      </c>
      <c r="J897" s="82">
        <f>IFERROR(INDEX('All Folders'!$A:$A,MATCH(H897,'All Folders'!$G:$G,0),1),"¶")</f>
        <v>13574</v>
      </c>
      <c r="K897" s="87"/>
      <c r="L897" s="87"/>
    </row>
    <row r="898" spans="1:12" ht="15" x14ac:dyDescent="0.25">
      <c r="A898" t="s">
        <v>20737</v>
      </c>
      <c r="B898" t="s">
        <v>15481</v>
      </c>
      <c r="C898" t="s">
        <v>15482</v>
      </c>
      <c r="D898" t="s">
        <v>15483</v>
      </c>
      <c r="E898">
        <v>2511</v>
      </c>
      <c r="F898" t="s">
        <v>7510</v>
      </c>
      <c r="G898" t="s">
        <v>4996</v>
      </c>
      <c r="H898" t="str">
        <f t="shared" ref="H898:H961" si="28">I898&amp;E898&amp;G898</f>
        <v>Wedglea2511Dallas</v>
      </c>
      <c r="I898" t="str">
        <f t="shared" ref="I898:I961" si="29">IFERROR(LEFT(D898,FIND(" ",D898)-1),D898)</f>
        <v>Wedglea</v>
      </c>
      <c r="J898" s="82">
        <f>IFERROR(INDEX('All Folders'!$A:$A,MATCH(H898,'All Folders'!$G:$G,0),1),"¶")</f>
        <v>15110</v>
      </c>
      <c r="K898" s="87"/>
      <c r="L898" s="87"/>
    </row>
    <row r="899" spans="1:12" ht="15" x14ac:dyDescent="0.25">
      <c r="A899" t="s">
        <v>20738</v>
      </c>
      <c r="B899" t="s">
        <v>15484</v>
      </c>
      <c r="C899" t="s">
        <v>15485</v>
      </c>
      <c r="D899" t="s">
        <v>14788</v>
      </c>
      <c r="E899">
        <v>7225</v>
      </c>
      <c r="F899" t="s">
        <v>7137</v>
      </c>
      <c r="G899" t="s">
        <v>4996</v>
      </c>
      <c r="H899" t="str">
        <f t="shared" si="28"/>
        <v>Fair7225Dallas</v>
      </c>
      <c r="I899" t="str">
        <f t="shared" si="29"/>
        <v>Fair</v>
      </c>
      <c r="J899" s="82">
        <f>IFERROR(INDEX('All Folders'!$A:$A,MATCH(H899,'All Folders'!$G:$G,0),1),"¶")</f>
        <v>14769</v>
      </c>
      <c r="K899" s="87"/>
      <c r="L899" s="87"/>
    </row>
    <row r="900" spans="1:12" ht="15" x14ac:dyDescent="0.25">
      <c r="A900" t="s">
        <v>20739</v>
      </c>
      <c r="B900" t="s">
        <v>15486</v>
      </c>
      <c r="C900" t="s">
        <v>15487</v>
      </c>
      <c r="D900" t="s">
        <v>14902</v>
      </c>
      <c r="E900">
        <v>12800</v>
      </c>
      <c r="F900" t="s">
        <v>15488</v>
      </c>
      <c r="G900" t="s">
        <v>4996</v>
      </c>
      <c r="H900" t="str">
        <f t="shared" si="28"/>
        <v>Jupiter12800Dallas</v>
      </c>
      <c r="I900" t="str">
        <f t="shared" si="29"/>
        <v>Jupiter</v>
      </c>
      <c r="J900" s="82">
        <f>IFERROR(INDEX('All Folders'!$A:$A,MATCH(H900,'All Folders'!$G:$G,0),1),"¶")</f>
        <v>14656</v>
      </c>
      <c r="K900" s="87"/>
      <c r="L900" s="87"/>
    </row>
    <row r="901" spans="1:12" ht="15" x14ac:dyDescent="0.25">
      <c r="A901" t="s">
        <v>20740</v>
      </c>
      <c r="B901" t="s">
        <v>15489</v>
      </c>
      <c r="C901" t="s">
        <v>15490</v>
      </c>
      <c r="D901" t="s">
        <v>15491</v>
      </c>
      <c r="E901">
        <v>3800</v>
      </c>
      <c r="F901" t="s">
        <v>15492</v>
      </c>
      <c r="G901" t="s">
        <v>4996</v>
      </c>
      <c r="H901" t="str">
        <f t="shared" si="28"/>
        <v>Commerce3800Dallas</v>
      </c>
      <c r="I901" t="str">
        <f t="shared" si="29"/>
        <v>Commerce</v>
      </c>
      <c r="J901" s="82">
        <f>IFERROR(INDEX('All Folders'!$A:$A,MATCH(H901,'All Folders'!$G:$G,0),1),"¶")</f>
        <v>13749</v>
      </c>
      <c r="K901" s="87"/>
      <c r="L901" s="87"/>
    </row>
    <row r="902" spans="1:12" ht="15" x14ac:dyDescent="0.25">
      <c r="A902" t="s">
        <v>20741</v>
      </c>
      <c r="B902" t="s">
        <v>15493</v>
      </c>
      <c r="C902" t="s">
        <v>15494</v>
      </c>
      <c r="D902" t="s">
        <v>15412</v>
      </c>
      <c r="E902">
        <v>9941</v>
      </c>
      <c r="F902" t="s">
        <v>5361</v>
      </c>
      <c r="G902" t="s">
        <v>4996</v>
      </c>
      <c r="H902" t="str">
        <f t="shared" si="28"/>
        <v>Whitehurst9941Dallas</v>
      </c>
      <c r="I902" t="str">
        <f t="shared" si="29"/>
        <v>Whitehurst</v>
      </c>
      <c r="J902" s="82">
        <f>IFERROR(INDEX('All Folders'!$A:$A,MATCH(H902,'All Folders'!$G:$G,0),1),"¶")</f>
        <v>13319</v>
      </c>
      <c r="K902" s="87"/>
      <c r="L902" s="87"/>
    </row>
    <row r="903" spans="1:12" ht="15" x14ac:dyDescent="0.25">
      <c r="A903" t="s">
        <v>20742</v>
      </c>
      <c r="B903" t="s">
        <v>15495</v>
      </c>
      <c r="C903" t="s">
        <v>15496</v>
      </c>
      <c r="D903" t="s">
        <v>15497</v>
      </c>
      <c r="E903">
        <v>1540</v>
      </c>
      <c r="F903" t="s">
        <v>15498</v>
      </c>
      <c r="G903" t="s">
        <v>4996</v>
      </c>
      <c r="H903" t="str">
        <f t="shared" si="28"/>
        <v>Chenault1540Dallas</v>
      </c>
      <c r="I903" t="str">
        <f t="shared" si="29"/>
        <v>Chenault</v>
      </c>
      <c r="J903" s="82">
        <f>IFERROR(INDEX('All Folders'!$A:$A,MATCH(H903,'All Folders'!$G:$G,0),1),"¶")</f>
        <v>13973</v>
      </c>
      <c r="K903" s="87"/>
      <c r="L903" s="87"/>
    </row>
    <row r="904" spans="1:12" ht="15" x14ac:dyDescent="0.25">
      <c r="A904" t="s">
        <v>20743</v>
      </c>
      <c r="B904" t="s">
        <v>15499</v>
      </c>
      <c r="C904" t="s">
        <v>15500</v>
      </c>
      <c r="D904" t="s">
        <v>15501</v>
      </c>
      <c r="E904">
        <v>5909</v>
      </c>
      <c r="F904" t="s">
        <v>11468</v>
      </c>
      <c r="G904" t="s">
        <v>4996</v>
      </c>
      <c r="H904" t="str">
        <f t="shared" si="28"/>
        <v>Luther5909Dallas</v>
      </c>
      <c r="I904" t="str">
        <f t="shared" si="29"/>
        <v>Luther</v>
      </c>
      <c r="J904" s="82">
        <f>IFERROR(INDEX('All Folders'!$A:$A,MATCH(H904,'All Folders'!$G:$G,0),1),"¶")</f>
        <v>30064</v>
      </c>
      <c r="K904" s="87"/>
      <c r="L904" s="87"/>
    </row>
    <row r="905" spans="1:12" ht="15" x14ac:dyDescent="0.25">
      <c r="A905" t="s">
        <v>20744</v>
      </c>
      <c r="B905" t="s">
        <v>15502</v>
      </c>
      <c r="C905" t="s">
        <v>15503</v>
      </c>
      <c r="D905" t="s">
        <v>15026</v>
      </c>
      <c r="E905">
        <v>4607</v>
      </c>
      <c r="F905" t="s">
        <v>5743</v>
      </c>
      <c r="G905" t="s">
        <v>4996</v>
      </c>
      <c r="H905" t="str">
        <f t="shared" si="28"/>
        <v>Timberglen4607Dallas</v>
      </c>
      <c r="I905" t="str">
        <f t="shared" si="29"/>
        <v>Timberglen</v>
      </c>
      <c r="J905" s="82">
        <f>IFERROR(INDEX('All Folders'!$A:$A,MATCH(H905,'All Folders'!$G:$G,0),1),"¶")</f>
        <v>13606</v>
      </c>
      <c r="K905" s="87"/>
      <c r="L905" s="87"/>
    </row>
    <row r="906" spans="1:12" ht="15" x14ac:dyDescent="0.25">
      <c r="A906" t="s">
        <v>20745</v>
      </c>
      <c r="B906" t="s">
        <v>15504</v>
      </c>
      <c r="C906" t="s">
        <v>15505</v>
      </c>
      <c r="D906" t="s">
        <v>5101</v>
      </c>
      <c r="E906">
        <v>3435</v>
      </c>
      <c r="F906" t="s">
        <v>15506</v>
      </c>
      <c r="G906" t="s">
        <v>4996</v>
      </c>
      <c r="H906" t="str">
        <f t="shared" si="28"/>
        <v>Webb3435Dallas</v>
      </c>
      <c r="I906" t="str">
        <f t="shared" si="29"/>
        <v>Webb</v>
      </c>
      <c r="J906" s="82">
        <f>IFERROR(INDEX('All Folders'!$A:$A,MATCH(H906,'All Folders'!$G:$G,0),1),"¶")</f>
        <v>15083</v>
      </c>
      <c r="K906" s="87"/>
      <c r="L906" s="87"/>
    </row>
    <row r="907" spans="1:12" ht="15" x14ac:dyDescent="0.25">
      <c r="A907" t="s">
        <v>20746</v>
      </c>
      <c r="B907" t="s">
        <v>15507</v>
      </c>
      <c r="C907" t="s">
        <v>15508</v>
      </c>
      <c r="D907" t="s">
        <v>15509</v>
      </c>
      <c r="E907">
        <v>3200</v>
      </c>
      <c r="F907" t="s">
        <v>5894</v>
      </c>
      <c r="G907" t="s">
        <v>4996</v>
      </c>
      <c r="H907" t="str">
        <f t="shared" si="28"/>
        <v>Maple3200Dallas</v>
      </c>
      <c r="I907" t="str">
        <f t="shared" si="29"/>
        <v>Maple</v>
      </c>
      <c r="J907" s="82">
        <f>IFERROR(INDEX('All Folders'!$A:$A,MATCH(H907,'All Folders'!$G:$G,0),1),"¶")</f>
        <v>13712</v>
      </c>
      <c r="K907" s="87"/>
      <c r="L907" s="87"/>
    </row>
    <row r="908" spans="1:12" ht="15" x14ac:dyDescent="0.25">
      <c r="A908" t="s">
        <v>20747</v>
      </c>
      <c r="B908" t="s">
        <v>15510</v>
      </c>
      <c r="C908" t="s">
        <v>15511</v>
      </c>
      <c r="D908" t="s">
        <v>15512</v>
      </c>
      <c r="E908">
        <v>12660</v>
      </c>
      <c r="F908" t="s">
        <v>15513</v>
      </c>
      <c r="G908" t="s">
        <v>4996</v>
      </c>
      <c r="H908" t="str">
        <f t="shared" si="28"/>
        <v>Hillcrest12660Dallas</v>
      </c>
      <c r="I908" t="str">
        <f t="shared" si="29"/>
        <v>Hillcrest</v>
      </c>
      <c r="J908" s="82">
        <f>IFERROR(INDEX('All Folders'!$A:$A,MATCH(H908,'All Folders'!$G:$G,0),1),"¶")</f>
        <v>30055</v>
      </c>
      <c r="K908" s="87"/>
      <c r="L908" s="87"/>
    </row>
    <row r="909" spans="1:12" ht="15" x14ac:dyDescent="0.25">
      <c r="A909" t="s">
        <v>20748</v>
      </c>
      <c r="B909" t="s">
        <v>15514</v>
      </c>
      <c r="C909" t="s">
        <v>15515</v>
      </c>
      <c r="D909" t="s">
        <v>15230</v>
      </c>
      <c r="E909">
        <v>6010</v>
      </c>
      <c r="F909" t="s">
        <v>2601</v>
      </c>
      <c r="G909" t="s">
        <v>4996</v>
      </c>
      <c r="H909" t="str">
        <f t="shared" si="28"/>
        <v>Westmoreland6010Dallas</v>
      </c>
      <c r="I909" t="str">
        <f t="shared" si="29"/>
        <v>Westmoreland</v>
      </c>
      <c r="J909" s="82">
        <f>IFERROR(INDEX('All Folders'!$A:$A,MATCH(H909,'All Folders'!$G:$G,0),1),"¶")</f>
        <v>16141</v>
      </c>
      <c r="K909" s="87"/>
      <c r="L909" s="87"/>
    </row>
    <row r="910" spans="1:12" ht="15" x14ac:dyDescent="0.25">
      <c r="A910" t="s">
        <v>20749</v>
      </c>
      <c r="B910" t="s">
        <v>15516</v>
      </c>
      <c r="C910" t="s">
        <v>15517</v>
      </c>
      <c r="D910" t="s">
        <v>15518</v>
      </c>
      <c r="E910">
        <v>3035</v>
      </c>
      <c r="F910" t="s">
        <v>15519</v>
      </c>
      <c r="G910" t="s">
        <v>4996</v>
      </c>
      <c r="H910" t="str">
        <f t="shared" si="28"/>
        <v>Pentagon3035Dallas</v>
      </c>
      <c r="I910" t="str">
        <f t="shared" si="29"/>
        <v>Pentagon</v>
      </c>
      <c r="J910" s="82">
        <f>IFERROR(INDEX('All Folders'!$A:$A,MATCH(H910,'All Folders'!$G:$G,0),1),"¶")</f>
        <v>13835</v>
      </c>
      <c r="K910" s="87"/>
      <c r="L910" s="87"/>
    </row>
    <row r="911" spans="1:12" ht="15" x14ac:dyDescent="0.25">
      <c r="A911" t="s">
        <v>20750</v>
      </c>
      <c r="B911" t="s">
        <v>15520</v>
      </c>
      <c r="C911" t="s">
        <v>15521</v>
      </c>
      <c r="D911" t="s">
        <v>15522</v>
      </c>
      <c r="E911">
        <v>2700</v>
      </c>
      <c r="F911" t="s">
        <v>15523</v>
      </c>
      <c r="G911" t="s">
        <v>4996</v>
      </c>
      <c r="H911" t="str">
        <f t="shared" si="28"/>
        <v>Buckner2700Dallas</v>
      </c>
      <c r="I911" t="str">
        <f t="shared" si="29"/>
        <v>Buckner</v>
      </c>
      <c r="J911" s="82">
        <f>IFERROR(INDEX('All Folders'!$A:$A,MATCH(H911,'All Folders'!$G:$G,0),1),"¶")</f>
        <v>17464</v>
      </c>
      <c r="K911" s="87"/>
      <c r="L911" s="87"/>
    </row>
    <row r="912" spans="1:12" ht="15" x14ac:dyDescent="0.25">
      <c r="A912" t="s">
        <v>20751</v>
      </c>
      <c r="B912" t="s">
        <v>15524</v>
      </c>
      <c r="C912" t="s">
        <v>15525</v>
      </c>
      <c r="D912" t="s">
        <v>15526</v>
      </c>
      <c r="E912">
        <v>4105</v>
      </c>
      <c r="F912" t="s">
        <v>15527</v>
      </c>
      <c r="G912" t="s">
        <v>4996</v>
      </c>
      <c r="H912" t="str">
        <f t="shared" si="28"/>
        <v>Cockrell4105Dallas</v>
      </c>
      <c r="I912" t="str">
        <f t="shared" si="29"/>
        <v>Cockrell</v>
      </c>
      <c r="J912" s="82">
        <f>IFERROR(INDEX('All Folders'!$A:$A,MATCH(H912,'All Folders'!$G:$G,0),1),"¶")</f>
        <v>30087</v>
      </c>
      <c r="K912" s="87"/>
      <c r="L912" s="87"/>
    </row>
    <row r="913" spans="1:12" ht="15" x14ac:dyDescent="0.25">
      <c r="A913" t="s">
        <v>20752</v>
      </c>
      <c r="B913" t="s">
        <v>15528</v>
      </c>
      <c r="C913" t="s">
        <v>15529</v>
      </c>
      <c r="D913" t="s">
        <v>14773</v>
      </c>
      <c r="E913">
        <v>11600</v>
      </c>
      <c r="F913" t="s">
        <v>15530</v>
      </c>
      <c r="G913" t="s">
        <v>4996</v>
      </c>
      <c r="H913" t="str">
        <f t="shared" si="28"/>
        <v>Audelia11600Dallas</v>
      </c>
      <c r="I913" t="str">
        <f t="shared" si="29"/>
        <v>Audelia</v>
      </c>
      <c r="J913" s="82">
        <f>IFERROR(INDEX('All Folders'!$A:$A,MATCH(H913,'All Folders'!$G:$G,0),1),"¶")</f>
        <v>14101</v>
      </c>
      <c r="K913" s="87"/>
      <c r="L913" s="87"/>
    </row>
    <row r="914" spans="1:12" ht="15" x14ac:dyDescent="0.25">
      <c r="A914" t="s">
        <v>20753</v>
      </c>
      <c r="B914" t="s">
        <v>15531</v>
      </c>
      <c r="C914" t="s">
        <v>15532</v>
      </c>
      <c r="D914" t="s">
        <v>15412</v>
      </c>
      <c r="E914">
        <v>9850</v>
      </c>
      <c r="F914" t="s">
        <v>15533</v>
      </c>
      <c r="G914" t="s">
        <v>4996</v>
      </c>
      <c r="H914" t="str">
        <f t="shared" si="28"/>
        <v>Whitehurst9850Dallas</v>
      </c>
      <c r="I914" t="str">
        <f t="shared" si="29"/>
        <v>Whitehurst</v>
      </c>
      <c r="J914" s="82">
        <f>IFERROR(INDEX('All Folders'!$A:$A,MATCH(H914,'All Folders'!$G:$G,0),1),"¶")</f>
        <v>14102</v>
      </c>
      <c r="K914" s="87"/>
      <c r="L914" s="87"/>
    </row>
    <row r="915" spans="1:12" ht="15" x14ac:dyDescent="0.25">
      <c r="A915" t="s">
        <v>20754</v>
      </c>
      <c r="B915" t="s">
        <v>15534</v>
      </c>
      <c r="C915" t="s">
        <v>15535</v>
      </c>
      <c r="D915" t="s">
        <v>6022</v>
      </c>
      <c r="E915">
        <v>8620</v>
      </c>
      <c r="F915" t="s">
        <v>15536</v>
      </c>
      <c r="G915" t="s">
        <v>4996</v>
      </c>
      <c r="H915" t="str">
        <f t="shared" si="28"/>
        <v>Park8620Dallas</v>
      </c>
      <c r="I915" t="str">
        <f t="shared" si="29"/>
        <v>Park</v>
      </c>
      <c r="J915" s="82">
        <f>IFERROR(INDEX('All Folders'!$A:$A,MATCH(H915,'All Folders'!$G:$G,0),1),"¶")</f>
        <v>14110</v>
      </c>
      <c r="K915" s="87"/>
      <c r="L915" s="87"/>
    </row>
    <row r="916" spans="1:12" ht="15" x14ac:dyDescent="0.25">
      <c r="A916" t="s">
        <v>20755</v>
      </c>
      <c r="B916" t="s">
        <v>15537</v>
      </c>
      <c r="C916" t="s">
        <v>15538</v>
      </c>
      <c r="D916" t="s">
        <v>15096</v>
      </c>
      <c r="E916">
        <v>926</v>
      </c>
      <c r="F916" t="s">
        <v>15539</v>
      </c>
      <c r="G916" t="s">
        <v>4996</v>
      </c>
      <c r="H916" t="str">
        <f t="shared" si="28"/>
        <v>Marsalis926Dallas</v>
      </c>
      <c r="I916" t="str">
        <f t="shared" si="29"/>
        <v>Marsalis</v>
      </c>
      <c r="J916" s="82" t="str">
        <f>IFERROR(INDEX('All Folders'!$A:$A,MATCH(H916,'All Folders'!$G:$G,0),1),"¶")</f>
        <v>SP67</v>
      </c>
      <c r="K916" s="87"/>
      <c r="L916" s="87"/>
    </row>
    <row r="917" spans="1:12" ht="15" x14ac:dyDescent="0.25">
      <c r="A917" t="s">
        <v>20756</v>
      </c>
      <c r="B917" t="s">
        <v>15540</v>
      </c>
      <c r="C917" t="s">
        <v>15541</v>
      </c>
      <c r="D917" t="s">
        <v>15542</v>
      </c>
      <c r="E917">
        <v>6418</v>
      </c>
      <c r="F917" t="s">
        <v>15543</v>
      </c>
      <c r="G917" t="s">
        <v>4996</v>
      </c>
      <c r="H917" t="str">
        <f t="shared" si="28"/>
        <v>Fisher6418Dallas</v>
      </c>
      <c r="I917" t="str">
        <f t="shared" si="29"/>
        <v>Fisher</v>
      </c>
      <c r="J917" s="82">
        <f>IFERROR(INDEX('All Folders'!$A:$A,MATCH(H917,'All Folders'!$G:$G,0),1),"¶")</f>
        <v>14588</v>
      </c>
      <c r="K917" s="87"/>
      <c r="L917" s="87"/>
    </row>
    <row r="918" spans="1:12" ht="15" x14ac:dyDescent="0.25">
      <c r="A918" t="s">
        <v>20757</v>
      </c>
      <c r="B918" t="s">
        <v>15544</v>
      </c>
      <c r="C918" t="s">
        <v>15545</v>
      </c>
      <c r="D918" t="s">
        <v>14755</v>
      </c>
      <c r="E918">
        <v>9254</v>
      </c>
      <c r="F918" t="s">
        <v>12872</v>
      </c>
      <c r="G918" t="s">
        <v>4996</v>
      </c>
      <c r="H918" t="str">
        <f t="shared" si="28"/>
        <v>Forest9254Dallas</v>
      </c>
      <c r="I918" t="str">
        <f t="shared" si="29"/>
        <v>Forest</v>
      </c>
      <c r="J918" s="82" t="str">
        <f>IFERROR(INDEX('All Folders'!$A:$A,MATCH(H918,'All Folders'!$G:$G,0),1),"¶")</f>
        <v>SP48</v>
      </c>
      <c r="K918" s="87"/>
      <c r="L918" s="87"/>
    </row>
    <row r="919" spans="1:12" ht="15" x14ac:dyDescent="0.25">
      <c r="A919" t="s">
        <v>20758</v>
      </c>
      <c r="B919" t="s">
        <v>15546</v>
      </c>
      <c r="C919" t="s">
        <v>15547</v>
      </c>
      <c r="D919" t="s">
        <v>14755</v>
      </c>
      <c r="E919">
        <v>9690</v>
      </c>
      <c r="F919" t="s">
        <v>15548</v>
      </c>
      <c r="G919" t="s">
        <v>4996</v>
      </c>
      <c r="H919" t="str">
        <f t="shared" si="28"/>
        <v>Forest9690Dallas</v>
      </c>
      <c r="I919" t="str">
        <f t="shared" si="29"/>
        <v>Forest</v>
      </c>
      <c r="J919" s="82">
        <f>IFERROR(INDEX('All Folders'!$A:$A,MATCH(H919,'All Folders'!$G:$G,0),1),"¶")</f>
        <v>13434</v>
      </c>
      <c r="K919" s="87"/>
      <c r="L919" s="87"/>
    </row>
    <row r="920" spans="1:12" ht="15" x14ac:dyDescent="0.25">
      <c r="A920" t="s">
        <v>20759</v>
      </c>
      <c r="B920" t="s">
        <v>15549</v>
      </c>
      <c r="C920" t="s">
        <v>15550</v>
      </c>
      <c r="D920" t="s">
        <v>14490</v>
      </c>
      <c r="E920" t="s">
        <v>12884</v>
      </c>
      <c r="F920" t="s">
        <v>15551</v>
      </c>
      <c r="G920" t="s">
        <v>4996</v>
      </c>
      <c r="H920" t="str">
        <f t="shared" si="28"/>
        <v>Gaston4948-4950Dallas</v>
      </c>
      <c r="I920" t="str">
        <f t="shared" si="29"/>
        <v>Gaston</v>
      </c>
      <c r="J920" s="82" t="str">
        <f>IFERROR(INDEX('All Folders'!$A:$A,MATCH(H920,'All Folders'!$G:$G,0),1),"¶")</f>
        <v>SP53</v>
      </c>
      <c r="K920" s="87"/>
      <c r="L920" s="87"/>
    </row>
    <row r="921" spans="1:12" ht="15" x14ac:dyDescent="0.25">
      <c r="A921" t="s">
        <v>20760</v>
      </c>
      <c r="B921" t="s">
        <v>15552</v>
      </c>
      <c r="C921" t="s">
        <v>15553</v>
      </c>
      <c r="D921" t="s">
        <v>15043</v>
      </c>
      <c r="E921">
        <v>2930</v>
      </c>
      <c r="F921" t="s">
        <v>15554</v>
      </c>
      <c r="G921" t="s">
        <v>4996</v>
      </c>
      <c r="H921" t="str">
        <f t="shared" si="28"/>
        <v>Kings2930Dallas</v>
      </c>
      <c r="I921" t="str">
        <f t="shared" si="29"/>
        <v>Kings</v>
      </c>
      <c r="J921" s="82">
        <f>IFERROR(INDEX('All Folders'!$A:$A,MATCH(H921,'All Folders'!$G:$G,0),1),"¶")</f>
        <v>14154</v>
      </c>
      <c r="K921" s="87"/>
      <c r="L921" s="87"/>
    </row>
    <row r="922" spans="1:12" ht="15" x14ac:dyDescent="0.25">
      <c r="A922" t="s">
        <v>20761</v>
      </c>
      <c r="B922" t="s">
        <v>15555</v>
      </c>
      <c r="C922" t="s">
        <v>15556</v>
      </c>
      <c r="D922" t="s">
        <v>14788</v>
      </c>
      <c r="E922">
        <v>7319</v>
      </c>
      <c r="F922" t="s">
        <v>15557</v>
      </c>
      <c r="G922" t="s">
        <v>4996</v>
      </c>
      <c r="H922" t="str">
        <f t="shared" si="28"/>
        <v>Fair7319Dallas</v>
      </c>
      <c r="I922" t="str">
        <f t="shared" si="29"/>
        <v>Fair</v>
      </c>
      <c r="J922" s="82">
        <f>IFERROR(INDEX('All Folders'!$A:$A,MATCH(H922,'All Folders'!$G:$G,0),1),"¶")</f>
        <v>15166</v>
      </c>
      <c r="K922" s="87"/>
      <c r="L922" s="87"/>
    </row>
    <row r="923" spans="1:12" ht="15" x14ac:dyDescent="0.25">
      <c r="A923" t="s">
        <v>20762</v>
      </c>
      <c r="B923" t="s">
        <v>15558</v>
      </c>
      <c r="C923" t="s">
        <v>15559</v>
      </c>
      <c r="D923" t="s">
        <v>14927</v>
      </c>
      <c r="E923">
        <v>1919</v>
      </c>
      <c r="F923" t="s">
        <v>11475</v>
      </c>
      <c r="G923" t="s">
        <v>4996</v>
      </c>
      <c r="H923" t="str">
        <f t="shared" si="28"/>
        <v>Garrett1919Dallas</v>
      </c>
      <c r="I923" t="str">
        <f t="shared" si="29"/>
        <v>Garrett</v>
      </c>
      <c r="J923" s="82">
        <f>IFERROR(INDEX('All Folders'!$A:$A,MATCH(H923,'All Folders'!$G:$G,0),1),"¶")</f>
        <v>30073</v>
      </c>
      <c r="K923" s="87"/>
      <c r="L923" s="87"/>
    </row>
    <row r="924" spans="1:12" ht="15" x14ac:dyDescent="0.25">
      <c r="A924" t="s">
        <v>20763</v>
      </c>
      <c r="B924" t="s">
        <v>15560</v>
      </c>
      <c r="C924" t="s">
        <v>15561</v>
      </c>
      <c r="D924" t="s">
        <v>14731</v>
      </c>
      <c r="E924">
        <v>2815</v>
      </c>
      <c r="F924" t="s">
        <v>15562</v>
      </c>
      <c r="G924" t="s">
        <v>4996</v>
      </c>
      <c r="H924" t="str">
        <f t="shared" si="28"/>
        <v>Peavy2815Dallas</v>
      </c>
      <c r="I924" t="str">
        <f t="shared" si="29"/>
        <v>Peavy</v>
      </c>
      <c r="J924" s="82">
        <f>IFERROR(INDEX('All Folders'!$A:$A,MATCH(H924,'All Folders'!$G:$G,0),1),"¶")</f>
        <v>15335</v>
      </c>
      <c r="K924" s="87"/>
      <c r="L924" s="87"/>
    </row>
    <row r="925" spans="1:12" ht="15" x14ac:dyDescent="0.25">
      <c r="A925" t="s">
        <v>20764</v>
      </c>
      <c r="B925" t="s">
        <v>15563</v>
      </c>
      <c r="C925" t="s">
        <v>15564</v>
      </c>
      <c r="D925" t="s">
        <v>15130</v>
      </c>
      <c r="E925">
        <v>11363</v>
      </c>
      <c r="F925" t="s">
        <v>15565</v>
      </c>
      <c r="G925" t="s">
        <v>4996</v>
      </c>
      <c r="H925" t="str">
        <f t="shared" si="28"/>
        <v>Amanda11363Dallas</v>
      </c>
      <c r="I925" t="str">
        <f t="shared" si="29"/>
        <v>Amanda</v>
      </c>
      <c r="J925" s="82">
        <f>IFERROR(INDEX('All Folders'!$A:$A,MATCH(H925,'All Folders'!$G:$G,0),1),"¶")</f>
        <v>13282</v>
      </c>
      <c r="K925" s="87"/>
      <c r="L925" s="87"/>
    </row>
    <row r="926" spans="1:12" ht="15" x14ac:dyDescent="0.25">
      <c r="A926" t="s">
        <v>20765</v>
      </c>
      <c r="B926" t="s">
        <v>15566</v>
      </c>
      <c r="C926" t="s">
        <v>15567</v>
      </c>
      <c r="D926" t="s">
        <v>15568</v>
      </c>
      <c r="E926">
        <v>3550</v>
      </c>
      <c r="F926" t="s">
        <v>435</v>
      </c>
      <c r="G926" t="s">
        <v>4996</v>
      </c>
      <c r="H926" t="str">
        <f t="shared" si="28"/>
        <v>Overton3550Dallas</v>
      </c>
      <c r="I926" t="str">
        <f t="shared" si="29"/>
        <v>Overton</v>
      </c>
      <c r="J926" s="82">
        <f>IFERROR(INDEX('All Folders'!$A:$A,MATCH(H926,'All Folders'!$G:$G,0),1),"¶")</f>
        <v>15117</v>
      </c>
      <c r="K926" s="87"/>
      <c r="L926" s="87"/>
    </row>
    <row r="927" spans="1:12" ht="15" x14ac:dyDescent="0.25">
      <c r="A927" t="s">
        <v>20766</v>
      </c>
      <c r="B927" t="s">
        <v>15569</v>
      </c>
      <c r="C927" t="s">
        <v>15570</v>
      </c>
      <c r="D927" t="s">
        <v>14755</v>
      </c>
      <c r="E927">
        <v>9920</v>
      </c>
      <c r="F927" t="s">
        <v>15571</v>
      </c>
      <c r="G927" t="s">
        <v>4996</v>
      </c>
      <c r="H927" t="str">
        <f t="shared" si="28"/>
        <v>Forest9920Dallas</v>
      </c>
      <c r="I927" t="str">
        <f t="shared" si="29"/>
        <v>Forest</v>
      </c>
      <c r="J927" s="82">
        <f>IFERROR(INDEX('All Folders'!$A:$A,MATCH(H927,'All Folders'!$G:$G,0),1),"¶")</f>
        <v>30052</v>
      </c>
      <c r="K927" s="87"/>
      <c r="L927" s="87"/>
    </row>
    <row r="928" spans="1:12" ht="15" x14ac:dyDescent="0.25">
      <c r="A928" t="s">
        <v>20767</v>
      </c>
      <c r="B928" t="s">
        <v>15572</v>
      </c>
      <c r="C928" t="s">
        <v>15573</v>
      </c>
      <c r="D928" t="s">
        <v>15026</v>
      </c>
      <c r="E928">
        <v>3565</v>
      </c>
      <c r="F928" t="s">
        <v>7912</v>
      </c>
      <c r="G928" t="s">
        <v>4996</v>
      </c>
      <c r="H928" t="str">
        <f t="shared" si="28"/>
        <v>Timberglen3565Dallas</v>
      </c>
      <c r="I928" t="str">
        <f t="shared" si="29"/>
        <v>Timberglen</v>
      </c>
      <c r="J928" s="82">
        <f>IFERROR(INDEX('All Folders'!$A:$A,MATCH(H928,'All Folders'!$G:$G,0),1),"¶")</f>
        <v>15478</v>
      </c>
      <c r="K928" s="87"/>
      <c r="L928" s="87"/>
    </row>
    <row r="929" spans="1:12" ht="15" x14ac:dyDescent="0.25">
      <c r="A929" t="s">
        <v>20768</v>
      </c>
      <c r="B929" t="s">
        <v>15574</v>
      </c>
      <c r="C929" t="s">
        <v>15575</v>
      </c>
      <c r="D929" t="s">
        <v>14459</v>
      </c>
      <c r="E929">
        <v>2612</v>
      </c>
      <c r="F929" t="s">
        <v>15576</v>
      </c>
      <c r="G929" t="s">
        <v>4996</v>
      </c>
      <c r="H929" t="str">
        <f t="shared" si="28"/>
        <v>Throckmorton2612Dallas</v>
      </c>
      <c r="I929" t="str">
        <f t="shared" si="29"/>
        <v>Throckmorton</v>
      </c>
      <c r="J929" s="82">
        <f>IFERROR(INDEX('All Folders'!$A:$A,MATCH(H929,'All Folders'!$G:$G,0),1),"¶")</f>
        <v>15125</v>
      </c>
      <c r="K929" s="87"/>
      <c r="L929" s="87"/>
    </row>
    <row r="930" spans="1:12" ht="15" x14ac:dyDescent="0.25">
      <c r="A930" t="s">
        <v>20769</v>
      </c>
      <c r="B930" t="s">
        <v>15577</v>
      </c>
      <c r="C930" t="s">
        <v>15578</v>
      </c>
      <c r="D930" t="s">
        <v>14679</v>
      </c>
      <c r="E930">
        <v>1615</v>
      </c>
      <c r="F930" t="s">
        <v>7377</v>
      </c>
      <c r="G930" t="s">
        <v>4996</v>
      </c>
      <c r="H930" t="str">
        <f t="shared" si="28"/>
        <v>John1615Dallas</v>
      </c>
      <c r="I930" t="str">
        <f t="shared" si="29"/>
        <v>John</v>
      </c>
      <c r="J930" s="82">
        <f>IFERROR(INDEX('All Folders'!$A:$A,MATCH(H930,'All Folders'!$G:$G,0),1),"¶")</f>
        <v>14970</v>
      </c>
      <c r="K930" s="87"/>
      <c r="L930" s="87"/>
    </row>
    <row r="931" spans="1:12" ht="15" x14ac:dyDescent="0.25">
      <c r="A931" t="s">
        <v>20770</v>
      </c>
      <c r="B931" t="s">
        <v>15579</v>
      </c>
      <c r="C931" t="s">
        <v>15580</v>
      </c>
      <c r="D931" t="s">
        <v>15581</v>
      </c>
      <c r="E931">
        <v>9475</v>
      </c>
      <c r="F931" t="s">
        <v>15582</v>
      </c>
      <c r="G931" t="s">
        <v>4996</v>
      </c>
      <c r="H931" t="str">
        <f t="shared" si="28"/>
        <v>Forest9475Dallas</v>
      </c>
      <c r="I931" t="str">
        <f t="shared" si="29"/>
        <v>Forest</v>
      </c>
      <c r="J931" s="82">
        <f>IFERROR(INDEX('All Folders'!$A:$A,MATCH(H931,'All Folders'!$G:$G,0),1),"¶")</f>
        <v>13440</v>
      </c>
      <c r="K931" s="87"/>
      <c r="L931" s="87"/>
    </row>
    <row r="932" spans="1:12" ht="15" x14ac:dyDescent="0.25">
      <c r="A932" t="s">
        <v>20771</v>
      </c>
      <c r="B932" t="s">
        <v>15583</v>
      </c>
      <c r="C932" t="s">
        <v>15584</v>
      </c>
      <c r="D932" t="s">
        <v>14813</v>
      </c>
      <c r="E932">
        <v>13350</v>
      </c>
      <c r="F932" t="s">
        <v>6226</v>
      </c>
      <c r="G932" t="s">
        <v>4996</v>
      </c>
      <c r="H932" t="str">
        <f t="shared" si="28"/>
        <v>Maham13350Dallas</v>
      </c>
      <c r="I932" t="str">
        <f t="shared" si="29"/>
        <v>Maham</v>
      </c>
      <c r="J932" s="82">
        <f>IFERROR(INDEX('All Folders'!$A:$A,MATCH(H932,'All Folders'!$G:$G,0),1),"¶")</f>
        <v>13983</v>
      </c>
      <c r="K932" s="87"/>
      <c r="L932" s="87"/>
    </row>
    <row r="933" spans="1:12" ht="15" x14ac:dyDescent="0.25">
      <c r="A933" t="s">
        <v>20772</v>
      </c>
      <c r="B933" t="s">
        <v>15585</v>
      </c>
      <c r="C933" t="s">
        <v>15586</v>
      </c>
      <c r="D933" t="s">
        <v>15587</v>
      </c>
      <c r="E933">
        <v>4599</v>
      </c>
      <c r="F933" t="s">
        <v>15588</v>
      </c>
      <c r="G933" t="s">
        <v>4996</v>
      </c>
      <c r="H933" t="str">
        <f t="shared" si="28"/>
        <v>Davis4599Dallas</v>
      </c>
      <c r="I933" t="str">
        <f t="shared" si="29"/>
        <v>Davis</v>
      </c>
      <c r="J933" s="82">
        <f>IFERROR(INDEX('All Folders'!$A:$A,MATCH(H933,'All Folders'!$G:$G,0),1),"¶")</f>
        <v>16228</v>
      </c>
      <c r="K933" s="87"/>
      <c r="L933" s="87"/>
    </row>
    <row r="934" spans="1:12" ht="15" x14ac:dyDescent="0.25">
      <c r="A934" t="s">
        <v>20773</v>
      </c>
      <c r="B934" t="s">
        <v>15589</v>
      </c>
      <c r="C934" t="s">
        <v>15590</v>
      </c>
      <c r="D934" t="s">
        <v>14455</v>
      </c>
      <c r="E934">
        <v>2819</v>
      </c>
      <c r="F934" t="s">
        <v>8941</v>
      </c>
      <c r="G934" t="s">
        <v>4996</v>
      </c>
      <c r="H934" t="str">
        <f t="shared" si="28"/>
        <v>Fitzhugh2819Dallas</v>
      </c>
      <c r="I934" t="str">
        <f t="shared" si="29"/>
        <v>Fitzhugh</v>
      </c>
      <c r="J934" s="82">
        <f>IFERROR(INDEX('All Folders'!$A:$A,MATCH(H934,'All Folders'!$G:$G,0),1),"¶")</f>
        <v>16490</v>
      </c>
      <c r="K934" s="87"/>
      <c r="L934" s="87"/>
    </row>
    <row r="935" spans="1:12" ht="15" x14ac:dyDescent="0.25">
      <c r="A935" t="s">
        <v>20774</v>
      </c>
      <c r="B935" t="s">
        <v>15591</v>
      </c>
      <c r="C935" t="s">
        <v>15592</v>
      </c>
      <c r="D935" t="s">
        <v>15593</v>
      </c>
      <c r="E935">
        <v>1811</v>
      </c>
      <c r="F935" t="s">
        <v>9127</v>
      </c>
      <c r="G935" t="s">
        <v>4996</v>
      </c>
      <c r="H935" t="str">
        <f t="shared" si="28"/>
        <v>Greenville1811Dallas</v>
      </c>
      <c r="I935" t="str">
        <f t="shared" si="29"/>
        <v>Greenville</v>
      </c>
      <c r="J935" s="82">
        <f>IFERROR(INDEX('All Folders'!$A:$A,MATCH(H935,'All Folders'!$G:$G,0),1),"¶")</f>
        <v>16685</v>
      </c>
      <c r="K935" s="87"/>
      <c r="L935" s="87"/>
    </row>
    <row r="936" spans="1:12" ht="15" x14ac:dyDescent="0.25">
      <c r="A936" t="s">
        <v>20775</v>
      </c>
      <c r="B936" t="s">
        <v>15594</v>
      </c>
      <c r="C936" t="s">
        <v>15595</v>
      </c>
      <c r="D936" t="s">
        <v>15596</v>
      </c>
      <c r="E936">
        <v>2107</v>
      </c>
      <c r="F936" t="s">
        <v>15597</v>
      </c>
      <c r="G936" t="s">
        <v>4996</v>
      </c>
      <c r="H936" t="str">
        <f t="shared" si="28"/>
        <v>Ledbetter2107Dallas</v>
      </c>
      <c r="I936" t="str">
        <f t="shared" si="29"/>
        <v>Ledbetter</v>
      </c>
      <c r="J936" s="82">
        <f>IFERROR(INDEX('All Folders'!$A:$A,MATCH(H936,'All Folders'!$G:$G,0),1),"¶")</f>
        <v>30106</v>
      </c>
      <c r="K936" s="87"/>
      <c r="L936" s="87"/>
    </row>
    <row r="937" spans="1:12" ht="15" x14ac:dyDescent="0.25">
      <c r="A937" t="s">
        <v>20776</v>
      </c>
      <c r="B937" t="s">
        <v>15598</v>
      </c>
      <c r="C937" t="s">
        <v>15599</v>
      </c>
      <c r="D937" t="s">
        <v>15600</v>
      </c>
      <c r="E937">
        <v>4115</v>
      </c>
      <c r="F937" t="s">
        <v>15597</v>
      </c>
      <c r="G937" t="s">
        <v>4996</v>
      </c>
      <c r="H937" t="str">
        <f t="shared" si="28"/>
        <v>Druid4115Dallas</v>
      </c>
      <c r="I937" t="str">
        <f t="shared" si="29"/>
        <v>Druid</v>
      </c>
      <c r="J937" s="82">
        <f>IFERROR(INDEX('All Folders'!$A:$A,MATCH(H937,'All Folders'!$G:$G,0),1),"¶")</f>
        <v>15019</v>
      </c>
      <c r="K937" s="87"/>
      <c r="L937" s="87"/>
    </row>
    <row r="938" spans="1:12" ht="15" x14ac:dyDescent="0.25">
      <c r="A938" t="s">
        <v>20777</v>
      </c>
      <c r="B938" t="s">
        <v>15601</v>
      </c>
      <c r="C938" t="s">
        <v>15602</v>
      </c>
      <c r="D938" t="s">
        <v>5101</v>
      </c>
      <c r="E938">
        <v>2631</v>
      </c>
      <c r="F938" t="s">
        <v>15603</v>
      </c>
      <c r="G938" t="s">
        <v>4996</v>
      </c>
      <c r="H938" t="str">
        <f t="shared" si="28"/>
        <v>Webb2631Dallas</v>
      </c>
      <c r="I938" t="str">
        <f t="shared" si="29"/>
        <v>Webb</v>
      </c>
      <c r="J938" s="82">
        <f>IFERROR(INDEX('All Folders'!$A:$A,MATCH(H938,'All Folders'!$G:$G,0),1),"¶")</f>
        <v>15032</v>
      </c>
      <c r="K938" s="87"/>
      <c r="L938" s="87"/>
    </row>
    <row r="939" spans="1:12" ht="15" x14ac:dyDescent="0.25">
      <c r="A939" t="s">
        <v>20778</v>
      </c>
      <c r="B939" t="s">
        <v>15604</v>
      </c>
      <c r="C939" t="s">
        <v>15605</v>
      </c>
      <c r="D939" t="s">
        <v>15526</v>
      </c>
      <c r="E939">
        <v>6910</v>
      </c>
      <c r="F939" t="s">
        <v>6482</v>
      </c>
      <c r="G939" t="s">
        <v>4996</v>
      </c>
      <c r="H939" t="str">
        <f t="shared" si="28"/>
        <v>Cockrell6910Dallas</v>
      </c>
      <c r="I939" t="str">
        <f t="shared" si="29"/>
        <v>Cockrell</v>
      </c>
      <c r="J939" s="82">
        <f>IFERROR(INDEX('All Folders'!$A:$A,MATCH(H939,'All Folders'!$G:$G,0),1),"¶")</f>
        <v>14208</v>
      </c>
      <c r="K939" s="87"/>
      <c r="L939" s="87"/>
    </row>
    <row r="940" spans="1:12" ht="15" x14ac:dyDescent="0.25">
      <c r="A940" t="s">
        <v>20779</v>
      </c>
      <c r="B940" t="s">
        <v>15606</v>
      </c>
      <c r="C940" t="s">
        <v>15607</v>
      </c>
      <c r="D940" t="s">
        <v>14638</v>
      </c>
      <c r="E940">
        <v>3233</v>
      </c>
      <c r="F940" t="s">
        <v>3537</v>
      </c>
      <c r="G940" t="s">
        <v>4996</v>
      </c>
      <c r="H940" t="str">
        <f t="shared" si="28"/>
        <v>Norwalk3233Dallas</v>
      </c>
      <c r="I940" t="str">
        <f t="shared" si="29"/>
        <v>Norwalk</v>
      </c>
      <c r="J940" s="82">
        <f>IFERROR(INDEX('All Folders'!$A:$A,MATCH(H940,'All Folders'!$G:$G,0),1),"¶")</f>
        <v>30082</v>
      </c>
      <c r="K940" s="87"/>
      <c r="L940" s="87"/>
    </row>
    <row r="941" spans="1:12" ht="15" x14ac:dyDescent="0.25">
      <c r="A941" t="s">
        <v>20780</v>
      </c>
      <c r="B941" t="s">
        <v>15608</v>
      </c>
      <c r="C941" t="s">
        <v>15609</v>
      </c>
      <c r="D941" t="s">
        <v>15297</v>
      </c>
      <c r="E941">
        <v>6910</v>
      </c>
      <c r="F941" t="s">
        <v>15610</v>
      </c>
      <c r="G941" t="s">
        <v>4996</v>
      </c>
      <c r="H941" t="str">
        <f t="shared" si="28"/>
        <v>Skillman6910Dallas</v>
      </c>
      <c r="I941" t="str">
        <f t="shared" si="29"/>
        <v>Skillman</v>
      </c>
      <c r="J941" s="82">
        <f>IFERROR(INDEX('All Folders'!$A:$A,MATCH(H941,'All Folders'!$G:$G,0),1),"¶")</f>
        <v>14213</v>
      </c>
      <c r="K941" s="87"/>
      <c r="L941" s="87"/>
    </row>
    <row r="942" spans="1:12" ht="15" x14ac:dyDescent="0.25">
      <c r="A942" t="s">
        <v>20781</v>
      </c>
      <c r="B942" t="s">
        <v>15611</v>
      </c>
      <c r="C942" t="s">
        <v>15612</v>
      </c>
      <c r="D942" t="s">
        <v>15613</v>
      </c>
      <c r="E942">
        <v>6003</v>
      </c>
      <c r="F942" t="s">
        <v>15614</v>
      </c>
      <c r="G942" t="s">
        <v>4996</v>
      </c>
      <c r="H942" t="str">
        <f t="shared" si="28"/>
        <v>Abrams6003Dallas</v>
      </c>
      <c r="I942" t="str">
        <f t="shared" si="29"/>
        <v>Abrams</v>
      </c>
      <c r="J942" s="82">
        <f>IFERROR(INDEX('All Folders'!$A:$A,MATCH(H942,'All Folders'!$G:$G,0),1),"¶")</f>
        <v>14214</v>
      </c>
      <c r="K942" s="87"/>
      <c r="L942" s="87"/>
    </row>
    <row r="943" spans="1:12" ht="15" x14ac:dyDescent="0.25">
      <c r="A943" t="s">
        <v>20782</v>
      </c>
      <c r="B943" t="s">
        <v>15615</v>
      </c>
      <c r="C943" t="s">
        <v>15616</v>
      </c>
      <c r="D943" t="s">
        <v>15617</v>
      </c>
      <c r="E943">
        <v>5902</v>
      </c>
      <c r="F943" t="s">
        <v>1094</v>
      </c>
      <c r="G943" t="s">
        <v>4996</v>
      </c>
      <c r="H943" t="str">
        <f t="shared" si="28"/>
        <v>University5902Dallas</v>
      </c>
      <c r="I943" t="str">
        <f t="shared" si="29"/>
        <v>University</v>
      </c>
      <c r="J943" s="82">
        <f>IFERROR(INDEX('All Folders'!$A:$A,MATCH(H943,'All Folders'!$G:$G,0),1),"¶")</f>
        <v>17397</v>
      </c>
      <c r="K943" s="87"/>
      <c r="L943" s="87"/>
    </row>
    <row r="944" spans="1:12" ht="15" x14ac:dyDescent="0.25">
      <c r="A944" t="s">
        <v>20783</v>
      </c>
      <c r="B944" t="s">
        <v>15618</v>
      </c>
      <c r="C944" t="s">
        <v>15619</v>
      </c>
      <c r="D944" t="s">
        <v>14714</v>
      </c>
      <c r="E944">
        <v>4170</v>
      </c>
      <c r="F944" t="s">
        <v>15620</v>
      </c>
      <c r="G944" t="s">
        <v>4996</v>
      </c>
      <c r="H944" t="str">
        <f t="shared" si="28"/>
        <v>Altoona4170Dallas</v>
      </c>
      <c r="I944" t="str">
        <f t="shared" si="29"/>
        <v>Altoona</v>
      </c>
      <c r="J944" s="82">
        <f>IFERROR(INDEX('All Folders'!$A:$A,MATCH(H944,'All Folders'!$G:$G,0),1),"¶")</f>
        <v>14910</v>
      </c>
      <c r="K944" s="87"/>
      <c r="L944" s="87"/>
    </row>
    <row r="945" spans="1:12" ht="15" x14ac:dyDescent="0.25">
      <c r="A945" t="s">
        <v>20784</v>
      </c>
      <c r="B945" t="s">
        <v>15621</v>
      </c>
      <c r="C945" t="s">
        <v>15622</v>
      </c>
      <c r="D945" t="s">
        <v>15297</v>
      </c>
      <c r="E945">
        <v>8110</v>
      </c>
      <c r="F945" t="s">
        <v>15623</v>
      </c>
      <c r="G945" t="s">
        <v>4996</v>
      </c>
      <c r="H945" t="str">
        <f t="shared" si="28"/>
        <v>Skillman8110Dallas</v>
      </c>
      <c r="I945" t="str">
        <f t="shared" si="29"/>
        <v>Skillman</v>
      </c>
      <c r="J945" s="82" t="str">
        <f>IFERROR(INDEX('All Folders'!$A:$A,MATCH(H945,'All Folders'!$G:$G,0),1),"¶")</f>
        <v>SP86</v>
      </c>
      <c r="K945" s="87"/>
      <c r="L945" s="87"/>
    </row>
    <row r="946" spans="1:12" ht="15" x14ac:dyDescent="0.25">
      <c r="A946" t="s">
        <v>20785</v>
      </c>
      <c r="B946" t="s">
        <v>15624</v>
      </c>
      <c r="C946" t="s">
        <v>15625</v>
      </c>
      <c r="D946" t="s">
        <v>5192</v>
      </c>
      <c r="E946">
        <v>9859</v>
      </c>
      <c r="F946" t="s">
        <v>7391</v>
      </c>
      <c r="G946" t="s">
        <v>4996</v>
      </c>
      <c r="H946" t="str">
        <f t="shared" si="28"/>
        <v>Brockbank9859Dallas</v>
      </c>
      <c r="I946" t="str">
        <f t="shared" si="29"/>
        <v>Brockbank</v>
      </c>
      <c r="J946" s="82">
        <f>IFERROR(INDEX('All Folders'!$A:$A,MATCH(H946,'All Folders'!$G:$G,0),1),"¶")</f>
        <v>14983</v>
      </c>
      <c r="K946" s="87"/>
      <c r="L946" s="87"/>
    </row>
    <row r="947" spans="1:12" ht="15" x14ac:dyDescent="0.25">
      <c r="A947" t="s">
        <v>20786</v>
      </c>
      <c r="B947" t="s">
        <v>15626</v>
      </c>
      <c r="C947" t="s">
        <v>15627</v>
      </c>
      <c r="D947" t="s">
        <v>14676</v>
      </c>
      <c r="E947">
        <v>13660</v>
      </c>
      <c r="F947" t="s">
        <v>6093</v>
      </c>
      <c r="G947" t="s">
        <v>4996</v>
      </c>
      <c r="H947" t="str">
        <f t="shared" si="28"/>
        <v>CF13660Dallas</v>
      </c>
      <c r="I947" t="str">
        <f t="shared" si="29"/>
        <v>CF</v>
      </c>
      <c r="J947" s="82">
        <f>IFERROR(INDEX('All Folders'!$A:$A,MATCH(H947,'All Folders'!$G:$G,0),1),"¶")</f>
        <v>14251</v>
      </c>
      <c r="K947" s="87"/>
      <c r="L947" s="87"/>
    </row>
    <row r="948" spans="1:12" ht="15" x14ac:dyDescent="0.25">
      <c r="A948" t="s">
        <v>20787</v>
      </c>
      <c r="B948" t="s">
        <v>15628</v>
      </c>
      <c r="C948" t="s">
        <v>15629</v>
      </c>
      <c r="D948" t="s">
        <v>15630</v>
      </c>
      <c r="E948">
        <v>5203</v>
      </c>
      <c r="F948" t="s">
        <v>15631</v>
      </c>
      <c r="G948" t="s">
        <v>4996</v>
      </c>
      <c r="H948" t="str">
        <f t="shared" si="28"/>
        <v>Worth5203Dallas</v>
      </c>
      <c r="I948" t="str">
        <f t="shared" si="29"/>
        <v>Worth</v>
      </c>
      <c r="J948" s="82" t="str">
        <f>IFERROR(INDEX('All Folders'!$A:$A,MATCH(H948,'All Folders'!$G:$G,0),1),"¶")</f>
        <v>SP90</v>
      </c>
      <c r="K948" s="87"/>
      <c r="L948" s="87"/>
    </row>
    <row r="949" spans="1:12" ht="15" x14ac:dyDescent="0.25">
      <c r="A949" t="s">
        <v>20788</v>
      </c>
      <c r="B949" t="s">
        <v>15632</v>
      </c>
      <c r="C949" t="s">
        <v>15633</v>
      </c>
      <c r="D949" t="s">
        <v>15634</v>
      </c>
      <c r="E949">
        <v>9633</v>
      </c>
      <c r="F949" t="s">
        <v>6363</v>
      </c>
      <c r="G949" t="s">
        <v>4996</v>
      </c>
      <c r="H949" t="str">
        <f t="shared" si="28"/>
        <v>Ferris9633Dallas</v>
      </c>
      <c r="I949" t="str">
        <f t="shared" si="29"/>
        <v>Ferris</v>
      </c>
      <c r="J949" s="82">
        <f>IFERROR(INDEX('All Folders'!$A:$A,MATCH(H949,'All Folders'!$G:$G,0),1),"¶")</f>
        <v>14112</v>
      </c>
      <c r="K949" s="87"/>
      <c r="L949" s="87"/>
    </row>
    <row r="950" spans="1:12" ht="15" x14ac:dyDescent="0.25">
      <c r="A950" t="s">
        <v>20789</v>
      </c>
      <c r="B950" t="s">
        <v>15635</v>
      </c>
      <c r="C950" t="s">
        <v>15636</v>
      </c>
      <c r="D950" t="s">
        <v>15637</v>
      </c>
      <c r="E950">
        <v>704</v>
      </c>
      <c r="F950" t="s">
        <v>15638</v>
      </c>
      <c r="G950" t="s">
        <v>7824</v>
      </c>
      <c r="H950" t="str">
        <f t="shared" si="28"/>
        <v>Waring704Dayton</v>
      </c>
      <c r="I950" t="str">
        <f t="shared" si="29"/>
        <v>Waring</v>
      </c>
      <c r="J950" s="82">
        <f>IFERROR(INDEX('All Folders'!$A:$A,MATCH(H950,'All Folders'!$G:$G,0),1),"¶")</f>
        <v>30522</v>
      </c>
      <c r="K950" s="87"/>
      <c r="L950" s="87"/>
    </row>
    <row r="951" spans="1:12" ht="15" x14ac:dyDescent="0.25">
      <c r="A951" t="s">
        <v>20790</v>
      </c>
      <c r="B951" t="s">
        <v>15639</v>
      </c>
      <c r="C951" t="s">
        <v>15640</v>
      </c>
      <c r="D951" t="s">
        <v>15641</v>
      </c>
      <c r="E951">
        <v>401</v>
      </c>
      <c r="F951" t="s">
        <v>4068</v>
      </c>
      <c r="G951" t="s">
        <v>4038</v>
      </c>
      <c r="H951" t="str">
        <f t="shared" si="28"/>
        <v>McDermott401Deer Park</v>
      </c>
      <c r="I951" t="str">
        <f t="shared" si="29"/>
        <v>McDermott</v>
      </c>
      <c r="J951" s="82">
        <f>IFERROR(INDEX('All Folders'!$A:$A,MATCH(H951,'All Folders'!$G:$G,0),1),"¶")</f>
        <v>3840</v>
      </c>
      <c r="K951" s="87"/>
      <c r="L951" s="87"/>
    </row>
    <row r="952" spans="1:12" ht="15" x14ac:dyDescent="0.25">
      <c r="A952" t="s">
        <v>20791</v>
      </c>
      <c r="B952" t="s">
        <v>15642</v>
      </c>
      <c r="C952" t="s">
        <v>15643</v>
      </c>
      <c r="D952" t="s">
        <v>15644</v>
      </c>
      <c r="E952">
        <v>3800</v>
      </c>
      <c r="F952" t="s">
        <v>15645</v>
      </c>
      <c r="G952" t="s">
        <v>12397</v>
      </c>
      <c r="H952" t="str">
        <f t="shared" si="28"/>
        <v>Texoma3800Denison</v>
      </c>
      <c r="I952" t="str">
        <f t="shared" si="29"/>
        <v>Texoma</v>
      </c>
      <c r="J952" s="82">
        <f>IFERROR(INDEX('All Folders'!$A:$A,MATCH(H952,'All Folders'!$G:$G,0),1),"¶")</f>
        <v>30740</v>
      </c>
      <c r="K952" s="87"/>
      <c r="L952" s="87"/>
    </row>
    <row r="953" spans="1:12" ht="15" x14ac:dyDescent="0.25">
      <c r="A953" t="s">
        <v>20792</v>
      </c>
      <c r="B953" t="s">
        <v>15646</v>
      </c>
      <c r="C953" t="s">
        <v>15647</v>
      </c>
      <c r="D953" t="s">
        <v>15648</v>
      </c>
      <c r="E953">
        <v>1616</v>
      </c>
      <c r="F953" t="s">
        <v>15649</v>
      </c>
      <c r="G953" t="s">
        <v>5097</v>
      </c>
      <c r="H953" t="str">
        <f t="shared" si="28"/>
        <v>Oak1616Denton</v>
      </c>
      <c r="I953" t="str">
        <f t="shared" si="29"/>
        <v>Oak</v>
      </c>
      <c r="J953" s="82">
        <f>IFERROR(INDEX('All Folders'!$A:$A,MATCH(H953,'All Folders'!$G:$G,0),1),"¶")</f>
        <v>30123</v>
      </c>
      <c r="K953" s="87"/>
      <c r="L953" s="87"/>
    </row>
    <row r="954" spans="1:12" ht="15" x14ac:dyDescent="0.25">
      <c r="A954" t="s">
        <v>20794</v>
      </c>
      <c r="B954" t="s">
        <v>15653</v>
      </c>
      <c r="C954" t="s">
        <v>15654</v>
      </c>
      <c r="D954" t="s">
        <v>15655</v>
      </c>
      <c r="E954">
        <v>3211</v>
      </c>
      <c r="F954" t="s">
        <v>15656</v>
      </c>
      <c r="G954" t="s">
        <v>5097</v>
      </c>
      <c r="H954" t="str">
        <f t="shared" si="28"/>
        <v>Fallmeadow3211Denton</v>
      </c>
      <c r="I954" t="str">
        <f t="shared" si="29"/>
        <v>Fallmeadow</v>
      </c>
      <c r="J954" s="82" t="str">
        <f>IFERROR(INDEX('All Folders'!$A:$A,MATCH(H954,'All Folders'!$G:$G,0),1),"¶")</f>
        <v>SP104</v>
      </c>
      <c r="K954" s="87"/>
      <c r="L954" s="87"/>
    </row>
    <row r="955" spans="1:12" ht="15" x14ac:dyDescent="0.25">
      <c r="A955" t="s">
        <v>20795</v>
      </c>
      <c r="B955" t="s">
        <v>15657</v>
      </c>
      <c r="C955" t="s">
        <v>15658</v>
      </c>
      <c r="D955" t="s">
        <v>14510</v>
      </c>
      <c r="E955">
        <v>410</v>
      </c>
      <c r="F955" t="s">
        <v>15659</v>
      </c>
      <c r="G955" t="s">
        <v>5097</v>
      </c>
      <c r="H955" t="str">
        <f t="shared" si="28"/>
        <v>Bryan410Denton</v>
      </c>
      <c r="I955" t="str">
        <f t="shared" si="29"/>
        <v>Bryan</v>
      </c>
      <c r="J955" s="82" t="str">
        <f>IFERROR(INDEX('All Folders'!$A:$A,MATCH(H955,'All Folders'!$G:$G,0),1),"¶")</f>
        <v>SP99</v>
      </c>
      <c r="K955" s="87"/>
      <c r="L955" s="87"/>
    </row>
    <row r="956" spans="1:12" ht="15" x14ac:dyDescent="0.25">
      <c r="A956" t="s">
        <v>20796</v>
      </c>
      <c r="B956" t="s">
        <v>15660</v>
      </c>
      <c r="C956" t="s">
        <v>15661</v>
      </c>
      <c r="D956" t="s">
        <v>15662</v>
      </c>
      <c r="E956">
        <v>501</v>
      </c>
      <c r="F956" t="s">
        <v>15663</v>
      </c>
      <c r="G956" t="s">
        <v>5097</v>
      </c>
      <c r="H956" t="str">
        <f t="shared" si="28"/>
        <v>Londonderry501Denton</v>
      </c>
      <c r="I956" t="str">
        <f t="shared" si="29"/>
        <v>Londonderry</v>
      </c>
      <c r="J956" s="82">
        <f>IFERROR(INDEX('All Folders'!$A:$A,MATCH(H956,'All Folders'!$G:$G,0),1),"¶")</f>
        <v>30116</v>
      </c>
      <c r="K956" s="87"/>
      <c r="L956" s="87"/>
    </row>
    <row r="957" spans="1:12" ht="15" x14ac:dyDescent="0.25">
      <c r="A957" t="s">
        <v>20797</v>
      </c>
      <c r="B957" t="s">
        <v>15664</v>
      </c>
      <c r="C957" t="s">
        <v>15665</v>
      </c>
      <c r="D957" t="s">
        <v>15666</v>
      </c>
      <c r="E957">
        <v>3401</v>
      </c>
      <c r="F957" t="s">
        <v>15667</v>
      </c>
      <c r="G957" t="s">
        <v>5097</v>
      </c>
      <c r="H957" t="str">
        <f t="shared" si="28"/>
        <v>Joyce3401Denton</v>
      </c>
      <c r="I957" t="str">
        <f t="shared" si="29"/>
        <v>Joyce</v>
      </c>
      <c r="J957" s="82">
        <f>IFERROR(INDEX('All Folders'!$A:$A,MATCH(H957,'All Folders'!$G:$G,0),1),"¶")</f>
        <v>13131</v>
      </c>
      <c r="K957" s="87"/>
      <c r="L957" s="87"/>
    </row>
    <row r="958" spans="1:12" ht="15" x14ac:dyDescent="0.25">
      <c r="A958" t="s">
        <v>20798</v>
      </c>
      <c r="B958" t="s">
        <v>15668</v>
      </c>
      <c r="C958" t="s">
        <v>15669</v>
      </c>
      <c r="D958" t="s">
        <v>15670</v>
      </c>
      <c r="E958">
        <v>816</v>
      </c>
      <c r="F958" t="s">
        <v>15671</v>
      </c>
      <c r="G958" t="s">
        <v>5097</v>
      </c>
      <c r="H958" t="str">
        <f t="shared" si="28"/>
        <v>Bell816Denton</v>
      </c>
      <c r="I958" t="str">
        <f t="shared" si="29"/>
        <v>Bell</v>
      </c>
      <c r="J958" s="82">
        <f>IFERROR(INDEX('All Folders'!$A:$A,MATCH(H958,'All Folders'!$G:$G,0),1),"¶")</f>
        <v>17726</v>
      </c>
      <c r="K958" s="87"/>
      <c r="L958" s="87"/>
    </row>
    <row r="959" spans="1:12" ht="15" x14ac:dyDescent="0.25">
      <c r="A959" t="s">
        <v>20802</v>
      </c>
      <c r="B959" t="s">
        <v>15685</v>
      </c>
      <c r="C959" t="s">
        <v>15686</v>
      </c>
      <c r="D959" t="s">
        <v>15687</v>
      </c>
      <c r="E959">
        <v>425</v>
      </c>
      <c r="F959" t="s">
        <v>15688</v>
      </c>
      <c r="G959" t="s">
        <v>5097</v>
      </c>
      <c r="H959" t="str">
        <f t="shared" si="28"/>
        <v>Fulton425Denton</v>
      </c>
      <c r="I959" t="str">
        <f t="shared" si="29"/>
        <v>Fulton</v>
      </c>
      <c r="J959" s="82" t="str">
        <f>IFERROR(INDEX('All Folders'!$A:$A,MATCH(H959,'All Folders'!$G:$G,0),1),"¶")</f>
        <v>SP105</v>
      </c>
      <c r="K959" s="87"/>
      <c r="L959" s="87"/>
    </row>
    <row r="960" spans="1:12" ht="15" x14ac:dyDescent="0.25">
      <c r="A960" t="s">
        <v>20804</v>
      </c>
      <c r="B960" t="s">
        <v>15694</v>
      </c>
      <c r="C960" t="s">
        <v>15695</v>
      </c>
      <c r="D960" t="s">
        <v>15696</v>
      </c>
      <c r="E960">
        <v>113</v>
      </c>
      <c r="F960" t="s">
        <v>7378</v>
      </c>
      <c r="G960" t="s">
        <v>5097</v>
      </c>
      <c r="H960" t="str">
        <f t="shared" si="28"/>
        <v>Coronado113Denton</v>
      </c>
      <c r="I960" t="str">
        <f t="shared" si="29"/>
        <v>Coronado</v>
      </c>
      <c r="J960" s="82">
        <f>IFERROR(INDEX('All Folders'!$A:$A,MATCH(H960,'All Folders'!$G:$G,0),1),"¶")</f>
        <v>14971</v>
      </c>
      <c r="K960" s="87"/>
      <c r="L960" s="87"/>
    </row>
    <row r="961" spans="1:12" ht="15" x14ac:dyDescent="0.25">
      <c r="A961" t="s">
        <v>20806</v>
      </c>
      <c r="B961" t="s">
        <v>15700</v>
      </c>
      <c r="C961" t="s">
        <v>15701</v>
      </c>
      <c r="D961" t="s">
        <v>15702</v>
      </c>
      <c r="E961">
        <v>709</v>
      </c>
      <c r="F961" t="s">
        <v>15703</v>
      </c>
      <c r="G961" t="s">
        <v>5097</v>
      </c>
      <c r="H961" t="str">
        <f t="shared" si="28"/>
        <v>Hercules709Denton</v>
      </c>
      <c r="I961" t="str">
        <f t="shared" si="29"/>
        <v>Hercules</v>
      </c>
      <c r="J961" s="82" t="str">
        <f>IFERROR(INDEX('All Folders'!$A:$A,MATCH(H961,'All Folders'!$G:$G,0),1),"¶")</f>
        <v>SP106</v>
      </c>
      <c r="K961" s="87"/>
      <c r="L961" s="87"/>
    </row>
    <row r="962" spans="1:12" ht="15" x14ac:dyDescent="0.25">
      <c r="A962" t="s">
        <v>20807</v>
      </c>
      <c r="B962" t="s">
        <v>15704</v>
      </c>
      <c r="C962" t="s">
        <v>15705</v>
      </c>
      <c r="D962" t="s">
        <v>15706</v>
      </c>
      <c r="E962">
        <v>3815</v>
      </c>
      <c r="F962" t="s">
        <v>15703</v>
      </c>
      <c r="G962" t="s">
        <v>5097</v>
      </c>
      <c r="H962" t="str">
        <f t="shared" ref="H962:H1025" si="30">I962&amp;E962&amp;G962</f>
        <v>Stuart3815Denton</v>
      </c>
      <c r="I962" t="str">
        <f t="shared" ref="I962:I1025" si="31">IFERROR(LEFT(D962,FIND(" ",D962)-1),D962)</f>
        <v>Stuart</v>
      </c>
      <c r="J962" s="82">
        <f>IFERROR(INDEX('All Folders'!$A:$A,MATCH(H962,'All Folders'!$G:$G,0),1),"¶")</f>
        <v>14767</v>
      </c>
      <c r="K962" s="87"/>
      <c r="L962" s="87"/>
    </row>
    <row r="963" spans="1:12" ht="15" x14ac:dyDescent="0.25">
      <c r="A963" t="s">
        <v>20808</v>
      </c>
      <c r="B963" t="s">
        <v>15707</v>
      </c>
      <c r="C963" t="s">
        <v>15708</v>
      </c>
      <c r="D963" t="s">
        <v>15709</v>
      </c>
      <c r="E963">
        <v>603</v>
      </c>
      <c r="F963" t="s">
        <v>15710</v>
      </c>
      <c r="G963" t="s">
        <v>5097</v>
      </c>
      <c r="H963" t="str">
        <f t="shared" si="30"/>
        <v>Eagle603Denton</v>
      </c>
      <c r="I963" t="str">
        <f t="shared" si="31"/>
        <v>Eagle</v>
      </c>
      <c r="J963" s="82">
        <f>IFERROR(INDEX('All Folders'!$A:$A,MATCH(H963,'All Folders'!$G:$G,0),1),"¶")</f>
        <v>17727</v>
      </c>
      <c r="K963" s="87"/>
      <c r="L963" s="87"/>
    </row>
    <row r="964" spans="1:12" ht="15" x14ac:dyDescent="0.25">
      <c r="A964" t="s">
        <v>20809</v>
      </c>
      <c r="B964" t="s">
        <v>15711</v>
      </c>
      <c r="C964" t="s">
        <v>15712</v>
      </c>
      <c r="D964" t="s">
        <v>15713</v>
      </c>
      <c r="E964">
        <v>612</v>
      </c>
      <c r="F964" t="s">
        <v>15655</v>
      </c>
      <c r="G964" t="s">
        <v>5097</v>
      </c>
      <c r="H964" t="str">
        <f t="shared" si="30"/>
        <v>Fallmeadow612Denton</v>
      </c>
      <c r="I964" t="str">
        <f t="shared" si="31"/>
        <v>Fallmeadow</v>
      </c>
      <c r="J964" s="82" t="str">
        <f>IFERROR(INDEX('All Folders'!$A:$A,MATCH(H964,'All Folders'!$G:$G,0),1),"¶")</f>
        <v>SP103</v>
      </c>
      <c r="K964" s="87"/>
      <c r="L964" s="87"/>
    </row>
    <row r="965" spans="1:12" ht="15" x14ac:dyDescent="0.25">
      <c r="A965" t="s">
        <v>20810</v>
      </c>
      <c r="B965" t="s">
        <v>15714</v>
      </c>
      <c r="C965" t="s">
        <v>15715</v>
      </c>
      <c r="D965" t="s">
        <v>15716</v>
      </c>
      <c r="E965">
        <v>1810</v>
      </c>
      <c r="F965" t="s">
        <v>15717</v>
      </c>
      <c r="G965" t="s">
        <v>5097</v>
      </c>
      <c r="H965" t="str">
        <f t="shared" si="30"/>
        <v>Westminister1810Denton</v>
      </c>
      <c r="I965" t="str">
        <f t="shared" si="31"/>
        <v>Westminister</v>
      </c>
      <c r="J965" s="82">
        <f>IFERROR(INDEX('All Folders'!$A:$A,MATCH(H965,'All Folders'!$G:$G,0),1),"¶")</f>
        <v>14874</v>
      </c>
      <c r="K965" s="87"/>
      <c r="L965" s="87"/>
    </row>
    <row r="966" spans="1:12" ht="15" x14ac:dyDescent="0.25">
      <c r="A966" t="s">
        <v>20811</v>
      </c>
      <c r="B966" t="s">
        <v>15718</v>
      </c>
      <c r="C966" t="s">
        <v>15719</v>
      </c>
      <c r="D966" t="s">
        <v>5014</v>
      </c>
      <c r="E966">
        <v>701</v>
      </c>
      <c r="F966" t="s">
        <v>11527</v>
      </c>
      <c r="G966" t="s">
        <v>5097</v>
      </c>
      <c r="H966" t="str">
        <f t="shared" si="30"/>
        <v>Fort701Denton</v>
      </c>
      <c r="I966" t="str">
        <f t="shared" si="31"/>
        <v>Fort</v>
      </c>
      <c r="J966" s="82">
        <f>IFERROR(INDEX('All Folders'!$A:$A,MATCH(H966,'All Folders'!$G:$G,0),1),"¶")</f>
        <v>18628</v>
      </c>
      <c r="K966" s="87"/>
      <c r="L966" s="87"/>
    </row>
    <row r="967" spans="1:12" ht="15" x14ac:dyDescent="0.25">
      <c r="A967" t="s">
        <v>20812</v>
      </c>
      <c r="B967" t="s">
        <v>15720</v>
      </c>
      <c r="C967" t="s">
        <v>15721</v>
      </c>
      <c r="D967" t="s">
        <v>15670</v>
      </c>
      <c r="E967">
        <v>2421</v>
      </c>
      <c r="F967" t="s">
        <v>14914</v>
      </c>
      <c r="G967" t="s">
        <v>5097</v>
      </c>
      <c r="H967" t="str">
        <f t="shared" si="30"/>
        <v>Bell2421Denton</v>
      </c>
      <c r="I967" t="str">
        <f t="shared" si="31"/>
        <v>Bell</v>
      </c>
      <c r="J967" s="82">
        <f>IFERROR(INDEX('All Folders'!$A:$A,MATCH(H967,'All Folders'!$G:$G,0),1),"¶")</f>
        <v>17734</v>
      </c>
      <c r="K967" s="87"/>
      <c r="L967" s="87"/>
    </row>
    <row r="968" spans="1:12" ht="15" x14ac:dyDescent="0.25">
      <c r="A968" t="s">
        <v>20814</v>
      </c>
      <c r="B968" t="s">
        <v>15725</v>
      </c>
      <c r="C968" t="s">
        <v>15726</v>
      </c>
      <c r="D968" t="s">
        <v>15662</v>
      </c>
      <c r="E968">
        <v>900</v>
      </c>
      <c r="F968" t="s">
        <v>15727</v>
      </c>
      <c r="G968" t="s">
        <v>5097</v>
      </c>
      <c r="H968" t="str">
        <f t="shared" si="30"/>
        <v>Londonderry900Denton</v>
      </c>
      <c r="I968" t="str">
        <f t="shared" si="31"/>
        <v>Londonderry</v>
      </c>
      <c r="J968" s="82">
        <f>IFERROR(INDEX('All Folders'!$A:$A,MATCH(H968,'All Folders'!$G:$G,0),1),"¶")</f>
        <v>14936</v>
      </c>
      <c r="K968" s="87"/>
      <c r="L968" s="87"/>
    </row>
    <row r="969" spans="1:12" ht="15" x14ac:dyDescent="0.25">
      <c r="A969" t="s">
        <v>20815</v>
      </c>
      <c r="B969" t="s">
        <v>15728</v>
      </c>
      <c r="C969" t="s">
        <v>15729</v>
      </c>
      <c r="D969" t="s">
        <v>15730</v>
      </c>
      <c r="E969">
        <v>2211</v>
      </c>
      <c r="F969" t="s">
        <v>15731</v>
      </c>
      <c r="G969" t="s">
        <v>5097</v>
      </c>
      <c r="H969" t="str">
        <f t="shared" si="30"/>
        <v>Hickory2211Denton</v>
      </c>
      <c r="I969" t="str">
        <f t="shared" si="31"/>
        <v>Hickory</v>
      </c>
      <c r="J969" s="82">
        <f>IFERROR(INDEX('All Folders'!$A:$A,MATCH(H969,'All Folders'!$G:$G,0),1),"¶")</f>
        <v>30122</v>
      </c>
      <c r="K969" s="87"/>
      <c r="L969" s="87"/>
    </row>
    <row r="970" spans="1:12" ht="15" x14ac:dyDescent="0.25">
      <c r="A970" t="s">
        <v>20816</v>
      </c>
      <c r="B970" t="s">
        <v>15732</v>
      </c>
      <c r="C970" t="s">
        <v>15733</v>
      </c>
      <c r="D970" t="s">
        <v>15734</v>
      </c>
      <c r="E970">
        <v>2007</v>
      </c>
      <c r="F970" t="s">
        <v>7210</v>
      </c>
      <c r="G970" t="s">
        <v>5097</v>
      </c>
      <c r="H970" t="str">
        <f t="shared" si="30"/>
        <v>Teasley2007Denton</v>
      </c>
      <c r="I970" t="str">
        <f t="shared" si="31"/>
        <v>Teasley</v>
      </c>
      <c r="J970" s="82">
        <f>IFERROR(INDEX('All Folders'!$A:$A,MATCH(H970,'All Folders'!$G:$G,0),1),"¶")</f>
        <v>14836</v>
      </c>
      <c r="K970" s="87"/>
      <c r="L970" s="87"/>
    </row>
    <row r="971" spans="1:12" ht="15" x14ac:dyDescent="0.25">
      <c r="A971" t="s">
        <v>20817</v>
      </c>
      <c r="B971" t="s">
        <v>15735</v>
      </c>
      <c r="C971" t="s">
        <v>15736</v>
      </c>
      <c r="D971" t="s">
        <v>15670</v>
      </c>
      <c r="E971" t="s">
        <v>11528</v>
      </c>
      <c r="F971" t="s">
        <v>11529</v>
      </c>
      <c r="G971" t="s">
        <v>5097</v>
      </c>
      <c r="H971" t="str">
        <f t="shared" si="30"/>
        <v>Bell2211-2221Denton</v>
      </c>
      <c r="I971" t="str">
        <f t="shared" si="31"/>
        <v>Bell</v>
      </c>
      <c r="J971" s="82">
        <f>IFERROR(INDEX('All Folders'!$A:$A,MATCH(H971,'All Folders'!$G:$G,0),1),"¶")</f>
        <v>30117</v>
      </c>
      <c r="K971" s="87"/>
      <c r="L971" s="87"/>
    </row>
    <row r="972" spans="1:12" ht="15" x14ac:dyDescent="0.25">
      <c r="A972" t="s">
        <v>20818</v>
      </c>
      <c r="B972" t="s">
        <v>15737</v>
      </c>
      <c r="C972" t="s">
        <v>15738</v>
      </c>
      <c r="D972" t="s">
        <v>15739</v>
      </c>
      <c r="E972">
        <v>2601</v>
      </c>
      <c r="F972" t="s">
        <v>7987</v>
      </c>
      <c r="G972" t="s">
        <v>5097</v>
      </c>
      <c r="H972" t="str">
        <f t="shared" si="30"/>
        <v>Mayhill2601Denton</v>
      </c>
      <c r="I972" t="str">
        <f t="shared" si="31"/>
        <v>Mayhill</v>
      </c>
      <c r="J972" s="82">
        <f>IFERROR(INDEX('All Folders'!$A:$A,MATCH(H972,'All Folders'!$G:$G,0),1),"¶")</f>
        <v>30119</v>
      </c>
      <c r="K972" s="87"/>
      <c r="L972" s="87"/>
    </row>
    <row r="973" spans="1:12" ht="15" x14ac:dyDescent="0.25">
      <c r="A973" t="s">
        <v>20819</v>
      </c>
      <c r="B973" t="s">
        <v>15740</v>
      </c>
      <c r="C973" t="s">
        <v>15741</v>
      </c>
      <c r="D973" t="s">
        <v>15742</v>
      </c>
      <c r="E973">
        <v>2626</v>
      </c>
      <c r="F973" t="s">
        <v>11538</v>
      </c>
      <c r="G973" t="s">
        <v>5097</v>
      </c>
      <c r="H973" t="str">
        <f t="shared" si="30"/>
        <v>Prairie2626Denton</v>
      </c>
      <c r="I973" t="str">
        <f t="shared" si="31"/>
        <v>Prairie</v>
      </c>
      <c r="J973" s="82">
        <f>IFERROR(INDEX('All Folders'!$A:$A,MATCH(H973,'All Folders'!$G:$G,0),1),"¶")</f>
        <v>30124</v>
      </c>
      <c r="K973" s="87"/>
      <c r="L973" s="87"/>
    </row>
    <row r="974" spans="1:12" ht="15" x14ac:dyDescent="0.25">
      <c r="A974" t="s">
        <v>20820</v>
      </c>
      <c r="B974" t="s">
        <v>15743</v>
      </c>
      <c r="C974" t="s">
        <v>15744</v>
      </c>
      <c r="D974" t="s">
        <v>15674</v>
      </c>
      <c r="E974">
        <v>1407</v>
      </c>
      <c r="F974" t="s">
        <v>7409</v>
      </c>
      <c r="G974" t="s">
        <v>5097</v>
      </c>
      <c r="H974" t="str">
        <f t="shared" si="30"/>
        <v>Bernard1407Denton</v>
      </c>
      <c r="I974" t="str">
        <f t="shared" si="31"/>
        <v>Bernard</v>
      </c>
      <c r="J974" s="82">
        <f>IFERROR(INDEX('All Folders'!$A:$A,MATCH(H974,'All Folders'!$G:$G,0),1),"¶")</f>
        <v>14998</v>
      </c>
      <c r="K974" s="87"/>
      <c r="L974" s="87"/>
    </row>
    <row r="975" spans="1:12" ht="15" x14ac:dyDescent="0.25">
      <c r="A975" t="s">
        <v>20821</v>
      </c>
      <c r="B975" t="s">
        <v>15745</v>
      </c>
      <c r="C975" t="s">
        <v>15746</v>
      </c>
      <c r="D975" t="s">
        <v>12471</v>
      </c>
      <c r="E975" t="s">
        <v>12472</v>
      </c>
      <c r="F975" t="s">
        <v>12473</v>
      </c>
      <c r="G975" t="s">
        <v>5097</v>
      </c>
      <c r="H975" t="str">
        <f t="shared" si="30"/>
        <v>Charlotte2409-2413Denton</v>
      </c>
      <c r="I975" t="str">
        <f t="shared" si="31"/>
        <v>Charlotte</v>
      </c>
      <c r="J975" s="82" t="str">
        <f>IFERROR(INDEX('All Folders'!$A:$A,MATCH(H975,'All Folders'!$G:$G,0),1),"¶")</f>
        <v>SP100</v>
      </c>
      <c r="K975" s="87"/>
      <c r="L975" s="87"/>
    </row>
    <row r="976" spans="1:12" ht="15" x14ac:dyDescent="0.25">
      <c r="A976" t="s">
        <v>20822</v>
      </c>
      <c r="B976" t="s">
        <v>15747</v>
      </c>
      <c r="C976" t="s">
        <v>15748</v>
      </c>
      <c r="D976" t="s">
        <v>15749</v>
      </c>
      <c r="E976">
        <v>307</v>
      </c>
      <c r="F976" t="s">
        <v>15750</v>
      </c>
      <c r="G976" t="s">
        <v>5097</v>
      </c>
      <c r="H976" t="str">
        <f t="shared" si="30"/>
        <v>288307Denton</v>
      </c>
      <c r="I976" t="str">
        <f t="shared" si="31"/>
        <v>288</v>
      </c>
      <c r="J976" s="82">
        <f>IFERROR(INDEX('All Folders'!$A:$A,MATCH(H976,'All Folders'!$G:$G,0),1),"¶")</f>
        <v>30118</v>
      </c>
      <c r="K976" s="87"/>
      <c r="L976" s="87"/>
    </row>
    <row r="977" spans="1:12" ht="15" x14ac:dyDescent="0.25">
      <c r="A977" t="s">
        <v>20823</v>
      </c>
      <c r="B977" t="s">
        <v>15751</v>
      </c>
      <c r="C977" t="s">
        <v>15752</v>
      </c>
      <c r="D977" t="s">
        <v>15753</v>
      </c>
      <c r="E977">
        <v>2425</v>
      </c>
      <c r="F977" t="s">
        <v>20</v>
      </c>
      <c r="G977" t="s">
        <v>5097</v>
      </c>
      <c r="H977" t="str">
        <f t="shared" si="30"/>
        <v>Louise2425Denton</v>
      </c>
      <c r="I977" t="str">
        <f t="shared" si="31"/>
        <v>Louise</v>
      </c>
      <c r="J977" s="82" t="str">
        <f>IFERROR(INDEX('All Folders'!$A:$A,MATCH(H977,'All Folders'!$G:$G,0),1),"¶")</f>
        <v>SP107</v>
      </c>
      <c r="K977" s="87"/>
      <c r="L977" s="87"/>
    </row>
    <row r="978" spans="1:12" ht="15" x14ac:dyDescent="0.25">
      <c r="A978" t="s">
        <v>20824</v>
      </c>
      <c r="B978" t="s">
        <v>15754</v>
      </c>
      <c r="C978" t="s">
        <v>15755</v>
      </c>
      <c r="D978" t="s">
        <v>15756</v>
      </c>
      <c r="E978">
        <v>1610</v>
      </c>
      <c r="F978" t="s">
        <v>6589</v>
      </c>
      <c r="G978" t="s">
        <v>5097</v>
      </c>
      <c r="H978" t="str">
        <f t="shared" si="30"/>
        <v>McKinney1610Denton</v>
      </c>
      <c r="I978" t="str">
        <f t="shared" si="31"/>
        <v>McKinney</v>
      </c>
      <c r="J978" s="82">
        <f>IFERROR(INDEX('All Folders'!$A:$A,MATCH(H978,'All Folders'!$G:$G,0),1),"¶")</f>
        <v>14327</v>
      </c>
      <c r="K978" s="87"/>
      <c r="L978" s="87"/>
    </row>
    <row r="979" spans="1:12" ht="15" x14ac:dyDescent="0.25">
      <c r="A979" t="s">
        <v>20826</v>
      </c>
      <c r="B979" t="s">
        <v>15760</v>
      </c>
      <c r="C979" t="s">
        <v>15761</v>
      </c>
      <c r="D979" t="s">
        <v>15762</v>
      </c>
      <c r="E979">
        <v>1700</v>
      </c>
      <c r="F979" t="s">
        <v>15763</v>
      </c>
      <c r="G979" t="s">
        <v>5097</v>
      </c>
      <c r="H979" t="str">
        <f t="shared" si="30"/>
        <v>Village1700Denton</v>
      </c>
      <c r="I979" t="str">
        <f t="shared" si="31"/>
        <v>Village</v>
      </c>
      <c r="J979" s="82">
        <f>IFERROR(INDEX('All Folders'!$A:$A,MATCH(H979,'All Folders'!$G:$G,0),1),"¶")</f>
        <v>14927</v>
      </c>
      <c r="K979" s="87"/>
      <c r="L979" s="87"/>
    </row>
    <row r="980" spans="1:12" ht="15" x14ac:dyDescent="0.25">
      <c r="A980" t="s">
        <v>20827</v>
      </c>
      <c r="B980" t="s">
        <v>15764</v>
      </c>
      <c r="C980" t="s">
        <v>15765</v>
      </c>
      <c r="D980" t="s">
        <v>15766</v>
      </c>
      <c r="E980">
        <v>902</v>
      </c>
      <c r="F980" t="s">
        <v>15767</v>
      </c>
      <c r="G980" t="s">
        <v>5097</v>
      </c>
      <c r="H980" t="str">
        <f t="shared" si="30"/>
        <v>Vine902Denton</v>
      </c>
      <c r="I980" t="str">
        <f t="shared" si="31"/>
        <v>Vine</v>
      </c>
      <c r="J980" s="82" t="str">
        <f>IFERROR(INDEX('All Folders'!$A:$A,MATCH(H980,'All Folders'!$G:$G,0),1),"¶")</f>
        <v>SP111</v>
      </c>
      <c r="K980" s="87"/>
      <c r="L980" s="87"/>
    </row>
    <row r="981" spans="1:12" ht="15" x14ac:dyDescent="0.25">
      <c r="A981" t="s">
        <v>20828</v>
      </c>
      <c r="B981" t="s">
        <v>15768</v>
      </c>
      <c r="C981" t="s">
        <v>15769</v>
      </c>
      <c r="D981" t="s">
        <v>15770</v>
      </c>
      <c r="E981">
        <v>521</v>
      </c>
      <c r="F981" t="s">
        <v>1495</v>
      </c>
      <c r="G981" t="s">
        <v>5097</v>
      </c>
      <c r="H981" t="str">
        <f t="shared" si="30"/>
        <v>Windsor521Denton</v>
      </c>
      <c r="I981" t="str">
        <f t="shared" si="31"/>
        <v>Windsor</v>
      </c>
      <c r="J981" s="82">
        <f>IFERROR(INDEX('All Folders'!$A:$A,MATCH(H981,'All Folders'!$G:$G,0),1),"¶")</f>
        <v>15060</v>
      </c>
      <c r="K981" s="87"/>
      <c r="L981" s="87"/>
    </row>
    <row r="982" spans="1:12" ht="15" x14ac:dyDescent="0.25">
      <c r="A982" t="s">
        <v>20829</v>
      </c>
      <c r="B982" t="s">
        <v>15771</v>
      </c>
      <c r="C982" t="s">
        <v>15772</v>
      </c>
      <c r="D982" t="s">
        <v>15734</v>
      </c>
      <c r="E982">
        <v>1408</v>
      </c>
      <c r="F982" t="s">
        <v>1504</v>
      </c>
      <c r="G982" t="s">
        <v>5097</v>
      </c>
      <c r="H982" t="str">
        <f t="shared" si="30"/>
        <v>Teasley1408Denton</v>
      </c>
      <c r="I982" t="str">
        <f t="shared" si="31"/>
        <v>Teasley</v>
      </c>
      <c r="J982" s="82">
        <f>IFERROR(INDEX('All Folders'!$A:$A,MATCH(H982,'All Folders'!$G:$G,0),1),"¶")</f>
        <v>15073</v>
      </c>
      <c r="K982" s="87"/>
      <c r="L982" s="87"/>
    </row>
    <row r="983" spans="1:12" ht="15" x14ac:dyDescent="0.25">
      <c r="A983" t="s">
        <v>20830</v>
      </c>
      <c r="B983" t="s">
        <v>15773</v>
      </c>
      <c r="C983" t="s">
        <v>15774</v>
      </c>
      <c r="D983" t="s">
        <v>15775</v>
      </c>
      <c r="E983">
        <v>510</v>
      </c>
      <c r="F983" t="s">
        <v>15776</v>
      </c>
      <c r="G983" t="s">
        <v>2356</v>
      </c>
      <c r="H983" t="str">
        <f t="shared" si="30"/>
        <v>Belt510DeSoto</v>
      </c>
      <c r="I983" t="str">
        <f t="shared" si="31"/>
        <v>Belt</v>
      </c>
      <c r="J983" s="82" t="str">
        <f>IFERROR(INDEX('All Folders'!$A:$A,MATCH(H983,'All Folders'!$G:$G,0),1),"¶")</f>
        <v>SP112</v>
      </c>
      <c r="K983" s="87"/>
      <c r="L983" s="87"/>
    </row>
    <row r="984" spans="1:12" ht="15" x14ac:dyDescent="0.25">
      <c r="A984" t="s">
        <v>20831</v>
      </c>
      <c r="B984" t="s">
        <v>15777</v>
      </c>
      <c r="C984" t="s">
        <v>15778</v>
      </c>
      <c r="D984" t="s">
        <v>13117</v>
      </c>
      <c r="E984">
        <v>801</v>
      </c>
      <c r="F984" t="s">
        <v>15779</v>
      </c>
      <c r="G984" t="s">
        <v>2356</v>
      </c>
      <c r="H984" t="str">
        <f t="shared" si="30"/>
        <v>Polk801DeSoto</v>
      </c>
      <c r="I984" t="str">
        <f t="shared" si="31"/>
        <v>Polk</v>
      </c>
      <c r="J984" s="82">
        <f>IFERROR(INDEX('All Folders'!$A:$A,MATCH(H984,'All Folders'!$G:$G,0),1),"¶")</f>
        <v>15906</v>
      </c>
      <c r="K984" s="87"/>
      <c r="L984" s="87"/>
    </row>
    <row r="985" spans="1:12" ht="15" x14ac:dyDescent="0.25">
      <c r="A985" t="s">
        <v>20832</v>
      </c>
      <c r="B985" t="s">
        <v>15780</v>
      </c>
      <c r="C985" t="s">
        <v>15781</v>
      </c>
      <c r="D985" t="s">
        <v>15782</v>
      </c>
      <c r="E985">
        <v>207</v>
      </c>
      <c r="F985" t="s">
        <v>15783</v>
      </c>
      <c r="G985" t="s">
        <v>2356</v>
      </c>
      <c r="H985" t="str">
        <f t="shared" si="30"/>
        <v>Pleasant207DeSoto</v>
      </c>
      <c r="I985" t="str">
        <f t="shared" si="31"/>
        <v>Pleasant</v>
      </c>
      <c r="J985" s="82">
        <f>IFERROR(INDEX('All Folders'!$A:$A,MATCH(H985,'All Folders'!$G:$G,0),1),"¶")</f>
        <v>17918</v>
      </c>
      <c r="K985" s="87"/>
      <c r="L985" s="87"/>
    </row>
    <row r="986" spans="1:12" ht="15" x14ac:dyDescent="0.25">
      <c r="A986" t="s">
        <v>20833</v>
      </c>
      <c r="B986" t="s">
        <v>15784</v>
      </c>
      <c r="C986" t="s">
        <v>15785</v>
      </c>
      <c r="D986" t="s">
        <v>1092</v>
      </c>
      <c r="E986">
        <v>518</v>
      </c>
      <c r="F986" t="s">
        <v>15786</v>
      </c>
      <c r="G986" t="s">
        <v>2356</v>
      </c>
      <c r="H986" t="str">
        <f t="shared" si="30"/>
        <v>Hampton518DeSoto</v>
      </c>
      <c r="I986" t="str">
        <f t="shared" si="31"/>
        <v>Hampton</v>
      </c>
      <c r="J986" s="82" t="str">
        <f>IFERROR(INDEX('All Folders'!$A:$A,MATCH(H986,'All Folders'!$G:$G,0),1),"¶")</f>
        <v>SP113</v>
      </c>
      <c r="K986" s="87"/>
      <c r="L986" s="87"/>
    </row>
    <row r="987" spans="1:12" ht="15" x14ac:dyDescent="0.25">
      <c r="A987" t="s">
        <v>20834</v>
      </c>
      <c r="B987" t="s">
        <v>15787</v>
      </c>
      <c r="C987" t="s">
        <v>15788</v>
      </c>
      <c r="D987" t="s">
        <v>15789</v>
      </c>
      <c r="E987">
        <v>1369</v>
      </c>
      <c r="F987" t="s">
        <v>5840</v>
      </c>
      <c r="G987" t="s">
        <v>2356</v>
      </c>
      <c r="H987" t="str">
        <f t="shared" si="30"/>
        <v>Hampton1369DeSoto</v>
      </c>
      <c r="I987" t="str">
        <f t="shared" si="31"/>
        <v>Hampton</v>
      </c>
      <c r="J987" s="82">
        <f>IFERROR(INDEX('All Folders'!$A:$A,MATCH(H987,'All Folders'!$G:$G,0),1),"¶")</f>
        <v>13672</v>
      </c>
      <c r="K987" s="87"/>
      <c r="L987" s="87"/>
    </row>
    <row r="988" spans="1:12" ht="15" x14ac:dyDescent="0.25">
      <c r="A988" t="s">
        <v>20835</v>
      </c>
      <c r="B988" t="s">
        <v>15790</v>
      </c>
      <c r="C988" t="s">
        <v>15791</v>
      </c>
      <c r="D988" t="s">
        <v>15782</v>
      </c>
      <c r="E988">
        <v>1225</v>
      </c>
      <c r="F988" t="s">
        <v>6055</v>
      </c>
      <c r="G988" t="s">
        <v>2356</v>
      </c>
      <c r="H988" t="str">
        <f t="shared" si="30"/>
        <v>Pleasant1225DeSoto</v>
      </c>
      <c r="I988" t="str">
        <f t="shared" si="31"/>
        <v>Pleasant</v>
      </c>
      <c r="J988" s="82">
        <f>IFERROR(INDEX('All Folders'!$A:$A,MATCH(H988,'All Folders'!$G:$G,0),1),"¶")</f>
        <v>13850</v>
      </c>
      <c r="K988" s="87"/>
      <c r="L988" s="87"/>
    </row>
    <row r="989" spans="1:12" ht="15" x14ac:dyDescent="0.25">
      <c r="A989" t="s">
        <v>20836</v>
      </c>
      <c r="B989" t="s">
        <v>15792</v>
      </c>
      <c r="C989" t="s">
        <v>15793</v>
      </c>
      <c r="D989" t="s">
        <v>6055</v>
      </c>
      <c r="E989">
        <v>1021</v>
      </c>
      <c r="F989" t="s">
        <v>1348</v>
      </c>
      <c r="G989" t="s">
        <v>2356</v>
      </c>
      <c r="H989" t="str">
        <f t="shared" si="30"/>
        <v>Pecan1021DeSoto</v>
      </c>
      <c r="I989" t="str">
        <f t="shared" si="31"/>
        <v>Pecan</v>
      </c>
      <c r="J989" s="82">
        <f>IFERROR(INDEX('All Folders'!$A:$A,MATCH(H989,'All Folders'!$G:$G,0),1),"¶")</f>
        <v>14021</v>
      </c>
      <c r="K989" s="87"/>
      <c r="L989" s="87"/>
    </row>
    <row r="990" spans="1:12" ht="15" x14ac:dyDescent="0.25">
      <c r="A990" t="s">
        <v>20838</v>
      </c>
      <c r="B990" t="s">
        <v>15796</v>
      </c>
      <c r="C990" t="s">
        <v>15797</v>
      </c>
      <c r="D990" t="s">
        <v>15798</v>
      </c>
      <c r="E990">
        <v>110</v>
      </c>
      <c r="F990" t="s">
        <v>4560</v>
      </c>
      <c r="G990" t="s">
        <v>4559</v>
      </c>
      <c r="H990" t="str">
        <f t="shared" si="30"/>
        <v>Deats110Dickinson</v>
      </c>
      <c r="I990" t="str">
        <f t="shared" si="31"/>
        <v>Deats</v>
      </c>
      <c r="J990" s="82">
        <f>IFERROR(INDEX('All Folders'!$A:$A,MATCH(H990,'All Folders'!$G:$G,0),1),"¶")</f>
        <v>4238</v>
      </c>
      <c r="K990" s="87"/>
      <c r="L990" s="87"/>
    </row>
    <row r="991" spans="1:12" ht="15" x14ac:dyDescent="0.25">
      <c r="A991" t="s">
        <v>20839</v>
      </c>
      <c r="B991" t="s">
        <v>15799</v>
      </c>
      <c r="C991" t="s">
        <v>15800</v>
      </c>
      <c r="D991" t="s">
        <v>15801</v>
      </c>
      <c r="E991">
        <v>5301</v>
      </c>
      <c r="F991" t="s">
        <v>15802</v>
      </c>
      <c r="G991" t="s">
        <v>4559</v>
      </c>
      <c r="H991" t="str">
        <f t="shared" si="30"/>
        <v>5175301Dickinson</v>
      </c>
      <c r="I991" t="str">
        <f t="shared" si="31"/>
        <v>517</v>
      </c>
      <c r="J991" s="82">
        <f>IFERROR(INDEX('All Folders'!$A:$A,MATCH(H991,'All Folders'!$G:$G,0),1),"¶")</f>
        <v>30457</v>
      </c>
      <c r="K991" s="87"/>
      <c r="L991" s="87"/>
    </row>
    <row r="992" spans="1:12" ht="15" x14ac:dyDescent="0.25">
      <c r="A992" t="s">
        <v>20840</v>
      </c>
      <c r="B992" t="s">
        <v>15803</v>
      </c>
      <c r="C992" t="s">
        <v>15804</v>
      </c>
      <c r="D992" t="s">
        <v>15798</v>
      </c>
      <c r="E992">
        <v>406</v>
      </c>
      <c r="F992" t="s">
        <v>2237</v>
      </c>
      <c r="G992" t="s">
        <v>4559</v>
      </c>
      <c r="H992" t="str">
        <f t="shared" si="30"/>
        <v>Deats406Dickinson</v>
      </c>
      <c r="I992" t="str">
        <f t="shared" si="31"/>
        <v>Deats</v>
      </c>
      <c r="J992" s="82">
        <f>IFERROR(INDEX('All Folders'!$A:$A,MATCH(H992,'All Folders'!$G:$G,0),1),"¶")</f>
        <v>4287</v>
      </c>
      <c r="K992" s="87"/>
      <c r="L992" s="87"/>
    </row>
    <row r="993" spans="1:12" ht="15" x14ac:dyDescent="0.25">
      <c r="A993" t="s">
        <v>20841</v>
      </c>
      <c r="B993" t="s">
        <v>15805</v>
      </c>
      <c r="C993" t="s">
        <v>15806</v>
      </c>
      <c r="D993" t="s">
        <v>15807</v>
      </c>
      <c r="E993">
        <v>5425</v>
      </c>
      <c r="F993" t="s">
        <v>12004</v>
      </c>
      <c r="G993" t="s">
        <v>4559</v>
      </c>
      <c r="H993" t="str">
        <f t="shared" si="30"/>
        <v>5175425Dickinson</v>
      </c>
      <c r="I993" t="str">
        <f t="shared" si="31"/>
        <v>517</v>
      </c>
      <c r="J993" s="82">
        <f>IFERROR(INDEX('All Folders'!$A:$A,MATCH(H993,'All Folders'!$G:$G,0),1),"¶")</f>
        <v>30458</v>
      </c>
      <c r="K993" s="87"/>
      <c r="L993" s="87"/>
    </row>
    <row r="994" spans="1:12" ht="15" x14ac:dyDescent="0.25">
      <c r="A994" t="s">
        <v>20842</v>
      </c>
      <c r="B994" t="s">
        <v>15808</v>
      </c>
      <c r="C994" t="s">
        <v>15809</v>
      </c>
      <c r="D994" t="s">
        <v>15810</v>
      </c>
      <c r="E994">
        <v>1301</v>
      </c>
      <c r="F994" t="s">
        <v>15811</v>
      </c>
      <c r="G994" t="s">
        <v>12206</v>
      </c>
      <c r="H994" t="str">
        <f t="shared" si="30"/>
        <v>Maddox1301Dumas</v>
      </c>
      <c r="I994" t="str">
        <f t="shared" si="31"/>
        <v>Maddox</v>
      </c>
      <c r="J994" s="82">
        <f>IFERROR(INDEX('All Folders'!$A:$A,MATCH(H994,'All Folders'!$G:$G,0),1),"¶")</f>
        <v>30613</v>
      </c>
      <c r="K994" s="87"/>
      <c r="L994" s="87"/>
    </row>
    <row r="995" spans="1:12" ht="15" x14ac:dyDescent="0.25">
      <c r="A995" t="s">
        <v>20843</v>
      </c>
      <c r="B995" t="s">
        <v>15812</v>
      </c>
      <c r="C995" t="s">
        <v>15813</v>
      </c>
      <c r="D995" t="s">
        <v>15814</v>
      </c>
      <c r="E995">
        <v>250</v>
      </c>
      <c r="F995" t="s">
        <v>15815</v>
      </c>
      <c r="G995" t="s">
        <v>5228</v>
      </c>
      <c r="H995" t="str">
        <f t="shared" si="30"/>
        <v>67250Duncanville</v>
      </c>
      <c r="I995" t="str">
        <f t="shared" si="31"/>
        <v>67</v>
      </c>
      <c r="J995" s="82">
        <f>IFERROR(INDEX('All Folders'!$A:$A,MATCH(H995,'All Folders'!$G:$G,0),1),"¶")</f>
        <v>18639</v>
      </c>
      <c r="K995" s="87"/>
      <c r="L995" s="87"/>
    </row>
    <row r="996" spans="1:12" ht="15" x14ac:dyDescent="0.25">
      <c r="A996" t="s">
        <v>20846</v>
      </c>
      <c r="B996" t="s">
        <v>15822</v>
      </c>
      <c r="C996" t="s">
        <v>15823</v>
      </c>
      <c r="D996" t="s">
        <v>15824</v>
      </c>
      <c r="E996">
        <v>1303</v>
      </c>
      <c r="F996" t="s">
        <v>15825</v>
      </c>
      <c r="G996" t="s">
        <v>5228</v>
      </c>
      <c r="H996" t="str">
        <f t="shared" si="30"/>
        <v>Main1303Duncanville</v>
      </c>
      <c r="I996" t="str">
        <f t="shared" si="31"/>
        <v>Main</v>
      </c>
      <c r="J996" s="82">
        <f>IFERROR(INDEX('All Folders'!$A:$A,MATCH(H996,'All Folders'!$G:$G,0),1),"¶")</f>
        <v>13708</v>
      </c>
      <c r="K996" s="87"/>
      <c r="L996" s="87"/>
    </row>
    <row r="997" spans="1:12" ht="15" x14ac:dyDescent="0.25">
      <c r="A997" t="s">
        <v>20847</v>
      </c>
      <c r="B997" t="s">
        <v>15826</v>
      </c>
      <c r="C997" t="s">
        <v>15827</v>
      </c>
      <c r="D997" t="s">
        <v>15828</v>
      </c>
      <c r="E997">
        <v>400</v>
      </c>
      <c r="F997" t="s">
        <v>5927</v>
      </c>
      <c r="G997" t="s">
        <v>5228</v>
      </c>
      <c r="H997" t="str">
        <f t="shared" si="30"/>
        <v>Merrill400Duncanville</v>
      </c>
      <c r="I997" t="str">
        <f t="shared" si="31"/>
        <v>Merrill</v>
      </c>
      <c r="J997" s="82">
        <f>IFERROR(INDEX('All Folders'!$A:$A,MATCH(H997,'All Folders'!$G:$G,0),1),"¶")</f>
        <v>13740</v>
      </c>
      <c r="K997" s="87"/>
      <c r="L997" s="87"/>
    </row>
    <row r="998" spans="1:12" ht="15" x14ac:dyDescent="0.25">
      <c r="A998" t="s">
        <v>20849</v>
      </c>
      <c r="B998" t="s">
        <v>15832</v>
      </c>
      <c r="C998" t="s">
        <v>15833</v>
      </c>
      <c r="D998" t="s">
        <v>15834</v>
      </c>
      <c r="E998">
        <v>603</v>
      </c>
      <c r="F998" t="s">
        <v>15835</v>
      </c>
      <c r="G998" t="s">
        <v>5228</v>
      </c>
      <c r="H998" t="str">
        <f t="shared" si="30"/>
        <v>Center603Duncanville</v>
      </c>
      <c r="I998" t="str">
        <f t="shared" si="31"/>
        <v>Center</v>
      </c>
      <c r="J998" s="82">
        <f>IFERROR(INDEX('All Folders'!$A:$A,MATCH(H998,'All Folders'!$G:$G,0),1),"¶")</f>
        <v>14204</v>
      </c>
      <c r="K998" s="87"/>
      <c r="L998" s="87"/>
    </row>
    <row r="999" spans="1:12" ht="15" x14ac:dyDescent="0.25">
      <c r="A999" t="s">
        <v>20850</v>
      </c>
      <c r="B999" t="s">
        <v>15836</v>
      </c>
      <c r="C999" t="s">
        <v>15837</v>
      </c>
      <c r="D999" t="s">
        <v>15838</v>
      </c>
      <c r="E999">
        <v>600</v>
      </c>
      <c r="F999" t="s">
        <v>15839</v>
      </c>
      <c r="G999" t="s">
        <v>12425</v>
      </c>
      <c r="H999" t="str">
        <f t="shared" si="30"/>
        <v>Sadosa600Eastland</v>
      </c>
      <c r="I999" t="str">
        <f t="shared" si="31"/>
        <v>Sadosa</v>
      </c>
      <c r="J999" s="82">
        <f>IFERROR(INDEX('All Folders'!$A:$A,MATCH(H999,'All Folders'!$G:$G,0),1),"¶")</f>
        <v>30753</v>
      </c>
      <c r="K999" s="87"/>
      <c r="L999" s="87"/>
    </row>
    <row r="1000" spans="1:12" ht="15" x14ac:dyDescent="0.25">
      <c r="A1000" t="s">
        <v>20852</v>
      </c>
      <c r="B1000" t="s">
        <v>15845</v>
      </c>
      <c r="C1000" t="s">
        <v>15846</v>
      </c>
      <c r="D1000" t="s">
        <v>15847</v>
      </c>
      <c r="E1000">
        <v>7900</v>
      </c>
      <c r="F1000" t="s">
        <v>6351</v>
      </c>
      <c r="G1000" t="s">
        <v>12232</v>
      </c>
      <c r="H1000" t="str">
        <f t="shared" si="30"/>
        <v>Viscount7900El Paso</v>
      </c>
      <c r="I1000" t="str">
        <f t="shared" si="31"/>
        <v>Viscount</v>
      </c>
      <c r="J1000" s="82">
        <f>IFERROR(INDEX('All Folders'!$A:$A,MATCH(H1000,'All Folders'!$G:$G,0),1),"¶")</f>
        <v>30646</v>
      </c>
      <c r="K1000" s="87"/>
      <c r="L1000" s="87"/>
    </row>
    <row r="1001" spans="1:12" ht="15" x14ac:dyDescent="0.25">
      <c r="A1001" t="s">
        <v>20853</v>
      </c>
      <c r="B1001" t="s">
        <v>15848</v>
      </c>
      <c r="C1001" t="s">
        <v>15849</v>
      </c>
      <c r="D1001" t="s">
        <v>15850</v>
      </c>
      <c r="E1001">
        <v>213</v>
      </c>
      <c r="F1001" t="s">
        <v>12234</v>
      </c>
      <c r="G1001" t="s">
        <v>12232</v>
      </c>
      <c r="H1001" t="str">
        <f t="shared" si="30"/>
        <v>Argonaut213El Paso</v>
      </c>
      <c r="I1001" t="str">
        <f t="shared" si="31"/>
        <v>Argonaut</v>
      </c>
      <c r="J1001" s="82">
        <f>IFERROR(INDEX('All Folders'!$A:$A,MATCH(H1001,'All Folders'!$G:$G,0),1),"¶")</f>
        <v>30628</v>
      </c>
      <c r="K1001" s="87"/>
      <c r="L1001" s="87"/>
    </row>
    <row r="1002" spans="1:12" ht="15" x14ac:dyDescent="0.25">
      <c r="A1002" t="s">
        <v>20854</v>
      </c>
      <c r="B1002" t="s">
        <v>15851</v>
      </c>
      <c r="C1002" t="s">
        <v>15852</v>
      </c>
      <c r="D1002" t="s">
        <v>7368</v>
      </c>
      <c r="E1002">
        <v>4554</v>
      </c>
      <c r="F1002" t="s">
        <v>12241</v>
      </c>
      <c r="G1002" t="s">
        <v>12232</v>
      </c>
      <c r="H1002" t="str">
        <f t="shared" si="30"/>
        <v>Hercules4554El Paso</v>
      </c>
      <c r="I1002" t="str">
        <f t="shared" si="31"/>
        <v>Hercules</v>
      </c>
      <c r="J1002" s="82">
        <f>IFERROR(INDEX('All Folders'!$A:$A,MATCH(H1002,'All Folders'!$G:$G,0),1),"¶")</f>
        <v>30632</v>
      </c>
      <c r="K1002" s="87"/>
      <c r="L1002" s="87"/>
    </row>
    <row r="1003" spans="1:12" ht="15" x14ac:dyDescent="0.25">
      <c r="A1003" t="s">
        <v>20855</v>
      </c>
      <c r="B1003" t="s">
        <v>15853</v>
      </c>
      <c r="C1003" t="s">
        <v>15854</v>
      </c>
      <c r="D1003" t="s">
        <v>15855</v>
      </c>
      <c r="E1003">
        <v>9960</v>
      </c>
      <c r="F1003" t="s">
        <v>15856</v>
      </c>
      <c r="G1003" t="s">
        <v>12232</v>
      </c>
      <c r="H1003" t="str">
        <f t="shared" si="30"/>
        <v>McCombs9960El Paso</v>
      </c>
      <c r="I1003" t="str">
        <f t="shared" si="31"/>
        <v>McCombs</v>
      </c>
      <c r="J1003" s="82">
        <f>IFERROR(INDEX('All Folders'!$A:$A,MATCH(H1003,'All Folders'!$G:$G,0),1),"¶")</f>
        <v>30634</v>
      </c>
      <c r="K1003" s="87"/>
      <c r="L1003" s="87"/>
    </row>
    <row r="1004" spans="1:12" ht="15" x14ac:dyDescent="0.25">
      <c r="A1004" t="s">
        <v>20856</v>
      </c>
      <c r="B1004" t="s">
        <v>15857</v>
      </c>
      <c r="C1004" t="s">
        <v>15858</v>
      </c>
      <c r="D1004" t="s">
        <v>12260</v>
      </c>
      <c r="E1004">
        <v>272</v>
      </c>
      <c r="F1004" t="s">
        <v>12263</v>
      </c>
      <c r="G1004" t="s">
        <v>12232</v>
      </c>
      <c r="H1004" t="str">
        <f t="shared" si="30"/>
        <v>Shadow272El Paso</v>
      </c>
      <c r="I1004" t="str">
        <f t="shared" si="31"/>
        <v>Shadow</v>
      </c>
      <c r="J1004" s="82">
        <f>IFERROR(INDEX('All Folders'!$A:$A,MATCH(H1004,'All Folders'!$G:$G,0),1),"¶")</f>
        <v>30644</v>
      </c>
      <c r="K1004" s="87"/>
      <c r="L1004" s="87"/>
    </row>
    <row r="1005" spans="1:12" ht="15" x14ac:dyDescent="0.25">
      <c r="A1005" t="s">
        <v>20857</v>
      </c>
      <c r="B1005" t="s">
        <v>15859</v>
      </c>
      <c r="C1005" t="s">
        <v>15860</v>
      </c>
      <c r="D1005" t="s">
        <v>15861</v>
      </c>
      <c r="E1005">
        <v>1750</v>
      </c>
      <c r="F1005" t="s">
        <v>15862</v>
      </c>
      <c r="G1005" t="s">
        <v>12232</v>
      </c>
      <c r="H1005" t="str">
        <f t="shared" si="30"/>
        <v>Lee1750El Paso</v>
      </c>
      <c r="I1005" t="str">
        <f t="shared" si="31"/>
        <v>Lee</v>
      </c>
      <c r="J1005" s="82">
        <f>IFERROR(INDEX('All Folders'!$A:$A,MATCH(H1005,'All Folders'!$G:$G,0),1),"¶")</f>
        <v>30636</v>
      </c>
      <c r="K1005" s="87"/>
      <c r="L1005" s="87"/>
    </row>
    <row r="1006" spans="1:12" ht="15" x14ac:dyDescent="0.25">
      <c r="A1006" t="s">
        <v>20858</v>
      </c>
      <c r="B1006" t="s">
        <v>15863</v>
      </c>
      <c r="C1006" t="s">
        <v>15864</v>
      </c>
      <c r="D1006" t="s">
        <v>15865</v>
      </c>
      <c r="E1006">
        <v>500</v>
      </c>
      <c r="F1006" t="s">
        <v>15866</v>
      </c>
      <c r="G1006" t="s">
        <v>12232</v>
      </c>
      <c r="H1006" t="str">
        <f t="shared" si="30"/>
        <v>Rubin500El Paso</v>
      </c>
      <c r="I1006" t="str">
        <f t="shared" si="31"/>
        <v>Rubin</v>
      </c>
      <c r="J1006" s="82">
        <f>IFERROR(INDEX('All Folders'!$A:$A,MATCH(H1006,'All Folders'!$G:$G,0),1),"¶")</f>
        <v>30637</v>
      </c>
      <c r="K1006" s="87"/>
      <c r="L1006" s="87"/>
    </row>
    <row r="1007" spans="1:12" ht="15" x14ac:dyDescent="0.25">
      <c r="A1007" t="s">
        <v>20859</v>
      </c>
      <c r="B1007" t="s">
        <v>15867</v>
      </c>
      <c r="C1007" t="s">
        <v>15868</v>
      </c>
      <c r="D1007" t="s">
        <v>15869</v>
      </c>
      <c r="E1007">
        <v>200</v>
      </c>
      <c r="F1007" t="s">
        <v>15870</v>
      </c>
      <c r="G1007" t="s">
        <v>12232</v>
      </c>
      <c r="H1007" t="str">
        <f t="shared" si="30"/>
        <v>Desert200El Paso</v>
      </c>
      <c r="I1007" t="str">
        <f t="shared" si="31"/>
        <v>Desert</v>
      </c>
      <c r="J1007" s="82">
        <f>IFERROR(INDEX('All Folders'!$A:$A,MATCH(H1007,'All Folders'!$G:$G,0),1),"¶")</f>
        <v>30629</v>
      </c>
      <c r="K1007" s="87"/>
      <c r="L1007" s="87"/>
    </row>
    <row r="1008" spans="1:12" ht="15" x14ac:dyDescent="0.25">
      <c r="A1008" t="s">
        <v>20860</v>
      </c>
      <c r="B1008" t="s">
        <v>15871</v>
      </c>
      <c r="C1008" t="s">
        <v>15872</v>
      </c>
      <c r="D1008" t="s">
        <v>15873</v>
      </c>
      <c r="E1008">
        <v>3334</v>
      </c>
      <c r="F1008" t="s">
        <v>15874</v>
      </c>
      <c r="G1008" t="s">
        <v>12232</v>
      </c>
      <c r="H1008" t="str">
        <f t="shared" si="30"/>
        <v>Zion3334El Paso</v>
      </c>
      <c r="I1008" t="str">
        <f t="shared" si="31"/>
        <v>Zion</v>
      </c>
      <c r="J1008" s="82">
        <f>IFERROR(INDEX('All Folders'!$A:$A,MATCH(H1008,'All Folders'!$G:$G,0),1),"¶")</f>
        <v>30648</v>
      </c>
      <c r="K1008" s="87"/>
      <c r="L1008" s="87"/>
    </row>
    <row r="1009" spans="1:12" ht="15" x14ac:dyDescent="0.25">
      <c r="A1009" t="s">
        <v>20861</v>
      </c>
      <c r="B1009" t="s">
        <v>15875</v>
      </c>
      <c r="C1009" t="s">
        <v>15876</v>
      </c>
      <c r="D1009" t="s">
        <v>15877</v>
      </c>
      <c r="E1009">
        <v>5757</v>
      </c>
      <c r="F1009" t="s">
        <v>15878</v>
      </c>
      <c r="G1009" t="s">
        <v>12232</v>
      </c>
      <c r="H1009" t="str">
        <f t="shared" si="30"/>
        <v>Will5757El Paso</v>
      </c>
      <c r="I1009" t="str">
        <f t="shared" si="31"/>
        <v>Will</v>
      </c>
      <c r="J1009" s="82">
        <f>IFERROR(INDEX('All Folders'!$A:$A,MATCH(H1009,'All Folders'!$G:$G,0),1),"¶")</f>
        <v>30650</v>
      </c>
      <c r="K1009" s="87"/>
      <c r="L1009" s="87"/>
    </row>
    <row r="1010" spans="1:12" ht="15" x14ac:dyDescent="0.25">
      <c r="A1010" t="s">
        <v>20862</v>
      </c>
      <c r="B1010" t="s">
        <v>15879</v>
      </c>
      <c r="C1010" t="s">
        <v>15880</v>
      </c>
      <c r="D1010" t="s">
        <v>15881</v>
      </c>
      <c r="E1010">
        <v>4495</v>
      </c>
      <c r="F1010" t="s">
        <v>12271</v>
      </c>
      <c r="G1010" t="s">
        <v>12232</v>
      </c>
      <c r="H1010" t="str">
        <f t="shared" si="30"/>
        <v>Jon4495El Paso</v>
      </c>
      <c r="I1010" t="str">
        <f t="shared" si="31"/>
        <v>Jon</v>
      </c>
      <c r="J1010" s="82">
        <f>IFERROR(INDEX('All Folders'!$A:$A,MATCH(H1010,'All Folders'!$G:$G,0),1),"¶")</f>
        <v>30649</v>
      </c>
      <c r="K1010" s="87"/>
      <c r="L1010" s="87"/>
    </row>
    <row r="1011" spans="1:12" ht="15" x14ac:dyDescent="0.25">
      <c r="A1011" t="s">
        <v>20863</v>
      </c>
      <c r="B1011" t="s">
        <v>15882</v>
      </c>
      <c r="C1011" t="s">
        <v>15883</v>
      </c>
      <c r="D1011" t="s">
        <v>15884</v>
      </c>
      <c r="E1011">
        <v>9550</v>
      </c>
      <c r="F1011" t="s">
        <v>15885</v>
      </c>
      <c r="G1011" t="s">
        <v>12232</v>
      </c>
      <c r="H1011" t="str">
        <f t="shared" si="30"/>
        <v>Dyer9550El Paso</v>
      </c>
      <c r="I1011" t="str">
        <f t="shared" si="31"/>
        <v>Dyer</v>
      </c>
      <c r="J1011" s="82">
        <f>IFERROR(INDEX('All Folders'!$A:$A,MATCH(H1011,'All Folders'!$G:$G,0),1),"¶")</f>
        <v>30630</v>
      </c>
      <c r="K1011" s="87"/>
      <c r="L1011" s="87"/>
    </row>
    <row r="1012" spans="1:12" ht="15" x14ac:dyDescent="0.25">
      <c r="A1012" t="s">
        <v>20864</v>
      </c>
      <c r="B1012" t="s">
        <v>15886</v>
      </c>
      <c r="C1012" t="s">
        <v>15887</v>
      </c>
      <c r="D1012" t="s">
        <v>3984</v>
      </c>
      <c r="E1012">
        <v>10701</v>
      </c>
      <c r="F1012" t="s">
        <v>15888</v>
      </c>
      <c r="G1012" t="s">
        <v>12232</v>
      </c>
      <c r="H1012" t="str">
        <f t="shared" si="30"/>
        <v>Vista10701El Paso</v>
      </c>
      <c r="I1012" t="str">
        <f t="shared" si="31"/>
        <v>Vista</v>
      </c>
      <c r="J1012" s="82">
        <f>IFERROR(INDEX('All Folders'!$A:$A,MATCH(H1012,'All Folders'!$G:$G,0),1),"¶")</f>
        <v>30647</v>
      </c>
      <c r="K1012" s="87"/>
      <c r="L1012" s="87"/>
    </row>
    <row r="1013" spans="1:12" ht="15" x14ac:dyDescent="0.25">
      <c r="A1013" t="s">
        <v>20865</v>
      </c>
      <c r="B1013" t="s">
        <v>15889</v>
      </c>
      <c r="C1013" t="s">
        <v>15890</v>
      </c>
      <c r="D1013" t="s">
        <v>15891</v>
      </c>
      <c r="E1013">
        <v>5205</v>
      </c>
      <c r="F1013" t="s">
        <v>12240</v>
      </c>
      <c r="G1013" t="s">
        <v>12232</v>
      </c>
      <c r="H1013" t="str">
        <f t="shared" si="30"/>
        <v>Fairbanks5205El Paso</v>
      </c>
      <c r="I1013" t="str">
        <f t="shared" si="31"/>
        <v>Fairbanks</v>
      </c>
      <c r="J1013" s="82">
        <f>IFERROR(INDEX('All Folders'!$A:$A,MATCH(H1013,'All Folders'!$G:$G,0),1),"¶")</f>
        <v>30631</v>
      </c>
      <c r="K1013" s="87"/>
      <c r="L1013" s="87"/>
    </row>
    <row r="1014" spans="1:12" ht="15" x14ac:dyDescent="0.25">
      <c r="A1014" t="s">
        <v>20866</v>
      </c>
      <c r="B1014" t="s">
        <v>15892</v>
      </c>
      <c r="C1014" t="s">
        <v>15893</v>
      </c>
      <c r="D1014" t="s">
        <v>15894</v>
      </c>
      <c r="E1014">
        <v>601</v>
      </c>
      <c r="F1014" t="s">
        <v>12254</v>
      </c>
      <c r="G1014" t="s">
        <v>12232</v>
      </c>
      <c r="H1014" t="str">
        <f t="shared" si="30"/>
        <v>Mesa601El Paso</v>
      </c>
      <c r="I1014" t="str">
        <f t="shared" si="31"/>
        <v>Mesa</v>
      </c>
      <c r="J1014" s="82">
        <f>IFERROR(INDEX('All Folders'!$A:$A,MATCH(H1014,'All Folders'!$G:$G,0),1),"¶")</f>
        <v>30639</v>
      </c>
      <c r="K1014" s="87"/>
      <c r="L1014" s="87"/>
    </row>
    <row r="1015" spans="1:12" ht="15" x14ac:dyDescent="0.25">
      <c r="A1015" t="s">
        <v>20867</v>
      </c>
      <c r="B1015" t="s">
        <v>15895</v>
      </c>
      <c r="C1015" t="s">
        <v>15896</v>
      </c>
      <c r="D1015" t="s">
        <v>12260</v>
      </c>
      <c r="E1015">
        <v>345</v>
      </c>
      <c r="F1015" t="s">
        <v>12261</v>
      </c>
      <c r="G1015" t="s">
        <v>12232</v>
      </c>
      <c r="H1015" t="str">
        <f t="shared" si="30"/>
        <v>Shadow345El Paso</v>
      </c>
      <c r="I1015" t="str">
        <f t="shared" si="31"/>
        <v>Shadow</v>
      </c>
      <c r="J1015" s="82">
        <f>IFERROR(INDEX('All Folders'!$A:$A,MATCH(H1015,'All Folders'!$G:$G,0),1),"¶")</f>
        <v>30643</v>
      </c>
      <c r="K1015" s="87"/>
      <c r="L1015" s="87"/>
    </row>
    <row r="1016" spans="1:12" ht="15" x14ac:dyDescent="0.25">
      <c r="A1016" t="s">
        <v>20869</v>
      </c>
      <c r="B1016" t="s">
        <v>15901</v>
      </c>
      <c r="C1016" t="s">
        <v>15902</v>
      </c>
      <c r="D1016" t="s">
        <v>15894</v>
      </c>
      <c r="E1016">
        <v>415</v>
      </c>
      <c r="F1016" t="s">
        <v>12256</v>
      </c>
      <c r="G1016" t="s">
        <v>12232</v>
      </c>
      <c r="H1016" t="str">
        <f t="shared" si="30"/>
        <v>Mesa415El Paso</v>
      </c>
      <c r="I1016" t="str">
        <f t="shared" si="31"/>
        <v>Mesa</v>
      </c>
      <c r="J1016" s="82">
        <f>IFERROR(INDEX('All Folders'!$A:$A,MATCH(H1016,'All Folders'!$G:$G,0),1),"¶")</f>
        <v>30640</v>
      </c>
      <c r="K1016" s="87"/>
      <c r="L1016" s="87"/>
    </row>
    <row r="1017" spans="1:12" ht="15" x14ac:dyDescent="0.25">
      <c r="A1017" t="s">
        <v>20870</v>
      </c>
      <c r="B1017" t="s">
        <v>15903</v>
      </c>
      <c r="C1017" t="s">
        <v>15904</v>
      </c>
      <c r="D1017" t="s">
        <v>15905</v>
      </c>
      <c r="E1017">
        <v>2990</v>
      </c>
      <c r="F1017" t="s">
        <v>15906</v>
      </c>
      <c r="G1017" t="s">
        <v>12232</v>
      </c>
      <c r="H1017" t="str">
        <f t="shared" si="30"/>
        <v>Trawood2990El Paso</v>
      </c>
      <c r="I1017" t="str">
        <f t="shared" si="31"/>
        <v>Trawood</v>
      </c>
      <c r="J1017" s="82">
        <f>IFERROR(INDEX('All Folders'!$A:$A,MATCH(H1017,'All Folders'!$G:$G,0),1),"¶")</f>
        <v>30645</v>
      </c>
      <c r="K1017" s="87"/>
      <c r="L1017" s="87"/>
    </row>
    <row r="1018" spans="1:12" ht="15" x14ac:dyDescent="0.25">
      <c r="A1018" t="s">
        <v>20871</v>
      </c>
      <c r="B1018" t="s">
        <v>15907</v>
      </c>
      <c r="C1018" t="s">
        <v>15908</v>
      </c>
      <c r="D1018" t="s">
        <v>15894</v>
      </c>
      <c r="E1018">
        <v>734</v>
      </c>
      <c r="F1018" t="s">
        <v>15909</v>
      </c>
      <c r="G1018" t="s">
        <v>12232</v>
      </c>
      <c r="H1018" t="str">
        <f t="shared" si="30"/>
        <v>Mesa734El Paso</v>
      </c>
      <c r="I1018" t="str">
        <f t="shared" si="31"/>
        <v>Mesa</v>
      </c>
      <c r="J1018" s="82">
        <f>IFERROR(INDEX('All Folders'!$A:$A,MATCH(H1018,'All Folders'!$G:$G,0),1),"¶")</f>
        <v>30641</v>
      </c>
      <c r="K1018" s="87"/>
      <c r="L1018" s="87"/>
    </row>
    <row r="1019" spans="1:12" ht="15" x14ac:dyDescent="0.25">
      <c r="A1019" t="s">
        <v>20872</v>
      </c>
      <c r="B1019" t="s">
        <v>15910</v>
      </c>
      <c r="C1019" t="s">
        <v>15911</v>
      </c>
      <c r="D1019" t="s">
        <v>15912</v>
      </c>
      <c r="E1019">
        <v>300</v>
      </c>
      <c r="F1019" t="s">
        <v>15913</v>
      </c>
      <c r="G1019" t="s">
        <v>12232</v>
      </c>
      <c r="H1019" t="str">
        <f t="shared" si="30"/>
        <v>Schuster300El Paso</v>
      </c>
      <c r="I1019" t="str">
        <f t="shared" si="31"/>
        <v>Schuster</v>
      </c>
      <c r="J1019" s="82">
        <f>IFERROR(INDEX('All Folders'!$A:$A,MATCH(H1019,'All Folders'!$G:$G,0),1),"¶")</f>
        <v>30642</v>
      </c>
      <c r="K1019" s="87"/>
      <c r="L1019" s="87"/>
    </row>
    <row r="1020" spans="1:12" ht="15" x14ac:dyDescent="0.25">
      <c r="A1020" t="s">
        <v>20873</v>
      </c>
      <c r="B1020" t="s">
        <v>15914</v>
      </c>
      <c r="C1020" t="s">
        <v>15915</v>
      </c>
      <c r="D1020" t="s">
        <v>15916</v>
      </c>
      <c r="E1020" t="s">
        <v>12510</v>
      </c>
      <c r="F1020" t="s">
        <v>15917</v>
      </c>
      <c r="G1020" t="s">
        <v>6570</v>
      </c>
      <c r="H1020" t="str">
        <f t="shared" si="30"/>
        <v>Cardinal1303-1701Ennis</v>
      </c>
      <c r="I1020" t="str">
        <f t="shared" si="31"/>
        <v>Cardinal</v>
      </c>
      <c r="J1020" s="82" t="str">
        <f>IFERROR(INDEX('All Folders'!$A:$A,MATCH(H1020,'All Folders'!$G:$G,0),1),"¶")</f>
        <v>SP114</v>
      </c>
      <c r="K1020" s="87"/>
      <c r="L1020" s="87"/>
    </row>
    <row r="1021" spans="1:12" ht="15" x14ac:dyDescent="0.25">
      <c r="A1021" t="s">
        <v>20874</v>
      </c>
      <c r="B1021" t="s">
        <v>15918</v>
      </c>
      <c r="C1021" t="s">
        <v>15919</v>
      </c>
      <c r="D1021" t="s">
        <v>15920</v>
      </c>
      <c r="E1021">
        <v>901</v>
      </c>
      <c r="F1021" t="s">
        <v>11540</v>
      </c>
      <c r="G1021" t="s">
        <v>6570</v>
      </c>
      <c r="H1021" t="str">
        <f t="shared" si="30"/>
        <v>45901Ennis</v>
      </c>
      <c r="I1021" t="str">
        <f t="shared" si="31"/>
        <v>45</v>
      </c>
      <c r="J1021" s="82">
        <f>IFERROR(INDEX('All Folders'!$A:$A,MATCH(H1021,'All Folders'!$G:$G,0),1),"¶")</f>
        <v>30125</v>
      </c>
      <c r="K1021" s="87"/>
      <c r="L1021" s="87"/>
    </row>
    <row r="1022" spans="1:12" ht="15" x14ac:dyDescent="0.25">
      <c r="A1022" t="s">
        <v>20875</v>
      </c>
      <c r="B1022" t="s">
        <v>15921</v>
      </c>
      <c r="C1022" t="s">
        <v>15922</v>
      </c>
      <c r="D1022" t="s">
        <v>15923</v>
      </c>
      <c r="E1022">
        <v>1600</v>
      </c>
      <c r="F1022" t="s">
        <v>11544</v>
      </c>
      <c r="G1022" t="s">
        <v>6570</v>
      </c>
      <c r="H1022" t="str">
        <f t="shared" si="30"/>
        <v>Lake1600Ennis</v>
      </c>
      <c r="I1022" t="str">
        <f t="shared" si="31"/>
        <v>Lake</v>
      </c>
      <c r="J1022" s="82">
        <f>IFERROR(INDEX('All Folders'!$A:$A,MATCH(H1022,'All Folders'!$G:$G,0),1),"¶")</f>
        <v>30127</v>
      </c>
      <c r="K1022" s="87"/>
      <c r="L1022" s="87"/>
    </row>
    <row r="1023" spans="1:12" ht="15" x14ac:dyDescent="0.25">
      <c r="A1023" t="s">
        <v>20876</v>
      </c>
      <c r="B1023" t="s">
        <v>15924</v>
      </c>
      <c r="C1023" t="s">
        <v>15925</v>
      </c>
      <c r="D1023" t="s">
        <v>15926</v>
      </c>
      <c r="E1023">
        <v>2300</v>
      </c>
      <c r="F1023" t="s">
        <v>15927</v>
      </c>
      <c r="G1023" t="s">
        <v>6570</v>
      </c>
      <c r="H1023" t="str">
        <f t="shared" si="30"/>
        <v>Yorkstown2300Ennis</v>
      </c>
      <c r="I1023" t="str">
        <f t="shared" si="31"/>
        <v>Yorkstown</v>
      </c>
      <c r="J1023" s="82">
        <f>IFERROR(INDEX('All Folders'!$A:$A,MATCH(H1023,'All Folders'!$G:$G,0),1),"¶")</f>
        <v>30128</v>
      </c>
      <c r="K1023" s="87"/>
      <c r="L1023" s="87"/>
    </row>
    <row r="1024" spans="1:12" ht="15" x14ac:dyDescent="0.25">
      <c r="A1024" t="s">
        <v>20877</v>
      </c>
      <c r="B1024" t="s">
        <v>15928</v>
      </c>
      <c r="C1024" t="s">
        <v>15929</v>
      </c>
      <c r="D1024" t="s">
        <v>15930</v>
      </c>
      <c r="E1024">
        <v>1001</v>
      </c>
      <c r="F1024" t="s">
        <v>15931</v>
      </c>
      <c r="G1024" t="s">
        <v>6570</v>
      </c>
      <c r="H1024" t="str">
        <f t="shared" si="30"/>
        <v>Biloxi1001Ennis</v>
      </c>
      <c r="I1024" t="str">
        <f t="shared" si="31"/>
        <v>Biloxi</v>
      </c>
      <c r="J1024" s="82">
        <f>IFERROR(INDEX('All Folders'!$A:$A,MATCH(H1024,'All Folders'!$G:$G,0),1),"¶")</f>
        <v>30126</v>
      </c>
      <c r="K1024" s="87"/>
      <c r="L1024" s="87"/>
    </row>
    <row r="1025" spans="1:12" ht="15" x14ac:dyDescent="0.25">
      <c r="A1025" t="s">
        <v>20878</v>
      </c>
      <c r="B1025" t="s">
        <v>15932</v>
      </c>
      <c r="C1025" t="s">
        <v>15933</v>
      </c>
      <c r="D1025" t="s">
        <v>15934</v>
      </c>
      <c r="E1025">
        <v>605</v>
      </c>
      <c r="F1025" t="s">
        <v>15935</v>
      </c>
      <c r="G1025" t="s">
        <v>5781</v>
      </c>
      <c r="H1025" t="str">
        <f t="shared" si="30"/>
        <v>Del605Euless</v>
      </c>
      <c r="I1025" t="str">
        <f t="shared" si="31"/>
        <v>Del</v>
      </c>
      <c r="J1025" s="82">
        <f>IFERROR(INDEX('All Folders'!$A:$A,MATCH(H1025,'All Folders'!$G:$G,0),1),"¶")</f>
        <v>15699</v>
      </c>
      <c r="K1025" s="87"/>
      <c r="L1025" s="87"/>
    </row>
    <row r="1026" spans="1:12" ht="15" x14ac:dyDescent="0.25">
      <c r="A1026" t="s">
        <v>20879</v>
      </c>
      <c r="B1026" t="s">
        <v>15936</v>
      </c>
      <c r="C1026" t="s">
        <v>15937</v>
      </c>
      <c r="D1026" t="s">
        <v>15938</v>
      </c>
      <c r="E1026">
        <v>500</v>
      </c>
      <c r="F1026" t="s">
        <v>7904</v>
      </c>
      <c r="G1026" t="s">
        <v>5781</v>
      </c>
      <c r="H1026" t="str">
        <f t="shared" ref="H1026:H1089" si="32">I1026&amp;E1026&amp;G1026</f>
        <v>Harwood500Euless</v>
      </c>
      <c r="I1026" t="str">
        <f t="shared" ref="I1026:I1089" si="33">IFERROR(LEFT(D1026,FIND(" ",D1026)-1),D1026)</f>
        <v>Harwood</v>
      </c>
      <c r="J1026" s="82">
        <f>IFERROR(INDEX('All Folders'!$A:$A,MATCH(H1026,'All Folders'!$G:$G,0),1),"¶")</f>
        <v>15474</v>
      </c>
      <c r="K1026" s="87"/>
      <c r="L1026" s="87"/>
    </row>
    <row r="1027" spans="1:12" ht="15" x14ac:dyDescent="0.25">
      <c r="A1027" t="s">
        <v>20880</v>
      </c>
      <c r="B1027" t="s">
        <v>15939</v>
      </c>
      <c r="C1027" t="s">
        <v>15940</v>
      </c>
      <c r="D1027" t="s">
        <v>15941</v>
      </c>
      <c r="E1027">
        <v>505</v>
      </c>
      <c r="F1027" t="s">
        <v>15942</v>
      </c>
      <c r="G1027" t="s">
        <v>5781</v>
      </c>
      <c r="H1027" t="str">
        <f t="shared" si="32"/>
        <v>Alexander505Euless</v>
      </c>
      <c r="I1027" t="str">
        <f t="shared" si="33"/>
        <v>Alexander</v>
      </c>
      <c r="J1027" s="82" t="str">
        <f>IFERROR(INDEX('All Folders'!$A:$A,MATCH(H1027,'All Folders'!$G:$G,0),1),"¶")</f>
        <v>SP115</v>
      </c>
      <c r="K1027" s="87"/>
      <c r="L1027" s="87"/>
    </row>
    <row r="1028" spans="1:12" ht="15" x14ac:dyDescent="0.25">
      <c r="A1028" t="s">
        <v>20881</v>
      </c>
      <c r="B1028" t="s">
        <v>15943</v>
      </c>
      <c r="C1028" t="s">
        <v>15944</v>
      </c>
      <c r="D1028" t="s">
        <v>15945</v>
      </c>
      <c r="E1028">
        <v>1304</v>
      </c>
      <c r="F1028" t="s">
        <v>6683</v>
      </c>
      <c r="G1028" t="s">
        <v>5781</v>
      </c>
      <c r="H1028" t="str">
        <f t="shared" si="32"/>
        <v>Raider1304Euless</v>
      </c>
      <c r="I1028" t="str">
        <f t="shared" si="33"/>
        <v>Raider</v>
      </c>
      <c r="J1028" s="82">
        <f>IFERROR(INDEX('All Folders'!$A:$A,MATCH(H1028,'All Folders'!$G:$G,0),1),"¶")</f>
        <v>14383</v>
      </c>
      <c r="K1028" s="87"/>
      <c r="L1028" s="87"/>
    </row>
    <row r="1029" spans="1:12" ht="15" x14ac:dyDescent="0.25">
      <c r="A1029" t="s">
        <v>20882</v>
      </c>
      <c r="B1029" t="s">
        <v>15946</v>
      </c>
      <c r="C1029" t="s">
        <v>15947</v>
      </c>
      <c r="D1029" t="s">
        <v>15766</v>
      </c>
      <c r="E1029">
        <v>306</v>
      </c>
      <c r="F1029" t="s">
        <v>15948</v>
      </c>
      <c r="G1029" t="s">
        <v>5781</v>
      </c>
      <c r="H1029" t="str">
        <f t="shared" si="32"/>
        <v>Vine306Euless</v>
      </c>
      <c r="I1029" t="str">
        <f t="shared" si="33"/>
        <v>Vine</v>
      </c>
      <c r="J1029" s="82">
        <f>IFERROR(INDEX('All Folders'!$A:$A,MATCH(H1029,'All Folders'!$G:$G,0),1),"¶")</f>
        <v>15555</v>
      </c>
      <c r="K1029" s="87"/>
      <c r="L1029" s="87"/>
    </row>
    <row r="1030" spans="1:12" ht="15" x14ac:dyDescent="0.25">
      <c r="A1030" t="s">
        <v>20883</v>
      </c>
      <c r="B1030" t="s">
        <v>15949</v>
      </c>
      <c r="C1030" t="s">
        <v>15950</v>
      </c>
      <c r="D1030" t="s">
        <v>15934</v>
      </c>
      <c r="E1030">
        <v>917</v>
      </c>
      <c r="F1030" t="s">
        <v>8175</v>
      </c>
      <c r="G1030" t="s">
        <v>5781</v>
      </c>
      <c r="H1030" t="str">
        <f t="shared" si="32"/>
        <v>Del917Euless</v>
      </c>
      <c r="I1030" t="str">
        <f t="shared" si="33"/>
        <v>Del</v>
      </c>
      <c r="J1030" s="82">
        <f>IFERROR(INDEX('All Folders'!$A:$A,MATCH(H1030,'All Folders'!$G:$G,0),1),"¶")</f>
        <v>15697</v>
      </c>
      <c r="K1030" s="87"/>
      <c r="L1030" s="87"/>
    </row>
    <row r="1031" spans="1:12" ht="15" x14ac:dyDescent="0.25">
      <c r="A1031" t="s">
        <v>20884</v>
      </c>
      <c r="B1031" t="s">
        <v>15951</v>
      </c>
      <c r="C1031" t="s">
        <v>15952</v>
      </c>
      <c r="D1031" t="s">
        <v>15953</v>
      </c>
      <c r="E1031">
        <v>700</v>
      </c>
      <c r="F1031" t="s">
        <v>15954</v>
      </c>
      <c r="G1031" t="s">
        <v>5781</v>
      </c>
      <c r="H1031" t="str">
        <f t="shared" si="32"/>
        <v>Ash700Euless</v>
      </c>
      <c r="I1031" t="str">
        <f t="shared" si="33"/>
        <v>Ash</v>
      </c>
      <c r="J1031" s="82">
        <f>IFERROR(INDEX('All Folders'!$A:$A,MATCH(H1031,'All Folders'!$G:$G,0),1),"¶")</f>
        <v>14437</v>
      </c>
      <c r="K1031" s="87"/>
      <c r="L1031" s="87"/>
    </row>
    <row r="1032" spans="1:12" ht="15" x14ac:dyDescent="0.25">
      <c r="A1032" t="s">
        <v>20885</v>
      </c>
      <c r="B1032" t="s">
        <v>15955</v>
      </c>
      <c r="C1032" t="s">
        <v>15956</v>
      </c>
      <c r="D1032" t="s">
        <v>15957</v>
      </c>
      <c r="E1032">
        <v>3700</v>
      </c>
      <c r="F1032" t="s">
        <v>6775</v>
      </c>
      <c r="G1032" t="s">
        <v>5781</v>
      </c>
      <c r="H1032" t="str">
        <f t="shared" si="32"/>
        <v>Post3700Euless</v>
      </c>
      <c r="I1032" t="str">
        <f t="shared" si="33"/>
        <v>Post</v>
      </c>
      <c r="J1032" s="82">
        <f>IFERROR(INDEX('All Folders'!$A:$A,MATCH(H1032,'All Folders'!$G:$G,0),1),"¶")</f>
        <v>14445</v>
      </c>
      <c r="K1032" s="87"/>
      <c r="L1032" s="87"/>
    </row>
    <row r="1033" spans="1:12" ht="15" x14ac:dyDescent="0.25">
      <c r="A1033" t="s">
        <v>20887</v>
      </c>
      <c r="B1033" t="s">
        <v>15961</v>
      </c>
      <c r="C1033" t="s">
        <v>15962</v>
      </c>
      <c r="D1033" t="s">
        <v>15963</v>
      </c>
      <c r="E1033">
        <v>311</v>
      </c>
      <c r="F1033" t="s">
        <v>13750</v>
      </c>
      <c r="G1033" t="s">
        <v>5781</v>
      </c>
      <c r="H1033" t="str">
        <f t="shared" si="32"/>
        <v>Industrial311Euless</v>
      </c>
      <c r="I1033" t="str">
        <f t="shared" si="33"/>
        <v>Industrial</v>
      </c>
      <c r="J1033" s="82">
        <f>IFERROR(INDEX('All Folders'!$A:$A,MATCH(H1033,'All Folders'!$G:$G,0),1),"¶")</f>
        <v>15287</v>
      </c>
      <c r="K1033" s="87"/>
      <c r="L1033" s="87"/>
    </row>
    <row r="1034" spans="1:12" ht="15" x14ac:dyDescent="0.25">
      <c r="A1034" t="s">
        <v>20888</v>
      </c>
      <c r="B1034" t="s">
        <v>15964</v>
      </c>
      <c r="C1034" t="s">
        <v>15965</v>
      </c>
      <c r="D1034" t="s">
        <v>15966</v>
      </c>
      <c r="E1034">
        <v>304</v>
      </c>
      <c r="F1034" t="s">
        <v>15967</v>
      </c>
      <c r="G1034" t="s">
        <v>5781</v>
      </c>
      <c r="H1034" t="str">
        <f t="shared" si="32"/>
        <v>Norman304Euless</v>
      </c>
      <c r="I1034" t="str">
        <f t="shared" si="33"/>
        <v>Norman</v>
      </c>
      <c r="J1034" s="82">
        <f>IFERROR(INDEX('All Folders'!$A:$A,MATCH(H1034,'All Folders'!$G:$G,0),1),"¶")</f>
        <v>30131</v>
      </c>
      <c r="K1034" s="87"/>
      <c r="L1034" s="87"/>
    </row>
    <row r="1035" spans="1:12" ht="15" x14ac:dyDescent="0.25">
      <c r="A1035" t="s">
        <v>20889</v>
      </c>
      <c r="B1035" t="s">
        <v>15968</v>
      </c>
      <c r="C1035" t="s">
        <v>15969</v>
      </c>
      <c r="D1035" t="s">
        <v>15970</v>
      </c>
      <c r="E1035">
        <v>301</v>
      </c>
      <c r="F1035" t="s">
        <v>15971</v>
      </c>
      <c r="G1035" t="s">
        <v>5781</v>
      </c>
      <c r="H1035" t="str">
        <f t="shared" si="32"/>
        <v>Fair301Euless</v>
      </c>
      <c r="I1035" t="str">
        <f t="shared" si="33"/>
        <v>Fair</v>
      </c>
      <c r="J1035" s="82">
        <f>IFERROR(INDEX('All Folders'!$A:$A,MATCH(H1035,'All Folders'!$G:$G,0),1),"¶")</f>
        <v>15333</v>
      </c>
      <c r="K1035" s="87"/>
      <c r="L1035" s="87"/>
    </row>
    <row r="1036" spans="1:12" ht="15" x14ac:dyDescent="0.25">
      <c r="A1036" t="s">
        <v>20890</v>
      </c>
      <c r="B1036" t="s">
        <v>15972</v>
      </c>
      <c r="C1036" t="s">
        <v>15973</v>
      </c>
      <c r="D1036" t="s">
        <v>15957</v>
      </c>
      <c r="E1036">
        <v>3808</v>
      </c>
      <c r="F1036" t="s">
        <v>8203</v>
      </c>
      <c r="G1036" t="s">
        <v>5781</v>
      </c>
      <c r="H1036" t="str">
        <f t="shared" si="32"/>
        <v>Post3808Euless</v>
      </c>
      <c r="I1036" t="str">
        <f t="shared" si="33"/>
        <v>Post</v>
      </c>
      <c r="J1036" s="82">
        <f>IFERROR(INDEX('All Folders'!$A:$A,MATCH(H1036,'All Folders'!$G:$G,0),1),"¶")</f>
        <v>15727</v>
      </c>
      <c r="K1036" s="87"/>
      <c r="L1036" s="87"/>
    </row>
    <row r="1037" spans="1:12" ht="15" x14ac:dyDescent="0.25">
      <c r="A1037" t="s">
        <v>20891</v>
      </c>
      <c r="B1037" t="s">
        <v>15974</v>
      </c>
      <c r="C1037" t="s">
        <v>15975</v>
      </c>
      <c r="D1037" t="s">
        <v>15934</v>
      </c>
      <c r="E1037">
        <v>601</v>
      </c>
      <c r="F1037" t="s">
        <v>15976</v>
      </c>
      <c r="G1037" t="s">
        <v>5781</v>
      </c>
      <c r="H1037" t="str">
        <f t="shared" si="32"/>
        <v>Del601Euless</v>
      </c>
      <c r="I1037" t="str">
        <f t="shared" si="33"/>
        <v>Del</v>
      </c>
      <c r="J1037" s="82">
        <f>IFERROR(INDEX('All Folders'!$A:$A,MATCH(H1037,'All Folders'!$G:$G,0),1),"¶")</f>
        <v>30130</v>
      </c>
      <c r="K1037" s="87"/>
      <c r="L1037" s="87"/>
    </row>
    <row r="1038" spans="1:12" ht="15" x14ac:dyDescent="0.25">
      <c r="A1038" t="s">
        <v>20892</v>
      </c>
      <c r="B1038" t="s">
        <v>15977</v>
      </c>
      <c r="C1038" t="s">
        <v>15978</v>
      </c>
      <c r="D1038" t="s">
        <v>15953</v>
      </c>
      <c r="E1038">
        <v>1000</v>
      </c>
      <c r="F1038" t="s">
        <v>463</v>
      </c>
      <c r="G1038" t="s">
        <v>5781</v>
      </c>
      <c r="H1038" t="str">
        <f t="shared" si="32"/>
        <v>Ash1000Euless</v>
      </c>
      <c r="I1038" t="str">
        <f t="shared" si="33"/>
        <v>Ash</v>
      </c>
      <c r="J1038" s="82">
        <f>IFERROR(INDEX('All Folders'!$A:$A,MATCH(H1038,'All Folders'!$G:$G,0),1),"¶")</f>
        <v>14523</v>
      </c>
      <c r="K1038" s="87"/>
      <c r="L1038" s="87"/>
    </row>
    <row r="1039" spans="1:12" ht="15" x14ac:dyDescent="0.25">
      <c r="A1039" t="s">
        <v>20893</v>
      </c>
      <c r="B1039" t="s">
        <v>15979</v>
      </c>
      <c r="C1039" t="s">
        <v>15980</v>
      </c>
      <c r="D1039" t="s">
        <v>15981</v>
      </c>
      <c r="E1039">
        <v>9301</v>
      </c>
      <c r="F1039" t="s">
        <v>15982</v>
      </c>
      <c r="G1039" t="s">
        <v>7325</v>
      </c>
      <c r="H1039" t="str">
        <f t="shared" si="32"/>
        <v>Michael9301Everman</v>
      </c>
      <c r="I1039" t="str">
        <f t="shared" si="33"/>
        <v>Michael</v>
      </c>
      <c r="J1039" s="82">
        <f>IFERROR(INDEX('All Folders'!$A:$A,MATCH(H1039,'All Folders'!$G:$G,0),1),"¶")</f>
        <v>30132</v>
      </c>
      <c r="K1039" s="87"/>
      <c r="L1039" s="87"/>
    </row>
    <row r="1040" spans="1:12" ht="15" x14ac:dyDescent="0.25">
      <c r="A1040" t="s">
        <v>20894</v>
      </c>
      <c r="B1040" t="s">
        <v>15983</v>
      </c>
      <c r="C1040" t="s">
        <v>15984</v>
      </c>
      <c r="D1040" t="s">
        <v>10468</v>
      </c>
      <c r="E1040">
        <v>2706</v>
      </c>
      <c r="F1040" t="s">
        <v>15985</v>
      </c>
      <c r="G1040" t="s">
        <v>5198</v>
      </c>
      <c r="H1040" t="str">
        <f t="shared" si="32"/>
        <v>Cookscreek2706Farmers Branch</v>
      </c>
      <c r="I1040" t="str">
        <f t="shared" si="33"/>
        <v>Cookscreek</v>
      </c>
      <c r="J1040" s="82">
        <f>IFERROR(INDEX('All Folders'!$A:$A,MATCH(H1040,'All Folders'!$G:$G,0),1),"¶")</f>
        <v>18131</v>
      </c>
      <c r="K1040" s="87"/>
      <c r="L1040" s="87"/>
    </row>
    <row r="1041" spans="1:12" ht="15" x14ac:dyDescent="0.25">
      <c r="A1041" t="s">
        <v>20895</v>
      </c>
      <c r="B1041" t="s">
        <v>15986</v>
      </c>
      <c r="C1041" t="s">
        <v>15987</v>
      </c>
      <c r="D1041" t="s">
        <v>15988</v>
      </c>
      <c r="E1041">
        <v>14802</v>
      </c>
      <c r="F1041" t="s">
        <v>15989</v>
      </c>
      <c r="G1041" t="s">
        <v>5198</v>
      </c>
      <c r="H1041" t="str">
        <f t="shared" si="32"/>
        <v>Enterprise14802Farmers Branch</v>
      </c>
      <c r="I1041" t="str">
        <f t="shared" si="33"/>
        <v>Enterprise</v>
      </c>
      <c r="J1041" s="82">
        <f>IFERROR(INDEX('All Folders'!$A:$A,MATCH(H1041,'All Folders'!$G:$G,0),1),"¶")</f>
        <v>13584</v>
      </c>
      <c r="K1041" s="87"/>
      <c r="L1041" s="87"/>
    </row>
    <row r="1042" spans="1:12" ht="15" x14ac:dyDescent="0.25">
      <c r="A1042" t="s">
        <v>20896</v>
      </c>
      <c r="B1042" t="s">
        <v>15990</v>
      </c>
      <c r="C1042" t="s">
        <v>15991</v>
      </c>
      <c r="D1042" t="s">
        <v>15992</v>
      </c>
      <c r="E1042">
        <v>2835</v>
      </c>
      <c r="F1042" t="s">
        <v>7017</v>
      </c>
      <c r="G1042" t="s">
        <v>5198</v>
      </c>
      <c r="H1042" t="str">
        <f t="shared" si="32"/>
        <v>Villa2835Farmers Branch</v>
      </c>
      <c r="I1042" t="str">
        <f t="shared" si="33"/>
        <v>Villa</v>
      </c>
      <c r="J1042" s="82">
        <f>IFERROR(INDEX('All Folders'!$A:$A,MATCH(H1042,'All Folders'!$G:$G,0),1),"¶")</f>
        <v>14653</v>
      </c>
      <c r="K1042" s="87"/>
      <c r="L1042" s="87"/>
    </row>
    <row r="1043" spans="1:12" ht="15" x14ac:dyDescent="0.25">
      <c r="A1043" t="s">
        <v>20897</v>
      </c>
      <c r="B1043" t="s">
        <v>15993</v>
      </c>
      <c r="C1043" t="s">
        <v>15994</v>
      </c>
      <c r="D1043" t="s">
        <v>15995</v>
      </c>
      <c r="E1043">
        <v>11601</v>
      </c>
      <c r="F1043" t="s">
        <v>15996</v>
      </c>
      <c r="G1043" t="s">
        <v>5198</v>
      </c>
      <c r="H1043" t="str">
        <f t="shared" si="32"/>
        <v>Lago11601Farmers Branch</v>
      </c>
      <c r="I1043" t="str">
        <f t="shared" si="33"/>
        <v>Lago</v>
      </c>
      <c r="J1043" s="82">
        <f>IFERROR(INDEX('All Folders'!$A:$A,MATCH(H1043,'All Folders'!$G:$G,0),1),"¶")</f>
        <v>18099</v>
      </c>
      <c r="K1043" s="87"/>
      <c r="L1043" s="87"/>
    </row>
    <row r="1044" spans="1:12" ht="15" x14ac:dyDescent="0.25">
      <c r="A1044" t="s">
        <v>20898</v>
      </c>
      <c r="B1044" t="s">
        <v>15997</v>
      </c>
      <c r="C1044" t="s">
        <v>15998</v>
      </c>
      <c r="D1044" t="s">
        <v>15999</v>
      </c>
      <c r="E1044">
        <v>2730</v>
      </c>
      <c r="F1044" t="s">
        <v>6421</v>
      </c>
      <c r="G1044" t="s">
        <v>5198</v>
      </c>
      <c r="H1044" t="str">
        <f t="shared" si="32"/>
        <v>Fyke2730Farmers Branch</v>
      </c>
      <c r="I1044" t="str">
        <f t="shared" si="33"/>
        <v>Fyke</v>
      </c>
      <c r="J1044" s="82">
        <f>IFERROR(INDEX('All Folders'!$A:$A,MATCH(H1044,'All Folders'!$G:$G,0),1),"¶")</f>
        <v>14158</v>
      </c>
      <c r="K1044" s="87"/>
      <c r="L1044" s="87"/>
    </row>
    <row r="1045" spans="1:12" ht="15" x14ac:dyDescent="0.25">
      <c r="A1045" t="s">
        <v>20899</v>
      </c>
      <c r="B1045" t="s">
        <v>16000</v>
      </c>
      <c r="C1045" t="s">
        <v>16001</v>
      </c>
      <c r="D1045" t="s">
        <v>16002</v>
      </c>
      <c r="E1045">
        <v>4100</v>
      </c>
      <c r="F1045" t="s">
        <v>1415</v>
      </c>
      <c r="G1045" t="s">
        <v>5040</v>
      </c>
      <c r="H1045" t="str">
        <f t="shared" si="32"/>
        <v>Morriss4100Flower Mound</v>
      </c>
      <c r="I1045" t="str">
        <f t="shared" si="33"/>
        <v>Morriss</v>
      </c>
      <c r="J1045" s="82">
        <f>IFERROR(INDEX('All Folders'!$A:$A,MATCH(H1045,'All Folders'!$G:$G,0),1),"¶")</f>
        <v>14984</v>
      </c>
      <c r="K1045" s="87"/>
      <c r="L1045" s="87"/>
    </row>
    <row r="1046" spans="1:12" ht="15" x14ac:dyDescent="0.25">
      <c r="A1046" t="s">
        <v>20900</v>
      </c>
      <c r="B1046" t="s">
        <v>16003</v>
      </c>
      <c r="C1046" t="s">
        <v>16004</v>
      </c>
      <c r="D1046" t="s">
        <v>16005</v>
      </c>
      <c r="E1046">
        <v>1404</v>
      </c>
      <c r="F1046" t="s">
        <v>16006</v>
      </c>
      <c r="G1046" t="s">
        <v>5014</v>
      </c>
      <c r="H1046" t="str">
        <f t="shared" si="32"/>
        <v>Weiler1404Fort Worth</v>
      </c>
      <c r="I1046" t="str">
        <f t="shared" si="33"/>
        <v>Weiler</v>
      </c>
      <c r="J1046" s="82">
        <f>IFERROR(INDEX('All Folders'!$A:$A,MATCH(H1046,'All Folders'!$G:$G,0),1),"¶")</f>
        <v>15081</v>
      </c>
      <c r="K1046" s="87"/>
      <c r="L1046" s="87"/>
    </row>
    <row r="1047" spans="1:12" ht="15" x14ac:dyDescent="0.25">
      <c r="A1047" t="s">
        <v>20901</v>
      </c>
      <c r="B1047" t="s">
        <v>16007</v>
      </c>
      <c r="C1047" t="s">
        <v>16008</v>
      </c>
      <c r="D1047" t="s">
        <v>16009</v>
      </c>
      <c r="E1047">
        <v>200</v>
      </c>
      <c r="F1047" t="s">
        <v>16010</v>
      </c>
      <c r="G1047" t="s">
        <v>5014</v>
      </c>
      <c r="H1047" t="str">
        <f t="shared" si="32"/>
        <v>New200Fort Worth</v>
      </c>
      <c r="I1047" t="str">
        <f t="shared" si="33"/>
        <v>New</v>
      </c>
      <c r="J1047" s="82" t="str">
        <f>IFERROR(INDEX('All Folders'!$A:$A,MATCH(H1047,'All Folders'!$G:$G,0),1),"¶")</f>
        <v>SP128</v>
      </c>
      <c r="K1047" s="87"/>
      <c r="L1047" s="87"/>
    </row>
    <row r="1048" spans="1:12" ht="15" x14ac:dyDescent="0.25">
      <c r="A1048" t="s">
        <v>20902</v>
      </c>
      <c r="B1048" t="s">
        <v>16011</v>
      </c>
      <c r="C1048" t="s">
        <v>16012</v>
      </c>
      <c r="D1048" t="s">
        <v>16013</v>
      </c>
      <c r="E1048">
        <v>2735</v>
      </c>
      <c r="F1048" t="s">
        <v>16014</v>
      </c>
      <c r="G1048" t="s">
        <v>5014</v>
      </c>
      <c r="H1048" t="str">
        <f t="shared" si="32"/>
        <v>Purington2735Fort Worth</v>
      </c>
      <c r="I1048" t="str">
        <f t="shared" si="33"/>
        <v>Purington</v>
      </c>
      <c r="J1048" s="82" t="str">
        <f>IFERROR(INDEX('All Folders'!$A:$A,MATCH(H1048,'All Folders'!$G:$G,0),1),"¶")</f>
        <v>SP130</v>
      </c>
      <c r="K1048" s="87"/>
      <c r="L1048" s="87"/>
    </row>
    <row r="1049" spans="1:12" ht="15" x14ac:dyDescent="0.25">
      <c r="A1049" t="s">
        <v>20905</v>
      </c>
      <c r="B1049" t="s">
        <v>16023</v>
      </c>
      <c r="C1049" t="s">
        <v>16024</v>
      </c>
      <c r="D1049" t="s">
        <v>16025</v>
      </c>
      <c r="E1049">
        <v>5320</v>
      </c>
      <c r="F1049" t="s">
        <v>16026</v>
      </c>
      <c r="G1049" t="s">
        <v>5014</v>
      </c>
      <c r="H1049" t="str">
        <f t="shared" si="32"/>
        <v>Rosedale5320Fort Worth</v>
      </c>
      <c r="I1049" t="str">
        <f t="shared" si="33"/>
        <v>Rosedale</v>
      </c>
      <c r="J1049" s="82">
        <f>IFERROR(INDEX('All Folders'!$A:$A,MATCH(H1049,'All Folders'!$G:$G,0),1),"¶")</f>
        <v>30141</v>
      </c>
      <c r="K1049" s="87"/>
      <c r="L1049" s="87"/>
    </row>
    <row r="1050" spans="1:12" ht="15" x14ac:dyDescent="0.25">
      <c r="A1050" t="s">
        <v>20906</v>
      </c>
      <c r="B1050" t="s">
        <v>16027</v>
      </c>
      <c r="C1050" t="s">
        <v>16028</v>
      </c>
      <c r="D1050" t="s">
        <v>16029</v>
      </c>
      <c r="E1050">
        <v>6109</v>
      </c>
      <c r="F1050" t="s">
        <v>16030</v>
      </c>
      <c r="G1050" t="s">
        <v>5014</v>
      </c>
      <c r="H1050" t="str">
        <f t="shared" si="32"/>
        <v>Westridge6109Fort Worth</v>
      </c>
      <c r="I1050" t="str">
        <f t="shared" si="33"/>
        <v>Westridge</v>
      </c>
      <c r="J1050" s="82">
        <f>IFERROR(INDEX('All Folders'!$A:$A,MATCH(H1050,'All Folders'!$G:$G,0),1),"¶")</f>
        <v>14817</v>
      </c>
      <c r="K1050" s="87"/>
      <c r="L1050" s="87"/>
    </row>
    <row r="1051" spans="1:12" ht="15" x14ac:dyDescent="0.25">
      <c r="A1051" t="s">
        <v>20907</v>
      </c>
      <c r="B1051" t="s">
        <v>16031</v>
      </c>
      <c r="C1051" t="s">
        <v>16032</v>
      </c>
      <c r="D1051" t="s">
        <v>16033</v>
      </c>
      <c r="E1051">
        <v>2304</v>
      </c>
      <c r="F1051" t="s">
        <v>16034</v>
      </c>
      <c r="G1051" t="s">
        <v>5014</v>
      </c>
      <c r="H1051" t="str">
        <f t="shared" si="32"/>
        <v>Houston2304Fort Worth</v>
      </c>
      <c r="I1051" t="str">
        <f t="shared" si="33"/>
        <v>Houston</v>
      </c>
      <c r="J1051" s="82" t="str">
        <f>IFERROR(INDEX('All Folders'!$A:$A,MATCH(H1051,'All Folders'!$G:$G,0),1),"¶")</f>
        <v>SP121</v>
      </c>
      <c r="K1051" s="87"/>
      <c r="L1051" s="87"/>
    </row>
    <row r="1052" spans="1:12" ht="15" x14ac:dyDescent="0.25">
      <c r="A1052" t="s">
        <v>20908</v>
      </c>
      <c r="B1052" t="s">
        <v>16035</v>
      </c>
      <c r="C1052" t="s">
        <v>16036</v>
      </c>
      <c r="D1052" t="s">
        <v>16037</v>
      </c>
      <c r="E1052">
        <v>3500</v>
      </c>
      <c r="F1052" t="s">
        <v>804</v>
      </c>
      <c r="G1052" t="s">
        <v>5014</v>
      </c>
      <c r="H1052" t="str">
        <f t="shared" si="32"/>
        <v>Riverside3500Fort Worth</v>
      </c>
      <c r="I1052" t="str">
        <f t="shared" si="33"/>
        <v>Riverside</v>
      </c>
      <c r="J1052" s="82">
        <f>IFERROR(INDEX('All Folders'!$A:$A,MATCH(H1052,'All Folders'!$G:$G,0),1),"¶")</f>
        <v>16056</v>
      </c>
      <c r="K1052" s="87"/>
      <c r="L1052" s="87"/>
    </row>
    <row r="1053" spans="1:12" ht="15" x14ac:dyDescent="0.25">
      <c r="A1053" t="s">
        <v>20909</v>
      </c>
      <c r="B1053" t="s">
        <v>16038</v>
      </c>
      <c r="C1053" t="s">
        <v>16039</v>
      </c>
      <c r="D1053" t="s">
        <v>16040</v>
      </c>
      <c r="E1053">
        <v>5500</v>
      </c>
      <c r="F1053" t="s">
        <v>16041</v>
      </c>
      <c r="G1053" t="s">
        <v>5014</v>
      </c>
      <c r="H1053" t="str">
        <f t="shared" si="32"/>
        <v>Beaty5500Fort Worth</v>
      </c>
      <c r="I1053" t="str">
        <f t="shared" si="33"/>
        <v>Beaty</v>
      </c>
      <c r="J1053" s="82">
        <f>IFERROR(INDEX('All Folders'!$A:$A,MATCH(H1053,'All Folders'!$G:$G,0),1),"¶")</f>
        <v>30134</v>
      </c>
      <c r="K1053" s="87"/>
      <c r="L1053" s="87"/>
    </row>
    <row r="1054" spans="1:12" ht="15" x14ac:dyDescent="0.25">
      <c r="A1054" t="s">
        <v>20910</v>
      </c>
      <c r="B1054" t="s">
        <v>16042</v>
      </c>
      <c r="C1054" t="s">
        <v>16043</v>
      </c>
      <c r="D1054" t="s">
        <v>16044</v>
      </c>
      <c r="E1054">
        <v>5130</v>
      </c>
      <c r="F1054" t="s">
        <v>6909</v>
      </c>
      <c r="G1054" t="s">
        <v>5014</v>
      </c>
      <c r="H1054" t="str">
        <f t="shared" si="32"/>
        <v>Ben5130Fort Worth</v>
      </c>
      <c r="I1054" t="str">
        <f t="shared" si="33"/>
        <v>Ben</v>
      </c>
      <c r="J1054" s="82">
        <f>IFERROR(INDEX('All Folders'!$A:$A,MATCH(H1054,'All Folders'!$G:$G,0),1),"¶")</f>
        <v>30135</v>
      </c>
      <c r="K1054" s="87"/>
      <c r="L1054" s="87"/>
    </row>
    <row r="1055" spans="1:12" ht="15" x14ac:dyDescent="0.25">
      <c r="A1055" t="s">
        <v>20913</v>
      </c>
      <c r="B1055" t="s">
        <v>16052</v>
      </c>
      <c r="C1055" t="s">
        <v>16053</v>
      </c>
      <c r="D1055" t="s">
        <v>16054</v>
      </c>
      <c r="E1055">
        <v>4500</v>
      </c>
      <c r="F1055" t="s">
        <v>16055</v>
      </c>
      <c r="G1055" t="s">
        <v>5014</v>
      </c>
      <c r="H1055" t="str">
        <f t="shared" si="32"/>
        <v>Campus4500Fort Worth</v>
      </c>
      <c r="I1055" t="str">
        <f t="shared" si="33"/>
        <v>Campus</v>
      </c>
      <c r="J1055" s="82">
        <f>IFERROR(INDEX('All Folders'!$A:$A,MATCH(H1055,'All Folders'!$G:$G,0),1),"¶")</f>
        <v>14698</v>
      </c>
      <c r="K1055" s="87"/>
      <c r="L1055" s="87"/>
    </row>
    <row r="1056" spans="1:12" ht="15" x14ac:dyDescent="0.25">
      <c r="A1056" t="s">
        <v>20914</v>
      </c>
      <c r="B1056" t="s">
        <v>16056</v>
      </c>
      <c r="C1056" t="s">
        <v>16057</v>
      </c>
      <c r="D1056" t="s">
        <v>16058</v>
      </c>
      <c r="E1056">
        <v>6822</v>
      </c>
      <c r="F1056" t="s">
        <v>7082</v>
      </c>
      <c r="G1056" t="s">
        <v>5014</v>
      </c>
      <c r="H1056" t="str">
        <f t="shared" si="32"/>
        <v>Hulen6822Fort Worth</v>
      </c>
      <c r="I1056" t="str">
        <f t="shared" si="33"/>
        <v>Hulen</v>
      </c>
      <c r="J1056" s="82">
        <f>IFERROR(INDEX('All Folders'!$A:$A,MATCH(H1056,'All Folders'!$G:$G,0),1),"¶")</f>
        <v>14717</v>
      </c>
      <c r="K1056" s="87"/>
      <c r="L1056" s="87"/>
    </row>
    <row r="1057" spans="1:12" ht="15" x14ac:dyDescent="0.25">
      <c r="A1057" t="s">
        <v>20915</v>
      </c>
      <c r="B1057" t="s">
        <v>16059</v>
      </c>
      <c r="C1057" t="s">
        <v>16060</v>
      </c>
      <c r="D1057" t="s">
        <v>16061</v>
      </c>
      <c r="E1057">
        <v>6301</v>
      </c>
      <c r="F1057" t="s">
        <v>16062</v>
      </c>
      <c r="G1057" t="s">
        <v>5014</v>
      </c>
      <c r="H1057" t="str">
        <f t="shared" si="32"/>
        <v>Woodway6301Fort Worth</v>
      </c>
      <c r="I1057" t="str">
        <f t="shared" si="33"/>
        <v>Woodway</v>
      </c>
      <c r="J1057" s="82">
        <f>IFERROR(INDEX('All Folders'!$A:$A,MATCH(H1057,'All Folders'!$G:$G,0),1),"¶")</f>
        <v>14493</v>
      </c>
      <c r="K1057" s="87"/>
      <c r="L1057" s="87"/>
    </row>
    <row r="1058" spans="1:12" ht="15" x14ac:dyDescent="0.25">
      <c r="A1058" t="s">
        <v>20916</v>
      </c>
      <c r="B1058" t="s">
        <v>16063</v>
      </c>
      <c r="C1058" t="s">
        <v>16064</v>
      </c>
      <c r="D1058" t="s">
        <v>16065</v>
      </c>
      <c r="E1058">
        <v>6300</v>
      </c>
      <c r="F1058" t="s">
        <v>16066</v>
      </c>
      <c r="G1058" t="s">
        <v>5014</v>
      </c>
      <c r="H1058" t="str">
        <f t="shared" si="32"/>
        <v>Vega6300Fort Worth</v>
      </c>
      <c r="I1058" t="str">
        <f t="shared" si="33"/>
        <v>Vega</v>
      </c>
      <c r="J1058" s="82">
        <f>IFERROR(INDEX('All Folders'!$A:$A,MATCH(H1058,'All Folders'!$G:$G,0),1),"¶")</f>
        <v>14733</v>
      </c>
      <c r="K1058" s="87"/>
      <c r="L1058" s="87"/>
    </row>
    <row r="1059" spans="1:12" ht="15" x14ac:dyDescent="0.25">
      <c r="A1059" t="s">
        <v>20917</v>
      </c>
      <c r="B1059" t="s">
        <v>16067</v>
      </c>
      <c r="C1059" t="s">
        <v>16068</v>
      </c>
      <c r="D1059" t="s">
        <v>16069</v>
      </c>
      <c r="E1059">
        <v>6100</v>
      </c>
      <c r="F1059" t="s">
        <v>7113</v>
      </c>
      <c r="G1059" t="s">
        <v>5014</v>
      </c>
      <c r="H1059" t="str">
        <f t="shared" si="32"/>
        <v>Oakland6100Fort Worth</v>
      </c>
      <c r="I1059" t="str">
        <f t="shared" si="33"/>
        <v>Oakland</v>
      </c>
      <c r="J1059" s="82">
        <f>IFERROR(INDEX('All Folders'!$A:$A,MATCH(H1059,'All Folders'!$G:$G,0),1),"¶")</f>
        <v>14749</v>
      </c>
      <c r="K1059" s="87"/>
      <c r="L1059" s="87"/>
    </row>
    <row r="1060" spans="1:12" ht="15" x14ac:dyDescent="0.25">
      <c r="A1060" t="s">
        <v>20919</v>
      </c>
      <c r="B1060" t="s">
        <v>16072</v>
      </c>
      <c r="C1060" t="s">
        <v>16073</v>
      </c>
      <c r="D1060" t="s">
        <v>16074</v>
      </c>
      <c r="E1060">
        <v>7700</v>
      </c>
      <c r="F1060" t="s">
        <v>12529</v>
      </c>
      <c r="G1060" t="s">
        <v>5014</v>
      </c>
      <c r="H1060" t="str">
        <f t="shared" si="32"/>
        <v>Chapin7700Fort Worth</v>
      </c>
      <c r="I1060" t="str">
        <f t="shared" si="33"/>
        <v>Chapin</v>
      </c>
      <c r="J1060" s="82" t="str">
        <f>IFERROR(INDEX('All Folders'!$A:$A,MATCH(H1060,'All Folders'!$G:$G,0),1),"¶")</f>
        <v>SP120</v>
      </c>
      <c r="K1060" s="87"/>
      <c r="L1060" s="87"/>
    </row>
    <row r="1061" spans="1:12" ht="15" x14ac:dyDescent="0.25">
      <c r="A1061" t="s">
        <v>20920</v>
      </c>
      <c r="B1061" t="s">
        <v>16075</v>
      </c>
      <c r="C1061" t="s">
        <v>16076</v>
      </c>
      <c r="D1061" t="s">
        <v>16077</v>
      </c>
      <c r="E1061">
        <v>5925</v>
      </c>
      <c r="F1061" t="s">
        <v>7144</v>
      </c>
      <c r="G1061" t="s">
        <v>5014</v>
      </c>
      <c r="H1061" t="str">
        <f t="shared" si="32"/>
        <v>Callaston5925Fort Worth</v>
      </c>
      <c r="I1061" t="str">
        <f t="shared" si="33"/>
        <v>Callaston</v>
      </c>
      <c r="J1061" s="82">
        <f>IFERROR(INDEX('All Folders'!$A:$A,MATCH(H1061,'All Folders'!$G:$G,0),1),"¶")</f>
        <v>14774</v>
      </c>
      <c r="K1061" s="87"/>
      <c r="L1061" s="87"/>
    </row>
    <row r="1062" spans="1:12" ht="15" x14ac:dyDescent="0.25">
      <c r="A1062" t="s">
        <v>20921</v>
      </c>
      <c r="B1062" t="s">
        <v>16078</v>
      </c>
      <c r="C1062" t="s">
        <v>16079</v>
      </c>
      <c r="D1062" t="s">
        <v>16080</v>
      </c>
      <c r="E1062">
        <v>8951</v>
      </c>
      <c r="F1062" t="s">
        <v>16081</v>
      </c>
      <c r="G1062" t="s">
        <v>5014</v>
      </c>
      <c r="H1062" t="str">
        <f t="shared" si="32"/>
        <v>Randol8951Fort Worth</v>
      </c>
      <c r="I1062" t="str">
        <f t="shared" si="33"/>
        <v>Randol</v>
      </c>
      <c r="J1062" s="82">
        <f>IFERROR(INDEX('All Folders'!$A:$A,MATCH(H1062,'All Folders'!$G:$G,0),1),"¶")</f>
        <v>14355</v>
      </c>
      <c r="K1062" s="87"/>
      <c r="L1062" s="87"/>
    </row>
    <row r="1063" spans="1:12" ht="15" x14ac:dyDescent="0.25">
      <c r="A1063" t="s">
        <v>20922</v>
      </c>
      <c r="B1063" t="s">
        <v>16082</v>
      </c>
      <c r="C1063" t="s">
        <v>16083</v>
      </c>
      <c r="D1063" t="s">
        <v>16084</v>
      </c>
      <c r="E1063">
        <v>500</v>
      </c>
      <c r="F1063" t="s">
        <v>9435</v>
      </c>
      <c r="G1063" t="s">
        <v>5014</v>
      </c>
      <c r="H1063" t="str">
        <f t="shared" si="32"/>
        <v>820500Fort Worth</v>
      </c>
      <c r="I1063" t="str">
        <f t="shared" si="33"/>
        <v>820</v>
      </c>
      <c r="J1063" s="82">
        <f>IFERROR(INDEX('All Folders'!$A:$A,MATCH(H1063,'All Folders'!$G:$G,0),1),"¶")</f>
        <v>15108</v>
      </c>
      <c r="K1063" s="87"/>
      <c r="L1063" s="87"/>
    </row>
    <row r="1064" spans="1:12" ht="15" x14ac:dyDescent="0.25">
      <c r="A1064" t="s">
        <v>20925</v>
      </c>
      <c r="B1064" t="s">
        <v>16093</v>
      </c>
      <c r="C1064" t="s">
        <v>16094</v>
      </c>
      <c r="D1064" t="s">
        <v>16095</v>
      </c>
      <c r="E1064">
        <v>3001</v>
      </c>
      <c r="F1064" t="s">
        <v>3515</v>
      </c>
      <c r="G1064" t="s">
        <v>5014</v>
      </c>
      <c r="H1064" t="str">
        <f t="shared" si="32"/>
        <v>Normandale3001Fort Worth</v>
      </c>
      <c r="I1064" t="str">
        <f t="shared" si="33"/>
        <v>Normandale</v>
      </c>
      <c r="J1064" s="82">
        <f>IFERROR(INDEX('All Folders'!$A:$A,MATCH(H1064,'All Folders'!$G:$G,0),1),"¶")</f>
        <v>14372</v>
      </c>
      <c r="K1064" s="87"/>
      <c r="L1064" s="87"/>
    </row>
    <row r="1065" spans="1:12" ht="15" x14ac:dyDescent="0.25">
      <c r="A1065" t="s">
        <v>20927</v>
      </c>
      <c r="B1065" t="s">
        <v>16099</v>
      </c>
      <c r="C1065" t="s">
        <v>16100</v>
      </c>
      <c r="D1065" t="s">
        <v>16101</v>
      </c>
      <c r="E1065">
        <v>6025</v>
      </c>
      <c r="F1065" t="s">
        <v>16102</v>
      </c>
      <c r="G1065" t="s">
        <v>5014</v>
      </c>
      <c r="H1065" t="str">
        <f t="shared" si="32"/>
        <v>Milburn6025Fort Worth</v>
      </c>
      <c r="I1065" t="str">
        <f t="shared" si="33"/>
        <v>Milburn</v>
      </c>
      <c r="J1065" s="82">
        <f>IFERROR(INDEX('All Folders'!$A:$A,MATCH(H1065,'All Folders'!$G:$G,0),1),"¶")</f>
        <v>30151</v>
      </c>
      <c r="K1065" s="87"/>
      <c r="L1065" s="87"/>
    </row>
    <row r="1066" spans="1:12" ht="15" x14ac:dyDescent="0.25">
      <c r="A1066" t="s">
        <v>20928</v>
      </c>
      <c r="B1066" t="s">
        <v>16103</v>
      </c>
      <c r="C1066" t="s">
        <v>16104</v>
      </c>
      <c r="D1066" t="s">
        <v>16105</v>
      </c>
      <c r="E1066">
        <v>6850</v>
      </c>
      <c r="F1066" t="s">
        <v>16106</v>
      </c>
      <c r="G1066" t="s">
        <v>5014</v>
      </c>
      <c r="H1066" t="str">
        <f t="shared" si="32"/>
        <v>Granbury6850Fort Worth</v>
      </c>
      <c r="I1066" t="str">
        <f t="shared" si="33"/>
        <v>Granbury</v>
      </c>
      <c r="J1066" s="82">
        <f>IFERROR(INDEX('All Folders'!$A:$A,MATCH(H1066,'All Folders'!$G:$G,0),1),"¶")</f>
        <v>17551</v>
      </c>
      <c r="K1066" s="87"/>
      <c r="L1066" s="87"/>
    </row>
    <row r="1067" spans="1:12" ht="15" x14ac:dyDescent="0.25">
      <c r="A1067" t="s">
        <v>20929</v>
      </c>
      <c r="B1067" t="s">
        <v>16107</v>
      </c>
      <c r="C1067" t="s">
        <v>16108</v>
      </c>
      <c r="D1067" t="s">
        <v>16109</v>
      </c>
      <c r="E1067">
        <v>7125</v>
      </c>
      <c r="F1067" t="s">
        <v>16110</v>
      </c>
      <c r="G1067" t="s">
        <v>5014</v>
      </c>
      <c r="H1067" t="str">
        <f t="shared" si="32"/>
        <v>Hallmark7125Fort Worth</v>
      </c>
      <c r="I1067" t="str">
        <f t="shared" si="33"/>
        <v>Hallmark</v>
      </c>
      <c r="J1067" s="82">
        <f>IFERROR(INDEX('All Folders'!$A:$A,MATCH(H1067,'All Folders'!$G:$G,0),1),"¶")</f>
        <v>14833</v>
      </c>
      <c r="K1067" s="87"/>
      <c r="L1067" s="87"/>
    </row>
    <row r="1068" spans="1:12" ht="15" x14ac:dyDescent="0.25">
      <c r="A1068" t="s">
        <v>20930</v>
      </c>
      <c r="B1068" t="s">
        <v>16111</v>
      </c>
      <c r="C1068" t="s">
        <v>16112</v>
      </c>
      <c r="D1068" t="s">
        <v>16113</v>
      </c>
      <c r="E1068">
        <v>2324</v>
      </c>
      <c r="F1068" t="s">
        <v>16114</v>
      </c>
      <c r="G1068" t="s">
        <v>5014</v>
      </c>
      <c r="H1068" t="str">
        <f t="shared" si="32"/>
        <v>Meadowbrook2324Fort Worth</v>
      </c>
      <c r="I1068" t="str">
        <f t="shared" si="33"/>
        <v>Meadowbrook</v>
      </c>
      <c r="J1068" s="82">
        <f>IFERROR(INDEX('All Folders'!$A:$A,MATCH(H1068,'All Folders'!$G:$G,0),1),"¶")</f>
        <v>14875</v>
      </c>
      <c r="K1068" s="87"/>
      <c r="L1068" s="87"/>
    </row>
    <row r="1069" spans="1:12" ht="15" x14ac:dyDescent="0.25">
      <c r="A1069" t="s">
        <v>20933</v>
      </c>
      <c r="B1069" t="s">
        <v>16123</v>
      </c>
      <c r="C1069" t="s">
        <v>16124</v>
      </c>
      <c r="D1069" t="s">
        <v>16125</v>
      </c>
      <c r="E1069">
        <v>5250</v>
      </c>
      <c r="F1069" t="s">
        <v>16126</v>
      </c>
      <c r="G1069" t="s">
        <v>5014</v>
      </c>
      <c r="H1069" t="str">
        <f t="shared" si="32"/>
        <v>Wonder5250Fort Worth</v>
      </c>
      <c r="I1069" t="str">
        <f t="shared" si="33"/>
        <v>Wonder</v>
      </c>
      <c r="J1069" s="82">
        <f>IFERROR(INDEX('All Folders'!$A:$A,MATCH(H1069,'All Folders'!$G:$G,0),1),"¶")</f>
        <v>14975</v>
      </c>
      <c r="K1069" s="87"/>
      <c r="L1069" s="87"/>
    </row>
    <row r="1070" spans="1:12" ht="15" x14ac:dyDescent="0.25">
      <c r="A1070" t="s">
        <v>20934</v>
      </c>
      <c r="B1070" t="s">
        <v>16127</v>
      </c>
      <c r="C1070" t="s">
        <v>16128</v>
      </c>
      <c r="D1070" t="s">
        <v>16129</v>
      </c>
      <c r="E1070">
        <v>3200</v>
      </c>
      <c r="F1070" t="s">
        <v>16130</v>
      </c>
      <c r="G1070" t="s">
        <v>5014</v>
      </c>
      <c r="H1070" t="str">
        <f t="shared" si="32"/>
        <v>Lake3200Fort Worth</v>
      </c>
      <c r="I1070" t="str">
        <f t="shared" si="33"/>
        <v>Lake</v>
      </c>
      <c r="J1070" s="82" t="str">
        <f>IFERROR(INDEX('All Folders'!$A:$A,MATCH(H1070,'All Folders'!$G:$G,0),1),"¶")</f>
        <v>SP123</v>
      </c>
      <c r="K1070" s="87"/>
      <c r="L1070" s="87"/>
    </row>
    <row r="1071" spans="1:12" ht="15" x14ac:dyDescent="0.25">
      <c r="A1071" t="s">
        <v>20936</v>
      </c>
      <c r="B1071" t="s">
        <v>16134</v>
      </c>
      <c r="C1071" t="s">
        <v>16135</v>
      </c>
      <c r="D1071" t="s">
        <v>16136</v>
      </c>
      <c r="E1071">
        <v>4720</v>
      </c>
      <c r="F1071" t="s">
        <v>16137</v>
      </c>
      <c r="G1071" t="s">
        <v>5014</v>
      </c>
      <c r="H1071" t="str">
        <f t="shared" si="32"/>
        <v>Wellesley4720Fort Worth</v>
      </c>
      <c r="I1071" t="str">
        <f t="shared" si="33"/>
        <v>Wellesley</v>
      </c>
      <c r="J1071" s="82">
        <f>IFERROR(INDEX('All Folders'!$A:$A,MATCH(H1071,'All Folders'!$G:$G,0),1),"¶")</f>
        <v>14959</v>
      </c>
      <c r="K1071" s="87"/>
      <c r="L1071" s="87"/>
    </row>
    <row r="1072" spans="1:12" ht="15" x14ac:dyDescent="0.25">
      <c r="A1072" t="s">
        <v>20937</v>
      </c>
      <c r="B1072" t="s">
        <v>16138</v>
      </c>
      <c r="C1072" t="s">
        <v>16139</v>
      </c>
      <c r="D1072" t="s">
        <v>16140</v>
      </c>
      <c r="E1072">
        <v>5400</v>
      </c>
      <c r="F1072" t="s">
        <v>5722</v>
      </c>
      <c r="G1072" t="s">
        <v>5014</v>
      </c>
      <c r="H1072" t="str">
        <f t="shared" si="32"/>
        <v>Parker5400Fort Worth</v>
      </c>
      <c r="I1072" t="str">
        <f t="shared" si="33"/>
        <v>Parker</v>
      </c>
      <c r="J1072" s="82">
        <f>IFERROR(INDEX('All Folders'!$A:$A,MATCH(H1072,'All Folders'!$G:$G,0),1),"¶")</f>
        <v>30155</v>
      </c>
      <c r="K1072" s="87"/>
      <c r="L1072" s="87"/>
    </row>
    <row r="1073" spans="1:12" ht="15" x14ac:dyDescent="0.25">
      <c r="A1073" t="s">
        <v>20938</v>
      </c>
      <c r="B1073" t="s">
        <v>16141</v>
      </c>
      <c r="C1073" t="s">
        <v>16142</v>
      </c>
      <c r="D1073" t="s">
        <v>16143</v>
      </c>
      <c r="E1073">
        <v>1212</v>
      </c>
      <c r="F1073" t="s">
        <v>7501</v>
      </c>
      <c r="G1073" t="s">
        <v>5014</v>
      </c>
      <c r="H1073" t="str">
        <f t="shared" si="32"/>
        <v>Glen1212Fort Worth</v>
      </c>
      <c r="I1073" t="str">
        <f t="shared" si="33"/>
        <v>Glen</v>
      </c>
      <c r="J1073" s="82">
        <f>IFERROR(INDEX('All Folders'!$A:$A,MATCH(H1073,'All Folders'!$G:$G,0),1),"¶")</f>
        <v>15103</v>
      </c>
      <c r="K1073" s="87"/>
      <c r="L1073" s="87"/>
    </row>
    <row r="1074" spans="1:12" ht="15" x14ac:dyDescent="0.25">
      <c r="A1074" t="s">
        <v>20939</v>
      </c>
      <c r="B1074" t="s">
        <v>16144</v>
      </c>
      <c r="C1074" t="s">
        <v>16145</v>
      </c>
      <c r="D1074" t="s">
        <v>16146</v>
      </c>
      <c r="E1074">
        <v>3223</v>
      </c>
      <c r="F1074" t="s">
        <v>11569</v>
      </c>
      <c r="G1074" t="s">
        <v>5014</v>
      </c>
      <c r="H1074" t="str">
        <f t="shared" si="32"/>
        <v>Lackland3223Fort Worth</v>
      </c>
      <c r="I1074" t="str">
        <f t="shared" si="33"/>
        <v>Lackland</v>
      </c>
      <c r="J1074" s="82">
        <f>IFERROR(INDEX('All Folders'!$A:$A,MATCH(H1074,'All Folders'!$G:$G,0),1),"¶")</f>
        <v>30148</v>
      </c>
      <c r="K1074" s="87"/>
      <c r="L1074" s="87"/>
    </row>
    <row r="1075" spans="1:12" ht="15" x14ac:dyDescent="0.25">
      <c r="A1075" t="s">
        <v>20940</v>
      </c>
      <c r="B1075" t="s">
        <v>16147</v>
      </c>
      <c r="C1075" t="s">
        <v>16148</v>
      </c>
      <c r="D1075" t="s">
        <v>16149</v>
      </c>
      <c r="E1075">
        <v>9385</v>
      </c>
      <c r="F1075" t="s">
        <v>16150</v>
      </c>
      <c r="G1075" t="s">
        <v>5014</v>
      </c>
      <c r="H1075" t="str">
        <f t="shared" si="32"/>
        <v>Boat9385Fort Worth</v>
      </c>
      <c r="I1075" t="str">
        <f t="shared" si="33"/>
        <v>Boat</v>
      </c>
      <c r="J1075" s="82">
        <f>IFERROR(INDEX('All Folders'!$A:$A,MATCH(H1075,'All Folders'!$G:$G,0),1),"¶")</f>
        <v>14419</v>
      </c>
      <c r="K1075" s="87"/>
      <c r="L1075" s="87"/>
    </row>
    <row r="1076" spans="1:12" ht="15" x14ac:dyDescent="0.25">
      <c r="A1076" t="s">
        <v>20941</v>
      </c>
      <c r="B1076" t="s">
        <v>16151</v>
      </c>
      <c r="C1076" t="s">
        <v>16152</v>
      </c>
      <c r="D1076" t="s">
        <v>16153</v>
      </c>
      <c r="E1076">
        <v>5801</v>
      </c>
      <c r="F1076" t="s">
        <v>16154</v>
      </c>
      <c r="G1076" t="s">
        <v>5014</v>
      </c>
      <c r="H1076" t="str">
        <f t="shared" si="32"/>
        <v>Bridge5801Fort Worth</v>
      </c>
      <c r="I1076" t="str">
        <f t="shared" si="33"/>
        <v>Bridge</v>
      </c>
      <c r="J1076" s="82">
        <f>IFERROR(INDEX('All Folders'!$A:$A,MATCH(H1076,'All Folders'!$G:$G,0),1),"¶")</f>
        <v>14852</v>
      </c>
      <c r="K1076" s="87"/>
      <c r="L1076" s="87"/>
    </row>
    <row r="1077" spans="1:12" ht="15" x14ac:dyDescent="0.25">
      <c r="A1077" t="s">
        <v>20942</v>
      </c>
      <c r="B1077" t="s">
        <v>16155</v>
      </c>
      <c r="C1077" t="s">
        <v>16156</v>
      </c>
      <c r="D1077" t="s">
        <v>16157</v>
      </c>
      <c r="E1077">
        <v>5301</v>
      </c>
      <c r="F1077" t="s">
        <v>7246</v>
      </c>
      <c r="G1077" t="s">
        <v>5014</v>
      </c>
      <c r="H1077" t="str">
        <f t="shared" si="32"/>
        <v>Overton5301Fort Worth</v>
      </c>
      <c r="I1077" t="str">
        <f t="shared" si="33"/>
        <v>Overton</v>
      </c>
      <c r="J1077" s="82">
        <f>IFERROR(INDEX('All Folders'!$A:$A,MATCH(H1077,'All Folders'!$G:$G,0),1),"¶")</f>
        <v>14869</v>
      </c>
      <c r="K1077" s="87"/>
      <c r="L1077" s="87"/>
    </row>
    <row r="1078" spans="1:12" ht="15" x14ac:dyDescent="0.25">
      <c r="A1078" t="s">
        <v>20943</v>
      </c>
      <c r="B1078" t="s">
        <v>16158</v>
      </c>
      <c r="C1078" t="s">
        <v>16159</v>
      </c>
      <c r="D1078" t="s">
        <v>16080</v>
      </c>
      <c r="E1078">
        <v>9001</v>
      </c>
      <c r="F1078" t="s">
        <v>16160</v>
      </c>
      <c r="G1078" t="s">
        <v>5014</v>
      </c>
      <c r="H1078" t="str">
        <f t="shared" si="32"/>
        <v>Randol9001Fort Worth</v>
      </c>
      <c r="I1078" t="str">
        <f t="shared" si="33"/>
        <v>Randol</v>
      </c>
      <c r="J1078" s="82">
        <f>IFERROR(INDEX('All Folders'!$A:$A,MATCH(H1078,'All Folders'!$G:$G,0),1),"¶")</f>
        <v>14885</v>
      </c>
      <c r="K1078" s="87"/>
      <c r="L1078" s="87"/>
    </row>
    <row r="1079" spans="1:12" ht="15" x14ac:dyDescent="0.25">
      <c r="A1079" t="s">
        <v>20944</v>
      </c>
      <c r="B1079" t="s">
        <v>16161</v>
      </c>
      <c r="C1079" t="s">
        <v>16162</v>
      </c>
      <c r="D1079" t="s">
        <v>16163</v>
      </c>
      <c r="E1079">
        <v>2800</v>
      </c>
      <c r="F1079" t="s">
        <v>16164</v>
      </c>
      <c r="G1079" t="s">
        <v>5014</v>
      </c>
      <c r="H1079" t="str">
        <f t="shared" si="32"/>
        <v>Las2800Fort Worth</v>
      </c>
      <c r="I1079" t="str">
        <f t="shared" si="33"/>
        <v>Las</v>
      </c>
      <c r="J1079" s="82">
        <f>IFERROR(INDEX('All Folders'!$A:$A,MATCH(H1079,'All Folders'!$G:$G,0),1),"¶")</f>
        <v>15088</v>
      </c>
      <c r="K1079" s="87"/>
      <c r="L1079" s="87"/>
    </row>
    <row r="1080" spans="1:12" ht="15" x14ac:dyDescent="0.25">
      <c r="A1080" t="s">
        <v>20945</v>
      </c>
      <c r="B1080" t="s">
        <v>16165</v>
      </c>
      <c r="C1080" t="s">
        <v>16166</v>
      </c>
      <c r="D1080" t="s">
        <v>16167</v>
      </c>
      <c r="E1080">
        <v>7100</v>
      </c>
      <c r="F1080" t="s">
        <v>16168</v>
      </c>
      <c r="G1080" t="s">
        <v>5014</v>
      </c>
      <c r="H1080" t="str">
        <f t="shared" si="32"/>
        <v>Vickery7100Fort Worth</v>
      </c>
      <c r="I1080" t="str">
        <f t="shared" si="33"/>
        <v>Vickery</v>
      </c>
      <c r="J1080" s="82">
        <f>IFERROR(INDEX('All Folders'!$A:$A,MATCH(H1080,'All Folders'!$G:$G,0),1),"¶")</f>
        <v>14923</v>
      </c>
      <c r="K1080" s="87"/>
      <c r="L1080" s="87"/>
    </row>
    <row r="1081" spans="1:12" ht="15" x14ac:dyDescent="0.25">
      <c r="A1081" t="s">
        <v>20946</v>
      </c>
      <c r="B1081" t="s">
        <v>16169</v>
      </c>
      <c r="C1081" t="s">
        <v>16170</v>
      </c>
      <c r="D1081" t="s">
        <v>16171</v>
      </c>
      <c r="E1081">
        <v>4600</v>
      </c>
      <c r="F1081" t="s">
        <v>16172</v>
      </c>
      <c r="G1081" t="s">
        <v>5014</v>
      </c>
      <c r="H1081" t="str">
        <f t="shared" si="32"/>
        <v>Miller4600Fort Worth</v>
      </c>
      <c r="I1081" t="str">
        <f t="shared" si="33"/>
        <v>Miller</v>
      </c>
      <c r="J1081" s="82">
        <f>IFERROR(INDEX('All Folders'!$A:$A,MATCH(H1081,'All Folders'!$G:$G,0),1),"¶")</f>
        <v>14795</v>
      </c>
      <c r="K1081" s="87"/>
      <c r="L1081" s="87"/>
    </row>
    <row r="1082" spans="1:12" ht="15" x14ac:dyDescent="0.25">
      <c r="A1082" t="s">
        <v>20947</v>
      </c>
      <c r="B1082" t="s">
        <v>16173</v>
      </c>
      <c r="C1082" t="s">
        <v>16174</v>
      </c>
      <c r="D1082" t="s">
        <v>16175</v>
      </c>
      <c r="E1082">
        <v>9051</v>
      </c>
      <c r="F1082" t="s">
        <v>16176</v>
      </c>
      <c r="G1082" t="s">
        <v>5014</v>
      </c>
      <c r="H1082" t="str">
        <f t="shared" si="32"/>
        <v>Normandale9051Fort Worth</v>
      </c>
      <c r="I1082" t="str">
        <f t="shared" si="33"/>
        <v>Normandale</v>
      </c>
      <c r="J1082" s="82">
        <f>IFERROR(INDEX('All Folders'!$A:$A,MATCH(H1082,'All Folders'!$G:$G,0),1),"¶")</f>
        <v>16053</v>
      </c>
      <c r="K1082" s="87"/>
      <c r="L1082" s="87"/>
    </row>
    <row r="1083" spans="1:12" ht="15" x14ac:dyDescent="0.25">
      <c r="A1083" t="s">
        <v>20948</v>
      </c>
      <c r="B1083" t="s">
        <v>16177</v>
      </c>
      <c r="C1083" t="s">
        <v>16178</v>
      </c>
      <c r="D1083" t="s">
        <v>16179</v>
      </c>
      <c r="E1083">
        <v>525</v>
      </c>
      <c r="F1083" t="s">
        <v>16180</v>
      </c>
      <c r="G1083" t="s">
        <v>5014</v>
      </c>
      <c r="H1083" t="str">
        <f t="shared" si="32"/>
        <v>King525Fort Worth</v>
      </c>
      <c r="I1083" t="str">
        <f t="shared" si="33"/>
        <v>King</v>
      </c>
      <c r="J1083" s="82">
        <f>IFERROR(INDEX('All Folders'!$A:$A,MATCH(H1083,'All Folders'!$G:$G,0),1),"¶")</f>
        <v>30147</v>
      </c>
      <c r="K1083" s="87"/>
      <c r="L1083" s="87"/>
    </row>
    <row r="1084" spans="1:12" ht="15" x14ac:dyDescent="0.25">
      <c r="A1084" t="s">
        <v>20949</v>
      </c>
      <c r="B1084" t="s">
        <v>16181</v>
      </c>
      <c r="C1084" t="s">
        <v>16182</v>
      </c>
      <c r="D1084" t="s">
        <v>16065</v>
      </c>
      <c r="E1084">
        <v>6351</v>
      </c>
      <c r="F1084" t="s">
        <v>16183</v>
      </c>
      <c r="G1084" t="s">
        <v>5014</v>
      </c>
      <c r="H1084" t="str">
        <f t="shared" si="32"/>
        <v>Vega6351Fort Worth</v>
      </c>
      <c r="I1084" t="str">
        <f t="shared" si="33"/>
        <v>Vega</v>
      </c>
      <c r="J1084" s="82">
        <f>IFERROR(INDEX('All Folders'!$A:$A,MATCH(H1084,'All Folders'!$G:$G,0),1),"¶")</f>
        <v>14917</v>
      </c>
      <c r="K1084" s="87"/>
      <c r="L1084" s="87"/>
    </row>
    <row r="1085" spans="1:12" ht="15" x14ac:dyDescent="0.25">
      <c r="A1085" t="s">
        <v>20950</v>
      </c>
      <c r="B1085" t="s">
        <v>16184</v>
      </c>
      <c r="C1085" t="s">
        <v>16185</v>
      </c>
      <c r="D1085" t="s">
        <v>16186</v>
      </c>
      <c r="E1085">
        <v>6869</v>
      </c>
      <c r="F1085" t="s">
        <v>16187</v>
      </c>
      <c r="G1085" t="s">
        <v>5014</v>
      </c>
      <c r="H1085" t="str">
        <f t="shared" si="32"/>
        <v>Chickering6869Fort Worth</v>
      </c>
      <c r="I1085" t="str">
        <f t="shared" si="33"/>
        <v>Chickering</v>
      </c>
      <c r="J1085" s="82">
        <f>IFERROR(INDEX('All Folders'!$A:$A,MATCH(H1085,'All Folders'!$G:$G,0),1),"¶")</f>
        <v>14922</v>
      </c>
      <c r="K1085" s="87"/>
      <c r="L1085" s="87"/>
    </row>
    <row r="1086" spans="1:12" ht="15" x14ac:dyDescent="0.25">
      <c r="A1086" t="s">
        <v>20951</v>
      </c>
      <c r="B1086" t="s">
        <v>16188</v>
      </c>
      <c r="C1086" t="s">
        <v>16189</v>
      </c>
      <c r="D1086" t="s">
        <v>16190</v>
      </c>
      <c r="E1086">
        <v>6960</v>
      </c>
      <c r="F1086" t="s">
        <v>16191</v>
      </c>
      <c r="G1086" t="s">
        <v>5014</v>
      </c>
      <c r="H1086" t="str">
        <f t="shared" si="32"/>
        <v>Beach6960Fort Worth</v>
      </c>
      <c r="I1086" t="str">
        <f t="shared" si="33"/>
        <v>Beach</v>
      </c>
      <c r="J1086" s="82">
        <f>IFERROR(INDEX('All Folders'!$A:$A,MATCH(H1086,'All Folders'!$G:$G,0),1),"¶")</f>
        <v>14447</v>
      </c>
      <c r="K1086" s="87"/>
      <c r="L1086" s="87"/>
    </row>
    <row r="1087" spans="1:12" ht="15" x14ac:dyDescent="0.25">
      <c r="A1087" t="s">
        <v>20953</v>
      </c>
      <c r="B1087" t="s">
        <v>16195</v>
      </c>
      <c r="C1087" t="s">
        <v>16196</v>
      </c>
      <c r="D1087" t="s">
        <v>16197</v>
      </c>
      <c r="E1087">
        <v>2400</v>
      </c>
      <c r="F1087" t="s">
        <v>7414</v>
      </c>
      <c r="G1087" t="s">
        <v>5014</v>
      </c>
      <c r="H1087" t="str">
        <f t="shared" si="32"/>
        <v>Mccurdy2400Fort Worth</v>
      </c>
      <c r="I1087" t="str">
        <f t="shared" si="33"/>
        <v>Mccurdy</v>
      </c>
      <c r="J1087" s="82">
        <f>IFERROR(INDEX('All Folders'!$A:$A,MATCH(H1087,'All Folders'!$G:$G,0),1),"¶")</f>
        <v>30149</v>
      </c>
      <c r="K1087" s="87"/>
      <c r="L1087" s="87"/>
    </row>
    <row r="1088" spans="1:12" ht="15" x14ac:dyDescent="0.25">
      <c r="A1088" t="s">
        <v>20954</v>
      </c>
      <c r="B1088" t="s">
        <v>16198</v>
      </c>
      <c r="C1088" t="s">
        <v>16199</v>
      </c>
      <c r="D1088" t="s">
        <v>16051</v>
      </c>
      <c r="E1088">
        <v>6000</v>
      </c>
      <c r="F1088" t="s">
        <v>16200</v>
      </c>
      <c r="G1088" t="s">
        <v>5014</v>
      </c>
      <c r="H1088" t="str">
        <f t="shared" si="32"/>
        <v>Boca6000Fort Worth</v>
      </c>
      <c r="I1088" t="str">
        <f t="shared" si="33"/>
        <v>Boca</v>
      </c>
      <c r="J1088" s="82">
        <f>IFERROR(INDEX('All Folders'!$A:$A,MATCH(H1088,'All Folders'!$G:$G,0),1),"¶")</f>
        <v>15004</v>
      </c>
      <c r="K1088" s="87"/>
      <c r="L1088" s="87"/>
    </row>
    <row r="1089" spans="1:12" ht="15" x14ac:dyDescent="0.25">
      <c r="A1089" t="s">
        <v>20955</v>
      </c>
      <c r="B1089" t="s">
        <v>16201</v>
      </c>
      <c r="C1089" t="s">
        <v>16202</v>
      </c>
      <c r="D1089" t="s">
        <v>16203</v>
      </c>
      <c r="E1089">
        <v>7251</v>
      </c>
      <c r="F1089" t="s">
        <v>1260</v>
      </c>
      <c r="G1089" t="s">
        <v>5014</v>
      </c>
      <c r="H1089" t="str">
        <f t="shared" si="32"/>
        <v>Crowley7251Fort Worth</v>
      </c>
      <c r="I1089" t="str">
        <f t="shared" si="33"/>
        <v>Crowley</v>
      </c>
      <c r="J1089" s="82">
        <f>IFERROR(INDEX('All Folders'!$A:$A,MATCH(H1089,'All Folders'!$G:$G,0),1),"¶")</f>
        <v>15022</v>
      </c>
      <c r="K1089" s="87"/>
      <c r="L1089" s="87"/>
    </row>
    <row r="1090" spans="1:12" ht="15" x14ac:dyDescent="0.25">
      <c r="A1090" t="s">
        <v>20956</v>
      </c>
      <c r="B1090" t="s">
        <v>16204</v>
      </c>
      <c r="C1090" t="s">
        <v>16205</v>
      </c>
      <c r="D1090" t="s">
        <v>7454</v>
      </c>
      <c r="E1090">
        <v>3101</v>
      </c>
      <c r="F1090" t="s">
        <v>16206</v>
      </c>
      <c r="G1090" t="s">
        <v>5014</v>
      </c>
      <c r="H1090" t="str">
        <f t="shared" ref="H1090:H1153" si="34">I1090&amp;E1090&amp;G1090</f>
        <v>Sappington3101Fort Worth</v>
      </c>
      <c r="I1090" t="str">
        <f t="shared" ref="I1090:I1153" si="35">IFERROR(LEFT(D1090,FIND(" ",D1090)-1),D1090)</f>
        <v>Sappington</v>
      </c>
      <c r="J1090" s="82">
        <f>IFERROR(INDEX('All Folders'!$A:$A,MATCH(H1090,'All Folders'!$G:$G,0),1),"¶")</f>
        <v>15044</v>
      </c>
      <c r="K1090" s="87"/>
      <c r="L1090" s="87"/>
    </row>
    <row r="1091" spans="1:12" ht="15" x14ac:dyDescent="0.25">
      <c r="A1091" t="s">
        <v>20957</v>
      </c>
      <c r="B1091" t="s">
        <v>16207</v>
      </c>
      <c r="C1091" t="s">
        <v>16208</v>
      </c>
      <c r="D1091" t="s">
        <v>16163</v>
      </c>
      <c r="E1091">
        <v>2840</v>
      </c>
      <c r="F1091" t="s">
        <v>16209</v>
      </c>
      <c r="G1091" t="s">
        <v>5014</v>
      </c>
      <c r="H1091" t="str">
        <f t="shared" si="34"/>
        <v>Las2840Fort Worth</v>
      </c>
      <c r="I1091" t="str">
        <f t="shared" si="35"/>
        <v>Las</v>
      </c>
      <c r="J1091" s="82">
        <f>IFERROR(INDEX('All Folders'!$A:$A,MATCH(H1091,'All Folders'!$G:$G,0),1),"¶")</f>
        <v>15065</v>
      </c>
      <c r="K1091" s="87"/>
      <c r="L1091" s="87"/>
    </row>
    <row r="1092" spans="1:12" ht="15" x14ac:dyDescent="0.25">
      <c r="A1092" t="s">
        <v>20958</v>
      </c>
      <c r="B1092" t="s">
        <v>16210</v>
      </c>
      <c r="C1092" t="s">
        <v>16211</v>
      </c>
      <c r="D1092" t="s">
        <v>16212</v>
      </c>
      <c r="E1092">
        <v>1701</v>
      </c>
      <c r="F1092" t="s">
        <v>11557</v>
      </c>
      <c r="G1092" t="s">
        <v>5014</v>
      </c>
      <c r="H1092" t="str">
        <f t="shared" si="34"/>
        <v>Robert1701Fort Worth</v>
      </c>
      <c r="I1092" t="str">
        <f t="shared" si="35"/>
        <v>Robert</v>
      </c>
      <c r="J1092" s="82">
        <f>IFERROR(INDEX('All Folders'!$A:$A,MATCH(H1092,'All Folders'!$G:$G,0),1),"¶")</f>
        <v>30140</v>
      </c>
      <c r="K1092" s="87"/>
      <c r="L1092" s="87"/>
    </row>
    <row r="1093" spans="1:12" ht="15" x14ac:dyDescent="0.25">
      <c r="A1093" t="s">
        <v>20959</v>
      </c>
      <c r="B1093" t="s">
        <v>16213</v>
      </c>
      <c r="C1093" t="s">
        <v>16214</v>
      </c>
      <c r="D1093" t="s">
        <v>16095</v>
      </c>
      <c r="E1093">
        <v>2925</v>
      </c>
      <c r="F1093" t="s">
        <v>16215</v>
      </c>
      <c r="G1093" t="s">
        <v>5014</v>
      </c>
      <c r="H1093" t="str">
        <f t="shared" si="34"/>
        <v>Normandale2925Fort Worth</v>
      </c>
      <c r="I1093" t="str">
        <f t="shared" si="35"/>
        <v>Normandale</v>
      </c>
      <c r="J1093" s="82">
        <f>IFERROR(INDEX('All Folders'!$A:$A,MATCH(H1093,'All Folders'!$G:$G,0),1),"¶")</f>
        <v>14837</v>
      </c>
      <c r="K1093" s="87"/>
      <c r="L1093" s="87"/>
    </row>
    <row r="1094" spans="1:12" ht="15" x14ac:dyDescent="0.25">
      <c r="A1094" t="s">
        <v>20960</v>
      </c>
      <c r="B1094" t="s">
        <v>16216</v>
      </c>
      <c r="C1094" t="s">
        <v>16217</v>
      </c>
      <c r="D1094" t="s">
        <v>16095</v>
      </c>
      <c r="E1094">
        <v>2925</v>
      </c>
      <c r="F1094" t="s">
        <v>16218</v>
      </c>
      <c r="G1094" t="s">
        <v>5014</v>
      </c>
      <c r="H1094" t="str">
        <f t="shared" si="34"/>
        <v>Normandale2925Fort Worth</v>
      </c>
      <c r="I1094" t="str">
        <f t="shared" si="35"/>
        <v>Normandale</v>
      </c>
      <c r="J1094" s="82">
        <f>IFERROR(INDEX('All Folders'!$A:$A,MATCH(H1094,'All Folders'!$G:$G,0),1),"¶")</f>
        <v>14837</v>
      </c>
      <c r="K1094" s="87"/>
      <c r="L1094" s="87"/>
    </row>
    <row r="1095" spans="1:12" ht="15" x14ac:dyDescent="0.25">
      <c r="A1095" t="s">
        <v>20961</v>
      </c>
      <c r="B1095" t="s">
        <v>16219</v>
      </c>
      <c r="C1095" t="s">
        <v>16220</v>
      </c>
      <c r="D1095" t="s">
        <v>16221</v>
      </c>
      <c r="E1095">
        <v>8901</v>
      </c>
      <c r="F1095" t="s">
        <v>16222</v>
      </c>
      <c r="G1095" t="s">
        <v>5014</v>
      </c>
      <c r="H1095" t="str">
        <f t="shared" si="34"/>
        <v>Meadowbrook8901Fort Worth</v>
      </c>
      <c r="I1095" t="str">
        <f t="shared" si="35"/>
        <v>Meadowbrook</v>
      </c>
      <c r="J1095" s="82">
        <f>IFERROR(INDEX('All Folders'!$A:$A,MATCH(H1095,'All Folders'!$G:$G,0),1),"¶")</f>
        <v>14461</v>
      </c>
      <c r="K1095" s="87"/>
      <c r="L1095" s="87"/>
    </row>
    <row r="1096" spans="1:12" ht="15" x14ac:dyDescent="0.25">
      <c r="A1096" t="s">
        <v>20962</v>
      </c>
      <c r="B1096" t="s">
        <v>16223</v>
      </c>
      <c r="C1096" t="s">
        <v>16224</v>
      </c>
      <c r="D1096" t="s">
        <v>16133</v>
      </c>
      <c r="E1096">
        <v>2121</v>
      </c>
      <c r="F1096" t="s">
        <v>16225</v>
      </c>
      <c r="G1096" t="s">
        <v>5014</v>
      </c>
      <c r="H1096" t="str">
        <f t="shared" si="34"/>
        <v>Handley2121Fort Worth</v>
      </c>
      <c r="I1096" t="str">
        <f t="shared" si="35"/>
        <v>Handley</v>
      </c>
      <c r="J1096" s="82">
        <f>IFERROR(INDEX('All Folders'!$A:$A,MATCH(H1096,'All Folders'!$G:$G,0),1),"¶")</f>
        <v>15006</v>
      </c>
      <c r="K1096" s="87"/>
      <c r="L1096" s="87"/>
    </row>
    <row r="1097" spans="1:12" ht="15" x14ac:dyDescent="0.25">
      <c r="A1097" t="s">
        <v>20965</v>
      </c>
      <c r="B1097" t="s">
        <v>16233</v>
      </c>
      <c r="C1097" t="s">
        <v>16234</v>
      </c>
      <c r="D1097" t="s">
        <v>16235</v>
      </c>
      <c r="E1097">
        <v>1401</v>
      </c>
      <c r="F1097" t="s">
        <v>16236</v>
      </c>
      <c r="G1097" t="s">
        <v>5014</v>
      </c>
      <c r="H1097" t="str">
        <f t="shared" si="34"/>
        <v>Morrison1401Fort Worth</v>
      </c>
      <c r="I1097" t="str">
        <f t="shared" si="35"/>
        <v>Morrison</v>
      </c>
      <c r="J1097" s="82">
        <f>IFERROR(INDEX('All Folders'!$A:$A,MATCH(H1097,'All Folders'!$G:$G,0),1),"¶")</f>
        <v>15085</v>
      </c>
      <c r="K1097" s="87"/>
      <c r="L1097" s="87"/>
    </row>
    <row r="1098" spans="1:12" ht="15" x14ac:dyDescent="0.25">
      <c r="A1098" t="s">
        <v>20966</v>
      </c>
      <c r="B1098" t="s">
        <v>16237</v>
      </c>
      <c r="C1098" t="s">
        <v>16238</v>
      </c>
      <c r="D1098" t="s">
        <v>16239</v>
      </c>
      <c r="E1098">
        <v>1525</v>
      </c>
      <c r="F1098" t="s">
        <v>7486</v>
      </c>
      <c r="G1098" t="s">
        <v>5014</v>
      </c>
      <c r="H1098" t="str">
        <f t="shared" si="34"/>
        <v>Sandy1525Fort Worth</v>
      </c>
      <c r="I1098" t="str">
        <f t="shared" si="35"/>
        <v>Sandy</v>
      </c>
      <c r="J1098" s="82">
        <f>IFERROR(INDEX('All Folders'!$A:$A,MATCH(H1098,'All Folders'!$G:$G,0),1),"¶")</f>
        <v>15074</v>
      </c>
      <c r="K1098" s="87"/>
      <c r="L1098" s="87"/>
    </row>
    <row r="1099" spans="1:12" ht="15" x14ac:dyDescent="0.25">
      <c r="A1099" t="s">
        <v>20967</v>
      </c>
      <c r="B1099" t="s">
        <v>16240</v>
      </c>
      <c r="C1099" t="s">
        <v>16241</v>
      </c>
      <c r="D1099" t="s">
        <v>16242</v>
      </c>
      <c r="E1099">
        <v>8300</v>
      </c>
      <c r="F1099" t="s">
        <v>16243</v>
      </c>
      <c r="G1099" t="s">
        <v>5014</v>
      </c>
      <c r="H1099" t="str">
        <f t="shared" si="34"/>
        <v>Calmont8300Fort Worth</v>
      </c>
      <c r="I1099" t="str">
        <f t="shared" si="35"/>
        <v>Calmont</v>
      </c>
      <c r="J1099" s="82">
        <f>IFERROR(INDEX('All Folders'!$A:$A,MATCH(H1099,'All Folders'!$G:$G,0),1),"¶")</f>
        <v>15086</v>
      </c>
      <c r="K1099" s="87"/>
      <c r="L1099" s="87"/>
    </row>
    <row r="1100" spans="1:12" ht="15" x14ac:dyDescent="0.25">
      <c r="A1100" t="s">
        <v>20968</v>
      </c>
      <c r="B1100" t="s">
        <v>16244</v>
      </c>
      <c r="C1100" t="s">
        <v>16245</v>
      </c>
      <c r="D1100" t="s">
        <v>16246</v>
      </c>
      <c r="E1100">
        <v>8515</v>
      </c>
      <c r="F1100" t="s">
        <v>7499</v>
      </c>
      <c r="G1100" t="s">
        <v>5014</v>
      </c>
      <c r="H1100" t="str">
        <f t="shared" si="34"/>
        <v>John8515Fort Worth</v>
      </c>
      <c r="I1100" t="str">
        <f t="shared" si="35"/>
        <v>John</v>
      </c>
      <c r="J1100" s="82">
        <f>IFERROR(INDEX('All Folders'!$A:$A,MATCH(H1100,'All Folders'!$G:$G,0),1),"¶")</f>
        <v>15099</v>
      </c>
      <c r="K1100" s="87"/>
      <c r="L1100" s="87"/>
    </row>
    <row r="1101" spans="1:12" ht="15" x14ac:dyDescent="0.25">
      <c r="A1101" t="s">
        <v>20970</v>
      </c>
      <c r="B1101" t="s">
        <v>16251</v>
      </c>
      <c r="C1101" t="s">
        <v>16252</v>
      </c>
      <c r="D1101" t="s">
        <v>16253</v>
      </c>
      <c r="E1101">
        <v>1350</v>
      </c>
      <c r="F1101" t="s">
        <v>16254</v>
      </c>
      <c r="G1101" t="s">
        <v>5014</v>
      </c>
      <c r="H1101" t="str">
        <f t="shared" si="34"/>
        <v>Seminary1350Fort Worth</v>
      </c>
      <c r="I1101" t="str">
        <f t="shared" si="35"/>
        <v>Seminary</v>
      </c>
      <c r="J1101" s="82">
        <f>IFERROR(INDEX('All Folders'!$A:$A,MATCH(H1101,'All Folders'!$G:$G,0),1),"¶")</f>
        <v>30143</v>
      </c>
      <c r="K1101" s="87"/>
      <c r="L1101" s="87"/>
    </row>
    <row r="1102" spans="1:12" ht="15" x14ac:dyDescent="0.25">
      <c r="A1102" t="s">
        <v>20971</v>
      </c>
      <c r="B1102" t="s">
        <v>16255</v>
      </c>
      <c r="C1102" t="s">
        <v>16256</v>
      </c>
      <c r="D1102" t="s">
        <v>16091</v>
      </c>
      <c r="E1102">
        <v>8021</v>
      </c>
      <c r="F1102" t="s">
        <v>16257</v>
      </c>
      <c r="G1102" t="s">
        <v>5014</v>
      </c>
      <c r="H1102" t="str">
        <f t="shared" si="34"/>
        <v>Calmont8021Fort Worth</v>
      </c>
      <c r="I1102" t="str">
        <f t="shared" si="35"/>
        <v>Calmont</v>
      </c>
      <c r="J1102" s="82">
        <f>IFERROR(INDEX('All Folders'!$A:$A,MATCH(H1102,'All Folders'!$G:$G,0),1),"¶")</f>
        <v>14978</v>
      </c>
      <c r="K1102" s="87"/>
      <c r="L1102" s="87"/>
    </row>
    <row r="1103" spans="1:12" ht="15" x14ac:dyDescent="0.25">
      <c r="A1103" t="s">
        <v>20972</v>
      </c>
      <c r="B1103" t="s">
        <v>16258</v>
      </c>
      <c r="C1103" t="s">
        <v>16259</v>
      </c>
      <c r="D1103" t="s">
        <v>16260</v>
      </c>
      <c r="E1103">
        <v>5720</v>
      </c>
      <c r="F1103" t="s">
        <v>16261</v>
      </c>
      <c r="G1103" t="s">
        <v>5014</v>
      </c>
      <c r="H1103" t="str">
        <f t="shared" si="34"/>
        <v>Meadowbrook5720Fort Worth</v>
      </c>
      <c r="I1103" t="str">
        <f t="shared" si="35"/>
        <v>Meadowbrook</v>
      </c>
      <c r="J1103" s="82">
        <f>IFERROR(INDEX('All Folders'!$A:$A,MATCH(H1103,'All Folders'!$G:$G,0),1),"¶")</f>
        <v>14777</v>
      </c>
      <c r="K1103" s="87"/>
      <c r="L1103" s="87"/>
    </row>
    <row r="1104" spans="1:12" ht="15" x14ac:dyDescent="0.25">
      <c r="A1104" t="s">
        <v>20973</v>
      </c>
      <c r="B1104" t="s">
        <v>16262</v>
      </c>
      <c r="C1104" t="s">
        <v>16263</v>
      </c>
      <c r="D1104" t="s">
        <v>16264</v>
      </c>
      <c r="E1104">
        <v>2201</v>
      </c>
      <c r="F1104" t="s">
        <v>16265</v>
      </c>
      <c r="G1104" t="s">
        <v>5014</v>
      </c>
      <c r="H1104" t="str">
        <f t="shared" si="34"/>
        <v>Berry2201Fort Worth</v>
      </c>
      <c r="I1104" t="str">
        <f t="shared" si="35"/>
        <v>Berry</v>
      </c>
      <c r="J1104" s="82">
        <f>IFERROR(INDEX('All Folders'!$A:$A,MATCH(H1104,'All Folders'!$G:$G,0),1),"¶")</f>
        <v>15127</v>
      </c>
      <c r="K1104" s="87"/>
      <c r="L1104" s="87"/>
    </row>
    <row r="1105" spans="1:12" ht="15" x14ac:dyDescent="0.25">
      <c r="A1105" t="s">
        <v>20974</v>
      </c>
      <c r="B1105" t="s">
        <v>16266</v>
      </c>
      <c r="C1105" t="s">
        <v>16267</v>
      </c>
      <c r="D1105" t="s">
        <v>16268</v>
      </c>
      <c r="E1105">
        <v>6528</v>
      </c>
      <c r="F1105" t="s">
        <v>16269</v>
      </c>
      <c r="G1105" t="s">
        <v>5014</v>
      </c>
      <c r="H1105" t="str">
        <f t="shared" si="34"/>
        <v>Normandy6528Fort Worth</v>
      </c>
      <c r="I1105" t="str">
        <f t="shared" si="35"/>
        <v>Normandy</v>
      </c>
      <c r="J1105" s="82" t="str">
        <f>IFERROR(INDEX('All Folders'!$A:$A,MATCH(H1105,'All Folders'!$G:$G,0),1),"¶")</f>
        <v>SP129</v>
      </c>
      <c r="K1105" s="87"/>
      <c r="L1105" s="87"/>
    </row>
    <row r="1106" spans="1:12" ht="15" x14ac:dyDescent="0.25">
      <c r="A1106" t="s">
        <v>20975</v>
      </c>
      <c r="B1106" t="s">
        <v>16270</v>
      </c>
      <c r="C1106" t="s">
        <v>16271</v>
      </c>
      <c r="D1106" t="s">
        <v>16272</v>
      </c>
      <c r="E1106">
        <v>7501</v>
      </c>
      <c r="F1106" t="s">
        <v>631</v>
      </c>
      <c r="G1106" t="s">
        <v>5014</v>
      </c>
      <c r="H1106" t="str">
        <f t="shared" si="34"/>
        <v>Ederville7501Fort Worth</v>
      </c>
      <c r="I1106" t="str">
        <f t="shared" si="35"/>
        <v>Ederville</v>
      </c>
      <c r="J1106" s="82">
        <f>IFERROR(INDEX('All Folders'!$A:$A,MATCH(H1106,'All Folders'!$G:$G,0),1),"¶")</f>
        <v>15136</v>
      </c>
      <c r="K1106" s="87"/>
      <c r="L1106" s="87"/>
    </row>
    <row r="1107" spans="1:12" ht="15" x14ac:dyDescent="0.25">
      <c r="A1107" t="s">
        <v>20976</v>
      </c>
      <c r="B1107" t="s">
        <v>16273</v>
      </c>
      <c r="C1107" t="s">
        <v>16274</v>
      </c>
      <c r="D1107" t="s">
        <v>16069</v>
      </c>
      <c r="E1107">
        <v>6001</v>
      </c>
      <c r="F1107" t="s">
        <v>7543</v>
      </c>
      <c r="G1107" t="s">
        <v>5014</v>
      </c>
      <c r="H1107" t="str">
        <f t="shared" si="34"/>
        <v>Oakland6001Fort Worth</v>
      </c>
      <c r="I1107" t="str">
        <f t="shared" si="35"/>
        <v>Oakland</v>
      </c>
      <c r="J1107" s="82">
        <f>IFERROR(INDEX('All Folders'!$A:$A,MATCH(H1107,'All Folders'!$G:$G,0),1),"¶")</f>
        <v>15144</v>
      </c>
      <c r="K1107" s="87"/>
      <c r="L1107" s="87"/>
    </row>
    <row r="1108" spans="1:12" ht="15" x14ac:dyDescent="0.25">
      <c r="A1108" t="s">
        <v>20977</v>
      </c>
      <c r="B1108" t="s">
        <v>16275</v>
      </c>
      <c r="C1108" t="s">
        <v>16276</v>
      </c>
      <c r="D1108" t="s">
        <v>16277</v>
      </c>
      <c r="E1108">
        <v>4225</v>
      </c>
      <c r="F1108" t="s">
        <v>11579</v>
      </c>
      <c r="G1108" t="s">
        <v>5014</v>
      </c>
      <c r="H1108" t="str">
        <f t="shared" si="34"/>
        <v>Cravens4225Fort Worth</v>
      </c>
      <c r="I1108" t="str">
        <f t="shared" si="35"/>
        <v>Cravens</v>
      </c>
      <c r="J1108" s="82">
        <f>IFERROR(INDEX('All Folders'!$A:$A,MATCH(H1108,'All Folders'!$G:$G,0),1),"¶")</f>
        <v>30157</v>
      </c>
      <c r="K1108" s="87"/>
      <c r="L1108" s="87"/>
    </row>
    <row r="1109" spans="1:12" ht="15" x14ac:dyDescent="0.25">
      <c r="A1109" t="s">
        <v>20978</v>
      </c>
      <c r="B1109" t="s">
        <v>16278</v>
      </c>
      <c r="C1109" t="s">
        <v>16279</v>
      </c>
      <c r="D1109" t="s">
        <v>6854</v>
      </c>
      <c r="E1109">
        <v>6555</v>
      </c>
      <c r="F1109" t="s">
        <v>8069</v>
      </c>
      <c r="G1109" t="s">
        <v>5014</v>
      </c>
      <c r="H1109" t="str">
        <f t="shared" si="34"/>
        <v>Shady6555Fort Worth</v>
      </c>
      <c r="I1109" t="str">
        <f t="shared" si="35"/>
        <v>Shady</v>
      </c>
      <c r="J1109" s="82">
        <f>IFERROR(INDEX('All Folders'!$A:$A,MATCH(H1109,'All Folders'!$G:$G,0),1),"¶")</f>
        <v>15608</v>
      </c>
      <c r="K1109" s="87"/>
      <c r="L1109" s="87"/>
    </row>
    <row r="1110" spans="1:12" ht="15" x14ac:dyDescent="0.25">
      <c r="A1110" t="s">
        <v>20979</v>
      </c>
      <c r="B1110" t="s">
        <v>16280</v>
      </c>
      <c r="C1110" t="s">
        <v>16281</v>
      </c>
      <c r="D1110" t="s">
        <v>16282</v>
      </c>
      <c r="E1110">
        <v>4900</v>
      </c>
      <c r="F1110" t="s">
        <v>16283</v>
      </c>
      <c r="G1110" t="s">
        <v>5014</v>
      </c>
      <c r="H1110" t="str">
        <f t="shared" si="34"/>
        <v>Bryant4900Fort Worth</v>
      </c>
      <c r="I1110" t="str">
        <f t="shared" si="35"/>
        <v>Bryant</v>
      </c>
      <c r="J1110" s="82">
        <f>IFERROR(INDEX('All Folders'!$A:$A,MATCH(H1110,'All Folders'!$G:$G,0),1),"¶")</f>
        <v>16457</v>
      </c>
      <c r="K1110" s="87"/>
      <c r="L1110" s="87"/>
    </row>
    <row r="1111" spans="1:12" ht="15" x14ac:dyDescent="0.25">
      <c r="A1111" t="s">
        <v>20981</v>
      </c>
      <c r="B1111" t="s">
        <v>16287</v>
      </c>
      <c r="C1111" t="s">
        <v>16288</v>
      </c>
      <c r="D1111" t="s">
        <v>16289</v>
      </c>
      <c r="E1111">
        <v>4633</v>
      </c>
      <c r="F1111" t="s">
        <v>6834</v>
      </c>
      <c r="G1111" t="s">
        <v>5014</v>
      </c>
      <c r="H1111" t="str">
        <f t="shared" si="34"/>
        <v>Sycamore4633Fort Worth</v>
      </c>
      <c r="I1111" t="str">
        <f t="shared" si="35"/>
        <v>Sycamore</v>
      </c>
      <c r="J1111" s="82">
        <f>IFERROR(INDEX('All Folders'!$A:$A,MATCH(H1111,'All Folders'!$G:$G,0),1),"¶")</f>
        <v>14489</v>
      </c>
      <c r="K1111" s="87"/>
      <c r="L1111" s="87"/>
    </row>
    <row r="1112" spans="1:12" ht="15" x14ac:dyDescent="0.25">
      <c r="A1112" t="s">
        <v>20982</v>
      </c>
      <c r="B1112" t="s">
        <v>16290</v>
      </c>
      <c r="C1112" t="s">
        <v>16291</v>
      </c>
      <c r="D1112" t="s">
        <v>16292</v>
      </c>
      <c r="E1112">
        <v>2100</v>
      </c>
      <c r="F1112" t="s">
        <v>16293</v>
      </c>
      <c r="G1112" t="s">
        <v>5014</v>
      </c>
      <c r="H1112" t="str">
        <f t="shared" si="34"/>
        <v>8202100Fort Worth</v>
      </c>
      <c r="I1112" t="str">
        <f t="shared" si="35"/>
        <v>820</v>
      </c>
      <c r="J1112" s="82">
        <f>IFERROR(INDEX('All Folders'!$A:$A,MATCH(H1112,'All Folders'!$G:$G,0),1),"¶")</f>
        <v>14426</v>
      </c>
      <c r="K1112" s="87"/>
      <c r="L1112" s="87"/>
    </row>
    <row r="1113" spans="1:12" ht="15" x14ac:dyDescent="0.25">
      <c r="A1113" t="s">
        <v>20985</v>
      </c>
      <c r="B1113" t="s">
        <v>16302</v>
      </c>
      <c r="C1113" t="s">
        <v>16303</v>
      </c>
      <c r="D1113" t="s">
        <v>16304</v>
      </c>
      <c r="E1113">
        <v>3101</v>
      </c>
      <c r="F1113" t="s">
        <v>16305</v>
      </c>
      <c r="G1113" t="s">
        <v>5014</v>
      </c>
      <c r="H1113" t="str">
        <f t="shared" si="34"/>
        <v>River3101Fort Worth</v>
      </c>
      <c r="I1113" t="str">
        <f t="shared" si="35"/>
        <v>River</v>
      </c>
      <c r="J1113" s="82">
        <f>IFERROR(INDEX('All Folders'!$A:$A,MATCH(H1113,'All Folders'!$G:$G,0),1),"¶")</f>
        <v>14421</v>
      </c>
      <c r="K1113" s="87"/>
      <c r="L1113" s="87"/>
    </row>
    <row r="1114" spans="1:12" ht="15" x14ac:dyDescent="0.25">
      <c r="A1114" t="s">
        <v>20986</v>
      </c>
      <c r="B1114" t="s">
        <v>16306</v>
      </c>
      <c r="C1114" t="s">
        <v>16307</v>
      </c>
      <c r="D1114" t="s">
        <v>16308</v>
      </c>
      <c r="E1114">
        <v>411</v>
      </c>
      <c r="F1114" t="s">
        <v>16309</v>
      </c>
      <c r="G1114" t="s">
        <v>5014</v>
      </c>
      <c r="H1114" t="str">
        <f t="shared" si="34"/>
        <v>7th411Fort Worth</v>
      </c>
      <c r="I1114" t="str">
        <f t="shared" si="35"/>
        <v>7th</v>
      </c>
      <c r="J1114" s="82">
        <f>IFERROR(INDEX('All Folders'!$A:$A,MATCH(H1114,'All Folders'!$G:$G,0),1),"¶")</f>
        <v>30160</v>
      </c>
      <c r="K1114" s="87"/>
      <c r="L1114" s="87"/>
    </row>
    <row r="1115" spans="1:12" ht="15" x14ac:dyDescent="0.25">
      <c r="A1115" t="s">
        <v>20987</v>
      </c>
      <c r="B1115" t="s">
        <v>16310</v>
      </c>
      <c r="C1115" t="s">
        <v>16311</v>
      </c>
      <c r="D1115" t="s">
        <v>16312</v>
      </c>
      <c r="E1115">
        <v>6401</v>
      </c>
      <c r="F1115" t="s">
        <v>16313</v>
      </c>
      <c r="G1115" t="s">
        <v>5014</v>
      </c>
      <c r="H1115" t="str">
        <f t="shared" si="34"/>
        <v>Hulen6401Fort Worth</v>
      </c>
      <c r="I1115" t="str">
        <f t="shared" si="35"/>
        <v>Hulen</v>
      </c>
      <c r="J1115" s="82">
        <f>IFERROR(INDEX('All Folders'!$A:$A,MATCH(H1115,'All Folders'!$G:$G,0),1),"¶")</f>
        <v>14908</v>
      </c>
      <c r="K1115" s="87"/>
      <c r="L1115" s="87"/>
    </row>
    <row r="1116" spans="1:12" ht="15" x14ac:dyDescent="0.25">
      <c r="A1116" t="s">
        <v>20989</v>
      </c>
      <c r="B1116" t="s">
        <v>16317</v>
      </c>
      <c r="C1116" t="s">
        <v>16318</v>
      </c>
      <c r="D1116" t="s">
        <v>16319</v>
      </c>
      <c r="E1116">
        <v>6700</v>
      </c>
      <c r="F1116" t="s">
        <v>16320</v>
      </c>
      <c r="G1116" t="s">
        <v>5014</v>
      </c>
      <c r="H1116" t="str">
        <f t="shared" si="34"/>
        <v>Sandshell6700Fort Worth</v>
      </c>
      <c r="I1116" t="str">
        <f t="shared" si="35"/>
        <v>Sandshell</v>
      </c>
      <c r="J1116" s="82">
        <f>IFERROR(INDEX('All Folders'!$A:$A,MATCH(H1116,'All Folders'!$G:$G,0),1),"¶")</f>
        <v>15728</v>
      </c>
      <c r="K1116" s="87"/>
      <c r="L1116" s="87"/>
    </row>
    <row r="1117" spans="1:12" ht="15" x14ac:dyDescent="0.25">
      <c r="A1117" t="s">
        <v>20990</v>
      </c>
      <c r="B1117" t="s">
        <v>16321</v>
      </c>
      <c r="C1117" t="s">
        <v>16322</v>
      </c>
      <c r="D1117" t="s">
        <v>16323</v>
      </c>
      <c r="E1117">
        <v>2301</v>
      </c>
      <c r="F1117" t="s">
        <v>16324</v>
      </c>
      <c r="G1117" t="s">
        <v>5014</v>
      </c>
      <c r="H1117" t="str">
        <f t="shared" si="34"/>
        <v>Presidio2301Fort Worth</v>
      </c>
      <c r="I1117" t="str">
        <f t="shared" si="35"/>
        <v>Presidio</v>
      </c>
      <c r="J1117" s="82">
        <f>IFERROR(INDEX('All Folders'!$A:$A,MATCH(H1117,'All Folders'!$G:$G,0),1),"¶")</f>
        <v>18510</v>
      </c>
      <c r="K1117" s="87"/>
      <c r="L1117" s="87"/>
    </row>
    <row r="1118" spans="1:12" ht="15" x14ac:dyDescent="0.25">
      <c r="A1118" t="s">
        <v>20991</v>
      </c>
      <c r="B1118" t="s">
        <v>16325</v>
      </c>
      <c r="C1118" t="s">
        <v>16326</v>
      </c>
      <c r="D1118" t="s">
        <v>12564</v>
      </c>
      <c r="E1118">
        <v>3858</v>
      </c>
      <c r="F1118" t="s">
        <v>16327</v>
      </c>
      <c r="G1118" t="s">
        <v>5014</v>
      </c>
      <c r="H1118" t="str">
        <f t="shared" si="34"/>
        <v>Tulsa3858Fort Worth</v>
      </c>
      <c r="I1118" t="str">
        <f t="shared" si="35"/>
        <v>Tulsa</v>
      </c>
      <c r="J1118" s="82" t="str">
        <f>IFERROR(INDEX('All Folders'!$A:$A,MATCH(H1118,'All Folders'!$G:$G,0),1),"¶")</f>
        <v>SP134</v>
      </c>
      <c r="K1118" s="87"/>
      <c r="L1118" s="87"/>
    </row>
    <row r="1119" spans="1:12" ht="15" x14ac:dyDescent="0.25">
      <c r="A1119" t="s">
        <v>20992</v>
      </c>
      <c r="B1119" t="s">
        <v>16328</v>
      </c>
      <c r="C1119" t="s">
        <v>16329</v>
      </c>
      <c r="D1119" t="s">
        <v>16272</v>
      </c>
      <c r="E1119">
        <v>7301</v>
      </c>
      <c r="F1119" t="s">
        <v>16330</v>
      </c>
      <c r="G1119" t="s">
        <v>5014</v>
      </c>
      <c r="H1119" t="str">
        <f t="shared" si="34"/>
        <v>Ederville7301Fort Worth</v>
      </c>
      <c r="I1119" t="str">
        <f t="shared" si="35"/>
        <v>Ederville</v>
      </c>
      <c r="J1119" s="82">
        <f>IFERROR(INDEX('All Folders'!$A:$A,MATCH(H1119,'All Folders'!$G:$G,0),1),"¶")</f>
        <v>14915</v>
      </c>
      <c r="K1119" s="87"/>
      <c r="L1119" s="87"/>
    </row>
    <row r="1120" spans="1:12" ht="15" x14ac:dyDescent="0.25">
      <c r="A1120" t="s">
        <v>20993</v>
      </c>
      <c r="B1120" t="s">
        <v>16331</v>
      </c>
      <c r="C1120" t="s">
        <v>16332</v>
      </c>
      <c r="D1120" t="s">
        <v>15981</v>
      </c>
      <c r="E1120">
        <v>9417</v>
      </c>
      <c r="F1120" t="s">
        <v>10525</v>
      </c>
      <c r="G1120" t="s">
        <v>5014</v>
      </c>
      <c r="H1120" t="str">
        <f t="shared" si="34"/>
        <v>Michael9417Fort Worth</v>
      </c>
      <c r="I1120" t="str">
        <f t="shared" si="35"/>
        <v>Michael</v>
      </c>
      <c r="J1120" s="82">
        <f>IFERROR(INDEX('All Folders'!$A:$A,MATCH(H1120,'All Folders'!$G:$G,0),1),"¶")</f>
        <v>18181</v>
      </c>
      <c r="K1120" s="87"/>
      <c r="L1120" s="87"/>
    </row>
    <row r="1121" spans="1:12" ht="15" x14ac:dyDescent="0.25">
      <c r="A1121" t="s">
        <v>20994</v>
      </c>
      <c r="B1121" t="s">
        <v>16333</v>
      </c>
      <c r="C1121" t="s">
        <v>16334</v>
      </c>
      <c r="D1121" t="s">
        <v>16335</v>
      </c>
      <c r="E1121">
        <v>7301</v>
      </c>
      <c r="F1121" t="s">
        <v>16336</v>
      </c>
      <c r="G1121" t="s">
        <v>5014</v>
      </c>
      <c r="H1121" t="str">
        <f t="shared" si="34"/>
        <v>Oakmont7301Fort Worth</v>
      </c>
      <c r="I1121" t="str">
        <f t="shared" si="35"/>
        <v>Oakmont</v>
      </c>
      <c r="J1121" s="82">
        <f>IFERROR(INDEX('All Folders'!$A:$A,MATCH(H1121,'All Folders'!$G:$G,0),1),"¶")</f>
        <v>16039</v>
      </c>
      <c r="K1121" s="87"/>
      <c r="L1121" s="87"/>
    </row>
    <row r="1122" spans="1:12" ht="15" x14ac:dyDescent="0.25">
      <c r="A1122" t="s">
        <v>20995</v>
      </c>
      <c r="B1122" t="s">
        <v>16337</v>
      </c>
      <c r="C1122" t="s">
        <v>16338</v>
      </c>
      <c r="D1122" t="s">
        <v>16051</v>
      </c>
      <c r="E1122">
        <v>5817</v>
      </c>
      <c r="F1122" t="s">
        <v>16339</v>
      </c>
      <c r="G1122" t="s">
        <v>5014</v>
      </c>
      <c r="H1122" t="str">
        <f t="shared" si="34"/>
        <v>Boca5817Fort Worth</v>
      </c>
      <c r="I1122" t="str">
        <f t="shared" si="35"/>
        <v>Boca</v>
      </c>
      <c r="J1122" s="82">
        <f>IFERROR(INDEX('All Folders'!$A:$A,MATCH(H1122,'All Folders'!$G:$G,0),1),"¶")</f>
        <v>14924</v>
      </c>
      <c r="K1122" s="87"/>
      <c r="L1122" s="87"/>
    </row>
    <row r="1123" spans="1:12" ht="15" x14ac:dyDescent="0.25">
      <c r="A1123" t="s">
        <v>20996</v>
      </c>
      <c r="B1123" t="s">
        <v>16340</v>
      </c>
      <c r="C1123" t="s">
        <v>16341</v>
      </c>
      <c r="D1123" t="s">
        <v>16342</v>
      </c>
      <c r="E1123">
        <v>2800</v>
      </c>
      <c r="F1123" t="s">
        <v>16343</v>
      </c>
      <c r="G1123" t="s">
        <v>5014</v>
      </c>
      <c r="H1123" t="str">
        <f t="shared" si="34"/>
        <v>Briery2800Fort Worth</v>
      </c>
      <c r="I1123" t="str">
        <f t="shared" si="35"/>
        <v>Briery</v>
      </c>
      <c r="J1123" s="82">
        <f>IFERROR(INDEX('All Folders'!$A:$A,MATCH(H1123,'All Folders'!$G:$G,0),1),"¶")</f>
        <v>15897</v>
      </c>
      <c r="K1123" s="87"/>
      <c r="L1123" s="87"/>
    </row>
    <row r="1124" spans="1:12" ht="15" x14ac:dyDescent="0.25">
      <c r="A1124" t="s">
        <v>20997</v>
      </c>
      <c r="B1124" t="s">
        <v>16344</v>
      </c>
      <c r="C1124" t="s">
        <v>16345</v>
      </c>
      <c r="D1124" t="s">
        <v>6854</v>
      </c>
      <c r="E1124">
        <v>6303</v>
      </c>
      <c r="F1124" t="s">
        <v>16346</v>
      </c>
      <c r="G1124" t="s">
        <v>5014</v>
      </c>
      <c r="H1124" t="str">
        <f t="shared" si="34"/>
        <v>Shady6303Fort Worth</v>
      </c>
      <c r="I1124" t="str">
        <f t="shared" si="35"/>
        <v>Shady</v>
      </c>
      <c r="J1124" s="82">
        <f>IFERROR(INDEX('All Folders'!$A:$A,MATCH(H1124,'All Folders'!$G:$G,0),1),"¶")</f>
        <v>14504</v>
      </c>
      <c r="K1124" s="87"/>
      <c r="L1124" s="87"/>
    </row>
    <row r="1125" spans="1:12" ht="15" x14ac:dyDescent="0.25">
      <c r="A1125" t="s">
        <v>20998</v>
      </c>
      <c r="B1125" t="s">
        <v>16347</v>
      </c>
      <c r="C1125" t="s">
        <v>16348</v>
      </c>
      <c r="D1125" t="s">
        <v>16005</v>
      </c>
      <c r="E1125">
        <v>1445</v>
      </c>
      <c r="F1125" t="s">
        <v>16349</v>
      </c>
      <c r="G1125" t="s">
        <v>5014</v>
      </c>
      <c r="H1125" t="str">
        <f t="shared" si="34"/>
        <v>Weiler1445Fort Worth</v>
      </c>
      <c r="I1125" t="str">
        <f t="shared" si="35"/>
        <v>Weiler</v>
      </c>
      <c r="J1125" s="82">
        <f>IFERROR(INDEX('All Folders'!$A:$A,MATCH(H1125,'All Folders'!$G:$G,0),1),"¶")</f>
        <v>30162</v>
      </c>
      <c r="K1125" s="87"/>
      <c r="L1125" s="87"/>
    </row>
    <row r="1126" spans="1:12" ht="15" x14ac:dyDescent="0.25">
      <c r="A1126" t="s">
        <v>20999</v>
      </c>
      <c r="B1126" t="s">
        <v>16350</v>
      </c>
      <c r="C1126" t="s">
        <v>16351</v>
      </c>
      <c r="D1126" t="s">
        <v>16352</v>
      </c>
      <c r="E1126">
        <v>4805</v>
      </c>
      <c r="F1126" t="s">
        <v>16353</v>
      </c>
      <c r="G1126" t="s">
        <v>5014</v>
      </c>
      <c r="H1126" t="str">
        <f t="shared" si="34"/>
        <v>Locke4805Fort Worth</v>
      </c>
      <c r="I1126" t="str">
        <f t="shared" si="35"/>
        <v>Locke</v>
      </c>
      <c r="J1126" s="82" t="str">
        <f>IFERROR(INDEX('All Folders'!$A:$A,MATCH(H1126,'All Folders'!$G:$G,0),1),"¶")</f>
        <v>SP125</v>
      </c>
      <c r="K1126" s="87"/>
      <c r="L1126" s="87"/>
    </row>
    <row r="1127" spans="1:12" ht="15" x14ac:dyDescent="0.25">
      <c r="A1127" t="s">
        <v>21000</v>
      </c>
      <c r="B1127" t="s">
        <v>16354</v>
      </c>
      <c r="C1127" t="s">
        <v>16355</v>
      </c>
      <c r="D1127" t="s">
        <v>16163</v>
      </c>
      <c r="E1127">
        <v>3000</v>
      </c>
      <c r="F1127" t="s">
        <v>7347</v>
      </c>
      <c r="G1127" t="s">
        <v>5014</v>
      </c>
      <c r="H1127" t="str">
        <f t="shared" si="34"/>
        <v>Las3000Fort Worth</v>
      </c>
      <c r="I1127" t="str">
        <f t="shared" si="35"/>
        <v>Las</v>
      </c>
      <c r="J1127" s="82">
        <f>IFERROR(INDEX('All Folders'!$A:$A,MATCH(H1127,'All Folders'!$G:$G,0),1),"¶")</f>
        <v>14948</v>
      </c>
      <c r="K1127" s="87"/>
      <c r="L1127" s="87"/>
    </row>
    <row r="1128" spans="1:12" ht="15" x14ac:dyDescent="0.25">
      <c r="A1128" t="s">
        <v>21001</v>
      </c>
      <c r="B1128" t="s">
        <v>16356</v>
      </c>
      <c r="C1128" t="s">
        <v>16357</v>
      </c>
      <c r="D1128" t="s">
        <v>16358</v>
      </c>
      <c r="E1128">
        <v>8841</v>
      </c>
      <c r="F1128" t="s">
        <v>3728</v>
      </c>
      <c r="G1128" t="s">
        <v>5014</v>
      </c>
      <c r="H1128" t="str">
        <f t="shared" si="34"/>
        <v>Avril8841Fort Worth</v>
      </c>
      <c r="I1128" t="str">
        <f t="shared" si="35"/>
        <v>Avril</v>
      </c>
      <c r="J1128" s="82">
        <f>IFERROR(INDEX('All Folders'!$A:$A,MATCH(H1128,'All Folders'!$G:$G,0),1),"¶")</f>
        <v>14973</v>
      </c>
      <c r="K1128" s="87"/>
      <c r="L1128" s="87"/>
    </row>
    <row r="1129" spans="1:12" ht="15" x14ac:dyDescent="0.25">
      <c r="A1129" t="s">
        <v>21002</v>
      </c>
      <c r="B1129" t="s">
        <v>16359</v>
      </c>
      <c r="C1129" t="s">
        <v>16360</v>
      </c>
      <c r="D1129" t="s">
        <v>16163</v>
      </c>
      <c r="E1129">
        <v>3254</v>
      </c>
      <c r="F1129" t="s">
        <v>447</v>
      </c>
      <c r="G1129" t="s">
        <v>5014</v>
      </c>
      <c r="H1129" t="str">
        <f t="shared" si="34"/>
        <v>Las3254Fort Worth</v>
      </c>
      <c r="I1129" t="str">
        <f t="shared" si="35"/>
        <v>Las</v>
      </c>
      <c r="J1129" s="82">
        <f>IFERROR(INDEX('All Folders'!$A:$A,MATCH(H1129,'All Folders'!$G:$G,0),1),"¶")</f>
        <v>14996</v>
      </c>
      <c r="K1129" s="87"/>
      <c r="L1129" s="87"/>
    </row>
    <row r="1130" spans="1:12" ht="15" x14ac:dyDescent="0.25">
      <c r="A1130" t="s">
        <v>21003</v>
      </c>
      <c r="B1130" t="s">
        <v>16361</v>
      </c>
      <c r="C1130" t="s">
        <v>16362</v>
      </c>
      <c r="D1130" t="s">
        <v>16289</v>
      </c>
      <c r="E1130">
        <v>1301</v>
      </c>
      <c r="F1130" t="s">
        <v>16363</v>
      </c>
      <c r="G1130" t="s">
        <v>5014</v>
      </c>
      <c r="H1130" t="str">
        <f t="shared" si="34"/>
        <v>Sycamore1301Fort Worth</v>
      </c>
      <c r="I1130" t="str">
        <f t="shared" si="35"/>
        <v>Sycamore</v>
      </c>
      <c r="J1130" s="82">
        <f>IFERROR(INDEX('All Folders'!$A:$A,MATCH(H1130,'All Folders'!$G:$G,0),1),"¶")</f>
        <v>14513</v>
      </c>
      <c r="K1130" s="87"/>
      <c r="L1130" s="87"/>
    </row>
    <row r="1131" spans="1:12" ht="15" x14ac:dyDescent="0.25">
      <c r="A1131" t="s">
        <v>21004</v>
      </c>
      <c r="B1131" t="s">
        <v>16364</v>
      </c>
      <c r="C1131" t="s">
        <v>16365</v>
      </c>
      <c r="D1131" t="s">
        <v>16366</v>
      </c>
      <c r="E1131">
        <v>3400</v>
      </c>
      <c r="F1131" t="s">
        <v>4825</v>
      </c>
      <c r="G1131" t="s">
        <v>5014</v>
      </c>
      <c r="H1131" t="str">
        <f t="shared" si="34"/>
        <v>Heatherbend3400Fort Worth</v>
      </c>
      <c r="I1131" t="str">
        <f t="shared" si="35"/>
        <v>Heatherbend</v>
      </c>
      <c r="J1131" s="82">
        <f>IFERROR(INDEX('All Folders'!$A:$A,MATCH(H1131,'All Folders'!$G:$G,0),1),"¶")</f>
        <v>30146</v>
      </c>
      <c r="K1131" s="87"/>
      <c r="L1131" s="87"/>
    </row>
    <row r="1132" spans="1:12" ht="15" x14ac:dyDescent="0.25">
      <c r="A1132" t="s">
        <v>21005</v>
      </c>
      <c r="B1132" t="s">
        <v>16367</v>
      </c>
      <c r="C1132" t="s">
        <v>16368</v>
      </c>
      <c r="D1132" t="s">
        <v>16369</v>
      </c>
      <c r="E1132">
        <v>5600</v>
      </c>
      <c r="F1132" t="s">
        <v>16370</v>
      </c>
      <c r="G1132" t="s">
        <v>5014</v>
      </c>
      <c r="H1132" t="str">
        <f t="shared" si="34"/>
        <v>Cotswold5600Fort Worth</v>
      </c>
      <c r="I1132" t="str">
        <f t="shared" si="35"/>
        <v>Cotswold</v>
      </c>
      <c r="J1132" s="82">
        <f>IFERROR(INDEX('All Folders'!$A:$A,MATCH(H1132,'All Folders'!$G:$G,0),1),"¶")</f>
        <v>15064</v>
      </c>
      <c r="K1132" s="87"/>
      <c r="L1132" s="87"/>
    </row>
    <row r="1133" spans="1:12" ht="15" x14ac:dyDescent="0.25">
      <c r="A1133" t="s">
        <v>21006</v>
      </c>
      <c r="B1133" t="s">
        <v>16371</v>
      </c>
      <c r="C1133" t="s">
        <v>16372</v>
      </c>
      <c r="D1133" t="s">
        <v>16051</v>
      </c>
      <c r="E1133">
        <v>5950</v>
      </c>
      <c r="F1133" t="s">
        <v>16373</v>
      </c>
      <c r="G1133" t="s">
        <v>5014</v>
      </c>
      <c r="H1133" t="str">
        <f t="shared" si="34"/>
        <v>Boca5950Fort Worth</v>
      </c>
      <c r="I1133" t="str">
        <f t="shared" si="35"/>
        <v>Boca</v>
      </c>
      <c r="J1133" s="82">
        <f>IFERROR(INDEX('All Folders'!$A:$A,MATCH(H1133,'All Folders'!$G:$G,0),1),"¶")</f>
        <v>15114</v>
      </c>
      <c r="K1133" s="87"/>
      <c r="L1133" s="87"/>
    </row>
    <row r="1134" spans="1:12" ht="15" x14ac:dyDescent="0.25">
      <c r="A1134" t="s">
        <v>21007</v>
      </c>
      <c r="B1134" t="s">
        <v>16374</v>
      </c>
      <c r="C1134" t="s">
        <v>16375</v>
      </c>
      <c r="D1134" t="s">
        <v>16051</v>
      </c>
      <c r="E1134">
        <v>5400</v>
      </c>
      <c r="F1134" t="s">
        <v>4804</v>
      </c>
      <c r="G1134" t="s">
        <v>5014</v>
      </c>
      <c r="H1134" t="str">
        <f t="shared" si="34"/>
        <v>Boca5400Fort Worth</v>
      </c>
      <c r="I1134" t="str">
        <f t="shared" si="35"/>
        <v>Boca</v>
      </c>
      <c r="J1134" s="82">
        <f>IFERROR(INDEX('All Folders'!$A:$A,MATCH(H1134,'All Folders'!$G:$G,0),1),"¶")</f>
        <v>15067</v>
      </c>
      <c r="K1134" s="87"/>
      <c r="L1134" s="87"/>
    </row>
    <row r="1135" spans="1:12" ht="15" x14ac:dyDescent="0.25">
      <c r="A1135" t="s">
        <v>21008</v>
      </c>
      <c r="B1135" t="s">
        <v>16376</v>
      </c>
      <c r="C1135" t="s">
        <v>16377</v>
      </c>
      <c r="D1135" t="s">
        <v>16069</v>
      </c>
      <c r="E1135">
        <v>5931</v>
      </c>
      <c r="F1135" t="s">
        <v>11575</v>
      </c>
      <c r="G1135" t="s">
        <v>5014</v>
      </c>
      <c r="H1135" t="str">
        <f t="shared" si="34"/>
        <v>Oakland5931Fort Worth</v>
      </c>
      <c r="I1135" t="str">
        <f t="shared" si="35"/>
        <v>Oakland</v>
      </c>
      <c r="J1135" s="82">
        <f>IFERROR(INDEX('All Folders'!$A:$A,MATCH(H1135,'All Folders'!$G:$G,0),1),"¶")</f>
        <v>30153</v>
      </c>
      <c r="K1135" s="87"/>
      <c r="L1135" s="87"/>
    </row>
    <row r="1136" spans="1:12" ht="15" x14ac:dyDescent="0.25">
      <c r="A1136" t="s">
        <v>21009</v>
      </c>
      <c r="B1136" t="s">
        <v>16378</v>
      </c>
      <c r="C1136" t="s">
        <v>16379</v>
      </c>
      <c r="D1136" t="s">
        <v>16292</v>
      </c>
      <c r="E1136">
        <v>500</v>
      </c>
      <c r="F1136" t="s">
        <v>206</v>
      </c>
      <c r="G1136" t="s">
        <v>5014</v>
      </c>
      <c r="H1136" t="str">
        <f t="shared" si="34"/>
        <v>820500Fort Worth</v>
      </c>
      <c r="I1136" t="str">
        <f t="shared" si="35"/>
        <v>820</v>
      </c>
      <c r="J1136" s="82">
        <f>IFERROR(INDEX('All Folders'!$A:$A,MATCH(H1136,'All Folders'!$G:$G,0),1),"¶")</f>
        <v>15108</v>
      </c>
      <c r="K1136" s="87"/>
      <c r="L1136" s="87"/>
    </row>
    <row r="1137" spans="1:12" ht="15" x14ac:dyDescent="0.25">
      <c r="A1137" t="s">
        <v>21010</v>
      </c>
      <c r="B1137" t="s">
        <v>16380</v>
      </c>
      <c r="C1137" t="s">
        <v>16381</v>
      </c>
      <c r="D1137" t="s">
        <v>16061</v>
      </c>
      <c r="E1137">
        <v>6201</v>
      </c>
      <c r="F1137" t="s">
        <v>16382</v>
      </c>
      <c r="G1137" t="s">
        <v>5014</v>
      </c>
      <c r="H1137" t="str">
        <f t="shared" si="34"/>
        <v>Woodway6201Fort Worth</v>
      </c>
      <c r="I1137" t="str">
        <f t="shared" si="35"/>
        <v>Woodway</v>
      </c>
      <c r="J1137" s="82">
        <f>IFERROR(INDEX('All Folders'!$A:$A,MATCH(H1137,'All Folders'!$G:$G,0),1),"¶")</f>
        <v>15126</v>
      </c>
      <c r="K1137" s="87"/>
      <c r="L1137" s="87"/>
    </row>
    <row r="1138" spans="1:12" ht="15" x14ac:dyDescent="0.25">
      <c r="A1138" t="s">
        <v>21011</v>
      </c>
      <c r="B1138" t="s">
        <v>16383</v>
      </c>
      <c r="C1138" t="s">
        <v>16384</v>
      </c>
      <c r="D1138" t="s">
        <v>16051</v>
      </c>
      <c r="E1138">
        <v>6101</v>
      </c>
      <c r="F1138" t="s">
        <v>6881</v>
      </c>
      <c r="G1138" t="s">
        <v>5014</v>
      </c>
      <c r="H1138" t="str">
        <f t="shared" si="34"/>
        <v>Boca6101Fort Worth</v>
      </c>
      <c r="I1138" t="str">
        <f t="shared" si="35"/>
        <v>Boca</v>
      </c>
      <c r="J1138" s="82">
        <f>IFERROR(INDEX('All Folders'!$A:$A,MATCH(H1138,'All Folders'!$G:$G,0),1),"¶")</f>
        <v>14528</v>
      </c>
      <c r="K1138" s="87"/>
      <c r="L1138" s="87"/>
    </row>
    <row r="1139" spans="1:12" ht="15" x14ac:dyDescent="0.25">
      <c r="A1139" t="s">
        <v>21012</v>
      </c>
      <c r="B1139" t="s">
        <v>16385</v>
      </c>
      <c r="C1139" t="s">
        <v>16386</v>
      </c>
      <c r="D1139" t="s">
        <v>16387</v>
      </c>
      <c r="E1139">
        <v>1200</v>
      </c>
      <c r="F1139" t="s">
        <v>16388</v>
      </c>
      <c r="G1139" t="s">
        <v>5014</v>
      </c>
      <c r="H1139" t="str">
        <f t="shared" si="34"/>
        <v>Scenic1200Fort Worth</v>
      </c>
      <c r="I1139" t="str">
        <f t="shared" si="35"/>
        <v>Scenic</v>
      </c>
      <c r="J1139" s="82">
        <f>IFERROR(INDEX('All Folders'!$A:$A,MATCH(H1139,'All Folders'!$G:$G,0),1),"¶")</f>
        <v>18388</v>
      </c>
      <c r="K1139" s="87"/>
      <c r="L1139" s="87"/>
    </row>
    <row r="1140" spans="1:12" ht="15" x14ac:dyDescent="0.25">
      <c r="A1140" t="s">
        <v>21013</v>
      </c>
      <c r="B1140" t="s">
        <v>16389</v>
      </c>
      <c r="C1140" t="s">
        <v>16390</v>
      </c>
      <c r="D1140" t="s">
        <v>16391</v>
      </c>
      <c r="E1140">
        <v>1019</v>
      </c>
      <c r="F1140" t="s">
        <v>5662</v>
      </c>
      <c r="G1140" t="s">
        <v>11700</v>
      </c>
      <c r="H1140" t="str">
        <f t="shared" si="34"/>
        <v>Friendship1019Fredericksburg</v>
      </c>
      <c r="I1140" t="str">
        <f t="shared" si="35"/>
        <v>Friendship</v>
      </c>
      <c r="J1140" s="82">
        <f>IFERROR(INDEX('All Folders'!$A:$A,MATCH(H1140,'All Folders'!$G:$G,0),1),"¶")</f>
        <v>30264</v>
      </c>
      <c r="K1140" s="87"/>
      <c r="L1140" s="87"/>
    </row>
    <row r="1141" spans="1:12" ht="15" x14ac:dyDescent="0.25">
      <c r="A1141" t="s">
        <v>21016</v>
      </c>
      <c r="B1141" t="s">
        <v>16398</v>
      </c>
      <c r="C1141" t="s">
        <v>16399</v>
      </c>
      <c r="D1141" t="s">
        <v>16400</v>
      </c>
      <c r="E1141">
        <v>1010</v>
      </c>
      <c r="F1141" t="s">
        <v>16401</v>
      </c>
      <c r="G1141" t="s">
        <v>3228</v>
      </c>
      <c r="H1141" t="str">
        <f t="shared" si="34"/>
        <v>Magnolia1010Freeport</v>
      </c>
      <c r="I1141" t="str">
        <f t="shared" si="35"/>
        <v>Magnolia</v>
      </c>
      <c r="J1141" s="82">
        <f>IFERROR(INDEX('All Folders'!$A:$A,MATCH(H1141,'All Folders'!$G:$G,0),1),"¶")</f>
        <v>4169</v>
      </c>
      <c r="K1141" s="87"/>
      <c r="L1141" s="87"/>
    </row>
    <row r="1142" spans="1:12" ht="15" x14ac:dyDescent="0.25">
      <c r="A1142" t="s">
        <v>21018</v>
      </c>
      <c r="B1142" t="s">
        <v>16405</v>
      </c>
      <c r="C1142" t="s">
        <v>16406</v>
      </c>
      <c r="D1142" t="s">
        <v>16407</v>
      </c>
      <c r="E1142">
        <v>17201</v>
      </c>
      <c r="F1142" t="s">
        <v>16408</v>
      </c>
      <c r="G1142" t="s">
        <v>4297</v>
      </c>
      <c r="H1142" t="str">
        <f t="shared" si="34"/>
        <v>Blackhawk17201Friendswood</v>
      </c>
      <c r="I1142" t="str">
        <f t="shared" si="35"/>
        <v>Blackhawk</v>
      </c>
      <c r="J1142" s="82">
        <f>IFERROR(INDEX('All Folders'!$A:$A,MATCH(H1142,'All Folders'!$G:$G,0),1),"¶")</f>
        <v>4139</v>
      </c>
      <c r="K1142" s="87"/>
      <c r="L1142" s="87"/>
    </row>
    <row r="1143" spans="1:12" ht="15" x14ac:dyDescent="0.25">
      <c r="A1143" t="s">
        <v>21019</v>
      </c>
      <c r="B1143" t="s">
        <v>16409</v>
      </c>
      <c r="C1143" t="s">
        <v>16410</v>
      </c>
      <c r="D1143" t="s">
        <v>16411</v>
      </c>
      <c r="E1143">
        <v>19100</v>
      </c>
      <c r="F1143" t="s">
        <v>16412</v>
      </c>
      <c r="G1143" t="s">
        <v>4297</v>
      </c>
      <c r="H1143" t="str">
        <f t="shared" si="34"/>
        <v>Glenwest19100Friendswood</v>
      </c>
      <c r="I1143" t="str">
        <f t="shared" si="35"/>
        <v>Glenwest</v>
      </c>
      <c r="J1143" s="82">
        <f>IFERROR(INDEX('All Folders'!$A:$A,MATCH(H1143,'All Folders'!$G:$G,0),1),"¶")</f>
        <v>4050</v>
      </c>
      <c r="K1143" s="87"/>
      <c r="L1143" s="87"/>
    </row>
    <row r="1144" spans="1:12" ht="15" x14ac:dyDescent="0.25">
      <c r="A1144" t="s">
        <v>21020</v>
      </c>
      <c r="B1144" t="s">
        <v>16413</v>
      </c>
      <c r="C1144" t="s">
        <v>16414</v>
      </c>
      <c r="D1144" t="s">
        <v>16415</v>
      </c>
      <c r="E1144">
        <v>11700</v>
      </c>
      <c r="F1144" t="s">
        <v>16416</v>
      </c>
      <c r="G1144" t="s">
        <v>5488</v>
      </c>
      <c r="H1144" t="str">
        <f t="shared" si="34"/>
        <v>Lebanon11700Frisco</v>
      </c>
      <c r="I1144" t="str">
        <f t="shared" si="35"/>
        <v>Lebanon</v>
      </c>
      <c r="J1144" s="82">
        <f>IFERROR(INDEX('All Folders'!$A:$A,MATCH(H1144,'All Folders'!$G:$G,0),1),"¶")</f>
        <v>13871</v>
      </c>
      <c r="K1144" s="87"/>
      <c r="L1144" s="87"/>
    </row>
    <row r="1145" spans="1:12" ht="15" x14ac:dyDescent="0.25">
      <c r="A1145" t="s">
        <v>21021</v>
      </c>
      <c r="B1145" t="s">
        <v>16417</v>
      </c>
      <c r="C1145" t="s">
        <v>16418</v>
      </c>
      <c r="D1145" t="s">
        <v>16419</v>
      </c>
      <c r="E1145">
        <v>9399</v>
      </c>
      <c r="F1145" t="s">
        <v>6451</v>
      </c>
      <c r="G1145" t="s">
        <v>5488</v>
      </c>
      <c r="H1145" t="str">
        <f t="shared" si="34"/>
        <v>Wade9399Frisco</v>
      </c>
      <c r="I1145" t="str">
        <f t="shared" si="35"/>
        <v>Wade</v>
      </c>
      <c r="J1145" s="82">
        <f>IFERROR(INDEX('All Folders'!$A:$A,MATCH(H1145,'All Folders'!$G:$G,0),1),"¶")</f>
        <v>14179</v>
      </c>
      <c r="K1145" s="87"/>
      <c r="L1145" s="87"/>
    </row>
    <row r="1146" spans="1:12" ht="15" x14ac:dyDescent="0.25">
      <c r="A1146" t="s">
        <v>21022</v>
      </c>
      <c r="B1146" t="s">
        <v>16420</v>
      </c>
      <c r="C1146" t="s">
        <v>16421</v>
      </c>
      <c r="D1146" t="s">
        <v>16422</v>
      </c>
      <c r="E1146">
        <v>3433</v>
      </c>
      <c r="F1146" t="s">
        <v>9202</v>
      </c>
      <c r="G1146" t="s">
        <v>4565</v>
      </c>
      <c r="H1146" t="str">
        <f t="shared" si="34"/>
        <v>Cove3433Galveston</v>
      </c>
      <c r="I1146" t="str">
        <f t="shared" si="35"/>
        <v>Cove</v>
      </c>
      <c r="J1146" s="82">
        <f>IFERROR(INDEX('All Folders'!$A:$A,MATCH(H1146,'All Folders'!$G:$G,0),1),"¶")</f>
        <v>16931</v>
      </c>
      <c r="K1146" s="87"/>
      <c r="L1146" s="87"/>
    </row>
    <row r="1147" spans="1:12" ht="15" x14ac:dyDescent="0.25">
      <c r="A1147" t="s">
        <v>21023</v>
      </c>
      <c r="B1147" t="s">
        <v>16423</v>
      </c>
      <c r="C1147" t="s">
        <v>16424</v>
      </c>
      <c r="D1147" t="s">
        <v>16425</v>
      </c>
      <c r="E1147">
        <v>100</v>
      </c>
      <c r="F1147" t="s">
        <v>4683</v>
      </c>
      <c r="G1147" t="s">
        <v>4565</v>
      </c>
      <c r="H1147" t="str">
        <f t="shared" si="34"/>
        <v>Market100Galveston</v>
      </c>
      <c r="I1147" t="str">
        <f t="shared" si="35"/>
        <v>Market</v>
      </c>
      <c r="J1147" s="82">
        <f>IFERROR(INDEX('All Folders'!$A:$A,MATCH(H1147,'All Folders'!$G:$G,0),1),"¶")</f>
        <v>4328</v>
      </c>
      <c r="K1147" s="87"/>
      <c r="L1147" s="87"/>
    </row>
    <row r="1148" spans="1:12" ht="15" x14ac:dyDescent="0.25">
      <c r="A1148" t="s">
        <v>21024</v>
      </c>
      <c r="B1148" t="s">
        <v>16426</v>
      </c>
      <c r="C1148" t="s">
        <v>16427</v>
      </c>
      <c r="D1148" t="s">
        <v>16428</v>
      </c>
      <c r="E1148">
        <v>2101</v>
      </c>
      <c r="F1148" t="s">
        <v>16429</v>
      </c>
      <c r="G1148" t="s">
        <v>4565</v>
      </c>
      <c r="H1148" t="str">
        <f t="shared" si="34"/>
        <v>Church2101Galveston</v>
      </c>
      <c r="I1148" t="str">
        <f t="shared" si="35"/>
        <v>Church</v>
      </c>
      <c r="J1148" s="82">
        <f>IFERROR(INDEX('All Folders'!$A:$A,MATCH(H1148,'All Folders'!$G:$G,0),1),"¶")</f>
        <v>18783</v>
      </c>
      <c r="K1148" s="87"/>
      <c r="L1148" s="87"/>
    </row>
    <row r="1149" spans="1:12" ht="15" x14ac:dyDescent="0.25">
      <c r="A1149" t="s">
        <v>21025</v>
      </c>
      <c r="B1149" t="s">
        <v>16430</v>
      </c>
      <c r="C1149" t="s">
        <v>16431</v>
      </c>
      <c r="D1149" t="s">
        <v>16432</v>
      </c>
      <c r="E1149">
        <v>7200</v>
      </c>
      <c r="F1149" t="s">
        <v>16433</v>
      </c>
      <c r="G1149" t="s">
        <v>4565</v>
      </c>
      <c r="H1149" t="str">
        <f t="shared" si="34"/>
        <v>Heards7200Galveston</v>
      </c>
      <c r="I1149" t="str">
        <f t="shared" si="35"/>
        <v>Heards</v>
      </c>
      <c r="J1149" s="82">
        <f>IFERROR(INDEX('All Folders'!$A:$A,MATCH(H1149,'All Folders'!$G:$G,0),1),"¶")</f>
        <v>4308</v>
      </c>
      <c r="K1149" s="87"/>
      <c r="L1149" s="87"/>
    </row>
    <row r="1150" spans="1:12" ht="15" x14ac:dyDescent="0.25">
      <c r="A1150" t="s">
        <v>21026</v>
      </c>
      <c r="B1150" t="s">
        <v>16434</v>
      </c>
      <c r="C1150" t="s">
        <v>16435</v>
      </c>
      <c r="D1150" t="s">
        <v>16436</v>
      </c>
      <c r="E1150">
        <v>705</v>
      </c>
      <c r="F1150" t="s">
        <v>16437</v>
      </c>
      <c r="G1150" t="s">
        <v>4565</v>
      </c>
      <c r="H1150" t="str">
        <f t="shared" si="34"/>
        <v>37th705Galveston</v>
      </c>
      <c r="I1150" t="str">
        <f t="shared" si="35"/>
        <v>37th</v>
      </c>
      <c r="J1150" s="82">
        <f>IFERROR(INDEX('All Folders'!$A:$A,MATCH(H1150,'All Folders'!$G:$G,0),1),"¶")</f>
        <v>30459</v>
      </c>
      <c r="K1150" s="87"/>
      <c r="L1150" s="87"/>
    </row>
    <row r="1151" spans="1:12" ht="15" x14ac:dyDescent="0.25">
      <c r="A1151" t="s">
        <v>21027</v>
      </c>
      <c r="B1151" t="s">
        <v>16438</v>
      </c>
      <c r="C1151" t="s">
        <v>16439</v>
      </c>
      <c r="D1151" t="s">
        <v>16440</v>
      </c>
      <c r="E1151">
        <v>302</v>
      </c>
      <c r="F1151" t="s">
        <v>12007</v>
      </c>
      <c r="G1151" t="s">
        <v>4565</v>
      </c>
      <c r="H1151" t="str">
        <f t="shared" si="34"/>
        <v>Moody302Galveston</v>
      </c>
      <c r="I1151" t="str">
        <f t="shared" si="35"/>
        <v>Moody</v>
      </c>
      <c r="J1151" s="82">
        <f>IFERROR(INDEX('All Folders'!$A:$A,MATCH(H1151,'All Folders'!$G:$G,0),1),"¶")</f>
        <v>30460</v>
      </c>
      <c r="K1151" s="87"/>
      <c r="L1151" s="87"/>
    </row>
    <row r="1152" spans="1:12" ht="15" x14ac:dyDescent="0.25">
      <c r="A1152" t="s">
        <v>21028</v>
      </c>
      <c r="B1152" t="s">
        <v>16441</v>
      </c>
      <c r="C1152" t="s">
        <v>16442</v>
      </c>
      <c r="D1152" t="s">
        <v>4647</v>
      </c>
      <c r="E1152">
        <v>4925</v>
      </c>
      <c r="F1152" t="s">
        <v>16443</v>
      </c>
      <c r="G1152" t="s">
        <v>4565</v>
      </c>
      <c r="H1152" t="str">
        <f t="shared" si="34"/>
        <v>Fort4925Galveston</v>
      </c>
      <c r="I1152" t="str">
        <f t="shared" si="35"/>
        <v>Fort</v>
      </c>
      <c r="J1152" s="82">
        <f>IFERROR(INDEX('All Folders'!$A:$A,MATCH(H1152,'All Folders'!$G:$G,0),1),"¶")</f>
        <v>4303</v>
      </c>
      <c r="K1152" s="87"/>
      <c r="L1152" s="87"/>
    </row>
    <row r="1153" spans="1:12" ht="15" x14ac:dyDescent="0.25">
      <c r="A1153" t="s">
        <v>21029</v>
      </c>
      <c r="B1153" t="s">
        <v>16444</v>
      </c>
      <c r="C1153" t="s">
        <v>16445</v>
      </c>
      <c r="D1153" t="s">
        <v>16446</v>
      </c>
      <c r="E1153">
        <v>2828</v>
      </c>
      <c r="F1153" t="s">
        <v>16447</v>
      </c>
      <c r="G1153" t="s">
        <v>4565</v>
      </c>
      <c r="H1153" t="str">
        <f t="shared" si="34"/>
        <v>61st2828Galveston</v>
      </c>
      <c r="I1153" t="str">
        <f t="shared" si="35"/>
        <v>61st</v>
      </c>
      <c r="J1153" s="82">
        <f>IFERROR(INDEX('All Folders'!$A:$A,MATCH(H1153,'All Folders'!$G:$G,0),1),"¶")</f>
        <v>4590</v>
      </c>
      <c r="K1153" s="87"/>
      <c r="L1153" s="87"/>
    </row>
    <row r="1154" spans="1:12" ht="15" x14ac:dyDescent="0.25">
      <c r="A1154" t="s">
        <v>21030</v>
      </c>
      <c r="B1154" t="s">
        <v>16448</v>
      </c>
      <c r="C1154" t="s">
        <v>16449</v>
      </c>
      <c r="D1154" t="s">
        <v>16450</v>
      </c>
      <c r="E1154">
        <v>8020</v>
      </c>
      <c r="F1154" t="s">
        <v>16451</v>
      </c>
      <c r="G1154" t="s">
        <v>4565</v>
      </c>
      <c r="H1154" t="str">
        <f t="shared" ref="H1154:H1217" si="36">I1154&amp;E1154&amp;G1154</f>
        <v>Stewart8020Galveston</v>
      </c>
      <c r="I1154" t="str">
        <f t="shared" ref="I1154:I1217" si="37">IFERROR(LEFT(D1154,FIND(" ",D1154)-1),D1154)</f>
        <v>Stewart</v>
      </c>
      <c r="J1154" s="82">
        <f>IFERROR(INDEX('All Folders'!$A:$A,MATCH(H1154,'All Folders'!$G:$G,0),1),"¶")</f>
        <v>4343</v>
      </c>
      <c r="K1154" s="87"/>
      <c r="L1154" s="87"/>
    </row>
    <row r="1155" spans="1:12" ht="15" x14ac:dyDescent="0.25">
      <c r="A1155" t="s">
        <v>21031</v>
      </c>
      <c r="B1155" t="s">
        <v>16452</v>
      </c>
      <c r="C1155" t="s">
        <v>16453</v>
      </c>
      <c r="D1155" t="s">
        <v>16454</v>
      </c>
      <c r="E1155">
        <v>7000</v>
      </c>
      <c r="F1155" t="s">
        <v>12566</v>
      </c>
      <c r="G1155" t="s">
        <v>4565</v>
      </c>
      <c r="H1155" t="str">
        <f t="shared" si="36"/>
        <v>Seawall7000Galveston</v>
      </c>
      <c r="I1155" t="str">
        <f t="shared" si="37"/>
        <v>Seawall</v>
      </c>
      <c r="J1155" s="82" t="str">
        <f>IFERROR(INDEX('All Folders'!$A:$A,MATCH(H1155,'All Folders'!$G:$G,0),1),"¶")</f>
        <v>SP135</v>
      </c>
      <c r="K1155" s="87"/>
      <c r="L1155" s="87"/>
    </row>
    <row r="1156" spans="1:12" ht="15" x14ac:dyDescent="0.25">
      <c r="A1156" t="s">
        <v>21032</v>
      </c>
      <c r="B1156" t="s">
        <v>16455</v>
      </c>
      <c r="C1156" t="s">
        <v>16456</v>
      </c>
      <c r="D1156" t="s">
        <v>16454</v>
      </c>
      <c r="E1156">
        <v>8100</v>
      </c>
      <c r="F1156" t="s">
        <v>16457</v>
      </c>
      <c r="G1156" t="s">
        <v>4565</v>
      </c>
      <c r="H1156" t="str">
        <f t="shared" si="36"/>
        <v>Seawall8100Galveston</v>
      </c>
      <c r="I1156" t="str">
        <f t="shared" si="37"/>
        <v>Seawall</v>
      </c>
      <c r="J1156" s="82">
        <f>IFERROR(INDEX('All Folders'!$A:$A,MATCH(H1156,'All Folders'!$G:$G,0),1),"¶")</f>
        <v>4617</v>
      </c>
      <c r="K1156" s="87"/>
      <c r="L1156" s="87"/>
    </row>
    <row r="1157" spans="1:12" ht="15" x14ac:dyDescent="0.25">
      <c r="A1157" t="s">
        <v>21033</v>
      </c>
      <c r="B1157" t="s">
        <v>16458</v>
      </c>
      <c r="C1157" t="s">
        <v>16459</v>
      </c>
      <c r="D1157" t="s">
        <v>16460</v>
      </c>
      <c r="E1157">
        <v>1702</v>
      </c>
      <c r="F1157" t="s">
        <v>16461</v>
      </c>
      <c r="G1157" t="s">
        <v>5019</v>
      </c>
      <c r="H1157" t="str">
        <f t="shared" si="36"/>
        <v>Jupiter1702Garland</v>
      </c>
      <c r="I1157" t="str">
        <f t="shared" si="37"/>
        <v>Jupiter</v>
      </c>
      <c r="J1157" s="82">
        <f>IFERROR(INDEX('All Folders'!$A:$A,MATCH(H1157,'All Folders'!$G:$G,0),1),"¶")</f>
        <v>13330</v>
      </c>
      <c r="K1157" s="87"/>
      <c r="L1157" s="87"/>
    </row>
    <row r="1158" spans="1:12" ht="15" x14ac:dyDescent="0.25">
      <c r="A1158" t="s">
        <v>21034</v>
      </c>
      <c r="B1158" t="s">
        <v>16462</v>
      </c>
      <c r="C1158" t="s">
        <v>16463</v>
      </c>
      <c r="D1158" t="s">
        <v>5112</v>
      </c>
      <c r="E1158">
        <v>6109</v>
      </c>
      <c r="F1158" t="s">
        <v>16464</v>
      </c>
      <c r="G1158" t="s">
        <v>5019</v>
      </c>
      <c r="H1158" t="str">
        <f t="shared" si="36"/>
        <v>Bay6109Garland</v>
      </c>
      <c r="I1158" t="str">
        <f t="shared" si="37"/>
        <v>Bay</v>
      </c>
      <c r="J1158" s="82">
        <f>IFERROR(INDEX('All Folders'!$A:$A,MATCH(H1158,'All Folders'!$G:$G,0),1),"¶")</f>
        <v>13144</v>
      </c>
      <c r="K1158" s="87"/>
      <c r="L1158" s="87"/>
    </row>
    <row r="1159" spans="1:12" ht="15" x14ac:dyDescent="0.25">
      <c r="A1159" t="s">
        <v>21035</v>
      </c>
      <c r="B1159" t="s">
        <v>16465</v>
      </c>
      <c r="C1159" t="s">
        <v>16466</v>
      </c>
      <c r="D1159" t="s">
        <v>16467</v>
      </c>
      <c r="E1159">
        <v>832</v>
      </c>
      <c r="F1159" t="s">
        <v>16468</v>
      </c>
      <c r="G1159" t="s">
        <v>5019</v>
      </c>
      <c r="H1159" t="str">
        <f t="shared" si="36"/>
        <v>Courtenay832Garland</v>
      </c>
      <c r="I1159" t="str">
        <f t="shared" si="37"/>
        <v>Courtenay</v>
      </c>
      <c r="J1159" s="82" t="str">
        <f>IFERROR(INDEX('All Folders'!$A:$A,MATCH(H1159,'All Folders'!$G:$G,0),1),"¶")</f>
        <v>SP139</v>
      </c>
      <c r="K1159" s="87"/>
      <c r="L1159" s="87"/>
    </row>
    <row r="1160" spans="1:12" ht="15" x14ac:dyDescent="0.25">
      <c r="A1160" t="s">
        <v>21036</v>
      </c>
      <c r="B1160" t="s">
        <v>16469</v>
      </c>
      <c r="C1160" t="s">
        <v>16470</v>
      </c>
      <c r="D1160" t="s">
        <v>16471</v>
      </c>
      <c r="E1160">
        <v>5118</v>
      </c>
      <c r="F1160" t="s">
        <v>919</v>
      </c>
      <c r="G1160" t="s">
        <v>5019</v>
      </c>
      <c r="H1160" t="str">
        <f t="shared" si="36"/>
        <v>Broadway5118Garland</v>
      </c>
      <c r="I1160" t="str">
        <f t="shared" si="37"/>
        <v>Broadway</v>
      </c>
      <c r="J1160" s="82">
        <f>IFERROR(INDEX('All Folders'!$A:$A,MATCH(H1160,'All Folders'!$G:$G,0),1),"¶")</f>
        <v>13196</v>
      </c>
      <c r="K1160" s="87"/>
      <c r="L1160" s="87"/>
    </row>
    <row r="1161" spans="1:12" ht="15" x14ac:dyDescent="0.25">
      <c r="A1161" t="s">
        <v>21037</v>
      </c>
      <c r="B1161" t="s">
        <v>16472</v>
      </c>
      <c r="C1161" t="s">
        <v>16473</v>
      </c>
      <c r="D1161" t="s">
        <v>16474</v>
      </c>
      <c r="E1161">
        <v>3520</v>
      </c>
      <c r="F1161" t="s">
        <v>11588</v>
      </c>
      <c r="G1161" t="s">
        <v>5019</v>
      </c>
      <c r="H1161" t="str">
        <f t="shared" si="36"/>
        <v>Buckingham3520Garland</v>
      </c>
      <c r="I1161" t="str">
        <f t="shared" si="37"/>
        <v>Buckingham</v>
      </c>
      <c r="J1161" s="82">
        <f>IFERROR(INDEX('All Folders'!$A:$A,MATCH(H1161,'All Folders'!$G:$G,0),1),"¶")</f>
        <v>30168</v>
      </c>
      <c r="K1161" s="87"/>
      <c r="L1161" s="87"/>
    </row>
    <row r="1162" spans="1:12" ht="15" x14ac:dyDescent="0.25">
      <c r="A1162" t="s">
        <v>21038</v>
      </c>
      <c r="B1162" t="s">
        <v>16475</v>
      </c>
      <c r="C1162" t="s">
        <v>16476</v>
      </c>
      <c r="D1162" t="s">
        <v>16477</v>
      </c>
      <c r="E1162">
        <v>4362</v>
      </c>
      <c r="F1162" t="s">
        <v>16478</v>
      </c>
      <c r="G1162" t="s">
        <v>5019</v>
      </c>
      <c r="H1162" t="str">
        <f t="shared" si="36"/>
        <v>Walnut4362Garland</v>
      </c>
      <c r="I1162" t="str">
        <f t="shared" si="37"/>
        <v>Walnut</v>
      </c>
      <c r="J1162" s="82">
        <f>IFERROR(INDEX('All Folders'!$A:$A,MATCH(H1162,'All Folders'!$G:$G,0),1),"¶")</f>
        <v>14634</v>
      </c>
      <c r="K1162" s="87"/>
      <c r="L1162" s="87"/>
    </row>
    <row r="1163" spans="1:12" ht="15" x14ac:dyDescent="0.25">
      <c r="A1163" t="s">
        <v>21040</v>
      </c>
      <c r="B1163" t="s">
        <v>16484</v>
      </c>
      <c r="C1163" t="s">
        <v>16485</v>
      </c>
      <c r="D1163" t="s">
        <v>16486</v>
      </c>
      <c r="E1163">
        <v>238</v>
      </c>
      <c r="F1163" t="s">
        <v>16487</v>
      </c>
      <c r="G1163" t="s">
        <v>5019</v>
      </c>
      <c r="H1163" t="str">
        <f t="shared" si="36"/>
        <v>Oates238Garland</v>
      </c>
      <c r="I1163" t="str">
        <f t="shared" si="37"/>
        <v>Oates</v>
      </c>
      <c r="J1163" s="82">
        <f>IFERROR(INDEX('All Folders'!$A:$A,MATCH(H1163,'All Folders'!$G:$G,0),1),"¶")</f>
        <v>13389</v>
      </c>
      <c r="K1163" s="87"/>
      <c r="L1163" s="87"/>
    </row>
    <row r="1164" spans="1:12" ht="15" x14ac:dyDescent="0.25">
      <c r="A1164" t="s">
        <v>21041</v>
      </c>
      <c r="B1164" t="s">
        <v>16488</v>
      </c>
      <c r="C1164" t="s">
        <v>16489</v>
      </c>
      <c r="D1164" t="s">
        <v>12572</v>
      </c>
      <c r="E1164">
        <v>4560</v>
      </c>
      <c r="F1164" t="s">
        <v>12573</v>
      </c>
      <c r="G1164" t="s">
        <v>5019</v>
      </c>
      <c r="H1164" t="str">
        <f t="shared" si="36"/>
        <v>Chaha4560Garland</v>
      </c>
      <c r="I1164" t="str">
        <f t="shared" si="37"/>
        <v>Chaha</v>
      </c>
      <c r="J1164" s="82" t="str">
        <f>IFERROR(INDEX('All Folders'!$A:$A,MATCH(H1164,'All Folders'!$G:$G,0),1),"¶")</f>
        <v>SP138</v>
      </c>
      <c r="K1164" s="87"/>
      <c r="L1164" s="87"/>
    </row>
    <row r="1165" spans="1:12" ht="15" x14ac:dyDescent="0.25">
      <c r="A1165" t="s">
        <v>21042</v>
      </c>
      <c r="B1165" t="s">
        <v>16490</v>
      </c>
      <c r="C1165" t="s">
        <v>16491</v>
      </c>
      <c r="D1165" t="s">
        <v>16492</v>
      </c>
      <c r="E1165">
        <v>4560</v>
      </c>
      <c r="F1165" t="s">
        <v>12573</v>
      </c>
      <c r="G1165" t="s">
        <v>5019</v>
      </c>
      <c r="H1165" t="str">
        <f t="shared" si="36"/>
        <v>Chaha4560Garland</v>
      </c>
      <c r="I1165" t="str">
        <f t="shared" si="37"/>
        <v>Chaha</v>
      </c>
      <c r="J1165" s="82" t="str">
        <f>IFERROR(INDEX('All Folders'!$A:$A,MATCH(H1165,'All Folders'!$G:$G,0),1),"¶")</f>
        <v>SP138</v>
      </c>
      <c r="K1165" s="87"/>
      <c r="L1165" s="87"/>
    </row>
    <row r="1166" spans="1:12" ht="15" x14ac:dyDescent="0.25">
      <c r="A1166" t="s">
        <v>21044</v>
      </c>
      <c r="B1166" t="s">
        <v>16497</v>
      </c>
      <c r="C1166" t="s">
        <v>16498</v>
      </c>
      <c r="D1166" t="s">
        <v>16495</v>
      </c>
      <c r="E1166">
        <v>2121</v>
      </c>
      <c r="F1166" t="s">
        <v>5597</v>
      </c>
      <c r="G1166" t="s">
        <v>5019</v>
      </c>
      <c r="H1166" t="str">
        <f t="shared" si="36"/>
        <v>Glenbrook2121Garland</v>
      </c>
      <c r="I1166" t="str">
        <f t="shared" si="37"/>
        <v>Glenbrook</v>
      </c>
      <c r="J1166" s="82">
        <f>IFERROR(INDEX('All Folders'!$A:$A,MATCH(H1166,'All Folders'!$G:$G,0),1),"¶")</f>
        <v>13492</v>
      </c>
      <c r="K1166" s="87"/>
      <c r="L1166" s="87"/>
    </row>
    <row r="1167" spans="1:12" ht="15" x14ac:dyDescent="0.25">
      <c r="A1167" t="s">
        <v>21045</v>
      </c>
      <c r="B1167" t="s">
        <v>16499</v>
      </c>
      <c r="C1167" t="s">
        <v>16500</v>
      </c>
      <c r="D1167" t="s">
        <v>16474</v>
      </c>
      <c r="E1167">
        <v>701</v>
      </c>
      <c r="F1167" t="s">
        <v>12570</v>
      </c>
      <c r="G1167" t="s">
        <v>5019</v>
      </c>
      <c r="H1167" t="str">
        <f t="shared" si="36"/>
        <v>Buckingham701Garland</v>
      </c>
      <c r="I1167" t="str">
        <f t="shared" si="37"/>
        <v>Buckingham</v>
      </c>
      <c r="J1167" s="82" t="str">
        <f>IFERROR(INDEX('All Folders'!$A:$A,MATCH(H1167,'All Folders'!$G:$G,0),1),"¶")</f>
        <v>SP137</v>
      </c>
      <c r="K1167" s="87"/>
      <c r="L1167" s="87"/>
    </row>
    <row r="1168" spans="1:12" ht="15" x14ac:dyDescent="0.25">
      <c r="A1168" t="s">
        <v>21046</v>
      </c>
      <c r="B1168" t="s">
        <v>16501</v>
      </c>
      <c r="C1168" t="s">
        <v>16502</v>
      </c>
      <c r="D1168" t="s">
        <v>16503</v>
      </c>
      <c r="E1168">
        <v>930</v>
      </c>
      <c r="F1168" t="s">
        <v>16504</v>
      </c>
      <c r="G1168" t="s">
        <v>5019</v>
      </c>
      <c r="H1168" t="str">
        <f t="shared" si="36"/>
        <v>30930Garland</v>
      </c>
      <c r="I1168" t="str">
        <f t="shared" si="37"/>
        <v>30</v>
      </c>
      <c r="J1168" s="82">
        <f>IFERROR(INDEX('All Folders'!$A:$A,MATCH(H1168,'All Folders'!$G:$G,0),1),"¶")</f>
        <v>13561</v>
      </c>
      <c r="K1168" s="87"/>
      <c r="L1168" s="87"/>
    </row>
    <row r="1169" spans="1:12" ht="15" x14ac:dyDescent="0.25">
      <c r="A1169" t="s">
        <v>21047</v>
      </c>
      <c r="B1169" t="s">
        <v>16505</v>
      </c>
      <c r="C1169" t="s">
        <v>16506</v>
      </c>
      <c r="D1169" t="s">
        <v>14140</v>
      </c>
      <c r="E1169">
        <v>1810</v>
      </c>
      <c r="F1169" t="s">
        <v>16507</v>
      </c>
      <c r="G1169" t="s">
        <v>5019</v>
      </c>
      <c r="H1169" t="str">
        <f t="shared" si="36"/>
        <v>Belt1810Garland</v>
      </c>
      <c r="I1169" t="str">
        <f t="shared" si="37"/>
        <v>Belt</v>
      </c>
      <c r="J1169" s="82">
        <f>IFERROR(INDEX('All Folders'!$A:$A,MATCH(H1169,'All Folders'!$G:$G,0),1),"¶")</f>
        <v>13568</v>
      </c>
      <c r="K1169" s="87"/>
      <c r="L1169" s="87"/>
    </row>
    <row r="1170" spans="1:12" ht="15" x14ac:dyDescent="0.25">
      <c r="A1170" t="s">
        <v>21048</v>
      </c>
      <c r="B1170" t="s">
        <v>16508</v>
      </c>
      <c r="C1170" t="s">
        <v>16509</v>
      </c>
      <c r="D1170" t="s">
        <v>16510</v>
      </c>
      <c r="E1170">
        <v>4351</v>
      </c>
      <c r="F1170" t="s">
        <v>16511</v>
      </c>
      <c r="G1170" t="s">
        <v>5019</v>
      </c>
      <c r="H1170" t="str">
        <f t="shared" si="36"/>
        <v>Point4351Garland</v>
      </c>
      <c r="I1170" t="str">
        <f t="shared" si="37"/>
        <v>Point</v>
      </c>
      <c r="J1170" s="82">
        <f>IFERROR(INDEX('All Folders'!$A:$A,MATCH(H1170,'All Folders'!$G:$G,0),1),"¶")</f>
        <v>13575</v>
      </c>
      <c r="K1170" s="87"/>
      <c r="L1170" s="87"/>
    </row>
    <row r="1171" spans="1:12" ht="15" x14ac:dyDescent="0.25">
      <c r="A1171" t="s">
        <v>21049</v>
      </c>
      <c r="B1171" t="s">
        <v>16512</v>
      </c>
      <c r="C1171" t="s">
        <v>16513</v>
      </c>
      <c r="D1171" t="s">
        <v>16477</v>
      </c>
      <c r="E1171">
        <v>3820</v>
      </c>
      <c r="F1171" t="s">
        <v>16514</v>
      </c>
      <c r="G1171" t="s">
        <v>5019</v>
      </c>
      <c r="H1171" t="str">
        <f t="shared" si="36"/>
        <v>Walnut3820Garland</v>
      </c>
      <c r="I1171" t="str">
        <f t="shared" si="37"/>
        <v>Walnut</v>
      </c>
      <c r="J1171" s="82">
        <f>IFERROR(INDEX('All Folders'!$A:$A,MATCH(H1171,'All Folders'!$G:$G,0),1),"¶")</f>
        <v>14786</v>
      </c>
      <c r="K1171" s="87"/>
      <c r="L1171" s="87"/>
    </row>
    <row r="1172" spans="1:12" ht="15" x14ac:dyDescent="0.25">
      <c r="A1172" t="s">
        <v>21050</v>
      </c>
      <c r="B1172" t="s">
        <v>16515</v>
      </c>
      <c r="C1172" t="s">
        <v>16516</v>
      </c>
      <c r="D1172" t="s">
        <v>16517</v>
      </c>
      <c r="E1172">
        <v>1900</v>
      </c>
      <c r="F1172" t="s">
        <v>16518</v>
      </c>
      <c r="G1172" t="s">
        <v>5019</v>
      </c>
      <c r="H1172" t="str">
        <f t="shared" si="36"/>
        <v>Kingsley1900Garland</v>
      </c>
      <c r="I1172" t="str">
        <f t="shared" si="37"/>
        <v>Kingsley</v>
      </c>
      <c r="J1172" s="82">
        <f>IFERROR(INDEX('All Folders'!$A:$A,MATCH(H1172,'All Folders'!$G:$G,0),1),"¶")</f>
        <v>13622</v>
      </c>
      <c r="K1172" s="87"/>
      <c r="L1172" s="87"/>
    </row>
    <row r="1173" spans="1:12" ht="15" x14ac:dyDescent="0.25">
      <c r="A1173" t="s">
        <v>21051</v>
      </c>
      <c r="B1173" t="s">
        <v>16519</v>
      </c>
      <c r="C1173" t="s">
        <v>16520</v>
      </c>
      <c r="D1173" t="s">
        <v>16521</v>
      </c>
      <c r="E1173">
        <v>1365</v>
      </c>
      <c r="F1173" t="s">
        <v>16522</v>
      </c>
      <c r="G1173" t="s">
        <v>5019</v>
      </c>
      <c r="H1173" t="str">
        <f t="shared" si="36"/>
        <v>301365Garland</v>
      </c>
      <c r="I1173" t="str">
        <f t="shared" si="37"/>
        <v>30</v>
      </c>
      <c r="J1173" s="82">
        <f>IFERROR(INDEX('All Folders'!$A:$A,MATCH(H1173,'All Folders'!$G:$G,0),1),"¶")</f>
        <v>13635</v>
      </c>
      <c r="K1173" s="87"/>
      <c r="L1173" s="87"/>
    </row>
    <row r="1174" spans="1:12" ht="15" x14ac:dyDescent="0.25">
      <c r="A1174" t="s">
        <v>21052</v>
      </c>
      <c r="B1174" t="s">
        <v>16523</v>
      </c>
      <c r="C1174" t="s">
        <v>16524</v>
      </c>
      <c r="D1174" t="s">
        <v>5806</v>
      </c>
      <c r="E1174">
        <v>4501</v>
      </c>
      <c r="F1174" t="s">
        <v>16525</v>
      </c>
      <c r="G1174" t="s">
        <v>5019</v>
      </c>
      <c r="H1174" t="str">
        <f t="shared" si="36"/>
        <v>Bobtown4501Garland</v>
      </c>
      <c r="I1174" t="str">
        <f t="shared" si="37"/>
        <v>Bobtown</v>
      </c>
      <c r="J1174" s="82">
        <f>IFERROR(INDEX('All Folders'!$A:$A,MATCH(H1174,'All Folders'!$G:$G,0),1),"¶")</f>
        <v>13651</v>
      </c>
      <c r="K1174" s="87"/>
      <c r="L1174" s="87"/>
    </row>
    <row r="1175" spans="1:12" ht="15" x14ac:dyDescent="0.25">
      <c r="A1175" t="s">
        <v>21053</v>
      </c>
      <c r="B1175" t="s">
        <v>16526</v>
      </c>
      <c r="C1175" t="s">
        <v>16527</v>
      </c>
      <c r="D1175" t="s">
        <v>16528</v>
      </c>
      <c r="E1175">
        <v>4501</v>
      </c>
      <c r="F1175" t="s">
        <v>16529</v>
      </c>
      <c r="G1175" t="s">
        <v>5019</v>
      </c>
      <c r="H1175" t="str">
        <f t="shared" si="36"/>
        <v>Bobtown4501Garland</v>
      </c>
      <c r="I1175" t="str">
        <f t="shared" si="37"/>
        <v>Bobtown</v>
      </c>
      <c r="J1175" s="82">
        <f>IFERROR(INDEX('All Folders'!$A:$A,MATCH(H1175,'All Folders'!$G:$G,0),1),"¶")</f>
        <v>13651</v>
      </c>
      <c r="K1175" s="87"/>
      <c r="L1175" s="87"/>
    </row>
    <row r="1176" spans="1:12" ht="15" x14ac:dyDescent="0.25">
      <c r="A1176" t="s">
        <v>21054</v>
      </c>
      <c r="B1176" t="s">
        <v>16530</v>
      </c>
      <c r="C1176" t="s">
        <v>16531</v>
      </c>
      <c r="D1176" t="s">
        <v>16532</v>
      </c>
      <c r="E1176">
        <v>4420</v>
      </c>
      <c r="F1176" t="s">
        <v>15176</v>
      </c>
      <c r="G1176" t="s">
        <v>5019</v>
      </c>
      <c r="H1176" t="str">
        <f t="shared" si="36"/>
        <v>Saturn4420Garland</v>
      </c>
      <c r="I1176" t="str">
        <f t="shared" si="37"/>
        <v>Saturn</v>
      </c>
      <c r="J1176" s="82">
        <f>IFERROR(INDEX('All Folders'!$A:$A,MATCH(H1176,'All Folders'!$G:$G,0),1),"¶")</f>
        <v>13776</v>
      </c>
      <c r="K1176" s="87"/>
      <c r="L1176" s="87"/>
    </row>
    <row r="1177" spans="1:12" ht="15" x14ac:dyDescent="0.25">
      <c r="A1177" t="s">
        <v>21056</v>
      </c>
      <c r="B1177" t="s">
        <v>16536</v>
      </c>
      <c r="C1177" t="s">
        <v>16537</v>
      </c>
      <c r="D1177" t="s">
        <v>15370</v>
      </c>
      <c r="E1177">
        <v>1520</v>
      </c>
      <c r="F1177" t="s">
        <v>16535</v>
      </c>
      <c r="G1177" t="s">
        <v>5019</v>
      </c>
      <c r="H1177" t="str">
        <f t="shared" si="36"/>
        <v>Kingsley1520Garland</v>
      </c>
      <c r="I1177" t="str">
        <f t="shared" si="37"/>
        <v>Kingsley</v>
      </c>
      <c r="J1177" s="82">
        <f>IFERROR(INDEX('All Folders'!$A:$A,MATCH(H1177,'All Folders'!$G:$G,0),1),"¶")</f>
        <v>14765</v>
      </c>
      <c r="K1177" s="87"/>
      <c r="L1177" s="87"/>
    </row>
    <row r="1178" spans="1:12" ht="15" x14ac:dyDescent="0.25">
      <c r="A1178" t="s">
        <v>21058</v>
      </c>
      <c r="B1178" t="s">
        <v>16541</v>
      </c>
      <c r="C1178" t="s">
        <v>16542</v>
      </c>
      <c r="D1178" t="s">
        <v>16477</v>
      </c>
      <c r="E1178">
        <v>3910</v>
      </c>
      <c r="F1178" t="s">
        <v>16543</v>
      </c>
      <c r="G1178" t="s">
        <v>5019</v>
      </c>
      <c r="H1178" t="str">
        <f t="shared" si="36"/>
        <v>Walnut3910Garland</v>
      </c>
      <c r="I1178" t="str">
        <f t="shared" si="37"/>
        <v>Walnut</v>
      </c>
      <c r="J1178" s="82">
        <f>IFERROR(INDEX('All Folders'!$A:$A,MATCH(H1178,'All Folders'!$G:$G,0),1),"¶")</f>
        <v>14846</v>
      </c>
      <c r="K1178" s="87"/>
      <c r="L1178" s="87"/>
    </row>
    <row r="1179" spans="1:12" ht="15" x14ac:dyDescent="0.25">
      <c r="A1179" t="s">
        <v>21059</v>
      </c>
      <c r="B1179" t="s">
        <v>16544</v>
      </c>
      <c r="C1179" t="s">
        <v>16545</v>
      </c>
      <c r="D1179" t="s">
        <v>16546</v>
      </c>
      <c r="E1179">
        <v>1302</v>
      </c>
      <c r="F1179" t="s">
        <v>16547</v>
      </c>
      <c r="G1179" t="s">
        <v>5019</v>
      </c>
      <c r="H1179" t="str">
        <f t="shared" si="36"/>
        <v>Shiloh1302Garland</v>
      </c>
      <c r="I1179" t="str">
        <f t="shared" si="37"/>
        <v>Shiloh</v>
      </c>
      <c r="J1179" s="82">
        <f>IFERROR(INDEX('All Folders'!$A:$A,MATCH(H1179,'All Folders'!$G:$G,0),1),"¶")</f>
        <v>14002</v>
      </c>
      <c r="K1179" s="87"/>
      <c r="L1179" s="87"/>
    </row>
    <row r="1180" spans="1:12" ht="15" x14ac:dyDescent="0.25">
      <c r="A1180" t="s">
        <v>21060</v>
      </c>
      <c r="B1180" t="s">
        <v>16548</v>
      </c>
      <c r="C1180" t="s">
        <v>16549</v>
      </c>
      <c r="D1180" t="s">
        <v>16477</v>
      </c>
      <c r="E1180">
        <v>2710</v>
      </c>
      <c r="F1180" t="s">
        <v>7931</v>
      </c>
      <c r="G1180" t="s">
        <v>5019</v>
      </c>
      <c r="H1180" t="str">
        <f t="shared" si="36"/>
        <v>Walnut2710Garland</v>
      </c>
      <c r="I1180" t="str">
        <f t="shared" si="37"/>
        <v>Walnut</v>
      </c>
      <c r="J1180" s="82">
        <f>IFERROR(INDEX('All Folders'!$A:$A,MATCH(H1180,'All Folders'!$G:$G,0),1),"¶")</f>
        <v>15491</v>
      </c>
      <c r="K1180" s="87"/>
      <c r="L1180" s="87"/>
    </row>
    <row r="1181" spans="1:12" ht="15" x14ac:dyDescent="0.25">
      <c r="A1181" t="s">
        <v>21061</v>
      </c>
      <c r="B1181" t="s">
        <v>16550</v>
      </c>
      <c r="C1181" t="s">
        <v>16551</v>
      </c>
      <c r="D1181" t="s">
        <v>16460</v>
      </c>
      <c r="E1181">
        <v>110</v>
      </c>
      <c r="F1181" t="s">
        <v>3235</v>
      </c>
      <c r="G1181" t="s">
        <v>5019</v>
      </c>
      <c r="H1181" t="str">
        <f t="shared" si="36"/>
        <v>Jupiter110Garland</v>
      </c>
      <c r="I1181" t="str">
        <f t="shared" si="37"/>
        <v>Jupiter</v>
      </c>
      <c r="J1181" s="82">
        <f>IFERROR(INDEX('All Folders'!$A:$A,MATCH(H1181,'All Folders'!$G:$G,0),1),"¶")</f>
        <v>14626</v>
      </c>
      <c r="K1181" s="87"/>
      <c r="L1181" s="87"/>
    </row>
    <row r="1182" spans="1:12" ht="15" x14ac:dyDescent="0.25">
      <c r="A1182" t="s">
        <v>21063</v>
      </c>
      <c r="B1182" t="s">
        <v>16554</v>
      </c>
      <c r="C1182" t="s">
        <v>16555</v>
      </c>
      <c r="D1182" t="s">
        <v>16556</v>
      </c>
      <c r="E1182">
        <v>4328</v>
      </c>
      <c r="F1182" t="s">
        <v>16557</v>
      </c>
      <c r="G1182" t="s">
        <v>5019</v>
      </c>
      <c r="H1182" t="str">
        <f t="shared" si="36"/>
        <v>Duck4328Garland</v>
      </c>
      <c r="I1182" t="str">
        <f t="shared" si="37"/>
        <v>Duck</v>
      </c>
      <c r="J1182" s="82">
        <f>IFERROR(INDEX('All Folders'!$A:$A,MATCH(H1182,'All Folders'!$G:$G,0),1),"¶")</f>
        <v>13432</v>
      </c>
      <c r="K1182" s="87"/>
      <c r="L1182" s="87"/>
    </row>
    <row r="1183" spans="1:12" ht="15" x14ac:dyDescent="0.25">
      <c r="A1183" t="s">
        <v>21064</v>
      </c>
      <c r="B1183" t="s">
        <v>16558</v>
      </c>
      <c r="C1183" t="s">
        <v>16559</v>
      </c>
      <c r="D1183" t="s">
        <v>16560</v>
      </c>
      <c r="E1183">
        <v>25</v>
      </c>
      <c r="F1183" t="s">
        <v>16561</v>
      </c>
      <c r="G1183" t="s">
        <v>16</v>
      </c>
      <c r="H1183" t="str">
        <f t="shared" si="36"/>
        <v>Waters25Georgetown</v>
      </c>
      <c r="I1183" t="str">
        <f t="shared" si="37"/>
        <v>Waters</v>
      </c>
      <c r="J1183" s="82">
        <f>IFERROR(INDEX('All Folders'!$A:$A,MATCH(H1183,'All Folders'!$G:$G,0),1),"¶")</f>
        <v>535</v>
      </c>
      <c r="K1183" s="87"/>
      <c r="L1183" s="87"/>
    </row>
    <row r="1184" spans="1:12" ht="15" x14ac:dyDescent="0.25">
      <c r="A1184" t="s">
        <v>21065</v>
      </c>
      <c r="B1184" t="s">
        <v>16562</v>
      </c>
      <c r="C1184" t="s">
        <v>16563</v>
      </c>
      <c r="D1184" t="s">
        <v>16564</v>
      </c>
      <c r="E1184">
        <v>302</v>
      </c>
      <c r="F1184" t="s">
        <v>16565</v>
      </c>
      <c r="G1184" t="s">
        <v>16</v>
      </c>
      <c r="H1184" t="str">
        <f t="shared" si="36"/>
        <v>Apple302Georgetown</v>
      </c>
      <c r="I1184" t="str">
        <f t="shared" si="37"/>
        <v>Apple</v>
      </c>
      <c r="J1184" s="82">
        <f>IFERROR(INDEX('All Folders'!$A:$A,MATCH(H1184,'All Folders'!$G:$G,0),1),"¶")</f>
        <v>5</v>
      </c>
      <c r="K1184" s="87"/>
      <c r="L1184" s="87"/>
    </row>
    <row r="1185" spans="1:12" ht="15" x14ac:dyDescent="0.25">
      <c r="A1185" t="s">
        <v>21066</v>
      </c>
      <c r="B1185" t="s">
        <v>16566</v>
      </c>
      <c r="C1185" t="s">
        <v>16567</v>
      </c>
      <c r="D1185" t="s">
        <v>16568</v>
      </c>
      <c r="E1185">
        <v>600</v>
      </c>
      <c r="F1185" t="s">
        <v>16569</v>
      </c>
      <c r="G1185" t="s">
        <v>16</v>
      </c>
      <c r="H1185" t="str">
        <f t="shared" si="36"/>
        <v>Luther600Georgetown</v>
      </c>
      <c r="I1185" t="str">
        <f t="shared" si="37"/>
        <v>Luther</v>
      </c>
      <c r="J1185" s="82">
        <f>IFERROR(INDEX('All Folders'!$A:$A,MATCH(H1185,'All Folders'!$G:$G,0),1),"¶")</f>
        <v>420</v>
      </c>
      <c r="K1185" s="87"/>
      <c r="L1185" s="87"/>
    </row>
    <row r="1186" spans="1:12" ht="15" x14ac:dyDescent="0.25">
      <c r="A1186" t="s">
        <v>21067</v>
      </c>
      <c r="B1186" t="s">
        <v>16570</v>
      </c>
      <c r="C1186" t="s">
        <v>16571</v>
      </c>
      <c r="D1186" t="s">
        <v>16572</v>
      </c>
      <c r="E1186">
        <v>200</v>
      </c>
      <c r="F1186" t="s">
        <v>15835</v>
      </c>
      <c r="G1186" t="s">
        <v>16</v>
      </c>
      <c r="H1186" t="str">
        <f t="shared" si="36"/>
        <v>Riverbend200Georgetown</v>
      </c>
      <c r="I1186" t="str">
        <f t="shared" si="37"/>
        <v>Riverbend</v>
      </c>
      <c r="J1186" s="82">
        <f>IFERROR(INDEX('All Folders'!$A:$A,MATCH(H1186,'All Folders'!$G:$G,0),1),"¶")</f>
        <v>502</v>
      </c>
      <c r="K1186" s="87"/>
      <c r="L1186" s="87"/>
    </row>
    <row r="1187" spans="1:12" ht="15" x14ac:dyDescent="0.25">
      <c r="A1187" t="s">
        <v>21069</v>
      </c>
      <c r="B1187" t="s">
        <v>16576</v>
      </c>
      <c r="C1187" t="s">
        <v>16577</v>
      </c>
      <c r="D1187" t="s">
        <v>16578</v>
      </c>
      <c r="E1187">
        <v>5607</v>
      </c>
      <c r="F1187" t="s">
        <v>16579</v>
      </c>
      <c r="G1187" t="s">
        <v>6604</v>
      </c>
      <c r="H1187" t="str">
        <f t="shared" si="36"/>
        <v>Kemah5607Granbury</v>
      </c>
      <c r="I1187" t="str">
        <f t="shared" si="37"/>
        <v>Kemah</v>
      </c>
      <c r="J1187" s="82" t="str">
        <f>IFERROR(INDEX('All Folders'!$A:$A,MATCH(H1187,'All Folders'!$G:$G,0),1),"¶")</f>
        <v>SP142</v>
      </c>
      <c r="K1187" s="87"/>
      <c r="L1187" s="87"/>
    </row>
    <row r="1188" spans="1:12" ht="15" x14ac:dyDescent="0.25">
      <c r="A1188" t="s">
        <v>21070</v>
      </c>
      <c r="B1188" t="s">
        <v>16580</v>
      </c>
      <c r="C1188" t="s">
        <v>16581</v>
      </c>
      <c r="D1188" t="s">
        <v>16582</v>
      </c>
      <c r="E1188">
        <v>1201</v>
      </c>
      <c r="F1188" t="s">
        <v>16583</v>
      </c>
      <c r="G1188" t="s">
        <v>6604</v>
      </c>
      <c r="H1188" t="str">
        <f t="shared" si="36"/>
        <v>Pearl1201Granbury</v>
      </c>
      <c r="I1188" t="str">
        <f t="shared" si="37"/>
        <v>Pearl</v>
      </c>
      <c r="J1188" s="82">
        <f>IFERROR(INDEX('All Folders'!$A:$A,MATCH(H1188,'All Folders'!$G:$G,0),1),"¶")</f>
        <v>30170</v>
      </c>
      <c r="K1188" s="87"/>
      <c r="L1188" s="87"/>
    </row>
    <row r="1189" spans="1:12" ht="15" x14ac:dyDescent="0.25">
      <c r="A1189" t="s">
        <v>21071</v>
      </c>
      <c r="B1189" t="s">
        <v>16584</v>
      </c>
      <c r="C1189" t="s">
        <v>16585</v>
      </c>
      <c r="D1189" t="s">
        <v>16586</v>
      </c>
      <c r="E1189">
        <v>1520</v>
      </c>
      <c r="F1189" t="s">
        <v>12583</v>
      </c>
      <c r="G1189" t="s">
        <v>6604</v>
      </c>
      <c r="H1189" t="str">
        <f t="shared" si="36"/>
        <v>Crawford1520Granbury</v>
      </c>
      <c r="I1189" t="str">
        <f t="shared" si="37"/>
        <v>Crawford</v>
      </c>
      <c r="J1189" s="82" t="str">
        <f>IFERROR(INDEX('All Folders'!$A:$A,MATCH(H1189,'All Folders'!$G:$G,0),1),"¶")</f>
        <v>SP141</v>
      </c>
      <c r="K1189" s="87"/>
      <c r="L1189" s="87"/>
    </row>
    <row r="1190" spans="1:12" ht="15" x14ac:dyDescent="0.25">
      <c r="A1190" t="s">
        <v>21072</v>
      </c>
      <c r="B1190" t="s">
        <v>16587</v>
      </c>
      <c r="C1190" t="s">
        <v>16588</v>
      </c>
      <c r="D1190" t="s">
        <v>16586</v>
      </c>
      <c r="E1190">
        <v>1220</v>
      </c>
      <c r="F1190" t="s">
        <v>16589</v>
      </c>
      <c r="G1190" t="s">
        <v>6604</v>
      </c>
      <c r="H1190" t="str">
        <f t="shared" si="36"/>
        <v>Crawford1220Granbury</v>
      </c>
      <c r="I1190" t="str">
        <f t="shared" si="37"/>
        <v>Crawford</v>
      </c>
      <c r="J1190" s="82">
        <f>IFERROR(INDEX('All Folders'!$A:$A,MATCH(H1190,'All Folders'!$G:$G,0),1),"¶")</f>
        <v>14335</v>
      </c>
      <c r="K1190" s="87"/>
      <c r="L1190" s="87"/>
    </row>
    <row r="1191" spans="1:12" ht="15" x14ac:dyDescent="0.25">
      <c r="A1191" t="s">
        <v>21073</v>
      </c>
      <c r="B1191" t="s">
        <v>16590</v>
      </c>
      <c r="C1191" t="s">
        <v>16591</v>
      </c>
      <c r="D1191" t="s">
        <v>16592</v>
      </c>
      <c r="E1191">
        <v>1920</v>
      </c>
      <c r="F1191" t="s">
        <v>16593</v>
      </c>
      <c r="G1191" t="s">
        <v>5076</v>
      </c>
      <c r="H1191" t="str">
        <f t="shared" si="36"/>
        <v>Tarrant1920Grand Prairie</v>
      </c>
      <c r="I1191" t="str">
        <f t="shared" si="37"/>
        <v>Tarrant</v>
      </c>
      <c r="J1191" s="82">
        <f>IFERROR(INDEX('All Folders'!$A:$A,MATCH(H1191,'All Folders'!$G:$G,0),1),"¶")</f>
        <v>13450</v>
      </c>
      <c r="K1191" s="87"/>
      <c r="L1191" s="87"/>
    </row>
    <row r="1192" spans="1:12" ht="15" x14ac:dyDescent="0.25">
      <c r="A1192" t="s">
        <v>21076</v>
      </c>
      <c r="B1192" t="s">
        <v>16602</v>
      </c>
      <c r="C1192" t="s">
        <v>16603</v>
      </c>
      <c r="D1192" t="s">
        <v>16604</v>
      </c>
      <c r="E1192">
        <v>575</v>
      </c>
      <c r="F1192" t="s">
        <v>11592</v>
      </c>
      <c r="G1192" t="s">
        <v>5076</v>
      </c>
      <c r="H1192" t="str">
        <f t="shared" si="36"/>
        <v>Dickey575Grand Prairie</v>
      </c>
      <c r="I1192" t="str">
        <f t="shared" si="37"/>
        <v>Dickey</v>
      </c>
      <c r="J1192" s="82">
        <f>IFERROR(INDEX('All Folders'!$A:$A,MATCH(H1192,'All Folders'!$G:$G,0),1),"¶")</f>
        <v>30171</v>
      </c>
      <c r="K1192" s="87"/>
      <c r="L1192" s="87"/>
    </row>
    <row r="1193" spans="1:12" ht="15" x14ac:dyDescent="0.25">
      <c r="A1193" t="s">
        <v>21078</v>
      </c>
      <c r="B1193" t="s">
        <v>16609</v>
      </c>
      <c r="C1193" t="s">
        <v>16610</v>
      </c>
      <c r="D1193" t="s">
        <v>16611</v>
      </c>
      <c r="E1193">
        <v>2650</v>
      </c>
      <c r="F1193" t="s">
        <v>16612</v>
      </c>
      <c r="G1193" t="s">
        <v>5076</v>
      </c>
      <c r="H1193" t="str">
        <f t="shared" si="36"/>
        <v>Forum2650Grand Prairie</v>
      </c>
      <c r="I1193" t="str">
        <f t="shared" si="37"/>
        <v>Forum</v>
      </c>
      <c r="J1193" s="82">
        <f>IFERROR(INDEX('All Folders'!$A:$A,MATCH(H1193,'All Folders'!$G:$G,0),1),"¶")</f>
        <v>17480</v>
      </c>
      <c r="K1193" s="87"/>
      <c r="L1193" s="87"/>
    </row>
    <row r="1194" spans="1:12" ht="15" x14ac:dyDescent="0.25">
      <c r="A1194" t="s">
        <v>21079</v>
      </c>
      <c r="B1194" t="s">
        <v>16613</v>
      </c>
      <c r="C1194" t="s">
        <v>16614</v>
      </c>
      <c r="D1194" t="s">
        <v>16615</v>
      </c>
      <c r="E1194">
        <v>403</v>
      </c>
      <c r="F1194" t="s">
        <v>16616</v>
      </c>
      <c r="G1194" t="s">
        <v>5076</v>
      </c>
      <c r="H1194" t="str">
        <f t="shared" si="36"/>
        <v>Small403Grand Prairie</v>
      </c>
      <c r="I1194" t="str">
        <f t="shared" si="37"/>
        <v>Small</v>
      </c>
      <c r="J1194" s="82">
        <f>IFERROR(INDEX('All Folders'!$A:$A,MATCH(H1194,'All Folders'!$G:$G,0),1),"¶")</f>
        <v>30174</v>
      </c>
      <c r="K1194" s="87"/>
      <c r="L1194" s="87"/>
    </row>
    <row r="1195" spans="1:12" ht="15" x14ac:dyDescent="0.25">
      <c r="A1195" t="s">
        <v>21080</v>
      </c>
      <c r="B1195" t="s">
        <v>16617</v>
      </c>
      <c r="C1195" t="s">
        <v>16618</v>
      </c>
      <c r="D1195" t="s">
        <v>16619</v>
      </c>
      <c r="E1195">
        <v>3033</v>
      </c>
      <c r="F1195" t="s">
        <v>9022</v>
      </c>
      <c r="G1195" t="s">
        <v>5076</v>
      </c>
      <c r="H1195" t="str">
        <f t="shared" si="36"/>
        <v>Bardin3033Grand Prairie</v>
      </c>
      <c r="I1195" t="str">
        <f t="shared" si="37"/>
        <v>Bardin</v>
      </c>
      <c r="J1195" s="82">
        <f>IFERROR(INDEX('All Folders'!$A:$A,MATCH(H1195,'All Folders'!$G:$G,0),1),"¶")</f>
        <v>16566</v>
      </c>
      <c r="K1195" s="87"/>
      <c r="L1195" s="87"/>
    </row>
    <row r="1196" spans="1:12" ht="15" x14ac:dyDescent="0.25">
      <c r="A1196" t="s">
        <v>21081</v>
      </c>
      <c r="B1196" t="s">
        <v>16620</v>
      </c>
      <c r="C1196" t="s">
        <v>16621</v>
      </c>
      <c r="D1196" t="s">
        <v>16622</v>
      </c>
      <c r="E1196">
        <v>3033</v>
      </c>
      <c r="F1196" t="s">
        <v>9022</v>
      </c>
      <c r="G1196" t="s">
        <v>5076</v>
      </c>
      <c r="H1196" t="str">
        <f t="shared" si="36"/>
        <v>Bardin3033Grand Prairie</v>
      </c>
      <c r="I1196" t="str">
        <f t="shared" si="37"/>
        <v>Bardin</v>
      </c>
      <c r="J1196" s="82">
        <f>IFERROR(INDEX('All Folders'!$A:$A,MATCH(H1196,'All Folders'!$G:$G,0),1),"¶")</f>
        <v>16566</v>
      </c>
      <c r="K1196" s="87"/>
      <c r="L1196" s="87"/>
    </row>
    <row r="1197" spans="1:12" ht="15" x14ac:dyDescent="0.25">
      <c r="A1197" t="s">
        <v>21082</v>
      </c>
      <c r="B1197" t="s">
        <v>16623</v>
      </c>
      <c r="C1197" t="s">
        <v>16624</v>
      </c>
      <c r="D1197" t="s">
        <v>16625</v>
      </c>
      <c r="E1197">
        <v>2337</v>
      </c>
      <c r="F1197" t="s">
        <v>11594</v>
      </c>
      <c r="G1197" t="s">
        <v>5076</v>
      </c>
      <c r="H1197" t="str">
        <f t="shared" si="36"/>
        <v>Doreen2337Grand Prairie</v>
      </c>
      <c r="I1197" t="str">
        <f t="shared" si="37"/>
        <v>Doreen</v>
      </c>
      <c r="J1197" s="82">
        <f>IFERROR(INDEX('All Folders'!$A:$A,MATCH(H1197,'All Folders'!$G:$G,0),1),"¶")</f>
        <v>30172</v>
      </c>
      <c r="K1197" s="87"/>
      <c r="L1197" s="87"/>
    </row>
    <row r="1198" spans="1:12" ht="15" x14ac:dyDescent="0.25">
      <c r="A1198" t="s">
        <v>21083</v>
      </c>
      <c r="B1198" t="s">
        <v>16626</v>
      </c>
      <c r="C1198" t="s">
        <v>16627</v>
      </c>
      <c r="D1198" t="s">
        <v>16596</v>
      </c>
      <c r="E1198">
        <v>1991</v>
      </c>
      <c r="F1198" t="s">
        <v>8873</v>
      </c>
      <c r="G1198" t="s">
        <v>5076</v>
      </c>
      <c r="H1198" t="str">
        <f t="shared" si="36"/>
        <v>3601991Grand Prairie</v>
      </c>
      <c r="I1198" t="str">
        <f t="shared" si="37"/>
        <v>360</v>
      </c>
      <c r="J1198" s="82">
        <f>IFERROR(INDEX('All Folders'!$A:$A,MATCH(H1198,'All Folders'!$G:$G,0),1),"¶")</f>
        <v>16353</v>
      </c>
      <c r="K1198" s="87"/>
      <c r="L1198" s="87"/>
    </row>
    <row r="1199" spans="1:12" ht="15" x14ac:dyDescent="0.25">
      <c r="A1199" t="s">
        <v>21084</v>
      </c>
      <c r="B1199" t="s">
        <v>16628</v>
      </c>
      <c r="C1199" t="s">
        <v>16629</v>
      </c>
      <c r="D1199" t="s">
        <v>16630</v>
      </c>
      <c r="E1199">
        <v>606</v>
      </c>
      <c r="F1199" t="s">
        <v>16631</v>
      </c>
      <c r="G1199" t="s">
        <v>5076</v>
      </c>
      <c r="H1199" t="str">
        <f t="shared" si="36"/>
        <v>Safari606Grand Prairie</v>
      </c>
      <c r="I1199" t="str">
        <f t="shared" si="37"/>
        <v>Safari</v>
      </c>
      <c r="J1199" s="82">
        <f>IFERROR(INDEX('All Folders'!$A:$A,MATCH(H1199,'All Folders'!$G:$G,0),1),"¶")</f>
        <v>13378</v>
      </c>
      <c r="K1199" s="87"/>
      <c r="L1199" s="87"/>
    </row>
    <row r="1200" spans="1:12" ht="15" x14ac:dyDescent="0.25">
      <c r="A1200" t="s">
        <v>21085</v>
      </c>
      <c r="B1200" t="s">
        <v>16632</v>
      </c>
      <c r="C1200" t="s">
        <v>16633</v>
      </c>
      <c r="D1200" t="s">
        <v>16592</v>
      </c>
      <c r="E1200">
        <v>201</v>
      </c>
      <c r="F1200" t="s">
        <v>16160</v>
      </c>
      <c r="G1200" t="s">
        <v>5076</v>
      </c>
      <c r="H1200" t="str">
        <f t="shared" si="36"/>
        <v>Tarrant201Grand Prairie</v>
      </c>
      <c r="I1200" t="str">
        <f t="shared" si="37"/>
        <v>Tarrant</v>
      </c>
      <c r="J1200" s="82">
        <f>IFERROR(INDEX('All Folders'!$A:$A,MATCH(H1200,'All Folders'!$G:$G,0),1),"¶")</f>
        <v>13745</v>
      </c>
      <c r="K1200" s="87"/>
      <c r="L1200" s="87"/>
    </row>
    <row r="1201" spans="1:12" ht="15" x14ac:dyDescent="0.25">
      <c r="A1201" t="s">
        <v>21086</v>
      </c>
      <c r="B1201" t="s">
        <v>16634</v>
      </c>
      <c r="C1201" t="s">
        <v>16635</v>
      </c>
      <c r="D1201" t="s">
        <v>13223</v>
      </c>
      <c r="E1201">
        <v>8112</v>
      </c>
      <c r="F1201" t="s">
        <v>16636</v>
      </c>
      <c r="G1201" t="s">
        <v>5076</v>
      </c>
      <c r="H1201" t="str">
        <f t="shared" si="36"/>
        <v>Center8112Grand Prairie</v>
      </c>
      <c r="I1201" t="str">
        <f t="shared" si="37"/>
        <v>Center</v>
      </c>
      <c r="J1201" s="82" t="str">
        <f>IFERROR(INDEX('All Folders'!$A:$A,MATCH(H1201,'All Folders'!$G:$G,0),1),"¶")</f>
        <v>SP144</v>
      </c>
      <c r="K1201" s="87"/>
      <c r="L1201" s="87"/>
    </row>
    <row r="1202" spans="1:12" ht="15" x14ac:dyDescent="0.25">
      <c r="A1202" t="s">
        <v>21087</v>
      </c>
      <c r="B1202" t="s">
        <v>16637</v>
      </c>
      <c r="C1202" t="s">
        <v>16638</v>
      </c>
      <c r="D1202" t="s">
        <v>13172</v>
      </c>
      <c r="E1202">
        <v>602</v>
      </c>
      <c r="F1202" t="s">
        <v>8596</v>
      </c>
      <c r="G1202" t="s">
        <v>5076</v>
      </c>
      <c r="H1202" t="str">
        <f t="shared" si="36"/>
        <v>Pioneer602Grand Prairie</v>
      </c>
      <c r="I1202" t="str">
        <f t="shared" si="37"/>
        <v>Pioneer</v>
      </c>
      <c r="J1202" s="82">
        <f>IFERROR(INDEX('All Folders'!$A:$A,MATCH(H1202,'All Folders'!$G:$G,0),1),"¶")</f>
        <v>16109</v>
      </c>
      <c r="K1202" s="87"/>
      <c r="L1202" s="87"/>
    </row>
    <row r="1203" spans="1:12" ht="15" x14ac:dyDescent="0.25">
      <c r="A1203" t="s">
        <v>21088</v>
      </c>
      <c r="B1203" t="s">
        <v>16639</v>
      </c>
      <c r="C1203" t="s">
        <v>16640</v>
      </c>
      <c r="D1203" t="s">
        <v>16641</v>
      </c>
      <c r="E1203">
        <v>201</v>
      </c>
      <c r="F1203" t="s">
        <v>16642</v>
      </c>
      <c r="G1203" t="s">
        <v>5076</v>
      </c>
      <c r="H1203" t="str">
        <f t="shared" si="36"/>
        <v>Skyline201Grand Prairie</v>
      </c>
      <c r="I1203" t="str">
        <f t="shared" si="37"/>
        <v>Skyline</v>
      </c>
      <c r="J1203" s="82">
        <f>IFERROR(INDEX('All Folders'!$A:$A,MATCH(H1203,'All Folders'!$G:$G,0),1),"¶")</f>
        <v>15634</v>
      </c>
      <c r="K1203" s="87"/>
      <c r="L1203" s="87"/>
    </row>
    <row r="1204" spans="1:12" ht="15" x14ac:dyDescent="0.25">
      <c r="A1204" t="s">
        <v>21089</v>
      </c>
      <c r="B1204" t="s">
        <v>16643</v>
      </c>
      <c r="C1204" t="s">
        <v>16644</v>
      </c>
      <c r="D1204" t="s">
        <v>16596</v>
      </c>
      <c r="E1204">
        <v>1450</v>
      </c>
      <c r="F1204" t="s">
        <v>16645</v>
      </c>
      <c r="G1204" t="s">
        <v>5076</v>
      </c>
      <c r="H1204" t="str">
        <f t="shared" si="36"/>
        <v>3601450Grand Prairie</v>
      </c>
      <c r="I1204" t="str">
        <f t="shared" si="37"/>
        <v>360</v>
      </c>
      <c r="J1204" s="82">
        <f>IFERROR(INDEX('All Folders'!$A:$A,MATCH(H1204,'All Folders'!$G:$G,0),1),"¶")</f>
        <v>13423</v>
      </c>
      <c r="K1204" s="87"/>
      <c r="L1204" s="87"/>
    </row>
    <row r="1205" spans="1:12" ht="15" x14ac:dyDescent="0.25">
      <c r="A1205" t="s">
        <v>21091</v>
      </c>
      <c r="B1205" t="s">
        <v>16650</v>
      </c>
      <c r="C1205" t="s">
        <v>16651</v>
      </c>
      <c r="D1205" t="s">
        <v>16604</v>
      </c>
      <c r="E1205">
        <v>511</v>
      </c>
      <c r="F1205" t="s">
        <v>16652</v>
      </c>
      <c r="G1205" t="s">
        <v>5076</v>
      </c>
      <c r="H1205" t="str">
        <f t="shared" si="36"/>
        <v>Dickey511Grand Prairie</v>
      </c>
      <c r="I1205" t="str">
        <f t="shared" si="37"/>
        <v>Dickey</v>
      </c>
      <c r="J1205" s="82">
        <f>IFERROR(INDEX('All Folders'!$A:$A,MATCH(H1205,'All Folders'!$G:$G,0),1),"¶")</f>
        <v>30175</v>
      </c>
      <c r="K1205" s="87"/>
      <c r="L1205" s="87"/>
    </row>
    <row r="1206" spans="1:12" ht="15" x14ac:dyDescent="0.25">
      <c r="A1206" t="s">
        <v>21092</v>
      </c>
      <c r="B1206" t="s">
        <v>16653</v>
      </c>
      <c r="C1206" t="s">
        <v>16654</v>
      </c>
      <c r="D1206" t="s">
        <v>16655</v>
      </c>
      <c r="E1206">
        <v>2377</v>
      </c>
      <c r="F1206" t="s">
        <v>10203</v>
      </c>
      <c r="G1206" t="s">
        <v>5076</v>
      </c>
      <c r="H1206" t="str">
        <f t="shared" si="36"/>
        <v>Dalworth2377Grand Prairie</v>
      </c>
      <c r="I1206" t="str">
        <f t="shared" si="37"/>
        <v>Dalworth</v>
      </c>
      <c r="J1206" s="82">
        <f>IFERROR(INDEX('All Folders'!$A:$A,MATCH(H1206,'All Folders'!$G:$G,0),1),"¶")</f>
        <v>17847</v>
      </c>
      <c r="K1206" s="87"/>
      <c r="L1206" s="87"/>
    </row>
    <row r="1207" spans="1:12" ht="15" x14ac:dyDescent="0.25">
      <c r="A1207" t="s">
        <v>21093</v>
      </c>
      <c r="B1207" t="s">
        <v>16656</v>
      </c>
      <c r="C1207" t="s">
        <v>16657</v>
      </c>
      <c r="D1207" t="s">
        <v>16658</v>
      </c>
      <c r="E1207">
        <v>620</v>
      </c>
      <c r="F1207" t="s">
        <v>16659</v>
      </c>
      <c r="G1207" t="s">
        <v>5076</v>
      </c>
      <c r="H1207" t="str">
        <f t="shared" si="36"/>
        <v>Westchester620Grand Prairie</v>
      </c>
      <c r="I1207" t="str">
        <f t="shared" si="37"/>
        <v>Westchester</v>
      </c>
      <c r="J1207" s="82">
        <f>IFERROR(INDEX('All Folders'!$A:$A,MATCH(H1207,'All Folders'!$G:$G,0),1),"¶")</f>
        <v>14199</v>
      </c>
      <c r="K1207" s="87"/>
      <c r="L1207" s="87"/>
    </row>
    <row r="1208" spans="1:12" ht="15" x14ac:dyDescent="0.25">
      <c r="A1208" t="s">
        <v>21094</v>
      </c>
      <c r="B1208" t="s">
        <v>16660</v>
      </c>
      <c r="C1208" t="s">
        <v>16661</v>
      </c>
      <c r="D1208" t="s">
        <v>16662</v>
      </c>
      <c r="E1208">
        <v>1104</v>
      </c>
      <c r="F1208" t="s">
        <v>16663</v>
      </c>
      <c r="G1208" t="s">
        <v>5076</v>
      </c>
      <c r="H1208" t="str">
        <f t="shared" si="36"/>
        <v>Carrier1104Grand Prairie</v>
      </c>
      <c r="I1208" t="str">
        <f t="shared" si="37"/>
        <v>Carrier</v>
      </c>
      <c r="J1208" s="82">
        <f>IFERROR(INDEX('All Folders'!$A:$A,MATCH(H1208,'All Folders'!$G:$G,0),1),"¶")</f>
        <v>16570</v>
      </c>
      <c r="K1208" s="87"/>
      <c r="L1208" s="87"/>
    </row>
    <row r="1209" spans="1:12" ht="15" x14ac:dyDescent="0.25">
      <c r="A1209" t="s">
        <v>21095</v>
      </c>
      <c r="B1209" t="s">
        <v>16664</v>
      </c>
      <c r="C1209" t="s">
        <v>16665</v>
      </c>
      <c r="D1209" t="s">
        <v>16666</v>
      </c>
      <c r="E1209">
        <v>421</v>
      </c>
      <c r="F1209" t="s">
        <v>16667</v>
      </c>
      <c r="G1209" t="s">
        <v>6578</v>
      </c>
      <c r="H1209" t="str">
        <f t="shared" si="36"/>
        <v>Worth421Grapevine</v>
      </c>
      <c r="I1209" t="str">
        <f t="shared" si="37"/>
        <v>Worth</v>
      </c>
      <c r="J1209" s="82" t="str">
        <f>IFERROR(INDEX('All Folders'!$A:$A,MATCH(H1209,'All Folders'!$G:$G,0),1),"¶")</f>
        <v>SP145</v>
      </c>
      <c r="K1209" s="87"/>
      <c r="L1209" s="87"/>
    </row>
    <row r="1210" spans="1:12" ht="15" x14ac:dyDescent="0.25">
      <c r="A1210" t="s">
        <v>21096</v>
      </c>
      <c r="B1210" t="s">
        <v>16668</v>
      </c>
      <c r="C1210" t="s">
        <v>16669</v>
      </c>
      <c r="D1210" t="s">
        <v>16670</v>
      </c>
      <c r="E1210">
        <v>2913</v>
      </c>
      <c r="F1210" t="s">
        <v>16671</v>
      </c>
      <c r="G1210" t="s">
        <v>6578</v>
      </c>
      <c r="H1210" t="str">
        <f t="shared" si="36"/>
        <v>Mustang2913Grapevine</v>
      </c>
      <c r="I1210" t="str">
        <f t="shared" si="37"/>
        <v>Mustang</v>
      </c>
      <c r="J1210" s="82">
        <f>IFERROR(INDEX('All Folders'!$A:$A,MATCH(H1210,'All Folders'!$G:$G,0),1),"¶")</f>
        <v>15353</v>
      </c>
      <c r="K1210" s="87"/>
      <c r="L1210" s="87"/>
    </row>
    <row r="1211" spans="1:12" ht="15" x14ac:dyDescent="0.25">
      <c r="A1211" t="s">
        <v>21097</v>
      </c>
      <c r="B1211" t="s">
        <v>16672</v>
      </c>
      <c r="C1211" t="s">
        <v>16673</v>
      </c>
      <c r="D1211" t="s">
        <v>16674</v>
      </c>
      <c r="E1211">
        <v>601</v>
      </c>
      <c r="F1211" t="s">
        <v>16675</v>
      </c>
      <c r="G1211" t="s">
        <v>6578</v>
      </c>
      <c r="H1211" t="str">
        <f t="shared" si="36"/>
        <v>Park601Grapevine</v>
      </c>
      <c r="I1211" t="str">
        <f t="shared" si="37"/>
        <v>Park</v>
      </c>
      <c r="J1211" s="82">
        <f>IFERROR(INDEX('All Folders'!$A:$A,MATCH(H1211,'All Folders'!$G:$G,0),1),"¶")</f>
        <v>14440</v>
      </c>
      <c r="K1211" s="87"/>
      <c r="L1211" s="87"/>
    </row>
    <row r="1212" spans="1:12" ht="15" x14ac:dyDescent="0.25">
      <c r="A1212" t="s">
        <v>21098</v>
      </c>
      <c r="B1212" t="s">
        <v>16676</v>
      </c>
      <c r="C1212" t="s">
        <v>16677</v>
      </c>
      <c r="D1212" t="s">
        <v>16670</v>
      </c>
      <c r="E1212">
        <v>3037</v>
      </c>
      <c r="F1212" t="s">
        <v>8058</v>
      </c>
      <c r="G1212" t="s">
        <v>6578</v>
      </c>
      <c r="H1212" t="str">
        <f t="shared" si="36"/>
        <v>Mustang3037Grapevine</v>
      </c>
      <c r="I1212" t="str">
        <f t="shared" si="37"/>
        <v>Mustang</v>
      </c>
      <c r="J1212" s="82">
        <f>IFERROR(INDEX('All Folders'!$A:$A,MATCH(H1212,'All Folders'!$G:$G,0),1),"¶")</f>
        <v>15594</v>
      </c>
      <c r="K1212" s="87"/>
      <c r="L1212" s="87"/>
    </row>
    <row r="1213" spans="1:12" ht="15" x14ac:dyDescent="0.25">
      <c r="A1213" t="s">
        <v>21099</v>
      </c>
      <c r="B1213" t="s">
        <v>16678</v>
      </c>
      <c r="C1213" t="s">
        <v>16679</v>
      </c>
      <c r="D1213" t="s">
        <v>16670</v>
      </c>
      <c r="E1213">
        <v>2805</v>
      </c>
      <c r="F1213" t="s">
        <v>5391</v>
      </c>
      <c r="G1213" t="s">
        <v>6578</v>
      </c>
      <c r="H1213" t="str">
        <f t="shared" si="36"/>
        <v>Mustang2805Grapevine</v>
      </c>
      <c r="I1213" t="str">
        <f t="shared" si="37"/>
        <v>Mustang</v>
      </c>
      <c r="J1213" s="82">
        <f>IFERROR(INDEX('All Folders'!$A:$A,MATCH(H1213,'All Folders'!$G:$G,0),1),"¶")</f>
        <v>15599</v>
      </c>
      <c r="K1213" s="87"/>
      <c r="L1213" s="87"/>
    </row>
    <row r="1214" spans="1:12" ht="15" x14ac:dyDescent="0.25">
      <c r="A1214" t="s">
        <v>21100</v>
      </c>
      <c r="B1214" t="s">
        <v>16680</v>
      </c>
      <c r="C1214" t="s">
        <v>16681</v>
      </c>
      <c r="D1214" t="s">
        <v>16670</v>
      </c>
      <c r="E1214">
        <v>3101</v>
      </c>
      <c r="F1214" t="s">
        <v>16682</v>
      </c>
      <c r="G1214" t="s">
        <v>6578</v>
      </c>
      <c r="H1214" t="str">
        <f t="shared" si="36"/>
        <v>Mustang3101Grapevine</v>
      </c>
      <c r="I1214" t="str">
        <f t="shared" si="37"/>
        <v>Mustang</v>
      </c>
      <c r="J1214" s="82">
        <f>IFERROR(INDEX('All Folders'!$A:$A,MATCH(H1214,'All Folders'!$G:$G,0),1),"¶")</f>
        <v>18561</v>
      </c>
      <c r="K1214" s="87"/>
      <c r="L1214" s="87"/>
    </row>
    <row r="1215" spans="1:12" ht="15" x14ac:dyDescent="0.25">
      <c r="A1215" t="s">
        <v>21101</v>
      </c>
      <c r="B1215" t="s">
        <v>16683</v>
      </c>
      <c r="C1215" t="s">
        <v>16684</v>
      </c>
      <c r="D1215" t="s">
        <v>16685</v>
      </c>
      <c r="E1215">
        <v>6775</v>
      </c>
      <c r="F1215" t="s">
        <v>11604</v>
      </c>
      <c r="G1215" t="s">
        <v>8626</v>
      </c>
      <c r="H1215" t="str">
        <f t="shared" si="36"/>
        <v>Jack6775Greenville</v>
      </c>
      <c r="I1215" t="str">
        <f t="shared" si="37"/>
        <v>Jack</v>
      </c>
      <c r="J1215" s="82">
        <f>IFERROR(INDEX('All Folders'!$A:$A,MATCH(H1215,'All Folders'!$G:$G,0),1),"¶")</f>
        <v>30178</v>
      </c>
      <c r="K1215" s="87"/>
      <c r="L1215" s="87"/>
    </row>
    <row r="1216" spans="1:12" ht="15" x14ac:dyDescent="0.25">
      <c r="A1216" t="s">
        <v>21102</v>
      </c>
      <c r="B1216" t="s">
        <v>16686</v>
      </c>
      <c r="C1216" t="s">
        <v>16687</v>
      </c>
      <c r="D1216" t="s">
        <v>16685</v>
      </c>
      <c r="E1216">
        <v>6115</v>
      </c>
      <c r="F1216" t="s">
        <v>16688</v>
      </c>
      <c r="G1216" t="s">
        <v>8626</v>
      </c>
      <c r="H1216" t="str">
        <f t="shared" si="36"/>
        <v>Jack6115Greenville</v>
      </c>
      <c r="I1216" t="str">
        <f t="shared" si="37"/>
        <v>Jack</v>
      </c>
      <c r="J1216" s="82">
        <f>IFERROR(INDEX('All Folders'!$A:$A,MATCH(H1216,'All Folders'!$G:$G,0),1),"¶")</f>
        <v>30179</v>
      </c>
      <c r="K1216" s="87"/>
      <c r="L1216" s="87"/>
    </row>
    <row r="1217" spans="1:12" ht="15" x14ac:dyDescent="0.25">
      <c r="A1217" t="s">
        <v>21103</v>
      </c>
      <c r="B1217" t="s">
        <v>16689</v>
      </c>
      <c r="C1217" t="s">
        <v>16690</v>
      </c>
      <c r="D1217" t="s">
        <v>16691</v>
      </c>
      <c r="E1217">
        <v>5015</v>
      </c>
      <c r="F1217" t="s">
        <v>16692</v>
      </c>
      <c r="G1217" t="s">
        <v>8626</v>
      </c>
      <c r="H1217" t="str">
        <f t="shared" si="36"/>
        <v>Joe5015Greenville</v>
      </c>
      <c r="I1217" t="str">
        <f t="shared" si="37"/>
        <v>Joe</v>
      </c>
      <c r="J1217" s="82">
        <f>IFERROR(INDEX('All Folders'!$A:$A,MATCH(H1217,'All Folders'!$G:$G,0),1),"¶")</f>
        <v>30180</v>
      </c>
      <c r="K1217" s="87"/>
      <c r="L1217" s="87"/>
    </row>
    <row r="1218" spans="1:12" ht="15" x14ac:dyDescent="0.25">
      <c r="A1218" t="s">
        <v>21104</v>
      </c>
      <c r="B1218" t="s">
        <v>16693</v>
      </c>
      <c r="C1218" t="s">
        <v>16694</v>
      </c>
      <c r="D1218" t="s">
        <v>16695</v>
      </c>
      <c r="E1218">
        <v>2650</v>
      </c>
      <c r="F1218" t="s">
        <v>11600</v>
      </c>
      <c r="G1218" t="s">
        <v>8626</v>
      </c>
      <c r="H1218" t="str">
        <f t="shared" ref="H1218:H1281" si="38">I1218&amp;E1218&amp;G1218</f>
        <v>Anderson2650Greenville</v>
      </c>
      <c r="I1218" t="str">
        <f t="shared" ref="I1218:I1281" si="39">IFERROR(LEFT(D1218,FIND(" ",D1218)-1),D1218)</f>
        <v>Anderson</v>
      </c>
      <c r="J1218" s="82">
        <f>IFERROR(INDEX('All Folders'!$A:$A,MATCH(H1218,'All Folders'!$G:$G,0),1),"¶")</f>
        <v>30176</v>
      </c>
      <c r="K1218" s="87"/>
      <c r="L1218" s="87"/>
    </row>
    <row r="1219" spans="1:12" ht="15" x14ac:dyDescent="0.25">
      <c r="A1219" t="s">
        <v>21105</v>
      </c>
      <c r="B1219" t="s">
        <v>16696</v>
      </c>
      <c r="C1219" t="s">
        <v>16697</v>
      </c>
      <c r="D1219" t="s">
        <v>16698</v>
      </c>
      <c r="E1219">
        <v>6011</v>
      </c>
      <c r="F1219" t="s">
        <v>16699</v>
      </c>
      <c r="G1219" t="s">
        <v>8626</v>
      </c>
      <c r="H1219" t="str">
        <f t="shared" si="38"/>
        <v>306011Greenville</v>
      </c>
      <c r="I1219" t="str">
        <f t="shared" si="39"/>
        <v>30</v>
      </c>
      <c r="J1219" s="82">
        <f>IFERROR(INDEX('All Folders'!$A:$A,MATCH(H1219,'All Folders'!$G:$G,0),1),"¶")</f>
        <v>30177</v>
      </c>
      <c r="K1219" s="87"/>
      <c r="L1219" s="87"/>
    </row>
    <row r="1220" spans="1:12" ht="15" x14ac:dyDescent="0.25">
      <c r="A1220" t="s">
        <v>21106</v>
      </c>
      <c r="B1220" t="s">
        <v>16700</v>
      </c>
      <c r="C1220" t="s">
        <v>16701</v>
      </c>
      <c r="D1220" t="s">
        <v>16702</v>
      </c>
      <c r="E1220">
        <v>4701</v>
      </c>
      <c r="F1220" t="s">
        <v>16703</v>
      </c>
      <c r="G1220" t="s">
        <v>8626</v>
      </c>
      <c r="H1220" t="str">
        <f t="shared" si="38"/>
        <v>Sayle4701Greenville</v>
      </c>
      <c r="I1220" t="str">
        <f t="shared" si="39"/>
        <v>Sayle</v>
      </c>
      <c r="J1220" s="82">
        <f>IFERROR(INDEX('All Folders'!$A:$A,MATCH(H1220,'All Folders'!$G:$G,0),1),"¶")</f>
        <v>30183</v>
      </c>
      <c r="K1220" s="87"/>
      <c r="L1220" s="87"/>
    </row>
    <row r="1221" spans="1:12" ht="15" x14ac:dyDescent="0.25">
      <c r="A1221" t="s">
        <v>21107</v>
      </c>
      <c r="B1221" t="s">
        <v>16704</v>
      </c>
      <c r="C1221" t="s">
        <v>16705</v>
      </c>
      <c r="D1221" t="s">
        <v>16706</v>
      </c>
      <c r="E1221">
        <v>6002</v>
      </c>
      <c r="F1221" t="s">
        <v>16707</v>
      </c>
      <c r="G1221" t="s">
        <v>8626</v>
      </c>
      <c r="H1221" t="str">
        <f t="shared" si="38"/>
        <v>Stonewall6002Greenville</v>
      </c>
      <c r="I1221" t="str">
        <f t="shared" si="39"/>
        <v>Stonewall</v>
      </c>
      <c r="J1221" s="82">
        <f>IFERROR(INDEX('All Folders'!$A:$A,MATCH(H1221,'All Folders'!$G:$G,0),1),"¶")</f>
        <v>30184</v>
      </c>
      <c r="K1221" s="87"/>
      <c r="L1221" s="87"/>
    </row>
    <row r="1222" spans="1:12" ht="15" x14ac:dyDescent="0.25">
      <c r="A1222" t="s">
        <v>21108</v>
      </c>
      <c r="B1222" t="s">
        <v>16708</v>
      </c>
      <c r="C1222" t="s">
        <v>16709</v>
      </c>
      <c r="D1222" t="s">
        <v>16710</v>
      </c>
      <c r="E1222">
        <v>4701</v>
      </c>
      <c r="F1222" t="s">
        <v>16711</v>
      </c>
      <c r="G1222" t="s">
        <v>8626</v>
      </c>
      <c r="H1222" t="str">
        <f t="shared" si="38"/>
        <v>Moulton4701Greenville</v>
      </c>
      <c r="I1222" t="str">
        <f t="shared" si="39"/>
        <v>Moulton</v>
      </c>
      <c r="J1222" s="82">
        <f>IFERROR(INDEX('All Folders'!$A:$A,MATCH(H1222,'All Folders'!$G:$G,0),1),"¶")</f>
        <v>30181</v>
      </c>
      <c r="K1222" s="87"/>
      <c r="L1222" s="87"/>
    </row>
    <row r="1223" spans="1:12" ht="15" x14ac:dyDescent="0.25">
      <c r="A1223" t="s">
        <v>21109</v>
      </c>
      <c r="B1223" t="s">
        <v>16712</v>
      </c>
      <c r="C1223" t="s">
        <v>16713</v>
      </c>
      <c r="D1223" t="s">
        <v>16714</v>
      </c>
      <c r="E1223">
        <v>5305</v>
      </c>
      <c r="F1223" t="s">
        <v>852</v>
      </c>
      <c r="G1223" t="s">
        <v>12314</v>
      </c>
      <c r="H1223" t="str">
        <f t="shared" si="38"/>
        <v>Gulfway5305Groves</v>
      </c>
      <c r="I1223" t="str">
        <f t="shared" si="39"/>
        <v>Gulfway</v>
      </c>
      <c r="J1223" s="82">
        <f>IFERROR(INDEX('All Folders'!$A:$A,MATCH(H1223,'All Folders'!$G:$G,0),1),"¶")</f>
        <v>30685</v>
      </c>
      <c r="K1223" s="87"/>
      <c r="L1223" s="87"/>
    </row>
    <row r="1224" spans="1:12" ht="15" x14ac:dyDescent="0.25">
      <c r="A1224" t="s">
        <v>21110</v>
      </c>
      <c r="B1224" t="s">
        <v>16715</v>
      </c>
      <c r="C1224" t="s">
        <v>16716</v>
      </c>
      <c r="D1224" t="s">
        <v>16714</v>
      </c>
      <c r="E1224">
        <v>5401</v>
      </c>
      <c r="F1224" t="s">
        <v>16717</v>
      </c>
      <c r="G1224" t="s">
        <v>12314</v>
      </c>
      <c r="H1224" t="str">
        <f t="shared" si="38"/>
        <v>Gulfway5401Groves</v>
      </c>
      <c r="I1224" t="str">
        <f t="shared" si="39"/>
        <v>Gulfway</v>
      </c>
      <c r="J1224" s="82">
        <f>IFERROR(INDEX('All Folders'!$A:$A,MATCH(H1224,'All Folders'!$G:$G,0),1),"¶")</f>
        <v>30687</v>
      </c>
      <c r="K1224" s="87"/>
      <c r="L1224" s="87"/>
    </row>
    <row r="1225" spans="1:12" ht="15" x14ac:dyDescent="0.25">
      <c r="A1225" t="s">
        <v>21111</v>
      </c>
      <c r="B1225" t="s">
        <v>16718</v>
      </c>
      <c r="C1225" t="s">
        <v>16719</v>
      </c>
      <c r="D1225" t="s">
        <v>8004</v>
      </c>
      <c r="E1225">
        <v>3001</v>
      </c>
      <c r="F1225" t="s">
        <v>8004</v>
      </c>
      <c r="G1225" t="s">
        <v>6581</v>
      </c>
      <c r="H1225" t="str">
        <f t="shared" si="38"/>
        <v>Jane3001Haltom City</v>
      </c>
      <c r="I1225" t="str">
        <f t="shared" si="39"/>
        <v>Jane</v>
      </c>
      <c r="J1225" s="82">
        <f>IFERROR(INDEX('All Folders'!$A:$A,MATCH(H1225,'All Folders'!$G:$G,0),1),"¶")</f>
        <v>15551</v>
      </c>
      <c r="K1225" s="87"/>
      <c r="L1225" s="87"/>
    </row>
    <row r="1226" spans="1:12" ht="15" x14ac:dyDescent="0.25">
      <c r="A1226" t="s">
        <v>21112</v>
      </c>
      <c r="B1226" t="s">
        <v>16720</v>
      </c>
      <c r="C1226" t="s">
        <v>16721</v>
      </c>
      <c r="D1226" t="s">
        <v>16722</v>
      </c>
      <c r="E1226">
        <v>3501</v>
      </c>
      <c r="F1226" t="s">
        <v>8186</v>
      </c>
      <c r="G1226" t="s">
        <v>6581</v>
      </c>
      <c r="H1226" t="str">
        <f t="shared" si="38"/>
        <v>Hills3501Haltom City</v>
      </c>
      <c r="I1226" t="str">
        <f t="shared" si="39"/>
        <v>Hills</v>
      </c>
      <c r="J1226" s="82">
        <f>IFERROR(INDEX('All Folders'!$A:$A,MATCH(H1226,'All Folders'!$G:$G,0),1),"¶")</f>
        <v>15709</v>
      </c>
      <c r="K1226" s="87"/>
      <c r="L1226" s="87"/>
    </row>
    <row r="1227" spans="1:12" ht="15" x14ac:dyDescent="0.25">
      <c r="A1227" t="s">
        <v>21113</v>
      </c>
      <c r="B1227" t="s">
        <v>16723</v>
      </c>
      <c r="C1227" t="s">
        <v>16724</v>
      </c>
      <c r="D1227" t="s">
        <v>16725</v>
      </c>
      <c r="E1227">
        <v>5201</v>
      </c>
      <c r="F1227" t="s">
        <v>16726</v>
      </c>
      <c r="G1227" t="s">
        <v>6581</v>
      </c>
      <c r="H1227" t="str">
        <f t="shared" si="38"/>
        <v>Springlake5201Haltom City</v>
      </c>
      <c r="I1227" t="str">
        <f t="shared" si="39"/>
        <v>Springlake</v>
      </c>
      <c r="J1227" s="82">
        <f>IFERROR(INDEX('All Folders'!$A:$A,MATCH(H1227,'All Folders'!$G:$G,0),1),"¶")</f>
        <v>15445</v>
      </c>
      <c r="K1227" s="87"/>
      <c r="L1227" s="87"/>
    </row>
    <row r="1228" spans="1:12" ht="15" x14ac:dyDescent="0.25">
      <c r="A1228" t="s">
        <v>21114</v>
      </c>
      <c r="B1228" t="s">
        <v>16727</v>
      </c>
      <c r="C1228" t="s">
        <v>16728</v>
      </c>
      <c r="D1228" t="s">
        <v>16729</v>
      </c>
      <c r="E1228">
        <v>4816</v>
      </c>
      <c r="F1228" t="s">
        <v>16730</v>
      </c>
      <c r="G1228" t="s">
        <v>6581</v>
      </c>
      <c r="H1228" t="str">
        <f t="shared" si="38"/>
        <v>Waldemar4816Haltom City</v>
      </c>
      <c r="I1228" t="str">
        <f t="shared" si="39"/>
        <v>Waldemar</v>
      </c>
      <c r="J1228" s="82">
        <f>IFERROR(INDEX('All Folders'!$A:$A,MATCH(H1228,'All Folders'!$G:$G,0),1),"¶")</f>
        <v>30185</v>
      </c>
      <c r="K1228" s="87"/>
      <c r="L1228" s="87"/>
    </row>
    <row r="1229" spans="1:12" ht="15" x14ac:dyDescent="0.25">
      <c r="A1229" t="s">
        <v>21115</v>
      </c>
      <c r="B1229" t="s">
        <v>16731</v>
      </c>
      <c r="C1229" t="s">
        <v>16732</v>
      </c>
      <c r="D1229" t="s">
        <v>16733</v>
      </c>
      <c r="E1229">
        <v>201</v>
      </c>
      <c r="F1229" t="s">
        <v>16734</v>
      </c>
      <c r="G1229" t="s">
        <v>11785</v>
      </c>
      <c r="H1229" t="str">
        <f t="shared" si="38"/>
        <v>Lookout201Harker Heights</v>
      </c>
      <c r="I1229" t="str">
        <f t="shared" si="39"/>
        <v>Lookout</v>
      </c>
      <c r="J1229" s="82">
        <f>IFERROR(INDEX('All Folders'!$A:$A,MATCH(H1229,'All Folders'!$G:$G,0),1),"¶")</f>
        <v>30335</v>
      </c>
      <c r="K1229" s="87"/>
      <c r="L1229" s="87"/>
    </row>
    <row r="1230" spans="1:12" ht="15" x14ac:dyDescent="0.25">
      <c r="A1230" t="s">
        <v>21116</v>
      </c>
      <c r="B1230" t="s">
        <v>16735</v>
      </c>
      <c r="C1230" t="s">
        <v>16736</v>
      </c>
      <c r="D1230" t="s">
        <v>16737</v>
      </c>
      <c r="E1230" t="s">
        <v>12101</v>
      </c>
      <c r="F1230" t="s">
        <v>16738</v>
      </c>
      <c r="G1230" t="s">
        <v>12102</v>
      </c>
      <c r="H1230" t="str">
        <f t="shared" si="38"/>
        <v>Washington1802-1804Harlingen</v>
      </c>
      <c r="I1230" t="str">
        <f t="shared" si="39"/>
        <v>Washington</v>
      </c>
      <c r="J1230" s="82">
        <f>IFERROR(INDEX('All Folders'!$A:$A,MATCH(H1230,'All Folders'!$G:$G,0),1),"¶")</f>
        <v>30536</v>
      </c>
      <c r="K1230" s="87"/>
      <c r="L1230" s="87"/>
    </row>
    <row r="1231" spans="1:12" ht="15" x14ac:dyDescent="0.25">
      <c r="A1231" t="s">
        <v>21117</v>
      </c>
      <c r="B1231" t="s">
        <v>16739</v>
      </c>
      <c r="C1231" t="s">
        <v>16740</v>
      </c>
      <c r="D1231" t="s">
        <v>16741</v>
      </c>
      <c r="E1231">
        <v>902</v>
      </c>
      <c r="F1231" t="s">
        <v>1289</v>
      </c>
      <c r="G1231" t="s">
        <v>12102</v>
      </c>
      <c r="H1231" t="str">
        <f t="shared" si="38"/>
        <v>499902Harlingen</v>
      </c>
      <c r="I1231" t="str">
        <f t="shared" si="39"/>
        <v>499</v>
      </c>
      <c r="J1231" s="82">
        <f>IFERROR(INDEX('All Folders'!$A:$A,MATCH(H1231,'All Folders'!$G:$G,0),1),"¶")</f>
        <v>30540</v>
      </c>
      <c r="K1231" s="87"/>
      <c r="L1231" s="87"/>
    </row>
    <row r="1232" spans="1:12" ht="15" x14ac:dyDescent="0.25">
      <c r="A1232" t="s">
        <v>21118</v>
      </c>
      <c r="B1232" t="s">
        <v>16742</v>
      </c>
      <c r="C1232" t="s">
        <v>16743</v>
      </c>
      <c r="D1232" t="s">
        <v>11941</v>
      </c>
      <c r="E1232">
        <v>1501</v>
      </c>
      <c r="F1232" t="s">
        <v>16744</v>
      </c>
      <c r="G1232" t="s">
        <v>12102</v>
      </c>
      <c r="H1232" t="str">
        <f t="shared" si="38"/>
        <v>Sam1501Harlingen</v>
      </c>
      <c r="I1232" t="str">
        <f t="shared" si="39"/>
        <v>Sam</v>
      </c>
      <c r="J1232" s="82">
        <f>IFERROR(INDEX('All Folders'!$A:$A,MATCH(H1232,'All Folders'!$G:$G,0),1),"¶")</f>
        <v>30541</v>
      </c>
      <c r="K1232" s="87"/>
      <c r="L1232" s="87"/>
    </row>
    <row r="1233" spans="1:12" ht="15" x14ac:dyDescent="0.25">
      <c r="A1233" t="s">
        <v>21119</v>
      </c>
      <c r="B1233" t="s">
        <v>16745</v>
      </c>
      <c r="C1233" t="s">
        <v>16746</v>
      </c>
      <c r="D1233" t="s">
        <v>16747</v>
      </c>
      <c r="E1233">
        <v>2901</v>
      </c>
      <c r="F1233" t="s">
        <v>3554</v>
      </c>
      <c r="G1233" t="s">
        <v>12102</v>
      </c>
      <c r="H1233" t="str">
        <f t="shared" si="38"/>
        <v>Haine2901Harlingen</v>
      </c>
      <c r="I1233" t="str">
        <f t="shared" si="39"/>
        <v>Haine</v>
      </c>
      <c r="J1233" s="82">
        <f>IFERROR(INDEX('All Folders'!$A:$A,MATCH(H1233,'All Folders'!$G:$G,0),1),"¶")</f>
        <v>30538</v>
      </c>
      <c r="K1233" s="87"/>
      <c r="L1233" s="87"/>
    </row>
    <row r="1234" spans="1:12" ht="15" x14ac:dyDescent="0.25">
      <c r="A1234" t="s">
        <v>21120</v>
      </c>
      <c r="B1234" t="s">
        <v>16748</v>
      </c>
      <c r="C1234" t="s">
        <v>16749</v>
      </c>
      <c r="D1234" t="s">
        <v>16750</v>
      </c>
      <c r="E1234">
        <v>4402</v>
      </c>
      <c r="F1234" t="s">
        <v>16447</v>
      </c>
      <c r="G1234" t="s">
        <v>12102</v>
      </c>
      <c r="H1234" t="str">
        <f t="shared" si="38"/>
        <v>Glasscock4402Harlingen</v>
      </c>
      <c r="I1234" t="str">
        <f t="shared" si="39"/>
        <v>Glasscock</v>
      </c>
      <c r="J1234" s="82">
        <f>IFERROR(INDEX('All Folders'!$A:$A,MATCH(H1234,'All Folders'!$G:$G,0),1),"¶")</f>
        <v>30537</v>
      </c>
      <c r="K1234" s="87"/>
      <c r="L1234" s="87"/>
    </row>
    <row r="1235" spans="1:12" ht="15" x14ac:dyDescent="0.25">
      <c r="A1235" t="s">
        <v>21121</v>
      </c>
      <c r="B1235" t="s">
        <v>16751</v>
      </c>
      <c r="C1235" t="s">
        <v>16752</v>
      </c>
      <c r="D1235" t="s">
        <v>277</v>
      </c>
      <c r="E1235">
        <v>20502</v>
      </c>
      <c r="F1235" t="s">
        <v>16753</v>
      </c>
      <c r="G1235" t="s">
        <v>12102</v>
      </c>
      <c r="H1235" t="str">
        <f t="shared" si="38"/>
        <v>Oak20502Harlingen</v>
      </c>
      <c r="I1235" t="str">
        <f t="shared" si="39"/>
        <v>Oak</v>
      </c>
      <c r="J1235" s="82">
        <f>IFERROR(INDEX('All Folders'!$A:$A,MATCH(H1235,'All Folders'!$G:$G,0),1),"¶")</f>
        <v>30553</v>
      </c>
      <c r="K1235" s="87"/>
      <c r="L1235" s="87"/>
    </row>
    <row r="1236" spans="1:12" ht="15" x14ac:dyDescent="0.25">
      <c r="A1236" t="s">
        <v>21122</v>
      </c>
      <c r="B1236" t="s">
        <v>16754</v>
      </c>
      <c r="C1236" t="s">
        <v>16755</v>
      </c>
      <c r="D1236" t="s">
        <v>16756</v>
      </c>
      <c r="E1236">
        <v>1350</v>
      </c>
      <c r="F1236" t="s">
        <v>12451</v>
      </c>
      <c r="G1236" t="s">
        <v>4363</v>
      </c>
      <c r="H1236" t="str">
        <f t="shared" si="38"/>
        <v>Kelso1350Henderson</v>
      </c>
      <c r="I1236" t="str">
        <f t="shared" si="39"/>
        <v>Kelso</v>
      </c>
      <c r="J1236" s="82">
        <f>IFERROR(INDEX('All Folders'!$A:$A,MATCH(H1236,'All Folders'!$G:$G,0),1),"¶")</f>
        <v>30763</v>
      </c>
      <c r="K1236" s="87"/>
      <c r="L1236" s="87"/>
    </row>
    <row r="1237" spans="1:12" ht="15" x14ac:dyDescent="0.25">
      <c r="A1237" t="s">
        <v>21123</v>
      </c>
      <c r="B1237" t="s">
        <v>16757</v>
      </c>
      <c r="C1237" t="s">
        <v>16758</v>
      </c>
      <c r="D1237" t="s">
        <v>16759</v>
      </c>
      <c r="E1237">
        <v>900</v>
      </c>
      <c r="F1237" t="s">
        <v>11891</v>
      </c>
      <c r="G1237" t="s">
        <v>4363</v>
      </c>
      <c r="H1237" t="str">
        <f t="shared" si="38"/>
        <v>Fordall900Henderson</v>
      </c>
      <c r="I1237" t="str">
        <f t="shared" si="39"/>
        <v>Fordall</v>
      </c>
      <c r="J1237" s="82">
        <f>IFERROR(INDEX('All Folders'!$A:$A,MATCH(H1237,'All Folders'!$G:$G,0),1),"¶")</f>
        <v>30389</v>
      </c>
      <c r="K1237" s="87"/>
      <c r="L1237" s="87"/>
    </row>
    <row r="1238" spans="1:12" ht="15" x14ac:dyDescent="0.25">
      <c r="A1238" t="s">
        <v>21124</v>
      </c>
      <c r="B1238" t="s">
        <v>16760</v>
      </c>
      <c r="C1238" t="s">
        <v>16761</v>
      </c>
      <c r="D1238" t="s">
        <v>16762</v>
      </c>
      <c r="E1238">
        <v>123</v>
      </c>
      <c r="F1238" t="s">
        <v>16763</v>
      </c>
      <c r="G1238" t="s">
        <v>1657</v>
      </c>
      <c r="H1238" t="str">
        <f t="shared" si="38"/>
        <v>Houston123Houston</v>
      </c>
      <c r="I1238" t="str">
        <f t="shared" si="39"/>
        <v>Houston</v>
      </c>
      <c r="J1238" s="82">
        <f>IFERROR(INDEX('All Folders'!$A:$A,MATCH(H1238,'All Folders'!$G:$G,0),1),"¶")</f>
        <v>30493</v>
      </c>
      <c r="K1238" s="87"/>
      <c r="L1238" s="87"/>
    </row>
    <row r="1239" spans="1:12" ht="15" x14ac:dyDescent="0.25">
      <c r="A1239" t="s">
        <v>21125</v>
      </c>
      <c r="B1239" t="s">
        <v>16764</v>
      </c>
      <c r="C1239" t="s">
        <v>16765</v>
      </c>
      <c r="D1239" t="s">
        <v>16766</v>
      </c>
      <c r="E1239">
        <v>12261</v>
      </c>
      <c r="F1239" t="s">
        <v>16767</v>
      </c>
      <c r="G1239" t="s">
        <v>1657</v>
      </c>
      <c r="H1239" t="str">
        <f t="shared" si="38"/>
        <v>Fondren12261Houston</v>
      </c>
      <c r="I1239" t="str">
        <f t="shared" si="39"/>
        <v>Fondren</v>
      </c>
      <c r="J1239" s="82">
        <f>IFERROR(INDEX('All Folders'!$A:$A,MATCH(H1239,'All Folders'!$G:$G,0),1),"¶")</f>
        <v>3889</v>
      </c>
      <c r="K1239" s="87"/>
      <c r="L1239" s="87"/>
    </row>
    <row r="1240" spans="1:12" ht="15" x14ac:dyDescent="0.25">
      <c r="A1240" t="s">
        <v>21126</v>
      </c>
      <c r="B1240" t="s">
        <v>16768</v>
      </c>
      <c r="C1240" t="s">
        <v>16769</v>
      </c>
      <c r="D1240" t="s">
        <v>16770</v>
      </c>
      <c r="E1240">
        <v>3660</v>
      </c>
      <c r="F1240" t="s">
        <v>16771</v>
      </c>
      <c r="G1240" t="s">
        <v>1657</v>
      </c>
      <c r="H1240" t="str">
        <f t="shared" si="38"/>
        <v>Richmond3660Houston</v>
      </c>
      <c r="I1240" t="str">
        <f t="shared" si="39"/>
        <v>Richmond</v>
      </c>
      <c r="J1240" s="82">
        <f>IFERROR(INDEX('All Folders'!$A:$A,MATCH(H1240,'All Folders'!$G:$G,0),1),"¶")</f>
        <v>17187</v>
      </c>
      <c r="K1240" s="87"/>
      <c r="L1240" s="87"/>
    </row>
    <row r="1241" spans="1:12" ht="15" x14ac:dyDescent="0.25">
      <c r="A1241" t="s">
        <v>21127</v>
      </c>
      <c r="B1241" t="s">
        <v>16772</v>
      </c>
      <c r="C1241" t="s">
        <v>16773</v>
      </c>
      <c r="D1241" t="s">
        <v>16774</v>
      </c>
      <c r="E1241">
        <v>8721</v>
      </c>
      <c r="F1241" t="s">
        <v>3479</v>
      </c>
      <c r="G1241" t="s">
        <v>1657</v>
      </c>
      <c r="H1241" t="str">
        <f t="shared" si="38"/>
        <v>Town8721Houston</v>
      </c>
      <c r="I1241" t="str">
        <f t="shared" si="39"/>
        <v>Town</v>
      </c>
      <c r="J1241" s="82">
        <f>IFERROR(INDEX('All Folders'!$A:$A,MATCH(H1241,'All Folders'!$G:$G,0),1),"¶")</f>
        <v>30500</v>
      </c>
      <c r="K1241" s="87"/>
      <c r="L1241" s="87"/>
    </row>
    <row r="1242" spans="1:12" ht="15" x14ac:dyDescent="0.25">
      <c r="A1242" t="s">
        <v>21128</v>
      </c>
      <c r="B1242" t="s">
        <v>16775</v>
      </c>
      <c r="C1242" t="s">
        <v>16776</v>
      </c>
      <c r="D1242" t="s">
        <v>16777</v>
      </c>
      <c r="E1242">
        <v>6434</v>
      </c>
      <c r="F1242" t="s">
        <v>16778</v>
      </c>
      <c r="G1242" t="s">
        <v>1657</v>
      </c>
      <c r="H1242" t="str">
        <f t="shared" si="38"/>
        <v>Ella6434Houston</v>
      </c>
      <c r="I1242" t="str">
        <f t="shared" si="39"/>
        <v>Ella</v>
      </c>
      <c r="J1242" s="82">
        <f>IFERROR(INDEX('All Folders'!$A:$A,MATCH(H1242,'All Folders'!$G:$G,0),1),"¶")</f>
        <v>2242</v>
      </c>
      <c r="K1242" s="87"/>
      <c r="L1242" s="87"/>
    </row>
    <row r="1243" spans="1:12" ht="15" x14ac:dyDescent="0.25">
      <c r="A1243" t="s">
        <v>21129</v>
      </c>
      <c r="B1243" t="s">
        <v>16779</v>
      </c>
      <c r="C1243" t="s">
        <v>16780</v>
      </c>
      <c r="D1243" t="s">
        <v>16781</v>
      </c>
      <c r="E1243">
        <v>7</v>
      </c>
      <c r="F1243" t="s">
        <v>9298</v>
      </c>
      <c r="G1243" t="s">
        <v>1657</v>
      </c>
      <c r="H1243" t="str">
        <f t="shared" si="38"/>
        <v>Riverway7Houston</v>
      </c>
      <c r="I1243" t="str">
        <f t="shared" si="39"/>
        <v>Riverway</v>
      </c>
      <c r="J1243" s="82">
        <f>IFERROR(INDEX('All Folders'!$A:$A,MATCH(H1243,'All Folders'!$G:$G,0),1),"¶")</f>
        <v>17073</v>
      </c>
      <c r="K1243" s="87"/>
      <c r="L1243" s="87"/>
    </row>
    <row r="1244" spans="1:12" ht="15" x14ac:dyDescent="0.25">
      <c r="A1244" t="s">
        <v>21130</v>
      </c>
      <c r="B1244" t="s">
        <v>16782</v>
      </c>
      <c r="C1244" t="s">
        <v>16783</v>
      </c>
      <c r="D1244" t="s">
        <v>16784</v>
      </c>
      <c r="E1244">
        <v>6777</v>
      </c>
      <c r="F1244" t="s">
        <v>9924</v>
      </c>
      <c r="G1244" t="s">
        <v>1657</v>
      </c>
      <c r="H1244" t="str">
        <f t="shared" si="38"/>
        <v>Sommerall6777Houston</v>
      </c>
      <c r="I1244" t="str">
        <f t="shared" si="39"/>
        <v>Sommerall</v>
      </c>
      <c r="J1244" s="82">
        <f>IFERROR(INDEX('All Folders'!$A:$A,MATCH(H1244,'All Folders'!$G:$G,0),1),"¶")</f>
        <v>17598</v>
      </c>
      <c r="K1244" s="87"/>
      <c r="L1244" s="87"/>
    </row>
    <row r="1245" spans="1:12" ht="15" x14ac:dyDescent="0.25">
      <c r="A1245" t="s">
        <v>21131</v>
      </c>
      <c r="B1245" t="s">
        <v>16785</v>
      </c>
      <c r="C1245" t="s">
        <v>16786</v>
      </c>
      <c r="D1245" t="s">
        <v>16770</v>
      </c>
      <c r="E1245">
        <v>2300</v>
      </c>
      <c r="F1245" t="s">
        <v>9594</v>
      </c>
      <c r="G1245" t="s">
        <v>1657</v>
      </c>
      <c r="H1245" t="str">
        <f t="shared" si="38"/>
        <v>Richmond2300Houston</v>
      </c>
      <c r="I1245" t="str">
        <f t="shared" si="39"/>
        <v>Richmond</v>
      </c>
      <c r="J1245" s="82">
        <f>IFERROR(INDEX('All Folders'!$A:$A,MATCH(H1245,'All Folders'!$G:$G,0),1),"¶")</f>
        <v>17343</v>
      </c>
      <c r="K1245" s="87"/>
      <c r="L1245" s="87"/>
    </row>
    <row r="1246" spans="1:12" ht="15" x14ac:dyDescent="0.25">
      <c r="A1246" t="s">
        <v>21132</v>
      </c>
      <c r="B1246" t="s">
        <v>16787</v>
      </c>
      <c r="C1246" t="s">
        <v>16788</v>
      </c>
      <c r="D1246" t="s">
        <v>16789</v>
      </c>
      <c r="E1246">
        <v>5555</v>
      </c>
      <c r="F1246" t="s">
        <v>16789</v>
      </c>
      <c r="G1246" t="s">
        <v>1657</v>
      </c>
      <c r="H1246" t="str">
        <f t="shared" si="38"/>
        <v>Antoine5555Houston</v>
      </c>
      <c r="I1246" t="str">
        <f t="shared" si="39"/>
        <v>Antoine</v>
      </c>
      <c r="J1246" s="82">
        <f>IFERROR(INDEX('All Folders'!$A:$A,MATCH(H1246,'All Folders'!$G:$G,0),1),"¶")</f>
        <v>1769</v>
      </c>
      <c r="K1246" s="87"/>
      <c r="L1246" s="87"/>
    </row>
    <row r="1247" spans="1:12" ht="15" x14ac:dyDescent="0.25">
      <c r="A1247" t="s">
        <v>21133</v>
      </c>
      <c r="B1247" t="s">
        <v>16790</v>
      </c>
      <c r="C1247" t="s">
        <v>16791</v>
      </c>
      <c r="D1247" t="s">
        <v>16792</v>
      </c>
      <c r="E1247">
        <v>22921</v>
      </c>
      <c r="F1247" t="s">
        <v>1728</v>
      </c>
      <c r="G1247" t="s">
        <v>1657</v>
      </c>
      <c r="H1247" t="str">
        <f t="shared" si="38"/>
        <v>Imperial22921Houston</v>
      </c>
      <c r="I1247" t="str">
        <f t="shared" si="39"/>
        <v>Imperial</v>
      </c>
      <c r="J1247" s="82">
        <f>IFERROR(INDEX('All Folders'!$A:$A,MATCH(H1247,'All Folders'!$G:$G,0),1),"¶")</f>
        <v>1296</v>
      </c>
      <c r="K1247" s="87"/>
      <c r="L1247" s="87"/>
    </row>
    <row r="1248" spans="1:12" ht="15" x14ac:dyDescent="0.25">
      <c r="A1248" t="s">
        <v>21134</v>
      </c>
      <c r="B1248" t="s">
        <v>16793</v>
      </c>
      <c r="C1248" t="s">
        <v>16794</v>
      </c>
      <c r="D1248" t="s">
        <v>16795</v>
      </c>
      <c r="E1248">
        <v>2700</v>
      </c>
      <c r="F1248" t="s">
        <v>16796</v>
      </c>
      <c r="G1248" t="s">
        <v>1657</v>
      </c>
      <c r="H1248" t="str">
        <f t="shared" si="38"/>
        <v>Dairy2700Houston</v>
      </c>
      <c r="I1248" t="str">
        <f t="shared" si="39"/>
        <v>Dairy</v>
      </c>
      <c r="J1248" s="82">
        <f>IFERROR(INDEX('All Folders'!$A:$A,MATCH(H1248,'All Folders'!$G:$G,0),1),"¶")</f>
        <v>2142</v>
      </c>
      <c r="K1248" s="87"/>
      <c r="L1248" s="87"/>
    </row>
    <row r="1249" spans="1:12" ht="15" x14ac:dyDescent="0.25">
      <c r="A1249" t="s">
        <v>21135</v>
      </c>
      <c r="B1249" t="s">
        <v>16797</v>
      </c>
      <c r="C1249" t="s">
        <v>16798</v>
      </c>
      <c r="D1249" t="s">
        <v>16799</v>
      </c>
      <c r="E1249">
        <v>6330</v>
      </c>
      <c r="F1249" t="s">
        <v>2996</v>
      </c>
      <c r="G1249" t="s">
        <v>1657</v>
      </c>
      <c r="H1249" t="str">
        <f t="shared" si="38"/>
        <v>Windswept6330Houston</v>
      </c>
      <c r="I1249" t="str">
        <f t="shared" si="39"/>
        <v>Windswept</v>
      </c>
      <c r="J1249" s="82">
        <f>IFERROR(INDEX('All Folders'!$A:$A,MATCH(H1249,'All Folders'!$G:$G,0),1),"¶")</f>
        <v>2420</v>
      </c>
      <c r="K1249" s="87"/>
      <c r="L1249" s="87"/>
    </row>
    <row r="1250" spans="1:12" ht="15" x14ac:dyDescent="0.25">
      <c r="A1250" t="s">
        <v>21136</v>
      </c>
      <c r="B1250" t="s">
        <v>16800</v>
      </c>
      <c r="C1250" t="s">
        <v>16801</v>
      </c>
      <c r="D1250" t="s">
        <v>16802</v>
      </c>
      <c r="E1250">
        <v>13800</v>
      </c>
      <c r="F1250" t="s">
        <v>1911</v>
      </c>
      <c r="G1250" t="s">
        <v>1657</v>
      </c>
      <c r="H1250" t="str">
        <f t="shared" si="38"/>
        <v>Ella13800Houston</v>
      </c>
      <c r="I1250" t="str">
        <f t="shared" si="39"/>
        <v>Ella</v>
      </c>
      <c r="J1250" s="82">
        <f>IFERROR(INDEX('All Folders'!$A:$A,MATCH(H1250,'All Folders'!$G:$G,0),1),"¶")</f>
        <v>1419</v>
      </c>
      <c r="K1250" s="87"/>
      <c r="L1250" s="87"/>
    </row>
    <row r="1251" spans="1:12" ht="15" x14ac:dyDescent="0.25">
      <c r="A1251" t="s">
        <v>21137</v>
      </c>
      <c r="B1251" t="s">
        <v>16803</v>
      </c>
      <c r="C1251" t="s">
        <v>16804</v>
      </c>
      <c r="D1251" t="s">
        <v>16805</v>
      </c>
      <c r="E1251">
        <v>1500</v>
      </c>
      <c r="F1251" t="s">
        <v>2291</v>
      </c>
      <c r="G1251" t="s">
        <v>1657</v>
      </c>
      <c r="H1251" t="str">
        <f t="shared" si="38"/>
        <v>Witte1500Houston</v>
      </c>
      <c r="I1251" t="str">
        <f t="shared" si="39"/>
        <v>Witte</v>
      </c>
      <c r="J1251" s="82">
        <f>IFERROR(INDEX('All Folders'!$A:$A,MATCH(H1251,'All Folders'!$G:$G,0),1),"¶")</f>
        <v>1716</v>
      </c>
      <c r="K1251" s="87"/>
      <c r="L1251" s="87"/>
    </row>
    <row r="1252" spans="1:12" ht="15" x14ac:dyDescent="0.25">
      <c r="A1252" t="s">
        <v>21138</v>
      </c>
      <c r="B1252" t="s">
        <v>16806</v>
      </c>
      <c r="C1252" t="s">
        <v>16807</v>
      </c>
      <c r="D1252" t="s">
        <v>16808</v>
      </c>
      <c r="E1252">
        <v>7500</v>
      </c>
      <c r="F1252" t="s">
        <v>3531</v>
      </c>
      <c r="G1252" t="s">
        <v>1657</v>
      </c>
      <c r="H1252" t="str">
        <f t="shared" si="38"/>
        <v>Bissonnet7500Houston</v>
      </c>
      <c r="I1252" t="str">
        <f t="shared" si="39"/>
        <v>Bissonnet</v>
      </c>
      <c r="J1252" s="82">
        <f>IFERROR(INDEX('All Folders'!$A:$A,MATCH(H1252,'All Folders'!$G:$G,0),1),"¶")</f>
        <v>3172</v>
      </c>
      <c r="K1252" s="87"/>
      <c r="L1252" s="87"/>
    </row>
    <row r="1253" spans="1:12" ht="15" x14ac:dyDescent="0.25">
      <c r="A1253" t="s">
        <v>21139</v>
      </c>
      <c r="B1253" t="s">
        <v>16809</v>
      </c>
      <c r="C1253" t="s">
        <v>16810</v>
      </c>
      <c r="D1253" t="s">
        <v>16811</v>
      </c>
      <c r="E1253">
        <v>1111</v>
      </c>
      <c r="F1253" t="s">
        <v>2808</v>
      </c>
      <c r="G1253" t="s">
        <v>1657</v>
      </c>
      <c r="H1253" t="str">
        <f t="shared" si="38"/>
        <v>Blalock1111Houston</v>
      </c>
      <c r="I1253" t="str">
        <f t="shared" si="39"/>
        <v>Blalock</v>
      </c>
      <c r="J1253" s="82">
        <f>IFERROR(INDEX('All Folders'!$A:$A,MATCH(H1253,'All Folders'!$G:$G,0),1),"¶")</f>
        <v>2225</v>
      </c>
      <c r="K1253" s="87"/>
      <c r="L1253" s="87"/>
    </row>
    <row r="1254" spans="1:12" ht="15" x14ac:dyDescent="0.25">
      <c r="A1254" t="s">
        <v>21140</v>
      </c>
      <c r="B1254" t="s">
        <v>16812</v>
      </c>
      <c r="C1254" t="s">
        <v>16813</v>
      </c>
      <c r="D1254" t="s">
        <v>16766</v>
      </c>
      <c r="E1254">
        <v>9100</v>
      </c>
      <c r="F1254" t="s">
        <v>3534</v>
      </c>
      <c r="G1254" t="s">
        <v>1657</v>
      </c>
      <c r="H1254" t="str">
        <f t="shared" si="38"/>
        <v>Fondren9100Houston</v>
      </c>
      <c r="I1254" t="str">
        <f t="shared" si="39"/>
        <v>Fondren</v>
      </c>
      <c r="J1254" s="82">
        <f>IFERROR(INDEX('All Folders'!$A:$A,MATCH(H1254,'All Folders'!$G:$G,0),1),"¶")</f>
        <v>3175</v>
      </c>
      <c r="K1254" s="87"/>
      <c r="L1254" s="87"/>
    </row>
    <row r="1255" spans="1:12" ht="15" x14ac:dyDescent="0.25">
      <c r="A1255" t="s">
        <v>21141</v>
      </c>
      <c r="B1255" t="s">
        <v>16814</v>
      </c>
      <c r="C1255" t="s">
        <v>16815</v>
      </c>
      <c r="D1255" t="s">
        <v>16816</v>
      </c>
      <c r="E1255">
        <v>8800</v>
      </c>
      <c r="F1255" t="s">
        <v>3563</v>
      </c>
      <c r="G1255" t="s">
        <v>1657</v>
      </c>
      <c r="H1255" t="str">
        <f t="shared" si="38"/>
        <v>Braeswood8800Houston</v>
      </c>
      <c r="I1255" t="str">
        <f t="shared" si="39"/>
        <v>Braeswood</v>
      </c>
      <c r="J1255" s="82">
        <f>IFERROR(INDEX('All Folders'!$A:$A,MATCH(H1255,'All Folders'!$G:$G,0),1),"¶")</f>
        <v>3200</v>
      </c>
      <c r="K1255" s="87"/>
      <c r="L1255" s="87"/>
    </row>
    <row r="1256" spans="1:12" ht="15" x14ac:dyDescent="0.25">
      <c r="A1256" t="s">
        <v>21142</v>
      </c>
      <c r="B1256" t="s">
        <v>16817</v>
      </c>
      <c r="C1256" t="s">
        <v>16818</v>
      </c>
      <c r="D1256" t="s">
        <v>16819</v>
      </c>
      <c r="E1256">
        <v>13555</v>
      </c>
      <c r="F1256" t="s">
        <v>1897</v>
      </c>
      <c r="G1256" t="s">
        <v>1657</v>
      </c>
      <c r="H1256" t="str">
        <f t="shared" si="38"/>
        <v>Breton13555Houston</v>
      </c>
      <c r="I1256" t="str">
        <f t="shared" si="39"/>
        <v>Breton</v>
      </c>
      <c r="J1256" s="82">
        <f>IFERROR(INDEX('All Folders'!$A:$A,MATCH(H1256,'All Folders'!$G:$G,0),1),"¶")</f>
        <v>1409</v>
      </c>
      <c r="K1256" s="87"/>
      <c r="L1256" s="87"/>
    </row>
    <row r="1257" spans="1:12" ht="15" x14ac:dyDescent="0.25">
      <c r="A1257" t="s">
        <v>21143</v>
      </c>
      <c r="B1257" t="s">
        <v>16820</v>
      </c>
      <c r="C1257" t="s">
        <v>16821</v>
      </c>
      <c r="D1257" t="s">
        <v>16471</v>
      </c>
      <c r="E1257">
        <v>8751</v>
      </c>
      <c r="F1257" t="s">
        <v>16822</v>
      </c>
      <c r="G1257" t="s">
        <v>1657</v>
      </c>
      <c r="H1257" t="str">
        <f t="shared" si="38"/>
        <v>Broadway8751Houston</v>
      </c>
      <c r="I1257" t="str">
        <f t="shared" si="39"/>
        <v>Broadway</v>
      </c>
      <c r="J1257" s="82">
        <f>IFERROR(INDEX('All Folders'!$A:$A,MATCH(H1257,'All Folders'!$G:$G,0),1),"¶")</f>
        <v>3938</v>
      </c>
      <c r="K1257" s="87"/>
      <c r="L1257" s="87"/>
    </row>
    <row r="1258" spans="1:12" ht="15" x14ac:dyDescent="0.25">
      <c r="A1258" t="s">
        <v>21144</v>
      </c>
      <c r="B1258" t="s">
        <v>16823</v>
      </c>
      <c r="C1258" t="s">
        <v>16824</v>
      </c>
      <c r="D1258" t="s">
        <v>16825</v>
      </c>
      <c r="E1258">
        <v>7510</v>
      </c>
      <c r="F1258" t="s">
        <v>3717</v>
      </c>
      <c r="G1258" t="s">
        <v>1657</v>
      </c>
      <c r="H1258" t="str">
        <f t="shared" si="38"/>
        <v>Brompton7510Houston</v>
      </c>
      <c r="I1258" t="str">
        <f t="shared" si="39"/>
        <v>Brompton</v>
      </c>
      <c r="J1258" s="82">
        <f>IFERROR(INDEX('All Folders'!$A:$A,MATCH(H1258,'All Folders'!$G:$G,0),1),"¶")</f>
        <v>3371</v>
      </c>
      <c r="K1258" s="87"/>
      <c r="L1258" s="87"/>
    </row>
    <row r="1259" spans="1:12" ht="15" x14ac:dyDescent="0.25">
      <c r="A1259" t="s">
        <v>21145</v>
      </c>
      <c r="B1259" t="s">
        <v>16826</v>
      </c>
      <c r="C1259" t="s">
        <v>16827</v>
      </c>
      <c r="D1259" t="s">
        <v>1770</v>
      </c>
      <c r="E1259">
        <v>1601</v>
      </c>
      <c r="F1259" t="s">
        <v>1771</v>
      </c>
      <c r="G1259" t="s">
        <v>1657</v>
      </c>
      <c r="H1259" t="str">
        <f t="shared" si="38"/>
        <v>Wooded1601Houston</v>
      </c>
      <c r="I1259" t="str">
        <f t="shared" si="39"/>
        <v>Wooded</v>
      </c>
      <c r="J1259" s="82">
        <f>IFERROR(INDEX('All Folders'!$A:$A,MATCH(H1259,'All Folders'!$G:$G,0),1),"¶")</f>
        <v>1327</v>
      </c>
      <c r="K1259" s="87"/>
      <c r="L1259" s="87"/>
    </row>
    <row r="1260" spans="1:12" ht="15" x14ac:dyDescent="0.25">
      <c r="A1260" t="s">
        <v>21146</v>
      </c>
      <c r="B1260" t="s">
        <v>16828</v>
      </c>
      <c r="C1260" t="s">
        <v>16829</v>
      </c>
      <c r="D1260" t="s">
        <v>1719</v>
      </c>
      <c r="E1260">
        <v>100</v>
      </c>
      <c r="F1260" t="s">
        <v>16830</v>
      </c>
      <c r="G1260" t="s">
        <v>1657</v>
      </c>
      <c r="H1260" t="str">
        <f t="shared" si="38"/>
        <v>Hollow100Houston</v>
      </c>
      <c r="I1260" t="str">
        <f t="shared" si="39"/>
        <v>Hollow</v>
      </c>
      <c r="J1260" s="82">
        <f>IFERROR(INDEX('All Folders'!$A:$A,MATCH(H1260,'All Folders'!$G:$G,0),1),"¶")</f>
        <v>1317</v>
      </c>
      <c r="K1260" s="87"/>
      <c r="L1260" s="87"/>
    </row>
    <row r="1261" spans="1:12" ht="15" x14ac:dyDescent="0.25">
      <c r="A1261" t="s">
        <v>21150</v>
      </c>
      <c r="B1261" t="s">
        <v>16843</v>
      </c>
      <c r="C1261" t="s">
        <v>16844</v>
      </c>
      <c r="D1261" t="s">
        <v>2337</v>
      </c>
      <c r="E1261">
        <v>1207</v>
      </c>
      <c r="F1261" t="s">
        <v>2328</v>
      </c>
      <c r="G1261" t="s">
        <v>1657</v>
      </c>
      <c r="H1261" t="str">
        <f t="shared" si="38"/>
        <v>Cedar1207Houston</v>
      </c>
      <c r="I1261" t="str">
        <f t="shared" si="39"/>
        <v>Cedar</v>
      </c>
      <c r="J1261" s="82">
        <f>IFERROR(INDEX('All Folders'!$A:$A,MATCH(H1261,'All Folders'!$G:$G,0),1),"¶")</f>
        <v>30467</v>
      </c>
      <c r="K1261" s="87"/>
      <c r="L1261" s="87"/>
    </row>
    <row r="1262" spans="1:12" ht="15" x14ac:dyDescent="0.25">
      <c r="A1262" t="s">
        <v>21151</v>
      </c>
      <c r="B1262" t="s">
        <v>16845</v>
      </c>
      <c r="C1262" t="s">
        <v>16846</v>
      </c>
      <c r="D1262" t="s">
        <v>15687</v>
      </c>
      <c r="E1262">
        <v>4411</v>
      </c>
      <c r="F1262" t="s">
        <v>16847</v>
      </c>
      <c r="G1262" t="s">
        <v>1657</v>
      </c>
      <c r="H1262" t="str">
        <f t="shared" si="38"/>
        <v>Fulton4411Houston</v>
      </c>
      <c r="I1262" t="str">
        <f t="shared" si="39"/>
        <v>Fulton</v>
      </c>
      <c r="J1262" s="82">
        <f>IFERROR(INDEX('All Folders'!$A:$A,MATCH(H1262,'All Folders'!$G:$G,0),1),"¶")</f>
        <v>2002</v>
      </c>
      <c r="K1262" s="87"/>
      <c r="L1262" s="87"/>
    </row>
    <row r="1263" spans="1:12" ht="15" x14ac:dyDescent="0.25">
      <c r="A1263" t="s">
        <v>21152</v>
      </c>
      <c r="B1263" t="s">
        <v>16848</v>
      </c>
      <c r="C1263" t="s">
        <v>16849</v>
      </c>
      <c r="D1263" t="s">
        <v>15324</v>
      </c>
      <c r="E1263">
        <v>2100</v>
      </c>
      <c r="F1263" t="s">
        <v>12055</v>
      </c>
      <c r="G1263" t="s">
        <v>1657</v>
      </c>
      <c r="H1263" t="str">
        <f t="shared" si="38"/>
        <v>Travis2100Houston</v>
      </c>
      <c r="I1263" t="str">
        <f t="shared" si="39"/>
        <v>Travis</v>
      </c>
      <c r="J1263" s="82">
        <f>IFERROR(INDEX('All Folders'!$A:$A,MATCH(H1263,'All Folders'!$G:$G,0),1),"¶")</f>
        <v>30501</v>
      </c>
      <c r="K1263" s="87"/>
      <c r="L1263" s="87"/>
    </row>
    <row r="1264" spans="1:12" ht="15" x14ac:dyDescent="0.25">
      <c r="A1264" t="s">
        <v>21153</v>
      </c>
      <c r="B1264" t="s">
        <v>16850</v>
      </c>
      <c r="C1264" t="s">
        <v>16851</v>
      </c>
      <c r="D1264" t="s">
        <v>16852</v>
      </c>
      <c r="E1264">
        <v>14150</v>
      </c>
      <c r="F1264" t="s">
        <v>1710</v>
      </c>
      <c r="G1264" t="s">
        <v>1657</v>
      </c>
      <c r="H1264" t="str">
        <f t="shared" si="38"/>
        <v>Wunderlich14150Houston</v>
      </c>
      <c r="I1264" t="str">
        <f t="shared" si="39"/>
        <v>Wunderlich</v>
      </c>
      <c r="J1264" s="82">
        <f>IFERROR(INDEX('All Folders'!$A:$A,MATCH(H1264,'All Folders'!$G:$G,0),1),"¶")</f>
        <v>1285</v>
      </c>
      <c r="K1264" s="87"/>
      <c r="L1264" s="87"/>
    </row>
    <row r="1265" spans="1:12" ht="15" x14ac:dyDescent="0.25">
      <c r="A1265" t="s">
        <v>21155</v>
      </c>
      <c r="B1265" t="s">
        <v>16856</v>
      </c>
      <c r="C1265" t="s">
        <v>16857</v>
      </c>
      <c r="D1265" t="s">
        <v>16858</v>
      </c>
      <c r="E1265">
        <v>13050</v>
      </c>
      <c r="F1265" t="s">
        <v>1917</v>
      </c>
      <c r="G1265" t="s">
        <v>1657</v>
      </c>
      <c r="H1265" t="str">
        <f t="shared" si="38"/>
        <v>Champions13050Houston</v>
      </c>
      <c r="I1265" t="str">
        <f t="shared" si="39"/>
        <v>Champions</v>
      </c>
      <c r="J1265" s="82">
        <f>IFERROR(INDEX('All Folders'!$A:$A,MATCH(H1265,'All Folders'!$G:$G,0),1),"¶")</f>
        <v>1424</v>
      </c>
      <c r="K1265" s="87"/>
      <c r="L1265" s="87"/>
    </row>
    <row r="1266" spans="1:12" ht="15" x14ac:dyDescent="0.25">
      <c r="A1266" t="s">
        <v>21156</v>
      </c>
      <c r="B1266" t="s">
        <v>16859</v>
      </c>
      <c r="C1266" t="s">
        <v>16860</v>
      </c>
      <c r="D1266" t="s">
        <v>16861</v>
      </c>
      <c r="E1266">
        <v>5621</v>
      </c>
      <c r="F1266" t="s">
        <v>3628</v>
      </c>
      <c r="G1266" t="s">
        <v>1657</v>
      </c>
      <c r="H1266" t="str">
        <f t="shared" si="38"/>
        <v>Westward5621Houston</v>
      </c>
      <c r="I1266" t="str">
        <f t="shared" si="39"/>
        <v>Westward</v>
      </c>
      <c r="J1266" s="82">
        <f>IFERROR(INDEX('All Folders'!$A:$A,MATCH(H1266,'All Folders'!$G:$G,0),1),"¶")</f>
        <v>3257</v>
      </c>
      <c r="K1266" s="87"/>
      <c r="L1266" s="87"/>
    </row>
    <row r="1267" spans="1:12" ht="15" x14ac:dyDescent="0.25">
      <c r="A1267" t="s">
        <v>21157</v>
      </c>
      <c r="B1267" t="s">
        <v>16862</v>
      </c>
      <c r="C1267" t="s">
        <v>16863</v>
      </c>
      <c r="D1267" t="s">
        <v>16864</v>
      </c>
      <c r="E1267">
        <v>10027</v>
      </c>
      <c r="F1267" t="s">
        <v>16865</v>
      </c>
      <c r="G1267" t="s">
        <v>1657</v>
      </c>
      <c r="H1267" t="str">
        <f t="shared" si="38"/>
        <v>Spice10027Houston</v>
      </c>
      <c r="I1267" t="str">
        <f t="shared" si="39"/>
        <v>Spice</v>
      </c>
      <c r="J1267" s="82">
        <f>IFERROR(INDEX('All Folders'!$A:$A,MATCH(H1267,'All Folders'!$G:$G,0),1),"¶")</f>
        <v>3062</v>
      </c>
      <c r="K1267" s="87"/>
      <c r="L1267" s="87"/>
    </row>
    <row r="1268" spans="1:12" ht="15" x14ac:dyDescent="0.25">
      <c r="A1268" t="s">
        <v>21158</v>
      </c>
      <c r="B1268" t="s">
        <v>16866</v>
      </c>
      <c r="C1268" t="s">
        <v>16867</v>
      </c>
      <c r="D1268" t="s">
        <v>16868</v>
      </c>
      <c r="E1268">
        <v>15706</v>
      </c>
      <c r="F1268" t="s">
        <v>12018</v>
      </c>
      <c r="G1268" t="s">
        <v>1657</v>
      </c>
      <c r="H1268" t="str">
        <f t="shared" si="38"/>
        <v>Clarke15706Houston</v>
      </c>
      <c r="I1268" t="str">
        <f t="shared" si="39"/>
        <v>Clarke</v>
      </c>
      <c r="J1268" s="82">
        <f>IFERROR(INDEX('All Folders'!$A:$A,MATCH(H1268,'All Folders'!$G:$G,0),1),"¶")</f>
        <v>30469</v>
      </c>
      <c r="K1268" s="87"/>
      <c r="L1268" s="87"/>
    </row>
    <row r="1269" spans="1:12" ht="15" x14ac:dyDescent="0.25">
      <c r="A1269" t="s">
        <v>21159</v>
      </c>
      <c r="B1269" t="s">
        <v>16869</v>
      </c>
      <c r="C1269" t="s">
        <v>16870</v>
      </c>
      <c r="D1269" t="s">
        <v>2305</v>
      </c>
      <c r="E1269">
        <v>9550</v>
      </c>
      <c r="F1269" t="s">
        <v>7327</v>
      </c>
      <c r="G1269" t="s">
        <v>1657</v>
      </c>
      <c r="H1269" t="str">
        <f t="shared" si="38"/>
        <v>Long9550Houston</v>
      </c>
      <c r="I1269" t="str">
        <f t="shared" si="39"/>
        <v>Long</v>
      </c>
      <c r="J1269" s="82">
        <f>IFERROR(INDEX('All Folders'!$A:$A,MATCH(H1269,'All Folders'!$G:$G,0),1),"¶")</f>
        <v>1754</v>
      </c>
      <c r="K1269" s="87"/>
      <c r="L1269" s="87"/>
    </row>
    <row r="1270" spans="1:12" ht="15" x14ac:dyDescent="0.25">
      <c r="A1270" t="s">
        <v>21160</v>
      </c>
      <c r="B1270" t="s">
        <v>16871</v>
      </c>
      <c r="C1270" t="s">
        <v>16872</v>
      </c>
      <c r="D1270" t="s">
        <v>16873</v>
      </c>
      <c r="E1270">
        <v>7600</v>
      </c>
      <c r="F1270" t="s">
        <v>4824</v>
      </c>
      <c r="G1270" t="s">
        <v>1657</v>
      </c>
      <c r="H1270" t="str">
        <f t="shared" si="38"/>
        <v>Creekbend7600Houston</v>
      </c>
      <c r="I1270" t="str">
        <f t="shared" si="39"/>
        <v>Creekbend</v>
      </c>
      <c r="J1270" s="82">
        <f>IFERROR(INDEX('All Folders'!$A:$A,MATCH(H1270,'All Folders'!$G:$G,0),1),"¶")</f>
        <v>3223</v>
      </c>
      <c r="K1270" s="87"/>
      <c r="L1270" s="87"/>
    </row>
    <row r="1271" spans="1:12" ht="15" x14ac:dyDescent="0.25">
      <c r="A1271" t="s">
        <v>21161</v>
      </c>
      <c r="B1271" t="s">
        <v>16874</v>
      </c>
      <c r="C1271" t="s">
        <v>16875</v>
      </c>
      <c r="D1271" t="s">
        <v>2343</v>
      </c>
      <c r="E1271">
        <v>4200</v>
      </c>
      <c r="F1271" t="s">
        <v>16876</v>
      </c>
      <c r="G1271" t="s">
        <v>1657</v>
      </c>
      <c r="H1271" t="str">
        <f t="shared" si="38"/>
        <v>Lockfield4200Houston</v>
      </c>
      <c r="I1271" t="str">
        <f t="shared" si="39"/>
        <v>Lockfield</v>
      </c>
      <c r="J1271" s="82">
        <f>IFERROR(INDEX('All Folders'!$A:$A,MATCH(H1271,'All Folders'!$G:$G,0),1),"¶")</f>
        <v>1771</v>
      </c>
      <c r="K1271" s="87"/>
      <c r="L1271" s="87"/>
    </row>
    <row r="1272" spans="1:12" ht="15" x14ac:dyDescent="0.25">
      <c r="A1272" t="s">
        <v>21162</v>
      </c>
      <c r="B1272" t="s">
        <v>16877</v>
      </c>
      <c r="C1272" t="s">
        <v>16878</v>
      </c>
      <c r="D1272" t="s">
        <v>16879</v>
      </c>
      <c r="E1272">
        <v>14810</v>
      </c>
      <c r="F1272" t="s">
        <v>2053</v>
      </c>
      <c r="G1272" t="s">
        <v>1657</v>
      </c>
      <c r="H1272" t="str">
        <f t="shared" si="38"/>
        <v>Crosswinds14810Houston</v>
      </c>
      <c r="I1272" t="str">
        <f t="shared" si="39"/>
        <v>Crosswinds</v>
      </c>
      <c r="J1272" s="82">
        <f>IFERROR(INDEX('All Folders'!$A:$A,MATCH(H1272,'All Folders'!$G:$G,0),1),"¶")</f>
        <v>1525</v>
      </c>
      <c r="K1272" s="87"/>
      <c r="L1272" s="87"/>
    </row>
    <row r="1273" spans="1:12" ht="15" x14ac:dyDescent="0.25">
      <c r="A1273" t="s">
        <v>21163</v>
      </c>
      <c r="B1273" t="s">
        <v>16880</v>
      </c>
      <c r="C1273" t="s">
        <v>16881</v>
      </c>
      <c r="D1273" t="s">
        <v>1733</v>
      </c>
      <c r="E1273">
        <v>2331</v>
      </c>
      <c r="F1273" t="s">
        <v>4884</v>
      </c>
      <c r="G1273" t="s">
        <v>1657</v>
      </c>
      <c r="H1273" t="str">
        <f t="shared" si="38"/>
        <v>Bammelwood2331Houston</v>
      </c>
      <c r="I1273" t="str">
        <f t="shared" si="39"/>
        <v>Bammelwood</v>
      </c>
      <c r="J1273" s="82">
        <f>IFERROR(INDEX('All Folders'!$A:$A,MATCH(H1273,'All Folders'!$G:$G,0),1),"¶")</f>
        <v>4484</v>
      </c>
      <c r="K1273" s="87"/>
      <c r="L1273" s="87"/>
    </row>
    <row r="1274" spans="1:12" ht="15" x14ac:dyDescent="0.25">
      <c r="A1274" t="s">
        <v>21165</v>
      </c>
      <c r="B1274" t="s">
        <v>16886</v>
      </c>
      <c r="C1274" t="s">
        <v>16887</v>
      </c>
      <c r="D1274" t="s">
        <v>13024</v>
      </c>
      <c r="E1274">
        <v>1114</v>
      </c>
      <c r="F1274" t="s">
        <v>12050</v>
      </c>
      <c r="G1274" t="s">
        <v>1657</v>
      </c>
      <c r="H1274" t="str">
        <f t="shared" si="38"/>
        <v>Texas1114Houston</v>
      </c>
      <c r="I1274" t="str">
        <f t="shared" si="39"/>
        <v>Texas</v>
      </c>
      <c r="J1274" s="82">
        <f>IFERROR(INDEX('All Folders'!$A:$A,MATCH(H1274,'All Folders'!$G:$G,0),1),"¶")</f>
        <v>30497</v>
      </c>
      <c r="K1274" s="87"/>
      <c r="L1274" s="87"/>
    </row>
    <row r="1275" spans="1:12" ht="15" x14ac:dyDescent="0.25">
      <c r="A1275" t="s">
        <v>21166</v>
      </c>
      <c r="B1275" t="s">
        <v>16888</v>
      </c>
      <c r="C1275" t="s">
        <v>16889</v>
      </c>
      <c r="D1275" t="s">
        <v>16890</v>
      </c>
      <c r="E1275">
        <v>9700</v>
      </c>
      <c r="F1275" t="s">
        <v>2583</v>
      </c>
      <c r="G1275" t="s">
        <v>1657</v>
      </c>
      <c r="H1275" t="str">
        <f t="shared" si="38"/>
        <v>Mesa9700Houston</v>
      </c>
      <c r="I1275" t="str">
        <f t="shared" si="39"/>
        <v>Mesa</v>
      </c>
      <c r="J1275" s="82">
        <f>IFERROR(INDEX('All Folders'!$A:$A,MATCH(H1275,'All Folders'!$G:$G,0),1),"¶")</f>
        <v>2049</v>
      </c>
      <c r="K1275" s="87"/>
      <c r="L1275" s="87"/>
    </row>
    <row r="1276" spans="1:12" ht="15" x14ac:dyDescent="0.25">
      <c r="A1276" t="s">
        <v>21167</v>
      </c>
      <c r="B1276" t="s">
        <v>16891</v>
      </c>
      <c r="C1276" t="s">
        <v>16892</v>
      </c>
      <c r="D1276" t="s">
        <v>16893</v>
      </c>
      <c r="E1276">
        <v>2840</v>
      </c>
      <c r="F1276" t="s">
        <v>16894</v>
      </c>
      <c r="G1276" t="s">
        <v>1657</v>
      </c>
      <c r="H1276" t="str">
        <f t="shared" si="38"/>
        <v>Shadowbriar2840Houston</v>
      </c>
      <c r="I1276" t="str">
        <f t="shared" si="39"/>
        <v>Shadowbriar</v>
      </c>
      <c r="J1276" s="82">
        <f>IFERROR(INDEX('All Folders'!$A:$A,MATCH(H1276,'All Folders'!$G:$G,0),1),"¶")</f>
        <v>17090</v>
      </c>
      <c r="K1276" s="87"/>
      <c r="L1276" s="87"/>
    </row>
    <row r="1277" spans="1:12" ht="15" x14ac:dyDescent="0.25">
      <c r="A1277" t="s">
        <v>21168</v>
      </c>
      <c r="B1277" t="s">
        <v>16895</v>
      </c>
      <c r="C1277" t="s">
        <v>16896</v>
      </c>
      <c r="D1277" t="s">
        <v>16897</v>
      </c>
      <c r="E1277">
        <v>3499</v>
      </c>
      <c r="F1277" t="s">
        <v>16898</v>
      </c>
      <c r="G1277" t="s">
        <v>1657</v>
      </c>
      <c r="H1277" t="str">
        <f t="shared" si="38"/>
        <v>Evergreen3499Houston</v>
      </c>
      <c r="I1277" t="str">
        <f t="shared" si="39"/>
        <v>Evergreen</v>
      </c>
      <c r="J1277" s="82">
        <f>IFERROR(INDEX('All Folders'!$A:$A,MATCH(H1277,'All Folders'!$G:$G,0),1),"¶")</f>
        <v>3610</v>
      </c>
      <c r="K1277" s="87"/>
      <c r="L1277" s="87"/>
    </row>
    <row r="1278" spans="1:12" ht="15" x14ac:dyDescent="0.25">
      <c r="A1278" t="s">
        <v>21169</v>
      </c>
      <c r="B1278" t="s">
        <v>16899</v>
      </c>
      <c r="C1278" t="s">
        <v>16900</v>
      </c>
      <c r="D1278" t="s">
        <v>16901</v>
      </c>
      <c r="E1278">
        <v>777</v>
      </c>
      <c r="F1278" t="s">
        <v>16902</v>
      </c>
      <c r="G1278" t="s">
        <v>1657</v>
      </c>
      <c r="H1278" t="str">
        <f t="shared" si="38"/>
        <v>Dunlavy777Houston</v>
      </c>
      <c r="I1278" t="str">
        <f t="shared" si="39"/>
        <v>Dunlavy</v>
      </c>
      <c r="J1278" s="82">
        <f>IFERROR(INDEX('All Folders'!$A:$A,MATCH(H1278,'All Folders'!$G:$G,0),1),"¶")</f>
        <v>2466</v>
      </c>
      <c r="K1278" s="87"/>
      <c r="L1278" s="87"/>
    </row>
    <row r="1279" spans="1:12" ht="15" x14ac:dyDescent="0.25">
      <c r="A1279" t="s">
        <v>21170</v>
      </c>
      <c r="B1279" t="s">
        <v>16903</v>
      </c>
      <c r="C1279" t="s">
        <v>16904</v>
      </c>
      <c r="D1279" t="s">
        <v>16905</v>
      </c>
      <c r="E1279">
        <v>15615</v>
      </c>
      <c r="F1279" t="s">
        <v>16906</v>
      </c>
      <c r="G1279" t="s">
        <v>1657</v>
      </c>
      <c r="H1279" t="str">
        <f t="shared" si="38"/>
        <v>Blue15615Houston</v>
      </c>
      <c r="I1279" t="str">
        <f t="shared" si="39"/>
        <v>Blue</v>
      </c>
      <c r="J1279" s="82">
        <f>IFERROR(INDEX('All Folders'!$A:$A,MATCH(H1279,'All Folders'!$G:$G,0),1),"¶")</f>
        <v>1356</v>
      </c>
      <c r="K1279" s="87"/>
      <c r="L1279" s="87"/>
    </row>
    <row r="1280" spans="1:12" ht="15" x14ac:dyDescent="0.25">
      <c r="A1280" t="s">
        <v>21171</v>
      </c>
      <c r="B1280" t="s">
        <v>16907</v>
      </c>
      <c r="C1280" t="s">
        <v>16908</v>
      </c>
      <c r="D1280" t="s">
        <v>16909</v>
      </c>
      <c r="E1280">
        <v>10750</v>
      </c>
      <c r="F1280" t="s">
        <v>3576</v>
      </c>
      <c r="G1280" t="s">
        <v>1657</v>
      </c>
      <c r="H1280" t="str">
        <f t="shared" si="38"/>
        <v>Westbrae10750Houston</v>
      </c>
      <c r="I1280" t="str">
        <f t="shared" si="39"/>
        <v>Westbrae</v>
      </c>
      <c r="J1280" s="82">
        <f>IFERROR(INDEX('All Folders'!$A:$A,MATCH(H1280,'All Folders'!$G:$G,0),1),"¶")</f>
        <v>3213</v>
      </c>
      <c r="K1280" s="87"/>
      <c r="L1280" s="87"/>
    </row>
    <row r="1281" spans="1:12" ht="15" x14ac:dyDescent="0.25">
      <c r="A1281" t="s">
        <v>21172</v>
      </c>
      <c r="B1281" t="s">
        <v>16910</v>
      </c>
      <c r="C1281" t="s">
        <v>16911</v>
      </c>
      <c r="D1281" t="s">
        <v>16912</v>
      </c>
      <c r="E1281">
        <v>1415</v>
      </c>
      <c r="F1281" t="s">
        <v>1935</v>
      </c>
      <c r="G1281" t="s">
        <v>1657</v>
      </c>
      <c r="H1281" t="str">
        <f t="shared" si="38"/>
        <v>Greens1415Houston</v>
      </c>
      <c r="I1281" t="str">
        <f t="shared" si="39"/>
        <v>Greens</v>
      </c>
      <c r="J1281" s="82">
        <f>IFERROR(INDEX('All Folders'!$A:$A,MATCH(H1281,'All Folders'!$G:$G,0),1),"¶")</f>
        <v>1435</v>
      </c>
      <c r="K1281" s="87"/>
      <c r="L1281" s="87"/>
    </row>
    <row r="1282" spans="1:12" ht="15" x14ac:dyDescent="0.25">
      <c r="A1282" t="s">
        <v>21173</v>
      </c>
      <c r="B1282" t="s">
        <v>16913</v>
      </c>
      <c r="C1282" t="s">
        <v>16914</v>
      </c>
      <c r="D1282" t="s">
        <v>16915</v>
      </c>
      <c r="E1282">
        <v>201</v>
      </c>
      <c r="F1282" t="s">
        <v>1972</v>
      </c>
      <c r="G1282" t="s">
        <v>1657</v>
      </c>
      <c r="H1282" t="str">
        <f t="shared" ref="H1282:H1345" si="40">I1282&amp;E1282&amp;G1282</f>
        <v>Plaza201Houston</v>
      </c>
      <c r="I1282" t="str">
        <f t="shared" ref="I1282:I1345" si="41">IFERROR(LEFT(D1282,FIND(" ",D1282)-1),D1282)</f>
        <v>Plaza</v>
      </c>
      <c r="J1282" s="82">
        <f>IFERROR(INDEX('All Folders'!$A:$A,MATCH(H1282,'All Folders'!$G:$G,0),1),"¶")</f>
        <v>1463</v>
      </c>
      <c r="K1282" s="87"/>
      <c r="L1282" s="87"/>
    </row>
    <row r="1283" spans="1:12" ht="15" x14ac:dyDescent="0.25">
      <c r="A1283" t="s">
        <v>21174</v>
      </c>
      <c r="B1283" t="s">
        <v>16916</v>
      </c>
      <c r="C1283" t="s">
        <v>16917</v>
      </c>
      <c r="D1283" t="s">
        <v>16918</v>
      </c>
      <c r="E1283">
        <v>9140</v>
      </c>
      <c r="F1283" t="s">
        <v>16919</v>
      </c>
      <c r="G1283" t="s">
        <v>1657</v>
      </c>
      <c r="H1283" t="str">
        <f t="shared" si="40"/>
        <v>69140Houston</v>
      </c>
      <c r="I1283" t="str">
        <f t="shared" si="41"/>
        <v>6</v>
      </c>
      <c r="J1283" s="82">
        <f>IFERROR(INDEX('All Folders'!$A:$A,MATCH(H1283,'All Folders'!$G:$G,0),1),"¶")</f>
        <v>17828</v>
      </c>
      <c r="K1283" s="87"/>
      <c r="L1283" s="87"/>
    </row>
    <row r="1284" spans="1:12" ht="15" x14ac:dyDescent="0.25">
      <c r="A1284" t="s">
        <v>21175</v>
      </c>
      <c r="B1284" t="s">
        <v>16920</v>
      </c>
      <c r="C1284" t="s">
        <v>16921</v>
      </c>
      <c r="D1284" t="s">
        <v>16922</v>
      </c>
      <c r="E1284">
        <v>8103</v>
      </c>
      <c r="F1284" t="s">
        <v>2263</v>
      </c>
      <c r="G1284" t="s">
        <v>1657</v>
      </c>
      <c r="H1284" t="str">
        <f t="shared" si="40"/>
        <v>Grow8103Houston</v>
      </c>
      <c r="I1284" t="str">
        <f t="shared" si="41"/>
        <v>Grow</v>
      </c>
      <c r="J1284" s="82">
        <f>IFERROR(INDEX('All Folders'!$A:$A,MATCH(H1284,'All Folders'!$G:$G,0),1),"¶")</f>
        <v>1695</v>
      </c>
      <c r="K1284" s="87"/>
      <c r="L1284" s="87"/>
    </row>
    <row r="1285" spans="1:12" ht="15" x14ac:dyDescent="0.25">
      <c r="A1285" t="s">
        <v>21176</v>
      </c>
      <c r="B1285" t="s">
        <v>16923</v>
      </c>
      <c r="C1285" t="s">
        <v>16924</v>
      </c>
      <c r="D1285" t="s">
        <v>16925</v>
      </c>
      <c r="E1285">
        <v>2660</v>
      </c>
      <c r="F1285" t="s">
        <v>16926</v>
      </c>
      <c r="G1285" t="s">
        <v>1657</v>
      </c>
      <c r="H1285" t="str">
        <f t="shared" si="40"/>
        <v>Augusta2660Houston</v>
      </c>
      <c r="I1285" t="str">
        <f t="shared" si="41"/>
        <v>Augusta</v>
      </c>
      <c r="J1285" s="82">
        <f>IFERROR(INDEX('All Folders'!$A:$A,MATCH(H1285,'All Folders'!$G:$G,0),1),"¶")</f>
        <v>16101</v>
      </c>
      <c r="K1285" s="87"/>
      <c r="L1285" s="87"/>
    </row>
    <row r="1286" spans="1:12" ht="15" x14ac:dyDescent="0.25">
      <c r="A1286" t="s">
        <v>21177</v>
      </c>
      <c r="B1286" t="s">
        <v>16927</v>
      </c>
      <c r="C1286" t="s">
        <v>16928</v>
      </c>
      <c r="D1286" t="s">
        <v>16929</v>
      </c>
      <c r="E1286">
        <v>4848</v>
      </c>
      <c r="F1286" t="s">
        <v>16930</v>
      </c>
      <c r="G1286" t="s">
        <v>1657</v>
      </c>
      <c r="H1286" t="str">
        <f t="shared" si="40"/>
        <v>Pin4848Houston</v>
      </c>
      <c r="I1286" t="str">
        <f t="shared" si="41"/>
        <v>Pin</v>
      </c>
      <c r="J1286" s="82">
        <f>IFERROR(INDEX('All Folders'!$A:$A,MATCH(H1286,'All Folders'!$G:$G,0),1),"¶")</f>
        <v>3243</v>
      </c>
      <c r="K1286" s="87"/>
      <c r="L1286" s="87"/>
    </row>
    <row r="1287" spans="1:12" ht="15" x14ac:dyDescent="0.25">
      <c r="A1287" t="s">
        <v>21178</v>
      </c>
      <c r="B1287" t="s">
        <v>16931</v>
      </c>
      <c r="C1287" t="s">
        <v>16932</v>
      </c>
      <c r="D1287" t="s">
        <v>16933</v>
      </c>
      <c r="E1287">
        <v>3405</v>
      </c>
      <c r="F1287" t="s">
        <v>16934</v>
      </c>
      <c r="G1287" t="s">
        <v>1657</v>
      </c>
      <c r="H1287" t="str">
        <f t="shared" si="40"/>
        <v>Shepherd3405Houston</v>
      </c>
      <c r="I1287" t="str">
        <f t="shared" si="41"/>
        <v>Shepherd</v>
      </c>
      <c r="J1287" s="82">
        <f>IFERROR(INDEX('All Folders'!$A:$A,MATCH(H1287,'All Folders'!$G:$G,0),1),"¶")</f>
        <v>30483</v>
      </c>
      <c r="K1287" s="87"/>
      <c r="L1287" s="87"/>
    </row>
    <row r="1288" spans="1:12" ht="15" x14ac:dyDescent="0.25">
      <c r="A1288" t="s">
        <v>21180</v>
      </c>
      <c r="B1288" t="s">
        <v>16940</v>
      </c>
      <c r="C1288" t="s">
        <v>16941</v>
      </c>
      <c r="D1288" t="s">
        <v>3864</v>
      </c>
      <c r="E1288">
        <v>8311</v>
      </c>
      <c r="F1288" t="s">
        <v>16942</v>
      </c>
      <c r="G1288" t="s">
        <v>1657</v>
      </c>
      <c r="H1288" t="str">
        <f t="shared" si="40"/>
        <v>Winkler8311Houston</v>
      </c>
      <c r="I1288" t="str">
        <f t="shared" si="41"/>
        <v>Winkler</v>
      </c>
      <c r="J1288" s="82">
        <f>IFERROR(INDEX('All Folders'!$A:$A,MATCH(H1288,'All Folders'!$G:$G,0),1),"¶")</f>
        <v>3703</v>
      </c>
      <c r="K1288" s="87"/>
      <c r="L1288" s="87"/>
    </row>
    <row r="1289" spans="1:12" ht="15" x14ac:dyDescent="0.25">
      <c r="A1289" t="s">
        <v>21181</v>
      </c>
      <c r="B1289" t="s">
        <v>16943</v>
      </c>
      <c r="C1289" t="s">
        <v>16944</v>
      </c>
      <c r="D1289" t="s">
        <v>16945</v>
      </c>
      <c r="E1289">
        <v>818</v>
      </c>
      <c r="F1289" t="s">
        <v>1998</v>
      </c>
      <c r="G1289" t="s">
        <v>1657</v>
      </c>
      <c r="H1289" t="str">
        <f t="shared" si="40"/>
        <v>Richcrest818Houston</v>
      </c>
      <c r="I1289" t="str">
        <f t="shared" si="41"/>
        <v>Richcrest</v>
      </c>
      <c r="J1289" s="82">
        <f>IFERROR(INDEX('All Folders'!$A:$A,MATCH(H1289,'All Folders'!$G:$G,0),1),"¶")</f>
        <v>1483</v>
      </c>
      <c r="K1289" s="87"/>
      <c r="L1289" s="87"/>
    </row>
    <row r="1290" spans="1:12" ht="15" x14ac:dyDescent="0.25">
      <c r="A1290" t="s">
        <v>21182</v>
      </c>
      <c r="B1290" t="s">
        <v>16946</v>
      </c>
      <c r="C1290" t="s">
        <v>16947</v>
      </c>
      <c r="D1290" t="s">
        <v>16948</v>
      </c>
      <c r="E1290">
        <v>6200</v>
      </c>
      <c r="F1290" t="s">
        <v>16949</v>
      </c>
      <c r="G1290" t="s">
        <v>1657</v>
      </c>
      <c r="H1290" t="str">
        <f t="shared" si="40"/>
        <v>Ranchester6200Houston</v>
      </c>
      <c r="I1290" t="str">
        <f t="shared" si="41"/>
        <v>Ranchester</v>
      </c>
      <c r="J1290" s="82">
        <f>IFERROR(INDEX('All Folders'!$A:$A,MATCH(H1290,'All Folders'!$G:$G,0),1),"¶")</f>
        <v>3098</v>
      </c>
      <c r="K1290" s="87"/>
      <c r="L1290" s="87"/>
    </row>
    <row r="1291" spans="1:12" ht="15" x14ac:dyDescent="0.25">
      <c r="A1291" t="s">
        <v>21184</v>
      </c>
      <c r="B1291" t="s">
        <v>16953</v>
      </c>
      <c r="C1291" t="s">
        <v>16954</v>
      </c>
      <c r="D1291" t="s">
        <v>16816</v>
      </c>
      <c r="E1291">
        <v>9001</v>
      </c>
      <c r="F1291" t="s">
        <v>3547</v>
      </c>
      <c r="G1291" t="s">
        <v>1657</v>
      </c>
      <c r="H1291" t="str">
        <f t="shared" si="40"/>
        <v>Braeswood9001Houston</v>
      </c>
      <c r="I1291" t="str">
        <f t="shared" si="41"/>
        <v>Braeswood</v>
      </c>
      <c r="J1291" s="82">
        <f>IFERROR(INDEX('All Folders'!$A:$A,MATCH(H1291,'All Folders'!$G:$G,0),1),"¶")</f>
        <v>3187</v>
      </c>
      <c r="K1291" s="87"/>
      <c r="L1291" s="87"/>
    </row>
    <row r="1292" spans="1:12" ht="15" x14ac:dyDescent="0.25">
      <c r="A1292" t="s">
        <v>21185</v>
      </c>
      <c r="B1292" t="s">
        <v>16955</v>
      </c>
      <c r="C1292" t="s">
        <v>16956</v>
      </c>
      <c r="D1292" t="s">
        <v>16957</v>
      </c>
      <c r="E1292">
        <v>6360</v>
      </c>
      <c r="F1292" t="s">
        <v>16958</v>
      </c>
      <c r="G1292" t="s">
        <v>1657</v>
      </c>
      <c r="H1292" t="str">
        <f t="shared" si="40"/>
        <v>Skyline6360Houston</v>
      </c>
      <c r="I1292" t="str">
        <f t="shared" si="41"/>
        <v>Skyline</v>
      </c>
      <c r="J1292" s="82">
        <f>IFERROR(INDEX('All Folders'!$A:$A,MATCH(H1292,'All Folders'!$G:$G,0),1),"¶")</f>
        <v>2386</v>
      </c>
      <c r="K1292" s="87"/>
      <c r="L1292" s="87"/>
    </row>
    <row r="1293" spans="1:12" ht="15" x14ac:dyDescent="0.25">
      <c r="A1293" t="s">
        <v>21186</v>
      </c>
      <c r="B1293" t="s">
        <v>16959</v>
      </c>
      <c r="C1293" t="s">
        <v>16960</v>
      </c>
      <c r="D1293" t="s">
        <v>16961</v>
      </c>
      <c r="E1293">
        <v>3131</v>
      </c>
      <c r="F1293" t="s">
        <v>16962</v>
      </c>
      <c r="G1293" t="s">
        <v>1657</v>
      </c>
      <c r="H1293" t="str">
        <f t="shared" si="40"/>
        <v>Hayes3131Houston</v>
      </c>
      <c r="I1293" t="str">
        <f t="shared" si="41"/>
        <v>Hayes</v>
      </c>
      <c r="J1293" s="82">
        <f>IFERROR(INDEX('All Folders'!$A:$A,MATCH(H1293,'All Folders'!$G:$G,0),1),"¶")</f>
        <v>2207</v>
      </c>
      <c r="K1293" s="87"/>
      <c r="L1293" s="87"/>
    </row>
    <row r="1294" spans="1:12" ht="15" x14ac:dyDescent="0.25">
      <c r="A1294" t="s">
        <v>21188</v>
      </c>
      <c r="B1294" t="s">
        <v>16967</v>
      </c>
      <c r="C1294" t="s">
        <v>16968</v>
      </c>
      <c r="D1294" t="s">
        <v>16969</v>
      </c>
      <c r="E1294">
        <v>5830</v>
      </c>
      <c r="F1294" t="s">
        <v>215</v>
      </c>
      <c r="G1294" t="s">
        <v>1657</v>
      </c>
      <c r="H1294" t="str">
        <f t="shared" si="40"/>
        <v>Lake5830Houston</v>
      </c>
      <c r="I1294" t="str">
        <f t="shared" si="41"/>
        <v>Lake</v>
      </c>
      <c r="J1294" s="82">
        <f>IFERROR(INDEX('All Folders'!$A:$A,MATCH(H1294,'All Folders'!$G:$G,0),1),"¶")</f>
        <v>2064</v>
      </c>
      <c r="K1294" s="87"/>
      <c r="L1294" s="87"/>
    </row>
    <row r="1295" spans="1:12" ht="15" x14ac:dyDescent="0.25">
      <c r="A1295" t="s">
        <v>21189</v>
      </c>
      <c r="B1295" t="s">
        <v>16970</v>
      </c>
      <c r="C1295" t="s">
        <v>16971</v>
      </c>
      <c r="D1295" t="s">
        <v>16972</v>
      </c>
      <c r="E1295">
        <v>11675</v>
      </c>
      <c r="F1295" t="s">
        <v>3426</v>
      </c>
      <c r="G1295" t="s">
        <v>1657</v>
      </c>
      <c r="H1295" t="str">
        <f t="shared" si="40"/>
        <v>Bellfort11675Houston</v>
      </c>
      <c r="I1295" t="str">
        <f t="shared" si="41"/>
        <v>Bellfort</v>
      </c>
      <c r="J1295" s="82">
        <f>IFERROR(INDEX('All Folders'!$A:$A,MATCH(H1295,'All Folders'!$G:$G,0),1),"¶")</f>
        <v>3072</v>
      </c>
      <c r="K1295" s="87"/>
      <c r="L1295" s="87"/>
    </row>
    <row r="1296" spans="1:12" ht="15" x14ac:dyDescent="0.25">
      <c r="A1296" t="s">
        <v>21190</v>
      </c>
      <c r="B1296" t="s">
        <v>16973</v>
      </c>
      <c r="C1296" t="s">
        <v>16974</v>
      </c>
      <c r="D1296" t="s">
        <v>16975</v>
      </c>
      <c r="E1296">
        <v>16001</v>
      </c>
      <c r="F1296" t="s">
        <v>2051</v>
      </c>
      <c r="G1296" t="s">
        <v>1657</v>
      </c>
      <c r="H1296" t="str">
        <f t="shared" si="40"/>
        <v>Cotillion16001Houston</v>
      </c>
      <c r="I1296" t="str">
        <f t="shared" si="41"/>
        <v>Cotillion</v>
      </c>
      <c r="J1296" s="82">
        <f>IFERROR(INDEX('All Folders'!$A:$A,MATCH(H1296,'All Folders'!$G:$G,0),1),"¶")</f>
        <v>1524</v>
      </c>
      <c r="K1296" s="87"/>
      <c r="L1296" s="87"/>
    </row>
    <row r="1297" spans="1:12" ht="15" x14ac:dyDescent="0.25">
      <c r="A1297" t="s">
        <v>21191</v>
      </c>
      <c r="B1297" t="s">
        <v>16976</v>
      </c>
      <c r="C1297" t="s">
        <v>16977</v>
      </c>
      <c r="D1297" t="s">
        <v>16978</v>
      </c>
      <c r="E1297">
        <v>3700</v>
      </c>
      <c r="F1297" t="s">
        <v>2347</v>
      </c>
      <c r="G1297" t="s">
        <v>1657</v>
      </c>
      <c r="H1297" t="str">
        <f t="shared" si="40"/>
        <v>Watonga3700Houston</v>
      </c>
      <c r="I1297" t="str">
        <f t="shared" si="41"/>
        <v>Watonga</v>
      </c>
      <c r="J1297" s="82">
        <f>IFERROR(INDEX('All Folders'!$A:$A,MATCH(H1297,'All Folders'!$G:$G,0),1),"¶")</f>
        <v>1773</v>
      </c>
      <c r="K1297" s="87"/>
      <c r="L1297" s="87"/>
    </row>
    <row r="1298" spans="1:12" ht="15" x14ac:dyDescent="0.25">
      <c r="A1298" t="s">
        <v>21192</v>
      </c>
      <c r="B1298" t="s">
        <v>16979</v>
      </c>
      <c r="C1298" t="s">
        <v>16980</v>
      </c>
      <c r="D1298" t="s">
        <v>16981</v>
      </c>
      <c r="E1298">
        <v>9220</v>
      </c>
      <c r="F1298" t="s">
        <v>12036</v>
      </c>
      <c r="G1298" t="s">
        <v>1657</v>
      </c>
      <c r="H1298" t="str">
        <f t="shared" si="40"/>
        <v>Nathaniel9220Houston</v>
      </c>
      <c r="I1298" t="str">
        <f t="shared" si="41"/>
        <v>Nathaniel</v>
      </c>
      <c r="J1298" s="82">
        <f>IFERROR(INDEX('All Folders'!$A:$A,MATCH(H1298,'All Folders'!$G:$G,0),1),"¶")</f>
        <v>3927</v>
      </c>
      <c r="K1298" s="87"/>
      <c r="L1298" s="87"/>
    </row>
    <row r="1299" spans="1:12" ht="15" x14ac:dyDescent="0.25">
      <c r="A1299" t="s">
        <v>21193</v>
      </c>
      <c r="B1299" t="s">
        <v>16982</v>
      </c>
      <c r="C1299" t="s">
        <v>16983</v>
      </c>
      <c r="D1299" t="s">
        <v>16789</v>
      </c>
      <c r="E1299">
        <v>9021</v>
      </c>
      <c r="F1299" t="s">
        <v>2112</v>
      </c>
      <c r="G1299" t="s">
        <v>1657</v>
      </c>
      <c r="H1299" t="str">
        <f t="shared" si="40"/>
        <v>Antoine9021Houston</v>
      </c>
      <c r="I1299" t="str">
        <f t="shared" si="41"/>
        <v>Antoine</v>
      </c>
      <c r="J1299" s="82">
        <f>IFERROR(INDEX('All Folders'!$A:$A,MATCH(H1299,'All Folders'!$G:$G,0),1),"¶")</f>
        <v>1571</v>
      </c>
      <c r="K1299" s="87"/>
      <c r="L1299" s="87"/>
    </row>
    <row r="1300" spans="1:12" ht="15" x14ac:dyDescent="0.25">
      <c r="A1300" t="s">
        <v>21194</v>
      </c>
      <c r="B1300" t="s">
        <v>16984</v>
      </c>
      <c r="C1300" t="s">
        <v>16985</v>
      </c>
      <c r="D1300" t="s">
        <v>16986</v>
      </c>
      <c r="E1300">
        <v>5300</v>
      </c>
      <c r="F1300" t="s">
        <v>16987</v>
      </c>
      <c r="G1300" t="s">
        <v>1657</v>
      </c>
      <c r="H1300" t="str">
        <f t="shared" si="40"/>
        <v>Gulf5300Houston</v>
      </c>
      <c r="I1300" t="str">
        <f t="shared" si="41"/>
        <v>Gulf</v>
      </c>
      <c r="J1300" s="82">
        <f>IFERROR(INDEX('All Folders'!$A:$A,MATCH(H1300,'All Folders'!$G:$G,0),1),"¶")</f>
        <v>1572</v>
      </c>
      <c r="K1300" s="87"/>
      <c r="L1300" s="87"/>
    </row>
    <row r="1301" spans="1:12" ht="15" x14ac:dyDescent="0.25">
      <c r="A1301" t="s">
        <v>21195</v>
      </c>
      <c r="B1301" t="s">
        <v>16988</v>
      </c>
      <c r="C1301" t="s">
        <v>16989</v>
      </c>
      <c r="D1301" t="s">
        <v>16990</v>
      </c>
      <c r="E1301">
        <v>6200</v>
      </c>
      <c r="F1301" t="s">
        <v>3604</v>
      </c>
      <c r="G1301" t="s">
        <v>1657</v>
      </c>
      <c r="H1301" t="str">
        <f t="shared" si="40"/>
        <v>Gulfton6200Houston</v>
      </c>
      <c r="I1301" t="str">
        <f t="shared" si="41"/>
        <v>Gulfton</v>
      </c>
      <c r="J1301" s="82">
        <f>IFERROR(INDEX('All Folders'!$A:$A,MATCH(H1301,'All Folders'!$G:$G,0),1),"¶")</f>
        <v>3238</v>
      </c>
      <c r="K1301" s="87"/>
      <c r="L1301" s="87"/>
    </row>
    <row r="1302" spans="1:12" ht="15" x14ac:dyDescent="0.25">
      <c r="A1302" t="s">
        <v>21197</v>
      </c>
      <c r="B1302" t="s">
        <v>16995</v>
      </c>
      <c r="C1302" t="s">
        <v>16996</v>
      </c>
      <c r="D1302" t="s">
        <v>16997</v>
      </c>
      <c r="E1302">
        <v>200</v>
      </c>
      <c r="F1302" t="s">
        <v>12048</v>
      </c>
      <c r="G1302" t="s">
        <v>1657</v>
      </c>
      <c r="H1302" t="str">
        <f t="shared" si="40"/>
        <v>Sunnyside200Houston</v>
      </c>
      <c r="I1302" t="str">
        <f t="shared" si="41"/>
        <v>Sunnyside</v>
      </c>
      <c r="J1302" s="82">
        <f>IFERROR(INDEX('All Folders'!$A:$A,MATCH(H1302,'All Folders'!$G:$G,0),1),"¶")</f>
        <v>30495</v>
      </c>
      <c r="K1302" s="87"/>
      <c r="L1302" s="87"/>
    </row>
    <row r="1303" spans="1:12" ht="15" x14ac:dyDescent="0.25">
      <c r="A1303" t="s">
        <v>21198</v>
      </c>
      <c r="B1303" t="s">
        <v>16998</v>
      </c>
      <c r="C1303" t="s">
        <v>16999</v>
      </c>
      <c r="D1303" t="s">
        <v>16802</v>
      </c>
      <c r="E1303">
        <v>15530</v>
      </c>
      <c r="F1303" t="s">
        <v>1773</v>
      </c>
      <c r="G1303" t="s">
        <v>1657</v>
      </c>
      <c r="H1303" t="str">
        <f t="shared" si="40"/>
        <v>Ella15530Houston</v>
      </c>
      <c r="I1303" t="str">
        <f t="shared" si="41"/>
        <v>Ella</v>
      </c>
      <c r="J1303" s="82">
        <f>IFERROR(INDEX('All Folders'!$A:$A,MATCH(H1303,'All Folders'!$G:$G,0),1),"¶")</f>
        <v>1328</v>
      </c>
      <c r="K1303" s="87"/>
      <c r="L1303" s="87"/>
    </row>
    <row r="1304" spans="1:12" ht="15" x14ac:dyDescent="0.25">
      <c r="A1304" t="s">
        <v>21199</v>
      </c>
      <c r="B1304" t="s">
        <v>17000</v>
      </c>
      <c r="C1304" t="s">
        <v>17001</v>
      </c>
      <c r="D1304" t="s">
        <v>17002</v>
      </c>
      <c r="E1304">
        <v>5525</v>
      </c>
      <c r="F1304" t="s">
        <v>17003</v>
      </c>
      <c r="G1304" t="s">
        <v>1657</v>
      </c>
      <c r="H1304" t="str">
        <f t="shared" si="40"/>
        <v>Gasmer5525Houston</v>
      </c>
      <c r="I1304" t="str">
        <f t="shared" si="41"/>
        <v>Gasmer</v>
      </c>
      <c r="J1304" s="82">
        <f>IFERROR(INDEX('All Folders'!$A:$A,MATCH(H1304,'All Folders'!$G:$G,0),1),"¶")</f>
        <v>3894</v>
      </c>
      <c r="K1304" s="87"/>
      <c r="L1304" s="87"/>
    </row>
    <row r="1305" spans="1:12" ht="15" x14ac:dyDescent="0.25">
      <c r="A1305" t="s">
        <v>21200</v>
      </c>
      <c r="B1305" t="s">
        <v>17004</v>
      </c>
      <c r="C1305" t="s">
        <v>17005</v>
      </c>
      <c r="D1305" t="s">
        <v>17006</v>
      </c>
      <c r="E1305">
        <v>5007</v>
      </c>
      <c r="F1305" t="s">
        <v>17007</v>
      </c>
      <c r="G1305" t="s">
        <v>1657</v>
      </c>
      <c r="H1305" t="str">
        <f t="shared" si="40"/>
        <v>19605007Houston</v>
      </c>
      <c r="I1305" t="str">
        <f t="shared" si="41"/>
        <v>1960</v>
      </c>
      <c r="J1305" s="82">
        <f>IFERROR(INDEX('All Folders'!$A:$A,MATCH(H1305,'All Folders'!$G:$G,0),1),"¶")</f>
        <v>16115</v>
      </c>
      <c r="K1305" s="87"/>
      <c r="L1305" s="87"/>
    </row>
    <row r="1306" spans="1:12" ht="15" x14ac:dyDescent="0.25">
      <c r="A1306" t="s">
        <v>21202</v>
      </c>
      <c r="B1306" t="s">
        <v>17011</v>
      </c>
      <c r="C1306" t="s">
        <v>17012</v>
      </c>
      <c r="D1306" t="s">
        <v>17013</v>
      </c>
      <c r="E1306">
        <v>12200</v>
      </c>
      <c r="F1306" t="s">
        <v>2707</v>
      </c>
      <c r="G1306" t="s">
        <v>1657</v>
      </c>
      <c r="H1306" t="str">
        <f t="shared" si="40"/>
        <v>Overbrook12200Houston</v>
      </c>
      <c r="I1306" t="str">
        <f t="shared" si="41"/>
        <v>Overbrook</v>
      </c>
      <c r="J1306" s="82">
        <f>IFERROR(INDEX('All Folders'!$A:$A,MATCH(H1306,'All Folders'!$G:$G,0),1),"¶")</f>
        <v>2143</v>
      </c>
      <c r="K1306" s="87"/>
      <c r="L1306" s="87"/>
    </row>
    <row r="1307" spans="1:12" ht="15" x14ac:dyDescent="0.25">
      <c r="A1307" t="s">
        <v>21203</v>
      </c>
      <c r="B1307" t="s">
        <v>17014</v>
      </c>
      <c r="C1307" t="s">
        <v>17015</v>
      </c>
      <c r="D1307" t="s">
        <v>15687</v>
      </c>
      <c r="E1307">
        <v>8217</v>
      </c>
      <c r="F1307" t="s">
        <v>17016</v>
      </c>
      <c r="G1307" t="s">
        <v>1657</v>
      </c>
      <c r="H1307" t="str">
        <f t="shared" si="40"/>
        <v>Fulton8217Houston</v>
      </c>
      <c r="I1307" t="str">
        <f t="shared" si="41"/>
        <v>Fulton</v>
      </c>
      <c r="J1307" s="82">
        <f>IFERROR(INDEX('All Folders'!$A:$A,MATCH(H1307,'All Folders'!$G:$G,0),1),"¶")</f>
        <v>1956</v>
      </c>
      <c r="K1307" s="87"/>
      <c r="L1307" s="87"/>
    </row>
    <row r="1308" spans="1:12" ht="15" x14ac:dyDescent="0.25">
      <c r="A1308" t="s">
        <v>21204</v>
      </c>
      <c r="B1308" t="s">
        <v>17017</v>
      </c>
      <c r="C1308" t="s">
        <v>17018</v>
      </c>
      <c r="D1308" t="s">
        <v>17019</v>
      </c>
      <c r="E1308">
        <v>1121</v>
      </c>
      <c r="F1308" t="s">
        <v>12058</v>
      </c>
      <c r="G1308" t="s">
        <v>1657</v>
      </c>
      <c r="H1308" t="str">
        <f t="shared" si="40"/>
        <v>Walker1121Houston</v>
      </c>
      <c r="I1308" t="str">
        <f t="shared" si="41"/>
        <v>Walker</v>
      </c>
      <c r="J1308" s="82">
        <f>IFERROR(INDEX('All Folders'!$A:$A,MATCH(H1308,'All Folders'!$G:$G,0),1),"¶")</f>
        <v>30504</v>
      </c>
      <c r="K1308" s="87"/>
      <c r="L1308" s="87"/>
    </row>
    <row r="1309" spans="1:12" ht="15" x14ac:dyDescent="0.25">
      <c r="A1309" t="s">
        <v>21205</v>
      </c>
      <c r="B1309" t="s">
        <v>17020</v>
      </c>
      <c r="C1309" t="s">
        <v>17021</v>
      </c>
      <c r="D1309" t="s">
        <v>16841</v>
      </c>
      <c r="E1309">
        <v>5400</v>
      </c>
      <c r="F1309" t="s">
        <v>3021</v>
      </c>
      <c r="G1309" t="s">
        <v>1657</v>
      </c>
      <c r="H1309" t="str">
        <f t="shared" si="40"/>
        <v>Memorial5400Houston</v>
      </c>
      <c r="I1309" t="str">
        <f t="shared" si="41"/>
        <v>Memorial</v>
      </c>
      <c r="J1309" s="82">
        <f>IFERROR(INDEX('All Folders'!$A:$A,MATCH(H1309,'All Folders'!$G:$G,0),1),"¶")</f>
        <v>2469</v>
      </c>
      <c r="K1309" s="87"/>
      <c r="L1309" s="87"/>
    </row>
    <row r="1310" spans="1:12" ht="15" x14ac:dyDescent="0.25">
      <c r="A1310" t="s">
        <v>21206</v>
      </c>
      <c r="B1310" t="s">
        <v>17022</v>
      </c>
      <c r="C1310" t="s">
        <v>17023</v>
      </c>
      <c r="D1310" t="s">
        <v>17024</v>
      </c>
      <c r="E1310">
        <v>6500</v>
      </c>
      <c r="F1310" t="s">
        <v>9270</v>
      </c>
      <c r="G1310" t="s">
        <v>1657</v>
      </c>
      <c r="H1310" t="str">
        <f t="shared" si="40"/>
        <v>Dunlap6500Houston</v>
      </c>
      <c r="I1310" t="str">
        <f t="shared" si="41"/>
        <v>Dunlap</v>
      </c>
      <c r="J1310" s="82">
        <f>IFERROR(INDEX('All Folders'!$A:$A,MATCH(H1310,'All Folders'!$G:$G,0),1),"¶")</f>
        <v>17027</v>
      </c>
      <c r="K1310" s="87"/>
      <c r="L1310" s="87"/>
    </row>
    <row r="1311" spans="1:12" ht="15" x14ac:dyDescent="0.25">
      <c r="A1311" t="s">
        <v>21207</v>
      </c>
      <c r="B1311" t="s">
        <v>17025</v>
      </c>
      <c r="C1311" t="s">
        <v>17026</v>
      </c>
      <c r="D1311" t="s">
        <v>12008</v>
      </c>
      <c r="E1311">
        <v>805</v>
      </c>
      <c r="F1311" t="s">
        <v>17027</v>
      </c>
      <c r="G1311" t="s">
        <v>1657</v>
      </c>
      <c r="H1311" t="str">
        <f t="shared" si="40"/>
        <v>Autumn805Houston</v>
      </c>
      <c r="I1311" t="str">
        <f t="shared" si="41"/>
        <v>Autumn</v>
      </c>
      <c r="J1311" s="82">
        <f>IFERROR(INDEX('All Folders'!$A:$A,MATCH(H1311,'All Folders'!$G:$G,0),1),"¶")</f>
        <v>30461</v>
      </c>
      <c r="K1311" s="87"/>
      <c r="L1311" s="87"/>
    </row>
    <row r="1312" spans="1:12" ht="15" x14ac:dyDescent="0.25">
      <c r="A1312" t="s">
        <v>21209</v>
      </c>
      <c r="B1312" t="s">
        <v>17031</v>
      </c>
      <c r="C1312" t="s">
        <v>17032</v>
      </c>
      <c r="D1312" t="s">
        <v>17033</v>
      </c>
      <c r="E1312">
        <v>17111</v>
      </c>
      <c r="F1312" t="s">
        <v>17034</v>
      </c>
      <c r="G1312" t="s">
        <v>1657</v>
      </c>
      <c r="H1312" t="str">
        <f t="shared" si="40"/>
        <v>Hafer17111Houston</v>
      </c>
      <c r="I1312" t="str">
        <f t="shared" si="41"/>
        <v>Hafer</v>
      </c>
      <c r="J1312" s="82">
        <f>IFERROR(INDEX('All Folders'!$A:$A,MATCH(H1312,'All Folders'!$G:$G,0),1),"¶")</f>
        <v>4151</v>
      </c>
      <c r="K1312" s="87"/>
      <c r="L1312" s="87"/>
    </row>
    <row r="1313" spans="1:12" ht="15" x14ac:dyDescent="0.25">
      <c r="A1313" t="s">
        <v>21210</v>
      </c>
      <c r="B1313" t="s">
        <v>17035</v>
      </c>
      <c r="C1313" t="s">
        <v>17036</v>
      </c>
      <c r="D1313" t="s">
        <v>17037</v>
      </c>
      <c r="E1313">
        <v>18001</v>
      </c>
      <c r="F1313" t="s">
        <v>1741</v>
      </c>
      <c r="G1313" t="s">
        <v>1657</v>
      </c>
      <c r="H1313" t="str">
        <f t="shared" si="40"/>
        <v>Cypress18001Houston</v>
      </c>
      <c r="I1313" t="str">
        <f t="shared" si="41"/>
        <v>Cypress</v>
      </c>
      <c r="J1313" s="82">
        <f>IFERROR(INDEX('All Folders'!$A:$A,MATCH(H1313,'All Folders'!$G:$G,0),1),"¶")</f>
        <v>1307</v>
      </c>
      <c r="K1313" s="87"/>
      <c r="L1313" s="87"/>
    </row>
    <row r="1314" spans="1:12" ht="15" x14ac:dyDescent="0.25">
      <c r="A1314" t="s">
        <v>21211</v>
      </c>
      <c r="B1314" t="s">
        <v>17038</v>
      </c>
      <c r="C1314" t="s">
        <v>17039</v>
      </c>
      <c r="D1314" t="s">
        <v>17040</v>
      </c>
      <c r="E1314">
        <v>633</v>
      </c>
      <c r="F1314" t="s">
        <v>17041</v>
      </c>
      <c r="G1314" t="s">
        <v>1657</v>
      </c>
      <c r="H1314" t="str">
        <f t="shared" si="40"/>
        <v>Rushcreek633Houston</v>
      </c>
      <c r="I1314" t="str">
        <f t="shared" si="41"/>
        <v>Rushcreek</v>
      </c>
      <c r="J1314" s="82">
        <f>IFERROR(INDEX('All Folders'!$A:$A,MATCH(H1314,'All Folders'!$G:$G,0),1),"¶")</f>
        <v>1460</v>
      </c>
      <c r="K1314" s="87"/>
      <c r="L1314" s="87"/>
    </row>
    <row r="1315" spans="1:12" ht="15" x14ac:dyDescent="0.25">
      <c r="A1315" t="s">
        <v>21212</v>
      </c>
      <c r="B1315" t="s">
        <v>17042</v>
      </c>
      <c r="C1315" t="s">
        <v>17043</v>
      </c>
      <c r="D1315" t="s">
        <v>1748</v>
      </c>
      <c r="E1315">
        <v>1000</v>
      </c>
      <c r="F1315" t="s">
        <v>17044</v>
      </c>
      <c r="G1315" t="s">
        <v>1657</v>
      </c>
      <c r="H1315" t="str">
        <f t="shared" si="40"/>
        <v>Cypress1000Houston</v>
      </c>
      <c r="I1315" t="str">
        <f t="shared" si="41"/>
        <v>Cypress</v>
      </c>
      <c r="J1315" s="82">
        <f>IFERROR(INDEX('All Folders'!$A:$A,MATCH(H1315,'All Folders'!$G:$G,0),1),"¶")</f>
        <v>1297</v>
      </c>
      <c r="K1315" s="87"/>
      <c r="L1315" s="87"/>
    </row>
    <row r="1316" spans="1:12" ht="15" x14ac:dyDescent="0.25">
      <c r="A1316" t="s">
        <v>21215</v>
      </c>
      <c r="B1316" t="s">
        <v>17050</v>
      </c>
      <c r="C1316" t="s">
        <v>17051</v>
      </c>
      <c r="D1316" t="s">
        <v>17052</v>
      </c>
      <c r="E1316">
        <v>2500</v>
      </c>
      <c r="F1316" t="s">
        <v>17053</v>
      </c>
      <c r="G1316" t="s">
        <v>1657</v>
      </c>
      <c r="H1316" t="str">
        <f t="shared" si="40"/>
        <v>Old2500Houston</v>
      </c>
      <c r="I1316" t="str">
        <f t="shared" si="41"/>
        <v>Old</v>
      </c>
      <c r="J1316" s="82">
        <f>IFERROR(INDEX('All Folders'!$A:$A,MATCH(H1316,'All Folders'!$G:$G,0),1),"¶")</f>
        <v>2245</v>
      </c>
      <c r="K1316" s="87"/>
      <c r="L1316" s="87"/>
    </row>
    <row r="1317" spans="1:12" ht="15" x14ac:dyDescent="0.25">
      <c r="A1317" t="s">
        <v>21217</v>
      </c>
      <c r="B1317" t="s">
        <v>17056</v>
      </c>
      <c r="C1317" t="s">
        <v>17057</v>
      </c>
      <c r="D1317" t="s">
        <v>17058</v>
      </c>
      <c r="E1317">
        <v>6425</v>
      </c>
      <c r="F1317" t="s">
        <v>17059</v>
      </c>
      <c r="G1317" t="s">
        <v>1657</v>
      </c>
      <c r="H1317" t="str">
        <f t="shared" si="40"/>
        <v>Westheimer6425Houston</v>
      </c>
      <c r="I1317" t="str">
        <f t="shared" si="41"/>
        <v>Westheimer</v>
      </c>
      <c r="J1317" s="82">
        <f>IFERROR(INDEX('All Folders'!$A:$A,MATCH(H1317,'All Folders'!$G:$G,0),1),"¶")</f>
        <v>2315</v>
      </c>
      <c r="K1317" s="87"/>
      <c r="L1317" s="87"/>
    </row>
    <row r="1318" spans="1:12" ht="15" x14ac:dyDescent="0.25">
      <c r="A1318" t="s">
        <v>21218</v>
      </c>
      <c r="B1318" t="s">
        <v>17060</v>
      </c>
      <c r="C1318" t="s">
        <v>17061</v>
      </c>
      <c r="D1318" t="s">
        <v>17062</v>
      </c>
      <c r="E1318">
        <v>2424</v>
      </c>
      <c r="F1318" t="s">
        <v>17063</v>
      </c>
      <c r="G1318" t="s">
        <v>1657</v>
      </c>
      <c r="H1318" t="str">
        <f t="shared" si="40"/>
        <v>Voss2424Houston</v>
      </c>
      <c r="I1318" t="str">
        <f t="shared" si="41"/>
        <v>Voss</v>
      </c>
      <c r="J1318" s="82">
        <f>IFERROR(INDEX('All Folders'!$A:$A,MATCH(H1318,'All Folders'!$G:$G,0),1),"¶")</f>
        <v>2203</v>
      </c>
      <c r="K1318" s="87"/>
      <c r="L1318" s="87"/>
    </row>
    <row r="1319" spans="1:12" ht="15" x14ac:dyDescent="0.25">
      <c r="A1319" t="s">
        <v>21219</v>
      </c>
      <c r="B1319" t="s">
        <v>17064</v>
      </c>
      <c r="C1319" t="s">
        <v>17065</v>
      </c>
      <c r="D1319" t="s">
        <v>17066</v>
      </c>
      <c r="E1319">
        <v>9303</v>
      </c>
      <c r="F1319" t="s">
        <v>548</v>
      </c>
      <c r="G1319" t="s">
        <v>1657</v>
      </c>
      <c r="H1319" t="str">
        <f t="shared" si="40"/>
        <v>Woodfair9303Houston</v>
      </c>
      <c r="I1319" t="str">
        <f t="shared" si="41"/>
        <v>Woodfair</v>
      </c>
      <c r="J1319" s="82">
        <f>IFERROR(INDEX('All Folders'!$A:$A,MATCH(H1319,'All Folders'!$G:$G,0),1),"¶")</f>
        <v>3071</v>
      </c>
      <c r="K1319" s="87"/>
      <c r="L1319" s="87"/>
    </row>
    <row r="1320" spans="1:12" ht="15" x14ac:dyDescent="0.25">
      <c r="A1320" t="s">
        <v>21220</v>
      </c>
      <c r="B1320" t="s">
        <v>17067</v>
      </c>
      <c r="C1320" t="s">
        <v>17068</v>
      </c>
      <c r="D1320" t="s">
        <v>17069</v>
      </c>
      <c r="E1320">
        <v>7000</v>
      </c>
      <c r="F1320" t="s">
        <v>17070</v>
      </c>
      <c r="G1320" t="s">
        <v>1657</v>
      </c>
      <c r="H1320" t="str">
        <f t="shared" si="40"/>
        <v>Cook7000Houston</v>
      </c>
      <c r="I1320" t="str">
        <f t="shared" si="41"/>
        <v>Cook</v>
      </c>
      <c r="J1320" s="82">
        <f>IFERROR(INDEX('All Folders'!$A:$A,MATCH(H1320,'All Folders'!$G:$G,0),1),"¶")</f>
        <v>3025</v>
      </c>
      <c r="K1320" s="87"/>
      <c r="L1320" s="87"/>
    </row>
    <row r="1321" spans="1:12" ht="15" x14ac:dyDescent="0.25">
      <c r="A1321" t="s">
        <v>21221</v>
      </c>
      <c r="B1321" t="s">
        <v>17071</v>
      </c>
      <c r="C1321" t="s">
        <v>17072</v>
      </c>
      <c r="D1321" t="s">
        <v>17073</v>
      </c>
      <c r="E1321">
        <v>4725</v>
      </c>
      <c r="F1321" t="s">
        <v>2551</v>
      </c>
      <c r="G1321" t="s">
        <v>1657</v>
      </c>
      <c r="H1321" t="str">
        <f t="shared" si="40"/>
        <v>Main4725Houston</v>
      </c>
      <c r="I1321" t="str">
        <f t="shared" si="41"/>
        <v>Main</v>
      </c>
      <c r="J1321" s="82">
        <f>IFERROR(INDEX('All Folders'!$A:$A,MATCH(H1321,'All Folders'!$G:$G,0),1),"¶")</f>
        <v>1999</v>
      </c>
      <c r="K1321" s="87"/>
      <c r="L1321" s="87"/>
    </row>
    <row r="1322" spans="1:12" ht="15" x14ac:dyDescent="0.25">
      <c r="A1322" t="s">
        <v>21222</v>
      </c>
      <c r="B1322" t="s">
        <v>17074</v>
      </c>
      <c r="C1322" t="s">
        <v>17075</v>
      </c>
      <c r="D1322" t="s">
        <v>2404</v>
      </c>
      <c r="E1322">
        <v>1717</v>
      </c>
      <c r="F1322" t="s">
        <v>17076</v>
      </c>
      <c r="G1322" t="s">
        <v>1657</v>
      </c>
      <c r="H1322" t="str">
        <f t="shared" si="40"/>
        <v>Pine1717Houston</v>
      </c>
      <c r="I1322" t="str">
        <f t="shared" si="41"/>
        <v>Pine</v>
      </c>
      <c r="J1322" s="82">
        <f>IFERROR(INDEX('All Folders'!$A:$A,MATCH(H1322,'All Folders'!$G:$G,0),1),"¶")</f>
        <v>1827</v>
      </c>
      <c r="K1322" s="87"/>
      <c r="L1322" s="87"/>
    </row>
    <row r="1323" spans="1:12" ht="15" x14ac:dyDescent="0.25">
      <c r="A1323" t="s">
        <v>21223</v>
      </c>
      <c r="B1323" t="s">
        <v>17077</v>
      </c>
      <c r="C1323" t="s">
        <v>17078</v>
      </c>
      <c r="D1323" t="s">
        <v>2303</v>
      </c>
      <c r="E1323">
        <v>5700</v>
      </c>
      <c r="F1323" t="s">
        <v>2304</v>
      </c>
      <c r="G1323" t="s">
        <v>1657</v>
      </c>
      <c r="H1323" t="str">
        <f t="shared" si="40"/>
        <v>Thousand5700Houston</v>
      </c>
      <c r="I1323" t="str">
        <f t="shared" si="41"/>
        <v>Thousand</v>
      </c>
      <c r="J1323" s="82">
        <f>IFERROR(INDEX('All Folders'!$A:$A,MATCH(H1323,'All Folders'!$G:$G,0),1),"¶")</f>
        <v>1727</v>
      </c>
      <c r="K1323" s="87"/>
      <c r="L1323" s="87"/>
    </row>
    <row r="1324" spans="1:12" ht="15" x14ac:dyDescent="0.25">
      <c r="A1324" t="s">
        <v>21224</v>
      </c>
      <c r="B1324" t="s">
        <v>17079</v>
      </c>
      <c r="C1324" t="s">
        <v>17080</v>
      </c>
      <c r="D1324" t="s">
        <v>3752</v>
      </c>
      <c r="E1324">
        <v>3901</v>
      </c>
      <c r="F1324" t="s">
        <v>17081</v>
      </c>
      <c r="G1324" t="s">
        <v>1657</v>
      </c>
      <c r="H1324" t="str">
        <f t="shared" si="40"/>
        <v>O'Meara3901Houston</v>
      </c>
      <c r="I1324" t="str">
        <f t="shared" si="41"/>
        <v>O'Meara</v>
      </c>
      <c r="J1324" s="82">
        <f>IFERROR(INDEX('All Folders'!$A:$A,MATCH(H1324,'All Folders'!$G:$G,0),1),"¶")</f>
        <v>3425</v>
      </c>
      <c r="K1324" s="87"/>
      <c r="L1324" s="87"/>
    </row>
    <row r="1325" spans="1:12" ht="15" x14ac:dyDescent="0.25">
      <c r="A1325" t="s">
        <v>21225</v>
      </c>
      <c r="B1325" t="s">
        <v>17082</v>
      </c>
      <c r="C1325" t="s">
        <v>17083</v>
      </c>
      <c r="D1325" t="s">
        <v>17024</v>
      </c>
      <c r="E1325">
        <v>12500</v>
      </c>
      <c r="F1325" t="s">
        <v>4121</v>
      </c>
      <c r="G1325" t="s">
        <v>1657</v>
      </c>
      <c r="H1325" t="str">
        <f t="shared" si="40"/>
        <v>Dunlap12500Houston</v>
      </c>
      <c r="I1325" t="str">
        <f t="shared" si="41"/>
        <v>Dunlap</v>
      </c>
      <c r="J1325" s="82">
        <f>IFERROR(INDEX('All Folders'!$A:$A,MATCH(H1325,'All Folders'!$G:$G,0),1),"¶")</f>
        <v>3887</v>
      </c>
      <c r="K1325" s="87"/>
      <c r="L1325" s="87"/>
    </row>
    <row r="1326" spans="1:12" ht="15" x14ac:dyDescent="0.25">
      <c r="A1326" t="s">
        <v>21226</v>
      </c>
      <c r="B1326" t="s">
        <v>17084</v>
      </c>
      <c r="C1326" t="s">
        <v>17085</v>
      </c>
      <c r="D1326" t="s">
        <v>17086</v>
      </c>
      <c r="E1326">
        <v>5601</v>
      </c>
      <c r="F1326" t="s">
        <v>2171</v>
      </c>
      <c r="G1326" t="s">
        <v>1657</v>
      </c>
      <c r="H1326" t="str">
        <f t="shared" si="40"/>
        <v>Hamill5601Houston</v>
      </c>
      <c r="I1326" t="str">
        <f t="shared" si="41"/>
        <v>Hamill</v>
      </c>
      <c r="J1326" s="82">
        <f>IFERROR(INDEX('All Folders'!$A:$A,MATCH(H1326,'All Folders'!$G:$G,0),1),"¶")</f>
        <v>1619</v>
      </c>
      <c r="K1326" s="87"/>
      <c r="L1326" s="87"/>
    </row>
    <row r="1327" spans="1:12" ht="15" x14ac:dyDescent="0.25">
      <c r="A1327" t="s">
        <v>21227</v>
      </c>
      <c r="B1327" t="s">
        <v>17087</v>
      </c>
      <c r="C1327" t="s">
        <v>17088</v>
      </c>
      <c r="D1327" t="s">
        <v>17066</v>
      </c>
      <c r="E1327">
        <v>9502</v>
      </c>
      <c r="F1327" t="s">
        <v>17089</v>
      </c>
      <c r="G1327" t="s">
        <v>1657</v>
      </c>
      <c r="H1327" t="str">
        <f t="shared" si="40"/>
        <v>Woodfair9502Houston</v>
      </c>
      <c r="I1327" t="str">
        <f t="shared" si="41"/>
        <v>Woodfair</v>
      </c>
      <c r="J1327" s="82">
        <f>IFERROR(INDEX('All Folders'!$A:$A,MATCH(H1327,'All Folders'!$G:$G,0),1),"¶")</f>
        <v>3066</v>
      </c>
      <c r="K1327" s="87"/>
      <c r="L1327" s="87"/>
    </row>
    <row r="1328" spans="1:12" ht="15" x14ac:dyDescent="0.25">
      <c r="A1328" t="s">
        <v>21228</v>
      </c>
      <c r="B1328" t="s">
        <v>17090</v>
      </c>
      <c r="C1328" t="s">
        <v>17091</v>
      </c>
      <c r="D1328" t="s">
        <v>16922</v>
      </c>
      <c r="E1328">
        <v>7835</v>
      </c>
      <c r="F1328" t="s">
        <v>2247</v>
      </c>
      <c r="G1328" t="s">
        <v>1657</v>
      </c>
      <c r="H1328" t="str">
        <f t="shared" si="40"/>
        <v>Grow7835Houston</v>
      </c>
      <c r="I1328" t="str">
        <f t="shared" si="41"/>
        <v>Grow</v>
      </c>
      <c r="J1328" s="82">
        <f>IFERROR(INDEX('All Folders'!$A:$A,MATCH(H1328,'All Folders'!$G:$G,0),1),"¶")</f>
        <v>1684</v>
      </c>
      <c r="K1328" s="87"/>
      <c r="L1328" s="87"/>
    </row>
    <row r="1329" spans="1:12" ht="15" x14ac:dyDescent="0.25">
      <c r="A1329" t="s">
        <v>21229</v>
      </c>
      <c r="B1329" t="s">
        <v>17092</v>
      </c>
      <c r="C1329" t="s">
        <v>17093</v>
      </c>
      <c r="D1329" t="s">
        <v>17094</v>
      </c>
      <c r="E1329">
        <v>9406</v>
      </c>
      <c r="F1329" t="s">
        <v>4180</v>
      </c>
      <c r="G1329" t="s">
        <v>1657</v>
      </c>
      <c r="H1329" t="str">
        <f t="shared" si="40"/>
        <v>Redford9406Houston</v>
      </c>
      <c r="I1329" t="str">
        <f t="shared" si="41"/>
        <v>Redford</v>
      </c>
      <c r="J1329" s="82">
        <f>IFERROR(INDEX('All Folders'!$A:$A,MATCH(H1329,'All Folders'!$G:$G,0),1),"¶")</f>
        <v>3954</v>
      </c>
      <c r="K1329" s="87"/>
      <c r="L1329" s="87"/>
    </row>
    <row r="1330" spans="1:12" ht="15" x14ac:dyDescent="0.25">
      <c r="A1330" t="s">
        <v>21230</v>
      </c>
      <c r="B1330" t="s">
        <v>17095</v>
      </c>
      <c r="C1330" t="s">
        <v>17096</v>
      </c>
      <c r="D1330" t="s">
        <v>17097</v>
      </c>
      <c r="E1330">
        <v>6111</v>
      </c>
      <c r="F1330" t="s">
        <v>3600</v>
      </c>
      <c r="G1330" t="s">
        <v>1657</v>
      </c>
      <c r="H1330" t="str">
        <f t="shared" si="40"/>
        <v>Willowbend6111Houston</v>
      </c>
      <c r="I1330" t="str">
        <f t="shared" si="41"/>
        <v>Willowbend</v>
      </c>
      <c r="J1330" s="82">
        <f>IFERROR(INDEX('All Folders'!$A:$A,MATCH(H1330,'All Folders'!$G:$G,0),1),"¶")</f>
        <v>3234</v>
      </c>
      <c r="K1330" s="87"/>
      <c r="L1330" s="87"/>
    </row>
    <row r="1331" spans="1:12" ht="15" x14ac:dyDescent="0.25">
      <c r="A1331" t="s">
        <v>21231</v>
      </c>
      <c r="B1331" t="s">
        <v>17098</v>
      </c>
      <c r="C1331" t="s">
        <v>17099</v>
      </c>
      <c r="D1331" t="s">
        <v>17100</v>
      </c>
      <c r="E1331">
        <v>12951</v>
      </c>
      <c r="F1331" t="s">
        <v>17101</v>
      </c>
      <c r="G1331" t="s">
        <v>1657</v>
      </c>
      <c r="H1331" t="str">
        <f t="shared" si="40"/>
        <v>Briar12951Houston</v>
      </c>
      <c r="I1331" t="str">
        <f t="shared" si="41"/>
        <v>Briar</v>
      </c>
      <c r="J1331" s="82">
        <f>IFERROR(INDEX('All Folders'!$A:$A,MATCH(H1331,'All Folders'!$G:$G,0),1),"¶")</f>
        <v>2110</v>
      </c>
      <c r="K1331" s="87"/>
      <c r="L1331" s="87"/>
    </row>
    <row r="1332" spans="1:12" ht="15" x14ac:dyDescent="0.25">
      <c r="A1332" t="s">
        <v>21232</v>
      </c>
      <c r="B1332" t="s">
        <v>17102</v>
      </c>
      <c r="C1332" t="s">
        <v>17103</v>
      </c>
      <c r="D1332" t="s">
        <v>17104</v>
      </c>
      <c r="E1332">
        <v>450</v>
      </c>
      <c r="F1332" t="s">
        <v>14328</v>
      </c>
      <c r="G1332" t="s">
        <v>1657</v>
      </c>
      <c r="H1332" t="str">
        <f t="shared" si="40"/>
        <v>Normandy450Houston</v>
      </c>
      <c r="I1332" t="str">
        <f t="shared" si="41"/>
        <v>Normandy</v>
      </c>
      <c r="J1332" s="82">
        <f>IFERROR(INDEX('All Folders'!$A:$A,MATCH(H1332,'All Folders'!$G:$G,0),1),"¶")</f>
        <v>2058</v>
      </c>
      <c r="K1332" s="87"/>
      <c r="L1332" s="87"/>
    </row>
    <row r="1333" spans="1:12" ht="15" x14ac:dyDescent="0.25">
      <c r="A1333" t="s">
        <v>21233</v>
      </c>
      <c r="B1333" t="s">
        <v>17105</v>
      </c>
      <c r="C1333" t="s">
        <v>17106</v>
      </c>
      <c r="D1333" t="s">
        <v>17107</v>
      </c>
      <c r="E1333">
        <v>1702</v>
      </c>
      <c r="F1333" t="s">
        <v>17108</v>
      </c>
      <c r="G1333" t="s">
        <v>1657</v>
      </c>
      <c r="H1333" t="str">
        <f t="shared" si="40"/>
        <v>Gessner1702Houston</v>
      </c>
      <c r="I1333" t="str">
        <f t="shared" si="41"/>
        <v>Gessner</v>
      </c>
      <c r="J1333" s="82">
        <f>IFERROR(INDEX('All Folders'!$A:$A,MATCH(H1333,'All Folders'!$G:$G,0),1),"¶")</f>
        <v>1743</v>
      </c>
      <c r="K1333" s="87"/>
      <c r="L1333" s="87"/>
    </row>
    <row r="1334" spans="1:12" ht="15" x14ac:dyDescent="0.25">
      <c r="A1334" t="s">
        <v>21235</v>
      </c>
      <c r="B1334" t="s">
        <v>17113</v>
      </c>
      <c r="C1334" t="s">
        <v>17114</v>
      </c>
      <c r="D1334" t="s">
        <v>17115</v>
      </c>
      <c r="E1334">
        <v>13502</v>
      </c>
      <c r="F1334" t="s">
        <v>17116</v>
      </c>
      <c r="G1334" t="s">
        <v>1657</v>
      </c>
      <c r="H1334" t="str">
        <f t="shared" si="40"/>
        <v>Northborough13502Houston</v>
      </c>
      <c r="I1334" t="str">
        <f t="shared" si="41"/>
        <v>Northborough</v>
      </c>
      <c r="J1334" s="82">
        <f>IFERROR(INDEX('All Folders'!$A:$A,MATCH(H1334,'All Folders'!$G:$G,0),1),"¶")</f>
        <v>1450</v>
      </c>
      <c r="K1334" s="87"/>
      <c r="L1334" s="87"/>
    </row>
    <row r="1335" spans="1:12" ht="15" x14ac:dyDescent="0.25">
      <c r="A1335" t="s">
        <v>21236</v>
      </c>
      <c r="B1335" t="s">
        <v>17117</v>
      </c>
      <c r="C1335" t="s">
        <v>17118</v>
      </c>
      <c r="D1335" t="s">
        <v>17119</v>
      </c>
      <c r="E1335">
        <v>3003</v>
      </c>
      <c r="F1335" t="s">
        <v>17120</v>
      </c>
      <c r="G1335" t="s">
        <v>1657</v>
      </c>
      <c r="H1335" t="str">
        <f t="shared" si="40"/>
        <v>Windchase3003Houston</v>
      </c>
      <c r="I1335" t="str">
        <f t="shared" si="41"/>
        <v>Windchase</v>
      </c>
      <c r="J1335" s="82">
        <f>IFERROR(INDEX('All Folders'!$A:$A,MATCH(H1335,'All Folders'!$G:$G,0),1),"¶")</f>
        <v>2140</v>
      </c>
      <c r="K1335" s="87"/>
      <c r="L1335" s="87"/>
    </row>
    <row r="1336" spans="1:12" ht="15" x14ac:dyDescent="0.25">
      <c r="A1336" t="s">
        <v>21238</v>
      </c>
      <c r="B1336" t="s">
        <v>17124</v>
      </c>
      <c r="C1336" t="s">
        <v>17125</v>
      </c>
      <c r="D1336" t="s">
        <v>17126</v>
      </c>
      <c r="E1336">
        <v>7703</v>
      </c>
      <c r="F1336" t="s">
        <v>1921</v>
      </c>
      <c r="G1336" t="s">
        <v>1657</v>
      </c>
      <c r="H1336" t="str">
        <f t="shared" si="40"/>
        <v>Seton7703Houston</v>
      </c>
      <c r="I1336" t="str">
        <f t="shared" si="41"/>
        <v>Seton</v>
      </c>
      <c r="J1336" s="82">
        <f>IFERROR(INDEX('All Folders'!$A:$A,MATCH(H1336,'All Folders'!$G:$G,0),1),"¶")</f>
        <v>1426</v>
      </c>
      <c r="K1336" s="87"/>
      <c r="L1336" s="87"/>
    </row>
    <row r="1337" spans="1:12" ht="15" x14ac:dyDescent="0.25">
      <c r="A1337" t="s">
        <v>21239</v>
      </c>
      <c r="B1337" t="s">
        <v>17127</v>
      </c>
      <c r="C1337" t="s">
        <v>17128</v>
      </c>
      <c r="D1337" t="s">
        <v>17129</v>
      </c>
      <c r="E1337">
        <v>4250</v>
      </c>
      <c r="F1337" t="s">
        <v>17130</v>
      </c>
      <c r="G1337" t="s">
        <v>1657</v>
      </c>
      <c r="H1337" t="str">
        <f t="shared" si="40"/>
        <v>34th4250Houston</v>
      </c>
      <c r="I1337" t="str">
        <f t="shared" si="41"/>
        <v>34th</v>
      </c>
      <c r="J1337" s="82">
        <f>IFERROR(INDEX('All Folders'!$A:$A,MATCH(H1337,'All Folders'!$G:$G,0),1),"¶")</f>
        <v>1828</v>
      </c>
      <c r="K1337" s="87"/>
      <c r="L1337" s="87"/>
    </row>
    <row r="1338" spans="1:12" ht="15" x14ac:dyDescent="0.25">
      <c r="A1338" t="s">
        <v>21240</v>
      </c>
      <c r="B1338" t="s">
        <v>17131</v>
      </c>
      <c r="C1338" t="s">
        <v>17132</v>
      </c>
      <c r="D1338" t="s">
        <v>16957</v>
      </c>
      <c r="E1338">
        <v>6353</v>
      </c>
      <c r="F1338" t="s">
        <v>6266</v>
      </c>
      <c r="G1338" t="s">
        <v>1657</v>
      </c>
      <c r="H1338" t="str">
        <f t="shared" si="40"/>
        <v>Skyline6353Houston</v>
      </c>
      <c r="I1338" t="str">
        <f t="shared" si="41"/>
        <v>Skyline</v>
      </c>
      <c r="J1338" s="82">
        <f>IFERROR(INDEX('All Folders'!$A:$A,MATCH(H1338,'All Folders'!$G:$G,0),1),"¶")</f>
        <v>2422</v>
      </c>
      <c r="K1338" s="87"/>
      <c r="L1338" s="87"/>
    </row>
    <row r="1339" spans="1:12" ht="15" x14ac:dyDescent="0.25">
      <c r="A1339" t="s">
        <v>21241</v>
      </c>
      <c r="B1339" t="s">
        <v>17133</v>
      </c>
      <c r="C1339" t="s">
        <v>17134</v>
      </c>
      <c r="D1339" t="s">
        <v>16808</v>
      </c>
      <c r="E1339">
        <v>6000</v>
      </c>
      <c r="F1339" t="s">
        <v>17135</v>
      </c>
      <c r="G1339" t="s">
        <v>1657</v>
      </c>
      <c r="H1339" t="str">
        <f t="shared" si="40"/>
        <v>Bissonnet6000Houston</v>
      </c>
      <c r="I1339" t="str">
        <f t="shared" si="41"/>
        <v>Bissonnet</v>
      </c>
      <c r="J1339" s="82">
        <f>IFERROR(INDEX('All Folders'!$A:$A,MATCH(H1339,'All Folders'!$G:$G,0),1),"¶")</f>
        <v>3294</v>
      </c>
      <c r="K1339" s="87"/>
      <c r="L1339" s="87"/>
    </row>
    <row r="1340" spans="1:12" ht="15" x14ac:dyDescent="0.25">
      <c r="A1340" t="s">
        <v>21242</v>
      </c>
      <c r="B1340" t="s">
        <v>17136</v>
      </c>
      <c r="C1340" t="s">
        <v>17137</v>
      </c>
      <c r="D1340" t="s">
        <v>121</v>
      </c>
      <c r="E1340">
        <v>10000</v>
      </c>
      <c r="F1340" t="s">
        <v>3381</v>
      </c>
      <c r="G1340" t="s">
        <v>1657</v>
      </c>
      <c r="H1340" t="str">
        <f t="shared" si="40"/>
        <v>Club10000Houston</v>
      </c>
      <c r="I1340" t="str">
        <f t="shared" si="41"/>
        <v>Club</v>
      </c>
      <c r="J1340" s="82">
        <f>IFERROR(INDEX('All Folders'!$A:$A,MATCH(H1340,'All Folders'!$G:$G,0),1),"¶")</f>
        <v>3035</v>
      </c>
      <c r="K1340" s="87"/>
      <c r="L1340" s="87"/>
    </row>
    <row r="1341" spans="1:12" ht="15" x14ac:dyDescent="0.25">
      <c r="A1341" t="s">
        <v>21243</v>
      </c>
      <c r="B1341" t="s">
        <v>17138</v>
      </c>
      <c r="C1341" t="s">
        <v>17139</v>
      </c>
      <c r="D1341" t="s">
        <v>16808</v>
      </c>
      <c r="E1341">
        <v>8901</v>
      </c>
      <c r="F1341" t="s">
        <v>3548</v>
      </c>
      <c r="G1341" t="s">
        <v>1657</v>
      </c>
      <c r="H1341" t="str">
        <f t="shared" si="40"/>
        <v>Bissonnet8901Houston</v>
      </c>
      <c r="I1341" t="str">
        <f t="shared" si="41"/>
        <v>Bissonnet</v>
      </c>
      <c r="J1341" s="82">
        <f>IFERROR(INDEX('All Folders'!$A:$A,MATCH(H1341,'All Folders'!$G:$G,0),1),"¶")</f>
        <v>3188</v>
      </c>
      <c r="K1341" s="87"/>
      <c r="L1341" s="87"/>
    </row>
    <row r="1342" spans="1:12" ht="15" x14ac:dyDescent="0.25">
      <c r="A1342" t="s">
        <v>21244</v>
      </c>
      <c r="B1342" t="s">
        <v>17140</v>
      </c>
      <c r="C1342" t="s">
        <v>17141</v>
      </c>
      <c r="D1342" t="s">
        <v>2779</v>
      </c>
      <c r="E1342">
        <v>2717</v>
      </c>
      <c r="F1342" t="s">
        <v>2779</v>
      </c>
      <c r="G1342" t="s">
        <v>1657</v>
      </c>
      <c r="H1342" t="str">
        <f t="shared" si="40"/>
        <v>Stoney2717Houston</v>
      </c>
      <c r="I1342" t="str">
        <f t="shared" si="41"/>
        <v>Stoney</v>
      </c>
      <c r="J1342" s="82">
        <f>IFERROR(INDEX('All Folders'!$A:$A,MATCH(H1342,'All Folders'!$G:$G,0),1),"¶")</f>
        <v>2202</v>
      </c>
      <c r="K1342" s="87"/>
      <c r="L1342" s="87"/>
    </row>
    <row r="1343" spans="1:12" ht="15" x14ac:dyDescent="0.25">
      <c r="A1343" t="s">
        <v>21245</v>
      </c>
      <c r="B1343" t="s">
        <v>17142</v>
      </c>
      <c r="C1343" t="s">
        <v>17143</v>
      </c>
      <c r="D1343" t="s">
        <v>17144</v>
      </c>
      <c r="E1343">
        <v>7514</v>
      </c>
      <c r="F1343" t="s">
        <v>3528</v>
      </c>
      <c r="G1343" t="s">
        <v>1657</v>
      </c>
      <c r="H1343" t="str">
        <f t="shared" si="40"/>
        <v>Gessner7514Houston</v>
      </c>
      <c r="I1343" t="str">
        <f t="shared" si="41"/>
        <v>Gessner</v>
      </c>
      <c r="J1343" s="82">
        <f>IFERROR(INDEX('All Folders'!$A:$A,MATCH(H1343,'All Folders'!$G:$G,0),1),"¶")</f>
        <v>3169</v>
      </c>
      <c r="K1343" s="87"/>
      <c r="L1343" s="87"/>
    </row>
    <row r="1344" spans="1:12" ht="15" x14ac:dyDescent="0.25">
      <c r="A1344" t="s">
        <v>21246</v>
      </c>
      <c r="B1344" t="s">
        <v>17145</v>
      </c>
      <c r="C1344" t="s">
        <v>17146</v>
      </c>
      <c r="D1344" t="s">
        <v>17147</v>
      </c>
      <c r="E1344">
        <v>333</v>
      </c>
      <c r="F1344" t="s">
        <v>8257</v>
      </c>
      <c r="G1344" t="s">
        <v>1657</v>
      </c>
      <c r="H1344" t="str">
        <f t="shared" si="40"/>
        <v>Uvalde333Houston</v>
      </c>
      <c r="I1344" t="str">
        <f t="shared" si="41"/>
        <v>Uvalde</v>
      </c>
      <c r="J1344" s="82">
        <f>IFERROR(INDEX('All Folders'!$A:$A,MATCH(H1344,'All Folders'!$G:$G,0),1),"¶")</f>
        <v>2878</v>
      </c>
      <c r="K1344" s="87"/>
      <c r="L1344" s="87"/>
    </row>
    <row r="1345" spans="1:12" ht="15" x14ac:dyDescent="0.25">
      <c r="A1345" t="s">
        <v>21247</v>
      </c>
      <c r="B1345" t="s">
        <v>17148</v>
      </c>
      <c r="C1345" t="s">
        <v>17149</v>
      </c>
      <c r="D1345" t="s">
        <v>17150</v>
      </c>
      <c r="E1345">
        <v>10901</v>
      </c>
      <c r="F1345" t="s">
        <v>17151</v>
      </c>
      <c r="G1345" t="s">
        <v>1657</v>
      </c>
      <c r="H1345" t="str">
        <f t="shared" si="40"/>
        <v>Village10901Houston</v>
      </c>
      <c r="I1345" t="str">
        <f t="shared" si="41"/>
        <v>Village</v>
      </c>
      <c r="J1345" s="82">
        <f>IFERROR(INDEX('All Folders'!$A:$A,MATCH(H1345,'All Folders'!$G:$G,0),1),"¶")</f>
        <v>3018</v>
      </c>
      <c r="K1345" s="87"/>
      <c r="L1345" s="87"/>
    </row>
    <row r="1346" spans="1:12" ht="15" x14ac:dyDescent="0.25">
      <c r="A1346" t="s">
        <v>21248</v>
      </c>
      <c r="B1346" t="s">
        <v>17152</v>
      </c>
      <c r="C1346" t="s">
        <v>17153</v>
      </c>
      <c r="D1346" t="s">
        <v>17154</v>
      </c>
      <c r="E1346">
        <v>8300</v>
      </c>
      <c r="F1346" t="s">
        <v>17155</v>
      </c>
      <c r="G1346" t="s">
        <v>1657</v>
      </c>
      <c r="H1346" t="str">
        <f t="shared" ref="H1346:H1409" si="42">I1346&amp;E1346&amp;G1346</f>
        <v>Airport8300Houston</v>
      </c>
      <c r="I1346" t="str">
        <f t="shared" ref="I1346:I1409" si="43">IFERROR(LEFT(D1346,FIND(" ",D1346)-1),D1346)</f>
        <v>Airport</v>
      </c>
      <c r="J1346" s="82">
        <f>IFERROR(INDEX('All Folders'!$A:$A,MATCH(H1346,'All Folders'!$G:$G,0),1),"¶")</f>
        <v>3807</v>
      </c>
      <c r="K1346" s="87"/>
      <c r="L1346" s="87"/>
    </row>
    <row r="1347" spans="1:12" ht="15" x14ac:dyDescent="0.25">
      <c r="A1347" t="s">
        <v>21249</v>
      </c>
      <c r="B1347" t="s">
        <v>17156</v>
      </c>
      <c r="C1347" t="s">
        <v>17157</v>
      </c>
      <c r="D1347" t="s">
        <v>17158</v>
      </c>
      <c r="E1347">
        <v>15915</v>
      </c>
      <c r="F1347" t="s">
        <v>1738</v>
      </c>
      <c r="G1347" t="s">
        <v>1657</v>
      </c>
      <c r="H1347" t="str">
        <f t="shared" si="42"/>
        <v>Kuykendahl15915Houston</v>
      </c>
      <c r="I1347" t="str">
        <f t="shared" si="43"/>
        <v>Kuykendahl</v>
      </c>
      <c r="J1347" s="82">
        <f>IFERROR(INDEX('All Folders'!$A:$A,MATCH(H1347,'All Folders'!$G:$G,0),1),"¶")</f>
        <v>1303</v>
      </c>
      <c r="K1347" s="87"/>
      <c r="L1347" s="87"/>
    </row>
    <row r="1348" spans="1:12" ht="15" x14ac:dyDescent="0.25">
      <c r="A1348" t="s">
        <v>21250</v>
      </c>
      <c r="B1348" t="s">
        <v>17159</v>
      </c>
      <c r="C1348" t="s">
        <v>17160</v>
      </c>
      <c r="D1348" t="s">
        <v>17161</v>
      </c>
      <c r="E1348">
        <v>10215</v>
      </c>
      <c r="F1348" t="s">
        <v>3398</v>
      </c>
      <c r="G1348" t="s">
        <v>1657</v>
      </c>
      <c r="H1348" t="str">
        <f t="shared" si="42"/>
        <v>Beechnut10215Houston</v>
      </c>
      <c r="I1348" t="str">
        <f t="shared" si="43"/>
        <v>Beechnut</v>
      </c>
      <c r="J1348" s="82">
        <f>IFERROR(INDEX('All Folders'!$A:$A,MATCH(H1348,'All Folders'!$G:$G,0),1),"¶")</f>
        <v>3051</v>
      </c>
      <c r="K1348" s="87"/>
      <c r="L1348" s="87"/>
    </row>
    <row r="1349" spans="1:12" ht="15" x14ac:dyDescent="0.25">
      <c r="A1349" t="s">
        <v>21251</v>
      </c>
      <c r="B1349" t="s">
        <v>17162</v>
      </c>
      <c r="C1349" t="s">
        <v>17163</v>
      </c>
      <c r="D1349" t="s">
        <v>17144</v>
      </c>
      <c r="E1349">
        <v>6425</v>
      </c>
      <c r="F1349" t="s">
        <v>17164</v>
      </c>
      <c r="G1349" t="s">
        <v>1657</v>
      </c>
      <c r="H1349" t="str">
        <f t="shared" si="42"/>
        <v>Gessner6425Houston</v>
      </c>
      <c r="I1349" t="str">
        <f t="shared" si="43"/>
        <v>Gessner</v>
      </c>
      <c r="J1349" s="82">
        <f>IFERROR(INDEX('All Folders'!$A:$A,MATCH(H1349,'All Folders'!$G:$G,0),1),"¶")</f>
        <v>3102</v>
      </c>
      <c r="K1349" s="87"/>
      <c r="L1349" s="87"/>
    </row>
    <row r="1350" spans="1:12" ht="15" x14ac:dyDescent="0.25">
      <c r="A1350" t="s">
        <v>21253</v>
      </c>
      <c r="B1350" t="s">
        <v>17169</v>
      </c>
      <c r="C1350" t="s">
        <v>17170</v>
      </c>
      <c r="D1350" t="s">
        <v>17171</v>
      </c>
      <c r="E1350">
        <v>2424</v>
      </c>
      <c r="F1350" t="s">
        <v>17172</v>
      </c>
      <c r="G1350" t="s">
        <v>1657</v>
      </c>
      <c r="H1350" t="str">
        <f t="shared" si="42"/>
        <v>TC2424Houston</v>
      </c>
      <c r="I1350" t="str">
        <f t="shared" si="43"/>
        <v>TC</v>
      </c>
      <c r="J1350" s="82">
        <f>IFERROR(INDEX('All Folders'!$A:$A,MATCH(H1350,'All Folders'!$G:$G,0),1),"¶")</f>
        <v>1908</v>
      </c>
      <c r="K1350" s="87"/>
      <c r="L1350" s="87"/>
    </row>
    <row r="1351" spans="1:12" ht="15" x14ac:dyDescent="0.25">
      <c r="A1351" t="s">
        <v>21254</v>
      </c>
      <c r="B1351" t="s">
        <v>17173</v>
      </c>
      <c r="C1351" t="s">
        <v>17174</v>
      </c>
      <c r="D1351" t="s">
        <v>17175</v>
      </c>
      <c r="E1351">
        <v>9701</v>
      </c>
      <c r="F1351" t="s">
        <v>17176</v>
      </c>
      <c r="G1351" t="s">
        <v>1657</v>
      </c>
      <c r="H1351" t="str">
        <f t="shared" si="42"/>
        <v>Forum9701Houston</v>
      </c>
      <c r="I1351" t="str">
        <f t="shared" si="43"/>
        <v>Forum</v>
      </c>
      <c r="J1351" s="82">
        <f>IFERROR(INDEX('All Folders'!$A:$A,MATCH(H1351,'All Folders'!$G:$G,0),1),"¶")</f>
        <v>3079</v>
      </c>
      <c r="K1351" s="87"/>
      <c r="L1351" s="87"/>
    </row>
    <row r="1352" spans="1:12" ht="15" x14ac:dyDescent="0.25">
      <c r="A1352" t="s">
        <v>21256</v>
      </c>
      <c r="B1352" t="s">
        <v>17181</v>
      </c>
      <c r="C1352" t="s">
        <v>17182</v>
      </c>
      <c r="D1352" t="s">
        <v>17183</v>
      </c>
      <c r="E1352">
        <v>1300</v>
      </c>
      <c r="F1352" t="s">
        <v>4278</v>
      </c>
      <c r="G1352" t="s">
        <v>1657</v>
      </c>
      <c r="H1352" t="str">
        <f t="shared" si="42"/>
        <v>Gemini1300Houston</v>
      </c>
      <c r="I1352" t="str">
        <f t="shared" si="43"/>
        <v>Gemini</v>
      </c>
      <c r="J1352" s="82">
        <f>IFERROR(INDEX('All Folders'!$A:$A,MATCH(H1352,'All Folders'!$G:$G,0),1),"¶")</f>
        <v>4028</v>
      </c>
      <c r="K1352" s="87"/>
      <c r="L1352" s="87"/>
    </row>
    <row r="1353" spans="1:12" ht="15" x14ac:dyDescent="0.25">
      <c r="A1353" t="s">
        <v>21257</v>
      </c>
      <c r="B1353" t="s">
        <v>17184</v>
      </c>
      <c r="C1353" t="s">
        <v>17185</v>
      </c>
      <c r="D1353" t="s">
        <v>2668</v>
      </c>
      <c r="E1353">
        <v>11710</v>
      </c>
      <c r="F1353" t="s">
        <v>17186</v>
      </c>
      <c r="G1353" t="s">
        <v>1657</v>
      </c>
      <c r="H1353" t="str">
        <f t="shared" si="42"/>
        <v>Briar11710Houston</v>
      </c>
      <c r="I1353" t="str">
        <f t="shared" si="43"/>
        <v>Briar</v>
      </c>
      <c r="J1353" s="82">
        <f>IFERROR(INDEX('All Folders'!$A:$A,MATCH(H1353,'All Folders'!$G:$G,0),1),"¶")</f>
        <v>2172</v>
      </c>
      <c r="K1353" s="87"/>
      <c r="L1353" s="87"/>
    </row>
    <row r="1354" spans="1:12" ht="15" x14ac:dyDescent="0.25">
      <c r="A1354" t="s">
        <v>21258</v>
      </c>
      <c r="B1354" t="s">
        <v>17187</v>
      </c>
      <c r="C1354" t="s">
        <v>17188</v>
      </c>
      <c r="D1354" t="s">
        <v>17006</v>
      </c>
      <c r="E1354">
        <v>5959</v>
      </c>
      <c r="F1354" t="s">
        <v>1883</v>
      </c>
      <c r="G1354" t="s">
        <v>1657</v>
      </c>
      <c r="H1354" t="str">
        <f t="shared" si="42"/>
        <v>19605959Houston</v>
      </c>
      <c r="I1354" t="str">
        <f t="shared" si="43"/>
        <v>1960</v>
      </c>
      <c r="J1354" s="82">
        <f>IFERROR(INDEX('All Folders'!$A:$A,MATCH(H1354,'All Folders'!$G:$G,0),1),"¶")</f>
        <v>1401</v>
      </c>
      <c r="K1354" s="87"/>
      <c r="L1354" s="87"/>
    </row>
    <row r="1355" spans="1:12" ht="15" x14ac:dyDescent="0.25">
      <c r="A1355" t="s">
        <v>21259</v>
      </c>
      <c r="B1355" t="s">
        <v>17189</v>
      </c>
      <c r="C1355" t="s">
        <v>17190</v>
      </c>
      <c r="D1355" t="s">
        <v>17171</v>
      </c>
      <c r="E1355">
        <v>1640</v>
      </c>
      <c r="F1355" t="s">
        <v>17191</v>
      </c>
      <c r="G1355" t="s">
        <v>1657</v>
      </c>
      <c r="H1355" t="str">
        <f t="shared" si="42"/>
        <v>TC1640Houston</v>
      </c>
      <c r="I1355" t="str">
        <f t="shared" si="43"/>
        <v>TC</v>
      </c>
      <c r="J1355" s="82">
        <f>IFERROR(INDEX('All Folders'!$A:$A,MATCH(H1355,'All Folders'!$G:$G,0),1),"¶")</f>
        <v>1936</v>
      </c>
      <c r="K1355" s="87"/>
      <c r="L1355" s="87"/>
    </row>
    <row r="1356" spans="1:12" ht="15" x14ac:dyDescent="0.25">
      <c r="A1356" t="s">
        <v>21260</v>
      </c>
      <c r="B1356" t="s">
        <v>17192</v>
      </c>
      <c r="C1356" t="s">
        <v>17193</v>
      </c>
      <c r="D1356" t="s">
        <v>17194</v>
      </c>
      <c r="E1356">
        <v>4200</v>
      </c>
      <c r="F1356" t="s">
        <v>1725</v>
      </c>
      <c r="G1356" t="s">
        <v>1657</v>
      </c>
      <c r="H1356" t="str">
        <f t="shared" si="42"/>
        <v>19604200Houston</v>
      </c>
      <c r="I1356" t="str">
        <f t="shared" si="43"/>
        <v>1960</v>
      </c>
      <c r="J1356" s="82">
        <f>IFERROR(INDEX('All Folders'!$A:$A,MATCH(H1356,'All Folders'!$G:$G,0),1),"¶")</f>
        <v>1294</v>
      </c>
      <c r="K1356" s="87"/>
      <c r="L1356" s="87"/>
    </row>
    <row r="1357" spans="1:12" ht="15" x14ac:dyDescent="0.25">
      <c r="A1357" t="s">
        <v>21261</v>
      </c>
      <c r="B1357" t="s">
        <v>17195</v>
      </c>
      <c r="C1357" t="s">
        <v>17196</v>
      </c>
      <c r="D1357" t="s">
        <v>13441</v>
      </c>
      <c r="E1357">
        <v>1702</v>
      </c>
      <c r="F1357" t="s">
        <v>2318</v>
      </c>
      <c r="G1357" t="s">
        <v>1657</v>
      </c>
      <c r="H1357" t="str">
        <f t="shared" si="42"/>
        <v>Gessner1702Houston</v>
      </c>
      <c r="I1357" t="str">
        <f t="shared" si="43"/>
        <v>Gessner</v>
      </c>
      <c r="J1357" s="82">
        <f>IFERROR(INDEX('All Folders'!$A:$A,MATCH(H1357,'All Folders'!$G:$G,0),1),"¶")</f>
        <v>1743</v>
      </c>
      <c r="K1357" s="87"/>
      <c r="L1357" s="87"/>
    </row>
    <row r="1358" spans="1:12" ht="15" x14ac:dyDescent="0.25">
      <c r="A1358" t="s">
        <v>21262</v>
      </c>
      <c r="B1358" t="s">
        <v>17197</v>
      </c>
      <c r="C1358" t="s">
        <v>17198</v>
      </c>
      <c r="D1358" t="s">
        <v>17199</v>
      </c>
      <c r="E1358">
        <v>200</v>
      </c>
      <c r="F1358" t="s">
        <v>17200</v>
      </c>
      <c r="G1358" t="s">
        <v>1657</v>
      </c>
      <c r="H1358" t="str">
        <f t="shared" si="42"/>
        <v>Dominion200Houston</v>
      </c>
      <c r="I1358" t="str">
        <f t="shared" si="43"/>
        <v>Dominion</v>
      </c>
      <c r="J1358" s="82">
        <f>IFERROR(INDEX('All Folders'!$A:$A,MATCH(H1358,'All Folders'!$G:$G,0),1),"¶")</f>
        <v>17945</v>
      </c>
      <c r="K1358" s="87"/>
      <c r="L1358" s="87"/>
    </row>
    <row r="1359" spans="1:12" ht="15" x14ac:dyDescent="0.25">
      <c r="A1359" t="s">
        <v>21263</v>
      </c>
      <c r="B1359" t="s">
        <v>17201</v>
      </c>
      <c r="C1359" t="s">
        <v>17202</v>
      </c>
      <c r="D1359" t="s">
        <v>17203</v>
      </c>
      <c r="E1359">
        <v>12710</v>
      </c>
      <c r="F1359" t="s">
        <v>17204</v>
      </c>
      <c r="G1359" t="s">
        <v>1657</v>
      </c>
      <c r="H1359" t="str">
        <f t="shared" si="42"/>
        <v>Brant12710Houston</v>
      </c>
      <c r="I1359" t="str">
        <f t="shared" si="43"/>
        <v>Brant</v>
      </c>
      <c r="J1359" s="82">
        <f>IFERROR(INDEX('All Folders'!$A:$A,MATCH(H1359,'All Folders'!$G:$G,0),1),"¶")</f>
        <v>2994</v>
      </c>
      <c r="K1359" s="87"/>
      <c r="L1359" s="87"/>
    </row>
    <row r="1360" spans="1:12" ht="15" x14ac:dyDescent="0.25">
      <c r="A1360" t="s">
        <v>21264</v>
      </c>
      <c r="B1360" t="s">
        <v>17205</v>
      </c>
      <c r="C1360" t="s">
        <v>17206</v>
      </c>
      <c r="D1360" t="s">
        <v>16799</v>
      </c>
      <c r="E1360">
        <v>6370</v>
      </c>
      <c r="F1360" t="s">
        <v>2990</v>
      </c>
      <c r="G1360" t="s">
        <v>1657</v>
      </c>
      <c r="H1360" t="str">
        <f t="shared" si="42"/>
        <v>Windswept6370Houston</v>
      </c>
      <c r="I1360" t="str">
        <f t="shared" si="43"/>
        <v>Windswept</v>
      </c>
      <c r="J1360" s="82">
        <f>IFERROR(INDEX('All Folders'!$A:$A,MATCH(H1360,'All Folders'!$G:$G,0),1),"¶")</f>
        <v>2414</v>
      </c>
      <c r="K1360" s="87"/>
      <c r="L1360" s="87"/>
    </row>
    <row r="1361" spans="1:12" ht="15" x14ac:dyDescent="0.25">
      <c r="A1361" t="s">
        <v>21265</v>
      </c>
      <c r="B1361" t="s">
        <v>17207</v>
      </c>
      <c r="C1361" t="s">
        <v>17208</v>
      </c>
      <c r="D1361" t="s">
        <v>17209</v>
      </c>
      <c r="E1361">
        <v>12630</v>
      </c>
      <c r="F1361" t="s">
        <v>3331</v>
      </c>
      <c r="G1361" t="s">
        <v>1657</v>
      </c>
      <c r="H1361" t="str">
        <f t="shared" si="42"/>
        <v>Ashford12630Houston</v>
      </c>
      <c r="I1361" t="str">
        <f t="shared" si="43"/>
        <v>Ashford</v>
      </c>
      <c r="J1361" s="82">
        <f>IFERROR(INDEX('All Folders'!$A:$A,MATCH(H1361,'All Folders'!$G:$G,0),1),"¶")</f>
        <v>2992</v>
      </c>
      <c r="K1361" s="87"/>
      <c r="L1361" s="87"/>
    </row>
    <row r="1362" spans="1:12" ht="15" x14ac:dyDescent="0.25">
      <c r="A1362" t="s">
        <v>21267</v>
      </c>
      <c r="B1362" t="s">
        <v>17214</v>
      </c>
      <c r="C1362" t="s">
        <v>17215</v>
      </c>
      <c r="D1362" t="s">
        <v>17216</v>
      </c>
      <c r="E1362">
        <v>10101</v>
      </c>
      <c r="F1362" t="s">
        <v>3423</v>
      </c>
      <c r="G1362" t="s">
        <v>1657</v>
      </c>
      <c r="H1362" t="str">
        <f t="shared" si="42"/>
        <v>Sam10101Houston</v>
      </c>
      <c r="I1362" t="str">
        <f t="shared" si="43"/>
        <v>Sam</v>
      </c>
      <c r="J1362" s="82">
        <f>IFERROR(INDEX('All Folders'!$A:$A,MATCH(H1362,'All Folders'!$G:$G,0),1),"¶")</f>
        <v>3070</v>
      </c>
      <c r="K1362" s="87"/>
      <c r="L1362" s="87"/>
    </row>
    <row r="1363" spans="1:12" ht="15" x14ac:dyDescent="0.25">
      <c r="A1363" t="s">
        <v>21268</v>
      </c>
      <c r="B1363" t="s">
        <v>17217</v>
      </c>
      <c r="C1363" t="s">
        <v>17218</v>
      </c>
      <c r="D1363" t="s">
        <v>17219</v>
      </c>
      <c r="E1363">
        <v>8701</v>
      </c>
      <c r="F1363" t="s">
        <v>17220</v>
      </c>
      <c r="G1363" t="s">
        <v>1657</v>
      </c>
      <c r="H1363" t="str">
        <f t="shared" si="42"/>
        <v>Hammerly8701Houston</v>
      </c>
      <c r="I1363" t="str">
        <f t="shared" si="43"/>
        <v>Hammerly</v>
      </c>
      <c r="J1363" s="82">
        <f>IFERROR(INDEX('All Folders'!$A:$A,MATCH(H1363,'All Folders'!$G:$G,0),1),"¶")</f>
        <v>1751</v>
      </c>
      <c r="K1363" s="87"/>
      <c r="L1363" s="87"/>
    </row>
    <row r="1364" spans="1:12" ht="15" x14ac:dyDescent="0.25">
      <c r="A1364" t="s">
        <v>21269</v>
      </c>
      <c r="B1364" t="s">
        <v>17221</v>
      </c>
      <c r="C1364" t="s">
        <v>17222</v>
      </c>
      <c r="D1364" t="s">
        <v>17223</v>
      </c>
      <c r="E1364">
        <v>6255</v>
      </c>
      <c r="F1364" t="s">
        <v>17224</v>
      </c>
      <c r="G1364" t="s">
        <v>1657</v>
      </c>
      <c r="H1364" t="str">
        <f t="shared" si="42"/>
        <v>Airport6255Houston</v>
      </c>
      <c r="I1364" t="str">
        <f t="shared" si="43"/>
        <v>Airport</v>
      </c>
      <c r="J1364" s="82">
        <f>IFERROR(INDEX('All Folders'!$A:$A,MATCH(H1364,'All Folders'!$G:$G,0),1),"¶")</f>
        <v>3813</v>
      </c>
      <c r="K1364" s="87"/>
      <c r="L1364" s="87"/>
    </row>
    <row r="1365" spans="1:12" ht="15" x14ac:dyDescent="0.25">
      <c r="A1365" t="s">
        <v>21271</v>
      </c>
      <c r="B1365" t="s">
        <v>17229</v>
      </c>
      <c r="C1365" t="s">
        <v>17230</v>
      </c>
      <c r="D1365" t="s">
        <v>17231</v>
      </c>
      <c r="E1365">
        <v>3700</v>
      </c>
      <c r="F1365" t="s">
        <v>3059</v>
      </c>
      <c r="G1365" t="s">
        <v>1657</v>
      </c>
      <c r="H1365" t="str">
        <f t="shared" si="42"/>
        <v>Wakeforest3700Houston</v>
      </c>
      <c r="I1365" t="str">
        <f t="shared" si="43"/>
        <v>Wakeforest</v>
      </c>
      <c r="J1365" s="82">
        <f>IFERROR(INDEX('All Folders'!$A:$A,MATCH(H1365,'All Folders'!$G:$G,0),1),"¶")</f>
        <v>2546</v>
      </c>
      <c r="K1365" s="87"/>
      <c r="L1365" s="87"/>
    </row>
    <row r="1366" spans="1:12" ht="15" x14ac:dyDescent="0.25">
      <c r="A1366" t="s">
        <v>21272</v>
      </c>
      <c r="B1366" t="s">
        <v>17232</v>
      </c>
      <c r="C1366" t="s">
        <v>17233</v>
      </c>
      <c r="D1366" t="s">
        <v>16061</v>
      </c>
      <c r="E1366">
        <v>8600</v>
      </c>
      <c r="F1366" t="s">
        <v>17234</v>
      </c>
      <c r="G1366" t="s">
        <v>1657</v>
      </c>
      <c r="H1366" t="str">
        <f t="shared" si="42"/>
        <v>Woodway8600Houston</v>
      </c>
      <c r="I1366" t="str">
        <f t="shared" si="43"/>
        <v>Woodway</v>
      </c>
      <c r="J1366" s="82">
        <f>IFERROR(INDEX('All Folders'!$A:$A,MATCH(H1366,'All Folders'!$G:$G,0),1),"¶")</f>
        <v>2248</v>
      </c>
      <c r="K1366" s="87"/>
      <c r="L1366" s="87"/>
    </row>
    <row r="1367" spans="1:12" ht="15" x14ac:dyDescent="0.25">
      <c r="A1367" t="s">
        <v>21273</v>
      </c>
      <c r="B1367" t="s">
        <v>17235</v>
      </c>
      <c r="C1367" t="s">
        <v>17236</v>
      </c>
      <c r="D1367" t="s">
        <v>16770</v>
      </c>
      <c r="E1367">
        <v>11355</v>
      </c>
      <c r="F1367" t="s">
        <v>2728</v>
      </c>
      <c r="G1367" t="s">
        <v>1657</v>
      </c>
      <c r="H1367" t="str">
        <f t="shared" si="42"/>
        <v>Richmond11355Houston</v>
      </c>
      <c r="I1367" t="str">
        <f t="shared" si="43"/>
        <v>Richmond</v>
      </c>
      <c r="J1367" s="82">
        <f>IFERROR(INDEX('All Folders'!$A:$A,MATCH(H1367,'All Folders'!$G:$G,0),1),"¶")</f>
        <v>2160</v>
      </c>
      <c r="K1367" s="87"/>
      <c r="L1367" s="87"/>
    </row>
    <row r="1368" spans="1:12" ht="15" x14ac:dyDescent="0.25">
      <c r="A1368" t="s">
        <v>21274</v>
      </c>
      <c r="B1368" t="s">
        <v>17237</v>
      </c>
      <c r="C1368" t="s">
        <v>17238</v>
      </c>
      <c r="D1368" t="s">
        <v>17239</v>
      </c>
      <c r="E1368">
        <v>10110</v>
      </c>
      <c r="F1368" t="s">
        <v>17240</v>
      </c>
      <c r="G1368" t="s">
        <v>1657</v>
      </c>
      <c r="H1368" t="str">
        <f t="shared" si="42"/>
        <v>Westview10110Houston</v>
      </c>
      <c r="I1368" t="str">
        <f t="shared" si="43"/>
        <v>Westview</v>
      </c>
      <c r="J1368" s="82">
        <f>IFERROR(INDEX('All Folders'!$A:$A,MATCH(H1368,'All Folders'!$G:$G,0),1),"¶")</f>
        <v>1755</v>
      </c>
      <c r="K1368" s="87"/>
      <c r="L1368" s="87"/>
    </row>
    <row r="1369" spans="1:12" ht="15" x14ac:dyDescent="0.25">
      <c r="A1369" t="s">
        <v>21275</v>
      </c>
      <c r="B1369" t="s">
        <v>17241</v>
      </c>
      <c r="C1369" t="s">
        <v>17242</v>
      </c>
      <c r="D1369" t="s">
        <v>16990</v>
      </c>
      <c r="E1369">
        <v>6233</v>
      </c>
      <c r="F1369" t="s">
        <v>3605</v>
      </c>
      <c r="G1369" t="s">
        <v>1657</v>
      </c>
      <c r="H1369" t="str">
        <f t="shared" si="42"/>
        <v>Gulfton6233Houston</v>
      </c>
      <c r="I1369" t="str">
        <f t="shared" si="43"/>
        <v>Gulfton</v>
      </c>
      <c r="J1369" s="82">
        <f>IFERROR(INDEX('All Folders'!$A:$A,MATCH(H1369,'All Folders'!$G:$G,0),1),"¶")</f>
        <v>3239</v>
      </c>
      <c r="K1369" s="87"/>
      <c r="L1369" s="87"/>
    </row>
    <row r="1370" spans="1:12" ht="15" x14ac:dyDescent="0.25">
      <c r="A1370" t="s">
        <v>21276</v>
      </c>
      <c r="B1370" t="s">
        <v>17243</v>
      </c>
      <c r="C1370" t="s">
        <v>17244</v>
      </c>
      <c r="D1370" t="s">
        <v>17245</v>
      </c>
      <c r="E1370">
        <v>2401</v>
      </c>
      <c r="F1370" t="s">
        <v>17246</v>
      </c>
      <c r="G1370" t="s">
        <v>1657</v>
      </c>
      <c r="H1370" t="str">
        <f t="shared" si="42"/>
        <v>Sam2401Houston</v>
      </c>
      <c r="I1370" t="str">
        <f t="shared" si="43"/>
        <v>Sam</v>
      </c>
      <c r="J1370" s="82">
        <f>IFERROR(INDEX('All Folders'!$A:$A,MATCH(H1370,'All Folders'!$G:$G,0),1),"¶")</f>
        <v>1687</v>
      </c>
      <c r="K1370" s="87"/>
      <c r="L1370" s="87"/>
    </row>
    <row r="1371" spans="1:12" ht="15" x14ac:dyDescent="0.25">
      <c r="A1371" t="s">
        <v>21279</v>
      </c>
      <c r="B1371" t="s">
        <v>17254</v>
      </c>
      <c r="C1371" t="s">
        <v>17255</v>
      </c>
      <c r="D1371" t="s">
        <v>16808</v>
      </c>
      <c r="E1371">
        <v>9200</v>
      </c>
      <c r="F1371" t="s">
        <v>3537</v>
      </c>
      <c r="G1371" t="s">
        <v>1657</v>
      </c>
      <c r="H1371" t="str">
        <f t="shared" si="42"/>
        <v>Bissonnet9200Houston</v>
      </c>
      <c r="I1371" t="str">
        <f t="shared" si="43"/>
        <v>Bissonnet</v>
      </c>
      <c r="J1371" s="82">
        <f>IFERROR(INDEX('All Folders'!$A:$A,MATCH(H1371,'All Folders'!$G:$G,0),1),"¶")</f>
        <v>3178</v>
      </c>
      <c r="K1371" s="87"/>
      <c r="L1371" s="87"/>
    </row>
    <row r="1372" spans="1:12" ht="15" x14ac:dyDescent="0.25">
      <c r="A1372" t="s">
        <v>21280</v>
      </c>
      <c r="B1372" t="s">
        <v>17256</v>
      </c>
      <c r="C1372" t="s">
        <v>17257</v>
      </c>
      <c r="D1372" t="s">
        <v>17024</v>
      </c>
      <c r="E1372">
        <v>12800</v>
      </c>
      <c r="F1372" t="s">
        <v>6491</v>
      </c>
      <c r="G1372" t="s">
        <v>1657</v>
      </c>
      <c r="H1372" t="str">
        <f t="shared" si="42"/>
        <v>Dunlap12800Houston</v>
      </c>
      <c r="I1372" t="str">
        <f t="shared" si="43"/>
        <v>Dunlap</v>
      </c>
      <c r="J1372" s="82">
        <f>IFERROR(INDEX('All Folders'!$A:$A,MATCH(H1372,'All Folders'!$G:$G,0),1),"¶")</f>
        <v>17266</v>
      </c>
      <c r="K1372" s="87"/>
      <c r="L1372" s="87"/>
    </row>
    <row r="1373" spans="1:12" ht="15" x14ac:dyDescent="0.25">
      <c r="A1373" t="s">
        <v>21281</v>
      </c>
      <c r="B1373" t="s">
        <v>17258</v>
      </c>
      <c r="C1373" t="s">
        <v>17259</v>
      </c>
      <c r="D1373" t="s">
        <v>17239</v>
      </c>
      <c r="E1373">
        <v>9595</v>
      </c>
      <c r="F1373" t="s">
        <v>17260</v>
      </c>
      <c r="G1373" t="s">
        <v>1657</v>
      </c>
      <c r="H1373" t="str">
        <f t="shared" si="42"/>
        <v>Westview9595Houston</v>
      </c>
      <c r="I1373" t="str">
        <f t="shared" si="43"/>
        <v>Westview</v>
      </c>
      <c r="J1373" s="82">
        <f>IFERROR(INDEX('All Folders'!$A:$A,MATCH(H1373,'All Folders'!$G:$G,0),1),"¶")</f>
        <v>1750</v>
      </c>
      <c r="K1373" s="87"/>
      <c r="L1373" s="87"/>
    </row>
    <row r="1374" spans="1:12" ht="15" x14ac:dyDescent="0.25">
      <c r="A1374" t="s">
        <v>21282</v>
      </c>
      <c r="B1374" t="s">
        <v>17261</v>
      </c>
      <c r="C1374" t="s">
        <v>17262</v>
      </c>
      <c r="D1374" t="s">
        <v>16961</v>
      </c>
      <c r="E1374">
        <v>2909</v>
      </c>
      <c r="F1374" t="s">
        <v>2747</v>
      </c>
      <c r="G1374" t="s">
        <v>1657</v>
      </c>
      <c r="H1374" t="str">
        <f t="shared" si="42"/>
        <v>Hayes2909Houston</v>
      </c>
      <c r="I1374" t="str">
        <f t="shared" si="43"/>
        <v>Hayes</v>
      </c>
      <c r="J1374" s="82">
        <f>IFERROR(INDEX('All Folders'!$A:$A,MATCH(H1374,'All Folders'!$G:$G,0),1),"¶")</f>
        <v>2175</v>
      </c>
      <c r="K1374" s="87"/>
      <c r="L1374" s="87"/>
    </row>
    <row r="1375" spans="1:12" ht="15" x14ac:dyDescent="0.25">
      <c r="A1375" t="s">
        <v>21283</v>
      </c>
      <c r="B1375" t="s">
        <v>17263</v>
      </c>
      <c r="C1375" t="s">
        <v>17264</v>
      </c>
      <c r="D1375" t="s">
        <v>17265</v>
      </c>
      <c r="E1375">
        <v>950</v>
      </c>
      <c r="F1375" t="s">
        <v>17266</v>
      </c>
      <c r="G1375" t="s">
        <v>1657</v>
      </c>
      <c r="H1375" t="str">
        <f t="shared" si="42"/>
        <v>1959950Houston</v>
      </c>
      <c r="I1375" t="str">
        <f t="shared" si="43"/>
        <v>1959</v>
      </c>
      <c r="J1375" s="82">
        <f>IFERROR(INDEX('All Folders'!$A:$A,MATCH(H1375,'All Folders'!$G:$G,0),1),"¶")</f>
        <v>4038</v>
      </c>
      <c r="K1375" s="87"/>
      <c r="L1375" s="87"/>
    </row>
    <row r="1376" spans="1:12" ht="15" x14ac:dyDescent="0.25">
      <c r="A1376" t="s">
        <v>21284</v>
      </c>
      <c r="B1376" t="s">
        <v>17267</v>
      </c>
      <c r="C1376" t="s">
        <v>17268</v>
      </c>
      <c r="D1376" t="s">
        <v>17269</v>
      </c>
      <c r="E1376">
        <v>7700</v>
      </c>
      <c r="F1376" t="s">
        <v>17270</v>
      </c>
      <c r="G1376" t="s">
        <v>1657</v>
      </c>
      <c r="H1376" t="str">
        <f t="shared" si="42"/>
        <v>Corporate7700Houston</v>
      </c>
      <c r="I1376" t="str">
        <f t="shared" si="43"/>
        <v>Corporate</v>
      </c>
      <c r="J1376" s="82">
        <f>IFERROR(INDEX('All Folders'!$A:$A,MATCH(H1376,'All Folders'!$G:$G,0),1),"¶")</f>
        <v>3038</v>
      </c>
      <c r="K1376" s="87"/>
      <c r="L1376" s="87"/>
    </row>
    <row r="1377" spans="1:12" ht="15" x14ac:dyDescent="0.25">
      <c r="A1377" t="s">
        <v>21285</v>
      </c>
      <c r="B1377" t="s">
        <v>17271</v>
      </c>
      <c r="C1377" t="s">
        <v>17272</v>
      </c>
      <c r="D1377" t="s">
        <v>17273</v>
      </c>
      <c r="E1377">
        <v>11111</v>
      </c>
      <c r="F1377" t="s">
        <v>4874</v>
      </c>
      <c r="G1377" t="s">
        <v>1657</v>
      </c>
      <c r="H1377" t="str">
        <f t="shared" si="42"/>
        <v>Montgomery11111Houston</v>
      </c>
      <c r="I1377" t="str">
        <f t="shared" si="43"/>
        <v>Montgomery</v>
      </c>
      <c r="J1377" s="82">
        <f>IFERROR(INDEX('All Folders'!$A:$A,MATCH(H1377,'All Folders'!$G:$G,0),1),"¶")</f>
        <v>4473</v>
      </c>
      <c r="K1377" s="87"/>
      <c r="L1377" s="87"/>
    </row>
    <row r="1378" spans="1:12" ht="15" x14ac:dyDescent="0.25">
      <c r="A1378" t="s">
        <v>21286</v>
      </c>
      <c r="B1378" t="s">
        <v>17274</v>
      </c>
      <c r="C1378" t="s">
        <v>17275</v>
      </c>
      <c r="D1378" t="s">
        <v>17144</v>
      </c>
      <c r="E1378">
        <v>9707</v>
      </c>
      <c r="F1378" t="s">
        <v>17276</v>
      </c>
      <c r="G1378" t="s">
        <v>1657</v>
      </c>
      <c r="H1378" t="str">
        <f t="shared" si="42"/>
        <v>Gessner9707Houston</v>
      </c>
      <c r="I1378" t="str">
        <f t="shared" si="43"/>
        <v>Gessner</v>
      </c>
      <c r="J1378" s="82">
        <f>IFERROR(INDEX('All Folders'!$A:$A,MATCH(H1378,'All Folders'!$G:$G,0),1),"¶")</f>
        <v>3179</v>
      </c>
      <c r="K1378" s="87"/>
      <c r="L1378" s="87"/>
    </row>
    <row r="1379" spans="1:12" ht="15" x14ac:dyDescent="0.25">
      <c r="A1379" t="s">
        <v>21287</v>
      </c>
      <c r="B1379" t="s">
        <v>17277</v>
      </c>
      <c r="C1379" t="s">
        <v>17278</v>
      </c>
      <c r="D1379" t="s">
        <v>17279</v>
      </c>
      <c r="E1379">
        <v>12221</v>
      </c>
      <c r="F1379" t="s">
        <v>3197</v>
      </c>
      <c r="G1379" t="s">
        <v>1657</v>
      </c>
      <c r="H1379" t="str">
        <f t="shared" si="42"/>
        <v>Fleming12221Houston</v>
      </c>
      <c r="I1379" t="str">
        <f t="shared" si="43"/>
        <v>Fleming</v>
      </c>
      <c r="J1379" s="82">
        <f>IFERROR(INDEX('All Folders'!$A:$A,MATCH(H1379,'All Folders'!$G:$G,0),1),"¶")</f>
        <v>2857</v>
      </c>
      <c r="K1379" s="87"/>
      <c r="L1379" s="87"/>
    </row>
    <row r="1380" spans="1:12" ht="15" x14ac:dyDescent="0.25">
      <c r="A1380" t="s">
        <v>21288</v>
      </c>
      <c r="B1380" t="s">
        <v>17280</v>
      </c>
      <c r="C1380" t="s">
        <v>17281</v>
      </c>
      <c r="D1380" t="s">
        <v>17282</v>
      </c>
      <c r="E1380">
        <v>607</v>
      </c>
      <c r="F1380" t="s">
        <v>11707</v>
      </c>
      <c r="G1380" t="s">
        <v>11708</v>
      </c>
      <c r="H1380" t="str">
        <f t="shared" si="42"/>
        <v>Pecan607Hughes Springs</v>
      </c>
      <c r="I1380" t="str">
        <f t="shared" si="43"/>
        <v>Pecan</v>
      </c>
      <c r="J1380" s="82">
        <f>IFERROR(INDEX('All Folders'!$A:$A,MATCH(H1380,'All Folders'!$G:$G,0),1),"¶")</f>
        <v>30268</v>
      </c>
      <c r="K1380" s="87"/>
      <c r="L1380" s="87"/>
    </row>
    <row r="1381" spans="1:12" ht="15" x14ac:dyDescent="0.25">
      <c r="A1381" t="s">
        <v>21289</v>
      </c>
      <c r="B1381" t="s">
        <v>17283</v>
      </c>
      <c r="C1381" t="s">
        <v>17284</v>
      </c>
      <c r="D1381" t="s">
        <v>17285</v>
      </c>
      <c r="E1381">
        <v>14400</v>
      </c>
      <c r="F1381" t="s">
        <v>17286</v>
      </c>
      <c r="G1381" t="s">
        <v>1763</v>
      </c>
      <c r="H1381" t="str">
        <f t="shared" si="42"/>
        <v>5914400Humble</v>
      </c>
      <c r="I1381" t="str">
        <f t="shared" si="43"/>
        <v>59</v>
      </c>
      <c r="J1381" s="82">
        <f>IFERROR(INDEX('All Folders'!$A:$A,MATCH(H1381,'All Folders'!$G:$G,0),1),"¶")</f>
        <v>1489</v>
      </c>
      <c r="K1381" s="87"/>
      <c r="L1381" s="87"/>
    </row>
    <row r="1382" spans="1:12" ht="15" x14ac:dyDescent="0.25">
      <c r="A1382" t="s">
        <v>21290</v>
      </c>
      <c r="B1382" t="s">
        <v>17287</v>
      </c>
      <c r="C1382" t="s">
        <v>17288</v>
      </c>
      <c r="D1382" t="s">
        <v>17289</v>
      </c>
      <c r="E1382">
        <v>1230</v>
      </c>
      <c r="F1382" t="s">
        <v>17290</v>
      </c>
      <c r="G1382" t="s">
        <v>1763</v>
      </c>
      <c r="H1382" t="str">
        <f t="shared" si="42"/>
        <v>19601230Humble</v>
      </c>
      <c r="I1382" t="str">
        <f t="shared" si="43"/>
        <v>1960</v>
      </c>
      <c r="J1382" s="82">
        <f>IFERROR(INDEX('All Folders'!$A:$A,MATCH(H1382,'All Folders'!$G:$G,0),1),"¶")</f>
        <v>1323</v>
      </c>
      <c r="K1382" s="87"/>
      <c r="L1382" s="87"/>
    </row>
    <row r="1383" spans="1:12" ht="15" x14ac:dyDescent="0.25">
      <c r="A1383" t="s">
        <v>21292</v>
      </c>
      <c r="B1383" t="s">
        <v>17295</v>
      </c>
      <c r="C1383" t="s">
        <v>17296</v>
      </c>
      <c r="D1383" t="s">
        <v>17297</v>
      </c>
      <c r="E1383">
        <v>2209</v>
      </c>
      <c r="F1383" t="s">
        <v>17298</v>
      </c>
      <c r="G1383" t="s">
        <v>12085</v>
      </c>
      <c r="H1383" t="str">
        <f t="shared" si="42"/>
        <v>Bobby2209Huntsville</v>
      </c>
      <c r="I1383" t="str">
        <f t="shared" si="43"/>
        <v>Bobby</v>
      </c>
      <c r="J1383" s="82">
        <f>IFERROR(INDEX('All Folders'!$A:$A,MATCH(H1383,'All Folders'!$G:$G,0),1),"¶")</f>
        <v>30526</v>
      </c>
      <c r="K1383" s="87"/>
      <c r="L1383" s="87"/>
    </row>
    <row r="1384" spans="1:12" ht="15" x14ac:dyDescent="0.25">
      <c r="A1384" t="s">
        <v>21293</v>
      </c>
      <c r="B1384" t="s">
        <v>17299</v>
      </c>
      <c r="C1384" t="s">
        <v>17300</v>
      </c>
      <c r="D1384" t="s">
        <v>17301</v>
      </c>
      <c r="E1384">
        <v>2450</v>
      </c>
      <c r="F1384" t="s">
        <v>17302</v>
      </c>
      <c r="G1384" t="s">
        <v>12085</v>
      </c>
      <c r="H1384" t="str">
        <f t="shared" si="42"/>
        <v>Lake2450Huntsville</v>
      </c>
      <c r="I1384" t="str">
        <f t="shared" si="43"/>
        <v>Lake</v>
      </c>
      <c r="J1384" s="82">
        <f>IFERROR(INDEX('All Folders'!$A:$A,MATCH(H1384,'All Folders'!$G:$G,0),1),"¶")</f>
        <v>30529</v>
      </c>
      <c r="K1384" s="87"/>
      <c r="L1384" s="87"/>
    </row>
    <row r="1385" spans="1:12" ht="15" x14ac:dyDescent="0.25">
      <c r="A1385" t="s">
        <v>21294</v>
      </c>
      <c r="B1385" t="s">
        <v>17303</v>
      </c>
      <c r="C1385" t="s">
        <v>17304</v>
      </c>
      <c r="D1385" t="s">
        <v>17305</v>
      </c>
      <c r="E1385">
        <v>2002</v>
      </c>
      <c r="F1385" t="s">
        <v>17306</v>
      </c>
      <c r="G1385" t="s">
        <v>12085</v>
      </c>
      <c r="H1385" t="str">
        <f t="shared" si="42"/>
        <v>20th2002Huntsville</v>
      </c>
      <c r="I1385" t="str">
        <f t="shared" si="43"/>
        <v>20th</v>
      </c>
      <c r="J1385" s="82">
        <f>IFERROR(INDEX('All Folders'!$A:$A,MATCH(H1385,'All Folders'!$G:$G,0),1),"¶")</f>
        <v>30525</v>
      </c>
      <c r="K1385" s="87"/>
      <c r="L1385" s="87"/>
    </row>
    <row r="1386" spans="1:12" ht="15" x14ac:dyDescent="0.25">
      <c r="A1386" t="s">
        <v>21295</v>
      </c>
      <c r="B1386" t="s">
        <v>17307</v>
      </c>
      <c r="C1386" t="s">
        <v>17308</v>
      </c>
      <c r="D1386" t="s">
        <v>17309</v>
      </c>
      <c r="E1386">
        <v>1301</v>
      </c>
      <c r="F1386" t="s">
        <v>17310</v>
      </c>
      <c r="G1386" t="s">
        <v>12085</v>
      </c>
      <c r="H1386" t="str">
        <f t="shared" si="42"/>
        <v>451301Huntsville</v>
      </c>
      <c r="I1386" t="str">
        <f t="shared" si="43"/>
        <v>45</v>
      </c>
      <c r="J1386" s="82">
        <f>IFERROR(INDEX('All Folders'!$A:$A,MATCH(H1386,'All Folders'!$G:$G,0),1),"¶")</f>
        <v>30527</v>
      </c>
      <c r="K1386" s="87"/>
      <c r="L1386" s="87"/>
    </row>
    <row r="1387" spans="1:12" ht="15" x14ac:dyDescent="0.25">
      <c r="A1387" t="s">
        <v>21296</v>
      </c>
      <c r="B1387" t="s">
        <v>17311</v>
      </c>
      <c r="C1387" t="s">
        <v>17312</v>
      </c>
      <c r="D1387" t="s">
        <v>17313</v>
      </c>
      <c r="E1387">
        <v>1235</v>
      </c>
      <c r="F1387" t="s">
        <v>8134</v>
      </c>
      <c r="G1387" t="s">
        <v>12085</v>
      </c>
      <c r="H1387" t="str">
        <f t="shared" si="42"/>
        <v>Josey1235Huntsville</v>
      </c>
      <c r="I1387" t="str">
        <f t="shared" si="43"/>
        <v>Josey</v>
      </c>
      <c r="J1387" s="82">
        <f>IFERROR(INDEX('All Folders'!$A:$A,MATCH(H1387,'All Folders'!$G:$G,0),1),"¶")</f>
        <v>30528</v>
      </c>
      <c r="K1387" s="87"/>
      <c r="L1387" s="87"/>
    </row>
    <row r="1388" spans="1:12" ht="15" x14ac:dyDescent="0.25">
      <c r="A1388" t="s">
        <v>21297</v>
      </c>
      <c r="B1388" t="s">
        <v>17314</v>
      </c>
      <c r="C1388" t="s">
        <v>17315</v>
      </c>
      <c r="D1388" t="s">
        <v>17316</v>
      </c>
      <c r="E1388">
        <v>450</v>
      </c>
      <c r="F1388" t="s">
        <v>17317</v>
      </c>
      <c r="G1388" t="s">
        <v>6612</v>
      </c>
      <c r="H1388" t="str">
        <f t="shared" si="42"/>
        <v>Hurst450Hurst</v>
      </c>
      <c r="I1388" t="str">
        <f t="shared" si="43"/>
        <v>Hurst</v>
      </c>
      <c r="J1388" s="82">
        <f>IFERROR(INDEX('All Folders'!$A:$A,MATCH(H1388,'All Folders'!$G:$G,0),1),"¶")</f>
        <v>30187</v>
      </c>
      <c r="K1388" s="87"/>
      <c r="L1388" s="87"/>
    </row>
    <row r="1389" spans="1:12" ht="15" x14ac:dyDescent="0.25">
      <c r="A1389" t="s">
        <v>21298</v>
      </c>
      <c r="B1389" t="s">
        <v>17318</v>
      </c>
      <c r="C1389" t="s">
        <v>17319</v>
      </c>
      <c r="D1389" t="s">
        <v>17320</v>
      </c>
      <c r="E1389">
        <v>1232</v>
      </c>
      <c r="F1389" t="s">
        <v>11615</v>
      </c>
      <c r="G1389" t="s">
        <v>6612</v>
      </c>
      <c r="H1389" t="str">
        <f t="shared" si="42"/>
        <v>Cavender1232Hurst</v>
      </c>
      <c r="I1389" t="str">
        <f t="shared" si="43"/>
        <v>Cavender</v>
      </c>
      <c r="J1389" s="82">
        <f>IFERROR(INDEX('All Folders'!$A:$A,MATCH(H1389,'All Folders'!$G:$G,0),1),"¶")</f>
        <v>30186</v>
      </c>
      <c r="K1389" s="87"/>
      <c r="L1389" s="87"/>
    </row>
    <row r="1390" spans="1:12" ht="15" x14ac:dyDescent="0.25">
      <c r="A1390" t="s">
        <v>21299</v>
      </c>
      <c r="B1390" t="s">
        <v>17321</v>
      </c>
      <c r="C1390" t="s">
        <v>17322</v>
      </c>
      <c r="D1390" t="s">
        <v>17323</v>
      </c>
      <c r="E1390">
        <v>825</v>
      </c>
      <c r="F1390" t="s">
        <v>17324</v>
      </c>
      <c r="G1390" t="s">
        <v>6612</v>
      </c>
      <c r="H1390" t="str">
        <f t="shared" si="42"/>
        <v>Norwood825Hurst</v>
      </c>
      <c r="I1390" t="str">
        <f t="shared" si="43"/>
        <v>Norwood</v>
      </c>
      <c r="J1390" s="82">
        <f>IFERROR(INDEX('All Folders'!$A:$A,MATCH(H1390,'All Folders'!$G:$G,0),1),"¶")</f>
        <v>30188</v>
      </c>
      <c r="K1390" s="87"/>
      <c r="L1390" s="87"/>
    </row>
    <row r="1391" spans="1:12" ht="15" x14ac:dyDescent="0.25">
      <c r="A1391" t="s">
        <v>21300</v>
      </c>
      <c r="B1391" t="s">
        <v>17325</v>
      </c>
      <c r="C1391" t="s">
        <v>17326</v>
      </c>
      <c r="D1391" t="s">
        <v>17327</v>
      </c>
      <c r="E1391">
        <v>555</v>
      </c>
      <c r="F1391" t="s">
        <v>1261</v>
      </c>
      <c r="G1391" t="s">
        <v>6612</v>
      </c>
      <c r="H1391" t="str">
        <f t="shared" si="42"/>
        <v>Precinct555Hurst</v>
      </c>
      <c r="I1391" t="str">
        <f t="shared" si="43"/>
        <v>Precinct</v>
      </c>
      <c r="J1391" s="82">
        <f>IFERROR(INDEX('All Folders'!$A:$A,MATCH(H1391,'All Folders'!$G:$G,0),1),"¶")</f>
        <v>15528</v>
      </c>
      <c r="K1391" s="87"/>
      <c r="L1391" s="87"/>
    </row>
    <row r="1392" spans="1:12" ht="15" x14ac:dyDescent="0.25">
      <c r="A1392" t="s">
        <v>21302</v>
      </c>
      <c r="B1392" t="s">
        <v>17333</v>
      </c>
      <c r="C1392" t="s">
        <v>17334</v>
      </c>
      <c r="D1392" t="s">
        <v>17335</v>
      </c>
      <c r="E1392">
        <v>601</v>
      </c>
      <c r="F1392" t="s">
        <v>7936</v>
      </c>
      <c r="G1392" t="s">
        <v>6612</v>
      </c>
      <c r="H1392" t="str">
        <f t="shared" si="42"/>
        <v>Brown601Hurst</v>
      </c>
      <c r="I1392" t="str">
        <f t="shared" si="43"/>
        <v>Brown</v>
      </c>
      <c r="J1392" s="82">
        <f>IFERROR(INDEX('All Folders'!$A:$A,MATCH(H1392,'All Folders'!$G:$G,0),1),"¶")</f>
        <v>15496</v>
      </c>
      <c r="K1392" s="87"/>
      <c r="L1392" s="87"/>
    </row>
    <row r="1393" spans="1:12" ht="15" x14ac:dyDescent="0.25">
      <c r="A1393" t="s">
        <v>21303</v>
      </c>
      <c r="B1393" t="s">
        <v>17336</v>
      </c>
      <c r="C1393" t="s">
        <v>17337</v>
      </c>
      <c r="D1393" t="s">
        <v>17338</v>
      </c>
      <c r="E1393">
        <v>1001</v>
      </c>
      <c r="F1393" t="s">
        <v>17339</v>
      </c>
      <c r="G1393" t="s">
        <v>5046</v>
      </c>
      <c r="H1393" t="str">
        <f t="shared" si="42"/>
        <v>Lake1001Irving</v>
      </c>
      <c r="I1393" t="str">
        <f t="shared" si="43"/>
        <v>Lake</v>
      </c>
      <c r="J1393" s="82">
        <f>IFERROR(INDEX('All Folders'!$A:$A,MATCH(H1393,'All Folders'!$G:$G,0),1),"¶")</f>
        <v>17692</v>
      </c>
      <c r="K1393" s="87"/>
      <c r="L1393" s="87"/>
    </row>
    <row r="1394" spans="1:12" ht="15" x14ac:dyDescent="0.25">
      <c r="A1394" t="s">
        <v>21304</v>
      </c>
      <c r="B1394" t="s">
        <v>17340</v>
      </c>
      <c r="C1394" t="s">
        <v>17341</v>
      </c>
      <c r="D1394" t="s">
        <v>17342</v>
      </c>
      <c r="E1394">
        <v>1013</v>
      </c>
      <c r="F1394" t="s">
        <v>17343</v>
      </c>
      <c r="G1394" t="s">
        <v>5046</v>
      </c>
      <c r="H1394" t="str">
        <f t="shared" si="42"/>
        <v>Pioneer1013Irving</v>
      </c>
      <c r="I1394" t="str">
        <f t="shared" si="43"/>
        <v>Pioneer</v>
      </c>
      <c r="J1394" s="82">
        <f>IFERROR(INDEX('All Folders'!$A:$A,MATCH(H1394,'All Folders'!$G:$G,0),1),"¶")</f>
        <v>30198</v>
      </c>
      <c r="K1394" s="87"/>
      <c r="L1394" s="87"/>
    </row>
    <row r="1395" spans="1:12" ht="15" x14ac:dyDescent="0.25">
      <c r="A1395" t="s">
        <v>21305</v>
      </c>
      <c r="B1395" t="s">
        <v>17344</v>
      </c>
      <c r="C1395" t="s">
        <v>17345</v>
      </c>
      <c r="D1395" t="s">
        <v>17346</v>
      </c>
      <c r="E1395">
        <v>1306</v>
      </c>
      <c r="F1395" t="s">
        <v>17347</v>
      </c>
      <c r="G1395" t="s">
        <v>5046</v>
      </c>
      <c r="H1395" t="str">
        <f t="shared" si="42"/>
        <v>Nursery1306Irving</v>
      </c>
      <c r="I1395" t="str">
        <f t="shared" si="43"/>
        <v>Nursery</v>
      </c>
      <c r="J1395" s="82">
        <f>IFERROR(INDEX('All Folders'!$A:$A,MATCH(H1395,'All Folders'!$G:$G,0),1),"¶")</f>
        <v>15026</v>
      </c>
      <c r="K1395" s="87"/>
      <c r="L1395" s="87"/>
    </row>
    <row r="1396" spans="1:12" ht="15" x14ac:dyDescent="0.25">
      <c r="A1396" t="s">
        <v>21307</v>
      </c>
      <c r="B1396" t="s">
        <v>17352</v>
      </c>
      <c r="C1396" t="s">
        <v>17353</v>
      </c>
      <c r="D1396" t="s">
        <v>13721</v>
      </c>
      <c r="E1396">
        <v>3327</v>
      </c>
      <c r="F1396" t="s">
        <v>17354</v>
      </c>
      <c r="G1396" t="s">
        <v>5046</v>
      </c>
      <c r="H1396" t="str">
        <f t="shared" si="42"/>
        <v>Willow3327Irving</v>
      </c>
      <c r="I1396" t="str">
        <f t="shared" si="43"/>
        <v>Willow</v>
      </c>
      <c r="J1396" s="82">
        <f>IFERROR(INDEX('All Folders'!$A:$A,MATCH(H1396,'All Folders'!$G:$G,0),1),"¶")</f>
        <v>15012</v>
      </c>
      <c r="K1396" s="87"/>
      <c r="L1396" s="87"/>
    </row>
    <row r="1397" spans="1:12" ht="15" x14ac:dyDescent="0.25">
      <c r="A1397" t="s">
        <v>21308</v>
      </c>
      <c r="B1397" t="s">
        <v>17355</v>
      </c>
      <c r="C1397" t="s">
        <v>17356</v>
      </c>
      <c r="D1397" t="s">
        <v>17357</v>
      </c>
      <c r="E1397">
        <v>3501</v>
      </c>
      <c r="F1397" t="s">
        <v>17358</v>
      </c>
      <c r="G1397" t="s">
        <v>5046</v>
      </c>
      <c r="H1397" t="str">
        <f t="shared" si="42"/>
        <v>Walnut3501Irving</v>
      </c>
      <c r="I1397" t="str">
        <f t="shared" si="43"/>
        <v>Walnut</v>
      </c>
      <c r="J1397" s="82">
        <f>IFERROR(INDEX('All Folders'!$A:$A,MATCH(H1397,'All Folders'!$G:$G,0),1),"¶")</f>
        <v>30208</v>
      </c>
      <c r="K1397" s="87"/>
      <c r="L1397" s="87"/>
    </row>
    <row r="1398" spans="1:12" ht="15" x14ac:dyDescent="0.25">
      <c r="A1398" t="s">
        <v>21309</v>
      </c>
      <c r="B1398" t="s">
        <v>17359</v>
      </c>
      <c r="C1398" t="s">
        <v>17360</v>
      </c>
      <c r="D1398" t="s">
        <v>15151</v>
      </c>
      <c r="E1398">
        <v>3703</v>
      </c>
      <c r="F1398" t="s">
        <v>17361</v>
      </c>
      <c r="G1398" t="s">
        <v>5046</v>
      </c>
      <c r="H1398" t="str">
        <f t="shared" si="42"/>
        <v>Northgate3703Irving</v>
      </c>
      <c r="I1398" t="str">
        <f t="shared" si="43"/>
        <v>Northgate</v>
      </c>
      <c r="J1398" s="82">
        <f>IFERROR(INDEX('All Folders'!$A:$A,MATCH(H1398,'All Folders'!$G:$G,0),1),"¶")</f>
        <v>30201</v>
      </c>
      <c r="K1398" s="87"/>
      <c r="L1398" s="87"/>
    </row>
    <row r="1399" spans="1:12" ht="15" x14ac:dyDescent="0.25">
      <c r="A1399" t="s">
        <v>21310</v>
      </c>
      <c r="B1399" t="s">
        <v>17362</v>
      </c>
      <c r="C1399" t="s">
        <v>17363</v>
      </c>
      <c r="D1399" t="s">
        <v>17364</v>
      </c>
      <c r="E1399">
        <v>4500</v>
      </c>
      <c r="F1399" t="s">
        <v>17365</v>
      </c>
      <c r="G1399" t="s">
        <v>5046</v>
      </c>
      <c r="H1399" t="str">
        <f t="shared" si="42"/>
        <v>Pioneer4500Irving</v>
      </c>
      <c r="I1399" t="str">
        <f t="shared" si="43"/>
        <v>Pioneer</v>
      </c>
      <c r="J1399" s="82">
        <f>IFERROR(INDEX('All Folders'!$A:$A,MATCH(H1399,'All Folders'!$G:$G,0),1),"¶")</f>
        <v>30204</v>
      </c>
      <c r="K1399" s="87"/>
      <c r="L1399" s="87"/>
    </row>
    <row r="1400" spans="1:12" ht="15" x14ac:dyDescent="0.25">
      <c r="A1400" t="s">
        <v>21311</v>
      </c>
      <c r="B1400" t="s">
        <v>17366</v>
      </c>
      <c r="C1400" t="s">
        <v>17367</v>
      </c>
      <c r="D1400" t="s">
        <v>17368</v>
      </c>
      <c r="E1400">
        <v>215</v>
      </c>
      <c r="F1400" t="s">
        <v>11623</v>
      </c>
      <c r="G1400" t="s">
        <v>5046</v>
      </c>
      <c r="H1400" t="str">
        <f t="shared" si="42"/>
        <v>Airport215Irving</v>
      </c>
      <c r="I1400" t="str">
        <f t="shared" si="43"/>
        <v>Airport</v>
      </c>
      <c r="J1400" s="82">
        <f>IFERROR(INDEX('All Folders'!$A:$A,MATCH(H1400,'All Folders'!$G:$G,0),1),"¶")</f>
        <v>30190</v>
      </c>
      <c r="K1400" s="87"/>
      <c r="L1400" s="87"/>
    </row>
    <row r="1401" spans="1:12" ht="15" x14ac:dyDescent="0.25">
      <c r="A1401" t="s">
        <v>21312</v>
      </c>
      <c r="B1401" t="s">
        <v>17369</v>
      </c>
      <c r="C1401" t="s">
        <v>17370</v>
      </c>
      <c r="D1401" t="s">
        <v>17371</v>
      </c>
      <c r="E1401">
        <v>3424</v>
      </c>
      <c r="F1401" t="s">
        <v>5121</v>
      </c>
      <c r="G1401" t="s">
        <v>5046</v>
      </c>
      <c r="H1401" t="str">
        <f t="shared" si="42"/>
        <v>Country3424Irving</v>
      </c>
      <c r="I1401" t="str">
        <f t="shared" si="43"/>
        <v>Country</v>
      </c>
      <c r="J1401" s="82">
        <f>IFERROR(INDEX('All Folders'!$A:$A,MATCH(H1401,'All Folders'!$G:$G,0),1),"¶")</f>
        <v>13150</v>
      </c>
      <c r="K1401" s="87"/>
      <c r="L1401" s="87"/>
    </row>
    <row r="1402" spans="1:12" ht="15" x14ac:dyDescent="0.25">
      <c r="A1402" t="s">
        <v>21314</v>
      </c>
      <c r="B1402" t="s">
        <v>17376</v>
      </c>
      <c r="C1402" t="s">
        <v>17377</v>
      </c>
      <c r="D1402" t="s">
        <v>17378</v>
      </c>
      <c r="E1402">
        <v>506</v>
      </c>
      <c r="F1402" t="s">
        <v>17379</v>
      </c>
      <c r="G1402" t="s">
        <v>5046</v>
      </c>
      <c r="H1402" t="str">
        <f t="shared" si="42"/>
        <v>Rogers506Irving</v>
      </c>
      <c r="I1402" t="str">
        <f t="shared" si="43"/>
        <v>Rogers</v>
      </c>
      <c r="J1402" s="82">
        <f>IFERROR(INDEX('All Folders'!$A:$A,MATCH(H1402,'All Folders'!$G:$G,0),1),"¶")</f>
        <v>13177</v>
      </c>
      <c r="K1402" s="87"/>
      <c r="L1402" s="87"/>
    </row>
    <row r="1403" spans="1:12" ht="15" x14ac:dyDescent="0.25">
      <c r="A1403" t="s">
        <v>21315</v>
      </c>
      <c r="B1403" t="s">
        <v>17380</v>
      </c>
      <c r="C1403" t="s">
        <v>17381</v>
      </c>
      <c r="D1403" t="s">
        <v>17382</v>
      </c>
      <c r="E1403">
        <v>1954</v>
      </c>
      <c r="F1403" t="s">
        <v>17383</v>
      </c>
      <c r="G1403" t="s">
        <v>5046</v>
      </c>
      <c r="H1403" t="str">
        <f t="shared" si="42"/>
        <v>Shoaf1954Irving</v>
      </c>
      <c r="I1403" t="str">
        <f t="shared" si="43"/>
        <v>Shoaf</v>
      </c>
      <c r="J1403" s="82">
        <f>IFERROR(INDEX('All Folders'!$A:$A,MATCH(H1403,'All Folders'!$G:$G,0),1),"¶")</f>
        <v>14891</v>
      </c>
      <c r="K1403" s="87"/>
      <c r="L1403" s="87"/>
    </row>
    <row r="1404" spans="1:12" ht="15" x14ac:dyDescent="0.25">
      <c r="A1404" t="s">
        <v>21316</v>
      </c>
      <c r="B1404" t="s">
        <v>17384</v>
      </c>
      <c r="C1404" t="s">
        <v>17385</v>
      </c>
      <c r="D1404" t="s">
        <v>17386</v>
      </c>
      <c r="E1404">
        <v>1516</v>
      </c>
      <c r="F1404" t="s">
        <v>17387</v>
      </c>
      <c r="G1404" t="s">
        <v>5046</v>
      </c>
      <c r="H1404" t="str">
        <f t="shared" si="42"/>
        <v>Irving1516Irving</v>
      </c>
      <c r="I1404" t="str">
        <f t="shared" si="43"/>
        <v>Irving</v>
      </c>
      <c r="J1404" s="82">
        <f>IFERROR(INDEX('All Folders'!$A:$A,MATCH(H1404,'All Folders'!$G:$G,0),1),"¶")</f>
        <v>15156</v>
      </c>
      <c r="K1404" s="87"/>
      <c r="L1404" s="87"/>
    </row>
    <row r="1405" spans="1:12" ht="15" x14ac:dyDescent="0.25">
      <c r="A1405" t="s">
        <v>21317</v>
      </c>
      <c r="B1405" t="s">
        <v>17388</v>
      </c>
      <c r="C1405" t="s">
        <v>17389</v>
      </c>
      <c r="D1405" t="s">
        <v>15151</v>
      </c>
      <c r="E1405">
        <v>4200</v>
      </c>
      <c r="F1405" t="s">
        <v>7087</v>
      </c>
      <c r="G1405" t="s">
        <v>5046</v>
      </c>
      <c r="H1405" t="str">
        <f t="shared" si="42"/>
        <v>Northgate4200Irving</v>
      </c>
      <c r="I1405" t="str">
        <f t="shared" si="43"/>
        <v>Northgate</v>
      </c>
      <c r="J1405" s="82">
        <f>IFERROR(INDEX('All Folders'!$A:$A,MATCH(H1405,'All Folders'!$G:$G,0),1),"¶")</f>
        <v>14726</v>
      </c>
      <c r="K1405" s="87"/>
      <c r="L1405" s="87"/>
    </row>
    <row r="1406" spans="1:12" ht="15" x14ac:dyDescent="0.25">
      <c r="A1406" t="s">
        <v>21318</v>
      </c>
      <c r="B1406" t="s">
        <v>17390</v>
      </c>
      <c r="C1406" t="s">
        <v>17391</v>
      </c>
      <c r="D1406" t="s">
        <v>12600</v>
      </c>
      <c r="E1406" t="s">
        <v>12601</v>
      </c>
      <c r="F1406" t="s">
        <v>17392</v>
      </c>
      <c r="G1406" t="s">
        <v>5046</v>
      </c>
      <c r="H1406" t="str">
        <f t="shared" si="42"/>
        <v>Chamberlain903-921Irving</v>
      </c>
      <c r="I1406" t="str">
        <f t="shared" si="43"/>
        <v>Chamberlain</v>
      </c>
      <c r="J1406" s="82" t="str">
        <f>IFERROR(INDEX('All Folders'!$A:$A,MATCH(H1406,'All Folders'!$G:$G,0),1),"¶")</f>
        <v>SP148</v>
      </c>
      <c r="K1406" s="87"/>
      <c r="L1406" s="87"/>
    </row>
    <row r="1407" spans="1:12" ht="15" x14ac:dyDescent="0.25">
      <c r="A1407" t="s">
        <v>21319</v>
      </c>
      <c r="B1407" t="s">
        <v>17393</v>
      </c>
      <c r="C1407" t="s">
        <v>17394</v>
      </c>
      <c r="D1407" t="s">
        <v>17346</v>
      </c>
      <c r="E1407">
        <v>730</v>
      </c>
      <c r="F1407" t="s">
        <v>17395</v>
      </c>
      <c r="G1407" t="s">
        <v>5046</v>
      </c>
      <c r="H1407" t="str">
        <f t="shared" si="42"/>
        <v>Nursery730Irving</v>
      </c>
      <c r="I1407" t="str">
        <f t="shared" si="43"/>
        <v>Nursery</v>
      </c>
      <c r="J1407" s="82">
        <f>IFERROR(INDEX('All Folders'!$A:$A,MATCH(H1407,'All Folders'!$G:$G,0),1),"¶")</f>
        <v>14847</v>
      </c>
      <c r="K1407" s="87"/>
      <c r="L1407" s="87"/>
    </row>
    <row r="1408" spans="1:12" ht="15" x14ac:dyDescent="0.25">
      <c r="A1408" t="s">
        <v>21322</v>
      </c>
      <c r="B1408" t="s">
        <v>17402</v>
      </c>
      <c r="C1408" t="s">
        <v>17403</v>
      </c>
      <c r="D1408" t="s">
        <v>17404</v>
      </c>
      <c r="E1408">
        <v>1415</v>
      </c>
      <c r="F1408" t="s">
        <v>17405</v>
      </c>
      <c r="G1408" t="s">
        <v>5046</v>
      </c>
      <c r="H1408" t="str">
        <f t="shared" si="42"/>
        <v>Airport1415Irving</v>
      </c>
      <c r="I1408" t="str">
        <f t="shared" si="43"/>
        <v>Airport</v>
      </c>
      <c r="J1408" s="82">
        <f>IFERROR(INDEX('All Folders'!$A:$A,MATCH(H1408,'All Folders'!$G:$G,0),1),"¶")</f>
        <v>15454</v>
      </c>
      <c r="K1408" s="87"/>
      <c r="L1408" s="87"/>
    </row>
    <row r="1409" spans="1:12" ht="15" x14ac:dyDescent="0.25">
      <c r="A1409" t="s">
        <v>21323</v>
      </c>
      <c r="B1409" t="s">
        <v>17406</v>
      </c>
      <c r="C1409" t="s">
        <v>17407</v>
      </c>
      <c r="D1409" t="s">
        <v>17408</v>
      </c>
      <c r="E1409">
        <v>3201</v>
      </c>
      <c r="F1409" t="s">
        <v>17409</v>
      </c>
      <c r="G1409" t="s">
        <v>5046</v>
      </c>
      <c r="H1409" t="str">
        <f t="shared" si="42"/>
        <v>Finley3201Irving</v>
      </c>
      <c r="I1409" t="str">
        <f t="shared" si="43"/>
        <v>Finley</v>
      </c>
      <c r="J1409" s="82">
        <f>IFERROR(INDEX('All Folders'!$A:$A,MATCH(H1409,'All Folders'!$G:$G,0),1),"¶")</f>
        <v>14577</v>
      </c>
      <c r="K1409" s="87"/>
      <c r="L1409" s="87"/>
    </row>
    <row r="1410" spans="1:12" ht="15" x14ac:dyDescent="0.25">
      <c r="A1410" t="s">
        <v>21324</v>
      </c>
      <c r="B1410" t="s">
        <v>17410</v>
      </c>
      <c r="C1410" t="s">
        <v>17411</v>
      </c>
      <c r="D1410" t="s">
        <v>17364</v>
      </c>
      <c r="E1410">
        <v>2871</v>
      </c>
      <c r="F1410" t="s">
        <v>5476</v>
      </c>
      <c r="G1410" t="s">
        <v>5046</v>
      </c>
      <c r="H1410" t="str">
        <f t="shared" ref="H1410:H1473" si="44">I1410&amp;E1410&amp;G1410</f>
        <v>Pioneer2871Irving</v>
      </c>
      <c r="I1410" t="str">
        <f t="shared" ref="I1410:I1473" si="45">IFERROR(LEFT(D1410,FIND(" ",D1410)-1),D1410)</f>
        <v>Pioneer</v>
      </c>
      <c r="J1410" s="82">
        <f>IFERROR(INDEX('All Folders'!$A:$A,MATCH(H1410,'All Folders'!$G:$G,0),1),"¶")</f>
        <v>13403</v>
      </c>
      <c r="K1410" s="87"/>
      <c r="L1410" s="87"/>
    </row>
    <row r="1411" spans="1:12" ht="15" x14ac:dyDescent="0.25">
      <c r="A1411" t="s">
        <v>21325</v>
      </c>
      <c r="B1411" t="s">
        <v>17412</v>
      </c>
      <c r="C1411" t="s">
        <v>17413</v>
      </c>
      <c r="D1411" t="s">
        <v>17414</v>
      </c>
      <c r="E1411">
        <v>2851</v>
      </c>
      <c r="F1411" t="s">
        <v>17415</v>
      </c>
      <c r="G1411" t="s">
        <v>5046</v>
      </c>
      <c r="H1411" t="str">
        <f t="shared" si="44"/>
        <v>Pioneer2851Irving</v>
      </c>
      <c r="I1411" t="str">
        <f t="shared" si="45"/>
        <v>Pioneer</v>
      </c>
      <c r="J1411" s="82">
        <f>IFERROR(INDEX('All Folders'!$A:$A,MATCH(H1411,'All Folders'!$G:$G,0),1),"¶")</f>
        <v>15109</v>
      </c>
      <c r="K1411" s="87"/>
      <c r="L1411" s="87"/>
    </row>
    <row r="1412" spans="1:12" ht="15" x14ac:dyDescent="0.25">
      <c r="A1412" t="s">
        <v>21327</v>
      </c>
      <c r="B1412" t="s">
        <v>17420</v>
      </c>
      <c r="C1412" t="s">
        <v>17421</v>
      </c>
      <c r="D1412" t="s">
        <v>17422</v>
      </c>
      <c r="E1412">
        <v>2656</v>
      </c>
      <c r="F1412" t="s">
        <v>7873</v>
      </c>
      <c r="G1412" t="s">
        <v>5046</v>
      </c>
      <c r="H1412" t="str">
        <f t="shared" si="44"/>
        <v>Grauwyler2656Irving</v>
      </c>
      <c r="I1412" t="str">
        <f t="shared" si="45"/>
        <v>Grauwyler</v>
      </c>
      <c r="J1412" s="82">
        <f>IFERROR(INDEX('All Folders'!$A:$A,MATCH(H1412,'All Folders'!$G:$G,0),1),"¶")</f>
        <v>15444</v>
      </c>
      <c r="K1412" s="87"/>
      <c r="L1412" s="87"/>
    </row>
    <row r="1413" spans="1:12" ht="15" x14ac:dyDescent="0.25">
      <c r="A1413" t="s">
        <v>21328</v>
      </c>
      <c r="B1413" t="s">
        <v>17423</v>
      </c>
      <c r="C1413" t="s">
        <v>17424</v>
      </c>
      <c r="D1413" t="s">
        <v>14140</v>
      </c>
      <c r="E1413">
        <v>4003</v>
      </c>
      <c r="F1413" t="s">
        <v>17425</v>
      </c>
      <c r="G1413" t="s">
        <v>5046</v>
      </c>
      <c r="H1413" t="str">
        <f t="shared" si="44"/>
        <v>Belt4003Irving</v>
      </c>
      <c r="I1413" t="str">
        <f t="shared" si="45"/>
        <v>Belt</v>
      </c>
      <c r="J1413" s="82">
        <f>IFERROR(INDEX('All Folders'!$A:$A,MATCH(H1413,'All Folders'!$G:$G,0),1),"¶")</f>
        <v>15288</v>
      </c>
      <c r="K1413" s="87"/>
      <c r="L1413" s="87"/>
    </row>
    <row r="1414" spans="1:12" ht="15" x14ac:dyDescent="0.25">
      <c r="A1414" t="s">
        <v>21329</v>
      </c>
      <c r="B1414" t="s">
        <v>17426</v>
      </c>
      <c r="C1414" t="s">
        <v>17427</v>
      </c>
      <c r="D1414" t="s">
        <v>17428</v>
      </c>
      <c r="E1414">
        <v>1901</v>
      </c>
      <c r="F1414" t="s">
        <v>562</v>
      </c>
      <c r="G1414" t="s">
        <v>5046</v>
      </c>
      <c r="H1414" t="str">
        <f t="shared" si="44"/>
        <v>5th1901Irving</v>
      </c>
      <c r="I1414" t="str">
        <f t="shared" si="45"/>
        <v>5th</v>
      </c>
      <c r="J1414" s="82">
        <f>IFERROR(INDEX('All Folders'!$A:$A,MATCH(H1414,'All Folders'!$G:$G,0),1),"¶")</f>
        <v>13540</v>
      </c>
      <c r="K1414" s="87"/>
      <c r="L1414" s="87"/>
    </row>
    <row r="1415" spans="1:12" ht="15" x14ac:dyDescent="0.25">
      <c r="A1415" t="s">
        <v>21332</v>
      </c>
      <c r="B1415" t="s">
        <v>17436</v>
      </c>
      <c r="C1415" t="s">
        <v>17437</v>
      </c>
      <c r="D1415" t="s">
        <v>17357</v>
      </c>
      <c r="E1415">
        <v>3149</v>
      </c>
      <c r="F1415" t="s">
        <v>5551</v>
      </c>
      <c r="G1415" t="s">
        <v>5046</v>
      </c>
      <c r="H1415" t="str">
        <f t="shared" si="44"/>
        <v>Walnut3149Irving</v>
      </c>
      <c r="I1415" t="str">
        <f t="shared" si="45"/>
        <v>Walnut</v>
      </c>
      <c r="J1415" s="82">
        <f>IFERROR(INDEX('All Folders'!$A:$A,MATCH(H1415,'All Folders'!$G:$G,0),1),"¶")</f>
        <v>13558</v>
      </c>
      <c r="K1415" s="87"/>
      <c r="L1415" s="87"/>
    </row>
    <row r="1416" spans="1:12" ht="15" x14ac:dyDescent="0.25">
      <c r="A1416" t="s">
        <v>21333</v>
      </c>
      <c r="B1416" t="s">
        <v>17438</v>
      </c>
      <c r="C1416" t="s">
        <v>17439</v>
      </c>
      <c r="D1416" t="s">
        <v>17440</v>
      </c>
      <c r="E1416">
        <v>1111</v>
      </c>
      <c r="F1416" t="s">
        <v>17441</v>
      </c>
      <c r="G1416" t="s">
        <v>5046</v>
      </c>
      <c r="H1416" t="str">
        <f t="shared" si="44"/>
        <v>O'Connor1111Irving</v>
      </c>
      <c r="I1416" t="str">
        <f t="shared" si="45"/>
        <v>O'Connor</v>
      </c>
      <c r="J1416" s="82">
        <f>IFERROR(INDEX('All Folders'!$A:$A,MATCH(H1416,'All Folders'!$G:$G,0),1),"¶")</f>
        <v>17638</v>
      </c>
      <c r="K1416" s="87"/>
      <c r="L1416" s="87"/>
    </row>
    <row r="1417" spans="1:12" ht="15" x14ac:dyDescent="0.25">
      <c r="A1417" t="s">
        <v>21334</v>
      </c>
      <c r="B1417" t="s">
        <v>17442</v>
      </c>
      <c r="C1417" t="s">
        <v>17443</v>
      </c>
      <c r="D1417" t="s">
        <v>17444</v>
      </c>
      <c r="E1417">
        <v>430</v>
      </c>
      <c r="F1417" t="s">
        <v>17445</v>
      </c>
      <c r="G1417" t="s">
        <v>5046</v>
      </c>
      <c r="H1417" t="str">
        <f t="shared" si="44"/>
        <v>6th430Irving</v>
      </c>
      <c r="I1417" t="str">
        <f t="shared" si="45"/>
        <v>6th</v>
      </c>
      <c r="J1417" s="82">
        <f>IFERROR(INDEX('All Folders'!$A:$A,MATCH(H1417,'All Folders'!$G:$G,0),1),"¶")</f>
        <v>15259</v>
      </c>
      <c r="K1417" s="87"/>
      <c r="L1417" s="87"/>
    </row>
    <row r="1418" spans="1:12" ht="15" x14ac:dyDescent="0.25">
      <c r="A1418" t="s">
        <v>21335</v>
      </c>
      <c r="B1418" t="s">
        <v>17446</v>
      </c>
      <c r="C1418" t="s">
        <v>17447</v>
      </c>
      <c r="D1418" t="s">
        <v>17448</v>
      </c>
      <c r="E1418">
        <v>2232</v>
      </c>
      <c r="F1418" t="s">
        <v>17449</v>
      </c>
      <c r="G1418" t="s">
        <v>5046</v>
      </c>
      <c r="H1418" t="str">
        <f t="shared" si="44"/>
        <v>Riverview2232Irving</v>
      </c>
      <c r="I1418" t="str">
        <f t="shared" si="45"/>
        <v>Riverview</v>
      </c>
      <c r="J1418" s="82" t="str">
        <f>IFERROR(INDEX('All Folders'!$A:$A,MATCH(H1418,'All Folders'!$G:$G,0),1),"¶")</f>
        <v>SP151</v>
      </c>
      <c r="K1418" s="87"/>
      <c r="L1418" s="87"/>
    </row>
    <row r="1419" spans="1:12" ht="15" x14ac:dyDescent="0.25">
      <c r="A1419" t="s">
        <v>21336</v>
      </c>
      <c r="B1419" t="s">
        <v>17450</v>
      </c>
      <c r="C1419" t="s">
        <v>17451</v>
      </c>
      <c r="D1419" t="s">
        <v>17452</v>
      </c>
      <c r="E1419">
        <v>1900</v>
      </c>
      <c r="F1419" t="s">
        <v>17453</v>
      </c>
      <c r="G1419" t="s">
        <v>5046</v>
      </c>
      <c r="H1419" t="str">
        <f t="shared" si="44"/>
        <v>Rock1900Irving</v>
      </c>
      <c r="I1419" t="str">
        <f t="shared" si="45"/>
        <v>Rock</v>
      </c>
      <c r="J1419" s="82">
        <f>IFERROR(INDEX('All Folders'!$A:$A,MATCH(H1419,'All Folders'!$G:$G,0),1),"¶")</f>
        <v>30199</v>
      </c>
      <c r="K1419" s="87"/>
      <c r="L1419" s="87"/>
    </row>
    <row r="1420" spans="1:12" ht="15" x14ac:dyDescent="0.25">
      <c r="A1420" t="s">
        <v>21337</v>
      </c>
      <c r="B1420" t="s">
        <v>17454</v>
      </c>
      <c r="C1420" t="s">
        <v>17455</v>
      </c>
      <c r="D1420" t="s">
        <v>17452</v>
      </c>
      <c r="E1420">
        <v>1928</v>
      </c>
      <c r="F1420" t="s">
        <v>17453</v>
      </c>
      <c r="G1420" t="s">
        <v>5046</v>
      </c>
      <c r="H1420" t="str">
        <f t="shared" si="44"/>
        <v>Rock1928Irving</v>
      </c>
      <c r="I1420" t="str">
        <f t="shared" si="45"/>
        <v>Rock</v>
      </c>
      <c r="J1420" s="82">
        <f>IFERROR(INDEX('All Folders'!$A:$A,MATCH(H1420,'All Folders'!$G:$G,0),1),"¶")</f>
        <v>13596</v>
      </c>
      <c r="K1420" s="87"/>
      <c r="L1420" s="87"/>
    </row>
    <row r="1421" spans="1:12" ht="15" x14ac:dyDescent="0.25">
      <c r="A1421" t="s">
        <v>21338</v>
      </c>
      <c r="B1421" t="s">
        <v>17456</v>
      </c>
      <c r="C1421" t="s">
        <v>17457</v>
      </c>
      <c r="D1421" t="s">
        <v>17346</v>
      </c>
      <c r="E1421">
        <v>1010</v>
      </c>
      <c r="F1421" t="s">
        <v>11625</v>
      </c>
      <c r="G1421" t="s">
        <v>5046</v>
      </c>
      <c r="H1421" t="str">
        <f t="shared" si="44"/>
        <v>Nursery1010Irving</v>
      </c>
      <c r="I1421" t="str">
        <f t="shared" si="45"/>
        <v>Nursery</v>
      </c>
      <c r="J1421" s="82">
        <f>IFERROR(INDEX('All Folders'!$A:$A,MATCH(H1421,'All Folders'!$G:$G,0),1),"¶")</f>
        <v>30195</v>
      </c>
      <c r="K1421" s="87"/>
      <c r="L1421" s="87"/>
    </row>
    <row r="1422" spans="1:12" ht="15" x14ac:dyDescent="0.25">
      <c r="A1422" t="s">
        <v>21339</v>
      </c>
      <c r="B1422" t="s">
        <v>17458</v>
      </c>
      <c r="C1422" t="s">
        <v>17459</v>
      </c>
      <c r="D1422" t="s">
        <v>17460</v>
      </c>
      <c r="E1422">
        <v>7904</v>
      </c>
      <c r="F1422" t="s">
        <v>17461</v>
      </c>
      <c r="G1422" t="s">
        <v>5046</v>
      </c>
      <c r="H1422" t="str">
        <f t="shared" si="44"/>
        <v>Glen7904Irving</v>
      </c>
      <c r="I1422" t="str">
        <f t="shared" si="45"/>
        <v>Glen</v>
      </c>
      <c r="J1422" s="82">
        <f>IFERROR(INDEX('All Folders'!$A:$A,MATCH(H1422,'All Folders'!$G:$G,0),1),"¶")</f>
        <v>14160</v>
      </c>
      <c r="K1422" s="87"/>
      <c r="L1422" s="87"/>
    </row>
    <row r="1423" spans="1:12" ht="15" x14ac:dyDescent="0.25">
      <c r="A1423" t="s">
        <v>21340</v>
      </c>
      <c r="B1423" t="s">
        <v>17462</v>
      </c>
      <c r="C1423" t="s">
        <v>17463</v>
      </c>
      <c r="D1423" t="s">
        <v>17464</v>
      </c>
      <c r="E1423">
        <v>7902</v>
      </c>
      <c r="F1423" t="s">
        <v>17465</v>
      </c>
      <c r="G1423" t="s">
        <v>5046</v>
      </c>
      <c r="H1423" t="str">
        <f t="shared" si="44"/>
        <v>MacArthur7902Irving</v>
      </c>
      <c r="I1423" t="str">
        <f t="shared" si="45"/>
        <v>MacArthur</v>
      </c>
      <c r="J1423" s="82">
        <f>IFERROR(INDEX('All Folders'!$A:$A,MATCH(H1423,'All Folders'!$G:$G,0),1),"¶")</f>
        <v>13368</v>
      </c>
      <c r="K1423" s="87"/>
      <c r="L1423" s="87"/>
    </row>
    <row r="1424" spans="1:12" ht="15" x14ac:dyDescent="0.25">
      <c r="A1424" t="s">
        <v>21341</v>
      </c>
      <c r="B1424" t="s">
        <v>17466</v>
      </c>
      <c r="C1424" t="s">
        <v>17467</v>
      </c>
      <c r="D1424" t="s">
        <v>17371</v>
      </c>
      <c r="E1424">
        <v>3413</v>
      </c>
      <c r="F1424" t="s">
        <v>5757</v>
      </c>
      <c r="G1424" t="s">
        <v>5046</v>
      </c>
      <c r="H1424" t="str">
        <f t="shared" si="44"/>
        <v>Country3413Irving</v>
      </c>
      <c r="I1424" t="str">
        <f t="shared" si="45"/>
        <v>Country</v>
      </c>
      <c r="J1424" s="82">
        <f>IFERROR(INDEX('All Folders'!$A:$A,MATCH(H1424,'All Folders'!$G:$G,0),1),"¶")</f>
        <v>13617</v>
      </c>
      <c r="K1424" s="87"/>
      <c r="L1424" s="87"/>
    </row>
    <row r="1425" spans="1:12" ht="15" x14ac:dyDescent="0.25">
      <c r="A1425" t="s">
        <v>21342</v>
      </c>
      <c r="B1425" t="s">
        <v>17468</v>
      </c>
      <c r="C1425" t="s">
        <v>17469</v>
      </c>
      <c r="D1425" t="s">
        <v>17470</v>
      </c>
      <c r="E1425">
        <v>5342</v>
      </c>
      <c r="F1425" t="s">
        <v>17471</v>
      </c>
      <c r="G1425" t="s">
        <v>5046</v>
      </c>
      <c r="H1425" t="str">
        <f t="shared" si="44"/>
        <v>Bond5342Irving</v>
      </c>
      <c r="I1425" t="str">
        <f t="shared" si="45"/>
        <v>Bond</v>
      </c>
      <c r="J1425" s="82">
        <f>IFERROR(INDEX('All Folders'!$A:$A,MATCH(H1425,'All Folders'!$G:$G,0),1),"¶")</f>
        <v>13619</v>
      </c>
      <c r="K1425" s="87"/>
      <c r="L1425" s="87"/>
    </row>
    <row r="1426" spans="1:12" ht="15" x14ac:dyDescent="0.25">
      <c r="A1426" t="s">
        <v>21343</v>
      </c>
      <c r="B1426" t="s">
        <v>17472</v>
      </c>
      <c r="C1426" t="s">
        <v>17473</v>
      </c>
      <c r="D1426" t="s">
        <v>17474</v>
      </c>
      <c r="E1426">
        <v>801</v>
      </c>
      <c r="F1426" t="s">
        <v>7602</v>
      </c>
      <c r="G1426" t="s">
        <v>5046</v>
      </c>
      <c r="H1426" t="str">
        <f t="shared" si="44"/>
        <v>Grauwyler801Irving</v>
      </c>
      <c r="I1426" t="str">
        <f t="shared" si="45"/>
        <v>Grauwyler</v>
      </c>
      <c r="J1426" s="82">
        <f>IFERROR(INDEX('All Folders'!$A:$A,MATCH(H1426,'All Folders'!$G:$G,0),1),"¶")</f>
        <v>30191</v>
      </c>
      <c r="K1426" s="87"/>
      <c r="L1426" s="87"/>
    </row>
    <row r="1427" spans="1:12" ht="15" x14ac:dyDescent="0.25">
      <c r="A1427" t="s">
        <v>21344</v>
      </c>
      <c r="B1427" t="s">
        <v>17475</v>
      </c>
      <c r="C1427" t="s">
        <v>17476</v>
      </c>
      <c r="D1427" t="s">
        <v>17474</v>
      </c>
      <c r="E1427">
        <v>811</v>
      </c>
      <c r="F1427" t="s">
        <v>7602</v>
      </c>
      <c r="G1427" t="s">
        <v>5046</v>
      </c>
      <c r="H1427" t="str">
        <f t="shared" si="44"/>
        <v>Grauwyler811Irving</v>
      </c>
      <c r="I1427" t="str">
        <f t="shared" si="45"/>
        <v>Grauwyler</v>
      </c>
      <c r="J1427" s="82">
        <f>IFERROR(INDEX('All Folders'!$A:$A,MATCH(H1427,'All Folders'!$G:$G,0),1),"¶")</f>
        <v>15211</v>
      </c>
      <c r="K1427" s="87"/>
      <c r="L1427" s="87"/>
    </row>
    <row r="1428" spans="1:12" ht="15" x14ac:dyDescent="0.25">
      <c r="A1428" t="s">
        <v>21345</v>
      </c>
      <c r="B1428" t="s">
        <v>17477</v>
      </c>
      <c r="C1428" t="s">
        <v>17478</v>
      </c>
      <c r="D1428" t="s">
        <v>17479</v>
      </c>
      <c r="E1428">
        <v>700</v>
      </c>
      <c r="F1428" t="s">
        <v>17480</v>
      </c>
      <c r="G1428" t="s">
        <v>5046</v>
      </c>
      <c r="H1428" t="str">
        <f t="shared" si="44"/>
        <v>Story700Irving</v>
      </c>
      <c r="I1428" t="str">
        <f t="shared" si="45"/>
        <v>Story</v>
      </c>
      <c r="J1428" s="82">
        <f>IFERROR(INDEX('All Folders'!$A:$A,MATCH(H1428,'All Folders'!$G:$G,0),1),"¶")</f>
        <v>13625</v>
      </c>
      <c r="K1428" s="87"/>
      <c r="L1428" s="87"/>
    </row>
    <row r="1429" spans="1:12" ht="15" x14ac:dyDescent="0.25">
      <c r="A1429" t="s">
        <v>21346</v>
      </c>
      <c r="B1429" t="s">
        <v>17481</v>
      </c>
      <c r="C1429" t="s">
        <v>17482</v>
      </c>
      <c r="D1429" t="s">
        <v>17483</v>
      </c>
      <c r="E1429">
        <v>119</v>
      </c>
      <c r="F1429" t="s">
        <v>17484</v>
      </c>
      <c r="G1429" t="s">
        <v>5046</v>
      </c>
      <c r="H1429" t="str">
        <f t="shared" si="44"/>
        <v>MacArthur119Irving</v>
      </c>
      <c r="I1429" t="str">
        <f t="shared" si="45"/>
        <v>MacArthur</v>
      </c>
      <c r="J1429" s="82">
        <f>IFERROR(INDEX('All Folders'!$A:$A,MATCH(H1429,'All Folders'!$G:$G,0),1),"¶")</f>
        <v>18236</v>
      </c>
      <c r="K1429" s="87"/>
      <c r="L1429" s="87"/>
    </row>
    <row r="1430" spans="1:12" ht="15" x14ac:dyDescent="0.25">
      <c r="A1430" t="s">
        <v>21348</v>
      </c>
      <c r="B1430" t="s">
        <v>17488</v>
      </c>
      <c r="C1430" t="s">
        <v>17489</v>
      </c>
      <c r="D1430" t="s">
        <v>17338</v>
      </c>
      <c r="E1430">
        <v>692</v>
      </c>
      <c r="F1430" t="s">
        <v>17490</v>
      </c>
      <c r="G1430" t="s">
        <v>5046</v>
      </c>
      <c r="H1430" t="str">
        <f t="shared" si="44"/>
        <v>Lake692Irving</v>
      </c>
      <c r="I1430" t="str">
        <f t="shared" si="45"/>
        <v>Lake</v>
      </c>
      <c r="J1430" s="82">
        <f>IFERROR(INDEX('All Folders'!$A:$A,MATCH(H1430,'All Folders'!$G:$G,0),1),"¶")</f>
        <v>16658</v>
      </c>
      <c r="K1430" s="87"/>
      <c r="L1430" s="87"/>
    </row>
    <row r="1431" spans="1:12" ht="15" x14ac:dyDescent="0.25">
      <c r="A1431" t="s">
        <v>21349</v>
      </c>
      <c r="B1431" t="s">
        <v>17491</v>
      </c>
      <c r="C1431" t="s">
        <v>17492</v>
      </c>
      <c r="D1431" t="s">
        <v>17364</v>
      </c>
      <c r="E1431">
        <v>3701</v>
      </c>
      <c r="F1431" t="s">
        <v>6530</v>
      </c>
      <c r="G1431" t="s">
        <v>5046</v>
      </c>
      <c r="H1431" t="str">
        <f t="shared" si="44"/>
        <v>Pioneer3701Irving</v>
      </c>
      <c r="I1431" t="str">
        <f t="shared" si="45"/>
        <v>Pioneer</v>
      </c>
      <c r="J1431" s="82">
        <f>IFERROR(INDEX('All Folders'!$A:$A,MATCH(H1431,'All Folders'!$G:$G,0),1),"¶")</f>
        <v>14253</v>
      </c>
      <c r="K1431" s="87"/>
      <c r="L1431" s="87"/>
    </row>
    <row r="1432" spans="1:12" ht="15" x14ac:dyDescent="0.25">
      <c r="A1432" t="s">
        <v>21350</v>
      </c>
      <c r="B1432" t="s">
        <v>17493</v>
      </c>
      <c r="C1432" t="s">
        <v>17494</v>
      </c>
      <c r="D1432" t="s">
        <v>17346</v>
      </c>
      <c r="E1432">
        <v>1417</v>
      </c>
      <c r="F1432" t="s">
        <v>17495</v>
      </c>
      <c r="G1432" t="s">
        <v>5046</v>
      </c>
      <c r="H1432" t="str">
        <f t="shared" si="44"/>
        <v>Nursery1417Irving</v>
      </c>
      <c r="I1432" t="str">
        <f t="shared" si="45"/>
        <v>Nursery</v>
      </c>
      <c r="J1432" s="82">
        <f>IFERROR(INDEX('All Folders'!$A:$A,MATCH(H1432,'All Folders'!$G:$G,0),1),"¶")</f>
        <v>13768</v>
      </c>
      <c r="K1432" s="87"/>
      <c r="L1432" s="87"/>
    </row>
    <row r="1433" spans="1:12" ht="15" x14ac:dyDescent="0.25">
      <c r="A1433" t="s">
        <v>21351</v>
      </c>
      <c r="B1433" t="s">
        <v>17496</v>
      </c>
      <c r="C1433" t="s">
        <v>17497</v>
      </c>
      <c r="D1433" t="s">
        <v>15151</v>
      </c>
      <c r="E1433">
        <v>3146</v>
      </c>
      <c r="F1433" t="s">
        <v>1976</v>
      </c>
      <c r="G1433" t="s">
        <v>5046</v>
      </c>
      <c r="H1433" t="str">
        <f t="shared" si="44"/>
        <v>Northgate3146Irving</v>
      </c>
      <c r="I1433" t="str">
        <f t="shared" si="45"/>
        <v>Northgate</v>
      </c>
      <c r="J1433" s="82">
        <f>IFERROR(INDEX('All Folders'!$A:$A,MATCH(H1433,'All Folders'!$G:$G,0),1),"¶")</f>
        <v>13770</v>
      </c>
      <c r="K1433" s="87"/>
      <c r="L1433" s="87"/>
    </row>
    <row r="1434" spans="1:12" ht="15" x14ac:dyDescent="0.25">
      <c r="A1434" t="s">
        <v>21352</v>
      </c>
      <c r="B1434" t="s">
        <v>17498</v>
      </c>
      <c r="C1434" t="s">
        <v>17499</v>
      </c>
      <c r="D1434" t="s">
        <v>17364</v>
      </c>
      <c r="E1434">
        <v>2800</v>
      </c>
      <c r="F1434" t="s">
        <v>17500</v>
      </c>
      <c r="G1434" t="s">
        <v>5046</v>
      </c>
      <c r="H1434" t="str">
        <f t="shared" si="44"/>
        <v>Pioneer2800Irving</v>
      </c>
      <c r="I1434" t="str">
        <f t="shared" si="45"/>
        <v>Pioneer</v>
      </c>
      <c r="J1434" s="82">
        <f>IFERROR(INDEX('All Folders'!$A:$A,MATCH(H1434,'All Folders'!$G:$G,0),1),"¶")</f>
        <v>17456</v>
      </c>
      <c r="K1434" s="87"/>
      <c r="L1434" s="87"/>
    </row>
    <row r="1435" spans="1:12" ht="15" x14ac:dyDescent="0.25">
      <c r="A1435" t="s">
        <v>21353</v>
      </c>
      <c r="B1435" t="s">
        <v>17501</v>
      </c>
      <c r="C1435" t="s">
        <v>17502</v>
      </c>
      <c r="D1435" t="s">
        <v>17503</v>
      </c>
      <c r="E1435">
        <v>731</v>
      </c>
      <c r="F1435" t="s">
        <v>17504</v>
      </c>
      <c r="G1435" t="s">
        <v>5046</v>
      </c>
      <c r="H1435" t="str">
        <f t="shared" si="44"/>
        <v>Irving731Irving</v>
      </c>
      <c r="I1435" t="str">
        <f t="shared" si="45"/>
        <v>Irving</v>
      </c>
      <c r="J1435" s="82">
        <f>IFERROR(INDEX('All Folders'!$A:$A,MATCH(H1435,'All Folders'!$G:$G,0),1),"¶")</f>
        <v>15818</v>
      </c>
      <c r="K1435" s="87"/>
      <c r="L1435" s="87"/>
    </row>
    <row r="1436" spans="1:12" ht="15" x14ac:dyDescent="0.25">
      <c r="A1436" t="s">
        <v>21356</v>
      </c>
      <c r="B1436" t="s">
        <v>17512</v>
      </c>
      <c r="C1436" t="s">
        <v>17513</v>
      </c>
      <c r="D1436" t="s">
        <v>17440</v>
      </c>
      <c r="E1436">
        <v>1115</v>
      </c>
      <c r="F1436" t="s">
        <v>16206</v>
      </c>
      <c r="G1436" t="s">
        <v>5046</v>
      </c>
      <c r="H1436" t="str">
        <f t="shared" si="44"/>
        <v>O'Connor1115Irving</v>
      </c>
      <c r="I1436" t="str">
        <f t="shared" si="45"/>
        <v>O'Connor</v>
      </c>
      <c r="J1436" s="82">
        <f>IFERROR(INDEX('All Folders'!$A:$A,MATCH(H1436,'All Folders'!$G:$G,0),1),"¶")</f>
        <v>13839</v>
      </c>
      <c r="K1436" s="87"/>
      <c r="L1436" s="87"/>
    </row>
    <row r="1437" spans="1:12" ht="15" x14ac:dyDescent="0.25">
      <c r="A1437" t="s">
        <v>21357</v>
      </c>
      <c r="B1437" t="s">
        <v>17514</v>
      </c>
      <c r="C1437" t="s">
        <v>17515</v>
      </c>
      <c r="D1437" t="s">
        <v>17516</v>
      </c>
      <c r="E1437">
        <v>6901</v>
      </c>
      <c r="F1437" t="s">
        <v>17517</v>
      </c>
      <c r="G1437" t="s">
        <v>5046</v>
      </c>
      <c r="H1437" t="str">
        <f t="shared" si="44"/>
        <v>Valley6901Irving</v>
      </c>
      <c r="I1437" t="str">
        <f t="shared" si="45"/>
        <v>Valley</v>
      </c>
      <c r="J1437" s="82">
        <f>IFERROR(INDEX('All Folders'!$A:$A,MATCH(H1437,'All Folders'!$G:$G,0),1),"¶")</f>
        <v>13883</v>
      </c>
      <c r="K1437" s="87"/>
      <c r="L1437" s="87"/>
    </row>
    <row r="1438" spans="1:12" ht="15" x14ac:dyDescent="0.25">
      <c r="A1438" t="s">
        <v>21358</v>
      </c>
      <c r="B1438" t="s">
        <v>17518</v>
      </c>
      <c r="C1438" t="s">
        <v>17519</v>
      </c>
      <c r="D1438" t="s">
        <v>17520</v>
      </c>
      <c r="E1438">
        <v>2200</v>
      </c>
      <c r="F1438" t="s">
        <v>17521</v>
      </c>
      <c r="G1438" t="s">
        <v>5046</v>
      </c>
      <c r="H1438" t="str">
        <f t="shared" si="44"/>
        <v>Rochelle2200Irving</v>
      </c>
      <c r="I1438" t="str">
        <f t="shared" si="45"/>
        <v>Rochelle</v>
      </c>
      <c r="J1438" s="82">
        <f>IFERROR(INDEX('All Folders'!$A:$A,MATCH(H1438,'All Folders'!$G:$G,0),1),"¶")</f>
        <v>13917</v>
      </c>
      <c r="K1438" s="87"/>
      <c r="L1438" s="87"/>
    </row>
    <row r="1439" spans="1:12" ht="15" x14ac:dyDescent="0.25">
      <c r="A1439" t="s">
        <v>21360</v>
      </c>
      <c r="B1439" t="s">
        <v>17525</v>
      </c>
      <c r="C1439" t="s">
        <v>17526</v>
      </c>
      <c r="D1439" t="s">
        <v>17479</v>
      </c>
      <c r="E1439">
        <v>325</v>
      </c>
      <c r="F1439" t="s">
        <v>17527</v>
      </c>
      <c r="G1439" t="s">
        <v>5046</v>
      </c>
      <c r="H1439" t="str">
        <f t="shared" si="44"/>
        <v>Story325Irving</v>
      </c>
      <c r="I1439" t="str">
        <f t="shared" si="45"/>
        <v>Story</v>
      </c>
      <c r="J1439" s="82" t="str">
        <f>IFERROR(INDEX('All Folders'!$A:$A,MATCH(H1439,'All Folders'!$G:$G,0),1),"¶")</f>
        <v>SP154</v>
      </c>
      <c r="K1439" s="87"/>
      <c r="L1439" s="87"/>
    </row>
    <row r="1440" spans="1:12" ht="15" x14ac:dyDescent="0.25">
      <c r="A1440" t="s">
        <v>21361</v>
      </c>
      <c r="B1440" t="s">
        <v>17528</v>
      </c>
      <c r="C1440" t="s">
        <v>17529</v>
      </c>
      <c r="D1440" t="s">
        <v>17452</v>
      </c>
      <c r="E1440">
        <v>2002</v>
      </c>
      <c r="F1440" t="s">
        <v>17530</v>
      </c>
      <c r="G1440" t="s">
        <v>5046</v>
      </c>
      <c r="H1440" t="str">
        <f t="shared" si="44"/>
        <v>Rock2002Irving</v>
      </c>
      <c r="I1440" t="str">
        <f t="shared" si="45"/>
        <v>Rock</v>
      </c>
      <c r="J1440" s="82">
        <f>IFERROR(INDEX('All Folders'!$A:$A,MATCH(H1440,'All Folders'!$G:$G,0),1),"¶")</f>
        <v>13959</v>
      </c>
      <c r="K1440" s="87"/>
      <c r="L1440" s="87"/>
    </row>
    <row r="1441" spans="1:12" ht="15" x14ac:dyDescent="0.25">
      <c r="A1441" t="s">
        <v>21362</v>
      </c>
      <c r="B1441" t="s">
        <v>17531</v>
      </c>
      <c r="C1441" t="s">
        <v>17532</v>
      </c>
      <c r="D1441" t="s">
        <v>17533</v>
      </c>
      <c r="E1441">
        <v>601</v>
      </c>
      <c r="F1441" t="s">
        <v>6206</v>
      </c>
      <c r="G1441" t="s">
        <v>5046</v>
      </c>
      <c r="H1441" t="str">
        <f t="shared" si="44"/>
        <v>Rochelle601Irving</v>
      </c>
      <c r="I1441" t="str">
        <f t="shared" si="45"/>
        <v>Rochelle</v>
      </c>
      <c r="J1441" s="82">
        <f>IFERROR(INDEX('All Folders'!$A:$A,MATCH(H1441,'All Folders'!$G:$G,0),1),"¶")</f>
        <v>13968</v>
      </c>
      <c r="K1441" s="87"/>
      <c r="L1441" s="87"/>
    </row>
    <row r="1442" spans="1:12" ht="15" x14ac:dyDescent="0.25">
      <c r="A1442" t="s">
        <v>21363</v>
      </c>
      <c r="B1442" t="s">
        <v>17534</v>
      </c>
      <c r="C1442" t="s">
        <v>17535</v>
      </c>
      <c r="D1442" t="s">
        <v>17536</v>
      </c>
      <c r="E1442">
        <v>1025</v>
      </c>
      <c r="F1442" t="s">
        <v>17537</v>
      </c>
      <c r="G1442" t="s">
        <v>5046</v>
      </c>
      <c r="H1442" t="str">
        <f t="shared" si="44"/>
        <v>Nursey1025Irving</v>
      </c>
      <c r="I1442" t="str">
        <f t="shared" si="45"/>
        <v>Nursey</v>
      </c>
      <c r="J1442" s="82">
        <f>IFERROR(INDEX('All Folders'!$A:$A,MATCH(H1442,'All Folders'!$G:$G,0),1),"¶")</f>
        <v>30197</v>
      </c>
      <c r="K1442" s="87"/>
      <c r="L1442" s="87"/>
    </row>
    <row r="1443" spans="1:12" ht="15" x14ac:dyDescent="0.25">
      <c r="A1443" t="s">
        <v>21364</v>
      </c>
      <c r="B1443" t="s">
        <v>17538</v>
      </c>
      <c r="C1443" t="s">
        <v>17539</v>
      </c>
      <c r="D1443" t="s">
        <v>17364</v>
      </c>
      <c r="E1443">
        <v>3200</v>
      </c>
      <c r="F1443" t="s">
        <v>17540</v>
      </c>
      <c r="G1443" t="s">
        <v>5046</v>
      </c>
      <c r="H1443" t="str">
        <f t="shared" si="44"/>
        <v>Pioneer3200Irving</v>
      </c>
      <c r="I1443" t="str">
        <f t="shared" si="45"/>
        <v>Pioneer</v>
      </c>
      <c r="J1443" s="82">
        <f>IFERROR(INDEX('All Folders'!$A:$A,MATCH(H1443,'All Folders'!$G:$G,0),1),"¶")</f>
        <v>30205</v>
      </c>
      <c r="K1443" s="87"/>
      <c r="L1443" s="87"/>
    </row>
    <row r="1444" spans="1:12" ht="15" x14ac:dyDescent="0.25">
      <c r="A1444" t="s">
        <v>21366</v>
      </c>
      <c r="B1444" t="s">
        <v>17545</v>
      </c>
      <c r="C1444" t="s">
        <v>17546</v>
      </c>
      <c r="D1444" t="s">
        <v>17547</v>
      </c>
      <c r="E1444">
        <v>3604</v>
      </c>
      <c r="F1444" t="s">
        <v>16583</v>
      </c>
      <c r="G1444" t="s">
        <v>5046</v>
      </c>
      <c r="H1444" t="str">
        <f t="shared" si="44"/>
        <v>Country3604Irving</v>
      </c>
      <c r="I1444" t="str">
        <f t="shared" si="45"/>
        <v>Country</v>
      </c>
      <c r="J1444" s="82">
        <f>IFERROR(INDEX('All Folders'!$A:$A,MATCH(H1444,'All Folders'!$G:$G,0),1),"¶")</f>
        <v>15116</v>
      </c>
      <c r="K1444" s="87"/>
      <c r="L1444" s="87"/>
    </row>
    <row r="1445" spans="1:12" ht="15" x14ac:dyDescent="0.25">
      <c r="A1445" t="s">
        <v>21368</v>
      </c>
      <c r="B1445" t="s">
        <v>17550</v>
      </c>
      <c r="C1445" t="s">
        <v>17551</v>
      </c>
      <c r="D1445" t="s">
        <v>17474</v>
      </c>
      <c r="E1445">
        <v>1927</v>
      </c>
      <c r="F1445" t="s">
        <v>16707</v>
      </c>
      <c r="G1445" t="s">
        <v>5046</v>
      </c>
      <c r="H1445" t="str">
        <f t="shared" si="44"/>
        <v>Grauwyler1927Irving</v>
      </c>
      <c r="I1445" t="str">
        <f t="shared" si="45"/>
        <v>Grauwyler</v>
      </c>
      <c r="J1445" s="82">
        <f>IFERROR(INDEX('All Folders'!$A:$A,MATCH(H1445,'All Folders'!$G:$G,0),1),"¶")</f>
        <v>14024</v>
      </c>
      <c r="K1445" s="87"/>
      <c r="L1445" s="87"/>
    </row>
    <row r="1446" spans="1:12" ht="15" x14ac:dyDescent="0.25">
      <c r="A1446" t="s">
        <v>21369</v>
      </c>
      <c r="B1446" t="s">
        <v>17552</v>
      </c>
      <c r="C1446" t="s">
        <v>17553</v>
      </c>
      <c r="D1446" t="s">
        <v>13721</v>
      </c>
      <c r="E1446">
        <v>3315</v>
      </c>
      <c r="F1446" t="s">
        <v>17554</v>
      </c>
      <c r="G1446" t="s">
        <v>5046</v>
      </c>
      <c r="H1446" t="str">
        <f t="shared" si="44"/>
        <v>Willow3315Irving</v>
      </c>
      <c r="I1446" t="str">
        <f t="shared" si="45"/>
        <v>Willow</v>
      </c>
      <c r="J1446" s="82">
        <f>IFERROR(INDEX('All Folders'!$A:$A,MATCH(H1446,'All Folders'!$G:$G,0),1),"¶")</f>
        <v>30209</v>
      </c>
      <c r="K1446" s="87"/>
      <c r="L1446" s="87"/>
    </row>
    <row r="1447" spans="1:12" ht="15" x14ac:dyDescent="0.25">
      <c r="A1447" t="s">
        <v>21370</v>
      </c>
      <c r="B1447" t="s">
        <v>17555</v>
      </c>
      <c r="C1447" t="s">
        <v>17556</v>
      </c>
      <c r="D1447" t="s">
        <v>16481</v>
      </c>
      <c r="E1447">
        <v>3466</v>
      </c>
      <c r="F1447" t="s">
        <v>17557</v>
      </c>
      <c r="G1447" t="s">
        <v>5046</v>
      </c>
      <c r="H1447" t="str">
        <f t="shared" si="44"/>
        <v>Belt3466Irving</v>
      </c>
      <c r="I1447" t="str">
        <f t="shared" si="45"/>
        <v>Belt</v>
      </c>
      <c r="J1447" s="82">
        <f>IFERROR(INDEX('All Folders'!$A:$A,MATCH(H1447,'All Folders'!$G:$G,0),1),"¶")</f>
        <v>13763</v>
      </c>
      <c r="K1447" s="87"/>
      <c r="L1447" s="87"/>
    </row>
    <row r="1448" spans="1:12" ht="15" x14ac:dyDescent="0.25">
      <c r="A1448" t="s">
        <v>21371</v>
      </c>
      <c r="B1448" t="s">
        <v>17558</v>
      </c>
      <c r="C1448" t="s">
        <v>17559</v>
      </c>
      <c r="D1448" t="s">
        <v>13721</v>
      </c>
      <c r="E1448">
        <v>3304</v>
      </c>
      <c r="F1448" t="s">
        <v>479</v>
      </c>
      <c r="G1448" t="s">
        <v>5046</v>
      </c>
      <c r="H1448" t="str">
        <f t="shared" si="44"/>
        <v>Willow3304Irving</v>
      </c>
      <c r="I1448" t="str">
        <f t="shared" si="45"/>
        <v>Willow</v>
      </c>
      <c r="J1448" s="82">
        <f>IFERROR(INDEX('All Folders'!$A:$A,MATCH(H1448,'All Folders'!$G:$G,0),1),"¶")</f>
        <v>14219</v>
      </c>
      <c r="K1448" s="87"/>
      <c r="L1448" s="87"/>
    </row>
    <row r="1449" spans="1:12" ht="15" x14ac:dyDescent="0.25">
      <c r="A1449" t="s">
        <v>21372</v>
      </c>
      <c r="B1449" t="s">
        <v>17560</v>
      </c>
      <c r="C1449" t="s">
        <v>17561</v>
      </c>
      <c r="D1449" t="s">
        <v>17562</v>
      </c>
      <c r="E1449">
        <v>1313</v>
      </c>
      <c r="F1449" t="s">
        <v>17563</v>
      </c>
      <c r="G1449" t="s">
        <v>5046</v>
      </c>
      <c r="H1449" t="str">
        <f t="shared" si="44"/>
        <v>Shady1313Irving</v>
      </c>
      <c r="I1449" t="str">
        <f t="shared" si="45"/>
        <v>Shady</v>
      </c>
      <c r="J1449" s="82">
        <f>IFERROR(INDEX('All Folders'!$A:$A,MATCH(H1449,'All Folders'!$G:$G,0),1),"¶")</f>
        <v>14249</v>
      </c>
      <c r="K1449" s="87"/>
      <c r="L1449" s="87"/>
    </row>
    <row r="1450" spans="1:12" ht="15" x14ac:dyDescent="0.25">
      <c r="A1450" t="s">
        <v>21373</v>
      </c>
      <c r="B1450" t="s">
        <v>17564</v>
      </c>
      <c r="C1450" t="s">
        <v>17565</v>
      </c>
      <c r="D1450" t="s">
        <v>17364</v>
      </c>
      <c r="E1450">
        <v>4525</v>
      </c>
      <c r="F1450" t="s">
        <v>17566</v>
      </c>
      <c r="G1450" t="s">
        <v>5046</v>
      </c>
      <c r="H1450" t="str">
        <f t="shared" si="44"/>
        <v>Pioneer4525Irving</v>
      </c>
      <c r="I1450" t="str">
        <f t="shared" si="45"/>
        <v>Pioneer</v>
      </c>
      <c r="J1450" s="82">
        <f>IFERROR(INDEX('All Folders'!$A:$A,MATCH(H1450,'All Folders'!$G:$G,0),1),"¶")</f>
        <v>14113</v>
      </c>
      <c r="K1450" s="87"/>
      <c r="L1450" s="87"/>
    </row>
    <row r="1451" spans="1:12" ht="15" x14ac:dyDescent="0.25">
      <c r="A1451" t="s">
        <v>21374</v>
      </c>
      <c r="B1451" t="s">
        <v>17567</v>
      </c>
      <c r="C1451" t="s">
        <v>17568</v>
      </c>
      <c r="D1451" t="s">
        <v>17569</v>
      </c>
      <c r="E1451">
        <v>847</v>
      </c>
      <c r="F1451" t="s">
        <v>17570</v>
      </c>
      <c r="G1451" t="s">
        <v>5046</v>
      </c>
      <c r="H1451" t="str">
        <f t="shared" si="44"/>
        <v>Mary847Irving</v>
      </c>
      <c r="I1451" t="str">
        <f t="shared" si="45"/>
        <v>Mary</v>
      </c>
      <c r="J1451" s="82">
        <f>IFERROR(INDEX('All Folders'!$A:$A,MATCH(H1451,'All Folders'!$G:$G,0),1),"¶")</f>
        <v>14108</v>
      </c>
      <c r="K1451" s="87"/>
      <c r="L1451" s="87"/>
    </row>
    <row r="1452" spans="1:12" ht="15" x14ac:dyDescent="0.25">
      <c r="A1452" t="s">
        <v>21375</v>
      </c>
      <c r="B1452" t="s">
        <v>17571</v>
      </c>
      <c r="C1452" t="s">
        <v>17572</v>
      </c>
      <c r="D1452" t="s">
        <v>14419</v>
      </c>
      <c r="E1452">
        <v>3203</v>
      </c>
      <c r="F1452" t="s">
        <v>17573</v>
      </c>
      <c r="G1452" t="s">
        <v>5046</v>
      </c>
      <c r="H1452" t="str">
        <f t="shared" si="44"/>
        <v>Walnut3203Irving</v>
      </c>
      <c r="I1452" t="str">
        <f t="shared" si="45"/>
        <v>Walnut</v>
      </c>
      <c r="J1452" s="82">
        <f>IFERROR(INDEX('All Folders'!$A:$A,MATCH(H1452,'All Folders'!$G:$G,0),1),"¶")</f>
        <v>14120</v>
      </c>
      <c r="K1452" s="87"/>
      <c r="L1452" s="87"/>
    </row>
    <row r="1453" spans="1:12" ht="15" x14ac:dyDescent="0.25">
      <c r="A1453" t="s">
        <v>21376</v>
      </c>
      <c r="B1453" t="s">
        <v>17574</v>
      </c>
      <c r="C1453" t="s">
        <v>17575</v>
      </c>
      <c r="D1453" t="s">
        <v>17378</v>
      </c>
      <c r="E1453">
        <v>618</v>
      </c>
      <c r="F1453" t="s">
        <v>17576</v>
      </c>
      <c r="G1453" t="s">
        <v>5046</v>
      </c>
      <c r="H1453" t="str">
        <f t="shared" si="44"/>
        <v>Rogers618Irving</v>
      </c>
      <c r="I1453" t="str">
        <f t="shared" si="45"/>
        <v>Rogers</v>
      </c>
      <c r="J1453" s="82" t="str">
        <f>IFERROR(INDEX('All Folders'!$A:$A,MATCH(H1453,'All Folders'!$G:$G,0),1),"¶")</f>
        <v>SP152</v>
      </c>
      <c r="K1453" s="87"/>
      <c r="L1453" s="87"/>
    </row>
    <row r="1454" spans="1:12" ht="15" x14ac:dyDescent="0.25">
      <c r="A1454" t="s">
        <v>21377</v>
      </c>
      <c r="B1454" t="s">
        <v>17577</v>
      </c>
      <c r="C1454" t="s">
        <v>17578</v>
      </c>
      <c r="D1454" t="s">
        <v>17579</v>
      </c>
      <c r="E1454">
        <v>2700</v>
      </c>
      <c r="F1454" t="s">
        <v>17580</v>
      </c>
      <c r="G1454" t="s">
        <v>5046</v>
      </c>
      <c r="H1454" t="str">
        <f t="shared" si="44"/>
        <v>Grauwyler2700Irving</v>
      </c>
      <c r="I1454" t="str">
        <f t="shared" si="45"/>
        <v>Grauwyler</v>
      </c>
      <c r="J1454" s="82">
        <f>IFERROR(INDEX('All Folders'!$A:$A,MATCH(H1454,'All Folders'!$G:$G,0),1),"¶")</f>
        <v>14155</v>
      </c>
      <c r="K1454" s="87"/>
      <c r="L1454" s="87"/>
    </row>
    <row r="1455" spans="1:12" ht="15" x14ac:dyDescent="0.25">
      <c r="A1455" t="s">
        <v>21378</v>
      </c>
      <c r="B1455" t="s">
        <v>17581</v>
      </c>
      <c r="C1455" t="s">
        <v>17582</v>
      </c>
      <c r="D1455" t="s">
        <v>17474</v>
      </c>
      <c r="E1455">
        <v>2700</v>
      </c>
      <c r="F1455" t="s">
        <v>17580</v>
      </c>
      <c r="G1455" t="s">
        <v>5046</v>
      </c>
      <c r="H1455" t="str">
        <f t="shared" si="44"/>
        <v>Grauwyler2700Irving</v>
      </c>
      <c r="I1455" t="str">
        <f t="shared" si="45"/>
        <v>Grauwyler</v>
      </c>
      <c r="J1455" s="82">
        <f>IFERROR(INDEX('All Folders'!$A:$A,MATCH(H1455,'All Folders'!$G:$G,0),1),"¶")</f>
        <v>14155</v>
      </c>
      <c r="K1455" s="87"/>
      <c r="L1455" s="87"/>
    </row>
    <row r="1456" spans="1:12" ht="15" x14ac:dyDescent="0.25">
      <c r="A1456" t="s">
        <v>21379</v>
      </c>
      <c r="B1456" t="s">
        <v>17583</v>
      </c>
      <c r="C1456" t="s">
        <v>17584</v>
      </c>
      <c r="D1456" t="s">
        <v>17414</v>
      </c>
      <c r="E1456">
        <v>1831</v>
      </c>
      <c r="F1456" t="s">
        <v>6419</v>
      </c>
      <c r="G1456" t="s">
        <v>5046</v>
      </c>
      <c r="H1456" t="str">
        <f t="shared" si="44"/>
        <v>Pioneer1831Irving</v>
      </c>
      <c r="I1456" t="str">
        <f t="shared" si="45"/>
        <v>Pioneer</v>
      </c>
      <c r="J1456" s="82">
        <f>IFERROR(INDEX('All Folders'!$A:$A,MATCH(H1456,'All Folders'!$G:$G,0),1),"¶")</f>
        <v>14157</v>
      </c>
      <c r="K1456" s="87"/>
      <c r="L1456" s="87"/>
    </row>
    <row r="1457" spans="1:12" ht="15" x14ac:dyDescent="0.25">
      <c r="A1457" t="s">
        <v>21380</v>
      </c>
      <c r="B1457" t="s">
        <v>17585</v>
      </c>
      <c r="C1457" t="s">
        <v>17586</v>
      </c>
      <c r="D1457" t="s">
        <v>17587</v>
      </c>
      <c r="E1457">
        <v>310</v>
      </c>
      <c r="F1457" t="s">
        <v>17588</v>
      </c>
      <c r="G1457" t="s">
        <v>5046</v>
      </c>
      <c r="H1457" t="str">
        <f t="shared" si="44"/>
        <v>Brown310Irving</v>
      </c>
      <c r="I1457" t="str">
        <f t="shared" si="45"/>
        <v>Brown</v>
      </c>
      <c r="J1457" s="82">
        <f>IFERROR(INDEX('All Folders'!$A:$A,MATCH(H1457,'All Folders'!$G:$G,0),1),"¶")</f>
        <v>30189</v>
      </c>
      <c r="K1457" s="87"/>
      <c r="L1457" s="87"/>
    </row>
    <row r="1458" spans="1:12" ht="15" x14ac:dyDescent="0.25">
      <c r="A1458" t="s">
        <v>21381</v>
      </c>
      <c r="B1458" t="s">
        <v>17589</v>
      </c>
      <c r="C1458" t="s">
        <v>17590</v>
      </c>
      <c r="D1458" t="s">
        <v>17591</v>
      </c>
      <c r="E1458">
        <v>701</v>
      </c>
      <c r="F1458" t="s">
        <v>17592</v>
      </c>
      <c r="G1458" t="s">
        <v>5046</v>
      </c>
      <c r="H1458" t="str">
        <f t="shared" si="44"/>
        <v>Cowboys701Irving</v>
      </c>
      <c r="I1458" t="str">
        <f t="shared" si="45"/>
        <v>Cowboys</v>
      </c>
      <c r="J1458" s="82">
        <f>IFERROR(INDEX('All Folders'!$A:$A,MATCH(H1458,'All Folders'!$G:$G,0),1),"¶")</f>
        <v>14177</v>
      </c>
      <c r="K1458" s="87"/>
      <c r="L1458" s="87"/>
    </row>
    <row r="1459" spans="1:12" ht="15" x14ac:dyDescent="0.25">
      <c r="A1459" t="s">
        <v>21382</v>
      </c>
      <c r="B1459" t="s">
        <v>17593</v>
      </c>
      <c r="C1459" t="s">
        <v>17594</v>
      </c>
      <c r="D1459" t="s">
        <v>17591</v>
      </c>
      <c r="E1459">
        <v>151</v>
      </c>
      <c r="F1459" t="s">
        <v>17595</v>
      </c>
      <c r="G1459" t="s">
        <v>5046</v>
      </c>
      <c r="H1459" t="str">
        <f t="shared" si="44"/>
        <v>Cowboys151Irving</v>
      </c>
      <c r="I1459" t="str">
        <f t="shared" si="45"/>
        <v>Cowboys</v>
      </c>
      <c r="J1459" s="82">
        <f>IFERROR(INDEX('All Folders'!$A:$A,MATCH(H1459,'All Folders'!$G:$G,0),1),"¶")</f>
        <v>14189</v>
      </c>
      <c r="K1459" s="87"/>
      <c r="L1459" s="87"/>
    </row>
    <row r="1460" spans="1:12" ht="15" x14ac:dyDescent="0.25">
      <c r="A1460" t="s">
        <v>21383</v>
      </c>
      <c r="B1460" t="s">
        <v>17596</v>
      </c>
      <c r="C1460" t="s">
        <v>17597</v>
      </c>
      <c r="D1460" t="s">
        <v>17598</v>
      </c>
      <c r="E1460">
        <v>3829</v>
      </c>
      <c r="F1460" t="s">
        <v>17599</v>
      </c>
      <c r="G1460" t="s">
        <v>5046</v>
      </c>
      <c r="H1460" t="str">
        <f t="shared" si="44"/>
        <v>William3829Irving</v>
      </c>
      <c r="I1460" t="str">
        <f t="shared" si="45"/>
        <v>William</v>
      </c>
      <c r="J1460" s="82">
        <f>IFERROR(INDEX('All Folders'!$A:$A,MATCH(H1460,'All Folders'!$G:$G,0),1),"¶")</f>
        <v>14200</v>
      </c>
      <c r="K1460" s="87"/>
      <c r="L1460" s="87"/>
    </row>
    <row r="1461" spans="1:12" ht="15" x14ac:dyDescent="0.25">
      <c r="A1461" t="s">
        <v>21385</v>
      </c>
      <c r="B1461" t="s">
        <v>17603</v>
      </c>
      <c r="C1461" t="s">
        <v>17604</v>
      </c>
      <c r="D1461" t="s">
        <v>17605</v>
      </c>
      <c r="E1461">
        <v>1407</v>
      </c>
      <c r="F1461" t="s">
        <v>3599</v>
      </c>
      <c r="G1461" t="s">
        <v>5046</v>
      </c>
      <c r="H1461" t="str">
        <f t="shared" si="44"/>
        <v>Shady1407Irving</v>
      </c>
      <c r="I1461" t="str">
        <f t="shared" si="45"/>
        <v>Shady</v>
      </c>
      <c r="J1461" s="82">
        <f>IFERROR(INDEX('All Folders'!$A:$A,MATCH(H1461,'All Folders'!$G:$G,0),1),"¶")</f>
        <v>15049</v>
      </c>
      <c r="K1461" s="87"/>
      <c r="L1461" s="87"/>
    </row>
    <row r="1462" spans="1:12" ht="15" x14ac:dyDescent="0.25">
      <c r="A1462" t="s">
        <v>21386</v>
      </c>
      <c r="B1462" t="s">
        <v>17606</v>
      </c>
      <c r="C1462" t="s">
        <v>17607</v>
      </c>
      <c r="D1462" t="s">
        <v>17524</v>
      </c>
      <c r="E1462">
        <v>8001</v>
      </c>
      <c r="F1462" t="s">
        <v>17608</v>
      </c>
      <c r="G1462" t="s">
        <v>5046</v>
      </c>
      <c r="H1462" t="str">
        <f t="shared" si="44"/>
        <v>MacArthur8001Irving</v>
      </c>
      <c r="I1462" t="str">
        <f t="shared" si="45"/>
        <v>MacArthur</v>
      </c>
      <c r="J1462" s="82">
        <f>IFERROR(INDEX('All Folders'!$A:$A,MATCH(H1462,'All Folders'!$G:$G,0),1),"¶")</f>
        <v>14238</v>
      </c>
      <c r="K1462" s="87"/>
      <c r="L1462" s="87"/>
    </row>
    <row r="1463" spans="1:12" ht="15" x14ac:dyDescent="0.25">
      <c r="A1463" t="s">
        <v>21387</v>
      </c>
      <c r="B1463" t="s">
        <v>17609</v>
      </c>
      <c r="C1463" t="s">
        <v>17610</v>
      </c>
      <c r="D1463" t="s">
        <v>17520</v>
      </c>
      <c r="E1463">
        <v>3429</v>
      </c>
      <c r="F1463" t="s">
        <v>7404</v>
      </c>
      <c r="G1463" t="s">
        <v>5046</v>
      </c>
      <c r="H1463" t="str">
        <f t="shared" si="44"/>
        <v>Rochelle3429Irving</v>
      </c>
      <c r="I1463" t="str">
        <f t="shared" si="45"/>
        <v>Rochelle</v>
      </c>
      <c r="J1463" s="82">
        <f>IFERROR(INDEX('All Folders'!$A:$A,MATCH(H1463,'All Folders'!$G:$G,0),1),"¶")</f>
        <v>14994</v>
      </c>
      <c r="K1463" s="87"/>
      <c r="L1463" s="87"/>
    </row>
    <row r="1464" spans="1:12" ht="15" x14ac:dyDescent="0.25">
      <c r="A1464" t="s">
        <v>21388</v>
      </c>
      <c r="B1464" t="s">
        <v>17611</v>
      </c>
      <c r="C1464" t="s">
        <v>17612</v>
      </c>
      <c r="D1464" t="s">
        <v>17613</v>
      </c>
      <c r="E1464" t="s">
        <v>11893</v>
      </c>
      <c r="F1464" t="s">
        <v>14223</v>
      </c>
      <c r="G1464" t="s">
        <v>11894</v>
      </c>
      <c r="H1464" t="str">
        <f t="shared" si="44"/>
        <v>Canada701 &amp; 645Jacksonville</v>
      </c>
      <c r="I1464" t="str">
        <f t="shared" si="45"/>
        <v>Canada</v>
      </c>
      <c r="J1464" s="82">
        <f>IFERROR(INDEX('All Folders'!$A:$A,MATCH(H1464,'All Folders'!$G:$G,0),1),"¶")</f>
        <v>30390</v>
      </c>
      <c r="K1464" s="87"/>
      <c r="L1464" s="87"/>
    </row>
    <row r="1465" spans="1:12" ht="15" x14ac:dyDescent="0.25">
      <c r="A1465" t="s">
        <v>21389</v>
      </c>
      <c r="B1465" t="s">
        <v>17614</v>
      </c>
      <c r="C1465" t="s">
        <v>17615</v>
      </c>
      <c r="D1465" t="s">
        <v>17616</v>
      </c>
      <c r="E1465">
        <v>1011</v>
      </c>
      <c r="F1465" t="s">
        <v>17617</v>
      </c>
      <c r="G1465" t="s">
        <v>11894</v>
      </c>
      <c r="H1465" t="str">
        <f t="shared" si="44"/>
        <v>Jackson1011Jacksonville</v>
      </c>
      <c r="I1465" t="str">
        <f t="shared" si="45"/>
        <v>Jackson</v>
      </c>
      <c r="J1465" s="82">
        <f>IFERROR(INDEX('All Folders'!$A:$A,MATCH(H1465,'All Folders'!$G:$G,0),1),"¶")</f>
        <v>30391</v>
      </c>
      <c r="K1465" s="87"/>
      <c r="L1465" s="87"/>
    </row>
    <row r="1466" spans="1:12" ht="15" x14ac:dyDescent="0.25">
      <c r="A1466" t="s">
        <v>21390</v>
      </c>
      <c r="B1466" t="s">
        <v>17618</v>
      </c>
      <c r="C1466" t="s">
        <v>17619</v>
      </c>
      <c r="D1466" t="s">
        <v>17620</v>
      </c>
      <c r="E1466">
        <v>21500</v>
      </c>
      <c r="F1466" t="s">
        <v>17621</v>
      </c>
      <c r="G1466" t="s">
        <v>2198</v>
      </c>
      <c r="H1466" t="str">
        <f t="shared" si="44"/>
        <v>Park21500Katy</v>
      </c>
      <c r="I1466" t="str">
        <f t="shared" si="45"/>
        <v>Park</v>
      </c>
      <c r="J1466" s="82">
        <f>IFERROR(INDEX('All Folders'!$A:$A,MATCH(H1466,'All Folders'!$G:$G,0),1),"¶")</f>
        <v>1668</v>
      </c>
      <c r="K1466" s="87"/>
      <c r="L1466" s="87"/>
    </row>
    <row r="1467" spans="1:12" ht="15" x14ac:dyDescent="0.25">
      <c r="A1467" t="s">
        <v>21391</v>
      </c>
      <c r="B1467" t="s">
        <v>17622</v>
      </c>
      <c r="C1467" t="s">
        <v>17623</v>
      </c>
      <c r="D1467" t="s">
        <v>17624</v>
      </c>
      <c r="E1467">
        <v>1111</v>
      </c>
      <c r="F1467" t="s">
        <v>10445</v>
      </c>
      <c r="G1467" t="s">
        <v>2198</v>
      </c>
      <c r="H1467" t="str">
        <f t="shared" si="44"/>
        <v>Falcon1111Katy</v>
      </c>
      <c r="I1467" t="str">
        <f t="shared" si="45"/>
        <v>Falcon</v>
      </c>
      <c r="J1467" s="82">
        <f>IFERROR(INDEX('All Folders'!$A:$A,MATCH(H1467,'All Folders'!$G:$G,0),1),"¶")</f>
        <v>18108</v>
      </c>
      <c r="K1467" s="87"/>
      <c r="L1467" s="87"/>
    </row>
    <row r="1468" spans="1:12" ht="15" x14ac:dyDescent="0.25">
      <c r="A1468" t="s">
        <v>21392</v>
      </c>
      <c r="B1468" t="s">
        <v>17625</v>
      </c>
      <c r="C1468" t="s">
        <v>17626</v>
      </c>
      <c r="D1468" t="s">
        <v>17627</v>
      </c>
      <c r="E1468">
        <v>5906</v>
      </c>
      <c r="F1468" t="s">
        <v>12064</v>
      </c>
      <c r="G1468" t="s">
        <v>2198</v>
      </c>
      <c r="H1468" t="str">
        <f t="shared" si="44"/>
        <v>Grand5906Katy</v>
      </c>
      <c r="I1468" t="str">
        <f t="shared" si="45"/>
        <v>Grand</v>
      </c>
      <c r="J1468" s="82">
        <f>IFERROR(INDEX('All Folders'!$A:$A,MATCH(H1468,'All Folders'!$G:$G,0),1),"¶")</f>
        <v>30510</v>
      </c>
      <c r="K1468" s="87"/>
      <c r="L1468" s="87"/>
    </row>
    <row r="1469" spans="1:12" ht="15" x14ac:dyDescent="0.25">
      <c r="A1469" t="s">
        <v>21393</v>
      </c>
      <c r="B1469" t="s">
        <v>17628</v>
      </c>
      <c r="C1469" t="s">
        <v>17629</v>
      </c>
      <c r="D1469" t="s">
        <v>2196</v>
      </c>
      <c r="E1469">
        <v>5240</v>
      </c>
      <c r="F1469" t="s">
        <v>2197</v>
      </c>
      <c r="G1469" t="s">
        <v>2198</v>
      </c>
      <c r="H1469" t="str">
        <f t="shared" si="44"/>
        <v>A5240Katy</v>
      </c>
      <c r="I1469" t="str">
        <f t="shared" si="45"/>
        <v>A</v>
      </c>
      <c r="J1469" s="82">
        <f>IFERROR(INDEX('All Folders'!$A:$A,MATCH(H1469,'All Folders'!$G:$G,0),1),"¶")</f>
        <v>1639</v>
      </c>
      <c r="K1469" s="87"/>
      <c r="L1469" s="87"/>
    </row>
    <row r="1470" spans="1:12" ht="15" x14ac:dyDescent="0.25">
      <c r="A1470" t="s">
        <v>21394</v>
      </c>
      <c r="B1470" t="s">
        <v>17630</v>
      </c>
      <c r="C1470" t="s">
        <v>17631</v>
      </c>
      <c r="D1470" t="s">
        <v>17632</v>
      </c>
      <c r="E1470">
        <v>2031</v>
      </c>
      <c r="F1470" t="s">
        <v>2234</v>
      </c>
      <c r="G1470" t="s">
        <v>2198</v>
      </c>
      <c r="H1470" t="str">
        <f t="shared" si="44"/>
        <v>Westborough2031Katy</v>
      </c>
      <c r="I1470" t="str">
        <f t="shared" si="45"/>
        <v>Westborough</v>
      </c>
      <c r="J1470" s="82">
        <f>IFERROR(INDEX('All Folders'!$A:$A,MATCH(H1470,'All Folders'!$G:$G,0),1),"¶")</f>
        <v>1671</v>
      </c>
      <c r="K1470" s="87"/>
      <c r="L1470" s="87"/>
    </row>
    <row r="1471" spans="1:12" ht="15" x14ac:dyDescent="0.25">
      <c r="A1471" t="s">
        <v>21395</v>
      </c>
      <c r="B1471" t="s">
        <v>17633</v>
      </c>
      <c r="C1471" t="s">
        <v>17634</v>
      </c>
      <c r="D1471" t="s">
        <v>12065</v>
      </c>
      <c r="E1471">
        <v>21077</v>
      </c>
      <c r="F1471" t="s">
        <v>17635</v>
      </c>
      <c r="G1471" t="s">
        <v>2198</v>
      </c>
      <c r="H1471" t="str">
        <f t="shared" si="44"/>
        <v>Kingsland21077Katy</v>
      </c>
      <c r="I1471" t="str">
        <f t="shared" si="45"/>
        <v>Kingsland</v>
      </c>
      <c r="J1471" s="82">
        <f>IFERROR(INDEX('All Folders'!$A:$A,MATCH(H1471,'All Folders'!$G:$G,0),1),"¶")</f>
        <v>30511</v>
      </c>
      <c r="K1471" s="87"/>
      <c r="L1471" s="87"/>
    </row>
    <row r="1472" spans="1:12" ht="15" x14ac:dyDescent="0.25">
      <c r="A1472" t="s">
        <v>21396</v>
      </c>
      <c r="B1472" t="s">
        <v>17636</v>
      </c>
      <c r="C1472" t="s">
        <v>17637</v>
      </c>
      <c r="D1472" t="s">
        <v>17638</v>
      </c>
      <c r="E1472">
        <v>400</v>
      </c>
      <c r="F1472" t="s">
        <v>17639</v>
      </c>
      <c r="G1472" t="s">
        <v>7317</v>
      </c>
      <c r="H1472" t="str">
        <f t="shared" si="44"/>
        <v>Jefferson400Kaufman</v>
      </c>
      <c r="I1472" t="str">
        <f t="shared" si="45"/>
        <v>Jefferson</v>
      </c>
      <c r="J1472" s="82" t="str">
        <f>IFERROR(INDEX('All Folders'!$A:$A,MATCH(H1472,'All Folders'!$G:$G,0),1),"¶")</f>
        <v>SP156</v>
      </c>
      <c r="K1472" s="87"/>
      <c r="L1472" s="87"/>
    </row>
    <row r="1473" spans="1:12" ht="15" x14ac:dyDescent="0.25">
      <c r="A1473" t="s">
        <v>21397</v>
      </c>
      <c r="B1473" t="s">
        <v>17640</v>
      </c>
      <c r="C1473" t="s">
        <v>17641</v>
      </c>
      <c r="D1473" t="s">
        <v>17642</v>
      </c>
      <c r="E1473">
        <v>151</v>
      </c>
      <c r="F1473" t="s">
        <v>16370</v>
      </c>
      <c r="G1473" t="s">
        <v>7317</v>
      </c>
      <c r="H1473" t="str">
        <f t="shared" si="44"/>
        <v>Ebo151Kaufman</v>
      </c>
      <c r="I1473" t="str">
        <f t="shared" si="45"/>
        <v>Ebo</v>
      </c>
      <c r="J1473" s="82">
        <f>IFERROR(INDEX('All Folders'!$A:$A,MATCH(H1473,'All Folders'!$G:$G,0),1),"¶")</f>
        <v>14926</v>
      </c>
      <c r="K1473" s="87"/>
      <c r="L1473" s="87"/>
    </row>
    <row r="1474" spans="1:12" ht="15" x14ac:dyDescent="0.25">
      <c r="A1474" t="s">
        <v>21398</v>
      </c>
      <c r="B1474" t="s">
        <v>17643</v>
      </c>
      <c r="C1474" t="s">
        <v>17644</v>
      </c>
      <c r="D1474" t="s">
        <v>17645</v>
      </c>
      <c r="E1474">
        <v>1870</v>
      </c>
      <c r="F1474" t="s">
        <v>11633</v>
      </c>
      <c r="G1474" t="s">
        <v>6672</v>
      </c>
      <c r="H1474" t="str">
        <f t="shared" ref="H1474:H1537" si="46">I1474&amp;E1474&amp;G1474</f>
        <v>Keller1870Keller</v>
      </c>
      <c r="I1474" t="str">
        <f t="shared" ref="I1474:I1537" si="47">IFERROR(LEFT(D1474,FIND(" ",D1474)-1),D1474)</f>
        <v>Keller</v>
      </c>
      <c r="J1474" s="82">
        <f>IFERROR(INDEX('All Folders'!$A:$A,MATCH(H1474,'All Folders'!$G:$G,0),1),"¶")</f>
        <v>30210</v>
      </c>
      <c r="K1474" s="87"/>
      <c r="L1474" s="87"/>
    </row>
    <row r="1475" spans="1:12" ht="15" x14ac:dyDescent="0.25">
      <c r="A1475" t="s">
        <v>21399</v>
      </c>
      <c r="B1475" t="s">
        <v>17646</v>
      </c>
      <c r="C1475" t="s">
        <v>17647</v>
      </c>
      <c r="D1475" t="s">
        <v>17645</v>
      </c>
      <c r="E1475">
        <v>1300</v>
      </c>
      <c r="F1475" t="s">
        <v>6671</v>
      </c>
      <c r="G1475" t="s">
        <v>6672</v>
      </c>
      <c r="H1475" t="str">
        <f t="shared" si="46"/>
        <v>Keller1300Keller</v>
      </c>
      <c r="I1475" t="str">
        <f t="shared" si="47"/>
        <v>Keller</v>
      </c>
      <c r="J1475" s="82">
        <f>IFERROR(INDEX('All Folders'!$A:$A,MATCH(H1475,'All Folders'!$G:$G,0),1),"¶")</f>
        <v>14376</v>
      </c>
      <c r="K1475" s="87"/>
      <c r="L1475" s="87"/>
    </row>
    <row r="1476" spans="1:12" ht="15" x14ac:dyDescent="0.25">
      <c r="A1476" t="s">
        <v>21400</v>
      </c>
      <c r="B1476" t="s">
        <v>17648</v>
      </c>
      <c r="C1476" t="s">
        <v>17649</v>
      </c>
      <c r="D1476" t="s">
        <v>17650</v>
      </c>
      <c r="E1476">
        <v>300</v>
      </c>
      <c r="F1476" t="s">
        <v>17651</v>
      </c>
      <c r="G1476" t="s">
        <v>6672</v>
      </c>
      <c r="H1476" t="str">
        <f t="shared" si="46"/>
        <v>Bourland300Keller</v>
      </c>
      <c r="I1476" t="str">
        <f t="shared" si="47"/>
        <v>Bourland</v>
      </c>
      <c r="J1476" s="82">
        <f>IFERROR(INDEX('All Folders'!$A:$A,MATCH(H1476,'All Folders'!$G:$G,0),1),"¶")</f>
        <v>14414</v>
      </c>
      <c r="K1476" s="87"/>
      <c r="L1476" s="87"/>
    </row>
    <row r="1477" spans="1:12" ht="15" x14ac:dyDescent="0.25">
      <c r="A1477" t="s">
        <v>21401</v>
      </c>
      <c r="B1477" t="s">
        <v>17652</v>
      </c>
      <c r="C1477" t="s">
        <v>17653</v>
      </c>
      <c r="D1477" t="s">
        <v>17645</v>
      </c>
      <c r="E1477">
        <v>1745</v>
      </c>
      <c r="F1477" t="s">
        <v>17654</v>
      </c>
      <c r="G1477" t="s">
        <v>6672</v>
      </c>
      <c r="H1477" t="str">
        <f t="shared" si="46"/>
        <v>Keller1745Keller</v>
      </c>
      <c r="I1477" t="str">
        <f t="shared" si="47"/>
        <v>Keller</v>
      </c>
      <c r="J1477" s="82">
        <f>IFERROR(INDEX('All Folders'!$A:$A,MATCH(H1477,'All Folders'!$G:$G,0),1),"¶")</f>
        <v>30211</v>
      </c>
      <c r="K1477" s="87"/>
      <c r="L1477" s="87"/>
    </row>
    <row r="1478" spans="1:12" ht="15" x14ac:dyDescent="0.25">
      <c r="A1478" t="s">
        <v>21402</v>
      </c>
      <c r="B1478" t="s">
        <v>17655</v>
      </c>
      <c r="C1478" t="s">
        <v>17656</v>
      </c>
      <c r="D1478" t="s">
        <v>17657</v>
      </c>
      <c r="E1478">
        <v>18630</v>
      </c>
      <c r="F1478" t="s">
        <v>17658</v>
      </c>
      <c r="G1478" t="s">
        <v>11637</v>
      </c>
      <c r="H1478" t="str">
        <f t="shared" si="46"/>
        <v>27418630Kemp</v>
      </c>
      <c r="I1478" t="str">
        <f t="shared" si="47"/>
        <v>274</v>
      </c>
      <c r="J1478" s="82">
        <f>IFERROR(INDEX('All Folders'!$A:$A,MATCH(H1478,'All Folders'!$G:$G,0),1),"¶")</f>
        <v>30212</v>
      </c>
      <c r="K1478" s="87"/>
      <c r="L1478" s="87"/>
    </row>
    <row r="1479" spans="1:12" ht="15" x14ac:dyDescent="0.25">
      <c r="A1479" t="s">
        <v>21403</v>
      </c>
      <c r="B1479" t="s">
        <v>17659</v>
      </c>
      <c r="C1479" t="s">
        <v>17660</v>
      </c>
      <c r="D1479" t="s">
        <v>17661</v>
      </c>
      <c r="E1479">
        <v>1300</v>
      </c>
      <c r="F1479" t="s">
        <v>1309</v>
      </c>
      <c r="G1479" t="s">
        <v>1138</v>
      </c>
      <c r="H1479" t="str">
        <f t="shared" si="46"/>
        <v>Bandera1300Kerrville</v>
      </c>
      <c r="I1479" t="str">
        <f t="shared" si="47"/>
        <v>Bandera</v>
      </c>
      <c r="J1479" s="82">
        <f>IFERROR(INDEX('All Folders'!$A:$A,MATCH(H1479,'All Folders'!$G:$G,0),1),"¶")</f>
        <v>30652</v>
      </c>
      <c r="K1479" s="87"/>
      <c r="L1479" s="87"/>
    </row>
    <row r="1480" spans="1:12" ht="15" x14ac:dyDescent="0.25">
      <c r="A1480" t="s">
        <v>21404</v>
      </c>
      <c r="B1480" t="s">
        <v>17662</v>
      </c>
      <c r="C1480" t="s">
        <v>17663</v>
      </c>
      <c r="D1480" t="s">
        <v>17664</v>
      </c>
      <c r="E1480">
        <v>1000</v>
      </c>
      <c r="F1480" t="s">
        <v>17665</v>
      </c>
      <c r="G1480" t="s">
        <v>11899</v>
      </c>
      <c r="H1480" t="str">
        <f t="shared" si="46"/>
        <v>Danville1000Kilgore</v>
      </c>
      <c r="I1480" t="str">
        <f t="shared" si="47"/>
        <v>Danville</v>
      </c>
      <c r="J1480" s="82">
        <f>IFERROR(INDEX('All Folders'!$A:$A,MATCH(H1480,'All Folders'!$G:$G,0),1),"¶")</f>
        <v>30392</v>
      </c>
      <c r="K1480" s="87"/>
      <c r="L1480" s="87"/>
    </row>
    <row r="1481" spans="1:12" ht="15" x14ac:dyDescent="0.25">
      <c r="A1481" t="s">
        <v>21405</v>
      </c>
      <c r="B1481" t="s">
        <v>17666</v>
      </c>
      <c r="C1481" t="s">
        <v>17667</v>
      </c>
      <c r="D1481" t="s">
        <v>17668</v>
      </c>
      <c r="E1481">
        <v>2700</v>
      </c>
      <c r="F1481" t="s">
        <v>17669</v>
      </c>
      <c r="G1481" t="s">
        <v>11788</v>
      </c>
      <c r="H1481" t="str">
        <f t="shared" si="46"/>
        <v>Trimmier2700Killeen</v>
      </c>
      <c r="I1481" t="str">
        <f t="shared" si="47"/>
        <v>Trimmier</v>
      </c>
      <c r="J1481" s="82">
        <f>IFERROR(INDEX('All Folders'!$A:$A,MATCH(H1481,'All Folders'!$G:$G,0),1),"¶")</f>
        <v>30341</v>
      </c>
      <c r="K1481" s="87"/>
      <c r="L1481" s="87"/>
    </row>
    <row r="1482" spans="1:12" ht="15" x14ac:dyDescent="0.25">
      <c r="A1482" t="s">
        <v>21406</v>
      </c>
      <c r="B1482" t="s">
        <v>17670</v>
      </c>
      <c r="C1482" t="s">
        <v>17671</v>
      </c>
      <c r="D1482" t="s">
        <v>17672</v>
      </c>
      <c r="E1482">
        <v>1121</v>
      </c>
      <c r="F1482" t="s">
        <v>2664</v>
      </c>
      <c r="G1482" t="s">
        <v>11788</v>
      </c>
      <c r="H1482" t="str">
        <f t="shared" si="46"/>
        <v>4401121Killeen</v>
      </c>
      <c r="I1482" t="str">
        <f t="shared" si="47"/>
        <v>440</v>
      </c>
      <c r="J1482" s="82">
        <f>IFERROR(INDEX('All Folders'!$A:$A,MATCH(H1482,'All Folders'!$G:$G,0),1),"¶")</f>
        <v>30339</v>
      </c>
      <c r="K1482" s="87"/>
      <c r="L1482" s="87"/>
    </row>
    <row r="1483" spans="1:12" ht="15" x14ac:dyDescent="0.25">
      <c r="A1483" t="s">
        <v>21407</v>
      </c>
      <c r="B1483" t="s">
        <v>17673</v>
      </c>
      <c r="C1483" t="s">
        <v>17674</v>
      </c>
      <c r="D1483" t="s">
        <v>17675</v>
      </c>
      <c r="E1483">
        <v>1001</v>
      </c>
      <c r="F1483" t="s">
        <v>11792</v>
      </c>
      <c r="G1483" t="s">
        <v>11788</v>
      </c>
      <c r="H1483" t="str">
        <f t="shared" si="46"/>
        <v>Twin1001Killeen</v>
      </c>
      <c r="I1483" t="str">
        <f t="shared" si="47"/>
        <v>Twin</v>
      </c>
      <c r="J1483" s="82">
        <f>IFERROR(INDEX('All Folders'!$A:$A,MATCH(H1483,'All Folders'!$G:$G,0),1),"¶")</f>
        <v>30338</v>
      </c>
      <c r="K1483" s="87"/>
      <c r="L1483" s="87"/>
    </row>
    <row r="1484" spans="1:12" ht="15" x14ac:dyDescent="0.25">
      <c r="A1484" t="s">
        <v>21408</v>
      </c>
      <c r="B1484" t="s">
        <v>17676</v>
      </c>
      <c r="C1484" t="s">
        <v>17677</v>
      </c>
      <c r="D1484" t="s">
        <v>17678</v>
      </c>
      <c r="E1484">
        <v>1701</v>
      </c>
      <c r="F1484" t="s">
        <v>17679</v>
      </c>
      <c r="G1484" t="s">
        <v>11788</v>
      </c>
      <c r="H1484" t="str">
        <f t="shared" si="46"/>
        <v>Terrace1701Killeen</v>
      </c>
      <c r="I1484" t="str">
        <f t="shared" si="47"/>
        <v>Terrace</v>
      </c>
      <c r="J1484" s="82">
        <f>IFERROR(INDEX('All Folders'!$A:$A,MATCH(H1484,'All Folders'!$G:$G,0),1),"¶")</f>
        <v>30340</v>
      </c>
      <c r="K1484" s="87"/>
      <c r="L1484" s="87"/>
    </row>
    <row r="1485" spans="1:12" ht="15" x14ac:dyDescent="0.25">
      <c r="A1485" t="s">
        <v>21409</v>
      </c>
      <c r="B1485" t="s">
        <v>17680</v>
      </c>
      <c r="C1485" t="s">
        <v>17681</v>
      </c>
      <c r="D1485" t="s">
        <v>17682</v>
      </c>
      <c r="E1485">
        <v>2710</v>
      </c>
      <c r="F1485" t="s">
        <v>11787</v>
      </c>
      <c r="G1485" t="s">
        <v>11788</v>
      </c>
      <c r="H1485" t="str">
        <f t="shared" si="46"/>
        <v>Cunningham2710Killeen</v>
      </c>
      <c r="I1485" t="str">
        <f t="shared" si="47"/>
        <v>Cunningham</v>
      </c>
      <c r="J1485" s="82">
        <f>IFERROR(INDEX('All Folders'!$A:$A,MATCH(H1485,'All Folders'!$G:$G,0),1),"¶")</f>
        <v>30336</v>
      </c>
      <c r="K1485" s="87"/>
      <c r="L1485" s="87"/>
    </row>
    <row r="1486" spans="1:12" ht="15" x14ac:dyDescent="0.25">
      <c r="A1486" t="s">
        <v>21410</v>
      </c>
      <c r="B1486" t="s">
        <v>17683</v>
      </c>
      <c r="C1486" t="s">
        <v>17684</v>
      </c>
      <c r="D1486" t="s">
        <v>17685</v>
      </c>
      <c r="E1486">
        <v>1300</v>
      </c>
      <c r="F1486" t="s">
        <v>17686</v>
      </c>
      <c r="G1486" t="s">
        <v>11861</v>
      </c>
      <c r="H1486" t="str">
        <f t="shared" si="46"/>
        <v>Corral1300Kingsville</v>
      </c>
      <c r="I1486" t="str">
        <f t="shared" si="47"/>
        <v>Corral</v>
      </c>
      <c r="J1486" s="82">
        <f>IFERROR(INDEX('All Folders'!$A:$A,MATCH(H1486,'All Folders'!$G:$G,0),1),"¶")</f>
        <v>30375</v>
      </c>
      <c r="K1486" s="87"/>
      <c r="L1486" s="87"/>
    </row>
    <row r="1487" spans="1:12" ht="15" x14ac:dyDescent="0.25">
      <c r="A1487" t="s">
        <v>21411</v>
      </c>
      <c r="B1487" t="s">
        <v>17687</v>
      </c>
      <c r="C1487" t="s">
        <v>17688</v>
      </c>
      <c r="D1487" t="s">
        <v>17689</v>
      </c>
      <c r="E1487">
        <v>2901</v>
      </c>
      <c r="F1487" t="s">
        <v>17690</v>
      </c>
      <c r="G1487" t="s">
        <v>11861</v>
      </c>
      <c r="H1487" t="str">
        <f t="shared" si="46"/>
        <v>Brahma2901Kingsville</v>
      </c>
      <c r="I1487" t="str">
        <f t="shared" si="47"/>
        <v>Brahma</v>
      </c>
      <c r="J1487" s="82">
        <f>IFERROR(INDEX('All Folders'!$A:$A,MATCH(H1487,'All Folders'!$G:$G,0),1),"¶")</f>
        <v>30373</v>
      </c>
      <c r="K1487" s="87"/>
      <c r="L1487" s="87"/>
    </row>
    <row r="1488" spans="1:12" ht="15" x14ac:dyDescent="0.25">
      <c r="A1488" t="s">
        <v>21412</v>
      </c>
      <c r="B1488" t="s">
        <v>17691</v>
      </c>
      <c r="C1488" t="s">
        <v>17692</v>
      </c>
      <c r="D1488" t="s">
        <v>17693</v>
      </c>
      <c r="E1488">
        <v>1201</v>
      </c>
      <c r="F1488" t="s">
        <v>11860</v>
      </c>
      <c r="G1488" t="s">
        <v>11861</v>
      </c>
      <c r="H1488" t="str">
        <f t="shared" si="46"/>
        <v>Caesar1201Kingsville</v>
      </c>
      <c r="I1488" t="str">
        <f t="shared" si="47"/>
        <v>Caesar</v>
      </c>
      <c r="J1488" s="82">
        <f>IFERROR(INDEX('All Folders'!$A:$A,MATCH(H1488,'All Folders'!$G:$G,0),1),"¶")</f>
        <v>30372</v>
      </c>
      <c r="K1488" s="87"/>
      <c r="L1488" s="87"/>
    </row>
    <row r="1489" spans="1:12" ht="15" x14ac:dyDescent="0.25">
      <c r="A1489" t="s">
        <v>21413</v>
      </c>
      <c r="B1489" t="s">
        <v>17694</v>
      </c>
      <c r="C1489" t="s">
        <v>17695</v>
      </c>
      <c r="D1489" t="s">
        <v>17696</v>
      </c>
      <c r="E1489">
        <v>1100</v>
      </c>
      <c r="F1489" t="s">
        <v>8772</v>
      </c>
      <c r="G1489" t="s">
        <v>11861</v>
      </c>
      <c r="H1489" t="str">
        <f t="shared" si="46"/>
        <v>Corral1100Kingsville</v>
      </c>
      <c r="I1489" t="str">
        <f t="shared" si="47"/>
        <v>Corral</v>
      </c>
      <c r="J1489" s="82">
        <f>IFERROR(INDEX('All Folders'!$A:$A,MATCH(H1489,'All Folders'!$G:$G,0),1),"¶")</f>
        <v>30374</v>
      </c>
      <c r="K1489" s="87"/>
      <c r="L1489" s="87"/>
    </row>
    <row r="1490" spans="1:12" ht="15" x14ac:dyDescent="0.25">
      <c r="A1490" t="s">
        <v>21414</v>
      </c>
      <c r="B1490" t="s">
        <v>17697</v>
      </c>
      <c r="C1490" t="s">
        <v>17698</v>
      </c>
      <c r="D1490" t="s">
        <v>17699</v>
      </c>
      <c r="E1490">
        <v>115</v>
      </c>
      <c r="F1490" t="s">
        <v>17700</v>
      </c>
      <c r="G1490" t="s">
        <v>10936</v>
      </c>
      <c r="H1490" t="str">
        <f t="shared" si="46"/>
        <v>Britton115Krum</v>
      </c>
      <c r="I1490" t="str">
        <f t="shared" si="47"/>
        <v>Britton</v>
      </c>
      <c r="J1490" s="82" t="str">
        <f>IFERROR(INDEX('All Folders'!$A:$A,MATCH(H1490,'All Folders'!$G:$G,0),1),"¶")</f>
        <v>SP157</v>
      </c>
      <c r="K1490" s="87"/>
      <c r="L1490" s="87"/>
    </row>
    <row r="1491" spans="1:12" ht="15" x14ac:dyDescent="0.25">
      <c r="A1491" t="s">
        <v>21415</v>
      </c>
      <c r="B1491" t="s">
        <v>17701</v>
      </c>
      <c r="C1491" t="s">
        <v>17702</v>
      </c>
      <c r="D1491" t="s">
        <v>17703</v>
      </c>
      <c r="E1491">
        <v>4891</v>
      </c>
      <c r="F1491" t="s">
        <v>17704</v>
      </c>
      <c r="G1491" t="s">
        <v>10936</v>
      </c>
      <c r="H1491" t="str">
        <f t="shared" si="46"/>
        <v>Masch4891Krum</v>
      </c>
      <c r="I1491" t="str">
        <f t="shared" si="47"/>
        <v>Masch</v>
      </c>
      <c r="J1491" s="82">
        <f>IFERROR(INDEX('All Folders'!$A:$A,MATCH(H1491,'All Folders'!$G:$G,0),1),"¶")</f>
        <v>30213</v>
      </c>
      <c r="K1491" s="87"/>
      <c r="L1491" s="87"/>
    </row>
    <row r="1492" spans="1:12" ht="15" x14ac:dyDescent="0.25">
      <c r="A1492" t="s">
        <v>21416</v>
      </c>
      <c r="B1492" t="s">
        <v>17705</v>
      </c>
      <c r="C1492" t="s">
        <v>17706</v>
      </c>
      <c r="D1492" t="s">
        <v>17703</v>
      </c>
      <c r="E1492">
        <v>4892</v>
      </c>
      <c r="F1492" t="s">
        <v>17707</v>
      </c>
      <c r="G1492" t="s">
        <v>10936</v>
      </c>
      <c r="H1492" t="str">
        <f t="shared" si="46"/>
        <v>Masch4892Krum</v>
      </c>
      <c r="I1492" t="str">
        <f t="shared" si="47"/>
        <v>Masch</v>
      </c>
      <c r="J1492" s="82" t="str">
        <f>IFERROR(INDEX('All Folders'!$A:$A,MATCH(H1492,'All Folders'!$G:$G,0),1),"¶")</f>
        <v>SP158</v>
      </c>
      <c r="K1492" s="87"/>
      <c r="L1492" s="87"/>
    </row>
    <row r="1493" spans="1:12" ht="15" x14ac:dyDescent="0.25">
      <c r="A1493" t="s">
        <v>21417</v>
      </c>
      <c r="B1493" t="s">
        <v>17708</v>
      </c>
      <c r="C1493" t="s">
        <v>17709</v>
      </c>
      <c r="D1493" t="s">
        <v>17710</v>
      </c>
      <c r="E1493">
        <v>1725</v>
      </c>
      <c r="F1493" t="s">
        <v>17711</v>
      </c>
      <c r="G1493" t="s">
        <v>4673</v>
      </c>
      <c r="H1493" t="str">
        <f t="shared" si="46"/>
        <v>Gulf1725La Marque</v>
      </c>
      <c r="I1493" t="str">
        <f t="shared" si="47"/>
        <v>Gulf</v>
      </c>
      <c r="J1493" s="82">
        <f>IFERROR(INDEX('All Folders'!$A:$A,MATCH(H1493,'All Folders'!$G:$G,0),1),"¶")</f>
        <v>4319</v>
      </c>
      <c r="K1493" s="87"/>
      <c r="L1493" s="87"/>
    </row>
    <row r="1494" spans="1:12" ht="15" x14ac:dyDescent="0.25">
      <c r="A1494" t="s">
        <v>21418</v>
      </c>
      <c r="B1494" t="s">
        <v>17712</v>
      </c>
      <c r="C1494" t="s">
        <v>17713</v>
      </c>
      <c r="D1494" t="s">
        <v>17714</v>
      </c>
      <c r="E1494">
        <v>155</v>
      </c>
      <c r="F1494" t="s">
        <v>13181</v>
      </c>
      <c r="G1494" t="s">
        <v>5074</v>
      </c>
      <c r="H1494" t="str">
        <f t="shared" si="46"/>
        <v>Overly155Lake Dallas</v>
      </c>
      <c r="I1494" t="str">
        <f t="shared" si="47"/>
        <v>Overly</v>
      </c>
      <c r="J1494" s="82">
        <f>IFERROR(INDEX('All Folders'!$A:$A,MATCH(H1494,'All Folders'!$G:$G,0),1),"¶")</f>
        <v>13116</v>
      </c>
      <c r="K1494" s="87"/>
      <c r="L1494" s="87"/>
    </row>
    <row r="1495" spans="1:12" ht="15" x14ac:dyDescent="0.25">
      <c r="A1495" t="s">
        <v>21419</v>
      </c>
      <c r="B1495" t="s">
        <v>17715</v>
      </c>
      <c r="C1495" t="s">
        <v>17716</v>
      </c>
      <c r="D1495" t="s">
        <v>11638</v>
      </c>
      <c r="E1495">
        <v>500</v>
      </c>
      <c r="F1495" t="s">
        <v>11639</v>
      </c>
      <c r="G1495" t="s">
        <v>5074</v>
      </c>
      <c r="H1495" t="str">
        <f t="shared" si="46"/>
        <v>Water's500Lake Dallas</v>
      </c>
      <c r="I1495" t="str">
        <f t="shared" si="47"/>
        <v>Water's</v>
      </c>
      <c r="J1495" s="82">
        <f>IFERROR(INDEX('All Folders'!$A:$A,MATCH(H1495,'All Folders'!$G:$G,0),1),"¶")</f>
        <v>30214</v>
      </c>
      <c r="K1495" s="87"/>
      <c r="L1495" s="87"/>
    </row>
    <row r="1496" spans="1:12" ht="15" x14ac:dyDescent="0.25">
      <c r="A1496" t="s">
        <v>21420</v>
      </c>
      <c r="B1496" t="s">
        <v>17717</v>
      </c>
      <c r="C1496" t="s">
        <v>17718</v>
      </c>
      <c r="D1496" t="s">
        <v>17719</v>
      </c>
      <c r="E1496">
        <v>514</v>
      </c>
      <c r="F1496" t="s">
        <v>17720</v>
      </c>
      <c r="G1496" t="s">
        <v>4442</v>
      </c>
      <c r="H1496" t="str">
        <f t="shared" si="46"/>
        <v>That514Lake Jackson</v>
      </c>
      <c r="I1496" t="str">
        <f t="shared" si="47"/>
        <v>That</v>
      </c>
      <c r="J1496" s="82">
        <f>IFERROR(INDEX('All Folders'!$A:$A,MATCH(H1496,'All Folders'!$G:$G,0),1),"¶")</f>
        <v>16900</v>
      </c>
      <c r="K1496" s="87"/>
      <c r="L1496" s="87"/>
    </row>
    <row r="1497" spans="1:12" ht="15" x14ac:dyDescent="0.25">
      <c r="A1497" t="s">
        <v>21421</v>
      </c>
      <c r="B1497" t="s">
        <v>17721</v>
      </c>
      <c r="C1497" t="s">
        <v>17722</v>
      </c>
      <c r="D1497" t="s">
        <v>17723</v>
      </c>
      <c r="E1497">
        <v>905</v>
      </c>
      <c r="F1497" t="s">
        <v>4473</v>
      </c>
      <c r="G1497" t="s">
        <v>4442</v>
      </c>
      <c r="H1497" t="str">
        <f t="shared" si="46"/>
        <v>332905Lake Jackson</v>
      </c>
      <c r="I1497" t="str">
        <f t="shared" si="47"/>
        <v>332</v>
      </c>
      <c r="J1497" s="82">
        <f>IFERROR(INDEX('All Folders'!$A:$A,MATCH(H1497,'All Folders'!$G:$G,0),1),"¶")</f>
        <v>4179</v>
      </c>
      <c r="K1497" s="87"/>
      <c r="L1497" s="87"/>
    </row>
    <row r="1498" spans="1:12" ht="15" x14ac:dyDescent="0.25">
      <c r="A1498" t="s">
        <v>21422</v>
      </c>
      <c r="B1498" t="s">
        <v>17724</v>
      </c>
      <c r="C1498" t="s">
        <v>17725</v>
      </c>
      <c r="D1498" t="s">
        <v>17726</v>
      </c>
      <c r="E1498">
        <v>420</v>
      </c>
      <c r="F1498" t="s">
        <v>4445</v>
      </c>
      <c r="G1498" t="s">
        <v>4442</v>
      </c>
      <c r="H1498" t="str">
        <f t="shared" si="46"/>
        <v>Garland420Lake Jackson</v>
      </c>
      <c r="I1498" t="str">
        <f t="shared" si="47"/>
        <v>Garland</v>
      </c>
      <c r="J1498" s="82">
        <f>IFERROR(INDEX('All Folders'!$A:$A,MATCH(H1498,'All Folders'!$G:$G,0),1),"¶")</f>
        <v>4157</v>
      </c>
      <c r="K1498" s="87"/>
      <c r="L1498" s="87"/>
    </row>
    <row r="1499" spans="1:12" ht="15" x14ac:dyDescent="0.25">
      <c r="A1499" t="s">
        <v>21423</v>
      </c>
      <c r="B1499" t="s">
        <v>17727</v>
      </c>
      <c r="C1499" t="s">
        <v>17728</v>
      </c>
      <c r="D1499" t="s">
        <v>14345</v>
      </c>
      <c r="E1499">
        <v>127</v>
      </c>
      <c r="F1499" t="s">
        <v>17729</v>
      </c>
      <c r="G1499" t="s">
        <v>4442</v>
      </c>
      <c r="H1499" t="str">
        <f t="shared" si="46"/>
        <v>Plantation127Lake Jackson</v>
      </c>
      <c r="I1499" t="str">
        <f t="shared" si="47"/>
        <v>Plantation</v>
      </c>
      <c r="J1499" s="82">
        <f>IFERROR(INDEX('All Folders'!$A:$A,MATCH(H1499,'All Folders'!$G:$G,0),1),"¶")</f>
        <v>4556</v>
      </c>
      <c r="K1499" s="87"/>
      <c r="L1499" s="87"/>
    </row>
    <row r="1500" spans="1:12" ht="15" x14ac:dyDescent="0.25">
      <c r="A1500" t="s">
        <v>21424</v>
      </c>
      <c r="B1500" t="s">
        <v>17730</v>
      </c>
      <c r="C1500" t="s">
        <v>17731</v>
      </c>
      <c r="D1500" t="s">
        <v>17732</v>
      </c>
      <c r="E1500">
        <v>440</v>
      </c>
      <c r="F1500" t="s">
        <v>17733</v>
      </c>
      <c r="G1500" t="s">
        <v>4442</v>
      </c>
      <c r="H1500" t="str">
        <f t="shared" si="46"/>
        <v>332440Lake Jackson</v>
      </c>
      <c r="I1500" t="str">
        <f t="shared" si="47"/>
        <v>332</v>
      </c>
      <c r="J1500" s="82">
        <f>IFERROR(INDEX('All Folders'!$A:$A,MATCH(H1500,'All Folders'!$G:$G,0),1),"¶")</f>
        <v>4561</v>
      </c>
      <c r="K1500" s="87"/>
      <c r="L1500" s="87"/>
    </row>
    <row r="1501" spans="1:12" ht="15" x14ac:dyDescent="0.25">
      <c r="A1501" t="s">
        <v>21425</v>
      </c>
      <c r="B1501" t="s">
        <v>17734</v>
      </c>
      <c r="C1501" t="s">
        <v>17735</v>
      </c>
      <c r="D1501" t="s">
        <v>17723</v>
      </c>
      <c r="E1501">
        <v>504</v>
      </c>
      <c r="F1501" t="s">
        <v>17736</v>
      </c>
      <c r="G1501" t="s">
        <v>4442</v>
      </c>
      <c r="H1501" t="str">
        <f t="shared" si="46"/>
        <v>332504Lake Jackson</v>
      </c>
      <c r="I1501" t="str">
        <f t="shared" si="47"/>
        <v>332</v>
      </c>
      <c r="J1501" s="82">
        <f>IFERROR(INDEX('All Folders'!$A:$A,MATCH(H1501,'All Folders'!$G:$G,0),1),"¶")</f>
        <v>4458</v>
      </c>
      <c r="K1501" s="87"/>
      <c r="L1501" s="87"/>
    </row>
    <row r="1502" spans="1:12" ht="15" x14ac:dyDescent="0.25">
      <c r="A1502" t="s">
        <v>21426</v>
      </c>
      <c r="B1502" t="s">
        <v>17737</v>
      </c>
      <c r="C1502" t="s">
        <v>17738</v>
      </c>
      <c r="D1502" t="s">
        <v>17732</v>
      </c>
      <c r="E1502">
        <v>460</v>
      </c>
      <c r="F1502" t="s">
        <v>17739</v>
      </c>
      <c r="G1502" t="s">
        <v>4442</v>
      </c>
      <c r="H1502" t="str">
        <f t="shared" si="46"/>
        <v>332460Lake Jackson</v>
      </c>
      <c r="I1502" t="str">
        <f t="shared" si="47"/>
        <v>332</v>
      </c>
      <c r="J1502" s="82">
        <f>IFERROR(INDEX('All Folders'!$A:$A,MATCH(H1502,'All Folders'!$G:$G,0),1),"¶")</f>
        <v>4178</v>
      </c>
      <c r="K1502" s="87"/>
      <c r="L1502" s="87"/>
    </row>
    <row r="1503" spans="1:12" ht="15" x14ac:dyDescent="0.25">
      <c r="A1503" t="s">
        <v>21427</v>
      </c>
      <c r="B1503" t="s">
        <v>17740</v>
      </c>
      <c r="C1503" t="s">
        <v>17741</v>
      </c>
      <c r="D1503" t="s">
        <v>17742</v>
      </c>
      <c r="E1503">
        <v>2525</v>
      </c>
      <c r="F1503" t="s">
        <v>17743</v>
      </c>
      <c r="G1503" t="s">
        <v>5411</v>
      </c>
      <c r="H1503" t="str">
        <f t="shared" si="46"/>
        <v>Pleasant2525Lancaster</v>
      </c>
      <c r="I1503" t="str">
        <f t="shared" si="47"/>
        <v>Pleasant</v>
      </c>
      <c r="J1503" s="82">
        <f>IFERROR(INDEX('All Folders'!$A:$A,MATCH(H1503,'All Folders'!$G:$G,0),1),"¶")</f>
        <v>13874</v>
      </c>
      <c r="K1503" s="87"/>
      <c r="L1503" s="87"/>
    </row>
    <row r="1504" spans="1:12" ht="15" x14ac:dyDescent="0.25">
      <c r="A1504" t="s">
        <v>21428</v>
      </c>
      <c r="B1504" t="s">
        <v>17744</v>
      </c>
      <c r="C1504" t="s">
        <v>17745</v>
      </c>
      <c r="D1504" t="s">
        <v>17746</v>
      </c>
      <c r="E1504">
        <v>1207</v>
      </c>
      <c r="F1504" t="s">
        <v>15597</v>
      </c>
      <c r="G1504" t="s">
        <v>5411</v>
      </c>
      <c r="H1504" t="str">
        <f t="shared" si="46"/>
        <v>Westridge1207Lancaster</v>
      </c>
      <c r="I1504" t="str">
        <f t="shared" si="47"/>
        <v>Westridge</v>
      </c>
      <c r="J1504" s="82" t="str">
        <f>IFERROR(INDEX('All Folders'!$A:$A,MATCH(H1504,'All Folders'!$G:$G,0),1),"¶")</f>
        <v>SP159</v>
      </c>
      <c r="K1504" s="87"/>
      <c r="L1504" s="87"/>
    </row>
    <row r="1505" spans="1:12" ht="15" x14ac:dyDescent="0.25">
      <c r="A1505" t="s">
        <v>21429</v>
      </c>
      <c r="B1505" t="s">
        <v>17747</v>
      </c>
      <c r="C1505" t="s">
        <v>17748</v>
      </c>
      <c r="D1505" t="s">
        <v>17749</v>
      </c>
      <c r="E1505">
        <v>7550</v>
      </c>
      <c r="F1505" t="s">
        <v>17750</v>
      </c>
      <c r="G1505" t="s">
        <v>12394</v>
      </c>
      <c r="H1505" t="str">
        <f t="shared" si="46"/>
        <v>Country7550Laredo</v>
      </c>
      <c r="I1505" t="str">
        <f t="shared" si="47"/>
        <v>Country</v>
      </c>
      <c r="J1505" s="82">
        <f>IFERROR(INDEX('All Folders'!$A:$A,MATCH(H1505,'All Folders'!$G:$G,0),1),"¶")</f>
        <v>30738</v>
      </c>
      <c r="K1505" s="87"/>
      <c r="L1505" s="87"/>
    </row>
    <row r="1506" spans="1:12" ht="15" x14ac:dyDescent="0.25">
      <c r="A1506" t="s">
        <v>21430</v>
      </c>
      <c r="B1506" t="s">
        <v>17751</v>
      </c>
      <c r="C1506" t="s">
        <v>17752</v>
      </c>
      <c r="D1506" t="s">
        <v>17753</v>
      </c>
      <c r="E1506">
        <v>604</v>
      </c>
      <c r="F1506" t="s">
        <v>17754</v>
      </c>
      <c r="G1506" t="s">
        <v>12394</v>
      </c>
      <c r="H1506" t="str">
        <f t="shared" si="46"/>
        <v>Rancho604Laredo</v>
      </c>
      <c r="I1506" t="str">
        <f t="shared" si="47"/>
        <v>Rancho</v>
      </c>
      <c r="J1506" s="82">
        <f>IFERROR(INDEX('All Folders'!$A:$A,MATCH(H1506,'All Folders'!$G:$G,0),1),"¶")</f>
        <v>30739</v>
      </c>
      <c r="K1506" s="87"/>
      <c r="L1506" s="87"/>
    </row>
    <row r="1507" spans="1:12" ht="15" x14ac:dyDescent="0.25">
      <c r="A1507" t="s">
        <v>21431</v>
      </c>
      <c r="B1507" t="s">
        <v>17755</v>
      </c>
      <c r="C1507" t="s">
        <v>17756</v>
      </c>
      <c r="D1507" t="s">
        <v>17757</v>
      </c>
      <c r="E1507">
        <v>5325</v>
      </c>
      <c r="F1507" t="s">
        <v>12453</v>
      </c>
      <c r="G1507" t="s">
        <v>7459</v>
      </c>
      <c r="H1507" t="str">
        <f t="shared" si="46"/>
        <v>Tropicana5325Las Vegas</v>
      </c>
      <c r="I1507" t="str">
        <f t="shared" si="47"/>
        <v>Tropicana</v>
      </c>
      <c r="J1507" s="82">
        <f>IFERROR(INDEX('All Folders'!$A:$A,MATCH(H1507,'All Folders'!$G:$G,0),1),"¶")</f>
        <v>30764</v>
      </c>
      <c r="K1507" s="87"/>
      <c r="L1507" s="87"/>
    </row>
    <row r="1508" spans="1:12" ht="15" x14ac:dyDescent="0.25">
      <c r="A1508" t="s">
        <v>21432</v>
      </c>
      <c r="B1508" t="s">
        <v>17758</v>
      </c>
      <c r="C1508" t="s">
        <v>17759</v>
      </c>
      <c r="D1508" t="s">
        <v>17760</v>
      </c>
      <c r="E1508">
        <v>5050</v>
      </c>
      <c r="F1508" t="s">
        <v>8126</v>
      </c>
      <c r="G1508" t="s">
        <v>7459</v>
      </c>
      <c r="H1508" t="str">
        <f t="shared" si="46"/>
        <v>Tamarus5050Las Vegas</v>
      </c>
      <c r="I1508" t="str">
        <f t="shared" si="47"/>
        <v>Tamarus</v>
      </c>
      <c r="J1508" s="82">
        <f>IFERROR(INDEX('All Folders'!$A:$A,MATCH(H1508,'All Folders'!$G:$G,0),1),"¶")</f>
        <v>30765</v>
      </c>
      <c r="K1508" s="87"/>
      <c r="L1508" s="87"/>
    </row>
    <row r="1509" spans="1:12" ht="15" x14ac:dyDescent="0.25">
      <c r="A1509" t="s">
        <v>21433</v>
      </c>
      <c r="B1509" t="s">
        <v>17761</v>
      </c>
      <c r="C1509" t="s">
        <v>17762</v>
      </c>
      <c r="D1509" t="s">
        <v>17763</v>
      </c>
      <c r="E1509">
        <v>4775</v>
      </c>
      <c r="F1509" t="s">
        <v>8104</v>
      </c>
      <c r="G1509" t="s">
        <v>7459</v>
      </c>
      <c r="H1509" t="str">
        <f t="shared" si="46"/>
        <v>Topaz4775Las Vegas</v>
      </c>
      <c r="I1509" t="str">
        <f t="shared" si="47"/>
        <v>Topaz</v>
      </c>
      <c r="J1509" s="82">
        <f>IFERROR(INDEX('All Folders'!$A:$A,MATCH(H1509,'All Folders'!$G:$G,0),1),"¶")</f>
        <v>30766</v>
      </c>
      <c r="K1509" s="87"/>
      <c r="L1509" s="87"/>
    </row>
    <row r="1510" spans="1:12" ht="15" x14ac:dyDescent="0.25">
      <c r="A1510" t="s">
        <v>21434</v>
      </c>
      <c r="B1510" t="s">
        <v>17764</v>
      </c>
      <c r="C1510" t="s">
        <v>17765</v>
      </c>
      <c r="D1510" t="s">
        <v>17766</v>
      </c>
      <c r="E1510">
        <v>331</v>
      </c>
      <c r="F1510" t="s">
        <v>11641</v>
      </c>
      <c r="G1510" t="s">
        <v>11642</v>
      </c>
      <c r="H1510" t="str">
        <f t="shared" si="46"/>
        <v>Armstrong331Lavon</v>
      </c>
      <c r="I1510" t="str">
        <f t="shared" si="47"/>
        <v>Armstrong</v>
      </c>
      <c r="J1510" s="82">
        <f>IFERROR(INDEX('All Folders'!$A:$A,MATCH(H1510,'All Folders'!$G:$G,0),1),"¶")</f>
        <v>30215</v>
      </c>
      <c r="K1510" s="87"/>
      <c r="L1510" s="87"/>
    </row>
    <row r="1511" spans="1:12" ht="15" x14ac:dyDescent="0.25">
      <c r="A1511" t="s">
        <v>21435</v>
      </c>
      <c r="B1511" t="s">
        <v>17767</v>
      </c>
      <c r="C1511" t="s">
        <v>17768</v>
      </c>
      <c r="D1511" t="s">
        <v>17769</v>
      </c>
      <c r="E1511">
        <v>1450</v>
      </c>
      <c r="F1511" t="s">
        <v>17770</v>
      </c>
      <c r="G1511" t="s">
        <v>4563</v>
      </c>
      <c r="H1511" t="str">
        <f t="shared" si="46"/>
        <v>League1450League City</v>
      </c>
      <c r="I1511" t="str">
        <f t="shared" si="47"/>
        <v>League</v>
      </c>
      <c r="J1511" s="82">
        <f>IFERROR(INDEX('All Folders'!$A:$A,MATCH(H1511,'All Folders'!$G:$G,0),1),"¶")</f>
        <v>17564</v>
      </c>
      <c r="K1511" s="87"/>
      <c r="L1511" s="87"/>
    </row>
    <row r="1512" spans="1:12" ht="15" x14ac:dyDescent="0.25">
      <c r="A1512" t="s">
        <v>21436</v>
      </c>
      <c r="B1512" t="s">
        <v>17771</v>
      </c>
      <c r="C1512" t="s">
        <v>17772</v>
      </c>
      <c r="D1512" t="s">
        <v>17773</v>
      </c>
      <c r="E1512">
        <v>305</v>
      </c>
      <c r="F1512" t="s">
        <v>17774</v>
      </c>
      <c r="G1512" t="s">
        <v>4563</v>
      </c>
      <c r="H1512" t="str">
        <f t="shared" si="46"/>
        <v>Hobbs305League City</v>
      </c>
      <c r="I1512" t="str">
        <f t="shared" si="47"/>
        <v>Hobbs</v>
      </c>
      <c r="J1512" s="82">
        <f>IFERROR(INDEX('All Folders'!$A:$A,MATCH(H1512,'All Folders'!$G:$G,0),1),"¶")</f>
        <v>4324</v>
      </c>
      <c r="K1512" s="87"/>
      <c r="L1512" s="87"/>
    </row>
    <row r="1513" spans="1:12" ht="15" x14ac:dyDescent="0.25">
      <c r="A1513" t="s">
        <v>21437</v>
      </c>
      <c r="B1513" t="s">
        <v>17775</v>
      </c>
      <c r="C1513" t="s">
        <v>17776</v>
      </c>
      <c r="D1513" t="s">
        <v>17777</v>
      </c>
      <c r="E1513">
        <v>1455</v>
      </c>
      <c r="F1513" t="s">
        <v>17778</v>
      </c>
      <c r="G1513" t="s">
        <v>4563</v>
      </c>
      <c r="H1513" t="str">
        <f t="shared" si="46"/>
        <v>Louisiana1455League City</v>
      </c>
      <c r="I1513" t="str">
        <f t="shared" si="47"/>
        <v>Louisiana</v>
      </c>
      <c r="J1513" s="82">
        <f>IFERROR(INDEX('All Folders'!$A:$A,MATCH(H1513,'All Folders'!$G:$G,0),1),"¶")</f>
        <v>17563</v>
      </c>
      <c r="K1513" s="87"/>
      <c r="L1513" s="87"/>
    </row>
    <row r="1514" spans="1:12" ht="15" x14ac:dyDescent="0.25">
      <c r="A1514" t="s">
        <v>21438</v>
      </c>
      <c r="B1514" t="s">
        <v>17779</v>
      </c>
      <c r="C1514" t="s">
        <v>17780</v>
      </c>
      <c r="D1514" t="s">
        <v>17781</v>
      </c>
      <c r="E1514">
        <v>3850</v>
      </c>
      <c r="F1514" t="s">
        <v>4624</v>
      </c>
      <c r="G1514" t="s">
        <v>4563</v>
      </c>
      <c r="H1514" t="str">
        <f t="shared" si="46"/>
        <v>5183850League City</v>
      </c>
      <c r="I1514" t="str">
        <f t="shared" si="47"/>
        <v>518</v>
      </c>
      <c r="J1514" s="82">
        <f>IFERROR(INDEX('All Folders'!$A:$A,MATCH(H1514,'All Folders'!$G:$G,0),1),"¶")</f>
        <v>4286</v>
      </c>
      <c r="K1514" s="87"/>
      <c r="L1514" s="87"/>
    </row>
    <row r="1515" spans="1:12" ht="15" x14ac:dyDescent="0.25">
      <c r="A1515" t="s">
        <v>21439</v>
      </c>
      <c r="B1515" t="s">
        <v>17782</v>
      </c>
      <c r="C1515" t="s">
        <v>17783</v>
      </c>
      <c r="D1515" t="s">
        <v>17784</v>
      </c>
      <c r="E1515">
        <v>601</v>
      </c>
      <c r="F1515" t="s">
        <v>4644</v>
      </c>
      <c r="G1515" t="s">
        <v>4563</v>
      </c>
      <c r="H1515" t="str">
        <f t="shared" si="46"/>
        <v>Enterprise601League City</v>
      </c>
      <c r="I1515" t="str">
        <f t="shared" si="47"/>
        <v>Enterprise</v>
      </c>
      <c r="J1515" s="82">
        <f>IFERROR(INDEX('All Folders'!$A:$A,MATCH(H1515,'All Folders'!$G:$G,0),1),"¶")</f>
        <v>4301</v>
      </c>
      <c r="K1515" s="87"/>
      <c r="L1515" s="87"/>
    </row>
    <row r="1516" spans="1:12" ht="15" x14ac:dyDescent="0.25">
      <c r="A1516" t="s">
        <v>21440</v>
      </c>
      <c r="B1516" t="s">
        <v>17785</v>
      </c>
      <c r="C1516" t="s">
        <v>17786</v>
      </c>
      <c r="D1516" t="s">
        <v>17784</v>
      </c>
      <c r="E1516">
        <v>1201</v>
      </c>
      <c r="F1516" t="s">
        <v>17787</v>
      </c>
      <c r="G1516" t="s">
        <v>4563</v>
      </c>
      <c r="H1516" t="str">
        <f t="shared" si="46"/>
        <v>Enterprise1201League City</v>
      </c>
      <c r="I1516" t="str">
        <f t="shared" si="47"/>
        <v>Enterprise</v>
      </c>
      <c r="J1516" s="82">
        <f>IFERROR(INDEX('All Folders'!$A:$A,MATCH(H1516,'All Folders'!$G:$G,0),1),"¶")</f>
        <v>4300</v>
      </c>
      <c r="K1516" s="87"/>
      <c r="L1516" s="87"/>
    </row>
    <row r="1517" spans="1:12" ht="15" x14ac:dyDescent="0.25">
      <c r="A1517" t="s">
        <v>21441</v>
      </c>
      <c r="B1517" t="s">
        <v>17788</v>
      </c>
      <c r="C1517" t="s">
        <v>17789</v>
      </c>
      <c r="D1517" t="s">
        <v>17790</v>
      </c>
      <c r="E1517">
        <v>2500</v>
      </c>
      <c r="F1517" t="s">
        <v>17791</v>
      </c>
      <c r="G1517" t="s">
        <v>5055</v>
      </c>
      <c r="H1517" t="str">
        <f t="shared" si="46"/>
        <v>Windhaven2500Lewisville</v>
      </c>
      <c r="I1517" t="str">
        <f t="shared" si="47"/>
        <v>Windhaven</v>
      </c>
      <c r="J1517" s="82">
        <f>IFERROR(INDEX('All Folders'!$A:$A,MATCH(H1517,'All Folders'!$G:$G,0),1),"¶")</f>
        <v>30217</v>
      </c>
      <c r="K1517" s="87"/>
      <c r="L1517" s="87"/>
    </row>
    <row r="1518" spans="1:12" ht="15" x14ac:dyDescent="0.25">
      <c r="A1518" t="s">
        <v>21443</v>
      </c>
      <c r="B1518" t="s">
        <v>17795</v>
      </c>
      <c r="C1518" t="s">
        <v>17796</v>
      </c>
      <c r="D1518" t="s">
        <v>17797</v>
      </c>
      <c r="E1518">
        <v>165</v>
      </c>
      <c r="F1518" t="s">
        <v>17798</v>
      </c>
      <c r="G1518" t="s">
        <v>5055</v>
      </c>
      <c r="H1518" t="str">
        <f t="shared" si="46"/>
        <v>Forestbrook165Lewisville</v>
      </c>
      <c r="I1518" t="str">
        <f t="shared" si="47"/>
        <v>Forestbrook</v>
      </c>
      <c r="J1518" s="82">
        <f>IFERROR(INDEX('All Folders'!$A:$A,MATCH(H1518,'All Folders'!$G:$G,0),1),"¶")</f>
        <v>13433</v>
      </c>
      <c r="K1518" s="87"/>
      <c r="L1518" s="87"/>
    </row>
    <row r="1519" spans="1:12" ht="15" x14ac:dyDescent="0.25">
      <c r="A1519" t="s">
        <v>21444</v>
      </c>
      <c r="B1519" t="s">
        <v>17799</v>
      </c>
      <c r="C1519" t="s">
        <v>17800</v>
      </c>
      <c r="D1519" t="s">
        <v>17801</v>
      </c>
      <c r="E1519">
        <v>901</v>
      </c>
      <c r="F1519" t="s">
        <v>17802</v>
      </c>
      <c r="G1519" t="s">
        <v>5055</v>
      </c>
      <c r="H1519" t="str">
        <f t="shared" si="46"/>
        <v>Garden901Lewisville</v>
      </c>
      <c r="I1519" t="str">
        <f t="shared" si="47"/>
        <v>Garden</v>
      </c>
      <c r="J1519" s="82">
        <f>IFERROR(INDEX('All Folders'!$A:$A,MATCH(H1519,'All Folders'!$G:$G,0),1),"¶")</f>
        <v>18313</v>
      </c>
      <c r="K1519" s="87"/>
      <c r="L1519" s="87"/>
    </row>
    <row r="1520" spans="1:12" ht="15" x14ac:dyDescent="0.25">
      <c r="A1520" t="s">
        <v>21445</v>
      </c>
      <c r="B1520" t="s">
        <v>17803</v>
      </c>
      <c r="C1520" t="s">
        <v>17804</v>
      </c>
      <c r="D1520" t="s">
        <v>17805</v>
      </c>
      <c r="E1520">
        <v>1200</v>
      </c>
      <c r="F1520" t="s">
        <v>5652</v>
      </c>
      <c r="G1520" t="s">
        <v>5055</v>
      </c>
      <c r="H1520" t="str">
        <f t="shared" si="46"/>
        <v>College1200Lewisville</v>
      </c>
      <c r="I1520" t="str">
        <f t="shared" si="47"/>
        <v>College</v>
      </c>
      <c r="J1520" s="82">
        <f>IFERROR(INDEX('All Folders'!$A:$A,MATCH(H1520,'All Folders'!$G:$G,0),1),"¶")</f>
        <v>13537</v>
      </c>
      <c r="K1520" s="87"/>
      <c r="L1520" s="87"/>
    </row>
    <row r="1521" spans="1:12" ht="15" x14ac:dyDescent="0.25">
      <c r="A1521" t="s">
        <v>21446</v>
      </c>
      <c r="B1521" t="s">
        <v>17806</v>
      </c>
      <c r="C1521" t="s">
        <v>17807</v>
      </c>
      <c r="D1521" t="s">
        <v>17808</v>
      </c>
      <c r="E1521">
        <v>701</v>
      </c>
      <c r="F1521" t="s">
        <v>17809</v>
      </c>
      <c r="G1521" t="s">
        <v>5055</v>
      </c>
      <c r="H1521" t="str">
        <f t="shared" si="46"/>
        <v>Leora701Lewisville</v>
      </c>
      <c r="I1521" t="str">
        <f t="shared" si="47"/>
        <v>Leora</v>
      </c>
      <c r="J1521" s="82">
        <f>IFERROR(INDEX('All Folders'!$A:$A,MATCH(H1521,'All Folders'!$G:$G,0),1),"¶")</f>
        <v>17440</v>
      </c>
      <c r="K1521" s="87"/>
      <c r="L1521" s="87"/>
    </row>
    <row r="1522" spans="1:12" ht="15" x14ac:dyDescent="0.25">
      <c r="A1522" t="s">
        <v>21447</v>
      </c>
      <c r="B1522" t="s">
        <v>17810</v>
      </c>
      <c r="C1522" t="s">
        <v>17811</v>
      </c>
      <c r="D1522" t="s">
        <v>17812</v>
      </c>
      <c r="E1522">
        <v>370</v>
      </c>
      <c r="F1522" t="s">
        <v>17813</v>
      </c>
      <c r="G1522" t="s">
        <v>5055</v>
      </c>
      <c r="H1522" t="str">
        <f t="shared" si="46"/>
        <v>Main370Lewisville</v>
      </c>
      <c r="I1522" t="str">
        <f t="shared" si="47"/>
        <v>Main</v>
      </c>
      <c r="J1522" s="82" t="str">
        <f>IFERROR(INDEX('All Folders'!$A:$A,MATCH(H1522,'All Folders'!$G:$G,0),1),"¶")</f>
        <v>SP160</v>
      </c>
      <c r="K1522" s="87"/>
      <c r="L1522" s="87"/>
    </row>
    <row r="1523" spans="1:12" ht="15" x14ac:dyDescent="0.25">
      <c r="A1523" t="s">
        <v>21448</v>
      </c>
      <c r="B1523" t="s">
        <v>17814</v>
      </c>
      <c r="C1523" t="s">
        <v>17815</v>
      </c>
      <c r="D1523" t="s">
        <v>17816</v>
      </c>
      <c r="E1523">
        <v>2200</v>
      </c>
      <c r="F1523" t="s">
        <v>6198</v>
      </c>
      <c r="G1523" t="s">
        <v>5055</v>
      </c>
      <c r="H1523" t="str">
        <f t="shared" si="46"/>
        <v>Uecker2200Lewisville</v>
      </c>
      <c r="I1523" t="str">
        <f t="shared" si="47"/>
        <v>Uecker</v>
      </c>
      <c r="J1523" s="82">
        <f>IFERROR(INDEX('All Folders'!$A:$A,MATCH(H1523,'All Folders'!$G:$G,0),1),"¶")</f>
        <v>13960</v>
      </c>
      <c r="K1523" s="87"/>
      <c r="L1523" s="87"/>
    </row>
    <row r="1524" spans="1:12" ht="15" x14ac:dyDescent="0.25">
      <c r="A1524" t="s">
        <v>21449</v>
      </c>
      <c r="B1524" t="s">
        <v>17817</v>
      </c>
      <c r="C1524" t="s">
        <v>17818</v>
      </c>
      <c r="D1524" t="s">
        <v>17819</v>
      </c>
      <c r="E1524">
        <v>1070</v>
      </c>
      <c r="F1524" t="s">
        <v>17820</v>
      </c>
      <c r="G1524" t="s">
        <v>5055</v>
      </c>
      <c r="H1524" t="str">
        <f t="shared" si="46"/>
        <v>Grandys1070Lewisville</v>
      </c>
      <c r="I1524" t="str">
        <f t="shared" si="47"/>
        <v>Grandys</v>
      </c>
      <c r="J1524" s="82">
        <f>IFERROR(INDEX('All Folders'!$A:$A,MATCH(H1524,'All Folders'!$G:$G,0),1),"¶")</f>
        <v>16196</v>
      </c>
      <c r="K1524" s="87"/>
      <c r="L1524" s="87"/>
    </row>
    <row r="1525" spans="1:12" ht="15" x14ac:dyDescent="0.25">
      <c r="A1525" t="s">
        <v>21450</v>
      </c>
      <c r="B1525" t="s">
        <v>17821</v>
      </c>
      <c r="C1525" t="s">
        <v>17822</v>
      </c>
      <c r="D1525" t="s">
        <v>5436</v>
      </c>
      <c r="E1525">
        <v>2479</v>
      </c>
      <c r="F1525" t="s">
        <v>17823</v>
      </c>
      <c r="G1525" t="s">
        <v>5055</v>
      </c>
      <c r="H1525" t="str">
        <f t="shared" si="46"/>
        <v>Deer2479Lewisville</v>
      </c>
      <c r="I1525" t="str">
        <f t="shared" si="47"/>
        <v>Deer</v>
      </c>
      <c r="J1525" s="82">
        <f>IFERROR(INDEX('All Folders'!$A:$A,MATCH(H1525,'All Folders'!$G:$G,0),1),"¶")</f>
        <v>14196</v>
      </c>
      <c r="K1525" s="87"/>
      <c r="L1525" s="87"/>
    </row>
    <row r="1526" spans="1:12" ht="15" x14ac:dyDescent="0.25">
      <c r="A1526" t="s">
        <v>21451</v>
      </c>
      <c r="B1526" t="s">
        <v>17824</v>
      </c>
      <c r="C1526" t="s">
        <v>17825</v>
      </c>
      <c r="D1526" t="s">
        <v>13933</v>
      </c>
      <c r="E1526">
        <v>210</v>
      </c>
      <c r="F1526" t="s">
        <v>17826</v>
      </c>
      <c r="G1526" t="s">
        <v>10587</v>
      </c>
      <c r="H1526" t="str">
        <f t="shared" si="46"/>
        <v>Main210Little Elm</v>
      </c>
      <c r="I1526" t="str">
        <f t="shared" si="47"/>
        <v>Main</v>
      </c>
      <c r="J1526" s="82" t="str">
        <f>IFERROR(INDEX('All Folders'!$A:$A,MATCH(H1526,'All Folders'!$G:$G,0),1),"¶")</f>
        <v>SP161</v>
      </c>
      <c r="K1526" s="87"/>
      <c r="L1526" s="87"/>
    </row>
    <row r="1527" spans="1:12" ht="15" x14ac:dyDescent="0.25">
      <c r="A1527" t="s">
        <v>21452</v>
      </c>
      <c r="B1527" t="s">
        <v>17827</v>
      </c>
      <c r="C1527" t="s">
        <v>17828</v>
      </c>
      <c r="D1527" t="s">
        <v>17829</v>
      </c>
      <c r="E1527">
        <v>4601</v>
      </c>
      <c r="F1527" t="s">
        <v>5938</v>
      </c>
      <c r="G1527" t="s">
        <v>12433</v>
      </c>
      <c r="H1527" t="str">
        <f t="shared" si="46"/>
        <v>Balsam4601Littleton</v>
      </c>
      <c r="I1527" t="str">
        <f t="shared" si="47"/>
        <v>Balsam</v>
      </c>
      <c r="J1527" s="82">
        <f>IFERROR(INDEX('All Folders'!$A:$A,MATCH(H1527,'All Folders'!$G:$G,0),1),"¶")</f>
        <v>30756</v>
      </c>
      <c r="K1527" s="87"/>
      <c r="L1527" s="87"/>
    </row>
    <row r="1528" spans="1:12" ht="15" x14ac:dyDescent="0.25">
      <c r="A1528" t="s">
        <v>21453</v>
      </c>
      <c r="B1528" t="s">
        <v>17830</v>
      </c>
      <c r="C1528" t="s">
        <v>17831</v>
      </c>
      <c r="D1528" t="s">
        <v>11908</v>
      </c>
      <c r="E1528">
        <v>300</v>
      </c>
      <c r="F1528" t="s">
        <v>3165</v>
      </c>
      <c r="G1528" t="s">
        <v>11902</v>
      </c>
      <c r="H1528" t="str">
        <f t="shared" si="46"/>
        <v>Lake300Longview</v>
      </c>
      <c r="I1528" t="str">
        <f t="shared" si="47"/>
        <v>Lake</v>
      </c>
      <c r="J1528" s="82">
        <f>IFERROR(INDEX('All Folders'!$A:$A,MATCH(H1528,'All Folders'!$G:$G,0),1),"¶")</f>
        <v>30397</v>
      </c>
      <c r="K1528" s="87"/>
      <c r="L1528" s="87"/>
    </row>
    <row r="1529" spans="1:12" ht="15" x14ac:dyDescent="0.25">
      <c r="A1529" t="s">
        <v>21454</v>
      </c>
      <c r="B1529" t="s">
        <v>17832</v>
      </c>
      <c r="C1529" t="s">
        <v>17833</v>
      </c>
      <c r="D1529" t="s">
        <v>17834</v>
      </c>
      <c r="E1529">
        <v>803</v>
      </c>
      <c r="F1529" t="s">
        <v>17835</v>
      </c>
      <c r="G1529" t="s">
        <v>11902</v>
      </c>
      <c r="H1529" t="str">
        <f t="shared" si="46"/>
        <v>Pine803Longview</v>
      </c>
      <c r="I1529" t="str">
        <f t="shared" si="47"/>
        <v>Pine</v>
      </c>
      <c r="J1529" s="82">
        <f>IFERROR(INDEX('All Folders'!$A:$A,MATCH(H1529,'All Folders'!$G:$G,0),1),"¶")</f>
        <v>30401</v>
      </c>
      <c r="K1529" s="87"/>
      <c r="L1529" s="87"/>
    </row>
    <row r="1530" spans="1:12" ht="15" x14ac:dyDescent="0.25">
      <c r="A1530" t="s">
        <v>21456</v>
      </c>
      <c r="B1530" t="s">
        <v>17840</v>
      </c>
      <c r="C1530" t="s">
        <v>17841</v>
      </c>
      <c r="D1530" t="s">
        <v>17842</v>
      </c>
      <c r="E1530">
        <v>2900</v>
      </c>
      <c r="F1530" t="s">
        <v>11910</v>
      </c>
      <c r="G1530" t="s">
        <v>11902</v>
      </c>
      <c r="H1530" t="str">
        <f t="shared" si="46"/>
        <v>McCann2900Longview</v>
      </c>
      <c r="I1530" t="str">
        <f t="shared" si="47"/>
        <v>McCann</v>
      </c>
      <c r="J1530" s="82">
        <f>IFERROR(INDEX('All Folders'!$A:$A,MATCH(H1530,'All Folders'!$G:$G,0),1),"¶")</f>
        <v>30398</v>
      </c>
      <c r="K1530" s="87"/>
      <c r="L1530" s="87"/>
    </row>
    <row r="1531" spans="1:12" ht="15" x14ac:dyDescent="0.25">
      <c r="A1531" t="s">
        <v>21457</v>
      </c>
      <c r="B1531" t="s">
        <v>17843</v>
      </c>
      <c r="C1531" t="s">
        <v>17844</v>
      </c>
      <c r="D1531" t="s">
        <v>17845</v>
      </c>
      <c r="E1531">
        <v>301</v>
      </c>
      <c r="F1531" t="s">
        <v>11924</v>
      </c>
      <c r="G1531" t="s">
        <v>11902</v>
      </c>
      <c r="H1531" t="str">
        <f t="shared" si="46"/>
        <v>Hawkins301Longview</v>
      </c>
      <c r="I1531" t="str">
        <f t="shared" si="47"/>
        <v>Hawkins</v>
      </c>
      <c r="J1531" s="82">
        <f>IFERROR(INDEX('All Folders'!$A:$A,MATCH(H1531,'All Folders'!$G:$G,0),1),"¶")</f>
        <v>30406</v>
      </c>
      <c r="K1531" s="87"/>
      <c r="L1531" s="87"/>
    </row>
    <row r="1532" spans="1:12" ht="15" x14ac:dyDescent="0.25">
      <c r="A1532" t="s">
        <v>21458</v>
      </c>
      <c r="B1532" t="s">
        <v>17846</v>
      </c>
      <c r="C1532" t="s">
        <v>17847</v>
      </c>
      <c r="D1532" t="s">
        <v>17848</v>
      </c>
      <c r="E1532">
        <v>502</v>
      </c>
      <c r="F1532" t="s">
        <v>17849</v>
      </c>
      <c r="G1532" t="s">
        <v>11902</v>
      </c>
      <c r="H1532" t="str">
        <f t="shared" si="46"/>
        <v>Scenic502Longview</v>
      </c>
      <c r="I1532" t="str">
        <f t="shared" si="47"/>
        <v>Scenic</v>
      </c>
      <c r="J1532" s="82">
        <f>IFERROR(INDEX('All Folders'!$A:$A,MATCH(H1532,'All Folders'!$G:$G,0),1),"¶")</f>
        <v>30403</v>
      </c>
      <c r="K1532" s="87"/>
      <c r="L1532" s="87"/>
    </row>
    <row r="1533" spans="1:12" ht="15" x14ac:dyDescent="0.25">
      <c r="A1533" t="s">
        <v>21459</v>
      </c>
      <c r="B1533" t="s">
        <v>17850</v>
      </c>
      <c r="C1533" t="s">
        <v>17851</v>
      </c>
      <c r="D1533" t="s">
        <v>17852</v>
      </c>
      <c r="E1533" t="s">
        <v>11920</v>
      </c>
      <c r="F1533" t="s">
        <v>17853</v>
      </c>
      <c r="G1533" t="s">
        <v>11902</v>
      </c>
      <c r="H1533" t="str">
        <f t="shared" si="46"/>
        <v>Thelma100-115Longview</v>
      </c>
      <c r="I1533" t="str">
        <f t="shared" si="47"/>
        <v>Thelma</v>
      </c>
      <c r="J1533" s="82">
        <f>IFERROR(INDEX('All Folders'!$A:$A,MATCH(H1533,'All Folders'!$G:$G,0),1),"¶")</f>
        <v>30404</v>
      </c>
      <c r="K1533" s="87"/>
      <c r="L1533" s="87"/>
    </row>
    <row r="1534" spans="1:12" ht="15" x14ac:dyDescent="0.25">
      <c r="A1534" t="s">
        <v>21460</v>
      </c>
      <c r="B1534" t="s">
        <v>17854</v>
      </c>
      <c r="C1534" t="s">
        <v>17855</v>
      </c>
      <c r="D1534" t="s">
        <v>17856</v>
      </c>
      <c r="E1534">
        <v>110</v>
      </c>
      <c r="F1534" t="s">
        <v>11905</v>
      </c>
      <c r="G1534" t="s">
        <v>11902</v>
      </c>
      <c r="H1534" t="str">
        <f t="shared" si="46"/>
        <v>Hawkins110Longview</v>
      </c>
      <c r="I1534" t="str">
        <f t="shared" si="47"/>
        <v>Hawkins</v>
      </c>
      <c r="J1534" s="82">
        <f>IFERROR(INDEX('All Folders'!$A:$A,MATCH(H1534,'All Folders'!$G:$G,0),1),"¶")</f>
        <v>30395</v>
      </c>
      <c r="K1534" s="87"/>
      <c r="L1534" s="87"/>
    </row>
    <row r="1535" spans="1:12" ht="15" x14ac:dyDescent="0.25">
      <c r="A1535" t="s">
        <v>21461</v>
      </c>
      <c r="B1535" t="s">
        <v>17857</v>
      </c>
      <c r="C1535" t="s">
        <v>17858</v>
      </c>
      <c r="D1535" t="s">
        <v>17859</v>
      </c>
      <c r="E1535">
        <v>3401</v>
      </c>
      <c r="F1535" t="s">
        <v>10912</v>
      </c>
      <c r="G1535" t="s">
        <v>11902</v>
      </c>
      <c r="H1535" t="str">
        <f t="shared" si="46"/>
        <v>2593401Longview</v>
      </c>
      <c r="I1535" t="str">
        <f t="shared" si="47"/>
        <v>259</v>
      </c>
      <c r="J1535" s="82">
        <f>IFERROR(INDEX('All Folders'!$A:$A,MATCH(H1535,'All Folders'!$G:$G,0),1),"¶")</f>
        <v>30400</v>
      </c>
      <c r="K1535" s="87"/>
      <c r="L1535" s="87"/>
    </row>
    <row r="1536" spans="1:12" ht="15" x14ac:dyDescent="0.25">
      <c r="A1536" t="s">
        <v>21462</v>
      </c>
      <c r="B1536" t="s">
        <v>17860</v>
      </c>
      <c r="C1536" t="s">
        <v>17861</v>
      </c>
      <c r="D1536" t="s">
        <v>17862</v>
      </c>
      <c r="E1536">
        <v>717</v>
      </c>
      <c r="F1536" t="s">
        <v>11916</v>
      </c>
      <c r="G1536" t="s">
        <v>11902</v>
      </c>
      <c r="H1536" t="str">
        <f t="shared" si="46"/>
        <v>Green717Longview</v>
      </c>
      <c r="I1536" t="str">
        <f t="shared" si="47"/>
        <v>Green</v>
      </c>
      <c r="J1536" s="82">
        <f>IFERROR(INDEX('All Folders'!$A:$A,MATCH(H1536,'All Folders'!$G:$G,0),1),"¶")</f>
        <v>30402</v>
      </c>
      <c r="K1536" s="87"/>
      <c r="L1536" s="87"/>
    </row>
    <row r="1537" spans="1:12" ht="15" x14ac:dyDescent="0.25">
      <c r="A1537" t="s">
        <v>21463</v>
      </c>
      <c r="B1537" t="s">
        <v>17863</v>
      </c>
      <c r="C1537" t="s">
        <v>17864</v>
      </c>
      <c r="D1537" t="s">
        <v>17865</v>
      </c>
      <c r="E1537">
        <v>203</v>
      </c>
      <c r="F1537" t="s">
        <v>17866</v>
      </c>
      <c r="G1537" t="s">
        <v>11902</v>
      </c>
      <c r="H1537" t="str">
        <f t="shared" si="46"/>
        <v>Eden203Longview</v>
      </c>
      <c r="I1537" t="str">
        <f t="shared" si="47"/>
        <v>Eden</v>
      </c>
      <c r="J1537" s="82">
        <f>IFERROR(INDEX('All Folders'!$A:$A,MATCH(H1537,'All Folders'!$G:$G,0),1),"¶")</f>
        <v>30396</v>
      </c>
      <c r="K1537" s="87"/>
      <c r="L1537" s="87"/>
    </row>
    <row r="1538" spans="1:12" ht="15" x14ac:dyDescent="0.25">
      <c r="A1538" t="s">
        <v>21464</v>
      </c>
      <c r="B1538" t="s">
        <v>17867</v>
      </c>
      <c r="C1538" t="s">
        <v>17868</v>
      </c>
      <c r="D1538" t="s">
        <v>17869</v>
      </c>
      <c r="E1538">
        <v>7906</v>
      </c>
      <c r="F1538" t="s">
        <v>17870</v>
      </c>
      <c r="G1538" t="s">
        <v>12339</v>
      </c>
      <c r="H1538" t="str">
        <f t="shared" ref="H1538:H1601" si="48">I1538&amp;E1538&amp;G1538</f>
        <v>Indiana7906Lubbock</v>
      </c>
      <c r="I1538" t="str">
        <f t="shared" ref="I1538:I1601" si="49">IFERROR(LEFT(D1538,FIND(" ",D1538)-1),D1538)</f>
        <v>Indiana</v>
      </c>
      <c r="J1538" s="82">
        <f>IFERROR(INDEX('All Folders'!$A:$A,MATCH(H1538,'All Folders'!$G:$G,0),1),"¶")</f>
        <v>30728</v>
      </c>
      <c r="K1538" s="87"/>
      <c r="L1538" s="87"/>
    </row>
    <row r="1539" spans="1:12" ht="15" x14ac:dyDescent="0.25">
      <c r="A1539" t="s">
        <v>21465</v>
      </c>
      <c r="B1539" t="s">
        <v>17871</v>
      </c>
      <c r="C1539" t="s">
        <v>17872</v>
      </c>
      <c r="D1539" t="s">
        <v>17873</v>
      </c>
      <c r="E1539">
        <v>201</v>
      </c>
      <c r="F1539" t="s">
        <v>17874</v>
      </c>
      <c r="G1539" t="s">
        <v>12339</v>
      </c>
      <c r="H1539" t="str">
        <f t="shared" si="48"/>
        <v>Indiana201Lubbock</v>
      </c>
      <c r="I1539" t="str">
        <f t="shared" si="49"/>
        <v>Indiana</v>
      </c>
      <c r="J1539" s="82">
        <f>IFERROR(INDEX('All Folders'!$A:$A,MATCH(H1539,'All Folders'!$G:$G,0),1),"¶")</f>
        <v>30726</v>
      </c>
      <c r="K1539" s="87"/>
      <c r="L1539" s="87"/>
    </row>
    <row r="1540" spans="1:12" ht="15" x14ac:dyDescent="0.25">
      <c r="A1540" t="s">
        <v>21466</v>
      </c>
      <c r="B1540" t="s">
        <v>17875</v>
      </c>
      <c r="C1540" t="s">
        <v>17876</v>
      </c>
      <c r="D1540" t="s">
        <v>17873</v>
      </c>
      <c r="E1540">
        <v>6201</v>
      </c>
      <c r="F1540" t="s">
        <v>17877</v>
      </c>
      <c r="G1540" t="s">
        <v>12339</v>
      </c>
      <c r="H1540" t="str">
        <f t="shared" si="48"/>
        <v>Indiana6201Lubbock</v>
      </c>
      <c r="I1540" t="str">
        <f t="shared" si="49"/>
        <v>Indiana</v>
      </c>
      <c r="J1540" s="82">
        <f>IFERROR(INDEX('All Folders'!$A:$A,MATCH(H1540,'All Folders'!$G:$G,0),1),"¶")</f>
        <v>30727</v>
      </c>
      <c r="K1540" s="87"/>
      <c r="L1540" s="87"/>
    </row>
    <row r="1541" spans="1:12" ht="15" x14ac:dyDescent="0.25">
      <c r="A1541" t="s">
        <v>21467</v>
      </c>
      <c r="B1541" t="s">
        <v>17878</v>
      </c>
      <c r="C1541" t="s">
        <v>17879</v>
      </c>
      <c r="D1541" t="s">
        <v>17880</v>
      </c>
      <c r="E1541">
        <v>5720</v>
      </c>
      <c r="F1541" t="s">
        <v>17881</v>
      </c>
      <c r="G1541" t="s">
        <v>12339</v>
      </c>
      <c r="H1541" t="str">
        <f t="shared" si="48"/>
        <v>66th5720Lubbock</v>
      </c>
      <c r="I1541" t="str">
        <f t="shared" si="49"/>
        <v>66th</v>
      </c>
      <c r="J1541" s="82">
        <f>IFERROR(INDEX('All Folders'!$A:$A,MATCH(H1541,'All Folders'!$G:$G,0),1),"¶")</f>
        <v>30712</v>
      </c>
      <c r="K1541" s="87"/>
      <c r="L1541" s="87"/>
    </row>
    <row r="1542" spans="1:12" ht="15" x14ac:dyDescent="0.25">
      <c r="A1542" t="s">
        <v>21471</v>
      </c>
      <c r="B1542" t="s">
        <v>17892</v>
      </c>
      <c r="C1542" t="s">
        <v>17893</v>
      </c>
      <c r="D1542" t="s">
        <v>17894</v>
      </c>
      <c r="E1542">
        <v>1002</v>
      </c>
      <c r="F1542" t="s">
        <v>12384</v>
      </c>
      <c r="G1542" t="s">
        <v>12339</v>
      </c>
      <c r="H1542" t="str">
        <f t="shared" si="48"/>
        <v>Frankford1002Lubbock</v>
      </c>
      <c r="I1542" t="str">
        <f t="shared" si="49"/>
        <v>Frankford</v>
      </c>
      <c r="J1542" s="82">
        <f>IFERROR(INDEX('All Folders'!$A:$A,MATCH(H1542,'All Folders'!$G:$G,0),1),"¶")</f>
        <v>30731</v>
      </c>
      <c r="K1542" s="87"/>
      <c r="L1542" s="87"/>
    </row>
    <row r="1543" spans="1:12" ht="15" x14ac:dyDescent="0.25">
      <c r="A1543" t="s">
        <v>21472</v>
      </c>
      <c r="B1543" t="s">
        <v>17895</v>
      </c>
      <c r="C1543" t="s">
        <v>17896</v>
      </c>
      <c r="D1543" t="s">
        <v>17897</v>
      </c>
      <c r="E1543">
        <v>2104</v>
      </c>
      <c r="F1543" t="s">
        <v>12380</v>
      </c>
      <c r="G1543" t="s">
        <v>12339</v>
      </c>
      <c r="H1543" t="str">
        <f t="shared" si="48"/>
        <v>La2104Lubbock</v>
      </c>
      <c r="I1543" t="str">
        <f t="shared" si="49"/>
        <v>La</v>
      </c>
      <c r="J1543" s="82">
        <f>IFERROR(INDEX('All Folders'!$A:$A,MATCH(H1543,'All Folders'!$G:$G,0),1),"¶")</f>
        <v>30729</v>
      </c>
      <c r="K1543" s="87"/>
      <c r="L1543" s="87"/>
    </row>
    <row r="1544" spans="1:12" ht="15" x14ac:dyDescent="0.25">
      <c r="A1544" t="s">
        <v>21473</v>
      </c>
      <c r="B1544" t="s">
        <v>17898</v>
      </c>
      <c r="C1544" t="s">
        <v>17899</v>
      </c>
      <c r="D1544" t="s">
        <v>17900</v>
      </c>
      <c r="E1544">
        <v>4602</v>
      </c>
      <c r="F1544" t="s">
        <v>17901</v>
      </c>
      <c r="G1544" t="s">
        <v>12339</v>
      </c>
      <c r="H1544" t="str">
        <f t="shared" si="48"/>
        <v>50th4602Lubbock</v>
      </c>
      <c r="I1544" t="str">
        <f t="shared" si="49"/>
        <v>50th</v>
      </c>
      <c r="J1544" s="82">
        <f>IFERROR(INDEX('All Folders'!$A:$A,MATCH(H1544,'All Folders'!$G:$G,0),1),"¶")</f>
        <v>30710</v>
      </c>
      <c r="K1544" s="87"/>
      <c r="L1544" s="87"/>
    </row>
    <row r="1545" spans="1:12" ht="15" x14ac:dyDescent="0.25">
      <c r="A1545" t="s">
        <v>21474</v>
      </c>
      <c r="B1545" t="s">
        <v>17902</v>
      </c>
      <c r="C1545" t="s">
        <v>17903</v>
      </c>
      <c r="D1545" t="s">
        <v>17904</v>
      </c>
      <c r="E1545">
        <v>602</v>
      </c>
      <c r="F1545" t="s">
        <v>17905</v>
      </c>
      <c r="G1545" t="s">
        <v>12339</v>
      </c>
      <c r="H1545" t="str">
        <f t="shared" si="48"/>
        <v>Belmont602Lubbock</v>
      </c>
      <c r="I1545" t="str">
        <f t="shared" si="49"/>
        <v>Belmont</v>
      </c>
      <c r="J1545" s="82">
        <f>IFERROR(INDEX('All Folders'!$A:$A,MATCH(H1545,'All Folders'!$G:$G,0),1),"¶")</f>
        <v>30721</v>
      </c>
      <c r="K1545" s="87"/>
      <c r="L1545" s="87"/>
    </row>
    <row r="1546" spans="1:12" ht="15" x14ac:dyDescent="0.25">
      <c r="A1546" t="s">
        <v>21475</v>
      </c>
      <c r="B1546" t="s">
        <v>17906</v>
      </c>
      <c r="C1546" t="s">
        <v>17907</v>
      </c>
      <c r="D1546" t="s">
        <v>17908</v>
      </c>
      <c r="E1546">
        <v>2400</v>
      </c>
      <c r="F1546" t="s">
        <v>17909</v>
      </c>
      <c r="G1546" t="s">
        <v>12339</v>
      </c>
      <c r="H1546" t="str">
        <f t="shared" si="48"/>
        <v>44th2400Lubbock</v>
      </c>
      <c r="I1546" t="str">
        <f t="shared" si="49"/>
        <v>44th</v>
      </c>
      <c r="J1546" s="82">
        <f>IFERROR(INDEX('All Folders'!$A:$A,MATCH(H1546,'All Folders'!$G:$G,0),1),"¶")</f>
        <v>30706</v>
      </c>
      <c r="K1546" s="87"/>
      <c r="L1546" s="87"/>
    </row>
    <row r="1547" spans="1:12" ht="15" x14ac:dyDescent="0.25">
      <c r="A1547" t="s">
        <v>21476</v>
      </c>
      <c r="B1547" t="s">
        <v>17910</v>
      </c>
      <c r="C1547" t="s">
        <v>17911</v>
      </c>
      <c r="D1547" t="s">
        <v>17912</v>
      </c>
      <c r="E1547">
        <v>5710</v>
      </c>
      <c r="F1547" t="s">
        <v>17913</v>
      </c>
      <c r="G1547" t="s">
        <v>12339</v>
      </c>
      <c r="H1547" t="str">
        <f t="shared" si="48"/>
        <v>4th5710Lubbock</v>
      </c>
      <c r="I1547" t="str">
        <f t="shared" si="49"/>
        <v>4th</v>
      </c>
      <c r="J1547" s="82">
        <f>IFERROR(INDEX('All Folders'!$A:$A,MATCH(H1547,'All Folders'!$G:$G,0),1),"¶")</f>
        <v>30708</v>
      </c>
      <c r="K1547" s="87"/>
      <c r="L1547" s="87"/>
    </row>
    <row r="1548" spans="1:12" ht="15" x14ac:dyDescent="0.25">
      <c r="A1548" t="s">
        <v>21477</v>
      </c>
      <c r="B1548" t="s">
        <v>17914</v>
      </c>
      <c r="C1548" t="s">
        <v>17915</v>
      </c>
      <c r="D1548" t="s">
        <v>17891</v>
      </c>
      <c r="E1548">
        <v>5351</v>
      </c>
      <c r="F1548" t="s">
        <v>17916</v>
      </c>
      <c r="G1548" t="s">
        <v>12339</v>
      </c>
      <c r="H1548" t="str">
        <f t="shared" si="48"/>
        <v>2895351Lubbock</v>
      </c>
      <c r="I1548" t="str">
        <f t="shared" si="49"/>
        <v>289</v>
      </c>
      <c r="J1548" s="82">
        <f>IFERROR(INDEX('All Folders'!$A:$A,MATCH(H1548,'All Folders'!$G:$G,0),1),"¶")</f>
        <v>30735</v>
      </c>
      <c r="K1548" s="87"/>
      <c r="L1548" s="87"/>
    </row>
    <row r="1549" spans="1:12" ht="15" x14ac:dyDescent="0.25">
      <c r="A1549" t="s">
        <v>21478</v>
      </c>
      <c r="B1549" t="s">
        <v>17917</v>
      </c>
      <c r="C1549" t="s">
        <v>17918</v>
      </c>
      <c r="D1549" t="s">
        <v>17919</v>
      </c>
      <c r="E1549">
        <v>6402</v>
      </c>
      <c r="F1549" t="s">
        <v>17916</v>
      </c>
      <c r="G1549" t="s">
        <v>12339</v>
      </c>
      <c r="H1549" t="str">
        <f t="shared" si="48"/>
        <v>Albany6402Lubbock</v>
      </c>
      <c r="I1549" t="str">
        <f t="shared" si="49"/>
        <v>Albany</v>
      </c>
      <c r="J1549" s="82">
        <f>IFERROR(INDEX('All Folders'!$A:$A,MATCH(H1549,'All Folders'!$G:$G,0),1),"¶")</f>
        <v>30719</v>
      </c>
      <c r="K1549" s="87"/>
      <c r="L1549" s="87"/>
    </row>
    <row r="1550" spans="1:12" ht="15" x14ac:dyDescent="0.25">
      <c r="A1550" t="s">
        <v>21479</v>
      </c>
      <c r="B1550" t="s">
        <v>17920</v>
      </c>
      <c r="C1550" t="s">
        <v>17921</v>
      </c>
      <c r="D1550" t="s">
        <v>17922</v>
      </c>
      <c r="E1550">
        <v>5310</v>
      </c>
      <c r="F1550" t="s">
        <v>17923</v>
      </c>
      <c r="G1550" t="s">
        <v>12339</v>
      </c>
      <c r="H1550" t="str">
        <f t="shared" si="48"/>
        <v>Aberdeen5310Lubbock</v>
      </c>
      <c r="I1550" t="str">
        <f t="shared" si="49"/>
        <v>Aberdeen</v>
      </c>
      <c r="J1550" s="82">
        <f>IFERROR(INDEX('All Folders'!$A:$A,MATCH(H1550,'All Folders'!$G:$G,0),1),"¶")</f>
        <v>30718</v>
      </c>
      <c r="K1550" s="87"/>
      <c r="L1550" s="87"/>
    </row>
    <row r="1551" spans="1:12" ht="15" x14ac:dyDescent="0.25">
      <c r="A1551" t="s">
        <v>21480</v>
      </c>
      <c r="B1551" t="s">
        <v>17924</v>
      </c>
      <c r="C1551" t="s">
        <v>17925</v>
      </c>
      <c r="D1551" t="s">
        <v>17926</v>
      </c>
      <c r="E1551">
        <v>2401</v>
      </c>
      <c r="F1551" t="s">
        <v>7414</v>
      </c>
      <c r="G1551" t="s">
        <v>12339</v>
      </c>
      <c r="H1551" t="str">
        <f t="shared" si="48"/>
        <v>45th2401Lubbock</v>
      </c>
      <c r="I1551" t="str">
        <f t="shared" si="49"/>
        <v>45th</v>
      </c>
      <c r="J1551" s="82">
        <f>IFERROR(INDEX('All Folders'!$A:$A,MATCH(H1551,'All Folders'!$G:$G,0),1),"¶")</f>
        <v>30707</v>
      </c>
      <c r="K1551" s="87"/>
      <c r="L1551" s="87"/>
    </row>
    <row r="1552" spans="1:12" ht="15" x14ac:dyDescent="0.25">
      <c r="A1552" t="s">
        <v>21481</v>
      </c>
      <c r="B1552" t="s">
        <v>17927</v>
      </c>
      <c r="C1552" t="s">
        <v>17928</v>
      </c>
      <c r="D1552" t="s">
        <v>17929</v>
      </c>
      <c r="E1552">
        <v>1617</v>
      </c>
      <c r="F1552" t="s">
        <v>17930</v>
      </c>
      <c r="G1552" t="s">
        <v>12339</v>
      </c>
      <c r="H1552" t="str">
        <f t="shared" si="48"/>
        <v>27th1617Lubbock</v>
      </c>
      <c r="I1552" t="str">
        <f t="shared" si="49"/>
        <v>27th</v>
      </c>
      <c r="J1552" s="82">
        <f>IFERROR(INDEX('All Folders'!$A:$A,MATCH(H1552,'All Folders'!$G:$G,0),1),"¶")</f>
        <v>30702</v>
      </c>
      <c r="K1552" s="87"/>
      <c r="L1552" s="87"/>
    </row>
    <row r="1553" spans="1:12" ht="15" x14ac:dyDescent="0.25">
      <c r="A1553" t="s">
        <v>21484</v>
      </c>
      <c r="B1553" t="s">
        <v>17937</v>
      </c>
      <c r="C1553" t="s">
        <v>17938</v>
      </c>
      <c r="D1553" t="s">
        <v>17939</v>
      </c>
      <c r="E1553">
        <v>2310</v>
      </c>
      <c r="F1553" t="s">
        <v>17310</v>
      </c>
      <c r="G1553" t="s">
        <v>12339</v>
      </c>
      <c r="H1553" t="str">
        <f t="shared" si="48"/>
        <v>70th2310Lubbock</v>
      </c>
      <c r="I1553" t="str">
        <f t="shared" si="49"/>
        <v>70th</v>
      </c>
      <c r="J1553" s="82">
        <f>IFERROR(INDEX('All Folders'!$A:$A,MATCH(H1553,'All Folders'!$G:$G,0),1),"¶")</f>
        <v>30714</v>
      </c>
      <c r="K1553" s="87"/>
      <c r="L1553" s="87"/>
    </row>
    <row r="1554" spans="1:12" ht="15" x14ac:dyDescent="0.25">
      <c r="A1554" t="s">
        <v>21485</v>
      </c>
      <c r="B1554" t="s">
        <v>17940</v>
      </c>
      <c r="C1554" t="s">
        <v>17941</v>
      </c>
      <c r="D1554" t="s">
        <v>17942</v>
      </c>
      <c r="E1554">
        <v>2400</v>
      </c>
      <c r="F1554" t="s">
        <v>12372</v>
      </c>
      <c r="G1554" t="s">
        <v>12339</v>
      </c>
      <c r="H1554" t="str">
        <f t="shared" si="48"/>
        <v>Glenna2400Lubbock</v>
      </c>
      <c r="I1554" t="str">
        <f t="shared" si="49"/>
        <v>Glenna</v>
      </c>
      <c r="J1554" s="82">
        <f>IFERROR(INDEX('All Folders'!$A:$A,MATCH(H1554,'All Folders'!$G:$G,0),1),"¶")</f>
        <v>30723</v>
      </c>
      <c r="K1554" s="87"/>
      <c r="L1554" s="87"/>
    </row>
    <row r="1555" spans="1:12" ht="15" x14ac:dyDescent="0.25">
      <c r="A1555" t="s">
        <v>21486</v>
      </c>
      <c r="B1555" t="s">
        <v>17943</v>
      </c>
      <c r="C1555" t="s">
        <v>17944</v>
      </c>
      <c r="D1555" t="s">
        <v>17873</v>
      </c>
      <c r="E1555">
        <v>223</v>
      </c>
      <c r="F1555" t="s">
        <v>17945</v>
      </c>
      <c r="G1555" t="s">
        <v>12339</v>
      </c>
      <c r="H1555" t="str">
        <f t="shared" si="48"/>
        <v>Indiana223Lubbock</v>
      </c>
      <c r="I1555" t="str">
        <f t="shared" si="49"/>
        <v>Indiana</v>
      </c>
      <c r="J1555" s="82">
        <f>IFERROR(INDEX('All Folders'!$A:$A,MATCH(H1555,'All Folders'!$G:$G,0),1),"¶")</f>
        <v>30725</v>
      </c>
      <c r="K1555" s="87"/>
      <c r="L1555" s="87"/>
    </row>
    <row r="1556" spans="1:12" ht="15" x14ac:dyDescent="0.25">
      <c r="A1556" t="s">
        <v>21487</v>
      </c>
      <c r="B1556" t="s">
        <v>17946</v>
      </c>
      <c r="C1556" t="s">
        <v>17947</v>
      </c>
      <c r="D1556" t="s">
        <v>17942</v>
      </c>
      <c r="E1556">
        <v>2300</v>
      </c>
      <c r="F1556" t="s">
        <v>12373</v>
      </c>
      <c r="G1556" t="s">
        <v>12339</v>
      </c>
      <c r="H1556" t="str">
        <f t="shared" si="48"/>
        <v>Glenna2300Lubbock</v>
      </c>
      <c r="I1556" t="str">
        <f t="shared" si="49"/>
        <v>Glenna</v>
      </c>
      <c r="J1556" s="82">
        <f>IFERROR(INDEX('All Folders'!$A:$A,MATCH(H1556,'All Folders'!$G:$G,0),1),"¶")</f>
        <v>30724</v>
      </c>
      <c r="K1556" s="87"/>
      <c r="L1556" s="87"/>
    </row>
    <row r="1557" spans="1:12" ht="15" x14ac:dyDescent="0.25">
      <c r="A1557" t="s">
        <v>21488</v>
      </c>
      <c r="B1557" t="s">
        <v>17948</v>
      </c>
      <c r="C1557" t="s">
        <v>17949</v>
      </c>
      <c r="D1557" t="s">
        <v>17950</v>
      </c>
      <c r="E1557">
        <v>4501</v>
      </c>
      <c r="F1557" t="s">
        <v>12359</v>
      </c>
      <c r="G1557" t="s">
        <v>12339</v>
      </c>
      <c r="H1557" t="str">
        <f t="shared" si="48"/>
        <v>71st4501Lubbock</v>
      </c>
      <c r="I1557" t="str">
        <f t="shared" si="49"/>
        <v>71st</v>
      </c>
      <c r="J1557" s="82">
        <f>IFERROR(INDEX('All Folders'!$A:$A,MATCH(H1557,'All Folders'!$G:$G,0),1),"¶")</f>
        <v>30715</v>
      </c>
      <c r="K1557" s="87"/>
      <c r="L1557" s="87"/>
    </row>
    <row r="1558" spans="1:12" ht="15" x14ac:dyDescent="0.25">
      <c r="A1558" t="s">
        <v>21489</v>
      </c>
      <c r="B1558" t="s">
        <v>17951</v>
      </c>
      <c r="C1558" t="s">
        <v>17952</v>
      </c>
      <c r="D1558" t="s">
        <v>17900</v>
      </c>
      <c r="E1558">
        <v>3508</v>
      </c>
      <c r="F1558" t="s">
        <v>4958</v>
      </c>
      <c r="G1558" t="s">
        <v>12339</v>
      </c>
      <c r="H1558" t="str">
        <f t="shared" si="48"/>
        <v>50th3508Lubbock</v>
      </c>
      <c r="I1558" t="str">
        <f t="shared" si="49"/>
        <v>50th</v>
      </c>
      <c r="J1558" s="82">
        <f>IFERROR(INDEX('All Folders'!$A:$A,MATCH(H1558,'All Folders'!$G:$G,0),1),"¶")</f>
        <v>30711</v>
      </c>
      <c r="K1558" s="87"/>
      <c r="L1558" s="87"/>
    </row>
    <row r="1559" spans="1:12" ht="15" x14ac:dyDescent="0.25">
      <c r="A1559" t="s">
        <v>21490</v>
      </c>
      <c r="B1559" t="s">
        <v>17953</v>
      </c>
      <c r="C1559" t="s">
        <v>17954</v>
      </c>
      <c r="D1559" t="s">
        <v>17955</v>
      </c>
      <c r="E1559">
        <v>1001</v>
      </c>
      <c r="F1559" t="s">
        <v>17956</v>
      </c>
      <c r="G1559" t="s">
        <v>12339</v>
      </c>
      <c r="H1559" t="str">
        <f t="shared" si="48"/>
        <v>University1001Lubbock</v>
      </c>
      <c r="I1559" t="str">
        <f t="shared" si="49"/>
        <v>University</v>
      </c>
      <c r="J1559" s="82">
        <f>IFERROR(INDEX('All Folders'!$A:$A,MATCH(H1559,'All Folders'!$G:$G,0),1),"¶")</f>
        <v>30733</v>
      </c>
      <c r="K1559" s="87"/>
      <c r="L1559" s="87"/>
    </row>
    <row r="1560" spans="1:12" ht="15" x14ac:dyDescent="0.25">
      <c r="A1560" t="s">
        <v>21491</v>
      </c>
      <c r="B1560" t="s">
        <v>17957</v>
      </c>
      <c r="C1560" t="s">
        <v>17958</v>
      </c>
      <c r="D1560" t="s">
        <v>17959</v>
      </c>
      <c r="E1560">
        <v>308</v>
      </c>
      <c r="F1560" t="s">
        <v>17960</v>
      </c>
      <c r="G1560" t="s">
        <v>12339</v>
      </c>
      <c r="H1560" t="str">
        <f t="shared" si="48"/>
        <v>Brentwood308Lubbock</v>
      </c>
      <c r="I1560" t="str">
        <f t="shared" si="49"/>
        <v>Brentwood</v>
      </c>
      <c r="J1560" s="82">
        <f>IFERROR(INDEX('All Folders'!$A:$A,MATCH(H1560,'All Folders'!$G:$G,0),1),"¶")</f>
        <v>30730</v>
      </c>
      <c r="K1560" s="87"/>
      <c r="L1560" s="87"/>
    </row>
    <row r="1561" spans="1:12" ht="15" x14ac:dyDescent="0.25">
      <c r="A1561" t="s">
        <v>21492</v>
      </c>
      <c r="B1561" t="s">
        <v>17961</v>
      </c>
      <c r="C1561" t="s">
        <v>17962</v>
      </c>
      <c r="D1561" t="s">
        <v>17963</v>
      </c>
      <c r="E1561">
        <v>2102</v>
      </c>
      <c r="F1561" t="s">
        <v>12344</v>
      </c>
      <c r="G1561" t="s">
        <v>12339</v>
      </c>
      <c r="H1561" t="str">
        <f t="shared" si="48"/>
        <v>34th2102Lubbock</v>
      </c>
      <c r="I1561" t="str">
        <f t="shared" si="49"/>
        <v>34th</v>
      </c>
      <c r="J1561" s="82">
        <f>IFERROR(INDEX('All Folders'!$A:$A,MATCH(H1561,'All Folders'!$G:$G,0),1),"¶")</f>
        <v>30703</v>
      </c>
      <c r="K1561" s="87"/>
      <c r="L1561" s="87"/>
    </row>
    <row r="1562" spans="1:12" ht="15" x14ac:dyDescent="0.25">
      <c r="A1562" t="s">
        <v>21493</v>
      </c>
      <c r="B1562" t="s">
        <v>17964</v>
      </c>
      <c r="C1562" t="s">
        <v>17965</v>
      </c>
      <c r="D1562" t="s">
        <v>17966</v>
      </c>
      <c r="E1562">
        <v>3001</v>
      </c>
      <c r="F1562" t="s">
        <v>17967</v>
      </c>
      <c r="G1562" t="s">
        <v>12339</v>
      </c>
      <c r="H1562" t="str">
        <f t="shared" si="48"/>
        <v>2893001Lubbock</v>
      </c>
      <c r="I1562" t="str">
        <f t="shared" si="49"/>
        <v>289</v>
      </c>
      <c r="J1562" s="82">
        <f>IFERROR(INDEX('All Folders'!$A:$A,MATCH(H1562,'All Folders'!$G:$G,0),1),"¶")</f>
        <v>30732</v>
      </c>
      <c r="K1562" s="87"/>
      <c r="L1562" s="87"/>
    </row>
    <row r="1563" spans="1:12" ht="15" x14ac:dyDescent="0.25">
      <c r="A1563" t="s">
        <v>21494</v>
      </c>
      <c r="B1563" t="s">
        <v>17968</v>
      </c>
      <c r="C1563" t="s">
        <v>17969</v>
      </c>
      <c r="D1563" t="s">
        <v>17970</v>
      </c>
      <c r="E1563">
        <v>4421</v>
      </c>
      <c r="F1563" t="s">
        <v>12362</v>
      </c>
      <c r="G1563" t="s">
        <v>12339</v>
      </c>
      <c r="H1563" t="str">
        <f t="shared" si="48"/>
        <v>82nd4421Lubbock</v>
      </c>
      <c r="I1563" t="str">
        <f t="shared" si="49"/>
        <v>82nd</v>
      </c>
      <c r="J1563" s="82">
        <f>IFERROR(INDEX('All Folders'!$A:$A,MATCH(H1563,'All Folders'!$G:$G,0),1),"¶")</f>
        <v>30717</v>
      </c>
      <c r="K1563" s="87"/>
      <c r="L1563" s="87"/>
    </row>
    <row r="1564" spans="1:12" ht="15" x14ac:dyDescent="0.25">
      <c r="A1564" t="s">
        <v>21495</v>
      </c>
      <c r="B1564" t="s">
        <v>17971</v>
      </c>
      <c r="C1564" t="s">
        <v>17972</v>
      </c>
      <c r="D1564" t="s">
        <v>17880</v>
      </c>
      <c r="E1564">
        <v>5402</v>
      </c>
      <c r="F1564" t="s">
        <v>8139</v>
      </c>
      <c r="G1564" t="s">
        <v>12339</v>
      </c>
      <c r="H1564" t="str">
        <f t="shared" si="48"/>
        <v>66th5402Lubbock</v>
      </c>
      <c r="I1564" t="str">
        <f t="shared" si="49"/>
        <v>66th</v>
      </c>
      <c r="J1564" s="82">
        <f>IFERROR(INDEX('All Folders'!$A:$A,MATCH(H1564,'All Folders'!$G:$G,0),1),"¶")</f>
        <v>30713</v>
      </c>
      <c r="K1564" s="87"/>
      <c r="L1564" s="87"/>
    </row>
    <row r="1565" spans="1:12" ht="15" x14ac:dyDescent="0.25">
      <c r="A1565" t="s">
        <v>21496</v>
      </c>
      <c r="B1565" t="s">
        <v>17973</v>
      </c>
      <c r="C1565" t="s">
        <v>17974</v>
      </c>
      <c r="D1565" t="s">
        <v>17975</v>
      </c>
      <c r="E1565">
        <v>101</v>
      </c>
      <c r="F1565" t="s">
        <v>17976</v>
      </c>
      <c r="G1565" t="s">
        <v>11881</v>
      </c>
      <c r="H1565" t="str">
        <f t="shared" si="48"/>
        <v>Shepherd101Lufkin</v>
      </c>
      <c r="I1565" t="str">
        <f t="shared" si="49"/>
        <v>Shepherd</v>
      </c>
      <c r="J1565" s="82">
        <f>IFERROR(INDEX('All Folders'!$A:$A,MATCH(H1565,'All Folders'!$G:$G,0),1),"¶")</f>
        <v>30385</v>
      </c>
      <c r="K1565" s="87"/>
      <c r="L1565" s="87"/>
    </row>
    <row r="1566" spans="1:12" ht="15" x14ac:dyDescent="0.25">
      <c r="A1566" t="s">
        <v>21497</v>
      </c>
      <c r="B1566" t="s">
        <v>17977</v>
      </c>
      <c r="C1566" t="s">
        <v>17978</v>
      </c>
      <c r="D1566" t="s">
        <v>17979</v>
      </c>
      <c r="E1566">
        <v>3200</v>
      </c>
      <c r="F1566" t="s">
        <v>17980</v>
      </c>
      <c r="G1566" t="s">
        <v>11881</v>
      </c>
      <c r="H1566" t="str">
        <f t="shared" si="48"/>
        <v>Daniel3200Lufkin</v>
      </c>
      <c r="I1566" t="str">
        <f t="shared" si="49"/>
        <v>Daniel</v>
      </c>
      <c r="J1566" s="82" t="str">
        <f>IFERROR(INDEX('All Folders'!$A:$A,MATCH(H1566,'All Folders'!$G:$G,0),1),"¶")</f>
        <v>¶</v>
      </c>
      <c r="K1566" s="87" t="s">
        <v>22232</v>
      </c>
      <c r="L1566" s="87" t="s">
        <v>22292</v>
      </c>
    </row>
    <row r="1567" spans="1:12" ht="15" x14ac:dyDescent="0.25">
      <c r="A1567" t="s">
        <v>21499</v>
      </c>
      <c r="B1567" t="s">
        <v>17985</v>
      </c>
      <c r="C1567" t="s">
        <v>17986</v>
      </c>
      <c r="D1567" t="s">
        <v>13308</v>
      </c>
      <c r="E1567">
        <v>3251</v>
      </c>
      <c r="F1567" t="s">
        <v>17987</v>
      </c>
      <c r="G1567" t="s">
        <v>8765</v>
      </c>
      <c r="H1567" t="str">
        <f t="shared" si="48"/>
        <v>Matlock3251Mansfield</v>
      </c>
      <c r="I1567" t="str">
        <f t="shared" si="49"/>
        <v>Matlock</v>
      </c>
      <c r="J1567" s="82">
        <f>IFERROR(INDEX('All Folders'!$A:$A,MATCH(H1567,'All Folders'!$G:$G,0),1),"¶")</f>
        <v>16241</v>
      </c>
      <c r="K1567" s="87"/>
      <c r="L1567" s="87"/>
    </row>
    <row r="1568" spans="1:12" ht="15" x14ac:dyDescent="0.25">
      <c r="A1568" t="s">
        <v>21500</v>
      </c>
      <c r="B1568" t="s">
        <v>17988</v>
      </c>
      <c r="C1568" t="s">
        <v>17989</v>
      </c>
      <c r="D1568" t="s">
        <v>17990</v>
      </c>
      <c r="E1568">
        <v>1701</v>
      </c>
      <c r="F1568" t="s">
        <v>17991</v>
      </c>
      <c r="G1568" t="s">
        <v>8765</v>
      </c>
      <c r="H1568" t="str">
        <f t="shared" si="48"/>
        <v>Towne1701Mansfield</v>
      </c>
      <c r="I1568" t="str">
        <f t="shared" si="49"/>
        <v>Towne</v>
      </c>
      <c r="J1568" s="82">
        <f>IFERROR(INDEX('All Folders'!$A:$A,MATCH(H1568,'All Folders'!$G:$G,0),1),"¶")</f>
        <v>17543</v>
      </c>
      <c r="K1568" s="87"/>
      <c r="L1568" s="87"/>
    </row>
    <row r="1569" spans="1:12" ht="15" x14ac:dyDescent="0.25">
      <c r="A1569" t="s">
        <v>21501</v>
      </c>
      <c r="B1569" t="s">
        <v>17992</v>
      </c>
      <c r="C1569" t="s">
        <v>17993</v>
      </c>
      <c r="D1569" t="s">
        <v>17994</v>
      </c>
      <c r="E1569">
        <v>2800</v>
      </c>
      <c r="F1569" t="s">
        <v>17995</v>
      </c>
      <c r="G1569" t="s">
        <v>3136</v>
      </c>
      <c r="H1569" t="str">
        <f t="shared" si="48"/>
        <v>Victory2800Marshall</v>
      </c>
      <c r="I1569" t="str">
        <f t="shared" si="49"/>
        <v>Victory</v>
      </c>
      <c r="J1569" s="82">
        <f>IFERROR(INDEX('All Folders'!$A:$A,MATCH(H1569,'All Folders'!$G:$G,0),1),"¶")</f>
        <v>30407</v>
      </c>
      <c r="K1569" s="87"/>
      <c r="L1569" s="87"/>
    </row>
    <row r="1570" spans="1:12" ht="15" x14ac:dyDescent="0.25">
      <c r="A1570" t="s">
        <v>21502</v>
      </c>
      <c r="B1570" t="s">
        <v>17996</v>
      </c>
      <c r="C1570" t="s">
        <v>17997</v>
      </c>
      <c r="D1570" t="s">
        <v>17998</v>
      </c>
      <c r="E1570">
        <v>2107</v>
      </c>
      <c r="F1570" t="s">
        <v>17999</v>
      </c>
      <c r="G1570" t="s">
        <v>3136</v>
      </c>
      <c r="H1570" t="str">
        <f t="shared" si="48"/>
        <v>Pinecrest2107Marshall</v>
      </c>
      <c r="I1570" t="str">
        <f t="shared" si="49"/>
        <v>Pinecrest</v>
      </c>
      <c r="J1570" s="82">
        <f>IFERROR(INDEX('All Folders'!$A:$A,MATCH(H1570,'All Folders'!$G:$G,0),1),"¶")</f>
        <v>30408</v>
      </c>
      <c r="K1570" s="87"/>
      <c r="L1570" s="87"/>
    </row>
    <row r="1571" spans="1:12" ht="15" x14ac:dyDescent="0.25">
      <c r="A1571" t="s">
        <v>21504</v>
      </c>
      <c r="B1571" t="s">
        <v>18003</v>
      </c>
      <c r="C1571" t="s">
        <v>18004</v>
      </c>
      <c r="D1571" t="s">
        <v>18005</v>
      </c>
      <c r="E1571">
        <v>1600</v>
      </c>
      <c r="F1571" t="s">
        <v>18006</v>
      </c>
      <c r="G1571" t="s">
        <v>12110</v>
      </c>
      <c r="H1571" t="str">
        <f t="shared" si="48"/>
        <v>Tamarack1600McAllen</v>
      </c>
      <c r="I1571" t="str">
        <f t="shared" si="49"/>
        <v>Tamarack</v>
      </c>
      <c r="J1571" s="82">
        <f>IFERROR(INDEX('All Folders'!$A:$A,MATCH(H1571,'All Folders'!$G:$G,0),1),"¶")</f>
        <v>30551</v>
      </c>
      <c r="K1571" s="87"/>
      <c r="L1571" s="87"/>
    </row>
    <row r="1572" spans="1:12" ht="15" x14ac:dyDescent="0.25">
      <c r="A1572" t="s">
        <v>21506</v>
      </c>
      <c r="B1572" t="s">
        <v>18011</v>
      </c>
      <c r="C1572" t="s">
        <v>18012</v>
      </c>
      <c r="D1572" t="s">
        <v>18013</v>
      </c>
      <c r="E1572">
        <v>1200</v>
      </c>
      <c r="F1572" t="s">
        <v>18014</v>
      </c>
      <c r="G1572" t="s">
        <v>12110</v>
      </c>
      <c r="H1572" t="str">
        <f t="shared" si="48"/>
        <v>Nolana1200McAllen</v>
      </c>
      <c r="I1572" t="str">
        <f t="shared" si="49"/>
        <v>Nolana</v>
      </c>
      <c r="J1572" s="82">
        <f>IFERROR(INDEX('All Folders'!$A:$A,MATCH(H1572,'All Folders'!$G:$G,0),1),"¶")</f>
        <v>30550</v>
      </c>
      <c r="K1572" s="87"/>
      <c r="L1572" s="87"/>
    </row>
    <row r="1573" spans="1:12" ht="15" x14ac:dyDescent="0.25">
      <c r="A1573" t="s">
        <v>21507</v>
      </c>
      <c r="B1573" t="s">
        <v>18015</v>
      </c>
      <c r="C1573" t="s">
        <v>18016</v>
      </c>
      <c r="D1573" t="s">
        <v>17073</v>
      </c>
      <c r="E1573">
        <v>4210</v>
      </c>
      <c r="F1573" t="s">
        <v>18017</v>
      </c>
      <c r="G1573" t="s">
        <v>12110</v>
      </c>
      <c r="H1573" t="str">
        <f t="shared" si="48"/>
        <v>Main4210McAllen</v>
      </c>
      <c r="I1573" t="str">
        <f t="shared" si="49"/>
        <v>Main</v>
      </c>
      <c r="J1573" s="82">
        <f>IFERROR(INDEX('All Folders'!$A:$A,MATCH(H1573,'All Folders'!$G:$G,0),1),"¶")</f>
        <v>30548</v>
      </c>
      <c r="K1573" s="87"/>
      <c r="L1573" s="87"/>
    </row>
    <row r="1574" spans="1:12" ht="15" x14ac:dyDescent="0.25">
      <c r="A1574" t="s">
        <v>21508</v>
      </c>
      <c r="B1574" t="s">
        <v>18018</v>
      </c>
      <c r="C1574" t="s">
        <v>18019</v>
      </c>
      <c r="D1574" t="s">
        <v>18020</v>
      </c>
      <c r="E1574">
        <v>700</v>
      </c>
      <c r="F1574" t="s">
        <v>18021</v>
      </c>
      <c r="G1574" t="s">
        <v>12110</v>
      </c>
      <c r="H1574" t="str">
        <f t="shared" si="48"/>
        <v>Bales700McAllen</v>
      </c>
      <c r="I1574" t="str">
        <f t="shared" si="49"/>
        <v>Bales</v>
      </c>
      <c r="J1574" s="82">
        <f>IFERROR(INDEX('All Folders'!$A:$A,MATCH(H1574,'All Folders'!$G:$G,0),1),"¶")</f>
        <v>30542</v>
      </c>
      <c r="K1574" s="87"/>
      <c r="L1574" s="87"/>
    </row>
    <row r="1575" spans="1:12" ht="15" x14ac:dyDescent="0.25">
      <c r="A1575" t="s">
        <v>21509</v>
      </c>
      <c r="B1575" t="s">
        <v>18022</v>
      </c>
      <c r="C1575" t="s">
        <v>18023</v>
      </c>
      <c r="D1575" t="s">
        <v>13010</v>
      </c>
      <c r="E1575">
        <v>1101</v>
      </c>
      <c r="F1575" t="s">
        <v>18024</v>
      </c>
      <c r="G1575" t="s">
        <v>12110</v>
      </c>
      <c r="H1575" t="str">
        <f t="shared" si="48"/>
        <v>2nd1101McAllen</v>
      </c>
      <c r="I1575" t="str">
        <f t="shared" si="49"/>
        <v>2nd</v>
      </c>
      <c r="J1575" s="82">
        <f>IFERROR(INDEX('All Folders'!$A:$A,MATCH(H1575,'All Folders'!$G:$G,0),1),"¶")</f>
        <v>30547</v>
      </c>
      <c r="K1575" s="87"/>
      <c r="L1575" s="87"/>
    </row>
    <row r="1576" spans="1:12" ht="15" x14ac:dyDescent="0.25">
      <c r="A1576" t="s">
        <v>21511</v>
      </c>
      <c r="B1576" t="s">
        <v>18028</v>
      </c>
      <c r="C1576" t="s">
        <v>18029</v>
      </c>
      <c r="D1576" t="s">
        <v>18030</v>
      </c>
      <c r="E1576">
        <v>121</v>
      </c>
      <c r="F1576" t="s">
        <v>18031</v>
      </c>
      <c r="G1576" t="s">
        <v>12110</v>
      </c>
      <c r="H1576" t="str">
        <f t="shared" si="48"/>
        <v>Quamasia121McAllen</v>
      </c>
      <c r="I1576" t="str">
        <f t="shared" si="49"/>
        <v>Quamasia</v>
      </c>
      <c r="J1576" s="82">
        <f>IFERROR(INDEX('All Folders'!$A:$A,MATCH(H1576,'All Folders'!$G:$G,0),1),"¶")</f>
        <v>30545</v>
      </c>
      <c r="K1576" s="87"/>
      <c r="L1576" s="87"/>
    </row>
    <row r="1577" spans="1:12" ht="15" x14ac:dyDescent="0.25">
      <c r="A1577" t="s">
        <v>21512</v>
      </c>
      <c r="B1577" t="s">
        <v>18032</v>
      </c>
      <c r="C1577" t="s">
        <v>18033</v>
      </c>
      <c r="D1577" t="s">
        <v>18034</v>
      </c>
      <c r="E1577">
        <v>3601</v>
      </c>
      <c r="F1577" t="s">
        <v>18035</v>
      </c>
      <c r="G1577" t="s">
        <v>12110</v>
      </c>
      <c r="H1577" t="str">
        <f t="shared" si="48"/>
        <v>Bicentennial3601McAllen</v>
      </c>
      <c r="I1577" t="str">
        <f t="shared" si="49"/>
        <v>Bicentennial</v>
      </c>
      <c r="J1577" s="82">
        <f>IFERROR(INDEX('All Folders'!$A:$A,MATCH(H1577,'All Folders'!$G:$G,0),1),"¶")</f>
        <v>30543</v>
      </c>
      <c r="K1577" s="87"/>
      <c r="L1577" s="87"/>
    </row>
    <row r="1578" spans="1:12" ht="15" x14ac:dyDescent="0.25">
      <c r="A1578" t="s">
        <v>21513</v>
      </c>
      <c r="B1578" t="s">
        <v>18036</v>
      </c>
      <c r="C1578" t="s">
        <v>18037</v>
      </c>
      <c r="D1578" t="s">
        <v>18038</v>
      </c>
      <c r="E1578">
        <v>2301</v>
      </c>
      <c r="F1578" t="s">
        <v>18039</v>
      </c>
      <c r="G1578" t="s">
        <v>5043</v>
      </c>
      <c r="H1578" t="str">
        <f t="shared" si="48"/>
        <v>White2301McKinney</v>
      </c>
      <c r="I1578" t="str">
        <f t="shared" si="49"/>
        <v>White</v>
      </c>
      <c r="J1578" s="82">
        <f>IFERROR(INDEX('All Folders'!$A:$A,MATCH(H1578,'All Folders'!$G:$G,0),1),"¶")</f>
        <v>15522</v>
      </c>
      <c r="K1578" s="87"/>
      <c r="L1578" s="87"/>
    </row>
    <row r="1579" spans="1:12" ht="15" x14ac:dyDescent="0.25">
      <c r="A1579" t="s">
        <v>21514</v>
      </c>
      <c r="B1579" t="s">
        <v>18040</v>
      </c>
      <c r="C1579" t="s">
        <v>18041</v>
      </c>
      <c r="D1579" t="s">
        <v>18042</v>
      </c>
      <c r="E1579">
        <v>6653</v>
      </c>
      <c r="F1579" t="s">
        <v>18043</v>
      </c>
      <c r="G1579" t="s">
        <v>5043</v>
      </c>
      <c r="H1579" t="str">
        <f t="shared" si="48"/>
        <v>Mckinney6653McKinney</v>
      </c>
      <c r="I1579" t="str">
        <f t="shared" si="49"/>
        <v>Mckinney</v>
      </c>
      <c r="J1579" s="82">
        <f>IFERROR(INDEX('All Folders'!$A:$A,MATCH(H1579,'All Folders'!$G:$G,0),1),"¶")</f>
        <v>17511</v>
      </c>
      <c r="K1579" s="87"/>
      <c r="L1579" s="87"/>
    </row>
    <row r="1580" spans="1:12" ht="15" x14ac:dyDescent="0.25">
      <c r="A1580" t="s">
        <v>21515</v>
      </c>
      <c r="B1580" t="s">
        <v>18044</v>
      </c>
      <c r="C1580" t="s">
        <v>18045</v>
      </c>
      <c r="D1580" t="s">
        <v>18046</v>
      </c>
      <c r="E1580">
        <v>2520</v>
      </c>
      <c r="F1580" t="s">
        <v>18047</v>
      </c>
      <c r="G1580" t="s">
        <v>5043</v>
      </c>
      <c r="H1580" t="str">
        <f t="shared" si="48"/>
        <v>Virginia2520McKinney</v>
      </c>
      <c r="I1580" t="str">
        <f t="shared" si="49"/>
        <v>Virginia</v>
      </c>
      <c r="J1580" s="82" t="str">
        <f>IFERROR(INDEX('All Folders'!$A:$A,MATCH(H1580,'All Folders'!$G:$G,0),1),"¶")</f>
        <v>SP163</v>
      </c>
      <c r="K1580" s="87"/>
      <c r="L1580" s="87"/>
    </row>
    <row r="1581" spans="1:12" ht="15" x14ac:dyDescent="0.25">
      <c r="A1581" t="s">
        <v>21516</v>
      </c>
      <c r="B1581" t="s">
        <v>18048</v>
      </c>
      <c r="C1581" t="s">
        <v>18049</v>
      </c>
      <c r="D1581" t="s">
        <v>18050</v>
      </c>
      <c r="E1581">
        <v>5701</v>
      </c>
      <c r="F1581" t="s">
        <v>18051</v>
      </c>
      <c r="G1581" t="s">
        <v>5043</v>
      </c>
      <c r="H1581" t="str">
        <f t="shared" si="48"/>
        <v>Virginia5701McKinney</v>
      </c>
      <c r="I1581" t="str">
        <f t="shared" si="49"/>
        <v>Virginia</v>
      </c>
      <c r="J1581" s="82">
        <f>IFERROR(INDEX('All Folders'!$A:$A,MATCH(H1581,'All Folders'!$G:$G,0),1),"¶")</f>
        <v>30220</v>
      </c>
      <c r="K1581" s="87"/>
      <c r="L1581" s="87"/>
    </row>
    <row r="1582" spans="1:12" ht="15" x14ac:dyDescent="0.25">
      <c r="A1582" t="s">
        <v>21517</v>
      </c>
      <c r="B1582" t="s">
        <v>18052</v>
      </c>
      <c r="C1582" t="s">
        <v>18053</v>
      </c>
      <c r="D1582" t="s">
        <v>18054</v>
      </c>
      <c r="E1582">
        <v>1208</v>
      </c>
      <c r="F1582" t="s">
        <v>18055</v>
      </c>
      <c r="G1582" t="s">
        <v>5088</v>
      </c>
      <c r="H1582" t="str">
        <f t="shared" si="48"/>
        <v>Americana1208Mesquite</v>
      </c>
      <c r="I1582" t="str">
        <f t="shared" si="49"/>
        <v>Americana</v>
      </c>
      <c r="J1582" s="82">
        <f>IFERROR(INDEX('All Folders'!$A:$A,MATCH(H1582,'All Folders'!$G:$G,0),1),"¶")</f>
        <v>14111</v>
      </c>
      <c r="K1582" s="87"/>
      <c r="L1582" s="87"/>
    </row>
    <row r="1583" spans="1:12" ht="15" x14ac:dyDescent="0.25">
      <c r="A1583" t="s">
        <v>21518</v>
      </c>
      <c r="B1583" t="s">
        <v>18056</v>
      </c>
      <c r="C1583" t="s">
        <v>18057</v>
      </c>
      <c r="D1583" t="s">
        <v>18058</v>
      </c>
      <c r="E1583">
        <v>2500</v>
      </c>
      <c r="F1583" t="s">
        <v>18059</v>
      </c>
      <c r="G1583" t="s">
        <v>5088</v>
      </c>
      <c r="H1583" t="str">
        <f t="shared" si="48"/>
        <v>Meadows2500Mesquite</v>
      </c>
      <c r="I1583" t="str">
        <f t="shared" si="49"/>
        <v>Meadows</v>
      </c>
      <c r="J1583" s="82">
        <f>IFERROR(INDEX('All Folders'!$A:$A,MATCH(H1583,'All Folders'!$G:$G,0),1),"¶")</f>
        <v>13475</v>
      </c>
      <c r="K1583" s="87"/>
      <c r="L1583" s="87"/>
    </row>
    <row r="1584" spans="1:12" ht="15" x14ac:dyDescent="0.25">
      <c r="A1584" t="s">
        <v>21519</v>
      </c>
      <c r="B1584" t="s">
        <v>18060</v>
      </c>
      <c r="C1584" t="s">
        <v>18061</v>
      </c>
      <c r="D1584" t="s">
        <v>18062</v>
      </c>
      <c r="E1584">
        <v>3700</v>
      </c>
      <c r="F1584" t="s">
        <v>18063</v>
      </c>
      <c r="G1584" t="s">
        <v>5088</v>
      </c>
      <c r="H1584" t="str">
        <f t="shared" si="48"/>
        <v>Poteet3700Mesquite</v>
      </c>
      <c r="I1584" t="str">
        <f t="shared" si="49"/>
        <v>Poteet</v>
      </c>
      <c r="J1584" s="82">
        <f>IFERROR(INDEX('All Folders'!$A:$A,MATCH(H1584,'All Folders'!$G:$G,0),1),"¶")</f>
        <v>14059</v>
      </c>
      <c r="K1584" s="87"/>
      <c r="L1584" s="87"/>
    </row>
    <row r="1585" spans="1:12" ht="15" x14ac:dyDescent="0.25">
      <c r="A1585" t="s">
        <v>21520</v>
      </c>
      <c r="B1585" t="s">
        <v>18064</v>
      </c>
      <c r="C1585" t="s">
        <v>18065</v>
      </c>
      <c r="D1585" t="s">
        <v>18066</v>
      </c>
      <c r="E1585">
        <v>645</v>
      </c>
      <c r="F1585" t="s">
        <v>18067</v>
      </c>
      <c r="G1585" t="s">
        <v>5088</v>
      </c>
      <c r="H1585" t="str">
        <f t="shared" si="48"/>
        <v>Town645Mesquite</v>
      </c>
      <c r="I1585" t="str">
        <f t="shared" si="49"/>
        <v>Town</v>
      </c>
      <c r="J1585" s="82">
        <f>IFERROR(INDEX('All Folders'!$A:$A,MATCH(H1585,'All Folders'!$G:$G,0),1),"¶")</f>
        <v>15898</v>
      </c>
      <c r="K1585" s="87"/>
      <c r="L1585" s="87"/>
    </row>
    <row r="1586" spans="1:12" ht="15" x14ac:dyDescent="0.25">
      <c r="A1586" t="s">
        <v>21521</v>
      </c>
      <c r="B1586" t="s">
        <v>18068</v>
      </c>
      <c r="C1586" t="s">
        <v>18069</v>
      </c>
      <c r="D1586" t="s">
        <v>18070</v>
      </c>
      <c r="E1586">
        <v>1809</v>
      </c>
      <c r="F1586" t="s">
        <v>5103</v>
      </c>
      <c r="G1586" t="s">
        <v>5088</v>
      </c>
      <c r="H1586" t="str">
        <f t="shared" si="48"/>
        <v>Baker1809Mesquite</v>
      </c>
      <c r="I1586" t="str">
        <f t="shared" si="49"/>
        <v>Baker</v>
      </c>
      <c r="J1586" s="82">
        <f>IFERROR(INDEX('All Folders'!$A:$A,MATCH(H1586,'All Folders'!$G:$G,0),1),"¶")</f>
        <v>13138</v>
      </c>
      <c r="K1586" s="87"/>
      <c r="L1586" s="87"/>
    </row>
    <row r="1587" spans="1:12" ht="15" x14ac:dyDescent="0.25">
      <c r="A1587" t="s">
        <v>21522</v>
      </c>
      <c r="B1587" t="s">
        <v>18071</v>
      </c>
      <c r="C1587" t="s">
        <v>18072</v>
      </c>
      <c r="D1587" t="s">
        <v>18070</v>
      </c>
      <c r="E1587">
        <v>1802</v>
      </c>
      <c r="F1587" t="s">
        <v>18073</v>
      </c>
      <c r="G1587" t="s">
        <v>5088</v>
      </c>
      <c r="H1587" t="str">
        <f t="shared" si="48"/>
        <v>Baker1802Mesquite</v>
      </c>
      <c r="I1587" t="str">
        <f t="shared" si="49"/>
        <v>Baker</v>
      </c>
      <c r="J1587" s="82">
        <f>IFERROR(INDEX('All Folders'!$A:$A,MATCH(H1587,'All Folders'!$G:$G,0),1),"¶")</f>
        <v>30221</v>
      </c>
      <c r="K1587" s="87"/>
      <c r="L1587" s="87"/>
    </row>
    <row r="1588" spans="1:12" ht="15" x14ac:dyDescent="0.25">
      <c r="A1588" t="s">
        <v>21523</v>
      </c>
      <c r="B1588" t="s">
        <v>18074</v>
      </c>
      <c r="C1588" t="s">
        <v>18075</v>
      </c>
      <c r="D1588" t="s">
        <v>15512</v>
      </c>
      <c r="E1588">
        <v>1125</v>
      </c>
      <c r="F1588" t="s">
        <v>18076</v>
      </c>
      <c r="G1588" t="s">
        <v>5088</v>
      </c>
      <c r="H1588" t="str">
        <f t="shared" si="48"/>
        <v>Hillcrest1125Mesquite</v>
      </c>
      <c r="I1588" t="str">
        <f t="shared" si="49"/>
        <v>Hillcrest</v>
      </c>
      <c r="J1588" s="82">
        <f>IFERROR(INDEX('All Folders'!$A:$A,MATCH(H1588,'All Folders'!$G:$G,0),1),"¶")</f>
        <v>13243</v>
      </c>
      <c r="K1588" s="87"/>
      <c r="L1588" s="87"/>
    </row>
    <row r="1589" spans="1:12" ht="15" x14ac:dyDescent="0.25">
      <c r="A1589" t="s">
        <v>21524</v>
      </c>
      <c r="B1589" t="s">
        <v>18077</v>
      </c>
      <c r="C1589" t="s">
        <v>18078</v>
      </c>
      <c r="D1589" t="s">
        <v>6069</v>
      </c>
      <c r="E1589">
        <v>4804</v>
      </c>
      <c r="F1589" t="s">
        <v>2876</v>
      </c>
      <c r="G1589" t="s">
        <v>5088</v>
      </c>
      <c r="H1589" t="str">
        <f t="shared" si="48"/>
        <v>Via4804Mesquite</v>
      </c>
      <c r="I1589" t="str">
        <f t="shared" si="49"/>
        <v>Via</v>
      </c>
      <c r="J1589" s="82">
        <f>IFERROR(INDEX('All Folders'!$A:$A,MATCH(H1589,'All Folders'!$G:$G,0),1),"¶")</f>
        <v>16005</v>
      </c>
      <c r="K1589" s="87"/>
      <c r="L1589" s="87"/>
    </row>
    <row r="1590" spans="1:12" ht="15" x14ac:dyDescent="0.25">
      <c r="A1590" t="s">
        <v>21525</v>
      </c>
      <c r="B1590" t="s">
        <v>18079</v>
      </c>
      <c r="C1590" t="s">
        <v>18080</v>
      </c>
      <c r="D1590" t="s">
        <v>18081</v>
      </c>
      <c r="E1590">
        <v>400</v>
      </c>
      <c r="F1590" t="s">
        <v>18082</v>
      </c>
      <c r="G1590" t="s">
        <v>5088</v>
      </c>
      <c r="H1590" t="str">
        <f t="shared" si="48"/>
        <v>Highland400Mesquite</v>
      </c>
      <c r="I1590" t="str">
        <f t="shared" si="49"/>
        <v>Highland</v>
      </c>
      <c r="J1590" s="82">
        <f>IFERROR(INDEX('All Folders'!$A:$A,MATCH(H1590,'All Folders'!$G:$G,0),1),"¶")</f>
        <v>15030</v>
      </c>
      <c r="K1590" s="87"/>
      <c r="L1590" s="87"/>
    </row>
    <row r="1591" spans="1:12" ht="15" x14ac:dyDescent="0.25">
      <c r="A1591" t="s">
        <v>21526</v>
      </c>
      <c r="B1591" t="s">
        <v>18083</v>
      </c>
      <c r="C1591" t="s">
        <v>18084</v>
      </c>
      <c r="D1591" t="s">
        <v>15189</v>
      </c>
      <c r="E1591">
        <v>4049</v>
      </c>
      <c r="F1591" t="s">
        <v>18085</v>
      </c>
      <c r="G1591" t="s">
        <v>5088</v>
      </c>
      <c r="H1591" t="str">
        <f t="shared" si="48"/>
        <v>Samuell4049Mesquite</v>
      </c>
      <c r="I1591" t="str">
        <f t="shared" si="49"/>
        <v>Samuell</v>
      </c>
      <c r="J1591" s="82">
        <f>IFERROR(INDEX('All Folders'!$A:$A,MATCH(H1591,'All Folders'!$G:$G,0),1),"¶")</f>
        <v>15450</v>
      </c>
      <c r="K1591" s="87"/>
      <c r="L1591" s="87"/>
    </row>
    <row r="1592" spans="1:12" ht="15" x14ac:dyDescent="0.25">
      <c r="A1592" t="s">
        <v>21527</v>
      </c>
      <c r="B1592" t="s">
        <v>18086</v>
      </c>
      <c r="C1592" t="s">
        <v>18087</v>
      </c>
      <c r="D1592" t="s">
        <v>18088</v>
      </c>
      <c r="E1592">
        <v>801</v>
      </c>
      <c r="F1592" t="s">
        <v>18089</v>
      </c>
      <c r="G1592" t="s">
        <v>5088</v>
      </c>
      <c r="H1592" t="str">
        <f t="shared" si="48"/>
        <v>67801Mesquite</v>
      </c>
      <c r="I1592" t="str">
        <f t="shared" si="49"/>
        <v>67</v>
      </c>
      <c r="J1592" s="82">
        <f>IFERROR(INDEX('All Folders'!$A:$A,MATCH(H1592,'All Folders'!$G:$G,0),1),"¶")</f>
        <v>13424</v>
      </c>
      <c r="K1592" s="87"/>
      <c r="L1592" s="87"/>
    </row>
    <row r="1593" spans="1:12" ht="15" x14ac:dyDescent="0.25">
      <c r="A1593" t="s">
        <v>21528</v>
      </c>
      <c r="B1593" t="s">
        <v>18090</v>
      </c>
      <c r="C1593" t="s">
        <v>18091</v>
      </c>
      <c r="D1593" t="s">
        <v>18092</v>
      </c>
      <c r="E1593">
        <v>1540</v>
      </c>
      <c r="F1593" t="s">
        <v>8572</v>
      </c>
      <c r="G1593" t="s">
        <v>5088</v>
      </c>
      <c r="H1593" t="str">
        <f t="shared" si="48"/>
        <v>Galloway1540Mesquite</v>
      </c>
      <c r="I1593" t="str">
        <f t="shared" si="49"/>
        <v>Galloway</v>
      </c>
      <c r="J1593" s="82">
        <f>IFERROR(INDEX('All Folders'!$A:$A,MATCH(H1593,'All Folders'!$G:$G,0),1),"¶")</f>
        <v>16090</v>
      </c>
      <c r="K1593" s="87"/>
      <c r="L1593" s="87"/>
    </row>
    <row r="1594" spans="1:12" ht="15" x14ac:dyDescent="0.25">
      <c r="A1594" t="s">
        <v>21529</v>
      </c>
      <c r="B1594" t="s">
        <v>18093</v>
      </c>
      <c r="C1594" t="s">
        <v>18094</v>
      </c>
      <c r="D1594" t="s">
        <v>18095</v>
      </c>
      <c r="E1594">
        <v>2019</v>
      </c>
      <c r="F1594" t="s">
        <v>18096</v>
      </c>
      <c r="G1594" t="s">
        <v>5088</v>
      </c>
      <c r="H1594" t="str">
        <f t="shared" si="48"/>
        <v>Hillcrest2019Mesquite</v>
      </c>
      <c r="I1594" t="str">
        <f t="shared" si="49"/>
        <v>Hillcrest</v>
      </c>
      <c r="J1594" s="82">
        <f>IFERROR(INDEX('All Folders'!$A:$A,MATCH(H1594,'All Folders'!$G:$G,0),1),"¶")</f>
        <v>13559</v>
      </c>
      <c r="K1594" s="87"/>
      <c r="L1594" s="87"/>
    </row>
    <row r="1595" spans="1:12" ht="15" x14ac:dyDescent="0.25">
      <c r="A1595" t="s">
        <v>21530</v>
      </c>
      <c r="B1595" t="s">
        <v>18097</v>
      </c>
      <c r="C1595" t="s">
        <v>18098</v>
      </c>
      <c r="D1595" t="s">
        <v>18099</v>
      </c>
      <c r="E1595">
        <v>1901</v>
      </c>
      <c r="F1595" t="s">
        <v>18100</v>
      </c>
      <c r="G1595" t="s">
        <v>5088</v>
      </c>
      <c r="H1595" t="str">
        <f t="shared" si="48"/>
        <v>Pinehurst1901Mesquite</v>
      </c>
      <c r="I1595" t="str">
        <f t="shared" si="49"/>
        <v>Pinehurst</v>
      </c>
      <c r="J1595" s="82">
        <f>IFERROR(INDEX('All Folders'!$A:$A,MATCH(H1595,'All Folders'!$G:$G,0),1),"¶")</f>
        <v>15229</v>
      </c>
      <c r="K1595" s="87"/>
      <c r="L1595" s="87"/>
    </row>
    <row r="1596" spans="1:12" ht="15" x14ac:dyDescent="0.25">
      <c r="A1596" t="s">
        <v>21531</v>
      </c>
      <c r="B1596" t="s">
        <v>18101</v>
      </c>
      <c r="C1596" t="s">
        <v>18102</v>
      </c>
      <c r="D1596" t="s">
        <v>18103</v>
      </c>
      <c r="E1596">
        <v>901</v>
      </c>
      <c r="F1596" t="s">
        <v>1619</v>
      </c>
      <c r="G1596" t="s">
        <v>5088</v>
      </c>
      <c r="H1596" t="str">
        <f t="shared" si="48"/>
        <v>80901Mesquite</v>
      </c>
      <c r="I1596" t="str">
        <f t="shared" si="49"/>
        <v>80</v>
      </c>
      <c r="J1596" s="82">
        <f>IFERROR(INDEX('All Folders'!$A:$A,MATCH(H1596,'All Folders'!$G:$G,0),1),"¶")</f>
        <v>15448</v>
      </c>
      <c r="K1596" s="87"/>
      <c r="L1596" s="87"/>
    </row>
    <row r="1597" spans="1:12" ht="15" x14ac:dyDescent="0.25">
      <c r="A1597" t="s">
        <v>21532</v>
      </c>
      <c r="B1597" t="s">
        <v>18104</v>
      </c>
      <c r="C1597" t="s">
        <v>18105</v>
      </c>
      <c r="D1597" t="s">
        <v>18103</v>
      </c>
      <c r="E1597">
        <v>2735</v>
      </c>
      <c r="F1597" t="s">
        <v>4011</v>
      </c>
      <c r="G1597" t="s">
        <v>5088</v>
      </c>
      <c r="H1597" t="str">
        <f t="shared" si="48"/>
        <v>802735Mesquite</v>
      </c>
      <c r="I1597" t="str">
        <f t="shared" si="49"/>
        <v>80</v>
      </c>
      <c r="J1597" s="82">
        <f>IFERROR(INDEX('All Folders'!$A:$A,MATCH(H1597,'All Folders'!$G:$G,0),1),"¶")</f>
        <v>15244</v>
      </c>
      <c r="K1597" s="87"/>
      <c r="L1597" s="87"/>
    </row>
    <row r="1598" spans="1:12" ht="15" x14ac:dyDescent="0.25">
      <c r="A1598" t="s">
        <v>21533</v>
      </c>
      <c r="B1598" t="s">
        <v>18106</v>
      </c>
      <c r="C1598" t="s">
        <v>18107</v>
      </c>
      <c r="D1598" t="s">
        <v>18103</v>
      </c>
      <c r="E1598">
        <v>2707</v>
      </c>
      <c r="F1598" t="s">
        <v>18108</v>
      </c>
      <c r="G1598" t="s">
        <v>5088</v>
      </c>
      <c r="H1598" t="str">
        <f t="shared" si="48"/>
        <v>802707Mesquite</v>
      </c>
      <c r="I1598" t="str">
        <f t="shared" si="49"/>
        <v>80</v>
      </c>
      <c r="J1598" s="82">
        <f>IFERROR(INDEX('All Folders'!$A:$A,MATCH(H1598,'All Folders'!$G:$G,0),1),"¶")</f>
        <v>30222</v>
      </c>
      <c r="K1598" s="87"/>
      <c r="L1598" s="87"/>
    </row>
    <row r="1599" spans="1:12" ht="15" x14ac:dyDescent="0.25">
      <c r="A1599" t="s">
        <v>21534</v>
      </c>
      <c r="B1599" t="s">
        <v>18109</v>
      </c>
      <c r="C1599" t="s">
        <v>18110</v>
      </c>
      <c r="D1599" t="s">
        <v>18092</v>
      </c>
      <c r="E1599">
        <v>1716</v>
      </c>
      <c r="F1599" t="s">
        <v>6068</v>
      </c>
      <c r="G1599" t="s">
        <v>5088</v>
      </c>
      <c r="H1599" t="str">
        <f t="shared" si="48"/>
        <v>Galloway1716Mesquite</v>
      </c>
      <c r="I1599" t="str">
        <f t="shared" si="49"/>
        <v>Galloway</v>
      </c>
      <c r="J1599" s="82">
        <f>IFERROR(INDEX('All Folders'!$A:$A,MATCH(H1599,'All Folders'!$G:$G,0),1),"¶")</f>
        <v>13861</v>
      </c>
      <c r="K1599" s="87"/>
      <c r="L1599" s="87"/>
    </row>
    <row r="1600" spans="1:12" ht="15" x14ac:dyDescent="0.25">
      <c r="A1600" t="s">
        <v>21535</v>
      </c>
      <c r="B1600" t="s">
        <v>18111</v>
      </c>
      <c r="C1600" t="s">
        <v>18112</v>
      </c>
      <c r="D1600" t="s">
        <v>18103</v>
      </c>
      <c r="E1600">
        <v>2101</v>
      </c>
      <c r="F1600" t="s">
        <v>5110</v>
      </c>
      <c r="G1600" t="s">
        <v>5088</v>
      </c>
      <c r="H1600" t="str">
        <f t="shared" si="48"/>
        <v>802101Mesquite</v>
      </c>
      <c r="I1600" t="str">
        <f t="shared" si="49"/>
        <v>80</v>
      </c>
      <c r="J1600" s="82">
        <f>IFERROR(INDEX('All Folders'!$A:$A,MATCH(H1600,'All Folders'!$G:$G,0),1),"¶")</f>
        <v>13142</v>
      </c>
      <c r="K1600" s="87"/>
      <c r="L1600" s="87"/>
    </row>
    <row r="1601" spans="1:12" ht="15" x14ac:dyDescent="0.25">
      <c r="A1601" t="s">
        <v>21537</v>
      </c>
      <c r="B1601" t="s">
        <v>18117</v>
      </c>
      <c r="C1601" t="s">
        <v>18118</v>
      </c>
      <c r="D1601" t="s">
        <v>18119</v>
      </c>
      <c r="E1601">
        <v>604</v>
      </c>
      <c r="F1601" t="s">
        <v>18120</v>
      </c>
      <c r="G1601" t="s">
        <v>11948</v>
      </c>
      <c r="H1601" t="str">
        <f t="shared" si="48"/>
        <v>McKinney604Mexia</v>
      </c>
      <c r="I1601" t="str">
        <f t="shared" si="49"/>
        <v>McKinney</v>
      </c>
      <c r="J1601" s="82">
        <f>IFERROR(INDEX('All Folders'!$A:$A,MATCH(H1601,'All Folders'!$G:$G,0),1),"¶")</f>
        <v>30418</v>
      </c>
      <c r="K1601" s="87"/>
      <c r="L1601" s="87"/>
    </row>
    <row r="1602" spans="1:12" ht="15" x14ac:dyDescent="0.25">
      <c r="A1602" t="s">
        <v>21538</v>
      </c>
      <c r="B1602" t="s">
        <v>18121</v>
      </c>
      <c r="C1602" t="s">
        <v>18122</v>
      </c>
      <c r="D1602" t="s">
        <v>18123</v>
      </c>
      <c r="E1602">
        <v>3101</v>
      </c>
      <c r="F1602" t="s">
        <v>18124</v>
      </c>
      <c r="G1602" t="s">
        <v>12210</v>
      </c>
      <c r="H1602" t="str">
        <f t="shared" ref="H1602:H1665" si="50">I1602&amp;E1602&amp;G1602</f>
        <v>Midland3101Midland</v>
      </c>
      <c r="I1602" t="str">
        <f t="shared" ref="I1602:I1665" si="51">IFERROR(LEFT(D1602,FIND(" ",D1602)-1),D1602)</f>
        <v>Midland</v>
      </c>
      <c r="J1602" s="82">
        <f>IFERROR(INDEX('All Folders'!$A:$A,MATCH(H1602,'All Folders'!$G:$G,0),1),"¶")</f>
        <v>30616</v>
      </c>
      <c r="K1602" s="87"/>
      <c r="L1602" s="87"/>
    </row>
    <row r="1603" spans="1:12" ht="15" x14ac:dyDescent="0.25">
      <c r="A1603" t="s">
        <v>21539</v>
      </c>
      <c r="B1603" t="s">
        <v>18125</v>
      </c>
      <c r="C1603" t="s">
        <v>18126</v>
      </c>
      <c r="D1603" t="s">
        <v>18123</v>
      </c>
      <c r="E1603">
        <v>1902</v>
      </c>
      <c r="F1603" t="s">
        <v>18127</v>
      </c>
      <c r="G1603" t="s">
        <v>12210</v>
      </c>
      <c r="H1603" t="str">
        <f t="shared" si="50"/>
        <v>Midland1902Midland</v>
      </c>
      <c r="I1603" t="str">
        <f t="shared" si="51"/>
        <v>Midland</v>
      </c>
      <c r="J1603" s="82">
        <f>IFERROR(INDEX('All Folders'!$A:$A,MATCH(H1603,'All Folders'!$G:$G,0),1),"¶")</f>
        <v>30617</v>
      </c>
      <c r="K1603" s="87"/>
      <c r="L1603" s="87"/>
    </row>
    <row r="1604" spans="1:12" ht="15" x14ac:dyDescent="0.25">
      <c r="A1604" t="s">
        <v>21541</v>
      </c>
      <c r="B1604" t="s">
        <v>18132</v>
      </c>
      <c r="C1604" t="s">
        <v>18133</v>
      </c>
      <c r="D1604" t="s">
        <v>18123</v>
      </c>
      <c r="E1604">
        <v>3001</v>
      </c>
      <c r="F1604" t="s">
        <v>15283</v>
      </c>
      <c r="G1604" t="s">
        <v>12210</v>
      </c>
      <c r="H1604" t="str">
        <f t="shared" si="50"/>
        <v>Midland3001Midland</v>
      </c>
      <c r="I1604" t="str">
        <f t="shared" si="51"/>
        <v>Midland</v>
      </c>
      <c r="J1604" s="82">
        <f>IFERROR(INDEX('All Folders'!$A:$A,MATCH(H1604,'All Folders'!$G:$G,0),1),"¶")</f>
        <v>30618</v>
      </c>
      <c r="K1604" s="87"/>
      <c r="L1604" s="87"/>
    </row>
    <row r="1605" spans="1:12" ht="15" x14ac:dyDescent="0.25">
      <c r="A1605" t="s">
        <v>21542</v>
      </c>
      <c r="B1605" t="s">
        <v>18134</v>
      </c>
      <c r="C1605" t="s">
        <v>18135</v>
      </c>
      <c r="D1605" t="s">
        <v>18136</v>
      </c>
      <c r="E1605">
        <v>5216</v>
      </c>
      <c r="F1605" t="s">
        <v>18137</v>
      </c>
      <c r="G1605" t="s">
        <v>12210</v>
      </c>
      <c r="H1605" t="str">
        <f t="shared" si="50"/>
        <v>Tremont5216Midland</v>
      </c>
      <c r="I1605" t="str">
        <f t="shared" si="51"/>
        <v>Tremont</v>
      </c>
      <c r="J1605" s="82">
        <f>IFERROR(INDEX('All Folders'!$A:$A,MATCH(H1605,'All Folders'!$G:$G,0),1),"¶")</f>
        <v>30619</v>
      </c>
      <c r="K1605" s="87"/>
      <c r="L1605" s="87"/>
    </row>
    <row r="1606" spans="1:12" ht="15" x14ac:dyDescent="0.25">
      <c r="A1606" t="s">
        <v>21543</v>
      </c>
      <c r="B1606" t="s">
        <v>18138</v>
      </c>
      <c r="C1606" t="s">
        <v>18139</v>
      </c>
      <c r="D1606" t="s">
        <v>12208</v>
      </c>
      <c r="E1606">
        <v>3200</v>
      </c>
      <c r="F1606" t="s">
        <v>18140</v>
      </c>
      <c r="G1606" t="s">
        <v>12210</v>
      </c>
      <c r="H1606" t="str">
        <f t="shared" si="50"/>
        <v>Bromley3200Midland</v>
      </c>
      <c r="I1606" t="str">
        <f t="shared" si="51"/>
        <v>Bromley</v>
      </c>
      <c r="J1606" s="82">
        <f>IFERROR(INDEX('All Folders'!$A:$A,MATCH(H1606,'All Folders'!$G:$G,0),1),"¶")</f>
        <v>30615</v>
      </c>
      <c r="K1606" s="87"/>
      <c r="L1606" s="87"/>
    </row>
    <row r="1607" spans="1:12" ht="15" x14ac:dyDescent="0.25">
      <c r="A1607" t="s">
        <v>21544</v>
      </c>
      <c r="B1607" t="s">
        <v>18141</v>
      </c>
      <c r="C1607" t="s">
        <v>18142</v>
      </c>
      <c r="D1607" t="s">
        <v>18143</v>
      </c>
      <c r="E1607">
        <v>170</v>
      </c>
      <c r="F1607" t="s">
        <v>18144</v>
      </c>
      <c r="G1607" t="s">
        <v>8116</v>
      </c>
      <c r="H1607" t="str">
        <f t="shared" si="50"/>
        <v>Henderson170Midlothian</v>
      </c>
      <c r="I1607" t="str">
        <f t="shared" si="51"/>
        <v>Henderson</v>
      </c>
      <c r="J1607" s="82">
        <f>IFERROR(INDEX('All Folders'!$A:$A,MATCH(H1607,'All Folders'!$G:$G,0),1),"¶")</f>
        <v>17242</v>
      </c>
      <c r="K1607" s="87"/>
      <c r="L1607" s="87"/>
    </row>
    <row r="1608" spans="1:12" ht="15" x14ac:dyDescent="0.25">
      <c r="A1608" t="s">
        <v>21546</v>
      </c>
      <c r="B1608" t="s">
        <v>18148</v>
      </c>
      <c r="C1608" t="s">
        <v>18149</v>
      </c>
      <c r="D1608" t="s">
        <v>18150</v>
      </c>
      <c r="E1608">
        <v>1600</v>
      </c>
      <c r="F1608" t="s">
        <v>18151</v>
      </c>
      <c r="G1608" t="s">
        <v>8116</v>
      </c>
      <c r="H1608" t="str">
        <f t="shared" si="50"/>
        <v>9th1600Midlothian</v>
      </c>
      <c r="I1608" t="str">
        <f t="shared" si="51"/>
        <v>9th</v>
      </c>
      <c r="J1608" s="82">
        <f>IFERROR(INDEX('All Folders'!$A:$A,MATCH(H1608,'All Folders'!$G:$G,0),1),"¶")</f>
        <v>15653</v>
      </c>
      <c r="K1608" s="87"/>
      <c r="L1608" s="87"/>
    </row>
    <row r="1609" spans="1:12" ht="15" x14ac:dyDescent="0.25">
      <c r="A1609" t="s">
        <v>21548</v>
      </c>
      <c r="B1609" t="s">
        <v>18155</v>
      </c>
      <c r="C1609" t="s">
        <v>18156</v>
      </c>
      <c r="D1609" t="s">
        <v>18157</v>
      </c>
      <c r="E1609">
        <v>3807</v>
      </c>
      <c r="F1609" t="s">
        <v>18158</v>
      </c>
      <c r="G1609" t="s">
        <v>12125</v>
      </c>
      <c r="H1609" t="str">
        <f t="shared" si="50"/>
        <v>Plantation3807Mission</v>
      </c>
      <c r="I1609" t="str">
        <f t="shared" si="51"/>
        <v>Plantation</v>
      </c>
      <c r="J1609" s="82">
        <f>IFERROR(INDEX('All Folders'!$A:$A,MATCH(H1609,'All Folders'!$G:$G,0),1),"¶")</f>
        <v>30552</v>
      </c>
      <c r="K1609" s="87"/>
      <c r="L1609" s="87"/>
    </row>
    <row r="1610" spans="1:12" ht="15" x14ac:dyDescent="0.25">
      <c r="A1610" t="s">
        <v>21549</v>
      </c>
      <c r="B1610" t="s">
        <v>18159</v>
      </c>
      <c r="C1610" t="s">
        <v>18160</v>
      </c>
      <c r="D1610" t="s">
        <v>18161</v>
      </c>
      <c r="E1610">
        <v>7736</v>
      </c>
      <c r="F1610" t="s">
        <v>18162</v>
      </c>
      <c r="G1610" t="s">
        <v>4532</v>
      </c>
      <c r="H1610" t="str">
        <f t="shared" si="50"/>
        <v>Sign7736Missouri City</v>
      </c>
      <c r="I1610" t="str">
        <f t="shared" si="51"/>
        <v>Sign</v>
      </c>
      <c r="J1610" s="82">
        <f>IFERROR(INDEX('All Folders'!$A:$A,MATCH(H1610,'All Folders'!$G:$G,0),1),"¶")</f>
        <v>17742</v>
      </c>
      <c r="K1610" s="87"/>
      <c r="L1610" s="87"/>
    </row>
    <row r="1611" spans="1:12" ht="15" x14ac:dyDescent="0.25">
      <c r="A1611" t="s">
        <v>21550</v>
      </c>
      <c r="B1611" t="s">
        <v>18163</v>
      </c>
      <c r="C1611" t="s">
        <v>18164</v>
      </c>
      <c r="D1611" t="s">
        <v>18165</v>
      </c>
      <c r="E1611">
        <v>1710</v>
      </c>
      <c r="F1611" t="s">
        <v>18166</v>
      </c>
      <c r="G1611" t="s">
        <v>875</v>
      </c>
      <c r="H1611" t="str">
        <f t="shared" si="50"/>
        <v>Starr1710Nacogdoches</v>
      </c>
      <c r="I1611" t="str">
        <f t="shared" si="51"/>
        <v>Starr</v>
      </c>
      <c r="J1611" s="82">
        <f>IFERROR(INDEX('All Folders'!$A:$A,MATCH(H1611,'All Folders'!$G:$G,0),1),"¶")</f>
        <v>30387</v>
      </c>
      <c r="K1611" s="87"/>
      <c r="L1611" s="87"/>
    </row>
    <row r="1612" spans="1:12" ht="15" x14ac:dyDescent="0.25">
      <c r="A1612" t="s">
        <v>21551</v>
      </c>
      <c r="B1612" t="s">
        <v>18167</v>
      </c>
      <c r="C1612" t="s">
        <v>18168</v>
      </c>
      <c r="D1612" t="s">
        <v>18169</v>
      </c>
      <c r="E1612">
        <v>2614</v>
      </c>
      <c r="F1612" t="s">
        <v>3194</v>
      </c>
      <c r="G1612" t="s">
        <v>875</v>
      </c>
      <c r="H1612" t="str">
        <f t="shared" si="50"/>
        <v>University2614Nacogdoches</v>
      </c>
      <c r="I1612" t="str">
        <f t="shared" si="51"/>
        <v>University</v>
      </c>
      <c r="J1612" s="82">
        <f>IFERROR(INDEX('All Folders'!$A:$A,MATCH(H1612,'All Folders'!$G:$G,0),1),"¶")</f>
        <v>30386</v>
      </c>
      <c r="K1612" s="87"/>
      <c r="L1612" s="87"/>
    </row>
    <row r="1613" spans="1:12" ht="15" x14ac:dyDescent="0.25">
      <c r="A1613" t="s">
        <v>21553</v>
      </c>
      <c r="B1613" t="s">
        <v>18173</v>
      </c>
      <c r="C1613" t="s">
        <v>18174</v>
      </c>
      <c r="D1613" t="s">
        <v>18175</v>
      </c>
      <c r="E1613">
        <v>2575</v>
      </c>
      <c r="F1613" t="s">
        <v>12319</v>
      </c>
      <c r="G1613" t="s">
        <v>12320</v>
      </c>
      <c r="H1613" t="str">
        <f t="shared" si="50"/>
        <v>31st2575Nederland</v>
      </c>
      <c r="I1613" t="str">
        <f t="shared" si="51"/>
        <v>31st</v>
      </c>
      <c r="J1613" s="82">
        <f>IFERROR(INDEX('All Folders'!$A:$A,MATCH(H1613,'All Folders'!$G:$G,0),1),"¶")</f>
        <v>30688</v>
      </c>
      <c r="K1613" s="87"/>
      <c r="L1613" s="87"/>
    </row>
    <row r="1614" spans="1:12" ht="15" x14ac:dyDescent="0.25">
      <c r="A1614" t="s">
        <v>21554</v>
      </c>
      <c r="B1614" t="s">
        <v>18176</v>
      </c>
      <c r="C1614" t="s">
        <v>18177</v>
      </c>
      <c r="D1614" t="s">
        <v>18178</v>
      </c>
      <c r="E1614">
        <v>2900</v>
      </c>
      <c r="F1614" t="s">
        <v>12324</v>
      </c>
      <c r="G1614" t="s">
        <v>12320</v>
      </c>
      <c r="H1614" t="str">
        <f t="shared" si="50"/>
        <v>Nederland2900Nederland</v>
      </c>
      <c r="I1614" t="str">
        <f t="shared" si="51"/>
        <v>Nederland</v>
      </c>
      <c r="J1614" s="82">
        <f>IFERROR(INDEX('All Folders'!$A:$A,MATCH(H1614,'All Folders'!$G:$G,0),1),"¶")</f>
        <v>30690</v>
      </c>
      <c r="K1614" s="87"/>
      <c r="L1614" s="87"/>
    </row>
    <row r="1615" spans="1:12" ht="15" x14ac:dyDescent="0.25">
      <c r="A1615" t="s">
        <v>21555</v>
      </c>
      <c r="B1615" t="s">
        <v>18179</v>
      </c>
      <c r="C1615" t="s">
        <v>18180</v>
      </c>
      <c r="D1615" t="s">
        <v>18181</v>
      </c>
      <c r="E1615">
        <v>730</v>
      </c>
      <c r="F1615" t="s">
        <v>18182</v>
      </c>
      <c r="G1615" t="s">
        <v>912</v>
      </c>
      <c r="H1615" t="str">
        <f t="shared" si="50"/>
        <v>Howard730New Braunfels</v>
      </c>
      <c r="I1615" t="str">
        <f t="shared" si="51"/>
        <v>Howard</v>
      </c>
      <c r="J1615" s="82">
        <f>IFERROR(INDEX('All Folders'!$A:$A,MATCH(H1615,'All Folders'!$G:$G,0),1),"¶")</f>
        <v>711</v>
      </c>
      <c r="K1615" s="87"/>
      <c r="L1615" s="87"/>
    </row>
    <row r="1616" spans="1:12" ht="15" x14ac:dyDescent="0.25">
      <c r="A1616" t="s">
        <v>21556</v>
      </c>
      <c r="B1616" t="s">
        <v>18183</v>
      </c>
      <c r="C1616" t="s">
        <v>18184</v>
      </c>
      <c r="D1616" t="s">
        <v>8930</v>
      </c>
      <c r="E1616">
        <v>1231</v>
      </c>
      <c r="F1616" t="s">
        <v>8931</v>
      </c>
      <c r="G1616" t="s">
        <v>912</v>
      </c>
      <c r="H1616" t="str">
        <f t="shared" si="50"/>
        <v>Huisache1231New Braunfels</v>
      </c>
      <c r="I1616" t="str">
        <f t="shared" si="51"/>
        <v>Huisache</v>
      </c>
      <c r="J1616" s="82">
        <f>IFERROR(INDEX('All Folders'!$A:$A,MATCH(H1616,'All Folders'!$G:$G,0),1),"¶")</f>
        <v>16474</v>
      </c>
      <c r="K1616" s="87"/>
      <c r="L1616" s="87"/>
    </row>
    <row r="1617" spans="1:12" ht="15" x14ac:dyDescent="0.25">
      <c r="A1617" t="s">
        <v>21557</v>
      </c>
      <c r="B1617" t="s">
        <v>18185</v>
      </c>
      <c r="C1617" t="s">
        <v>18186</v>
      </c>
      <c r="D1617" t="s">
        <v>4922</v>
      </c>
      <c r="E1617">
        <v>705</v>
      </c>
      <c r="F1617" t="s">
        <v>10981</v>
      </c>
      <c r="G1617" t="s">
        <v>912</v>
      </c>
      <c r="H1617" t="str">
        <f t="shared" si="50"/>
        <v>Village705New Braunfels</v>
      </c>
      <c r="I1617" t="str">
        <f t="shared" si="51"/>
        <v>Village</v>
      </c>
      <c r="J1617" s="82">
        <f>IFERROR(INDEX('All Folders'!$A:$A,MATCH(H1617,'All Folders'!$G:$G,0),1),"¶")</f>
        <v>18579</v>
      </c>
      <c r="K1617" s="87"/>
      <c r="L1617" s="87"/>
    </row>
    <row r="1618" spans="1:12" ht="15" x14ac:dyDescent="0.25">
      <c r="A1618" t="s">
        <v>21558</v>
      </c>
      <c r="B1618" t="s">
        <v>18187</v>
      </c>
      <c r="C1618" t="s">
        <v>18188</v>
      </c>
      <c r="D1618" t="s">
        <v>18189</v>
      </c>
      <c r="E1618">
        <v>520</v>
      </c>
      <c r="F1618" t="s">
        <v>18190</v>
      </c>
      <c r="G1618" t="s">
        <v>912</v>
      </c>
      <c r="H1618" t="str">
        <f t="shared" si="50"/>
        <v>306520New Braunfels</v>
      </c>
      <c r="I1618" t="str">
        <f t="shared" si="51"/>
        <v>306</v>
      </c>
      <c r="J1618" s="82">
        <f>IFERROR(INDEX('All Folders'!$A:$A,MATCH(H1618,'All Folders'!$G:$G,0),1),"¶")</f>
        <v>30653</v>
      </c>
      <c r="K1618" s="87"/>
      <c r="L1618" s="87"/>
    </row>
    <row r="1619" spans="1:12" ht="15" x14ac:dyDescent="0.25">
      <c r="A1619" t="s">
        <v>21559</v>
      </c>
      <c r="B1619" t="s">
        <v>18191</v>
      </c>
      <c r="C1619" t="s">
        <v>18192</v>
      </c>
      <c r="D1619" t="s">
        <v>18193</v>
      </c>
      <c r="E1619">
        <v>1565</v>
      </c>
      <c r="F1619" t="s">
        <v>1159</v>
      </c>
      <c r="G1619" t="s">
        <v>912</v>
      </c>
      <c r="H1619" t="str">
        <f t="shared" si="50"/>
        <v>351565New Braunfels</v>
      </c>
      <c r="I1619" t="str">
        <f t="shared" si="51"/>
        <v>35</v>
      </c>
      <c r="J1619" s="82">
        <f>IFERROR(INDEX('All Folders'!$A:$A,MATCH(H1619,'All Folders'!$G:$G,0),1),"¶")</f>
        <v>868</v>
      </c>
      <c r="K1619" s="87"/>
      <c r="L1619" s="87"/>
    </row>
    <row r="1620" spans="1:12" ht="15" x14ac:dyDescent="0.25">
      <c r="A1620" t="s">
        <v>21560</v>
      </c>
      <c r="B1620" t="s">
        <v>18194</v>
      </c>
      <c r="C1620" t="s">
        <v>18195</v>
      </c>
      <c r="D1620" t="s">
        <v>18196</v>
      </c>
      <c r="E1620">
        <v>241</v>
      </c>
      <c r="F1620" t="s">
        <v>18197</v>
      </c>
      <c r="G1620" t="s">
        <v>912</v>
      </c>
      <c r="H1620" t="str">
        <f t="shared" si="50"/>
        <v>Seville241New Braunfels</v>
      </c>
      <c r="I1620" t="str">
        <f t="shared" si="51"/>
        <v>Seville</v>
      </c>
      <c r="J1620" s="82">
        <f>IFERROR(INDEX('All Folders'!$A:$A,MATCH(H1620,'All Folders'!$G:$G,0),1),"¶")</f>
        <v>976</v>
      </c>
      <c r="K1620" s="87"/>
      <c r="L1620" s="87"/>
    </row>
    <row r="1621" spans="1:12" ht="15" x14ac:dyDescent="0.25">
      <c r="A1621" t="s">
        <v>21561</v>
      </c>
      <c r="B1621" t="s">
        <v>18198</v>
      </c>
      <c r="C1621" t="s">
        <v>18199</v>
      </c>
      <c r="D1621" t="s">
        <v>18200</v>
      </c>
      <c r="E1621">
        <v>1360</v>
      </c>
      <c r="F1621" t="s">
        <v>18201</v>
      </c>
      <c r="G1621" t="s">
        <v>912</v>
      </c>
      <c r="H1621" t="str">
        <f t="shared" si="50"/>
        <v>County1360New Braunfels</v>
      </c>
      <c r="I1621" t="str">
        <f t="shared" si="51"/>
        <v>County</v>
      </c>
      <c r="J1621" s="82">
        <f>IFERROR(INDEX('All Folders'!$A:$A,MATCH(H1621,'All Folders'!$G:$G,0),1),"¶")</f>
        <v>18008</v>
      </c>
      <c r="K1621" s="87"/>
      <c r="L1621" s="87"/>
    </row>
    <row r="1622" spans="1:12" ht="15" x14ac:dyDescent="0.25">
      <c r="A1622" t="s">
        <v>21562</v>
      </c>
      <c r="B1622" t="s">
        <v>18202</v>
      </c>
      <c r="C1622" t="s">
        <v>18203</v>
      </c>
      <c r="D1622" t="s">
        <v>13766</v>
      </c>
      <c r="E1622">
        <v>770</v>
      </c>
      <c r="F1622" t="s">
        <v>18204</v>
      </c>
      <c r="G1622" t="s">
        <v>912</v>
      </c>
      <c r="H1622" t="str">
        <f t="shared" si="50"/>
        <v>35770New Braunfels</v>
      </c>
      <c r="I1622" t="str">
        <f t="shared" si="51"/>
        <v>35</v>
      </c>
      <c r="J1622" s="82">
        <f>IFERROR(INDEX('All Folders'!$A:$A,MATCH(H1622,'All Folders'!$G:$G,0),1),"¶")</f>
        <v>1192</v>
      </c>
      <c r="K1622" s="87"/>
      <c r="L1622" s="87"/>
    </row>
    <row r="1623" spans="1:12" ht="15" x14ac:dyDescent="0.25">
      <c r="A1623" t="s">
        <v>21563</v>
      </c>
      <c r="B1623" t="s">
        <v>18205</v>
      </c>
      <c r="C1623" t="s">
        <v>18206</v>
      </c>
      <c r="D1623" t="s">
        <v>18207</v>
      </c>
      <c r="E1623">
        <v>7030</v>
      </c>
      <c r="F1623" t="s">
        <v>18208</v>
      </c>
      <c r="G1623" t="s">
        <v>6541</v>
      </c>
      <c r="H1623" t="str">
        <f t="shared" si="50"/>
        <v>Glenview7030North Richland Hills</v>
      </c>
      <c r="I1623" t="str">
        <f t="shared" si="51"/>
        <v>Glenview</v>
      </c>
      <c r="J1623" s="82">
        <f>IFERROR(INDEX('All Folders'!$A:$A,MATCH(H1623,'All Folders'!$G:$G,0),1),"¶")</f>
        <v>14395</v>
      </c>
      <c r="K1623" s="87"/>
      <c r="L1623" s="87"/>
    </row>
    <row r="1624" spans="1:12" ht="15" x14ac:dyDescent="0.25">
      <c r="A1624" t="s">
        <v>21565</v>
      </c>
      <c r="B1624" t="s">
        <v>18212</v>
      </c>
      <c r="C1624" t="s">
        <v>18213</v>
      </c>
      <c r="D1624" t="s">
        <v>18207</v>
      </c>
      <c r="E1624">
        <v>6100</v>
      </c>
      <c r="F1624" t="s">
        <v>18214</v>
      </c>
      <c r="G1624" t="s">
        <v>6541</v>
      </c>
      <c r="H1624" t="str">
        <f t="shared" si="50"/>
        <v>Glenview6100North Richland Hills</v>
      </c>
      <c r="I1624" t="str">
        <f t="shared" si="51"/>
        <v>Glenview</v>
      </c>
      <c r="J1624" s="82">
        <f>IFERROR(INDEX('All Folders'!$A:$A,MATCH(H1624,'All Folders'!$G:$G,0),1),"¶")</f>
        <v>15419</v>
      </c>
      <c r="K1624" s="87"/>
      <c r="L1624" s="87"/>
    </row>
    <row r="1625" spans="1:12" x14ac:dyDescent="0.3">
      <c r="A1625" t="s">
        <v>21566</v>
      </c>
      <c r="B1625" t="s">
        <v>18215</v>
      </c>
      <c r="C1625" t="s">
        <v>18216</v>
      </c>
      <c r="D1625" t="s">
        <v>7703</v>
      </c>
      <c r="E1625">
        <v>8341</v>
      </c>
      <c r="F1625" t="s">
        <v>18217</v>
      </c>
      <c r="G1625" t="s">
        <v>6541</v>
      </c>
      <c r="H1625" t="str">
        <f t="shared" si="50"/>
        <v>Emerald8341North Richland Hills</v>
      </c>
      <c r="I1625" t="str">
        <f t="shared" si="51"/>
        <v>Emerald</v>
      </c>
      <c r="J1625" s="82">
        <f>IFERROR(INDEX('All Folders'!$A:$A,MATCH(H1625,'All Folders'!$G:$G,0),1),"¶")</f>
        <v>15312</v>
      </c>
      <c r="K1625" s="87"/>
      <c r="L1625" s="87"/>
    </row>
    <row r="1626" spans="1:12" x14ac:dyDescent="0.3">
      <c r="A1626" t="s">
        <v>21567</v>
      </c>
      <c r="B1626" t="s">
        <v>18218</v>
      </c>
      <c r="C1626" t="s">
        <v>18219</v>
      </c>
      <c r="D1626" t="s">
        <v>18220</v>
      </c>
      <c r="E1626">
        <v>7500</v>
      </c>
      <c r="F1626" t="s">
        <v>7711</v>
      </c>
      <c r="G1626" t="s">
        <v>6541</v>
      </c>
      <c r="H1626" t="str">
        <f t="shared" si="50"/>
        <v>Maplewood7500North Richland Hills</v>
      </c>
      <c r="I1626" t="str">
        <f t="shared" si="51"/>
        <v>Maplewood</v>
      </c>
      <c r="J1626" s="82">
        <f>IFERROR(INDEX('All Folders'!$A:$A,MATCH(H1626,'All Folders'!$G:$G,0),1),"¶")</f>
        <v>15317</v>
      </c>
      <c r="K1626" s="87"/>
      <c r="L1626" s="87"/>
    </row>
    <row r="1627" spans="1:12" x14ac:dyDescent="0.3">
      <c r="A1627" t="s">
        <v>21569</v>
      </c>
      <c r="B1627" t="s">
        <v>18225</v>
      </c>
      <c r="C1627" t="s">
        <v>18226</v>
      </c>
      <c r="D1627" t="s">
        <v>18227</v>
      </c>
      <c r="E1627">
        <v>6901</v>
      </c>
      <c r="F1627" t="s">
        <v>6705</v>
      </c>
      <c r="G1627" t="s">
        <v>6541</v>
      </c>
      <c r="H1627" t="str">
        <f t="shared" si="50"/>
        <v>8206901North Richland Hills</v>
      </c>
      <c r="I1627" t="str">
        <f t="shared" si="51"/>
        <v>820</v>
      </c>
      <c r="J1627" s="82">
        <f>IFERROR(INDEX('All Folders'!$A:$A,MATCH(H1627,'All Folders'!$G:$G,0),1),"¶")</f>
        <v>14396</v>
      </c>
      <c r="K1627" s="87"/>
      <c r="L1627" s="87"/>
    </row>
    <row r="1628" spans="1:12" x14ac:dyDescent="0.3">
      <c r="A1628" t="s">
        <v>21570</v>
      </c>
      <c r="B1628" t="s">
        <v>18228</v>
      </c>
      <c r="C1628" t="s">
        <v>18229</v>
      </c>
      <c r="D1628" t="s">
        <v>18230</v>
      </c>
      <c r="E1628">
        <v>1601</v>
      </c>
      <c r="F1628" t="s">
        <v>6540</v>
      </c>
      <c r="G1628" t="s">
        <v>6541</v>
      </c>
      <c r="H1628" t="str">
        <f t="shared" si="50"/>
        <v>Weyland1601North Richland Hills</v>
      </c>
      <c r="I1628" t="str">
        <f t="shared" si="51"/>
        <v>Weyland</v>
      </c>
      <c r="J1628" s="82">
        <f>IFERROR(INDEX('All Folders'!$A:$A,MATCH(H1628,'All Folders'!$G:$G,0),1),"¶")</f>
        <v>14267</v>
      </c>
      <c r="K1628" s="87"/>
      <c r="L1628" s="87"/>
    </row>
    <row r="1629" spans="1:12" x14ac:dyDescent="0.3">
      <c r="A1629" t="s">
        <v>21572</v>
      </c>
      <c r="B1629" t="s">
        <v>18235</v>
      </c>
      <c r="C1629" t="s">
        <v>18236</v>
      </c>
      <c r="D1629" t="s">
        <v>18237</v>
      </c>
      <c r="E1629">
        <v>9101</v>
      </c>
      <c r="F1629" t="s">
        <v>18238</v>
      </c>
      <c r="G1629" t="s">
        <v>6541</v>
      </c>
      <c r="H1629" t="str">
        <f t="shared" si="50"/>
        <v>269101North Richland Hills</v>
      </c>
      <c r="I1629" t="str">
        <f t="shared" si="51"/>
        <v>26</v>
      </c>
      <c r="J1629" s="82">
        <f>IFERROR(INDEX('All Folders'!$A:$A,MATCH(H1629,'All Folders'!$G:$G,0),1),"¶")</f>
        <v>30225</v>
      </c>
      <c r="K1629" s="87"/>
      <c r="L1629" s="87"/>
    </row>
    <row r="1630" spans="1:12" x14ac:dyDescent="0.3">
      <c r="A1630" t="s">
        <v>21573</v>
      </c>
      <c r="B1630" t="s">
        <v>18239</v>
      </c>
      <c r="C1630" t="s">
        <v>18240</v>
      </c>
      <c r="D1630" t="s">
        <v>18207</v>
      </c>
      <c r="E1630">
        <v>6525</v>
      </c>
      <c r="F1630" t="s">
        <v>2497</v>
      </c>
      <c r="G1630" t="s">
        <v>6541</v>
      </c>
      <c r="H1630" t="str">
        <f t="shared" si="50"/>
        <v>Glenview6525North Richland Hills</v>
      </c>
      <c r="I1630" t="str">
        <f t="shared" si="51"/>
        <v>Glenview</v>
      </c>
      <c r="J1630" s="82">
        <f>IFERROR(INDEX('All Folders'!$A:$A,MATCH(H1630,'All Folders'!$G:$G,0),1),"¶")</f>
        <v>15421</v>
      </c>
      <c r="K1630" s="87"/>
      <c r="L1630" s="87"/>
    </row>
    <row r="1631" spans="1:12" x14ac:dyDescent="0.3">
      <c r="A1631" t="s">
        <v>21574</v>
      </c>
      <c r="B1631" t="s">
        <v>18241</v>
      </c>
      <c r="C1631" t="s">
        <v>18242</v>
      </c>
      <c r="D1631" t="s">
        <v>18243</v>
      </c>
      <c r="E1631">
        <v>11625</v>
      </c>
      <c r="F1631" t="s">
        <v>12435</v>
      </c>
      <c r="G1631" t="s">
        <v>12436</v>
      </c>
      <c r="H1631" t="str">
        <f t="shared" si="50"/>
        <v>Community11625Northglenn</v>
      </c>
      <c r="I1631" t="str">
        <f t="shared" si="51"/>
        <v>Community</v>
      </c>
      <c r="J1631" s="82">
        <f>IFERROR(INDEX('All Folders'!$A:$A,MATCH(H1631,'All Folders'!$G:$G,0),1),"¶")</f>
        <v>30757</v>
      </c>
      <c r="K1631" s="87"/>
      <c r="L1631" s="87"/>
    </row>
    <row r="1632" spans="1:12" x14ac:dyDescent="0.3">
      <c r="A1632" t="s">
        <v>21575</v>
      </c>
      <c r="B1632" t="s">
        <v>18244</v>
      </c>
      <c r="C1632" t="s">
        <v>18245</v>
      </c>
      <c r="D1632" t="s">
        <v>18246</v>
      </c>
      <c r="E1632">
        <v>4600</v>
      </c>
      <c r="F1632" t="s">
        <v>18247</v>
      </c>
      <c r="G1632" t="s">
        <v>12218</v>
      </c>
      <c r="H1632" t="str">
        <f t="shared" si="50"/>
        <v>Oakwood4600Odessa</v>
      </c>
      <c r="I1632" t="str">
        <f t="shared" si="51"/>
        <v>Oakwood</v>
      </c>
      <c r="J1632" s="82">
        <f>IFERROR(INDEX('All Folders'!$A:$A,MATCH(H1632,'All Folders'!$G:$G,0),1),"¶")</f>
        <v>30624</v>
      </c>
      <c r="K1632" s="87"/>
      <c r="L1632" s="87"/>
    </row>
    <row r="1633" spans="1:12" x14ac:dyDescent="0.3">
      <c r="A1633" t="s">
        <v>21576</v>
      </c>
      <c r="B1633" t="s">
        <v>18248</v>
      </c>
      <c r="C1633" t="s">
        <v>18249</v>
      </c>
      <c r="D1633" t="s">
        <v>14600</v>
      </c>
      <c r="E1633">
        <v>2735</v>
      </c>
      <c r="F1633" t="s">
        <v>18250</v>
      </c>
      <c r="G1633" t="s">
        <v>12218</v>
      </c>
      <c r="H1633" t="str">
        <f t="shared" si="50"/>
        <v>8th2735Odessa</v>
      </c>
      <c r="I1633" t="str">
        <f t="shared" si="51"/>
        <v>8th</v>
      </c>
      <c r="J1633" s="82">
        <f>IFERROR(INDEX('All Folders'!$A:$A,MATCH(H1633,'All Folders'!$G:$G,0),1),"¶")</f>
        <v>30622</v>
      </c>
      <c r="K1633" s="87"/>
      <c r="L1633" s="87"/>
    </row>
    <row r="1634" spans="1:12" x14ac:dyDescent="0.3">
      <c r="A1634" t="s">
        <v>21577</v>
      </c>
      <c r="B1634" t="s">
        <v>18251</v>
      </c>
      <c r="C1634" t="s">
        <v>18252</v>
      </c>
      <c r="D1634" t="s">
        <v>18253</v>
      </c>
      <c r="E1634">
        <v>2201</v>
      </c>
      <c r="F1634" t="s">
        <v>18254</v>
      </c>
      <c r="G1634" t="s">
        <v>12218</v>
      </c>
      <c r="H1634" t="str">
        <f t="shared" si="50"/>
        <v>Rocky2201Odessa</v>
      </c>
      <c r="I1634" t="str">
        <f t="shared" si="51"/>
        <v>Rocky</v>
      </c>
      <c r="J1634" s="82">
        <f>IFERROR(INDEX('All Folders'!$A:$A,MATCH(H1634,'All Folders'!$G:$G,0),1),"¶")</f>
        <v>30625</v>
      </c>
      <c r="K1634" s="87"/>
      <c r="L1634" s="87"/>
    </row>
    <row r="1635" spans="1:12" x14ac:dyDescent="0.3">
      <c r="A1635" t="s">
        <v>21578</v>
      </c>
      <c r="B1635" t="s">
        <v>18255</v>
      </c>
      <c r="C1635" t="s">
        <v>18256</v>
      </c>
      <c r="D1635" t="s">
        <v>18257</v>
      </c>
      <c r="E1635">
        <v>9100</v>
      </c>
      <c r="F1635" t="s">
        <v>18258</v>
      </c>
      <c r="G1635" t="s">
        <v>12218</v>
      </c>
      <c r="H1635" t="str">
        <f t="shared" si="50"/>
        <v>Andrews9100Odessa</v>
      </c>
      <c r="I1635" t="str">
        <f t="shared" si="51"/>
        <v>Andrews</v>
      </c>
      <c r="J1635" s="82">
        <f>IFERROR(INDEX('All Folders'!$A:$A,MATCH(H1635,'All Folders'!$G:$G,0),1),"¶")</f>
        <v>30620</v>
      </c>
      <c r="K1635" s="87"/>
      <c r="L1635" s="87"/>
    </row>
    <row r="1636" spans="1:12" x14ac:dyDescent="0.3">
      <c r="A1636" t="s">
        <v>21579</v>
      </c>
      <c r="B1636" t="s">
        <v>18259</v>
      </c>
      <c r="C1636" t="s">
        <v>18260</v>
      </c>
      <c r="D1636" t="s">
        <v>18261</v>
      </c>
      <c r="E1636">
        <v>5050</v>
      </c>
      <c r="F1636" t="s">
        <v>12229</v>
      </c>
      <c r="G1636" t="s">
        <v>12218</v>
      </c>
      <c r="H1636" t="str">
        <f t="shared" si="50"/>
        <v>Tanglewood5050Odessa</v>
      </c>
      <c r="I1636" t="str">
        <f t="shared" si="51"/>
        <v>Tanglewood</v>
      </c>
      <c r="J1636" s="82">
        <f>IFERROR(INDEX('All Folders'!$A:$A,MATCH(H1636,'All Folders'!$G:$G,0),1),"¶")</f>
        <v>30626</v>
      </c>
      <c r="K1636" s="87"/>
      <c r="L1636" s="87"/>
    </row>
    <row r="1637" spans="1:12" x14ac:dyDescent="0.3">
      <c r="A1637" t="s">
        <v>21580</v>
      </c>
      <c r="B1637" t="s">
        <v>18262</v>
      </c>
      <c r="C1637" t="s">
        <v>18263</v>
      </c>
      <c r="D1637" t="s">
        <v>18264</v>
      </c>
      <c r="E1637">
        <v>4100</v>
      </c>
      <c r="F1637" t="s">
        <v>18265</v>
      </c>
      <c r="G1637" t="s">
        <v>12218</v>
      </c>
      <c r="H1637" t="str">
        <f t="shared" si="50"/>
        <v>50th4100Odessa</v>
      </c>
      <c r="I1637" t="str">
        <f t="shared" si="51"/>
        <v>50th</v>
      </c>
      <c r="J1637" s="82">
        <f>IFERROR(INDEX('All Folders'!$A:$A,MATCH(H1637,'All Folders'!$G:$G,0),1),"¶")</f>
        <v>30621</v>
      </c>
      <c r="K1637" s="87"/>
      <c r="L1637" s="87"/>
    </row>
    <row r="1638" spans="1:12" x14ac:dyDescent="0.3">
      <c r="A1638" t="s">
        <v>21581</v>
      </c>
      <c r="B1638" t="s">
        <v>18266</v>
      </c>
      <c r="C1638" t="s">
        <v>18267</v>
      </c>
      <c r="D1638" t="s">
        <v>18268</v>
      </c>
      <c r="E1638">
        <v>3819</v>
      </c>
      <c r="F1638" t="s">
        <v>12330</v>
      </c>
      <c r="G1638" t="s">
        <v>12326</v>
      </c>
      <c r="H1638" t="str">
        <f t="shared" si="50"/>
        <v>Meeks3819Orange</v>
      </c>
      <c r="I1638" t="str">
        <f t="shared" si="51"/>
        <v>Meeks</v>
      </c>
      <c r="J1638" s="82">
        <f>IFERROR(INDEX('All Folders'!$A:$A,MATCH(H1638,'All Folders'!$G:$G,0),1),"¶")</f>
        <v>30693</v>
      </c>
      <c r="K1638" s="87"/>
      <c r="L1638" s="87"/>
    </row>
    <row r="1639" spans="1:12" x14ac:dyDescent="0.3">
      <c r="A1639" t="s">
        <v>21582</v>
      </c>
      <c r="B1639" t="s">
        <v>18269</v>
      </c>
      <c r="C1639" t="s">
        <v>18270</v>
      </c>
      <c r="D1639" t="s">
        <v>18271</v>
      </c>
      <c r="E1639">
        <v>4750</v>
      </c>
      <c r="F1639" t="s">
        <v>12328</v>
      </c>
      <c r="G1639" t="s">
        <v>12326</v>
      </c>
      <c r="H1639" t="str">
        <f t="shared" si="50"/>
        <v>Meeks4750Orange</v>
      </c>
      <c r="I1639" t="str">
        <f t="shared" si="51"/>
        <v>Meeks</v>
      </c>
      <c r="J1639" s="82">
        <f>IFERROR(INDEX('All Folders'!$A:$A,MATCH(H1639,'All Folders'!$G:$G,0),1),"¶")</f>
        <v>30692</v>
      </c>
      <c r="K1639" s="87"/>
      <c r="L1639" s="87"/>
    </row>
    <row r="1640" spans="1:12" x14ac:dyDescent="0.3">
      <c r="A1640" t="s">
        <v>21583</v>
      </c>
      <c r="B1640" t="s">
        <v>18272</v>
      </c>
      <c r="C1640" t="s">
        <v>18273</v>
      </c>
      <c r="D1640" t="s">
        <v>18274</v>
      </c>
      <c r="E1640">
        <v>3000</v>
      </c>
      <c r="F1640" t="s">
        <v>18275</v>
      </c>
      <c r="G1640" t="s">
        <v>12326</v>
      </c>
      <c r="H1640" t="str">
        <f t="shared" si="50"/>
        <v>MacArthur3000Orange</v>
      </c>
      <c r="I1640" t="str">
        <f t="shared" si="51"/>
        <v>MacArthur</v>
      </c>
      <c r="J1640" s="82">
        <f>IFERROR(INDEX('All Folders'!$A:$A,MATCH(H1640,'All Folders'!$G:$G,0),1),"¶")</f>
        <v>30691</v>
      </c>
      <c r="K1640" s="87"/>
      <c r="L1640" s="87"/>
    </row>
    <row r="1641" spans="1:12" x14ac:dyDescent="0.3">
      <c r="A1641" t="s">
        <v>21584</v>
      </c>
      <c r="B1641" t="s">
        <v>18276</v>
      </c>
      <c r="C1641" t="s">
        <v>18277</v>
      </c>
      <c r="D1641" t="s">
        <v>18278</v>
      </c>
      <c r="E1641">
        <v>4000</v>
      </c>
      <c r="F1641" t="s">
        <v>12438</v>
      </c>
      <c r="G1641" t="s">
        <v>12439</v>
      </c>
      <c r="H1641" t="str">
        <f t="shared" si="50"/>
        <v>Middlebrook4000Orlando</v>
      </c>
      <c r="I1641" t="str">
        <f t="shared" si="51"/>
        <v>Middlebrook</v>
      </c>
      <c r="J1641" s="82">
        <f>IFERROR(INDEX('All Folders'!$A:$A,MATCH(H1641,'All Folders'!$G:$G,0),1),"¶")</f>
        <v>30758</v>
      </c>
      <c r="K1641" s="87"/>
      <c r="L1641" s="87"/>
    </row>
    <row r="1642" spans="1:12" x14ac:dyDescent="0.3">
      <c r="A1642" t="s">
        <v>21585</v>
      </c>
      <c r="B1642" t="s">
        <v>18279</v>
      </c>
      <c r="C1642" t="s">
        <v>18280</v>
      </c>
      <c r="D1642" t="s">
        <v>18281</v>
      </c>
      <c r="E1642">
        <v>1020</v>
      </c>
      <c r="F1642" t="s">
        <v>18282</v>
      </c>
      <c r="G1642" t="s">
        <v>11931</v>
      </c>
      <c r="H1642" t="str">
        <f t="shared" si="50"/>
        <v>Sugar1020Palestine</v>
      </c>
      <c r="I1642" t="str">
        <f t="shared" si="51"/>
        <v>Sugar</v>
      </c>
      <c r="J1642" s="82">
        <f>IFERROR(INDEX('All Folders'!$A:$A,MATCH(H1642,'All Folders'!$G:$G,0),1),"¶")</f>
        <v>30409</v>
      </c>
      <c r="K1642" s="87"/>
      <c r="L1642" s="87"/>
    </row>
    <row r="1643" spans="1:12" x14ac:dyDescent="0.3">
      <c r="A1643" t="s">
        <v>21586</v>
      </c>
      <c r="B1643" t="s">
        <v>18283</v>
      </c>
      <c r="C1643" t="s">
        <v>18284</v>
      </c>
      <c r="D1643" t="s">
        <v>18281</v>
      </c>
      <c r="E1643">
        <v>1010</v>
      </c>
      <c r="F1643" t="s">
        <v>11932</v>
      </c>
      <c r="G1643" t="s">
        <v>11931</v>
      </c>
      <c r="H1643" t="str">
        <f t="shared" si="50"/>
        <v>Sugar1010Palestine</v>
      </c>
      <c r="I1643" t="str">
        <f t="shared" si="51"/>
        <v>Sugar</v>
      </c>
      <c r="J1643" s="82">
        <f>IFERROR(INDEX('All Folders'!$A:$A,MATCH(H1643,'All Folders'!$G:$G,0),1),"¶")</f>
        <v>30410</v>
      </c>
      <c r="K1643" s="87"/>
      <c r="L1643" s="87"/>
    </row>
    <row r="1644" spans="1:12" x14ac:dyDescent="0.3">
      <c r="A1644" t="s">
        <v>21588</v>
      </c>
      <c r="B1644" t="s">
        <v>18288</v>
      </c>
      <c r="C1644" t="s">
        <v>18289</v>
      </c>
      <c r="D1644" t="s">
        <v>18290</v>
      </c>
      <c r="E1644">
        <v>2193</v>
      </c>
      <c r="F1644" t="s">
        <v>11714</v>
      </c>
      <c r="G1644" t="s">
        <v>11711</v>
      </c>
      <c r="H1644" t="str">
        <f t="shared" si="50"/>
        <v>Cherry2193Paris</v>
      </c>
      <c r="I1644" t="str">
        <f t="shared" si="51"/>
        <v>Cherry</v>
      </c>
      <c r="J1644" s="82">
        <f>IFERROR(INDEX('All Folders'!$A:$A,MATCH(H1644,'All Folders'!$G:$G,0),1),"¶")</f>
        <v>30271</v>
      </c>
      <c r="K1644" s="87"/>
      <c r="L1644" s="87"/>
    </row>
    <row r="1645" spans="1:12" x14ac:dyDescent="0.3">
      <c r="A1645" t="s">
        <v>21589</v>
      </c>
      <c r="B1645" t="s">
        <v>18291</v>
      </c>
      <c r="C1645" t="s">
        <v>18292</v>
      </c>
      <c r="D1645" t="s">
        <v>18293</v>
      </c>
      <c r="E1645">
        <v>635</v>
      </c>
      <c r="F1645" t="s">
        <v>18294</v>
      </c>
      <c r="G1645" t="s">
        <v>11711</v>
      </c>
      <c r="H1645" t="str">
        <f t="shared" si="50"/>
        <v>7th635Paris</v>
      </c>
      <c r="I1645" t="str">
        <f t="shared" si="51"/>
        <v>7th</v>
      </c>
      <c r="J1645" s="82">
        <f>IFERROR(INDEX('All Folders'!$A:$A,MATCH(H1645,'All Folders'!$G:$G,0),1),"¶")</f>
        <v>30269</v>
      </c>
      <c r="K1645" s="87"/>
      <c r="L1645" s="87"/>
    </row>
    <row r="1646" spans="1:12" x14ac:dyDescent="0.3">
      <c r="A1646" t="s">
        <v>21590</v>
      </c>
      <c r="B1646" t="s">
        <v>18295</v>
      </c>
      <c r="C1646" t="s">
        <v>18296</v>
      </c>
      <c r="D1646" t="s">
        <v>18297</v>
      </c>
      <c r="E1646">
        <v>3125</v>
      </c>
      <c r="F1646" t="s">
        <v>1354</v>
      </c>
      <c r="G1646" t="s">
        <v>11711</v>
      </c>
      <c r="H1646" t="str">
        <f t="shared" si="50"/>
        <v>Clarksville3125Paris</v>
      </c>
      <c r="I1646" t="str">
        <f t="shared" si="51"/>
        <v>Clarksville</v>
      </c>
      <c r="J1646" s="82">
        <f>IFERROR(INDEX('All Folders'!$A:$A,MATCH(H1646,'All Folders'!$G:$G,0),1),"¶")</f>
        <v>30270</v>
      </c>
      <c r="K1646" s="87"/>
      <c r="L1646" s="87"/>
    </row>
    <row r="1647" spans="1:12" x14ac:dyDescent="0.3">
      <c r="A1647" t="s">
        <v>21591</v>
      </c>
      <c r="B1647" t="s">
        <v>18298</v>
      </c>
      <c r="C1647" t="s">
        <v>18299</v>
      </c>
      <c r="D1647" t="s">
        <v>18300</v>
      </c>
      <c r="E1647">
        <v>2526</v>
      </c>
      <c r="F1647" t="s">
        <v>18301</v>
      </c>
      <c r="G1647" t="s">
        <v>11711</v>
      </c>
      <c r="H1647" t="str">
        <f t="shared" si="50"/>
        <v>Lamar2526Paris</v>
      </c>
      <c r="I1647" t="str">
        <f t="shared" si="51"/>
        <v>Lamar</v>
      </c>
      <c r="J1647" s="82">
        <f>IFERROR(INDEX('All Folders'!$A:$A,MATCH(H1647,'All Folders'!$G:$G,0),1),"¶")</f>
        <v>30272</v>
      </c>
      <c r="K1647" s="87"/>
      <c r="L1647" s="87"/>
    </row>
    <row r="1648" spans="1:12" x14ac:dyDescent="0.3">
      <c r="A1648" t="s">
        <v>21592</v>
      </c>
      <c r="B1648" t="s">
        <v>18302</v>
      </c>
      <c r="C1648" t="s">
        <v>18303</v>
      </c>
      <c r="D1648" t="s">
        <v>18304</v>
      </c>
      <c r="E1648">
        <v>1111</v>
      </c>
      <c r="F1648" t="s">
        <v>18305</v>
      </c>
      <c r="G1648" t="s">
        <v>3924</v>
      </c>
      <c r="H1648" t="str">
        <f t="shared" si="50"/>
        <v>Queens1111Pasadena</v>
      </c>
      <c r="I1648" t="str">
        <f t="shared" si="51"/>
        <v>Queens</v>
      </c>
      <c r="J1648" s="82">
        <f>IFERROR(INDEX('All Folders'!$A:$A,MATCH(H1648,'All Folders'!$G:$G,0),1),"¶")</f>
        <v>3757</v>
      </c>
      <c r="K1648" s="87"/>
      <c r="L1648" s="87"/>
    </row>
    <row r="1649" spans="1:12" x14ac:dyDescent="0.3">
      <c r="A1649" t="s">
        <v>21593</v>
      </c>
      <c r="B1649" t="s">
        <v>18306</v>
      </c>
      <c r="C1649" t="s">
        <v>18307</v>
      </c>
      <c r="D1649" t="s">
        <v>18308</v>
      </c>
      <c r="E1649">
        <v>519</v>
      </c>
      <c r="F1649" t="s">
        <v>18309</v>
      </c>
      <c r="G1649" t="s">
        <v>3924</v>
      </c>
      <c r="H1649" t="str">
        <f t="shared" si="50"/>
        <v>Richey519Pasadena</v>
      </c>
      <c r="I1649" t="str">
        <f t="shared" si="51"/>
        <v>Richey</v>
      </c>
      <c r="J1649" s="82">
        <f>IFERROR(INDEX('All Folders'!$A:$A,MATCH(H1649,'All Folders'!$G:$G,0),1),"¶")</f>
        <v>3720</v>
      </c>
      <c r="K1649" s="87"/>
      <c r="L1649" s="87"/>
    </row>
    <row r="1650" spans="1:12" x14ac:dyDescent="0.3">
      <c r="A1650" t="s">
        <v>21594</v>
      </c>
      <c r="B1650" t="s">
        <v>18310</v>
      </c>
      <c r="C1650" t="s">
        <v>18311</v>
      </c>
      <c r="D1650" t="s">
        <v>18312</v>
      </c>
      <c r="E1650">
        <v>7201</v>
      </c>
      <c r="F1650" t="s">
        <v>18313</v>
      </c>
      <c r="G1650" t="s">
        <v>3924</v>
      </c>
      <c r="H1650" t="str">
        <f t="shared" si="50"/>
        <v>Spencer7201Pasadena</v>
      </c>
      <c r="I1650" t="str">
        <f t="shared" si="51"/>
        <v>Spencer</v>
      </c>
      <c r="J1650" s="82">
        <f>IFERROR(INDEX('All Folders'!$A:$A,MATCH(H1650,'All Folders'!$G:$G,0),1),"¶")</f>
        <v>3848</v>
      </c>
      <c r="K1650" s="87"/>
      <c r="L1650" s="87"/>
    </row>
    <row r="1651" spans="1:12" x14ac:dyDescent="0.3">
      <c r="A1651" t="s">
        <v>21595</v>
      </c>
      <c r="B1651" t="s">
        <v>18314</v>
      </c>
      <c r="C1651" t="s">
        <v>18315</v>
      </c>
      <c r="D1651" t="s">
        <v>18316</v>
      </c>
      <c r="E1651">
        <v>1120</v>
      </c>
      <c r="F1651" t="s">
        <v>18317</v>
      </c>
      <c r="G1651" t="s">
        <v>3924</v>
      </c>
      <c r="H1651" t="str">
        <f t="shared" si="50"/>
        <v>Red1120Pasadena</v>
      </c>
      <c r="I1651" t="str">
        <f t="shared" si="51"/>
        <v>Red</v>
      </c>
      <c r="J1651" s="82">
        <f>IFERROR(INDEX('All Folders'!$A:$A,MATCH(H1651,'All Folders'!$G:$G,0),1),"¶")</f>
        <v>3734</v>
      </c>
      <c r="K1651" s="87"/>
      <c r="L1651" s="87"/>
    </row>
    <row r="1652" spans="1:12" x14ac:dyDescent="0.3">
      <c r="A1652" t="s">
        <v>21597</v>
      </c>
      <c r="B1652" t="s">
        <v>18321</v>
      </c>
      <c r="C1652" t="s">
        <v>18322</v>
      </c>
      <c r="D1652" t="s">
        <v>18316</v>
      </c>
      <c r="E1652">
        <v>3823</v>
      </c>
      <c r="F1652" t="s">
        <v>18323</v>
      </c>
      <c r="G1652" t="s">
        <v>3924</v>
      </c>
      <c r="H1652" t="str">
        <f t="shared" si="50"/>
        <v>Red3823Pasadena</v>
      </c>
      <c r="I1652" t="str">
        <f t="shared" si="51"/>
        <v>Red</v>
      </c>
      <c r="J1652" s="82">
        <f>IFERROR(INDEX('All Folders'!$A:$A,MATCH(H1652,'All Folders'!$G:$G,0),1),"¶")</f>
        <v>3801</v>
      </c>
      <c r="K1652" s="87"/>
      <c r="L1652" s="87"/>
    </row>
    <row r="1653" spans="1:12" x14ac:dyDescent="0.3">
      <c r="A1653" t="s">
        <v>21598</v>
      </c>
      <c r="B1653" t="s">
        <v>18324</v>
      </c>
      <c r="C1653" t="s">
        <v>18325</v>
      </c>
      <c r="D1653" t="s">
        <v>18326</v>
      </c>
      <c r="E1653">
        <v>2800</v>
      </c>
      <c r="F1653" t="s">
        <v>18327</v>
      </c>
      <c r="G1653" t="s">
        <v>4369</v>
      </c>
      <c r="H1653" t="str">
        <f t="shared" si="50"/>
        <v>Tranquility2800Pearland</v>
      </c>
      <c r="I1653" t="str">
        <f t="shared" si="51"/>
        <v>Tranquility</v>
      </c>
      <c r="J1653" s="82">
        <f>IFERROR(INDEX('All Folders'!$A:$A,MATCH(H1653,'All Folders'!$G:$G,0),1),"¶")</f>
        <v>4601</v>
      </c>
      <c r="K1653" s="87"/>
      <c r="L1653" s="87"/>
    </row>
    <row r="1654" spans="1:12" x14ac:dyDescent="0.3">
      <c r="A1654" t="s">
        <v>21599</v>
      </c>
      <c r="B1654" t="s">
        <v>18328</v>
      </c>
      <c r="C1654" t="s">
        <v>18329</v>
      </c>
      <c r="D1654" t="s">
        <v>18330</v>
      </c>
      <c r="E1654">
        <v>1710</v>
      </c>
      <c r="F1654" t="s">
        <v>18331</v>
      </c>
      <c r="G1654" t="s">
        <v>4369</v>
      </c>
      <c r="H1654" t="str">
        <f t="shared" si="50"/>
        <v>Old1710Pearland</v>
      </c>
      <c r="I1654" t="str">
        <f t="shared" si="51"/>
        <v>Old</v>
      </c>
      <c r="J1654" s="82">
        <f>IFERROR(INDEX('All Folders'!$A:$A,MATCH(H1654,'All Folders'!$G:$G,0),1),"¶")</f>
        <v>16818</v>
      </c>
      <c r="K1654" s="87"/>
      <c r="L1654" s="87"/>
    </row>
    <row r="1655" spans="1:12" x14ac:dyDescent="0.3">
      <c r="A1655" t="s">
        <v>21600</v>
      </c>
      <c r="B1655" t="s">
        <v>18332</v>
      </c>
      <c r="C1655" t="s">
        <v>18333</v>
      </c>
      <c r="D1655" t="s">
        <v>18334</v>
      </c>
      <c r="E1655">
        <v>3340</v>
      </c>
      <c r="F1655" t="s">
        <v>548</v>
      </c>
      <c r="G1655" t="s">
        <v>4369</v>
      </c>
      <c r="H1655" t="str">
        <f t="shared" si="50"/>
        <v>Walnut3340Pearland</v>
      </c>
      <c r="I1655" t="str">
        <f t="shared" si="51"/>
        <v>Walnut</v>
      </c>
      <c r="J1655" s="82">
        <f>IFERROR(INDEX('All Folders'!$A:$A,MATCH(H1655,'All Folders'!$G:$G,0),1),"¶")</f>
        <v>4203</v>
      </c>
      <c r="K1655" s="87"/>
      <c r="L1655" s="87"/>
    </row>
    <row r="1656" spans="1:12" x14ac:dyDescent="0.3">
      <c r="A1656" t="s">
        <v>21601</v>
      </c>
      <c r="B1656" t="s">
        <v>18335</v>
      </c>
      <c r="C1656" t="s">
        <v>18336</v>
      </c>
      <c r="D1656" t="s">
        <v>18337</v>
      </c>
      <c r="E1656">
        <v>3510</v>
      </c>
      <c r="F1656" t="s">
        <v>4447</v>
      </c>
      <c r="G1656" t="s">
        <v>4369</v>
      </c>
      <c r="H1656" t="str">
        <f t="shared" si="50"/>
        <v>Broadway3510Pearland</v>
      </c>
      <c r="I1656" t="str">
        <f t="shared" si="51"/>
        <v>Broadway</v>
      </c>
      <c r="J1656" s="82">
        <f>IFERROR(INDEX('All Folders'!$A:$A,MATCH(H1656,'All Folders'!$G:$G,0),1),"¶")</f>
        <v>4159</v>
      </c>
      <c r="K1656" s="87"/>
      <c r="L1656" s="87"/>
    </row>
    <row r="1657" spans="1:12" x14ac:dyDescent="0.3">
      <c r="A1657" t="s">
        <v>21602</v>
      </c>
      <c r="B1657" t="s">
        <v>18338</v>
      </c>
      <c r="C1657" t="s">
        <v>18339</v>
      </c>
      <c r="D1657" t="s">
        <v>18337</v>
      </c>
      <c r="E1657">
        <v>3512</v>
      </c>
      <c r="F1657" t="s">
        <v>4409</v>
      </c>
      <c r="G1657" t="s">
        <v>4369</v>
      </c>
      <c r="H1657" t="str">
        <f t="shared" si="50"/>
        <v>Broadway3512Pearland</v>
      </c>
      <c r="I1657" t="str">
        <f t="shared" si="51"/>
        <v>Broadway</v>
      </c>
      <c r="J1657" s="82">
        <f>IFERROR(INDEX('All Folders'!$A:$A,MATCH(H1657,'All Folders'!$G:$G,0),1),"¶")</f>
        <v>4131</v>
      </c>
      <c r="K1657" s="87"/>
      <c r="L1657" s="87"/>
    </row>
    <row r="1658" spans="1:12" x14ac:dyDescent="0.3">
      <c r="A1658" t="s">
        <v>21603</v>
      </c>
      <c r="B1658" t="s">
        <v>18340</v>
      </c>
      <c r="C1658" t="s">
        <v>18341</v>
      </c>
      <c r="D1658" t="s">
        <v>18342</v>
      </c>
      <c r="E1658">
        <v>2900</v>
      </c>
      <c r="F1658" t="s">
        <v>18343</v>
      </c>
      <c r="G1658" t="s">
        <v>4369</v>
      </c>
      <c r="H1658" t="str">
        <f t="shared" si="50"/>
        <v>Pearland2900Pearland</v>
      </c>
      <c r="I1658" t="str">
        <f t="shared" si="51"/>
        <v>Pearland</v>
      </c>
      <c r="J1658" s="82">
        <f>IFERROR(INDEX('All Folders'!$A:$A,MATCH(H1658,'All Folders'!$G:$G,0),1),"¶")</f>
        <v>4150</v>
      </c>
      <c r="K1658" s="87"/>
      <c r="L1658" s="87"/>
    </row>
    <row r="1659" spans="1:12" x14ac:dyDescent="0.3">
      <c r="A1659" t="s">
        <v>21604</v>
      </c>
      <c r="B1659" t="s">
        <v>18344</v>
      </c>
      <c r="C1659" t="s">
        <v>18345</v>
      </c>
      <c r="D1659" t="s">
        <v>18346</v>
      </c>
      <c r="E1659">
        <v>20900</v>
      </c>
      <c r="F1659" t="s">
        <v>12464</v>
      </c>
      <c r="G1659" t="s">
        <v>12465</v>
      </c>
      <c r="H1659" t="str">
        <f t="shared" si="50"/>
        <v>River20900Petersburg</v>
      </c>
      <c r="I1659" t="str">
        <f t="shared" si="51"/>
        <v>River</v>
      </c>
      <c r="J1659" s="82">
        <f>IFERROR(INDEX('All Folders'!$A:$A,MATCH(H1659,'All Folders'!$G:$G,0),1),"¶")</f>
        <v>30770</v>
      </c>
      <c r="K1659" s="87"/>
      <c r="L1659" s="87"/>
    </row>
    <row r="1660" spans="1:12" x14ac:dyDescent="0.3">
      <c r="A1660" t="s">
        <v>21605</v>
      </c>
      <c r="B1660" t="s">
        <v>18347</v>
      </c>
      <c r="C1660" t="s">
        <v>18348</v>
      </c>
      <c r="D1660" t="s">
        <v>18349</v>
      </c>
      <c r="E1660">
        <v>15835</v>
      </c>
      <c r="F1660" t="s">
        <v>18350</v>
      </c>
      <c r="G1660" t="s">
        <v>367</v>
      </c>
      <c r="H1660" t="str">
        <f t="shared" si="50"/>
        <v>Foothill15835Pflugerville</v>
      </c>
      <c r="I1660" t="str">
        <f t="shared" si="51"/>
        <v>Foothill</v>
      </c>
      <c r="J1660" s="82">
        <f>IFERROR(INDEX('All Folders'!$A:$A,MATCH(H1660,'All Folders'!$G:$G,0),1),"¶")</f>
        <v>578</v>
      </c>
      <c r="K1660" s="87"/>
      <c r="L1660" s="87"/>
    </row>
    <row r="1661" spans="1:12" x14ac:dyDescent="0.3">
      <c r="A1661" t="s">
        <v>21606</v>
      </c>
      <c r="B1661" t="s">
        <v>18351</v>
      </c>
      <c r="C1661" t="s">
        <v>18352</v>
      </c>
      <c r="D1661" t="s">
        <v>18353</v>
      </c>
      <c r="E1661">
        <v>2521</v>
      </c>
      <c r="F1661" t="s">
        <v>12646</v>
      </c>
      <c r="G1661" t="s">
        <v>12647</v>
      </c>
      <c r="H1661" t="str">
        <f t="shared" si="50"/>
        <v>Elm2521Phoenix</v>
      </c>
      <c r="I1661" t="str">
        <f t="shared" si="51"/>
        <v>Elm</v>
      </c>
      <c r="J1661" s="82" t="str">
        <f>IFERROR(INDEX('All Folders'!$A:$A,MATCH(H1661,'All Folders'!$G:$G,0),1),"¶")</f>
        <v>SP164</v>
      </c>
      <c r="K1661" s="87"/>
      <c r="L1661" s="87"/>
    </row>
    <row r="1662" spans="1:12" x14ac:dyDescent="0.3">
      <c r="A1662" t="s">
        <v>21608</v>
      </c>
      <c r="B1662" t="s">
        <v>18357</v>
      </c>
      <c r="C1662" t="s">
        <v>18358</v>
      </c>
      <c r="D1662" t="s">
        <v>18359</v>
      </c>
      <c r="E1662">
        <v>1901</v>
      </c>
      <c r="F1662" t="s">
        <v>6904</v>
      </c>
      <c r="G1662" t="s">
        <v>5009</v>
      </c>
      <c r="H1662" t="str">
        <f t="shared" si="50"/>
        <v>15th1901Plano</v>
      </c>
      <c r="I1662" t="str">
        <f t="shared" si="51"/>
        <v>15th</v>
      </c>
      <c r="J1662" s="82">
        <f>IFERROR(INDEX('All Folders'!$A:$A,MATCH(H1662,'All Folders'!$G:$G,0),1),"¶")</f>
        <v>14556</v>
      </c>
      <c r="K1662" s="87"/>
      <c r="L1662" s="87"/>
    </row>
    <row r="1663" spans="1:12" x14ac:dyDescent="0.3">
      <c r="A1663" t="s">
        <v>21609</v>
      </c>
      <c r="B1663" t="s">
        <v>18360</v>
      </c>
      <c r="C1663" t="s">
        <v>18361</v>
      </c>
      <c r="D1663" t="s">
        <v>18362</v>
      </c>
      <c r="E1663">
        <v>600</v>
      </c>
      <c r="F1663" t="s">
        <v>18363</v>
      </c>
      <c r="G1663" t="s">
        <v>5009</v>
      </c>
      <c r="H1663" t="str">
        <f t="shared" si="50"/>
        <v>Legacy600Plano</v>
      </c>
      <c r="I1663" t="str">
        <f t="shared" si="51"/>
        <v>Legacy</v>
      </c>
      <c r="J1663" s="82">
        <f>IFERROR(INDEX('All Folders'!$A:$A,MATCH(H1663,'All Folders'!$G:$G,0),1),"¶")</f>
        <v>13092</v>
      </c>
      <c r="K1663" s="87"/>
      <c r="L1663" s="87"/>
    </row>
    <row r="1664" spans="1:12" x14ac:dyDescent="0.3">
      <c r="A1664" t="s">
        <v>21610</v>
      </c>
      <c r="B1664" t="s">
        <v>18364</v>
      </c>
      <c r="C1664" t="s">
        <v>18365</v>
      </c>
      <c r="D1664" t="s">
        <v>18366</v>
      </c>
      <c r="E1664">
        <v>1717</v>
      </c>
      <c r="F1664" t="s">
        <v>2622</v>
      </c>
      <c r="G1664" t="s">
        <v>5009</v>
      </c>
      <c r="H1664" t="str">
        <f t="shared" si="50"/>
        <v>Independence1717Plano</v>
      </c>
      <c r="I1664" t="str">
        <f t="shared" si="51"/>
        <v>Independence</v>
      </c>
      <c r="J1664" s="82">
        <f>IFERROR(INDEX('All Folders'!$A:$A,MATCH(H1664,'All Folders'!$G:$G,0),1),"¶")</f>
        <v>14610</v>
      </c>
      <c r="K1664" s="87"/>
      <c r="L1664" s="87"/>
    </row>
    <row r="1665" spans="1:12" x14ac:dyDescent="0.3">
      <c r="A1665" t="s">
        <v>21612</v>
      </c>
      <c r="B1665" t="s">
        <v>18371</v>
      </c>
      <c r="C1665" t="s">
        <v>18372</v>
      </c>
      <c r="D1665" t="s">
        <v>18373</v>
      </c>
      <c r="E1665">
        <v>1901</v>
      </c>
      <c r="F1665" t="s">
        <v>1080</v>
      </c>
      <c r="G1665" t="s">
        <v>5009</v>
      </c>
      <c r="H1665" t="str">
        <f t="shared" si="50"/>
        <v>Spring1901Plano</v>
      </c>
      <c r="I1665" t="str">
        <f t="shared" si="51"/>
        <v>Spring</v>
      </c>
      <c r="J1665" s="82">
        <f>IFERROR(INDEX('All Folders'!$A:$A,MATCH(H1665,'All Folders'!$G:$G,0),1),"¶")</f>
        <v>13503</v>
      </c>
      <c r="K1665" s="87"/>
      <c r="L1665" s="87"/>
    </row>
    <row r="1666" spans="1:12" x14ac:dyDescent="0.3">
      <c r="A1666" t="s">
        <v>21613</v>
      </c>
      <c r="B1666" t="s">
        <v>18374</v>
      </c>
      <c r="C1666" t="s">
        <v>18375</v>
      </c>
      <c r="D1666" t="s">
        <v>18366</v>
      </c>
      <c r="E1666">
        <v>6400</v>
      </c>
      <c r="F1666" t="s">
        <v>1113</v>
      </c>
      <c r="G1666" t="s">
        <v>5009</v>
      </c>
      <c r="H1666" t="str">
        <f t="shared" ref="H1666:H1729" si="52">I1666&amp;E1666&amp;G1666</f>
        <v>Independence6400Plano</v>
      </c>
      <c r="I1666" t="str">
        <f t="shared" ref="I1666:I1729" si="53">IFERROR(LEFT(D1666,FIND(" ",D1666)-1),D1666)</f>
        <v>Independence</v>
      </c>
      <c r="J1666" s="82">
        <f>IFERROR(INDEX('All Folders'!$A:$A,MATCH(H1666,'All Folders'!$G:$G,0),1),"¶")</f>
        <v>13578</v>
      </c>
      <c r="K1666" s="87"/>
      <c r="L1666" s="87"/>
    </row>
    <row r="1667" spans="1:12" x14ac:dyDescent="0.3">
      <c r="A1667" t="s">
        <v>21614</v>
      </c>
      <c r="B1667" t="s">
        <v>18376</v>
      </c>
      <c r="C1667" t="s">
        <v>18377</v>
      </c>
      <c r="D1667" t="s">
        <v>18378</v>
      </c>
      <c r="E1667">
        <v>1201</v>
      </c>
      <c r="F1667" t="s">
        <v>18379</v>
      </c>
      <c r="G1667" t="s">
        <v>5009</v>
      </c>
      <c r="H1667" t="str">
        <f t="shared" si="52"/>
        <v>Park1201Plano</v>
      </c>
      <c r="I1667" t="str">
        <f t="shared" si="53"/>
        <v>Park</v>
      </c>
      <c r="J1667" s="82">
        <f>IFERROR(INDEX('All Folders'!$A:$A,MATCH(H1667,'All Folders'!$G:$G,0),1),"¶")</f>
        <v>13734</v>
      </c>
      <c r="K1667" s="87"/>
      <c r="L1667" s="87"/>
    </row>
    <row r="1668" spans="1:12" x14ac:dyDescent="0.3">
      <c r="A1668" t="s">
        <v>21615</v>
      </c>
      <c r="B1668" t="s">
        <v>18380</v>
      </c>
      <c r="C1668" t="s">
        <v>18381</v>
      </c>
      <c r="D1668" t="s">
        <v>18382</v>
      </c>
      <c r="E1668">
        <v>2821</v>
      </c>
      <c r="F1668" t="s">
        <v>81</v>
      </c>
      <c r="G1668" t="s">
        <v>5009</v>
      </c>
      <c r="H1668" t="str">
        <f t="shared" si="52"/>
        <v>Townbluff2821Plano</v>
      </c>
      <c r="I1668" t="str">
        <f t="shared" si="53"/>
        <v>Townbluff</v>
      </c>
      <c r="J1668" s="82">
        <f>IFERROR(INDEX('All Folders'!$A:$A,MATCH(H1668,'All Folders'!$G:$G,0),1),"¶")</f>
        <v>15693</v>
      </c>
      <c r="K1668" s="87"/>
      <c r="L1668" s="87"/>
    </row>
    <row r="1669" spans="1:12" x14ac:dyDescent="0.3">
      <c r="A1669" t="s">
        <v>21616</v>
      </c>
      <c r="B1669" t="s">
        <v>18383</v>
      </c>
      <c r="C1669" t="s">
        <v>18384</v>
      </c>
      <c r="D1669" t="s">
        <v>18385</v>
      </c>
      <c r="E1669">
        <v>623</v>
      </c>
      <c r="F1669" t="s">
        <v>18386</v>
      </c>
      <c r="G1669" t="s">
        <v>5009</v>
      </c>
      <c r="H1669" t="str">
        <f t="shared" si="52"/>
        <v>16th623Plano</v>
      </c>
      <c r="I1669" t="str">
        <f t="shared" si="53"/>
        <v>16th</v>
      </c>
      <c r="J1669" s="82">
        <f>IFERROR(INDEX('All Folders'!$A:$A,MATCH(H1669,'All Folders'!$G:$G,0),1),"¶")</f>
        <v>14741</v>
      </c>
      <c r="K1669" s="87"/>
      <c r="L1669" s="87"/>
    </row>
    <row r="1670" spans="1:12" x14ac:dyDescent="0.3">
      <c r="A1670" t="s">
        <v>21617</v>
      </c>
      <c r="B1670" t="s">
        <v>18387</v>
      </c>
      <c r="C1670" t="s">
        <v>18388</v>
      </c>
      <c r="D1670" t="s">
        <v>18389</v>
      </c>
      <c r="E1670">
        <v>6300</v>
      </c>
      <c r="F1670" t="s">
        <v>18390</v>
      </c>
      <c r="G1670" t="s">
        <v>5009</v>
      </c>
      <c r="H1670" t="str">
        <f t="shared" si="52"/>
        <v>Roundrock6300Plano</v>
      </c>
      <c r="I1670" t="str">
        <f t="shared" si="53"/>
        <v>Roundrock</v>
      </c>
      <c r="J1670" s="82">
        <f>IFERROR(INDEX('All Folders'!$A:$A,MATCH(H1670,'All Folders'!$G:$G,0),1),"¶")</f>
        <v>13454</v>
      </c>
      <c r="K1670" s="87"/>
      <c r="L1670" s="87"/>
    </row>
    <row r="1671" spans="1:12" x14ac:dyDescent="0.3">
      <c r="A1671" t="s">
        <v>21620</v>
      </c>
      <c r="B1671" t="s">
        <v>18399</v>
      </c>
      <c r="C1671" t="s">
        <v>18400</v>
      </c>
      <c r="D1671" t="s">
        <v>18378</v>
      </c>
      <c r="E1671">
        <v>3500</v>
      </c>
      <c r="F1671" t="s">
        <v>18401</v>
      </c>
      <c r="G1671" t="s">
        <v>5009</v>
      </c>
      <c r="H1671" t="str">
        <f t="shared" si="52"/>
        <v>Park3500Plano</v>
      </c>
      <c r="I1671" t="str">
        <f t="shared" si="53"/>
        <v>Park</v>
      </c>
      <c r="J1671" s="82">
        <f>IFERROR(INDEX('All Folders'!$A:$A,MATCH(H1671,'All Folders'!$G:$G,0),1),"¶")</f>
        <v>14605</v>
      </c>
      <c r="K1671" s="87"/>
      <c r="L1671" s="87"/>
    </row>
    <row r="1672" spans="1:12" x14ac:dyDescent="0.3">
      <c r="A1672" t="s">
        <v>21621</v>
      </c>
      <c r="B1672" t="s">
        <v>18402</v>
      </c>
      <c r="C1672" t="s">
        <v>18403</v>
      </c>
      <c r="D1672" t="s">
        <v>17790</v>
      </c>
      <c r="E1672">
        <v>6301</v>
      </c>
      <c r="F1672" t="s">
        <v>5864</v>
      </c>
      <c r="G1672" t="s">
        <v>5009</v>
      </c>
      <c r="H1672" t="str">
        <f t="shared" si="52"/>
        <v>Windhaven6301Plano</v>
      </c>
      <c r="I1672" t="str">
        <f t="shared" si="53"/>
        <v>Windhaven</v>
      </c>
      <c r="J1672" s="82">
        <f>IFERROR(INDEX('All Folders'!$A:$A,MATCH(H1672,'All Folders'!$G:$G,0),1),"¶")</f>
        <v>13688</v>
      </c>
      <c r="K1672" s="87"/>
      <c r="L1672" s="87"/>
    </row>
    <row r="1673" spans="1:12" x14ac:dyDescent="0.3">
      <c r="A1673" t="s">
        <v>21622</v>
      </c>
      <c r="B1673" t="s">
        <v>18404</v>
      </c>
      <c r="C1673" t="s">
        <v>18405</v>
      </c>
      <c r="D1673" t="s">
        <v>6542</v>
      </c>
      <c r="E1673">
        <v>4701</v>
      </c>
      <c r="F1673" t="s">
        <v>18406</v>
      </c>
      <c r="G1673" t="s">
        <v>5009</v>
      </c>
      <c r="H1673" t="str">
        <f t="shared" si="52"/>
        <v>Charles4701Plano</v>
      </c>
      <c r="I1673" t="str">
        <f t="shared" si="53"/>
        <v>Charles</v>
      </c>
      <c r="J1673" s="82">
        <f>IFERROR(INDEX('All Folders'!$A:$A,MATCH(H1673,'All Folders'!$G:$G,0),1),"¶")</f>
        <v>14268</v>
      </c>
      <c r="K1673" s="87"/>
      <c r="L1673" s="87"/>
    </row>
    <row r="1674" spans="1:12" x14ac:dyDescent="0.3">
      <c r="A1674" t="s">
        <v>21623</v>
      </c>
      <c r="B1674" t="s">
        <v>18407</v>
      </c>
      <c r="C1674" t="s">
        <v>18408</v>
      </c>
      <c r="D1674" t="s">
        <v>18409</v>
      </c>
      <c r="E1674">
        <v>6301</v>
      </c>
      <c r="F1674" t="s">
        <v>18410</v>
      </c>
      <c r="G1674" t="s">
        <v>5009</v>
      </c>
      <c r="H1674" t="str">
        <f t="shared" si="52"/>
        <v>Stonewood6301Plano</v>
      </c>
      <c r="I1674" t="str">
        <f t="shared" si="53"/>
        <v>Stonewood</v>
      </c>
      <c r="J1674" s="82">
        <f>IFERROR(INDEX('All Folders'!$A:$A,MATCH(H1674,'All Folders'!$G:$G,0),1),"¶")</f>
        <v>15470</v>
      </c>
      <c r="K1674" s="87"/>
      <c r="L1674" s="87"/>
    </row>
    <row r="1675" spans="1:12" x14ac:dyDescent="0.3">
      <c r="A1675" t="s">
        <v>21624</v>
      </c>
      <c r="B1675" t="s">
        <v>18411</v>
      </c>
      <c r="C1675" t="s">
        <v>18412</v>
      </c>
      <c r="D1675" t="s">
        <v>18413</v>
      </c>
      <c r="E1675">
        <v>3500</v>
      </c>
      <c r="F1675" t="s">
        <v>18414</v>
      </c>
      <c r="G1675" t="s">
        <v>12334</v>
      </c>
      <c r="H1675" t="str">
        <f t="shared" si="52"/>
        <v>Normandy3500Port Arthur</v>
      </c>
      <c r="I1675" t="str">
        <f t="shared" si="53"/>
        <v>Normandy</v>
      </c>
      <c r="J1675" s="82">
        <f>IFERROR(INDEX('All Folders'!$A:$A,MATCH(H1675,'All Folders'!$G:$G,0),1),"¶")</f>
        <v>30697</v>
      </c>
      <c r="K1675" s="87"/>
      <c r="L1675" s="87"/>
    </row>
    <row r="1676" spans="1:12" x14ac:dyDescent="0.3">
      <c r="A1676" t="s">
        <v>21625</v>
      </c>
      <c r="B1676" t="s">
        <v>18415</v>
      </c>
      <c r="C1676" t="s">
        <v>18416</v>
      </c>
      <c r="D1676" t="s">
        <v>18417</v>
      </c>
      <c r="E1676">
        <v>440</v>
      </c>
      <c r="F1676" t="s">
        <v>12333</v>
      </c>
      <c r="G1676" t="s">
        <v>12334</v>
      </c>
      <c r="H1676" t="str">
        <f t="shared" si="52"/>
        <v>Austin440Port Arthur</v>
      </c>
      <c r="I1676" t="str">
        <f t="shared" si="53"/>
        <v>Austin</v>
      </c>
      <c r="J1676" s="82">
        <f>IFERROR(INDEX('All Folders'!$A:$A,MATCH(H1676,'All Folders'!$G:$G,0),1),"¶")</f>
        <v>30695</v>
      </c>
      <c r="K1676" s="87"/>
      <c r="L1676" s="87"/>
    </row>
    <row r="1677" spans="1:12" x14ac:dyDescent="0.3">
      <c r="A1677" t="s">
        <v>21626</v>
      </c>
      <c r="B1677" t="s">
        <v>18418</v>
      </c>
      <c r="C1677" t="s">
        <v>18419</v>
      </c>
      <c r="D1677" t="s">
        <v>18420</v>
      </c>
      <c r="E1677">
        <v>1401</v>
      </c>
      <c r="F1677" t="s">
        <v>18421</v>
      </c>
      <c r="G1677" t="s">
        <v>12334</v>
      </c>
      <c r="H1677" t="str">
        <f t="shared" si="52"/>
        <v>Poole1401Port Arthur</v>
      </c>
      <c r="I1677" t="str">
        <f t="shared" si="53"/>
        <v>Poole</v>
      </c>
      <c r="J1677" s="82">
        <f>IFERROR(INDEX('All Folders'!$A:$A,MATCH(H1677,'All Folders'!$G:$G,0),1),"¶")</f>
        <v>30698</v>
      </c>
      <c r="K1677" s="87"/>
      <c r="L1677" s="87"/>
    </row>
    <row r="1678" spans="1:12" x14ac:dyDescent="0.3">
      <c r="A1678" t="s">
        <v>21627</v>
      </c>
      <c r="B1678" t="s">
        <v>18422</v>
      </c>
      <c r="C1678" t="s">
        <v>18423</v>
      </c>
      <c r="D1678" t="s">
        <v>18424</v>
      </c>
      <c r="E1678">
        <v>1506</v>
      </c>
      <c r="F1678" t="s">
        <v>12654</v>
      </c>
      <c r="G1678" t="s">
        <v>12655</v>
      </c>
      <c r="H1678" t="str">
        <f t="shared" si="52"/>
        <v>1001506Port Isabel</v>
      </c>
      <c r="I1678" t="str">
        <f t="shared" si="53"/>
        <v>100</v>
      </c>
      <c r="J1678" s="82" t="str">
        <f>IFERROR(INDEX('All Folders'!$A:$A,MATCH(H1678,'All Folders'!$G:$G,0),1),"¶")</f>
        <v>SP166</v>
      </c>
      <c r="K1678" s="87"/>
      <c r="L1678" s="87"/>
    </row>
    <row r="1679" spans="1:12" x14ac:dyDescent="0.3">
      <c r="A1679" t="s">
        <v>21628</v>
      </c>
      <c r="B1679" t="s">
        <v>18425</v>
      </c>
      <c r="C1679" t="s">
        <v>18426</v>
      </c>
      <c r="D1679" t="s">
        <v>18427</v>
      </c>
      <c r="E1679">
        <v>877</v>
      </c>
      <c r="F1679" t="s">
        <v>1160</v>
      </c>
      <c r="G1679" t="s">
        <v>18428</v>
      </c>
      <c r="H1679" t="str">
        <f t="shared" si="52"/>
        <v>Ridgewood877Port Neches</v>
      </c>
      <c r="I1679" t="str">
        <f t="shared" si="53"/>
        <v>Ridgewood</v>
      </c>
      <c r="J1679" s="82">
        <f>IFERROR(INDEX('All Folders'!$A:$A,MATCH(H1679,'All Folders'!$G:$G,0),1),"¶")</f>
        <v>30699</v>
      </c>
      <c r="K1679" s="87"/>
      <c r="L1679" s="87"/>
    </row>
    <row r="1680" spans="1:12" x14ac:dyDescent="0.3">
      <c r="A1680" t="s">
        <v>21629</v>
      </c>
      <c r="B1680" t="s">
        <v>18429</v>
      </c>
      <c r="C1680" t="s">
        <v>18430</v>
      </c>
      <c r="D1680" t="s">
        <v>18431</v>
      </c>
      <c r="E1680">
        <v>21899</v>
      </c>
      <c r="F1680" t="s">
        <v>18432</v>
      </c>
      <c r="G1680" t="s">
        <v>4688</v>
      </c>
      <c r="H1680" t="str">
        <f t="shared" si="52"/>
        <v>Valley21899Porter</v>
      </c>
      <c r="I1680" t="str">
        <f t="shared" si="53"/>
        <v>Valley</v>
      </c>
      <c r="J1680" s="82">
        <f>IFERROR(INDEX('All Folders'!$A:$A,MATCH(H1680,'All Folders'!$G:$G,0),1),"¶")</f>
        <v>30515</v>
      </c>
      <c r="K1680" s="87"/>
      <c r="L1680" s="87"/>
    </row>
    <row r="1681" spans="1:12" x14ac:dyDescent="0.3">
      <c r="A1681" t="s">
        <v>21630</v>
      </c>
      <c r="B1681" t="s">
        <v>18433</v>
      </c>
      <c r="C1681" t="s">
        <v>18434</v>
      </c>
      <c r="D1681" t="s">
        <v>18435</v>
      </c>
      <c r="E1681">
        <v>1617</v>
      </c>
      <c r="F1681" t="s">
        <v>18436</v>
      </c>
      <c r="G1681" t="s">
        <v>3148</v>
      </c>
      <c r="H1681" t="str">
        <f t="shared" si="52"/>
        <v>Cimmarron1617Portland</v>
      </c>
      <c r="I1681" t="str">
        <f t="shared" si="53"/>
        <v>Cimmarron</v>
      </c>
      <c r="J1681" s="82">
        <f>IFERROR(INDEX('All Folders'!$A:$A,MATCH(H1681,'All Folders'!$G:$G,0),1),"¶")</f>
        <v>30376</v>
      </c>
      <c r="K1681" s="87"/>
      <c r="L1681" s="87"/>
    </row>
    <row r="1682" spans="1:12" x14ac:dyDescent="0.3">
      <c r="A1682" t="s">
        <v>21631</v>
      </c>
      <c r="B1682" t="s">
        <v>18437</v>
      </c>
      <c r="C1682" t="s">
        <v>18438</v>
      </c>
      <c r="D1682" t="s">
        <v>18439</v>
      </c>
      <c r="E1682">
        <v>500</v>
      </c>
      <c r="F1682" t="s">
        <v>18440</v>
      </c>
      <c r="G1682" t="s">
        <v>7563</v>
      </c>
      <c r="H1682" t="str">
        <f t="shared" si="52"/>
        <v>Hazelwood500Princeton</v>
      </c>
      <c r="I1682" t="str">
        <f t="shared" si="53"/>
        <v>Hazelwood</v>
      </c>
      <c r="J1682" s="82" t="str">
        <f>IFERROR(INDEX('All Folders'!$A:$A,MATCH(H1682,'All Folders'!$G:$G,0),1),"¶")</f>
        <v>SP168</v>
      </c>
      <c r="K1682" s="87"/>
      <c r="L1682" s="87"/>
    </row>
    <row r="1683" spans="1:12" x14ac:dyDescent="0.3">
      <c r="A1683" t="s">
        <v>21633</v>
      </c>
      <c r="B1683" t="s">
        <v>18444</v>
      </c>
      <c r="C1683" t="s">
        <v>18445</v>
      </c>
      <c r="D1683" t="s">
        <v>18446</v>
      </c>
      <c r="E1683">
        <v>407</v>
      </c>
      <c r="F1683" t="s">
        <v>11658</v>
      </c>
      <c r="G1683" t="s">
        <v>5862</v>
      </c>
      <c r="H1683" t="str">
        <f t="shared" si="52"/>
        <v>Red407Red Oak</v>
      </c>
      <c r="I1683" t="str">
        <f t="shared" si="53"/>
        <v>Red</v>
      </c>
      <c r="J1683" s="82">
        <f>IFERROR(INDEX('All Folders'!$A:$A,MATCH(H1683,'All Folders'!$G:$G,0),1),"¶")</f>
        <v>30230</v>
      </c>
      <c r="K1683" s="87"/>
      <c r="L1683" s="87"/>
    </row>
    <row r="1684" spans="1:12" x14ac:dyDescent="0.3">
      <c r="A1684" t="s">
        <v>21634</v>
      </c>
      <c r="B1684" t="s">
        <v>18447</v>
      </c>
      <c r="C1684" t="s">
        <v>18448</v>
      </c>
      <c r="D1684" t="s">
        <v>18449</v>
      </c>
      <c r="E1684">
        <v>600</v>
      </c>
      <c r="F1684" t="s">
        <v>12663</v>
      </c>
      <c r="G1684" t="s">
        <v>5862</v>
      </c>
      <c r="H1684" t="str">
        <f t="shared" si="52"/>
        <v>Methodist600Red Oak</v>
      </c>
      <c r="I1684" t="str">
        <f t="shared" si="53"/>
        <v>Methodist</v>
      </c>
      <c r="J1684" s="82" t="str">
        <f>IFERROR(INDEX('All Folders'!$A:$A,MATCH(H1684,'All Folders'!$G:$G,0),1),"¶")</f>
        <v>SP169</v>
      </c>
      <c r="K1684" s="87"/>
      <c r="L1684" s="87"/>
    </row>
    <row r="1685" spans="1:12" x14ac:dyDescent="0.3">
      <c r="A1685" t="s">
        <v>21635</v>
      </c>
      <c r="B1685" t="s">
        <v>18450</v>
      </c>
      <c r="C1685" t="s">
        <v>18451</v>
      </c>
      <c r="D1685" t="s">
        <v>18452</v>
      </c>
      <c r="E1685">
        <v>1400</v>
      </c>
      <c r="F1685" t="s">
        <v>18453</v>
      </c>
      <c r="G1685" t="s">
        <v>3328</v>
      </c>
      <c r="H1685" t="str">
        <f t="shared" si="52"/>
        <v>Cavalier1400Richardson</v>
      </c>
      <c r="I1685" t="str">
        <f t="shared" si="53"/>
        <v>Cavalier</v>
      </c>
      <c r="J1685" s="82">
        <f>IFERROR(INDEX('All Folders'!$A:$A,MATCH(H1685,'All Folders'!$G:$G,0),1),"¶")</f>
        <v>30231</v>
      </c>
      <c r="K1685" s="87"/>
      <c r="L1685" s="87"/>
    </row>
    <row r="1686" spans="1:12" x14ac:dyDescent="0.3">
      <c r="A1686" t="s">
        <v>21636</v>
      </c>
      <c r="B1686" t="s">
        <v>18454</v>
      </c>
      <c r="C1686" t="s">
        <v>18455</v>
      </c>
      <c r="D1686" t="s">
        <v>18456</v>
      </c>
      <c r="E1686">
        <v>1520</v>
      </c>
      <c r="F1686" t="s">
        <v>18457</v>
      </c>
      <c r="G1686" t="s">
        <v>3328</v>
      </c>
      <c r="H1686" t="str">
        <f t="shared" si="52"/>
        <v>Richardson1520Richardson</v>
      </c>
      <c r="I1686" t="str">
        <f t="shared" si="53"/>
        <v>Richardson</v>
      </c>
      <c r="J1686" s="82">
        <f>IFERROR(INDEX('All Folders'!$A:$A,MATCH(H1686,'All Folders'!$G:$G,0),1),"¶")</f>
        <v>13703</v>
      </c>
      <c r="K1686" s="87"/>
      <c r="L1686" s="87"/>
    </row>
    <row r="1687" spans="1:12" x14ac:dyDescent="0.3">
      <c r="A1687" t="s">
        <v>21637</v>
      </c>
      <c r="B1687" t="s">
        <v>18458</v>
      </c>
      <c r="C1687" t="s">
        <v>18459</v>
      </c>
      <c r="D1687" t="s">
        <v>18460</v>
      </c>
      <c r="E1687">
        <v>3204</v>
      </c>
      <c r="F1687" t="s">
        <v>18461</v>
      </c>
      <c r="G1687" t="s">
        <v>3328</v>
      </c>
      <c r="H1687" t="str">
        <f t="shared" si="52"/>
        <v>Foxboro3204Richardson</v>
      </c>
      <c r="I1687" t="str">
        <f t="shared" si="53"/>
        <v>Foxboro</v>
      </c>
      <c r="J1687" s="82" t="str">
        <f>IFERROR(INDEX('All Folders'!$A:$A,MATCH(H1687,'All Folders'!$G:$G,0),1),"¶")</f>
        <v>SP174</v>
      </c>
      <c r="K1687" s="87"/>
      <c r="L1687" s="87"/>
    </row>
    <row r="1688" spans="1:12" x14ac:dyDescent="0.3">
      <c r="A1688" t="s">
        <v>21638</v>
      </c>
      <c r="B1688" t="s">
        <v>18462</v>
      </c>
      <c r="C1688" t="s">
        <v>18463</v>
      </c>
      <c r="D1688" t="s">
        <v>18464</v>
      </c>
      <c r="E1688" t="s">
        <v>12677</v>
      </c>
      <c r="F1688" t="s">
        <v>18465</v>
      </c>
      <c r="G1688" t="s">
        <v>3328</v>
      </c>
      <c r="H1688" t="str">
        <f t="shared" si="52"/>
        <v>CandleWood331-333Richardson</v>
      </c>
      <c r="I1688" t="str">
        <f t="shared" si="53"/>
        <v>CandleWood</v>
      </c>
      <c r="J1688" s="82" t="str">
        <f>IFERROR(INDEX('All Folders'!$A:$A,MATCH(H1688,'All Folders'!$G:$G,0),1),"¶")</f>
        <v>SP173</v>
      </c>
      <c r="K1688" s="87"/>
      <c r="L1688" s="87"/>
    </row>
    <row r="1689" spans="1:12" x14ac:dyDescent="0.3">
      <c r="A1689" t="s">
        <v>21639</v>
      </c>
      <c r="B1689" t="s">
        <v>18466</v>
      </c>
      <c r="C1689" t="s">
        <v>18467</v>
      </c>
      <c r="D1689" t="s">
        <v>13824</v>
      </c>
      <c r="E1689">
        <v>609</v>
      </c>
      <c r="F1689" t="s">
        <v>18468</v>
      </c>
      <c r="G1689" t="s">
        <v>3328</v>
      </c>
      <c r="H1689" t="str">
        <f t="shared" si="52"/>
        <v>Royal609Richardson</v>
      </c>
      <c r="I1689" t="str">
        <f t="shared" si="53"/>
        <v>Royal</v>
      </c>
      <c r="J1689" s="82" t="str">
        <f>IFERROR(INDEX('All Folders'!$A:$A,MATCH(H1689,'All Folders'!$G:$G,0),1),"¶")</f>
        <v>SP176</v>
      </c>
      <c r="K1689" s="87"/>
      <c r="L1689" s="87"/>
    </row>
    <row r="1690" spans="1:12" x14ac:dyDescent="0.3">
      <c r="A1690" t="s">
        <v>21640</v>
      </c>
      <c r="B1690" t="s">
        <v>18469</v>
      </c>
      <c r="C1690" t="s">
        <v>18470</v>
      </c>
      <c r="D1690" t="s">
        <v>13824</v>
      </c>
      <c r="E1690">
        <v>628</v>
      </c>
      <c r="F1690" t="s">
        <v>18471</v>
      </c>
      <c r="G1690" t="s">
        <v>3328</v>
      </c>
      <c r="H1690" t="str">
        <f t="shared" si="52"/>
        <v>Royal628Richardson</v>
      </c>
      <c r="I1690" t="str">
        <f t="shared" si="53"/>
        <v>Royal</v>
      </c>
      <c r="J1690" s="82" t="str">
        <f>IFERROR(INDEX('All Folders'!$A:$A,MATCH(H1690,'All Folders'!$G:$G,0),1),"¶")</f>
        <v>SP177</v>
      </c>
      <c r="K1690" s="87"/>
      <c r="L1690" s="87"/>
    </row>
    <row r="1691" spans="1:12" x14ac:dyDescent="0.3">
      <c r="A1691" t="s">
        <v>21641</v>
      </c>
      <c r="B1691" t="s">
        <v>18472</v>
      </c>
      <c r="C1691" t="s">
        <v>18473</v>
      </c>
      <c r="D1691" t="s">
        <v>18474</v>
      </c>
      <c r="E1691" t="s">
        <v>12687</v>
      </c>
      <c r="F1691" t="s">
        <v>18475</v>
      </c>
      <c r="G1691" t="s">
        <v>3328</v>
      </c>
      <c r="H1691" t="str">
        <f t="shared" si="52"/>
        <v>Saint817-819Richardson</v>
      </c>
      <c r="I1691" t="str">
        <f t="shared" si="53"/>
        <v>Saint</v>
      </c>
      <c r="J1691" s="82" t="str">
        <f>IFERROR(INDEX('All Folders'!$A:$A,MATCH(H1691,'All Folders'!$G:$G,0),1),"¶")</f>
        <v>SP178</v>
      </c>
      <c r="K1691" s="87"/>
      <c r="L1691" s="87"/>
    </row>
    <row r="1692" spans="1:12" x14ac:dyDescent="0.3">
      <c r="A1692" t="s">
        <v>21642</v>
      </c>
      <c r="B1692" t="s">
        <v>18476</v>
      </c>
      <c r="C1692" t="s">
        <v>18477</v>
      </c>
      <c r="D1692" t="s">
        <v>18478</v>
      </c>
      <c r="E1692">
        <v>411</v>
      </c>
      <c r="F1692" t="s">
        <v>5057</v>
      </c>
      <c r="G1692" t="s">
        <v>3328</v>
      </c>
      <c r="H1692" t="str">
        <f t="shared" si="52"/>
        <v>Buckingham411Richardson</v>
      </c>
      <c r="I1692" t="str">
        <f t="shared" si="53"/>
        <v>Buckingham</v>
      </c>
      <c r="J1692" s="82">
        <f>IFERROR(INDEX('All Folders'!$A:$A,MATCH(H1692,'All Folders'!$G:$G,0),1),"¶")</f>
        <v>13106</v>
      </c>
      <c r="K1692" s="87"/>
      <c r="L1692" s="87"/>
    </row>
    <row r="1693" spans="1:12" x14ac:dyDescent="0.3">
      <c r="A1693" t="s">
        <v>21643</v>
      </c>
      <c r="B1693" t="s">
        <v>18479</v>
      </c>
      <c r="C1693" t="s">
        <v>18480</v>
      </c>
      <c r="D1693" t="s">
        <v>18481</v>
      </c>
      <c r="E1693">
        <v>732</v>
      </c>
      <c r="F1693" t="s">
        <v>18482</v>
      </c>
      <c r="G1693" t="s">
        <v>3328</v>
      </c>
      <c r="H1693" t="str">
        <f t="shared" si="52"/>
        <v>Spring732Richardson</v>
      </c>
      <c r="I1693" t="str">
        <f t="shared" si="53"/>
        <v>Spring</v>
      </c>
      <c r="J1693" s="82">
        <f>IFERROR(INDEX('All Folders'!$A:$A,MATCH(H1693,'All Folders'!$G:$G,0),1),"¶")</f>
        <v>15623</v>
      </c>
      <c r="K1693" s="87"/>
      <c r="L1693" s="87"/>
    </row>
    <row r="1694" spans="1:12" x14ac:dyDescent="0.3">
      <c r="A1694" t="s">
        <v>21644</v>
      </c>
      <c r="B1694" t="s">
        <v>18483</v>
      </c>
      <c r="C1694" t="s">
        <v>18484</v>
      </c>
      <c r="D1694" t="s">
        <v>18485</v>
      </c>
      <c r="E1694">
        <v>800</v>
      </c>
      <c r="F1694" t="s">
        <v>18486</v>
      </c>
      <c r="G1694" t="s">
        <v>3328</v>
      </c>
      <c r="H1694" t="str">
        <f t="shared" si="52"/>
        <v>Custer800Richardson</v>
      </c>
      <c r="I1694" t="str">
        <f t="shared" si="53"/>
        <v>Custer</v>
      </c>
      <c r="J1694" s="82">
        <f>IFERROR(INDEX('All Folders'!$A:$A,MATCH(H1694,'All Folders'!$G:$G,0),1),"¶")</f>
        <v>13148</v>
      </c>
      <c r="K1694" s="87"/>
      <c r="L1694" s="87"/>
    </row>
    <row r="1695" spans="1:12" x14ac:dyDescent="0.3">
      <c r="A1695" t="s">
        <v>21645</v>
      </c>
      <c r="B1695" t="s">
        <v>18487</v>
      </c>
      <c r="C1695" t="s">
        <v>18488</v>
      </c>
      <c r="D1695" t="s">
        <v>18489</v>
      </c>
      <c r="E1695">
        <v>116</v>
      </c>
      <c r="F1695" t="s">
        <v>18490</v>
      </c>
      <c r="G1695" t="s">
        <v>3328</v>
      </c>
      <c r="H1695" t="str">
        <f t="shared" si="52"/>
        <v>Bowser116Richardson</v>
      </c>
      <c r="I1695" t="str">
        <f t="shared" si="53"/>
        <v>Bowser</v>
      </c>
      <c r="J1695" s="82" t="str">
        <f>IFERROR(INDEX('All Folders'!$A:$A,MATCH(H1695,'All Folders'!$G:$G,0),1),"¶")</f>
        <v>SP171</v>
      </c>
      <c r="K1695" s="87"/>
      <c r="L1695" s="87"/>
    </row>
    <row r="1696" spans="1:12" x14ac:dyDescent="0.3">
      <c r="A1696" t="s">
        <v>21646</v>
      </c>
      <c r="B1696" t="s">
        <v>18491</v>
      </c>
      <c r="C1696" t="s">
        <v>18492</v>
      </c>
      <c r="D1696" t="s">
        <v>18493</v>
      </c>
      <c r="E1696">
        <v>101</v>
      </c>
      <c r="F1696" t="s">
        <v>18494</v>
      </c>
      <c r="G1696" t="s">
        <v>3328</v>
      </c>
      <c r="H1696" t="str">
        <f t="shared" si="52"/>
        <v>Bowser101Richardson</v>
      </c>
      <c r="I1696" t="str">
        <f t="shared" si="53"/>
        <v>Bowser</v>
      </c>
      <c r="J1696" s="82">
        <f>IFERROR(INDEX('All Folders'!$A:$A,MATCH(H1696,'All Folders'!$G:$G,0),1),"¶")</f>
        <v>2988</v>
      </c>
      <c r="K1696" s="87"/>
      <c r="L1696" s="87"/>
    </row>
    <row r="1697" spans="1:12" x14ac:dyDescent="0.3">
      <c r="A1697" t="s">
        <v>21647</v>
      </c>
      <c r="B1697" t="s">
        <v>18495</v>
      </c>
      <c r="C1697" t="s">
        <v>18496</v>
      </c>
      <c r="D1697" t="s">
        <v>18497</v>
      </c>
      <c r="E1697">
        <v>100</v>
      </c>
      <c r="F1697" t="s">
        <v>18498</v>
      </c>
      <c r="G1697" t="s">
        <v>3328</v>
      </c>
      <c r="H1697" t="str">
        <f t="shared" si="52"/>
        <v>Bowser100Richardson</v>
      </c>
      <c r="I1697" t="str">
        <f t="shared" si="53"/>
        <v>Bowser</v>
      </c>
      <c r="J1697" s="82" t="str">
        <f>IFERROR(INDEX('All Folders'!$A:$A,MATCH(H1697,'All Folders'!$G:$G,0),1),"¶")</f>
        <v>SP172</v>
      </c>
      <c r="K1697" s="87"/>
      <c r="L1697" s="87"/>
    </row>
    <row r="1698" spans="1:12" x14ac:dyDescent="0.3">
      <c r="A1698" t="s">
        <v>21648</v>
      </c>
      <c r="B1698" t="s">
        <v>18499</v>
      </c>
      <c r="C1698" t="s">
        <v>18500</v>
      </c>
      <c r="D1698" t="s">
        <v>18501</v>
      </c>
      <c r="E1698">
        <v>800</v>
      </c>
      <c r="F1698" t="s">
        <v>18502</v>
      </c>
      <c r="G1698" t="s">
        <v>3328</v>
      </c>
      <c r="H1698" t="str">
        <f t="shared" si="52"/>
        <v>Spring800Richardson</v>
      </c>
      <c r="I1698" t="str">
        <f t="shared" si="53"/>
        <v>Spring</v>
      </c>
      <c r="J1698" s="82">
        <f>IFERROR(INDEX('All Folders'!$A:$A,MATCH(H1698,'All Folders'!$G:$G,0),1),"¶")</f>
        <v>13562</v>
      </c>
      <c r="K1698" s="87"/>
      <c r="L1698" s="87"/>
    </row>
    <row r="1699" spans="1:12" x14ac:dyDescent="0.3">
      <c r="A1699" t="s">
        <v>21650</v>
      </c>
      <c r="B1699" t="s">
        <v>18508</v>
      </c>
      <c r="C1699" t="s">
        <v>18509</v>
      </c>
      <c r="D1699" t="s">
        <v>18510</v>
      </c>
      <c r="E1699">
        <v>601</v>
      </c>
      <c r="F1699" t="s">
        <v>6061</v>
      </c>
      <c r="G1699" t="s">
        <v>3328</v>
      </c>
      <c r="H1699" t="str">
        <f t="shared" si="52"/>
        <v>Renner601Richardson</v>
      </c>
      <c r="I1699" t="str">
        <f t="shared" si="53"/>
        <v>Renner</v>
      </c>
      <c r="J1699" s="82">
        <f>IFERROR(INDEX('All Folders'!$A:$A,MATCH(H1699,'All Folders'!$G:$G,0),1),"¶")</f>
        <v>13856</v>
      </c>
      <c r="K1699" s="87"/>
      <c r="L1699" s="87"/>
    </row>
    <row r="1700" spans="1:12" x14ac:dyDescent="0.3">
      <c r="A1700" t="s">
        <v>21651</v>
      </c>
      <c r="B1700" t="s">
        <v>18511</v>
      </c>
      <c r="C1700" t="s">
        <v>18512</v>
      </c>
      <c r="D1700" t="s">
        <v>18513</v>
      </c>
      <c r="E1700">
        <v>3560</v>
      </c>
      <c r="F1700" t="s">
        <v>9756</v>
      </c>
      <c r="G1700" t="s">
        <v>3328</v>
      </c>
      <c r="H1700" t="str">
        <f t="shared" si="52"/>
        <v>Alma3560Richardson</v>
      </c>
      <c r="I1700" t="str">
        <f t="shared" si="53"/>
        <v>Alma</v>
      </c>
      <c r="J1700" s="82">
        <f>IFERROR(INDEX('All Folders'!$A:$A,MATCH(H1700,'All Folders'!$G:$G,0),1),"¶")</f>
        <v>13889</v>
      </c>
      <c r="K1700" s="87"/>
      <c r="L1700" s="87"/>
    </row>
    <row r="1701" spans="1:12" x14ac:dyDescent="0.3">
      <c r="A1701" t="s">
        <v>21652</v>
      </c>
      <c r="B1701" t="s">
        <v>18514</v>
      </c>
      <c r="C1701" t="s">
        <v>18515</v>
      </c>
      <c r="D1701" t="s">
        <v>18513</v>
      </c>
      <c r="E1701">
        <v>3560</v>
      </c>
      <c r="F1701" t="s">
        <v>18516</v>
      </c>
      <c r="G1701" t="s">
        <v>3328</v>
      </c>
      <c r="H1701" t="str">
        <f t="shared" si="52"/>
        <v>Alma3560Richardson</v>
      </c>
      <c r="I1701" t="str">
        <f t="shared" si="53"/>
        <v>Alma</v>
      </c>
      <c r="J1701" s="82">
        <f>IFERROR(INDEX('All Folders'!$A:$A,MATCH(H1701,'All Folders'!$G:$G,0),1),"¶")</f>
        <v>13889</v>
      </c>
      <c r="K1701" s="87"/>
      <c r="L1701" s="87"/>
    </row>
    <row r="1702" spans="1:12" x14ac:dyDescent="0.3">
      <c r="A1702" t="s">
        <v>21653</v>
      </c>
      <c r="B1702" t="s">
        <v>18517</v>
      </c>
      <c r="C1702" t="s">
        <v>18518</v>
      </c>
      <c r="D1702" t="s">
        <v>18519</v>
      </c>
      <c r="E1702">
        <v>306</v>
      </c>
      <c r="F1702" t="s">
        <v>12682</v>
      </c>
      <c r="G1702" t="s">
        <v>3328</v>
      </c>
      <c r="H1702" t="str">
        <f t="shared" si="52"/>
        <v>Hilltop306Richardson</v>
      </c>
      <c r="I1702" t="str">
        <f t="shared" si="53"/>
        <v>Hilltop</v>
      </c>
      <c r="J1702" s="82" t="str">
        <f>IFERROR(INDEX('All Folders'!$A:$A,MATCH(H1702,'All Folders'!$G:$G,0),1),"¶")</f>
        <v>SP175</v>
      </c>
      <c r="K1702" s="87"/>
      <c r="L1702" s="87"/>
    </row>
    <row r="1703" spans="1:12" x14ac:dyDescent="0.3">
      <c r="A1703" t="s">
        <v>21654</v>
      </c>
      <c r="B1703" t="s">
        <v>18520</v>
      </c>
      <c r="C1703" t="s">
        <v>18521</v>
      </c>
      <c r="D1703" t="s">
        <v>18522</v>
      </c>
      <c r="E1703">
        <v>2811</v>
      </c>
      <c r="F1703" t="s">
        <v>18523</v>
      </c>
      <c r="G1703" t="s">
        <v>3328</v>
      </c>
      <c r="H1703" t="str">
        <f t="shared" si="52"/>
        <v>Custer2811Richardson</v>
      </c>
      <c r="I1703" t="str">
        <f t="shared" si="53"/>
        <v>Custer</v>
      </c>
      <c r="J1703" s="82">
        <f>IFERROR(INDEX('All Folders'!$A:$A,MATCH(H1703,'All Folders'!$G:$G,0),1),"¶")</f>
        <v>13970</v>
      </c>
      <c r="K1703" s="87"/>
      <c r="L1703" s="87"/>
    </row>
    <row r="1704" spans="1:12" x14ac:dyDescent="0.3">
      <c r="A1704" t="s">
        <v>21655</v>
      </c>
      <c r="B1704" t="s">
        <v>18524</v>
      </c>
      <c r="C1704" t="s">
        <v>18525</v>
      </c>
      <c r="D1704" t="s">
        <v>18526</v>
      </c>
      <c r="E1704">
        <v>540</v>
      </c>
      <c r="F1704" t="s">
        <v>6338</v>
      </c>
      <c r="G1704" t="s">
        <v>3328</v>
      </c>
      <c r="H1704" t="str">
        <f t="shared" si="52"/>
        <v>Buckingham540Richardson</v>
      </c>
      <c r="I1704" t="str">
        <f t="shared" si="53"/>
        <v>Buckingham</v>
      </c>
      <c r="J1704" s="82">
        <f>IFERROR(INDEX('All Folders'!$A:$A,MATCH(H1704,'All Folders'!$G:$G,0),1),"¶")</f>
        <v>14089</v>
      </c>
      <c r="K1704" s="87"/>
      <c r="L1704" s="87"/>
    </row>
    <row r="1705" spans="1:12" x14ac:dyDescent="0.3">
      <c r="A1705" t="s">
        <v>21656</v>
      </c>
      <c r="B1705" t="s">
        <v>18527</v>
      </c>
      <c r="C1705" t="s">
        <v>18528</v>
      </c>
      <c r="D1705" t="s">
        <v>18529</v>
      </c>
      <c r="E1705">
        <v>2600</v>
      </c>
      <c r="F1705" t="s">
        <v>18530</v>
      </c>
      <c r="G1705" t="s">
        <v>3328</v>
      </c>
      <c r="H1705" t="str">
        <f t="shared" si="52"/>
        <v>Clear2600Richardson</v>
      </c>
      <c r="I1705" t="str">
        <f t="shared" si="53"/>
        <v>Clear</v>
      </c>
      <c r="J1705" s="82">
        <f>IFERROR(INDEX('All Folders'!$A:$A,MATCH(H1705,'All Folders'!$G:$G,0),1),"¶")</f>
        <v>14164</v>
      </c>
      <c r="K1705" s="87"/>
      <c r="L1705" s="87"/>
    </row>
    <row r="1706" spans="1:12" x14ac:dyDescent="0.3">
      <c r="A1706" t="s">
        <v>21657</v>
      </c>
      <c r="B1706" t="s">
        <v>18531</v>
      </c>
      <c r="C1706" t="s">
        <v>18532</v>
      </c>
      <c r="D1706" t="s">
        <v>18533</v>
      </c>
      <c r="E1706">
        <v>412</v>
      </c>
      <c r="F1706" t="s">
        <v>12690</v>
      </c>
      <c r="G1706" t="s">
        <v>3328</v>
      </c>
      <c r="H1706" t="str">
        <f t="shared" si="52"/>
        <v>Towne412Richardson</v>
      </c>
      <c r="I1706" t="str">
        <f t="shared" si="53"/>
        <v>Towne</v>
      </c>
      <c r="J1706" s="82" t="str">
        <f>IFERROR(INDEX('All Folders'!$A:$A,MATCH(H1706,'All Folders'!$G:$G,0),1),"¶")</f>
        <v>SP179</v>
      </c>
      <c r="K1706" s="87"/>
      <c r="L1706" s="87"/>
    </row>
    <row r="1707" spans="1:12" x14ac:dyDescent="0.3">
      <c r="A1707" t="s">
        <v>21658</v>
      </c>
      <c r="B1707" t="s">
        <v>18534</v>
      </c>
      <c r="C1707" t="s">
        <v>18535</v>
      </c>
      <c r="D1707" t="s">
        <v>18536</v>
      </c>
      <c r="E1707" t="s">
        <v>12698</v>
      </c>
      <c r="F1707" t="s">
        <v>12699</v>
      </c>
      <c r="G1707" t="s">
        <v>6799</v>
      </c>
      <c r="H1707" t="str">
        <f t="shared" si="52"/>
        <v>Laura6600-6623Richland Hills</v>
      </c>
      <c r="I1707" t="str">
        <f t="shared" si="53"/>
        <v>Laura</v>
      </c>
      <c r="J1707" s="82" t="str">
        <f>IFERROR(INDEX('All Folders'!$A:$A,MATCH(H1707,'All Folders'!$G:$G,0),1),"¶")</f>
        <v>SP181</v>
      </c>
      <c r="K1707" s="87"/>
      <c r="L1707" s="87"/>
    </row>
    <row r="1708" spans="1:12" x14ac:dyDescent="0.3">
      <c r="A1708" t="s">
        <v>21659</v>
      </c>
      <c r="B1708" t="s">
        <v>18537</v>
      </c>
      <c r="C1708" t="s">
        <v>18538</v>
      </c>
      <c r="D1708" t="s">
        <v>18539</v>
      </c>
      <c r="E1708">
        <v>6731</v>
      </c>
      <c r="F1708" t="s">
        <v>18540</v>
      </c>
      <c r="G1708" t="s">
        <v>6799</v>
      </c>
      <c r="H1708" t="str">
        <f t="shared" si="52"/>
        <v>Hardisty6731Richland Hills</v>
      </c>
      <c r="I1708" t="str">
        <f t="shared" si="53"/>
        <v>Hardisty</v>
      </c>
      <c r="J1708" s="82" t="str">
        <f>IFERROR(INDEX('All Folders'!$A:$A,MATCH(H1708,'All Folders'!$G:$G,0),1),"¶")</f>
        <v>SP180</v>
      </c>
      <c r="K1708" s="87"/>
      <c r="L1708" s="87"/>
    </row>
    <row r="1709" spans="1:12" x14ac:dyDescent="0.3">
      <c r="A1709" t="s">
        <v>21660</v>
      </c>
      <c r="B1709" t="s">
        <v>18541</v>
      </c>
      <c r="C1709" t="s">
        <v>18542</v>
      </c>
      <c r="D1709" t="s">
        <v>18543</v>
      </c>
      <c r="E1709">
        <v>3101</v>
      </c>
      <c r="F1709" t="s">
        <v>12702</v>
      </c>
      <c r="G1709" t="s">
        <v>6799</v>
      </c>
      <c r="H1709" t="str">
        <f t="shared" si="52"/>
        <v>Rufe3101Richland Hills</v>
      </c>
      <c r="I1709" t="str">
        <f t="shared" si="53"/>
        <v>Rufe</v>
      </c>
      <c r="J1709" s="82" t="str">
        <f>IFERROR(INDEX('All Folders'!$A:$A,MATCH(H1709,'All Folders'!$G:$G,0),1),"¶")</f>
        <v>SP184</v>
      </c>
      <c r="K1709" s="87"/>
      <c r="L1709" s="87"/>
    </row>
    <row r="1710" spans="1:12" x14ac:dyDescent="0.3">
      <c r="A1710" t="s">
        <v>21661</v>
      </c>
      <c r="B1710" t="s">
        <v>18544</v>
      </c>
      <c r="C1710" t="s">
        <v>18545</v>
      </c>
      <c r="D1710" t="s">
        <v>18546</v>
      </c>
      <c r="E1710">
        <v>6605</v>
      </c>
      <c r="F1710" t="s">
        <v>12702</v>
      </c>
      <c r="G1710" t="s">
        <v>6799</v>
      </c>
      <c r="H1710" t="str">
        <f t="shared" si="52"/>
        <v>Park6605Richland Hills</v>
      </c>
      <c r="I1710" t="str">
        <f t="shared" si="53"/>
        <v>Park</v>
      </c>
      <c r="J1710" s="82" t="str">
        <f>IFERROR(INDEX('All Folders'!$A:$A,MATCH(H1710,'All Folders'!$G:$G,0),1),"¶")</f>
        <v>SP182</v>
      </c>
      <c r="K1710" s="87"/>
      <c r="L1710" s="87"/>
    </row>
    <row r="1711" spans="1:12" x14ac:dyDescent="0.3">
      <c r="A1711" t="s">
        <v>21662</v>
      </c>
      <c r="B1711" t="s">
        <v>18547</v>
      </c>
      <c r="C1711" t="s">
        <v>18548</v>
      </c>
      <c r="D1711" t="s">
        <v>18549</v>
      </c>
      <c r="E1711">
        <v>6626</v>
      </c>
      <c r="F1711" t="s">
        <v>18550</v>
      </c>
      <c r="G1711" t="s">
        <v>6799</v>
      </c>
      <c r="H1711" t="str">
        <f t="shared" si="52"/>
        <v>Reeves6626Richland Hills</v>
      </c>
      <c r="I1711" t="str">
        <f t="shared" si="53"/>
        <v>Reeves</v>
      </c>
      <c r="J1711" s="82" t="str">
        <f>IFERROR(INDEX('All Folders'!$A:$A,MATCH(H1711,'All Folders'!$G:$G,0),1),"¶")</f>
        <v>SP183</v>
      </c>
      <c r="K1711" s="87"/>
      <c r="L1711" s="87"/>
    </row>
    <row r="1712" spans="1:12" x14ac:dyDescent="0.3">
      <c r="A1712" t="s">
        <v>21663</v>
      </c>
      <c r="B1712" t="s">
        <v>18551</v>
      </c>
      <c r="C1712" t="s">
        <v>18552</v>
      </c>
      <c r="D1712" t="s">
        <v>18553</v>
      </c>
      <c r="E1712">
        <v>22155</v>
      </c>
      <c r="F1712" t="s">
        <v>9176</v>
      </c>
      <c r="G1712" t="s">
        <v>2675</v>
      </c>
      <c r="H1712" t="str">
        <f t="shared" si="52"/>
        <v>Wildwood22155Richmond</v>
      </c>
      <c r="I1712" t="str">
        <f t="shared" si="53"/>
        <v>Wildwood</v>
      </c>
      <c r="J1712" s="82">
        <f>IFERROR(INDEX('All Folders'!$A:$A,MATCH(H1712,'All Folders'!$G:$G,0),1),"¶")</f>
        <v>16821</v>
      </c>
      <c r="K1712" s="87"/>
      <c r="L1712" s="87"/>
    </row>
    <row r="1713" spans="1:12" x14ac:dyDescent="0.3">
      <c r="A1713" t="s">
        <v>21664</v>
      </c>
      <c r="B1713" t="s">
        <v>18554</v>
      </c>
      <c r="C1713" t="s">
        <v>18555</v>
      </c>
      <c r="D1713" t="s">
        <v>18553</v>
      </c>
      <c r="E1713">
        <v>21811</v>
      </c>
      <c r="F1713" t="s">
        <v>9901</v>
      </c>
      <c r="G1713" t="s">
        <v>2675</v>
      </c>
      <c r="H1713" t="str">
        <f t="shared" si="52"/>
        <v>Wildwood21811Richmond</v>
      </c>
      <c r="I1713" t="str">
        <f t="shared" si="53"/>
        <v>Wildwood</v>
      </c>
      <c r="J1713" s="82">
        <f>IFERROR(INDEX('All Folders'!$A:$A,MATCH(H1713,'All Folders'!$G:$G,0),1),"¶")</f>
        <v>17570</v>
      </c>
      <c r="K1713" s="87"/>
      <c r="L1713" s="87"/>
    </row>
    <row r="1714" spans="1:12" x14ac:dyDescent="0.3">
      <c r="A1714" t="s">
        <v>21665</v>
      </c>
      <c r="B1714" t="s">
        <v>18556</v>
      </c>
      <c r="C1714" t="s">
        <v>18557</v>
      </c>
      <c r="D1714" t="s">
        <v>18558</v>
      </c>
      <c r="E1714">
        <v>200</v>
      </c>
      <c r="F1714" t="s">
        <v>4452</v>
      </c>
      <c r="G1714" t="s">
        <v>4453</v>
      </c>
      <c r="H1714" t="str">
        <f t="shared" si="52"/>
        <v>Timbercreek200Richwood</v>
      </c>
      <c r="I1714" t="str">
        <f t="shared" si="53"/>
        <v>Timbercreek</v>
      </c>
      <c r="J1714" s="82">
        <f>IFERROR(INDEX('All Folders'!$A:$A,MATCH(H1714,'All Folders'!$G:$G,0),1),"¶")</f>
        <v>4163</v>
      </c>
      <c r="K1714" s="87"/>
      <c r="L1714" s="87"/>
    </row>
    <row r="1715" spans="1:12" x14ac:dyDescent="0.3">
      <c r="A1715" t="s">
        <v>21666</v>
      </c>
      <c r="B1715" t="s">
        <v>18559</v>
      </c>
      <c r="C1715" t="s">
        <v>18560</v>
      </c>
      <c r="D1715" t="s">
        <v>18561</v>
      </c>
      <c r="E1715">
        <v>940</v>
      </c>
      <c r="F1715" t="s">
        <v>18562</v>
      </c>
      <c r="G1715" t="s">
        <v>332</v>
      </c>
      <c r="H1715" t="str">
        <f t="shared" si="52"/>
        <v>Cody940River Oaks</v>
      </c>
      <c r="I1715" t="str">
        <f t="shared" si="53"/>
        <v>Cody</v>
      </c>
      <c r="J1715" s="82" t="str">
        <f>IFERROR(INDEX('All Folders'!$A:$A,MATCH(H1715,'All Folders'!$G:$G,0),1),"¶")</f>
        <v>SP186</v>
      </c>
      <c r="K1715" s="87"/>
      <c r="L1715" s="87"/>
    </row>
    <row r="1716" spans="1:12" x14ac:dyDescent="0.3">
      <c r="A1716" t="s">
        <v>21667</v>
      </c>
      <c r="B1716" t="s">
        <v>18563</v>
      </c>
      <c r="C1716" t="s">
        <v>18564</v>
      </c>
      <c r="D1716" t="s">
        <v>18565</v>
      </c>
      <c r="E1716">
        <v>4600</v>
      </c>
      <c r="F1716" t="s">
        <v>18566</v>
      </c>
      <c r="G1716" t="s">
        <v>332</v>
      </c>
      <c r="H1716" t="str">
        <f t="shared" si="52"/>
        <v>Barbara4600River Oaks</v>
      </c>
      <c r="I1716" t="str">
        <f t="shared" si="53"/>
        <v>Barbara</v>
      </c>
      <c r="J1716" s="82">
        <f>IFERROR(INDEX('All Folders'!$A:$A,MATCH(H1716,'All Folders'!$G:$G,0),1),"¶")</f>
        <v>14920</v>
      </c>
      <c r="K1716" s="87"/>
      <c r="L1716" s="87"/>
    </row>
    <row r="1717" spans="1:12" x14ac:dyDescent="0.3">
      <c r="A1717" t="s">
        <v>21671</v>
      </c>
      <c r="B1717" t="s">
        <v>18579</v>
      </c>
      <c r="C1717" t="s">
        <v>18580</v>
      </c>
      <c r="D1717" t="s">
        <v>5787</v>
      </c>
      <c r="E1717">
        <v>101</v>
      </c>
      <c r="F1717" t="s">
        <v>12716</v>
      </c>
      <c r="G1717" t="s">
        <v>5236</v>
      </c>
      <c r="H1717" t="str">
        <f t="shared" si="52"/>
        <v>Lake101Rockwall</v>
      </c>
      <c r="I1717" t="str">
        <f t="shared" si="53"/>
        <v>Lake</v>
      </c>
      <c r="J1717" s="82" t="str">
        <f>IFERROR(INDEX('All Folders'!$A:$A,MATCH(H1717,'All Folders'!$G:$G,0),1),"¶")</f>
        <v>SP188</v>
      </c>
      <c r="K1717" s="87"/>
      <c r="L1717" s="87"/>
    </row>
    <row r="1718" spans="1:12" x14ac:dyDescent="0.3">
      <c r="A1718" t="s">
        <v>21673</v>
      </c>
      <c r="B1718" t="s">
        <v>18585</v>
      </c>
      <c r="C1718" t="s">
        <v>18586</v>
      </c>
      <c r="D1718" t="s">
        <v>18587</v>
      </c>
      <c r="E1718">
        <v>1389</v>
      </c>
      <c r="F1718" t="s">
        <v>8998</v>
      </c>
      <c r="G1718" t="s">
        <v>5236</v>
      </c>
      <c r="H1718" t="str">
        <f t="shared" si="52"/>
        <v>Ridge1389Rockwall</v>
      </c>
      <c r="I1718" t="str">
        <f t="shared" si="53"/>
        <v>Ridge</v>
      </c>
      <c r="J1718" s="82">
        <f>IFERROR(INDEX('All Folders'!$A:$A,MATCH(H1718,'All Folders'!$G:$G,0),1),"¶")</f>
        <v>16550</v>
      </c>
      <c r="K1718" s="87"/>
      <c r="L1718" s="87"/>
    </row>
    <row r="1719" spans="1:12" x14ac:dyDescent="0.3">
      <c r="A1719" t="s">
        <v>21674</v>
      </c>
      <c r="B1719" t="s">
        <v>18588</v>
      </c>
      <c r="C1719" t="s">
        <v>18589</v>
      </c>
      <c r="D1719" t="s">
        <v>5787</v>
      </c>
      <c r="E1719">
        <v>108</v>
      </c>
      <c r="F1719" t="s">
        <v>11661</v>
      </c>
      <c r="G1719" t="s">
        <v>5236</v>
      </c>
      <c r="H1719" t="str">
        <f t="shared" si="52"/>
        <v>Lake108Rockwall</v>
      </c>
      <c r="I1719" t="str">
        <f t="shared" si="53"/>
        <v>Lake</v>
      </c>
      <c r="J1719" s="82">
        <f>IFERROR(INDEX('All Folders'!$A:$A,MATCH(H1719,'All Folders'!$G:$G,0),1),"¶")</f>
        <v>30235</v>
      </c>
      <c r="K1719" s="87"/>
      <c r="L1719" s="87"/>
    </row>
    <row r="1720" spans="1:12" x14ac:dyDescent="0.3">
      <c r="A1720" t="s">
        <v>21675</v>
      </c>
      <c r="B1720" t="s">
        <v>18590</v>
      </c>
      <c r="C1720" t="s">
        <v>18591</v>
      </c>
      <c r="D1720" t="s">
        <v>18592</v>
      </c>
      <c r="E1720">
        <v>4720</v>
      </c>
      <c r="F1720" t="s">
        <v>4511</v>
      </c>
      <c r="G1720" t="s">
        <v>4428</v>
      </c>
      <c r="H1720" t="str">
        <f t="shared" si="52"/>
        <v>Reading4720Rosenberg</v>
      </c>
      <c r="I1720" t="str">
        <f t="shared" si="53"/>
        <v>Reading</v>
      </c>
      <c r="J1720" s="82">
        <f>IFERROR(INDEX('All Folders'!$A:$A,MATCH(H1720,'All Folders'!$G:$G,0),1),"¶")</f>
        <v>4205</v>
      </c>
      <c r="K1720" s="87"/>
      <c r="L1720" s="87"/>
    </row>
    <row r="1721" spans="1:12" x14ac:dyDescent="0.3">
      <c r="A1721" t="s">
        <v>21676</v>
      </c>
      <c r="B1721" t="s">
        <v>18593</v>
      </c>
      <c r="C1721" t="s">
        <v>18594</v>
      </c>
      <c r="D1721" t="s">
        <v>18595</v>
      </c>
      <c r="E1721">
        <v>1217</v>
      </c>
      <c r="F1721" t="s">
        <v>4597</v>
      </c>
      <c r="G1721" t="s">
        <v>4428</v>
      </c>
      <c r="H1721" t="str">
        <f t="shared" si="52"/>
        <v>Westwood1217Rosenberg</v>
      </c>
      <c r="I1721" t="str">
        <f t="shared" si="53"/>
        <v>Westwood</v>
      </c>
      <c r="J1721" s="82">
        <f>IFERROR(INDEX('All Folders'!$A:$A,MATCH(H1721,'All Folders'!$G:$G,0),1),"¶")</f>
        <v>4261</v>
      </c>
      <c r="K1721" s="87"/>
      <c r="L1721" s="87"/>
    </row>
    <row r="1722" spans="1:12" x14ac:dyDescent="0.3">
      <c r="A1722" t="s">
        <v>21677</v>
      </c>
      <c r="B1722" t="s">
        <v>18596</v>
      </c>
      <c r="C1722" t="s">
        <v>18597</v>
      </c>
      <c r="D1722" t="s">
        <v>18598</v>
      </c>
      <c r="E1722">
        <v>101</v>
      </c>
      <c r="F1722" t="s">
        <v>11753</v>
      </c>
      <c r="G1722" t="s">
        <v>18</v>
      </c>
      <c r="H1722" t="str">
        <f t="shared" si="52"/>
        <v>Bowman101Round Rock</v>
      </c>
      <c r="I1722" t="str">
        <f t="shared" si="53"/>
        <v>Bowman</v>
      </c>
      <c r="J1722" s="82">
        <f>IFERROR(INDEX('All Folders'!$A:$A,MATCH(H1722,'All Folders'!$G:$G,0),1),"¶")</f>
        <v>31</v>
      </c>
      <c r="K1722" s="87"/>
      <c r="L1722" s="87"/>
    </row>
    <row r="1723" spans="1:12" x14ac:dyDescent="0.3">
      <c r="A1723" t="s">
        <v>21678</v>
      </c>
      <c r="B1723" t="s">
        <v>18599</v>
      </c>
      <c r="C1723" t="s">
        <v>18600</v>
      </c>
      <c r="D1723" t="s">
        <v>13787</v>
      </c>
      <c r="E1723">
        <v>1500</v>
      </c>
      <c r="F1723" t="s">
        <v>213</v>
      </c>
      <c r="G1723" t="s">
        <v>18</v>
      </c>
      <c r="H1723" t="str">
        <f t="shared" si="52"/>
        <v>351500Round Rock</v>
      </c>
      <c r="I1723" t="str">
        <f t="shared" si="53"/>
        <v>35</v>
      </c>
      <c r="J1723" s="82">
        <f>IFERROR(INDEX('All Folders'!$A:$A,MATCH(H1723,'All Folders'!$G:$G,0),1),"¶")</f>
        <v>126</v>
      </c>
      <c r="K1723" s="87"/>
      <c r="L1723" s="87"/>
    </row>
    <row r="1724" spans="1:12" x14ac:dyDescent="0.3">
      <c r="A1724" t="s">
        <v>21679</v>
      </c>
      <c r="B1724" t="s">
        <v>18601</v>
      </c>
      <c r="C1724" t="s">
        <v>18602</v>
      </c>
      <c r="D1724" t="s">
        <v>18603</v>
      </c>
      <c r="E1724">
        <v>670</v>
      </c>
      <c r="F1724" t="s">
        <v>18604</v>
      </c>
      <c r="G1724" t="s">
        <v>18</v>
      </c>
      <c r="H1724" t="str">
        <f t="shared" si="52"/>
        <v>Louis670Round Rock</v>
      </c>
      <c r="I1724" t="str">
        <f t="shared" si="53"/>
        <v>Louis</v>
      </c>
      <c r="J1724" s="82">
        <f>IFERROR(INDEX('All Folders'!$A:$A,MATCH(H1724,'All Folders'!$G:$G,0),1),"¶")</f>
        <v>544</v>
      </c>
      <c r="K1724" s="87"/>
      <c r="L1724" s="87"/>
    </row>
    <row r="1725" spans="1:12" x14ac:dyDescent="0.3">
      <c r="A1725" t="s">
        <v>21680</v>
      </c>
      <c r="B1725" t="s">
        <v>18605</v>
      </c>
      <c r="C1725" t="s">
        <v>18606</v>
      </c>
      <c r="D1725" t="s">
        <v>18603</v>
      </c>
      <c r="E1725">
        <v>2501</v>
      </c>
      <c r="F1725" t="s">
        <v>741</v>
      </c>
      <c r="G1725" t="s">
        <v>18</v>
      </c>
      <c r="H1725" t="str">
        <f t="shared" si="52"/>
        <v>Louis2501Round Rock</v>
      </c>
      <c r="I1725" t="str">
        <f t="shared" si="53"/>
        <v>Louis</v>
      </c>
      <c r="J1725" s="82">
        <f>IFERROR(INDEX('All Folders'!$A:$A,MATCH(H1725,'All Folders'!$G:$G,0),1),"¶")</f>
        <v>510</v>
      </c>
      <c r="K1725" s="87"/>
      <c r="L1725" s="87"/>
    </row>
    <row r="1726" spans="1:12" x14ac:dyDescent="0.3">
      <c r="A1726" t="s">
        <v>21681</v>
      </c>
      <c r="B1726" t="s">
        <v>18607</v>
      </c>
      <c r="C1726" t="s">
        <v>18608</v>
      </c>
      <c r="D1726" t="s">
        <v>18609</v>
      </c>
      <c r="E1726">
        <v>1801</v>
      </c>
      <c r="F1726" t="s">
        <v>666</v>
      </c>
      <c r="G1726" t="s">
        <v>18</v>
      </c>
      <c r="H1726" t="str">
        <f t="shared" si="52"/>
        <v>Palm1801Round Rock</v>
      </c>
      <c r="I1726" t="str">
        <f t="shared" si="53"/>
        <v>Palm</v>
      </c>
      <c r="J1726" s="82">
        <f>IFERROR(INDEX('All Folders'!$A:$A,MATCH(H1726,'All Folders'!$G:$G,0),1),"¶")</f>
        <v>451</v>
      </c>
      <c r="K1726" s="87"/>
      <c r="L1726" s="87"/>
    </row>
    <row r="1727" spans="1:12" x14ac:dyDescent="0.3">
      <c r="A1727" t="s">
        <v>21682</v>
      </c>
      <c r="B1727" t="s">
        <v>18610</v>
      </c>
      <c r="C1727" t="s">
        <v>18611</v>
      </c>
      <c r="D1727" t="s">
        <v>18612</v>
      </c>
      <c r="E1727">
        <v>2610</v>
      </c>
      <c r="F1727" t="s">
        <v>18613</v>
      </c>
      <c r="G1727" t="s">
        <v>7964</v>
      </c>
      <c r="H1727" t="str">
        <f t="shared" si="52"/>
        <v>Stanford2610Rowlett</v>
      </c>
      <c r="I1727" t="str">
        <f t="shared" si="53"/>
        <v>Stanford</v>
      </c>
      <c r="J1727" s="82" t="str">
        <f>IFERROR(INDEX('All Folders'!$A:$A,MATCH(H1727,'All Folders'!$G:$G,0),1),"¶")</f>
        <v>SP194</v>
      </c>
      <c r="K1727" s="87"/>
      <c r="L1727" s="87"/>
    </row>
    <row r="1728" spans="1:12" x14ac:dyDescent="0.3">
      <c r="A1728" t="s">
        <v>21683</v>
      </c>
      <c r="B1728" t="s">
        <v>18614</v>
      </c>
      <c r="C1728" t="s">
        <v>18615</v>
      </c>
      <c r="D1728" t="s">
        <v>18616</v>
      </c>
      <c r="E1728">
        <v>7400</v>
      </c>
      <c r="F1728" t="s">
        <v>11663</v>
      </c>
      <c r="G1728" t="s">
        <v>7964</v>
      </c>
      <c r="H1728" t="str">
        <f t="shared" si="52"/>
        <v>Chiesa7400Rowlett</v>
      </c>
      <c r="I1728" t="str">
        <f t="shared" si="53"/>
        <v>Chiesa</v>
      </c>
      <c r="J1728" s="82">
        <f>IFERROR(INDEX('All Folders'!$A:$A,MATCH(H1728,'All Folders'!$G:$G,0),1),"¶")</f>
        <v>30236</v>
      </c>
      <c r="K1728" s="87"/>
      <c r="L1728" s="87"/>
    </row>
    <row r="1729" spans="1:12" x14ac:dyDescent="0.3">
      <c r="A1729" t="s">
        <v>21684</v>
      </c>
      <c r="B1729" t="s">
        <v>18617</v>
      </c>
      <c r="C1729" t="s">
        <v>18618</v>
      </c>
      <c r="D1729" t="s">
        <v>18619</v>
      </c>
      <c r="E1729">
        <v>7400</v>
      </c>
      <c r="F1729" t="s">
        <v>12731</v>
      </c>
      <c r="G1729" t="s">
        <v>7964</v>
      </c>
      <c r="H1729" t="str">
        <f t="shared" si="52"/>
        <v>Rutgers7400Rowlett</v>
      </c>
      <c r="I1729" t="str">
        <f t="shared" si="53"/>
        <v>Rutgers</v>
      </c>
      <c r="J1729" s="82" t="str">
        <f>IFERROR(INDEX('All Folders'!$A:$A,MATCH(H1729,'All Folders'!$G:$G,0),1),"¶")</f>
        <v>SP193</v>
      </c>
      <c r="K1729" s="87"/>
      <c r="L1729" s="87"/>
    </row>
    <row r="1730" spans="1:12" x14ac:dyDescent="0.3">
      <c r="A1730" t="s">
        <v>21685</v>
      </c>
      <c r="B1730" t="s">
        <v>18620</v>
      </c>
      <c r="C1730" t="s">
        <v>18621</v>
      </c>
      <c r="D1730" t="s">
        <v>14036</v>
      </c>
      <c r="E1730">
        <v>7406</v>
      </c>
      <c r="F1730" t="s">
        <v>18622</v>
      </c>
      <c r="G1730" t="s">
        <v>7964</v>
      </c>
      <c r="H1730" t="str">
        <f t="shared" ref="H1730:H1793" si="54">I1730&amp;E1730&amp;G1730</f>
        <v>Amherst7406Rowlett</v>
      </c>
      <c r="I1730" t="str">
        <f t="shared" ref="I1730:I1793" si="55">IFERROR(LEFT(D1730,FIND(" ",D1730)-1),D1730)</f>
        <v>Amherst</v>
      </c>
      <c r="J1730" s="82" t="str">
        <f>IFERROR(INDEX('All Folders'!$A:$A,MATCH(H1730,'All Folders'!$G:$G,0),1),"¶")</f>
        <v>SP191</v>
      </c>
      <c r="K1730" s="87"/>
      <c r="L1730" s="87"/>
    </row>
    <row r="1731" spans="1:12" x14ac:dyDescent="0.3">
      <c r="A1731" t="s">
        <v>21686</v>
      </c>
      <c r="B1731" t="s">
        <v>18623</v>
      </c>
      <c r="C1731" t="s">
        <v>18624</v>
      </c>
      <c r="D1731" t="s">
        <v>18625</v>
      </c>
      <c r="E1731" t="s">
        <v>12724</v>
      </c>
      <c r="F1731" t="s">
        <v>12725</v>
      </c>
      <c r="G1731" t="s">
        <v>7964</v>
      </c>
      <c r="H1731" t="str">
        <f t="shared" si="54"/>
        <v>Alissa6200-6700Rowlett</v>
      </c>
      <c r="I1731" t="str">
        <f t="shared" si="55"/>
        <v>Alissa</v>
      </c>
      <c r="J1731" s="82" t="str">
        <f>IFERROR(INDEX('All Folders'!$A:$A,MATCH(H1731,'All Folders'!$G:$G,0),1),"¶")</f>
        <v>SP190</v>
      </c>
      <c r="K1731" s="87"/>
      <c r="L1731" s="87"/>
    </row>
    <row r="1732" spans="1:12" x14ac:dyDescent="0.3">
      <c r="A1732" t="s">
        <v>21687</v>
      </c>
      <c r="B1732" t="s">
        <v>18626</v>
      </c>
      <c r="C1732" t="s">
        <v>18627</v>
      </c>
      <c r="D1732" t="s">
        <v>12728</v>
      </c>
      <c r="E1732">
        <v>3914</v>
      </c>
      <c r="F1732" t="s">
        <v>18628</v>
      </c>
      <c r="G1732" t="s">
        <v>7964</v>
      </c>
      <c r="H1732" t="str">
        <f t="shared" si="54"/>
        <v>Knights3914Rowlett</v>
      </c>
      <c r="I1732" t="str">
        <f t="shared" si="55"/>
        <v>Knights</v>
      </c>
      <c r="J1732" s="82" t="str">
        <f>IFERROR(INDEX('All Folders'!$A:$A,MATCH(H1732,'All Folders'!$G:$G,0),1),"¶")</f>
        <v>SP192</v>
      </c>
      <c r="K1732" s="87"/>
      <c r="L1732" s="87"/>
    </row>
    <row r="1733" spans="1:12" x14ac:dyDescent="0.3">
      <c r="A1733" t="s">
        <v>21688</v>
      </c>
      <c r="B1733" t="s">
        <v>18629</v>
      </c>
      <c r="C1733" t="s">
        <v>18630</v>
      </c>
      <c r="D1733" t="s">
        <v>18631</v>
      </c>
      <c r="E1733">
        <v>3116</v>
      </c>
      <c r="F1733" t="s">
        <v>18632</v>
      </c>
      <c r="G1733" t="s">
        <v>8670</v>
      </c>
      <c r="H1733" t="str">
        <f t="shared" si="54"/>
        <v>6th3116Sachse</v>
      </c>
      <c r="I1733" t="str">
        <f t="shared" si="55"/>
        <v>6th</v>
      </c>
      <c r="J1733" s="82" t="str">
        <f>IFERROR(INDEX('All Folders'!$A:$A,MATCH(H1733,'All Folders'!$G:$G,0),1),"¶")</f>
        <v>SP195</v>
      </c>
      <c r="K1733" s="87"/>
      <c r="L1733" s="87"/>
    </row>
    <row r="1734" spans="1:12" x14ac:dyDescent="0.3">
      <c r="A1734" t="s">
        <v>21689</v>
      </c>
      <c r="B1734" t="s">
        <v>18633</v>
      </c>
      <c r="C1734" t="s">
        <v>18634</v>
      </c>
      <c r="D1734" t="s">
        <v>18635</v>
      </c>
      <c r="E1734" t="s">
        <v>12743</v>
      </c>
      <c r="F1734" t="s">
        <v>18636</v>
      </c>
      <c r="G1734" t="s">
        <v>8670</v>
      </c>
      <c r="H1734" t="str">
        <f t="shared" si="54"/>
        <v>Jewel3624-3630Sachse</v>
      </c>
      <c r="I1734" t="str">
        <f t="shared" si="55"/>
        <v>Jewel</v>
      </c>
      <c r="J1734" s="82" t="str">
        <f>IFERROR(INDEX('All Folders'!$A:$A,MATCH(H1734,'All Folders'!$G:$G,0),1),"¶")</f>
        <v>SP198</v>
      </c>
      <c r="K1734" s="87"/>
      <c r="L1734" s="87"/>
    </row>
    <row r="1735" spans="1:12" x14ac:dyDescent="0.3">
      <c r="A1735" t="s">
        <v>21690</v>
      </c>
      <c r="B1735" t="s">
        <v>18637</v>
      </c>
      <c r="C1735" t="s">
        <v>18638</v>
      </c>
      <c r="D1735" t="s">
        <v>18639</v>
      </c>
      <c r="E1735">
        <v>6408</v>
      </c>
      <c r="F1735" t="s">
        <v>18640</v>
      </c>
      <c r="G1735" t="s">
        <v>8670</v>
      </c>
      <c r="H1735" t="str">
        <f t="shared" si="54"/>
        <v>786408Sachse</v>
      </c>
      <c r="I1735" t="str">
        <f t="shared" si="55"/>
        <v>78</v>
      </c>
      <c r="J1735" s="82" t="str">
        <f>IFERROR(INDEX('All Folders'!$A:$A,MATCH(H1735,'All Folders'!$G:$G,0),1),"¶")</f>
        <v>SP196</v>
      </c>
      <c r="K1735" s="87"/>
      <c r="L1735" s="87"/>
    </row>
    <row r="1736" spans="1:12" x14ac:dyDescent="0.3">
      <c r="A1736" t="s">
        <v>21691</v>
      </c>
      <c r="B1736" t="s">
        <v>18641</v>
      </c>
      <c r="C1736" t="s">
        <v>18642</v>
      </c>
      <c r="D1736" t="s">
        <v>18643</v>
      </c>
      <c r="E1736">
        <v>5510</v>
      </c>
      <c r="F1736" t="s">
        <v>12740</v>
      </c>
      <c r="G1736" t="s">
        <v>8670</v>
      </c>
      <c r="H1736" t="str">
        <f t="shared" si="54"/>
        <v>Brookview5510Sachse</v>
      </c>
      <c r="I1736" t="str">
        <f t="shared" si="55"/>
        <v>Brookview</v>
      </c>
      <c r="J1736" s="82" t="str">
        <f>IFERROR(INDEX('All Folders'!$A:$A,MATCH(H1736,'All Folders'!$G:$G,0),1),"¶")</f>
        <v>SP197</v>
      </c>
      <c r="K1736" s="87"/>
      <c r="L1736" s="87"/>
    </row>
    <row r="1737" spans="1:12" x14ac:dyDescent="0.3">
      <c r="A1737" t="s">
        <v>21692</v>
      </c>
      <c r="B1737" t="s">
        <v>18644</v>
      </c>
      <c r="C1737" t="s">
        <v>18645</v>
      </c>
      <c r="D1737" t="s">
        <v>18646</v>
      </c>
      <c r="E1737">
        <v>6340</v>
      </c>
      <c r="F1737" t="s">
        <v>12745</v>
      </c>
      <c r="G1737" t="s">
        <v>8670</v>
      </c>
      <c r="H1737" t="str">
        <f t="shared" si="54"/>
        <v>Murphy6340Sachse</v>
      </c>
      <c r="I1737" t="str">
        <f t="shared" si="55"/>
        <v>Murphy</v>
      </c>
      <c r="J1737" s="82" t="str">
        <f>IFERROR(INDEX('All Folders'!$A:$A,MATCH(H1737,'All Folders'!$G:$G,0),1),"¶")</f>
        <v>SP199</v>
      </c>
      <c r="K1737" s="87"/>
      <c r="L1737" s="87"/>
    </row>
    <row r="1738" spans="1:12" x14ac:dyDescent="0.3">
      <c r="A1738" t="s">
        <v>21693</v>
      </c>
      <c r="B1738" t="s">
        <v>18647</v>
      </c>
      <c r="C1738" t="s">
        <v>18648</v>
      </c>
      <c r="D1738" t="s">
        <v>18649</v>
      </c>
      <c r="E1738">
        <v>805</v>
      </c>
      <c r="F1738" t="s">
        <v>18650</v>
      </c>
      <c r="G1738" t="s">
        <v>7729</v>
      </c>
      <c r="H1738" t="str">
        <f t="shared" si="54"/>
        <v>White805Saginaw</v>
      </c>
      <c r="I1738" t="str">
        <f t="shared" si="55"/>
        <v>White</v>
      </c>
      <c r="J1738" s="82" t="str">
        <f>IFERROR(INDEX('All Folders'!$A:$A,MATCH(H1738,'All Folders'!$G:$G,0),1),"¶")</f>
        <v>SP200</v>
      </c>
      <c r="K1738" s="87"/>
      <c r="L1738" s="87"/>
    </row>
    <row r="1739" spans="1:12" x14ac:dyDescent="0.3">
      <c r="A1739" t="s">
        <v>21694</v>
      </c>
      <c r="B1739" t="s">
        <v>18651</v>
      </c>
      <c r="C1739" t="s">
        <v>18652</v>
      </c>
      <c r="D1739" t="s">
        <v>18653</v>
      </c>
      <c r="E1739">
        <v>101</v>
      </c>
      <c r="F1739" t="s">
        <v>18654</v>
      </c>
      <c r="G1739" t="s">
        <v>7729</v>
      </c>
      <c r="H1739" t="str">
        <f t="shared" si="54"/>
        <v>Hialeah101Saginaw</v>
      </c>
      <c r="I1739" t="str">
        <f t="shared" si="55"/>
        <v>Hialeah</v>
      </c>
      <c r="J1739" s="82">
        <f>IFERROR(INDEX('All Folders'!$A:$A,MATCH(H1739,'All Folders'!$G:$G,0),1),"¶")</f>
        <v>15590</v>
      </c>
      <c r="K1739" s="87"/>
      <c r="L1739" s="87"/>
    </row>
    <row r="1740" spans="1:12" x14ac:dyDescent="0.3">
      <c r="A1740" t="s">
        <v>21695</v>
      </c>
      <c r="B1740" t="s">
        <v>18655</v>
      </c>
      <c r="C1740" t="s">
        <v>18656</v>
      </c>
      <c r="D1740" t="s">
        <v>18657</v>
      </c>
      <c r="E1740">
        <v>2431</v>
      </c>
      <c r="F1740" t="s">
        <v>18658</v>
      </c>
      <c r="G1740" t="s">
        <v>11870</v>
      </c>
      <c r="H1740" t="str">
        <f t="shared" si="54"/>
        <v>College2431San Angelo</v>
      </c>
      <c r="I1740" t="str">
        <f t="shared" si="55"/>
        <v>College</v>
      </c>
      <c r="J1740" s="82">
        <f>IFERROR(INDEX('All Folders'!$A:$A,MATCH(H1740,'All Folders'!$G:$G,0),1),"¶")</f>
        <v>30377</v>
      </c>
      <c r="K1740" s="87"/>
      <c r="L1740" s="87"/>
    </row>
    <row r="1741" spans="1:12" x14ac:dyDescent="0.3">
      <c r="A1741" t="s">
        <v>21696</v>
      </c>
      <c r="B1741" t="s">
        <v>18659</v>
      </c>
      <c r="C1741" t="s">
        <v>18660</v>
      </c>
      <c r="D1741" t="s">
        <v>18661</v>
      </c>
      <c r="E1741">
        <v>3426</v>
      </c>
      <c r="F1741" t="s">
        <v>11875</v>
      </c>
      <c r="G1741" t="s">
        <v>11870</v>
      </c>
      <c r="H1741" t="str">
        <f t="shared" si="54"/>
        <v>Millbrook3426San Angelo</v>
      </c>
      <c r="I1741" t="str">
        <f t="shared" si="55"/>
        <v>Millbrook</v>
      </c>
      <c r="J1741" s="82">
        <f>IFERROR(INDEX('All Folders'!$A:$A,MATCH(H1741,'All Folders'!$G:$G,0),1),"¶")</f>
        <v>30380</v>
      </c>
      <c r="K1741" s="87"/>
      <c r="L1741" s="87"/>
    </row>
    <row r="1742" spans="1:12" x14ac:dyDescent="0.3">
      <c r="A1742" t="s">
        <v>21697</v>
      </c>
      <c r="B1742" t="s">
        <v>18662</v>
      </c>
      <c r="C1742" t="s">
        <v>18663</v>
      </c>
      <c r="D1742" t="s">
        <v>18664</v>
      </c>
      <c r="E1742">
        <v>2901</v>
      </c>
      <c r="F1742" t="s">
        <v>11880</v>
      </c>
      <c r="G1742" t="s">
        <v>11870</v>
      </c>
      <c r="H1742" t="str">
        <f t="shared" si="54"/>
        <v>Sunset2901San Angelo</v>
      </c>
      <c r="I1742" t="str">
        <f t="shared" si="55"/>
        <v>Sunset</v>
      </c>
      <c r="J1742" s="82">
        <f>IFERROR(INDEX('All Folders'!$A:$A,MATCH(H1742,'All Folders'!$G:$G,0),1),"¶")</f>
        <v>30383</v>
      </c>
      <c r="K1742" s="87"/>
      <c r="L1742" s="87"/>
    </row>
    <row r="1743" spans="1:12" x14ac:dyDescent="0.3">
      <c r="A1743" t="s">
        <v>21698</v>
      </c>
      <c r="B1743" t="s">
        <v>18665</v>
      </c>
      <c r="C1743" t="s">
        <v>18666</v>
      </c>
      <c r="D1743" t="s">
        <v>18667</v>
      </c>
      <c r="E1743">
        <v>1818</v>
      </c>
      <c r="F1743" t="s">
        <v>18668</v>
      </c>
      <c r="G1743" t="s">
        <v>11870</v>
      </c>
      <c r="H1743" t="str">
        <f t="shared" si="54"/>
        <v>Lincoln1818San Angelo</v>
      </c>
      <c r="I1743" t="str">
        <f t="shared" si="55"/>
        <v>Lincoln</v>
      </c>
      <c r="J1743" s="82">
        <f>IFERROR(INDEX('All Folders'!$A:$A,MATCH(H1743,'All Folders'!$G:$G,0),1),"¶")</f>
        <v>30379</v>
      </c>
      <c r="K1743" s="87"/>
      <c r="L1743" s="87"/>
    </row>
    <row r="1744" spans="1:12" x14ac:dyDescent="0.3">
      <c r="A1744" t="s">
        <v>21699</v>
      </c>
      <c r="B1744" t="s">
        <v>18669</v>
      </c>
      <c r="C1744" t="s">
        <v>18670</v>
      </c>
      <c r="D1744" t="s">
        <v>18671</v>
      </c>
      <c r="E1744">
        <v>329</v>
      </c>
      <c r="F1744" t="s">
        <v>18672</v>
      </c>
      <c r="G1744" t="s">
        <v>11870</v>
      </c>
      <c r="H1744" t="str">
        <f t="shared" si="54"/>
        <v>Glenna329San Angelo</v>
      </c>
      <c r="I1744" t="str">
        <f t="shared" si="55"/>
        <v>Glenna</v>
      </c>
      <c r="J1744" s="82">
        <f>IFERROR(INDEX('All Folders'!$A:$A,MATCH(H1744,'All Folders'!$G:$G,0),1),"¶")</f>
        <v>30378</v>
      </c>
      <c r="K1744" s="87"/>
      <c r="L1744" s="87"/>
    </row>
    <row r="1745" spans="1:12" x14ac:dyDescent="0.3">
      <c r="A1745" t="s">
        <v>21700</v>
      </c>
      <c r="B1745" t="s">
        <v>18673</v>
      </c>
      <c r="C1745" t="s">
        <v>18674</v>
      </c>
      <c r="D1745" t="s">
        <v>18675</v>
      </c>
      <c r="E1745">
        <v>555</v>
      </c>
      <c r="F1745" t="s">
        <v>941</v>
      </c>
      <c r="G1745" t="s">
        <v>11870</v>
      </c>
      <c r="H1745" t="str">
        <f t="shared" si="54"/>
        <v>Smith555San Angelo</v>
      </c>
      <c r="I1745" t="str">
        <f t="shared" si="55"/>
        <v>Smith</v>
      </c>
      <c r="J1745" s="82">
        <f>IFERROR(INDEX('All Folders'!$A:$A,MATCH(H1745,'All Folders'!$G:$G,0),1),"¶")</f>
        <v>30382</v>
      </c>
      <c r="K1745" s="87"/>
      <c r="L1745" s="87"/>
    </row>
    <row r="1746" spans="1:12" x14ac:dyDescent="0.3">
      <c r="A1746" t="s">
        <v>21701</v>
      </c>
      <c r="B1746" t="s">
        <v>18676</v>
      </c>
      <c r="C1746" t="s">
        <v>18677</v>
      </c>
      <c r="D1746" t="s">
        <v>18678</v>
      </c>
      <c r="E1746">
        <v>1929</v>
      </c>
      <c r="F1746" t="s">
        <v>18679</v>
      </c>
      <c r="G1746" t="s">
        <v>11870</v>
      </c>
      <c r="H1746" t="str">
        <f t="shared" si="54"/>
        <v>Raney1929San Angelo</v>
      </c>
      <c r="I1746" t="str">
        <f t="shared" si="55"/>
        <v>Raney</v>
      </c>
      <c r="J1746" s="82">
        <f>IFERROR(INDEX('All Folders'!$A:$A,MATCH(H1746,'All Folders'!$G:$G,0),1),"¶")</f>
        <v>30381</v>
      </c>
      <c r="K1746" s="87"/>
      <c r="L1746" s="87"/>
    </row>
    <row r="1747" spans="1:12" x14ac:dyDescent="0.3">
      <c r="A1747" t="s">
        <v>21702</v>
      </c>
      <c r="B1747" t="s">
        <v>18680</v>
      </c>
      <c r="C1747" t="s">
        <v>18681</v>
      </c>
      <c r="D1747" t="s">
        <v>858</v>
      </c>
      <c r="E1747">
        <v>11020</v>
      </c>
      <c r="F1747" t="s">
        <v>18682</v>
      </c>
      <c r="G1747" t="s">
        <v>842</v>
      </c>
      <c r="H1747" t="str">
        <f t="shared" si="54"/>
        <v>Huebner11020San Antonio</v>
      </c>
      <c r="I1747" t="str">
        <f t="shared" si="55"/>
        <v>Huebner</v>
      </c>
      <c r="J1747" s="82">
        <f>IFERROR(INDEX('All Folders'!$A:$A,MATCH(H1747,'All Folders'!$G:$G,0),1),"¶")</f>
        <v>1079</v>
      </c>
      <c r="K1747" s="87"/>
      <c r="L1747" s="87"/>
    </row>
    <row r="1748" spans="1:12" x14ac:dyDescent="0.3">
      <c r="A1748" t="s">
        <v>21703</v>
      </c>
      <c r="B1748" t="s">
        <v>18683</v>
      </c>
      <c r="C1748" t="s">
        <v>18684</v>
      </c>
      <c r="D1748" t="s">
        <v>18685</v>
      </c>
      <c r="E1748">
        <v>11660</v>
      </c>
      <c r="F1748" t="s">
        <v>18686</v>
      </c>
      <c r="G1748" t="s">
        <v>842</v>
      </c>
      <c r="H1748" t="str">
        <f t="shared" si="54"/>
        <v>Huebner11660San Antonio</v>
      </c>
      <c r="I1748" t="str">
        <f t="shared" si="55"/>
        <v>Huebner</v>
      </c>
      <c r="J1748" s="82">
        <f>IFERROR(INDEX('All Folders'!$A:$A,MATCH(H1748,'All Folders'!$G:$G,0),1),"¶")</f>
        <v>811</v>
      </c>
      <c r="K1748" s="87"/>
      <c r="L1748" s="87"/>
    </row>
    <row r="1749" spans="1:12" x14ac:dyDescent="0.3">
      <c r="A1749" t="s">
        <v>21704</v>
      </c>
      <c r="B1749" t="s">
        <v>18687</v>
      </c>
      <c r="C1749" t="s">
        <v>18688</v>
      </c>
      <c r="D1749" t="s">
        <v>18689</v>
      </c>
      <c r="E1749">
        <v>3735</v>
      </c>
      <c r="F1749" t="s">
        <v>18690</v>
      </c>
      <c r="G1749" t="s">
        <v>842</v>
      </c>
      <c r="H1749" t="str">
        <f t="shared" si="54"/>
        <v>Commerce3735San Antonio</v>
      </c>
      <c r="I1749" t="str">
        <f t="shared" si="55"/>
        <v>Commerce</v>
      </c>
      <c r="J1749" s="82">
        <f>IFERROR(INDEX('All Folders'!$A:$A,MATCH(H1749,'All Folders'!$G:$G,0),1),"¶")</f>
        <v>30655</v>
      </c>
      <c r="K1749" s="87"/>
      <c r="L1749" s="87"/>
    </row>
    <row r="1750" spans="1:12" x14ac:dyDescent="0.3">
      <c r="A1750" t="s">
        <v>21705</v>
      </c>
      <c r="B1750" t="s">
        <v>18691</v>
      </c>
      <c r="C1750" t="s">
        <v>18692</v>
      </c>
      <c r="D1750" t="s">
        <v>18693</v>
      </c>
      <c r="E1750">
        <v>5347</v>
      </c>
      <c r="F1750" t="s">
        <v>18694</v>
      </c>
      <c r="G1750" t="s">
        <v>842</v>
      </c>
      <c r="H1750" t="str">
        <f t="shared" si="54"/>
        <v>Blanco5347San Antonio</v>
      </c>
      <c r="I1750" t="str">
        <f t="shared" si="55"/>
        <v>Blanco</v>
      </c>
      <c r="J1750" s="82">
        <f>IFERROR(INDEX('All Folders'!$A:$A,MATCH(H1750,'All Folders'!$G:$G,0),1),"¶")</f>
        <v>17292</v>
      </c>
      <c r="K1750" s="87"/>
      <c r="L1750" s="87"/>
    </row>
    <row r="1751" spans="1:12" x14ac:dyDescent="0.3">
      <c r="A1751" t="s">
        <v>21706</v>
      </c>
      <c r="B1751" t="s">
        <v>18695</v>
      </c>
      <c r="C1751" t="s">
        <v>18696</v>
      </c>
      <c r="D1751" t="s">
        <v>18697</v>
      </c>
      <c r="E1751">
        <v>5909</v>
      </c>
      <c r="F1751" t="s">
        <v>18698</v>
      </c>
      <c r="G1751" t="s">
        <v>842</v>
      </c>
      <c r="H1751" t="str">
        <f t="shared" si="54"/>
        <v>Royalgate5909San Antonio</v>
      </c>
      <c r="I1751" t="str">
        <f t="shared" si="55"/>
        <v>Royalgate</v>
      </c>
      <c r="J1751" s="82">
        <f>IFERROR(INDEX('All Folders'!$A:$A,MATCH(H1751,'All Folders'!$G:$G,0),1),"¶")</f>
        <v>983</v>
      </c>
      <c r="K1751" s="87"/>
      <c r="L1751" s="87"/>
    </row>
    <row r="1752" spans="1:12" x14ac:dyDescent="0.3">
      <c r="A1752" t="s">
        <v>21707</v>
      </c>
      <c r="B1752" t="s">
        <v>18699</v>
      </c>
      <c r="C1752" t="s">
        <v>18700</v>
      </c>
      <c r="D1752" t="s">
        <v>18701</v>
      </c>
      <c r="E1752">
        <v>4550</v>
      </c>
      <c r="F1752" t="s">
        <v>18702</v>
      </c>
      <c r="G1752" t="s">
        <v>842</v>
      </c>
      <c r="H1752" t="str">
        <f t="shared" si="54"/>
        <v>Lavender4550San Antonio</v>
      </c>
      <c r="I1752" t="str">
        <f t="shared" si="55"/>
        <v>Lavender</v>
      </c>
      <c r="J1752" s="82">
        <f>IFERROR(INDEX('All Folders'!$A:$A,MATCH(H1752,'All Folders'!$G:$G,0),1),"¶")</f>
        <v>851</v>
      </c>
      <c r="K1752" s="87"/>
      <c r="L1752" s="87"/>
    </row>
    <row r="1753" spans="1:12" x14ac:dyDescent="0.3">
      <c r="A1753" t="s">
        <v>21708</v>
      </c>
      <c r="B1753" t="s">
        <v>18703</v>
      </c>
      <c r="C1753" t="s">
        <v>18704</v>
      </c>
      <c r="D1753" t="s">
        <v>18705</v>
      </c>
      <c r="E1753">
        <v>6945</v>
      </c>
      <c r="F1753" t="s">
        <v>18706</v>
      </c>
      <c r="G1753" t="s">
        <v>842</v>
      </c>
      <c r="H1753" t="str">
        <f t="shared" si="54"/>
        <v>106945San Antonio</v>
      </c>
      <c r="I1753" t="str">
        <f t="shared" si="55"/>
        <v>10</v>
      </c>
      <c r="J1753" s="82">
        <f>IFERROR(INDEX('All Folders'!$A:$A,MATCH(H1753,'All Folders'!$G:$G,0),1),"¶")</f>
        <v>30662</v>
      </c>
      <c r="K1753" s="87"/>
      <c r="L1753" s="87"/>
    </row>
    <row r="1754" spans="1:12" x14ac:dyDescent="0.3">
      <c r="A1754" t="s">
        <v>21709</v>
      </c>
      <c r="B1754" t="s">
        <v>18707</v>
      </c>
      <c r="C1754" t="s">
        <v>18708</v>
      </c>
      <c r="D1754" t="s">
        <v>18709</v>
      </c>
      <c r="E1754">
        <v>5450</v>
      </c>
      <c r="F1754" t="s">
        <v>279</v>
      </c>
      <c r="G1754" t="s">
        <v>842</v>
      </c>
      <c r="H1754" t="str">
        <f t="shared" si="54"/>
        <v>Rowley5450San Antonio</v>
      </c>
      <c r="I1754" t="str">
        <f t="shared" si="55"/>
        <v>Rowley</v>
      </c>
      <c r="J1754" s="82">
        <f>IFERROR(INDEX('All Folders'!$A:$A,MATCH(H1754,'All Folders'!$G:$G,0),1),"¶")</f>
        <v>1099</v>
      </c>
      <c r="K1754" s="87"/>
      <c r="L1754" s="87"/>
    </row>
    <row r="1755" spans="1:12" x14ac:dyDescent="0.3">
      <c r="A1755" t="s">
        <v>21710</v>
      </c>
      <c r="B1755" t="s">
        <v>18710</v>
      </c>
      <c r="C1755" t="s">
        <v>18711</v>
      </c>
      <c r="D1755" t="s">
        <v>18712</v>
      </c>
      <c r="E1755">
        <v>4100</v>
      </c>
      <c r="F1755" t="s">
        <v>1048</v>
      </c>
      <c r="G1755" t="s">
        <v>842</v>
      </c>
      <c r="H1755" t="str">
        <f t="shared" si="54"/>
        <v>Parkdale4100San Antonio</v>
      </c>
      <c r="I1755" t="str">
        <f t="shared" si="55"/>
        <v>Parkdale</v>
      </c>
      <c r="J1755" s="82">
        <f>IFERROR(INDEX('All Folders'!$A:$A,MATCH(H1755,'All Folders'!$G:$G,0),1),"¶")</f>
        <v>797</v>
      </c>
      <c r="K1755" s="87"/>
      <c r="L1755" s="87"/>
    </row>
    <row r="1756" spans="1:12" x14ac:dyDescent="0.3">
      <c r="A1756" t="s">
        <v>21712</v>
      </c>
      <c r="B1756" t="s">
        <v>18717</v>
      </c>
      <c r="C1756" t="s">
        <v>18718</v>
      </c>
      <c r="D1756" t="s">
        <v>18719</v>
      </c>
      <c r="E1756">
        <v>8120</v>
      </c>
      <c r="F1756" t="s">
        <v>1471</v>
      </c>
      <c r="G1756" t="s">
        <v>842</v>
      </c>
      <c r="H1756" t="str">
        <f t="shared" si="54"/>
        <v>Mainland8120San Antonio</v>
      </c>
      <c r="I1756" t="str">
        <f t="shared" si="55"/>
        <v>Mainland</v>
      </c>
      <c r="J1756" s="82">
        <f>IFERROR(INDEX('All Folders'!$A:$A,MATCH(H1756,'All Folders'!$G:$G,0),1),"¶")</f>
        <v>1100</v>
      </c>
      <c r="K1756" s="87"/>
      <c r="L1756" s="87"/>
    </row>
    <row r="1757" spans="1:12" x14ac:dyDescent="0.3">
      <c r="A1757" t="s">
        <v>21713</v>
      </c>
      <c r="B1757" t="s">
        <v>18720</v>
      </c>
      <c r="C1757" t="s">
        <v>18721</v>
      </c>
      <c r="D1757" t="s">
        <v>18722</v>
      </c>
      <c r="E1757">
        <v>2003</v>
      </c>
      <c r="F1757" t="s">
        <v>18723</v>
      </c>
      <c r="G1757" t="s">
        <v>842</v>
      </c>
      <c r="H1757" t="str">
        <f t="shared" si="54"/>
        <v>Oakhill2003San Antonio</v>
      </c>
      <c r="I1757" t="str">
        <f t="shared" si="55"/>
        <v>Oakhill</v>
      </c>
      <c r="J1757" s="82">
        <f>IFERROR(INDEX('All Folders'!$A:$A,MATCH(H1757,'All Folders'!$G:$G,0),1),"¶")</f>
        <v>921</v>
      </c>
      <c r="K1757" s="87"/>
      <c r="L1757" s="87"/>
    </row>
    <row r="1758" spans="1:12" x14ac:dyDescent="0.3">
      <c r="A1758" t="s">
        <v>21714</v>
      </c>
      <c r="B1758" t="s">
        <v>18724</v>
      </c>
      <c r="C1758" t="s">
        <v>18725</v>
      </c>
      <c r="D1758" t="s">
        <v>18726</v>
      </c>
      <c r="E1758">
        <v>8237</v>
      </c>
      <c r="F1758" t="s">
        <v>18727</v>
      </c>
      <c r="G1758" t="s">
        <v>842</v>
      </c>
      <c r="H1758" t="str">
        <f t="shared" si="54"/>
        <v>Flores8237San Antonio</v>
      </c>
      <c r="I1758" t="str">
        <f t="shared" si="55"/>
        <v>Flores</v>
      </c>
      <c r="J1758" s="82">
        <f>IFERROR(INDEX('All Folders'!$A:$A,MATCH(H1758,'All Folders'!$G:$G,0),1),"¶")</f>
        <v>699</v>
      </c>
      <c r="K1758" s="87"/>
      <c r="L1758" s="87"/>
    </row>
    <row r="1759" spans="1:12" x14ac:dyDescent="0.3">
      <c r="A1759" t="s">
        <v>21715</v>
      </c>
      <c r="B1759" t="s">
        <v>18728</v>
      </c>
      <c r="C1759" t="s">
        <v>18729</v>
      </c>
      <c r="D1759" t="s">
        <v>18730</v>
      </c>
      <c r="E1759">
        <v>13999</v>
      </c>
      <c r="F1759" t="s">
        <v>903</v>
      </c>
      <c r="G1759" t="s">
        <v>842</v>
      </c>
      <c r="H1759" t="str">
        <f t="shared" si="54"/>
        <v>Old13999San Antonio</v>
      </c>
      <c r="I1759" t="str">
        <f t="shared" si="55"/>
        <v>Old</v>
      </c>
      <c r="J1759" s="82">
        <f>IFERROR(INDEX('All Folders'!$A:$A,MATCH(H1759,'All Folders'!$G:$G,0),1),"¶")</f>
        <v>705</v>
      </c>
      <c r="K1759" s="87"/>
      <c r="L1759" s="87"/>
    </row>
    <row r="1760" spans="1:12" x14ac:dyDescent="0.3">
      <c r="A1760" t="s">
        <v>21716</v>
      </c>
      <c r="B1760" t="s">
        <v>18731</v>
      </c>
      <c r="C1760" t="s">
        <v>18732</v>
      </c>
      <c r="D1760" t="s">
        <v>877</v>
      </c>
      <c r="E1760">
        <v>11501</v>
      </c>
      <c r="F1760" t="s">
        <v>877</v>
      </c>
      <c r="G1760" t="s">
        <v>842</v>
      </c>
      <c r="H1760" t="str">
        <f t="shared" si="54"/>
        <v>Braesview11501San Antonio</v>
      </c>
      <c r="I1760" t="str">
        <f t="shared" si="55"/>
        <v>Braesview</v>
      </c>
      <c r="J1760" s="82">
        <f>IFERROR(INDEX('All Folders'!$A:$A,MATCH(H1760,'All Folders'!$G:$G,0),1),"¶")</f>
        <v>709</v>
      </c>
      <c r="K1760" s="87"/>
      <c r="L1760" s="87"/>
    </row>
    <row r="1761" spans="1:12" x14ac:dyDescent="0.3">
      <c r="A1761" t="s">
        <v>21717</v>
      </c>
      <c r="B1761" t="s">
        <v>18733</v>
      </c>
      <c r="C1761" t="s">
        <v>18734</v>
      </c>
      <c r="D1761" t="s">
        <v>18735</v>
      </c>
      <c r="E1761">
        <v>9531</v>
      </c>
      <c r="F1761" t="s">
        <v>18736</v>
      </c>
      <c r="G1761" t="s">
        <v>842</v>
      </c>
      <c r="H1761" t="str">
        <f t="shared" si="54"/>
        <v>1519531San Antonio</v>
      </c>
      <c r="I1761" t="str">
        <f t="shared" si="55"/>
        <v>151</v>
      </c>
      <c r="J1761" s="82">
        <f>IFERROR(INDEX('All Folders'!$A:$A,MATCH(H1761,'All Folders'!$G:$G,0),1),"¶")</f>
        <v>17811</v>
      </c>
      <c r="K1761" s="87"/>
      <c r="L1761" s="87"/>
    </row>
    <row r="1762" spans="1:12" x14ac:dyDescent="0.3">
      <c r="A1762" t="s">
        <v>21718</v>
      </c>
      <c r="B1762" t="s">
        <v>18737</v>
      </c>
      <c r="C1762" t="s">
        <v>18738</v>
      </c>
      <c r="D1762" t="s">
        <v>18693</v>
      </c>
      <c r="E1762">
        <v>6014</v>
      </c>
      <c r="F1762" t="s">
        <v>18739</v>
      </c>
      <c r="G1762" t="s">
        <v>842</v>
      </c>
      <c r="H1762" t="str">
        <f t="shared" si="54"/>
        <v>Blanco6014San Antonio</v>
      </c>
      <c r="I1762" t="str">
        <f t="shared" si="55"/>
        <v>Blanco</v>
      </c>
      <c r="J1762" s="82">
        <f>IFERROR(INDEX('All Folders'!$A:$A,MATCH(H1762,'All Folders'!$G:$G,0),1),"¶")</f>
        <v>733</v>
      </c>
      <c r="K1762" s="87"/>
      <c r="L1762" s="87"/>
    </row>
    <row r="1763" spans="1:12" x14ac:dyDescent="0.3">
      <c r="A1763" t="s">
        <v>21720</v>
      </c>
      <c r="B1763" t="s">
        <v>18744</v>
      </c>
      <c r="C1763" t="s">
        <v>18745</v>
      </c>
      <c r="D1763" t="s">
        <v>18746</v>
      </c>
      <c r="E1763">
        <v>2819</v>
      </c>
      <c r="F1763" t="s">
        <v>1076</v>
      </c>
      <c r="G1763" t="s">
        <v>842</v>
      </c>
      <c r="H1763" t="str">
        <f t="shared" si="54"/>
        <v>Military2819San Antonio</v>
      </c>
      <c r="I1763" t="str">
        <f t="shared" si="55"/>
        <v>Military</v>
      </c>
      <c r="J1763" s="82">
        <f>IFERROR(INDEX('All Folders'!$A:$A,MATCH(H1763,'All Folders'!$G:$G,0),1),"¶")</f>
        <v>814</v>
      </c>
      <c r="K1763" s="87"/>
      <c r="L1763" s="87"/>
    </row>
    <row r="1764" spans="1:12" x14ac:dyDescent="0.3">
      <c r="A1764" t="s">
        <v>21721</v>
      </c>
      <c r="B1764" t="s">
        <v>18747</v>
      </c>
      <c r="C1764" t="s">
        <v>18748</v>
      </c>
      <c r="D1764" t="s">
        <v>18749</v>
      </c>
      <c r="E1764">
        <v>8502</v>
      </c>
      <c r="F1764" t="s">
        <v>982</v>
      </c>
      <c r="G1764" t="s">
        <v>842</v>
      </c>
      <c r="H1764" t="str">
        <f t="shared" si="54"/>
        <v>Ahern8502San Antonio</v>
      </c>
      <c r="I1764" t="str">
        <f t="shared" si="55"/>
        <v>Ahern</v>
      </c>
      <c r="J1764" s="82">
        <f>IFERROR(INDEX('All Folders'!$A:$A,MATCH(H1764,'All Folders'!$G:$G,0),1),"¶")</f>
        <v>755</v>
      </c>
      <c r="K1764" s="87"/>
      <c r="L1764" s="87"/>
    </row>
    <row r="1765" spans="1:12" x14ac:dyDescent="0.3">
      <c r="A1765" t="s">
        <v>21723</v>
      </c>
      <c r="B1765" t="s">
        <v>18753</v>
      </c>
      <c r="C1765" t="s">
        <v>18754</v>
      </c>
      <c r="D1765" t="s">
        <v>18755</v>
      </c>
      <c r="E1765">
        <v>1946</v>
      </c>
      <c r="F1765" t="s">
        <v>4166</v>
      </c>
      <c r="G1765" t="s">
        <v>842</v>
      </c>
      <c r="H1765" t="str">
        <f t="shared" si="54"/>
        <v>4101946San Antonio</v>
      </c>
      <c r="I1765" t="str">
        <f t="shared" si="55"/>
        <v>410</v>
      </c>
      <c r="J1765" s="82">
        <f>IFERROR(INDEX('All Folders'!$A:$A,MATCH(H1765,'All Folders'!$G:$G,0),1),"¶")</f>
        <v>951</v>
      </c>
      <c r="K1765" s="87"/>
      <c r="L1765" s="87"/>
    </row>
    <row r="1766" spans="1:12" x14ac:dyDescent="0.3">
      <c r="A1766" t="s">
        <v>21725</v>
      </c>
      <c r="B1766" t="s">
        <v>18761</v>
      </c>
      <c r="C1766" t="s">
        <v>18762</v>
      </c>
      <c r="D1766" t="s">
        <v>18763</v>
      </c>
      <c r="E1766">
        <v>335</v>
      </c>
      <c r="F1766" t="s">
        <v>18764</v>
      </c>
      <c r="G1766" t="s">
        <v>842</v>
      </c>
      <c r="H1766" t="str">
        <f t="shared" si="54"/>
        <v>Everest335San Antonio</v>
      </c>
      <c r="I1766" t="str">
        <f t="shared" si="55"/>
        <v>Everest</v>
      </c>
      <c r="J1766" s="82">
        <f>IFERROR(INDEX('All Folders'!$A:$A,MATCH(H1766,'All Folders'!$G:$G,0),1),"¶")</f>
        <v>30658</v>
      </c>
      <c r="K1766" s="87"/>
      <c r="L1766" s="87"/>
    </row>
    <row r="1767" spans="1:12" x14ac:dyDescent="0.3">
      <c r="A1767" t="s">
        <v>21726</v>
      </c>
      <c r="B1767" t="s">
        <v>18765</v>
      </c>
      <c r="C1767" t="s">
        <v>18766</v>
      </c>
      <c r="D1767" t="s">
        <v>18767</v>
      </c>
      <c r="E1767">
        <v>7750</v>
      </c>
      <c r="F1767" t="s">
        <v>1028</v>
      </c>
      <c r="G1767" t="s">
        <v>842</v>
      </c>
      <c r="H1767" t="str">
        <f t="shared" si="54"/>
        <v>Culebra7750San Antonio</v>
      </c>
      <c r="I1767" t="str">
        <f t="shared" si="55"/>
        <v>Culebra</v>
      </c>
      <c r="J1767" s="82">
        <f>IFERROR(INDEX('All Folders'!$A:$A,MATCH(H1767,'All Folders'!$G:$G,0),1),"¶")</f>
        <v>783</v>
      </c>
      <c r="K1767" s="87"/>
      <c r="L1767" s="87"/>
    </row>
    <row r="1768" spans="1:12" x14ac:dyDescent="0.3">
      <c r="A1768" t="s">
        <v>21727</v>
      </c>
      <c r="B1768" t="s">
        <v>18768</v>
      </c>
      <c r="C1768" t="s">
        <v>18769</v>
      </c>
      <c r="D1768" t="s">
        <v>18770</v>
      </c>
      <c r="E1768">
        <v>5211</v>
      </c>
      <c r="F1768" t="s">
        <v>10088</v>
      </c>
      <c r="G1768" t="s">
        <v>842</v>
      </c>
      <c r="H1768" t="str">
        <f t="shared" si="54"/>
        <v>Fredericksburg5211San Antonio</v>
      </c>
      <c r="I1768" t="str">
        <f t="shared" si="55"/>
        <v>Fredericksburg</v>
      </c>
      <c r="J1768" s="82">
        <f>IFERROR(INDEX('All Folders'!$A:$A,MATCH(H1768,'All Folders'!$G:$G,0),1),"¶")</f>
        <v>789</v>
      </c>
      <c r="K1768" s="87"/>
      <c r="L1768" s="87"/>
    </row>
    <row r="1769" spans="1:12" x14ac:dyDescent="0.3">
      <c r="A1769" t="s">
        <v>21728</v>
      </c>
      <c r="B1769" t="s">
        <v>18771</v>
      </c>
      <c r="C1769" t="s">
        <v>18772</v>
      </c>
      <c r="D1769" t="s">
        <v>18773</v>
      </c>
      <c r="E1769">
        <v>158</v>
      </c>
      <c r="F1769" t="s">
        <v>18774</v>
      </c>
      <c r="G1769" t="s">
        <v>842</v>
      </c>
      <c r="H1769" t="str">
        <f t="shared" si="54"/>
        <v>De158San Antonio</v>
      </c>
      <c r="I1769" t="str">
        <f t="shared" si="55"/>
        <v>De</v>
      </c>
      <c r="J1769" s="82">
        <f>IFERROR(INDEX('All Folders'!$A:$A,MATCH(H1769,'All Folders'!$G:$G,0),1),"¶")</f>
        <v>795</v>
      </c>
      <c r="K1769" s="87"/>
      <c r="L1769" s="87"/>
    </row>
    <row r="1770" spans="1:12" x14ac:dyDescent="0.3">
      <c r="A1770" t="s">
        <v>21729</v>
      </c>
      <c r="B1770" t="s">
        <v>18775</v>
      </c>
      <c r="C1770" t="s">
        <v>18776</v>
      </c>
      <c r="D1770" t="s">
        <v>18777</v>
      </c>
      <c r="E1770">
        <v>8630</v>
      </c>
      <c r="F1770" t="s">
        <v>18778</v>
      </c>
      <c r="G1770" t="s">
        <v>842</v>
      </c>
      <c r="H1770" t="str">
        <f t="shared" si="54"/>
        <v>Fairhaven8630San Antonio</v>
      </c>
      <c r="I1770" t="str">
        <f t="shared" si="55"/>
        <v>Fairhaven</v>
      </c>
      <c r="J1770" s="82">
        <f>IFERROR(INDEX('All Folders'!$A:$A,MATCH(H1770,'All Folders'!$G:$G,0),1),"¶")</f>
        <v>803</v>
      </c>
      <c r="K1770" s="87"/>
      <c r="L1770" s="87"/>
    </row>
    <row r="1771" spans="1:12" x14ac:dyDescent="0.3">
      <c r="A1771" t="s">
        <v>21730</v>
      </c>
      <c r="B1771" t="s">
        <v>18779</v>
      </c>
      <c r="C1771" t="s">
        <v>18780</v>
      </c>
      <c r="D1771" t="s">
        <v>18781</v>
      </c>
      <c r="E1771">
        <v>11327</v>
      </c>
      <c r="F1771" t="s">
        <v>18782</v>
      </c>
      <c r="G1771" t="s">
        <v>842</v>
      </c>
      <c r="H1771" t="str">
        <f t="shared" si="54"/>
        <v>Expo11327San Antonio</v>
      </c>
      <c r="I1771" t="str">
        <f t="shared" si="55"/>
        <v>Expo</v>
      </c>
      <c r="J1771" s="82">
        <f>IFERROR(INDEX('All Folders'!$A:$A,MATCH(H1771,'All Folders'!$G:$G,0),1),"¶")</f>
        <v>30659</v>
      </c>
      <c r="K1771" s="87"/>
      <c r="L1771" s="87"/>
    </row>
    <row r="1772" spans="1:12" x14ac:dyDescent="0.3">
      <c r="A1772" t="s">
        <v>21731</v>
      </c>
      <c r="B1772" t="s">
        <v>18783</v>
      </c>
      <c r="C1772" t="s">
        <v>18784</v>
      </c>
      <c r="D1772" t="s">
        <v>840</v>
      </c>
      <c r="E1772">
        <v>1650</v>
      </c>
      <c r="F1772" t="s">
        <v>1063</v>
      </c>
      <c r="G1772" t="s">
        <v>842</v>
      </c>
      <c r="H1772" t="str">
        <f t="shared" si="54"/>
        <v>Jackson1650San Antonio</v>
      </c>
      <c r="I1772" t="str">
        <f t="shared" si="55"/>
        <v>Jackson</v>
      </c>
      <c r="J1772" s="82">
        <f>IFERROR(INDEX('All Folders'!$A:$A,MATCH(H1772,'All Folders'!$G:$G,0),1),"¶")</f>
        <v>807</v>
      </c>
      <c r="K1772" s="87"/>
      <c r="L1772" s="87"/>
    </row>
    <row r="1773" spans="1:12" x14ac:dyDescent="0.3">
      <c r="A1773" t="s">
        <v>21732</v>
      </c>
      <c r="B1773" t="s">
        <v>18785</v>
      </c>
      <c r="C1773" t="s">
        <v>18786</v>
      </c>
      <c r="D1773" t="s">
        <v>18787</v>
      </c>
      <c r="E1773">
        <v>2431</v>
      </c>
      <c r="F1773" t="s">
        <v>18788</v>
      </c>
      <c r="G1773" t="s">
        <v>842</v>
      </c>
      <c r="H1773" t="str">
        <f t="shared" si="54"/>
        <v>Pinn2431San Antonio</v>
      </c>
      <c r="I1773" t="str">
        <f t="shared" si="55"/>
        <v>Pinn</v>
      </c>
      <c r="J1773" s="82">
        <f>IFERROR(INDEX('All Folders'!$A:$A,MATCH(H1773,'All Folders'!$G:$G,0),1),"¶")</f>
        <v>812</v>
      </c>
      <c r="K1773" s="87"/>
      <c r="L1773" s="87"/>
    </row>
    <row r="1774" spans="1:12" x14ac:dyDescent="0.3">
      <c r="A1774" t="s">
        <v>21733</v>
      </c>
      <c r="B1774" t="s">
        <v>18789</v>
      </c>
      <c r="C1774" t="s">
        <v>18790</v>
      </c>
      <c r="D1774" t="s">
        <v>18791</v>
      </c>
      <c r="E1774">
        <v>6910</v>
      </c>
      <c r="F1774" t="s">
        <v>18792</v>
      </c>
      <c r="G1774" t="s">
        <v>842</v>
      </c>
      <c r="H1774" t="str">
        <f t="shared" si="54"/>
        <v>Glendora6910San Antonio</v>
      </c>
      <c r="I1774" t="str">
        <f t="shared" si="55"/>
        <v>Glendora</v>
      </c>
      <c r="J1774" s="82" t="str">
        <f>IFERROR(INDEX('All Folders'!$A:$A,MATCH(H1774,'All Folders'!$G:$G,0),1),"¶")</f>
        <v>SP202</v>
      </c>
      <c r="K1774" s="87"/>
      <c r="L1774" s="87"/>
    </row>
    <row r="1775" spans="1:12" x14ac:dyDescent="0.3">
      <c r="A1775" t="s">
        <v>21734</v>
      </c>
      <c r="B1775" t="s">
        <v>18793</v>
      </c>
      <c r="C1775" t="s">
        <v>18794</v>
      </c>
      <c r="D1775" t="s">
        <v>18795</v>
      </c>
      <c r="E1775">
        <v>13101</v>
      </c>
      <c r="F1775" t="s">
        <v>18796</v>
      </c>
      <c r="G1775" t="s">
        <v>842</v>
      </c>
      <c r="H1775" t="str">
        <f t="shared" si="54"/>
        <v>160413101San Antonio</v>
      </c>
      <c r="I1775" t="str">
        <f t="shared" si="55"/>
        <v>1604</v>
      </c>
      <c r="J1775" s="82">
        <f>IFERROR(INDEX('All Folders'!$A:$A,MATCH(H1775,'All Folders'!$G:$G,0),1),"¶")</f>
        <v>30657</v>
      </c>
      <c r="K1775" s="87"/>
      <c r="L1775" s="87"/>
    </row>
    <row r="1776" spans="1:12" x14ac:dyDescent="0.3">
      <c r="A1776" t="s">
        <v>21735</v>
      </c>
      <c r="B1776" t="s">
        <v>18797</v>
      </c>
      <c r="C1776" t="s">
        <v>18798</v>
      </c>
      <c r="D1776" t="s">
        <v>18799</v>
      </c>
      <c r="E1776">
        <v>1543</v>
      </c>
      <c r="F1776" t="s">
        <v>18800</v>
      </c>
      <c r="G1776" t="s">
        <v>842</v>
      </c>
      <c r="H1776" t="str">
        <f t="shared" si="54"/>
        <v>Babcock1543San Antonio</v>
      </c>
      <c r="I1776" t="str">
        <f t="shared" si="55"/>
        <v>Babcock</v>
      </c>
      <c r="J1776" s="82">
        <f>IFERROR(INDEX('All Folders'!$A:$A,MATCH(H1776,'All Folders'!$G:$G,0),1),"¶")</f>
        <v>829</v>
      </c>
      <c r="K1776" s="87"/>
      <c r="L1776" s="87"/>
    </row>
    <row r="1777" spans="1:12" x14ac:dyDescent="0.3">
      <c r="A1777" t="s">
        <v>21736</v>
      </c>
      <c r="B1777" t="s">
        <v>18801</v>
      </c>
      <c r="C1777" t="s">
        <v>18802</v>
      </c>
      <c r="D1777" t="s">
        <v>18803</v>
      </c>
      <c r="E1777">
        <v>10951</v>
      </c>
      <c r="F1777" t="s">
        <v>18804</v>
      </c>
      <c r="G1777" t="s">
        <v>842</v>
      </c>
      <c r="H1777" t="str">
        <f t="shared" si="54"/>
        <v>Laureate10951San Antonio</v>
      </c>
      <c r="I1777" t="str">
        <f t="shared" si="55"/>
        <v>Laureate</v>
      </c>
      <c r="J1777" s="82">
        <f>IFERROR(INDEX('All Folders'!$A:$A,MATCH(H1777,'All Folders'!$G:$G,0),1),"¶")</f>
        <v>836</v>
      </c>
      <c r="K1777" s="87"/>
      <c r="L1777" s="87"/>
    </row>
    <row r="1778" spans="1:12" x14ac:dyDescent="0.3">
      <c r="A1778" t="s">
        <v>21737</v>
      </c>
      <c r="B1778" t="s">
        <v>18805</v>
      </c>
      <c r="C1778" t="s">
        <v>18806</v>
      </c>
      <c r="D1778" t="s">
        <v>18807</v>
      </c>
      <c r="E1778">
        <v>2822</v>
      </c>
      <c r="F1778" t="s">
        <v>18808</v>
      </c>
      <c r="G1778" t="s">
        <v>842</v>
      </c>
      <c r="H1778" t="str">
        <f t="shared" si="54"/>
        <v>Hillcrest2822San Antonio</v>
      </c>
      <c r="I1778" t="str">
        <f t="shared" si="55"/>
        <v>Hillcrest</v>
      </c>
      <c r="J1778" s="82">
        <f>IFERROR(INDEX('All Folders'!$A:$A,MATCH(H1778,'All Folders'!$G:$G,0),1),"¶")</f>
        <v>30660</v>
      </c>
      <c r="K1778" s="87"/>
      <c r="L1778" s="87"/>
    </row>
    <row r="1779" spans="1:12" x14ac:dyDescent="0.3">
      <c r="A1779" t="s">
        <v>21738</v>
      </c>
      <c r="B1779" t="s">
        <v>18809</v>
      </c>
      <c r="C1779" t="s">
        <v>18810</v>
      </c>
      <c r="D1779" t="s">
        <v>18811</v>
      </c>
      <c r="E1779">
        <v>5100</v>
      </c>
      <c r="F1779" t="s">
        <v>858</v>
      </c>
      <c r="G1779" t="s">
        <v>842</v>
      </c>
      <c r="H1779" t="str">
        <f t="shared" si="54"/>
        <v>USAA5100San Antonio</v>
      </c>
      <c r="I1779" t="str">
        <f t="shared" si="55"/>
        <v>USAA</v>
      </c>
      <c r="J1779" s="82">
        <f>IFERROR(INDEX('All Folders'!$A:$A,MATCH(H1779,'All Folders'!$G:$G,0),1),"¶")</f>
        <v>679</v>
      </c>
      <c r="K1779" s="87"/>
      <c r="L1779" s="87"/>
    </row>
    <row r="1780" spans="1:12" x14ac:dyDescent="0.3">
      <c r="A1780" t="s">
        <v>21739</v>
      </c>
      <c r="B1780" t="s">
        <v>18812</v>
      </c>
      <c r="C1780" t="s">
        <v>18813</v>
      </c>
      <c r="D1780" t="s">
        <v>18814</v>
      </c>
      <c r="E1780">
        <v>7110</v>
      </c>
      <c r="F1780" t="s">
        <v>1551</v>
      </c>
      <c r="G1780" t="s">
        <v>842</v>
      </c>
      <c r="H1780" t="str">
        <f t="shared" si="54"/>
        <v>Wurzbach7110San Antonio</v>
      </c>
      <c r="I1780" t="str">
        <f t="shared" si="55"/>
        <v>Wurzbach</v>
      </c>
      <c r="J1780" s="82">
        <f>IFERROR(INDEX('All Folders'!$A:$A,MATCH(H1780,'All Folders'!$G:$G,0),1),"¶")</f>
        <v>1159</v>
      </c>
      <c r="K1780" s="87"/>
      <c r="L1780" s="87"/>
    </row>
    <row r="1781" spans="1:12" x14ac:dyDescent="0.3">
      <c r="A1781" t="s">
        <v>21740</v>
      </c>
      <c r="B1781" t="s">
        <v>18815</v>
      </c>
      <c r="C1781" t="s">
        <v>18816</v>
      </c>
      <c r="D1781" t="s">
        <v>18817</v>
      </c>
      <c r="E1781">
        <v>2358</v>
      </c>
      <c r="F1781" t="s">
        <v>18818</v>
      </c>
      <c r="G1781" t="s">
        <v>842</v>
      </c>
      <c r="H1781" t="str">
        <f t="shared" si="54"/>
        <v>Military2358San Antonio</v>
      </c>
      <c r="I1781" t="str">
        <f t="shared" si="55"/>
        <v>Military</v>
      </c>
      <c r="J1781" s="82">
        <f>IFERROR(INDEX('All Folders'!$A:$A,MATCH(H1781,'All Folders'!$G:$G,0),1),"¶")</f>
        <v>841</v>
      </c>
      <c r="K1781" s="87"/>
      <c r="L1781" s="87"/>
    </row>
    <row r="1782" spans="1:12" x14ac:dyDescent="0.3">
      <c r="A1782" t="s">
        <v>21741</v>
      </c>
      <c r="B1782" t="s">
        <v>18819</v>
      </c>
      <c r="C1782" t="s">
        <v>18820</v>
      </c>
      <c r="D1782" t="s">
        <v>18821</v>
      </c>
      <c r="E1782">
        <v>535</v>
      </c>
      <c r="F1782" t="s">
        <v>18822</v>
      </c>
      <c r="G1782" t="s">
        <v>842</v>
      </c>
      <c r="H1782" t="str">
        <f t="shared" si="54"/>
        <v>Hutchins535San Antonio</v>
      </c>
      <c r="I1782" t="str">
        <f t="shared" si="55"/>
        <v>Hutchins</v>
      </c>
      <c r="J1782" s="82">
        <f>IFERROR(INDEX('All Folders'!$A:$A,MATCH(H1782,'All Folders'!$G:$G,0),1),"¶")</f>
        <v>16458</v>
      </c>
      <c r="K1782" s="87"/>
      <c r="L1782" s="87"/>
    </row>
    <row r="1783" spans="1:12" x14ac:dyDescent="0.3">
      <c r="A1783" t="s">
        <v>21742</v>
      </c>
      <c r="B1783" t="s">
        <v>18823</v>
      </c>
      <c r="C1783" t="s">
        <v>18824</v>
      </c>
      <c r="D1783" t="s">
        <v>18825</v>
      </c>
      <c r="E1783">
        <v>6900</v>
      </c>
      <c r="F1783" t="s">
        <v>1140</v>
      </c>
      <c r="G1783" t="s">
        <v>842</v>
      </c>
      <c r="H1783" t="str">
        <f t="shared" si="54"/>
        <v>Vandiver6900San Antonio</v>
      </c>
      <c r="I1783" t="str">
        <f t="shared" si="55"/>
        <v>Vandiver</v>
      </c>
      <c r="J1783" s="82">
        <f>IFERROR(INDEX('All Folders'!$A:$A,MATCH(H1783,'All Folders'!$G:$G,0),1),"¶")</f>
        <v>857</v>
      </c>
      <c r="K1783" s="87"/>
      <c r="L1783" s="87"/>
    </row>
    <row r="1784" spans="1:12" x14ac:dyDescent="0.3">
      <c r="A1784" t="s">
        <v>21743</v>
      </c>
      <c r="B1784" t="s">
        <v>18826</v>
      </c>
      <c r="C1784" t="s">
        <v>18827</v>
      </c>
      <c r="D1784" t="s">
        <v>18709</v>
      </c>
      <c r="E1784">
        <v>5455</v>
      </c>
      <c r="F1784" t="s">
        <v>12287</v>
      </c>
      <c r="G1784" t="s">
        <v>842</v>
      </c>
      <c r="H1784" t="str">
        <f t="shared" si="54"/>
        <v>Rowley5455San Antonio</v>
      </c>
      <c r="I1784" t="str">
        <f t="shared" si="55"/>
        <v>Rowley</v>
      </c>
      <c r="J1784" s="82">
        <f>IFERROR(INDEX('All Folders'!$A:$A,MATCH(H1784,'All Folders'!$G:$G,0),1),"¶")</f>
        <v>30665</v>
      </c>
      <c r="K1784" s="87"/>
      <c r="L1784" s="87"/>
    </row>
    <row r="1785" spans="1:12" x14ac:dyDescent="0.3">
      <c r="A1785" t="s">
        <v>21744</v>
      </c>
      <c r="B1785" t="s">
        <v>18828</v>
      </c>
      <c r="C1785" t="s">
        <v>18829</v>
      </c>
      <c r="D1785" t="s">
        <v>18830</v>
      </c>
      <c r="E1785">
        <v>915</v>
      </c>
      <c r="F1785" t="s">
        <v>18831</v>
      </c>
      <c r="G1785" t="s">
        <v>842</v>
      </c>
      <c r="H1785" t="str">
        <f t="shared" si="54"/>
        <v>36th915San Antonio</v>
      </c>
      <c r="I1785" t="str">
        <f t="shared" si="55"/>
        <v>36th</v>
      </c>
      <c r="J1785" s="82" t="str">
        <f>IFERROR(INDEX('All Folders'!$A:$A,MATCH(H1785,'All Folders'!$G:$G,0),1),"¶")</f>
        <v>SP201</v>
      </c>
      <c r="K1785" s="87"/>
      <c r="L1785" s="87"/>
    </row>
    <row r="1786" spans="1:12" x14ac:dyDescent="0.3">
      <c r="A1786" t="s">
        <v>21746</v>
      </c>
      <c r="B1786" t="s">
        <v>18835</v>
      </c>
      <c r="C1786" t="s">
        <v>18836</v>
      </c>
      <c r="D1786" t="s">
        <v>18837</v>
      </c>
      <c r="E1786">
        <v>15800</v>
      </c>
      <c r="F1786" t="s">
        <v>1162</v>
      </c>
      <c r="G1786" t="s">
        <v>842</v>
      </c>
      <c r="H1786" t="str">
        <f t="shared" si="54"/>
        <v>Chase15800San Antonio</v>
      </c>
      <c r="I1786" t="str">
        <f t="shared" si="55"/>
        <v>Chase</v>
      </c>
      <c r="J1786" s="82">
        <f>IFERROR(INDEX('All Folders'!$A:$A,MATCH(H1786,'All Folders'!$G:$G,0),1),"¶")</f>
        <v>872</v>
      </c>
      <c r="K1786" s="87"/>
      <c r="L1786" s="87"/>
    </row>
    <row r="1787" spans="1:12" x14ac:dyDescent="0.3">
      <c r="A1787" t="s">
        <v>21747</v>
      </c>
      <c r="B1787" t="s">
        <v>18838</v>
      </c>
      <c r="C1787" t="s">
        <v>18839</v>
      </c>
      <c r="D1787" t="s">
        <v>18799</v>
      </c>
      <c r="E1787">
        <v>1415</v>
      </c>
      <c r="F1787" t="s">
        <v>18840</v>
      </c>
      <c r="G1787" t="s">
        <v>842</v>
      </c>
      <c r="H1787" t="str">
        <f t="shared" si="54"/>
        <v>Babcock1415San Antonio</v>
      </c>
      <c r="I1787" t="str">
        <f t="shared" si="55"/>
        <v>Babcock</v>
      </c>
      <c r="J1787" s="82">
        <f>IFERROR(INDEX('All Folders'!$A:$A,MATCH(H1787,'All Folders'!$G:$G,0),1),"¶")</f>
        <v>875</v>
      </c>
      <c r="K1787" s="87"/>
      <c r="L1787" s="87"/>
    </row>
    <row r="1788" spans="1:12" x14ac:dyDescent="0.3">
      <c r="A1788" t="s">
        <v>21748</v>
      </c>
      <c r="B1788" t="s">
        <v>18841</v>
      </c>
      <c r="C1788" t="s">
        <v>18842</v>
      </c>
      <c r="D1788" t="s">
        <v>18843</v>
      </c>
      <c r="E1788">
        <v>1947</v>
      </c>
      <c r="F1788" t="s">
        <v>18844</v>
      </c>
      <c r="G1788" t="s">
        <v>842</v>
      </c>
      <c r="H1788" t="str">
        <f t="shared" si="54"/>
        <v>Larkspur1947San Antonio</v>
      </c>
      <c r="I1788" t="str">
        <f t="shared" si="55"/>
        <v>Larkspur</v>
      </c>
      <c r="J1788" s="82">
        <f>IFERROR(INDEX('All Folders'!$A:$A,MATCH(H1788,'All Folders'!$G:$G,0),1),"¶")</f>
        <v>1230</v>
      </c>
      <c r="K1788" s="87"/>
      <c r="L1788" s="87"/>
    </row>
    <row r="1789" spans="1:12" x14ac:dyDescent="0.3">
      <c r="A1789" t="s">
        <v>21749</v>
      </c>
      <c r="B1789" t="s">
        <v>18845</v>
      </c>
      <c r="C1789" t="s">
        <v>18846</v>
      </c>
      <c r="D1789" t="s">
        <v>18847</v>
      </c>
      <c r="E1789">
        <v>130</v>
      </c>
      <c r="F1789" t="s">
        <v>18848</v>
      </c>
      <c r="G1789" t="s">
        <v>842</v>
      </c>
      <c r="H1789" t="str">
        <f t="shared" si="54"/>
        <v>Talavera130San Antonio</v>
      </c>
      <c r="I1789" t="str">
        <f t="shared" si="55"/>
        <v>Talavera</v>
      </c>
      <c r="J1789" s="82">
        <f>IFERROR(INDEX('All Folders'!$A:$A,MATCH(H1789,'All Folders'!$G:$G,0),1),"¶")</f>
        <v>17976</v>
      </c>
      <c r="K1789" s="87"/>
      <c r="L1789" s="87"/>
    </row>
    <row r="1790" spans="1:12" x14ac:dyDescent="0.3">
      <c r="A1790" t="s">
        <v>21751</v>
      </c>
      <c r="B1790" t="s">
        <v>18853</v>
      </c>
      <c r="C1790" t="s">
        <v>18854</v>
      </c>
      <c r="D1790" t="s">
        <v>18855</v>
      </c>
      <c r="E1790">
        <v>7203</v>
      </c>
      <c r="F1790" t="s">
        <v>1184</v>
      </c>
      <c r="G1790" t="s">
        <v>842</v>
      </c>
      <c r="H1790" t="str">
        <f t="shared" si="54"/>
        <v>Marbach7203San Antonio</v>
      </c>
      <c r="I1790" t="str">
        <f t="shared" si="55"/>
        <v>Marbach</v>
      </c>
      <c r="J1790" s="82">
        <f>IFERROR(INDEX('All Folders'!$A:$A,MATCH(H1790,'All Folders'!$G:$G,0),1),"¶")</f>
        <v>887</v>
      </c>
      <c r="K1790" s="87"/>
      <c r="L1790" s="87"/>
    </row>
    <row r="1791" spans="1:12" x14ac:dyDescent="0.3">
      <c r="A1791" t="s">
        <v>21752</v>
      </c>
      <c r="B1791" t="s">
        <v>18856</v>
      </c>
      <c r="C1791" t="s">
        <v>18857</v>
      </c>
      <c r="D1791" t="s">
        <v>1493</v>
      </c>
      <c r="E1791">
        <v>1835</v>
      </c>
      <c r="F1791" t="s">
        <v>18858</v>
      </c>
      <c r="G1791" t="s">
        <v>842</v>
      </c>
      <c r="H1791" t="str">
        <f t="shared" si="54"/>
        <v>Lockhill1835San Antonio</v>
      </c>
      <c r="I1791" t="str">
        <f t="shared" si="55"/>
        <v>Lockhill</v>
      </c>
      <c r="J1791" s="82">
        <f>IFERROR(INDEX('All Folders'!$A:$A,MATCH(H1791,'All Folders'!$G:$G,0),1),"¶")</f>
        <v>1205</v>
      </c>
      <c r="K1791" s="87"/>
      <c r="L1791" s="87"/>
    </row>
    <row r="1792" spans="1:12" x14ac:dyDescent="0.3">
      <c r="A1792" t="s">
        <v>21753</v>
      </c>
      <c r="B1792" t="s">
        <v>18859</v>
      </c>
      <c r="C1792" t="s">
        <v>18860</v>
      </c>
      <c r="D1792" t="s">
        <v>18861</v>
      </c>
      <c r="E1792">
        <v>831</v>
      </c>
      <c r="F1792" t="s">
        <v>18862</v>
      </c>
      <c r="G1792" t="s">
        <v>842</v>
      </c>
      <c r="H1792" t="str">
        <f t="shared" si="54"/>
        <v>Grayson831San Antonio</v>
      </c>
      <c r="I1792" t="str">
        <f t="shared" si="55"/>
        <v>Grayson</v>
      </c>
      <c r="J1792" s="82" t="str">
        <f>IFERROR(INDEX('All Folders'!$A:$A,MATCH(H1792,'All Folders'!$G:$G,0),1),"¶")</f>
        <v>SP203</v>
      </c>
      <c r="K1792" s="87"/>
      <c r="L1792" s="87"/>
    </row>
    <row r="1793" spans="1:12" x14ac:dyDescent="0.3">
      <c r="A1793" t="s">
        <v>21754</v>
      </c>
      <c r="B1793" t="s">
        <v>18863</v>
      </c>
      <c r="C1793" t="s">
        <v>18864</v>
      </c>
      <c r="D1793" t="s">
        <v>18865</v>
      </c>
      <c r="E1793">
        <v>680</v>
      </c>
      <c r="F1793" t="s">
        <v>264</v>
      </c>
      <c r="G1793" t="s">
        <v>842</v>
      </c>
      <c r="H1793" t="str">
        <f t="shared" si="54"/>
        <v>Basse680San Antonio</v>
      </c>
      <c r="I1793" t="str">
        <f t="shared" si="55"/>
        <v>Basse</v>
      </c>
      <c r="J1793" s="82">
        <f>IFERROR(INDEX('All Folders'!$A:$A,MATCH(H1793,'All Folders'!$G:$G,0),1),"¶")</f>
        <v>1055</v>
      </c>
      <c r="K1793" s="87"/>
      <c r="L1793" s="87"/>
    </row>
    <row r="1794" spans="1:12" x14ac:dyDescent="0.3">
      <c r="A1794" t="s">
        <v>21755</v>
      </c>
      <c r="B1794" t="s">
        <v>18866</v>
      </c>
      <c r="C1794" t="s">
        <v>18867</v>
      </c>
      <c r="D1794" t="s">
        <v>18868</v>
      </c>
      <c r="E1794">
        <v>150</v>
      </c>
      <c r="F1794" t="s">
        <v>18869</v>
      </c>
      <c r="G1794" t="s">
        <v>842</v>
      </c>
      <c r="H1794" t="str">
        <f t="shared" ref="H1794:H1857" si="56">I1794&amp;E1794&amp;G1794</f>
        <v>Rustleaf150San Antonio</v>
      </c>
      <c r="I1794" t="str">
        <f t="shared" ref="I1794:I1857" si="57">IFERROR(LEFT(D1794,FIND(" ",D1794)-1),D1794)</f>
        <v>Rustleaf</v>
      </c>
      <c r="J1794" s="82">
        <f>IFERROR(INDEX('All Folders'!$A:$A,MATCH(H1794,'All Folders'!$G:$G,0),1),"¶")</f>
        <v>896</v>
      </c>
      <c r="K1794" s="87"/>
      <c r="L1794" s="87"/>
    </row>
    <row r="1795" spans="1:12" x14ac:dyDescent="0.3">
      <c r="A1795" t="s">
        <v>21756</v>
      </c>
      <c r="B1795" t="s">
        <v>18870</v>
      </c>
      <c r="C1795" t="s">
        <v>18871</v>
      </c>
      <c r="D1795" t="s">
        <v>18872</v>
      </c>
      <c r="E1795">
        <v>4400</v>
      </c>
      <c r="F1795" t="s">
        <v>18873</v>
      </c>
      <c r="G1795" t="s">
        <v>842</v>
      </c>
      <c r="H1795" t="str">
        <f t="shared" si="56"/>
        <v>Bluemel4400San Antonio</v>
      </c>
      <c r="I1795" t="str">
        <f t="shared" si="57"/>
        <v>Bluemel</v>
      </c>
      <c r="J1795" s="82">
        <f>IFERROR(INDEX('All Folders'!$A:$A,MATCH(H1795,'All Folders'!$G:$G,0),1),"¶")</f>
        <v>900</v>
      </c>
      <c r="K1795" s="87"/>
      <c r="L1795" s="87"/>
    </row>
    <row r="1796" spans="1:12" x14ac:dyDescent="0.3">
      <c r="A1796" t="s">
        <v>21757</v>
      </c>
      <c r="B1796" t="s">
        <v>18874</v>
      </c>
      <c r="C1796" t="s">
        <v>18875</v>
      </c>
      <c r="D1796" t="s">
        <v>18876</v>
      </c>
      <c r="E1796">
        <v>1202</v>
      </c>
      <c r="F1796" t="s">
        <v>1533</v>
      </c>
      <c r="G1796" t="s">
        <v>842</v>
      </c>
      <c r="H1796" t="str">
        <f t="shared" si="56"/>
        <v>Mulberry1202San Antonio</v>
      </c>
      <c r="I1796" t="str">
        <f t="shared" si="57"/>
        <v>Mulberry</v>
      </c>
      <c r="J1796" s="82">
        <f>IFERROR(INDEX('All Folders'!$A:$A,MATCH(H1796,'All Folders'!$G:$G,0),1),"¶")</f>
        <v>1145</v>
      </c>
      <c r="K1796" s="87"/>
      <c r="L1796" s="87"/>
    </row>
    <row r="1797" spans="1:12" x14ac:dyDescent="0.3">
      <c r="A1797" t="s">
        <v>21758</v>
      </c>
      <c r="B1797" t="s">
        <v>18877</v>
      </c>
      <c r="C1797" t="s">
        <v>18878</v>
      </c>
      <c r="D1797" t="s">
        <v>18879</v>
      </c>
      <c r="E1797">
        <v>451</v>
      </c>
      <c r="F1797" t="s">
        <v>18880</v>
      </c>
      <c r="G1797" t="s">
        <v>842</v>
      </c>
      <c r="H1797" t="str">
        <f t="shared" si="56"/>
        <v>Natalen451San Antonio</v>
      </c>
      <c r="I1797" t="str">
        <f t="shared" si="57"/>
        <v>Natalen</v>
      </c>
      <c r="J1797" s="82" t="str">
        <f>IFERROR(INDEX('All Folders'!$A:$A,MATCH(H1797,'All Folders'!$G:$G,0),1),"¶")</f>
        <v>SP204</v>
      </c>
      <c r="K1797" s="87"/>
      <c r="L1797" s="87"/>
    </row>
    <row r="1798" spans="1:12" x14ac:dyDescent="0.3">
      <c r="A1798" t="s">
        <v>21759</v>
      </c>
      <c r="B1798" t="s">
        <v>18881</v>
      </c>
      <c r="C1798" t="s">
        <v>18882</v>
      </c>
      <c r="D1798" t="s">
        <v>18883</v>
      </c>
      <c r="E1798">
        <v>7626</v>
      </c>
      <c r="F1798" t="s">
        <v>1213</v>
      </c>
      <c r="G1798" t="s">
        <v>842</v>
      </c>
      <c r="H1798" t="str">
        <f t="shared" si="56"/>
        <v>Callaghan7626San Antonio</v>
      </c>
      <c r="I1798" t="str">
        <f t="shared" si="57"/>
        <v>Callaghan</v>
      </c>
      <c r="J1798" s="82">
        <f>IFERROR(INDEX('All Folders'!$A:$A,MATCH(H1798,'All Folders'!$G:$G,0),1),"¶")</f>
        <v>905</v>
      </c>
      <c r="K1798" s="87"/>
      <c r="L1798" s="87"/>
    </row>
    <row r="1799" spans="1:12" x14ac:dyDescent="0.3">
      <c r="A1799" t="s">
        <v>21761</v>
      </c>
      <c r="B1799" t="s">
        <v>18888</v>
      </c>
      <c r="C1799" t="s">
        <v>18889</v>
      </c>
      <c r="D1799" t="s">
        <v>18890</v>
      </c>
      <c r="E1799">
        <v>6111</v>
      </c>
      <c r="F1799" t="s">
        <v>18891</v>
      </c>
      <c r="G1799" t="s">
        <v>842</v>
      </c>
      <c r="H1799" t="str">
        <f t="shared" si="56"/>
        <v>Vance6111San Antonio</v>
      </c>
      <c r="I1799" t="str">
        <f t="shared" si="57"/>
        <v>Vance</v>
      </c>
      <c r="J1799" s="82">
        <f>IFERROR(INDEX('All Folders'!$A:$A,MATCH(H1799,'All Folders'!$G:$G,0),1),"¶")</f>
        <v>912</v>
      </c>
      <c r="K1799" s="87"/>
      <c r="L1799" s="87"/>
    </row>
    <row r="1800" spans="1:12" x14ac:dyDescent="0.3">
      <c r="A1800" t="s">
        <v>21762</v>
      </c>
      <c r="B1800" t="s">
        <v>18892</v>
      </c>
      <c r="C1800" t="s">
        <v>18893</v>
      </c>
      <c r="D1800" t="s">
        <v>18799</v>
      </c>
      <c r="E1800">
        <v>1847</v>
      </c>
      <c r="F1800" t="s">
        <v>1226</v>
      </c>
      <c r="G1800" t="s">
        <v>842</v>
      </c>
      <c r="H1800" t="str">
        <f t="shared" si="56"/>
        <v>Babcock1847San Antonio</v>
      </c>
      <c r="I1800" t="str">
        <f t="shared" si="57"/>
        <v>Babcock</v>
      </c>
      <c r="J1800" s="82">
        <f>IFERROR(INDEX('All Folders'!$A:$A,MATCH(H1800,'All Folders'!$G:$G,0),1),"¶")</f>
        <v>914</v>
      </c>
      <c r="K1800" s="87"/>
      <c r="L1800" s="87"/>
    </row>
    <row r="1801" spans="1:12" x14ac:dyDescent="0.3">
      <c r="A1801" t="s">
        <v>21763</v>
      </c>
      <c r="B1801" t="s">
        <v>18894</v>
      </c>
      <c r="C1801" t="s">
        <v>18895</v>
      </c>
      <c r="D1801" t="s">
        <v>18896</v>
      </c>
      <c r="E1801">
        <v>7135</v>
      </c>
      <c r="F1801" t="s">
        <v>18897</v>
      </c>
      <c r="G1801" t="s">
        <v>842</v>
      </c>
      <c r="H1801" t="str">
        <f t="shared" si="56"/>
        <v>Oaklawn7135San Antonio</v>
      </c>
      <c r="I1801" t="str">
        <f t="shared" si="57"/>
        <v>Oaklawn</v>
      </c>
      <c r="J1801" s="82">
        <f>IFERROR(INDEX('All Folders'!$A:$A,MATCH(H1801,'All Folders'!$G:$G,0),1),"¶")</f>
        <v>971</v>
      </c>
      <c r="K1801" s="87"/>
      <c r="L1801" s="87"/>
    </row>
    <row r="1802" spans="1:12" x14ac:dyDescent="0.3">
      <c r="A1802" t="s">
        <v>21764</v>
      </c>
      <c r="B1802" t="s">
        <v>18898</v>
      </c>
      <c r="C1802" t="s">
        <v>18899</v>
      </c>
      <c r="D1802" t="s">
        <v>18900</v>
      </c>
      <c r="E1802">
        <v>8800</v>
      </c>
      <c r="F1802" t="s">
        <v>18901</v>
      </c>
      <c r="G1802" t="s">
        <v>842</v>
      </c>
      <c r="H1802" t="str">
        <f t="shared" si="56"/>
        <v>Starcrest8800San Antonio</v>
      </c>
      <c r="I1802" t="str">
        <f t="shared" si="57"/>
        <v>Starcrest</v>
      </c>
      <c r="J1802" s="82">
        <f>IFERROR(INDEX('All Folders'!$A:$A,MATCH(H1802,'All Folders'!$G:$G,0),1),"¶")</f>
        <v>922</v>
      </c>
      <c r="K1802" s="87"/>
      <c r="L1802" s="87"/>
    </row>
    <row r="1803" spans="1:12" x14ac:dyDescent="0.3">
      <c r="A1803" t="s">
        <v>21765</v>
      </c>
      <c r="B1803" t="s">
        <v>18902</v>
      </c>
      <c r="C1803" t="s">
        <v>18903</v>
      </c>
      <c r="D1803" t="s">
        <v>18904</v>
      </c>
      <c r="E1803">
        <v>33</v>
      </c>
      <c r="F1803" t="s">
        <v>18905</v>
      </c>
      <c r="G1803" t="s">
        <v>842</v>
      </c>
      <c r="H1803" t="str">
        <f t="shared" si="56"/>
        <v>Lynn33San Antonio</v>
      </c>
      <c r="I1803" t="str">
        <f t="shared" si="57"/>
        <v>Lynn</v>
      </c>
      <c r="J1803" s="82">
        <f>IFERROR(INDEX('All Folders'!$A:$A,MATCH(H1803,'All Folders'!$G:$G,0),1),"¶")</f>
        <v>1224</v>
      </c>
      <c r="K1803" s="87"/>
      <c r="L1803" s="87"/>
    </row>
    <row r="1804" spans="1:12" x14ac:dyDescent="0.3">
      <c r="A1804" t="s">
        <v>21766</v>
      </c>
      <c r="B1804" t="s">
        <v>18906</v>
      </c>
      <c r="C1804" t="s">
        <v>18907</v>
      </c>
      <c r="D1804" t="s">
        <v>18770</v>
      </c>
      <c r="E1804">
        <v>9939</v>
      </c>
      <c r="F1804" t="s">
        <v>819</v>
      </c>
      <c r="G1804" t="s">
        <v>842</v>
      </c>
      <c r="H1804" t="str">
        <f t="shared" si="56"/>
        <v>Fredericksburg9939San Antonio</v>
      </c>
      <c r="I1804" t="str">
        <f t="shared" si="57"/>
        <v>Fredericksburg</v>
      </c>
      <c r="J1804" s="82">
        <f>IFERROR(INDEX('All Folders'!$A:$A,MATCH(H1804,'All Folders'!$G:$G,0),1),"¶")</f>
        <v>935</v>
      </c>
      <c r="K1804" s="87"/>
      <c r="L1804" s="87"/>
    </row>
    <row r="1805" spans="1:12" x14ac:dyDescent="0.3">
      <c r="A1805" t="s">
        <v>21767</v>
      </c>
      <c r="B1805" t="s">
        <v>18908</v>
      </c>
      <c r="C1805" t="s">
        <v>18909</v>
      </c>
      <c r="D1805" t="s">
        <v>18910</v>
      </c>
      <c r="E1805">
        <v>4848</v>
      </c>
      <c r="F1805" t="s">
        <v>18911</v>
      </c>
      <c r="G1805" t="s">
        <v>842</v>
      </c>
      <c r="H1805" t="str">
        <f t="shared" si="56"/>
        <v>Goldfield4848San Antonio</v>
      </c>
      <c r="I1805" t="str">
        <f t="shared" si="57"/>
        <v>Goldfield</v>
      </c>
      <c r="J1805" s="82">
        <f>IFERROR(INDEX('All Folders'!$A:$A,MATCH(H1805,'All Folders'!$G:$G,0),1),"¶")</f>
        <v>17866</v>
      </c>
      <c r="K1805" s="87"/>
      <c r="L1805" s="87"/>
    </row>
    <row r="1806" spans="1:12" x14ac:dyDescent="0.3">
      <c r="A1806" t="s">
        <v>21770</v>
      </c>
      <c r="B1806" t="s">
        <v>18919</v>
      </c>
      <c r="C1806" t="s">
        <v>18920</v>
      </c>
      <c r="D1806" t="s">
        <v>18799</v>
      </c>
      <c r="E1806">
        <v>140</v>
      </c>
      <c r="F1806" t="s">
        <v>18921</v>
      </c>
      <c r="G1806" t="s">
        <v>842</v>
      </c>
      <c r="H1806" t="str">
        <f t="shared" si="56"/>
        <v>Babcock140San Antonio</v>
      </c>
      <c r="I1806" t="str">
        <f t="shared" si="57"/>
        <v>Babcock</v>
      </c>
      <c r="J1806" s="82">
        <f>IFERROR(INDEX('All Folders'!$A:$A,MATCH(H1806,'All Folders'!$G:$G,0),1),"¶")</f>
        <v>17867</v>
      </c>
      <c r="K1806" s="87"/>
      <c r="L1806" s="87"/>
    </row>
    <row r="1807" spans="1:12" x14ac:dyDescent="0.3">
      <c r="A1807" t="s">
        <v>21771</v>
      </c>
      <c r="B1807" t="s">
        <v>18922</v>
      </c>
      <c r="C1807" t="s">
        <v>18923</v>
      </c>
      <c r="D1807" t="s">
        <v>18924</v>
      </c>
      <c r="E1807">
        <v>3450</v>
      </c>
      <c r="F1807" t="s">
        <v>18925</v>
      </c>
      <c r="G1807" t="s">
        <v>842</v>
      </c>
      <c r="H1807" t="str">
        <f t="shared" si="56"/>
        <v>Southcross3450San Antonio</v>
      </c>
      <c r="I1807" t="str">
        <f t="shared" si="57"/>
        <v>Southcross</v>
      </c>
      <c r="J1807" s="82">
        <f>IFERROR(INDEX('All Folders'!$A:$A,MATCH(H1807,'All Folders'!$G:$G,0),1),"¶")</f>
        <v>946</v>
      </c>
      <c r="K1807" s="87"/>
      <c r="L1807" s="87"/>
    </row>
    <row r="1808" spans="1:12" x14ac:dyDescent="0.3">
      <c r="A1808" t="s">
        <v>21772</v>
      </c>
      <c r="B1808" t="s">
        <v>18926</v>
      </c>
      <c r="C1808" t="s">
        <v>18927</v>
      </c>
      <c r="D1808" t="s">
        <v>18890</v>
      </c>
      <c r="E1808">
        <v>1011</v>
      </c>
      <c r="F1808" t="s">
        <v>18928</v>
      </c>
      <c r="G1808" t="s">
        <v>842</v>
      </c>
      <c r="H1808" t="str">
        <f t="shared" si="56"/>
        <v>Vance1011San Antonio</v>
      </c>
      <c r="I1808" t="str">
        <f t="shared" si="57"/>
        <v>Vance</v>
      </c>
      <c r="J1808" s="82">
        <f>IFERROR(INDEX('All Folders'!$A:$A,MATCH(H1808,'All Folders'!$G:$G,0),1),"¶")</f>
        <v>947</v>
      </c>
      <c r="K1808" s="87"/>
      <c r="L1808" s="87"/>
    </row>
    <row r="1809" spans="1:12" x14ac:dyDescent="0.3">
      <c r="A1809" t="s">
        <v>21773</v>
      </c>
      <c r="B1809" t="s">
        <v>18929</v>
      </c>
      <c r="C1809" t="s">
        <v>18930</v>
      </c>
      <c r="D1809" t="s">
        <v>18931</v>
      </c>
      <c r="E1809">
        <v>12660</v>
      </c>
      <c r="F1809" t="s">
        <v>1272</v>
      </c>
      <c r="G1809" t="s">
        <v>842</v>
      </c>
      <c r="H1809" t="str">
        <f t="shared" si="56"/>
        <v>Uhr12660San Antonio</v>
      </c>
      <c r="I1809" t="str">
        <f t="shared" si="57"/>
        <v>Uhr</v>
      </c>
      <c r="J1809" s="82">
        <f>IFERROR(INDEX('All Folders'!$A:$A,MATCH(H1809,'All Folders'!$G:$G,0),1),"¶")</f>
        <v>949</v>
      </c>
      <c r="K1809" s="87"/>
      <c r="L1809" s="87"/>
    </row>
    <row r="1810" spans="1:12" x14ac:dyDescent="0.3">
      <c r="A1810" t="s">
        <v>21774</v>
      </c>
      <c r="B1810" t="s">
        <v>18932</v>
      </c>
      <c r="C1810" t="s">
        <v>18933</v>
      </c>
      <c r="D1810" t="s">
        <v>18934</v>
      </c>
      <c r="E1810">
        <v>436</v>
      </c>
      <c r="F1810" t="s">
        <v>18935</v>
      </c>
      <c r="G1810" t="s">
        <v>842</v>
      </c>
      <c r="H1810" t="str">
        <f t="shared" si="56"/>
        <v>Montrose436San Antonio</v>
      </c>
      <c r="I1810" t="str">
        <f t="shared" si="57"/>
        <v>Montrose</v>
      </c>
      <c r="J1810" s="82">
        <f>IFERROR(INDEX('All Folders'!$A:$A,MATCH(H1810,'All Folders'!$G:$G,0),1),"¶")</f>
        <v>30663</v>
      </c>
      <c r="K1810" s="87"/>
      <c r="L1810" s="87"/>
    </row>
    <row r="1811" spans="1:12" x14ac:dyDescent="0.3">
      <c r="A1811" t="s">
        <v>21775</v>
      </c>
      <c r="B1811" t="s">
        <v>18936</v>
      </c>
      <c r="C1811" t="s">
        <v>18937</v>
      </c>
      <c r="D1811" t="s">
        <v>18938</v>
      </c>
      <c r="E1811">
        <v>7750</v>
      </c>
      <c r="F1811" t="s">
        <v>18939</v>
      </c>
      <c r="G1811" t="s">
        <v>842</v>
      </c>
      <c r="H1811" t="str">
        <f t="shared" si="56"/>
        <v>Pipers7750San Antonio</v>
      </c>
      <c r="I1811" t="str">
        <f t="shared" si="57"/>
        <v>Pipers</v>
      </c>
      <c r="J1811" s="82">
        <f>IFERROR(INDEX('All Folders'!$A:$A,MATCH(H1811,'All Folders'!$G:$G,0),1),"¶")</f>
        <v>954</v>
      </c>
      <c r="K1811" s="87"/>
      <c r="L1811" s="87"/>
    </row>
    <row r="1812" spans="1:12" x14ac:dyDescent="0.3">
      <c r="A1812" t="s">
        <v>21776</v>
      </c>
      <c r="B1812" t="s">
        <v>18940</v>
      </c>
      <c r="C1812" t="s">
        <v>18941</v>
      </c>
      <c r="D1812" t="s">
        <v>18942</v>
      </c>
      <c r="E1812">
        <v>3735</v>
      </c>
      <c r="F1812" t="s">
        <v>18943</v>
      </c>
      <c r="G1812" t="s">
        <v>842</v>
      </c>
      <c r="H1812" t="str">
        <f t="shared" si="56"/>
        <v>Pleasanton3735San Antonio</v>
      </c>
      <c r="I1812" t="str">
        <f t="shared" si="57"/>
        <v>Pleasanton</v>
      </c>
      <c r="J1812" s="82">
        <f>IFERROR(INDEX('All Folders'!$A:$A,MATCH(H1812,'All Folders'!$G:$G,0),1),"¶")</f>
        <v>957</v>
      </c>
      <c r="K1812" s="87"/>
      <c r="L1812" s="87"/>
    </row>
    <row r="1813" spans="1:12" x14ac:dyDescent="0.3">
      <c r="A1813" t="s">
        <v>21777</v>
      </c>
      <c r="B1813" t="s">
        <v>18944</v>
      </c>
      <c r="C1813" t="s">
        <v>18945</v>
      </c>
      <c r="D1813" t="s">
        <v>18946</v>
      </c>
      <c r="E1813">
        <v>247</v>
      </c>
      <c r="F1813" t="s">
        <v>18947</v>
      </c>
      <c r="G1813" t="s">
        <v>842</v>
      </c>
      <c r="H1813" t="str">
        <f t="shared" si="56"/>
        <v>Dickson247San Antonio</v>
      </c>
      <c r="I1813" t="str">
        <f t="shared" si="57"/>
        <v>Dickson</v>
      </c>
      <c r="J1813" s="82">
        <f>IFERROR(INDEX('All Folders'!$A:$A,MATCH(H1813,'All Folders'!$G:$G,0),1),"¶")</f>
        <v>958</v>
      </c>
      <c r="K1813" s="87"/>
      <c r="L1813" s="87"/>
    </row>
    <row r="1814" spans="1:12" x14ac:dyDescent="0.3">
      <c r="A1814" t="s">
        <v>21779</v>
      </c>
      <c r="B1814" t="s">
        <v>18951</v>
      </c>
      <c r="C1814" t="s">
        <v>18952</v>
      </c>
      <c r="D1814" t="s">
        <v>18953</v>
      </c>
      <c r="E1814">
        <v>6298</v>
      </c>
      <c r="F1814" t="s">
        <v>18954</v>
      </c>
      <c r="G1814" t="s">
        <v>842</v>
      </c>
      <c r="H1814" t="str">
        <f t="shared" si="56"/>
        <v>Lockhill6298San Antonio</v>
      </c>
      <c r="I1814" t="str">
        <f t="shared" si="57"/>
        <v>Lockhill</v>
      </c>
      <c r="J1814" s="82">
        <f>IFERROR(INDEX('All Folders'!$A:$A,MATCH(H1814,'All Folders'!$G:$G,0),1),"¶")</f>
        <v>17527</v>
      </c>
      <c r="K1814" s="87"/>
      <c r="L1814" s="87"/>
    </row>
    <row r="1815" spans="1:12" x14ac:dyDescent="0.3">
      <c r="A1815" t="s">
        <v>21780</v>
      </c>
      <c r="B1815" t="s">
        <v>18955</v>
      </c>
      <c r="C1815" t="s">
        <v>18956</v>
      </c>
      <c r="D1815" t="s">
        <v>18957</v>
      </c>
      <c r="E1815">
        <v>123</v>
      </c>
      <c r="F1815" t="s">
        <v>18958</v>
      </c>
      <c r="G1815" t="s">
        <v>842</v>
      </c>
      <c r="H1815" t="str">
        <f t="shared" si="56"/>
        <v>Rampart123San Antonio</v>
      </c>
      <c r="I1815" t="str">
        <f t="shared" si="57"/>
        <v>Rampart</v>
      </c>
      <c r="J1815" s="82">
        <f>IFERROR(INDEX('All Folders'!$A:$A,MATCH(H1815,'All Folders'!$G:$G,0),1),"¶")</f>
        <v>965</v>
      </c>
      <c r="K1815" s="87"/>
      <c r="L1815" s="87"/>
    </row>
    <row r="1816" spans="1:12" x14ac:dyDescent="0.3">
      <c r="A1816" t="s">
        <v>21781</v>
      </c>
      <c r="B1816" t="s">
        <v>18959</v>
      </c>
      <c r="C1816" t="s">
        <v>18960</v>
      </c>
      <c r="D1816" t="s">
        <v>18961</v>
      </c>
      <c r="E1816">
        <v>12635</v>
      </c>
      <c r="F1816" t="s">
        <v>229</v>
      </c>
      <c r="G1816" t="s">
        <v>842</v>
      </c>
      <c r="H1816" t="str">
        <f t="shared" si="56"/>
        <v>Scarsdale12635San Antonio</v>
      </c>
      <c r="I1816" t="str">
        <f t="shared" si="57"/>
        <v>Scarsdale</v>
      </c>
      <c r="J1816" s="82">
        <f>IFERROR(INDEX('All Folders'!$A:$A,MATCH(H1816,'All Folders'!$G:$G,0),1),"¶")</f>
        <v>968</v>
      </c>
      <c r="K1816" s="87"/>
      <c r="L1816" s="87"/>
    </row>
    <row r="1817" spans="1:12" x14ac:dyDescent="0.3">
      <c r="A1817" t="s">
        <v>21782</v>
      </c>
      <c r="B1817" t="s">
        <v>18962</v>
      </c>
      <c r="C1817" t="s">
        <v>18963</v>
      </c>
      <c r="D1817" t="s">
        <v>18964</v>
      </c>
      <c r="E1817">
        <v>5042</v>
      </c>
      <c r="F1817" t="s">
        <v>18965</v>
      </c>
      <c r="G1817" t="s">
        <v>842</v>
      </c>
      <c r="H1817" t="str">
        <f t="shared" si="56"/>
        <v>Wildflower5042San Antonio</v>
      </c>
      <c r="I1817" t="str">
        <f t="shared" si="57"/>
        <v>Wildflower</v>
      </c>
      <c r="J1817" s="82">
        <f>IFERROR(INDEX('All Folders'!$A:$A,MATCH(H1817,'All Folders'!$G:$G,0),1),"¶")</f>
        <v>30668</v>
      </c>
      <c r="K1817" s="87"/>
      <c r="L1817" s="87"/>
    </row>
    <row r="1818" spans="1:12" x14ac:dyDescent="0.3">
      <c r="A1818" t="s">
        <v>21785</v>
      </c>
      <c r="B1818" t="s">
        <v>18973</v>
      </c>
      <c r="C1818" t="s">
        <v>18974</v>
      </c>
      <c r="D1818" t="s">
        <v>18975</v>
      </c>
      <c r="E1818">
        <v>5239</v>
      </c>
      <c r="F1818" t="s">
        <v>1616</v>
      </c>
      <c r="G1818" t="s">
        <v>842</v>
      </c>
      <c r="H1818" t="str">
        <f t="shared" si="56"/>
        <v>Eisenhauer5239San Antonio</v>
      </c>
      <c r="I1818" t="str">
        <f t="shared" si="57"/>
        <v>Eisenhauer</v>
      </c>
      <c r="J1818" s="82">
        <f>IFERROR(INDEX('All Folders'!$A:$A,MATCH(H1818,'All Folders'!$G:$G,0),1),"¶")</f>
        <v>1219</v>
      </c>
      <c r="K1818" s="87"/>
      <c r="L1818" s="87"/>
    </row>
    <row r="1819" spans="1:12" x14ac:dyDescent="0.3">
      <c r="A1819" t="s">
        <v>21786</v>
      </c>
      <c r="B1819" t="s">
        <v>18976</v>
      </c>
      <c r="C1819" t="s">
        <v>18977</v>
      </c>
      <c r="D1819" t="s">
        <v>18755</v>
      </c>
      <c r="E1819">
        <v>2554</v>
      </c>
      <c r="F1819" t="s">
        <v>1388</v>
      </c>
      <c r="G1819" t="s">
        <v>842</v>
      </c>
      <c r="H1819" t="str">
        <f t="shared" si="56"/>
        <v>4102554San Antonio</v>
      </c>
      <c r="I1819" t="str">
        <f t="shared" si="57"/>
        <v>410</v>
      </c>
      <c r="J1819" s="82">
        <f>IFERROR(INDEX('All Folders'!$A:$A,MATCH(H1819,'All Folders'!$G:$G,0),1),"¶")</f>
        <v>1037</v>
      </c>
      <c r="K1819" s="87"/>
      <c r="L1819" s="87"/>
    </row>
    <row r="1820" spans="1:12" x14ac:dyDescent="0.3">
      <c r="A1820" t="s">
        <v>21787</v>
      </c>
      <c r="B1820" t="s">
        <v>18978</v>
      </c>
      <c r="C1820" t="s">
        <v>18979</v>
      </c>
      <c r="D1820" t="s">
        <v>18980</v>
      </c>
      <c r="E1820">
        <v>3431</v>
      </c>
      <c r="F1820" t="s">
        <v>18981</v>
      </c>
      <c r="G1820" t="s">
        <v>842</v>
      </c>
      <c r="H1820" t="str">
        <f t="shared" si="56"/>
        <v>Oakdale3431San Antonio</v>
      </c>
      <c r="I1820" t="str">
        <f t="shared" si="57"/>
        <v>Oakdale</v>
      </c>
      <c r="J1820" s="82">
        <f>IFERROR(INDEX('All Folders'!$A:$A,MATCH(H1820,'All Folders'!$G:$G,0),1),"¶")</f>
        <v>768</v>
      </c>
      <c r="K1820" s="87"/>
      <c r="L1820" s="87"/>
    </row>
    <row r="1821" spans="1:12" x14ac:dyDescent="0.3">
      <c r="A1821" t="s">
        <v>21789</v>
      </c>
      <c r="B1821" t="s">
        <v>18985</v>
      </c>
      <c r="C1821" t="s">
        <v>18986</v>
      </c>
      <c r="D1821" t="s">
        <v>18987</v>
      </c>
      <c r="E1821">
        <v>12315</v>
      </c>
      <c r="F1821" t="s">
        <v>18984</v>
      </c>
      <c r="G1821" t="s">
        <v>842</v>
      </c>
      <c r="H1821" t="str">
        <f t="shared" si="56"/>
        <v>Jones12315San Antonio</v>
      </c>
      <c r="I1821" t="str">
        <f t="shared" si="57"/>
        <v>Jones</v>
      </c>
      <c r="J1821" s="82">
        <f>IFERROR(INDEX('All Folders'!$A:$A,MATCH(H1821,'All Folders'!$G:$G,0),1),"¶")</f>
        <v>990</v>
      </c>
      <c r="K1821" s="87"/>
      <c r="L1821" s="87"/>
    </row>
    <row r="1822" spans="1:12" x14ac:dyDescent="0.3">
      <c r="A1822" t="s">
        <v>21790</v>
      </c>
      <c r="B1822" t="s">
        <v>18988</v>
      </c>
      <c r="C1822" t="s">
        <v>18989</v>
      </c>
      <c r="D1822" t="s">
        <v>18876</v>
      </c>
      <c r="E1822">
        <v>1235</v>
      </c>
      <c r="F1822" t="s">
        <v>18990</v>
      </c>
      <c r="G1822" t="s">
        <v>842</v>
      </c>
      <c r="H1822" t="str">
        <f t="shared" si="56"/>
        <v>Mulberry1235San Antonio</v>
      </c>
      <c r="I1822" t="str">
        <f t="shared" si="57"/>
        <v>Mulberry</v>
      </c>
      <c r="J1822" s="82">
        <f>IFERROR(INDEX('All Folders'!$A:$A,MATCH(H1822,'All Folders'!$G:$G,0),1),"¶")</f>
        <v>994</v>
      </c>
      <c r="K1822" s="87"/>
      <c r="L1822" s="87"/>
    </row>
    <row r="1823" spans="1:12" x14ac:dyDescent="0.3">
      <c r="A1823" t="s">
        <v>21791</v>
      </c>
      <c r="B1823" t="s">
        <v>18991</v>
      </c>
      <c r="C1823" t="s">
        <v>18992</v>
      </c>
      <c r="D1823" t="s">
        <v>18993</v>
      </c>
      <c r="E1823">
        <v>4822</v>
      </c>
      <c r="F1823" t="s">
        <v>1036</v>
      </c>
      <c r="G1823" t="s">
        <v>842</v>
      </c>
      <c r="H1823" t="str">
        <f t="shared" si="56"/>
        <v>Gus4822San Antonio</v>
      </c>
      <c r="I1823" t="str">
        <f t="shared" si="57"/>
        <v>Gus</v>
      </c>
      <c r="J1823" s="82">
        <f>IFERROR(INDEX('All Folders'!$A:$A,MATCH(H1823,'All Folders'!$G:$G,0),1),"¶")</f>
        <v>788</v>
      </c>
      <c r="K1823" s="87"/>
      <c r="L1823" s="87"/>
    </row>
    <row r="1824" spans="1:12" x14ac:dyDescent="0.3">
      <c r="A1824" t="s">
        <v>21792</v>
      </c>
      <c r="B1824" t="s">
        <v>18994</v>
      </c>
      <c r="C1824" t="s">
        <v>18995</v>
      </c>
      <c r="D1824" t="s">
        <v>18996</v>
      </c>
      <c r="E1824">
        <v>7585</v>
      </c>
      <c r="F1824" t="s">
        <v>1085</v>
      </c>
      <c r="G1824" t="s">
        <v>842</v>
      </c>
      <c r="H1824" t="str">
        <f t="shared" si="56"/>
        <v>Ingram7585San Antonio</v>
      </c>
      <c r="I1824" t="str">
        <f t="shared" si="57"/>
        <v>Ingram</v>
      </c>
      <c r="J1824" s="82">
        <f>IFERROR(INDEX('All Folders'!$A:$A,MATCH(H1824,'All Folders'!$G:$G,0),1),"¶")</f>
        <v>820</v>
      </c>
      <c r="K1824" s="87"/>
      <c r="L1824" s="87"/>
    </row>
    <row r="1825" spans="1:12" x14ac:dyDescent="0.3">
      <c r="A1825" t="s">
        <v>21793</v>
      </c>
      <c r="B1825" t="s">
        <v>18997</v>
      </c>
      <c r="C1825" t="s">
        <v>18998</v>
      </c>
      <c r="D1825" t="s">
        <v>18999</v>
      </c>
      <c r="E1825">
        <v>8438</v>
      </c>
      <c r="F1825" t="s">
        <v>1292</v>
      </c>
      <c r="G1825" t="s">
        <v>842</v>
      </c>
      <c r="H1825" t="str">
        <f t="shared" si="56"/>
        <v>Quail8438San Antonio</v>
      </c>
      <c r="I1825" t="str">
        <f t="shared" si="57"/>
        <v>Quail</v>
      </c>
      <c r="J1825" s="82">
        <f>IFERROR(INDEX('All Folders'!$A:$A,MATCH(H1825,'All Folders'!$G:$G,0),1),"¶")</f>
        <v>962</v>
      </c>
      <c r="K1825" s="87"/>
      <c r="L1825" s="87"/>
    </row>
    <row r="1826" spans="1:12" x14ac:dyDescent="0.3">
      <c r="A1826" t="s">
        <v>21794</v>
      </c>
      <c r="B1826" t="s">
        <v>19000</v>
      </c>
      <c r="C1826" t="s">
        <v>19001</v>
      </c>
      <c r="D1826" t="s">
        <v>18777</v>
      </c>
      <c r="E1826">
        <v>8631</v>
      </c>
      <c r="F1826" t="s">
        <v>1435</v>
      </c>
      <c r="G1826" t="s">
        <v>842</v>
      </c>
      <c r="H1826" t="str">
        <f t="shared" si="56"/>
        <v>Fairhaven8631San Antonio</v>
      </c>
      <c r="I1826" t="str">
        <f t="shared" si="57"/>
        <v>Fairhaven</v>
      </c>
      <c r="J1826" s="82">
        <f>IFERROR(INDEX('All Folders'!$A:$A,MATCH(H1826,'All Folders'!$G:$G,0),1),"¶")</f>
        <v>1073</v>
      </c>
      <c r="K1826" s="87"/>
      <c r="L1826" s="87"/>
    </row>
    <row r="1827" spans="1:12" x14ac:dyDescent="0.3">
      <c r="A1827" t="s">
        <v>21795</v>
      </c>
      <c r="B1827" t="s">
        <v>19002</v>
      </c>
      <c r="C1827" t="s">
        <v>19003</v>
      </c>
      <c r="D1827" t="s">
        <v>19004</v>
      </c>
      <c r="E1827">
        <v>5500</v>
      </c>
      <c r="F1827" t="s">
        <v>19005</v>
      </c>
      <c r="G1827" t="s">
        <v>842</v>
      </c>
      <c r="H1827" t="str">
        <f t="shared" si="56"/>
        <v>New5500San Antonio</v>
      </c>
      <c r="I1827" t="str">
        <f t="shared" si="57"/>
        <v>New</v>
      </c>
      <c r="J1827" s="82">
        <f>IFERROR(INDEX('All Folders'!$A:$A,MATCH(H1827,'All Folders'!$G:$G,0),1),"¶")</f>
        <v>1006</v>
      </c>
      <c r="K1827" s="87"/>
      <c r="L1827" s="87"/>
    </row>
    <row r="1828" spans="1:12" x14ac:dyDescent="0.3">
      <c r="A1828" t="s">
        <v>21796</v>
      </c>
      <c r="B1828" t="s">
        <v>19006</v>
      </c>
      <c r="C1828" t="s">
        <v>19007</v>
      </c>
      <c r="D1828" t="s">
        <v>19008</v>
      </c>
      <c r="E1828">
        <v>4235</v>
      </c>
      <c r="F1828" t="s">
        <v>8863</v>
      </c>
      <c r="G1828" t="s">
        <v>842</v>
      </c>
      <c r="H1828" t="str">
        <f t="shared" si="56"/>
        <v>4104235San Antonio</v>
      </c>
      <c r="I1828" t="str">
        <f t="shared" si="57"/>
        <v>410</v>
      </c>
      <c r="J1828" s="82">
        <f>IFERROR(INDEX('All Folders'!$A:$A,MATCH(H1828,'All Folders'!$G:$G,0),1),"¶")</f>
        <v>16344</v>
      </c>
      <c r="K1828" s="87"/>
      <c r="L1828" s="87"/>
    </row>
    <row r="1829" spans="1:12" x14ac:dyDescent="0.3">
      <c r="A1829" t="s">
        <v>21797</v>
      </c>
      <c r="B1829" t="s">
        <v>19009</v>
      </c>
      <c r="C1829" t="s">
        <v>19010</v>
      </c>
      <c r="D1829" t="s">
        <v>18883</v>
      </c>
      <c r="E1829">
        <v>7600</v>
      </c>
      <c r="F1829" t="s">
        <v>19011</v>
      </c>
      <c r="G1829" t="s">
        <v>842</v>
      </c>
      <c r="H1829" t="str">
        <f t="shared" si="56"/>
        <v>Callaghan7600San Antonio</v>
      </c>
      <c r="I1829" t="str">
        <f t="shared" si="57"/>
        <v>Callaghan</v>
      </c>
      <c r="J1829" s="82">
        <f>IFERROR(INDEX('All Folders'!$A:$A,MATCH(H1829,'All Folders'!$G:$G,0),1),"¶")</f>
        <v>859</v>
      </c>
      <c r="K1829" s="87"/>
      <c r="L1829" s="87"/>
    </row>
    <row r="1830" spans="1:12" x14ac:dyDescent="0.3">
      <c r="A1830" t="s">
        <v>21798</v>
      </c>
      <c r="B1830" t="s">
        <v>19012</v>
      </c>
      <c r="C1830" t="s">
        <v>19013</v>
      </c>
      <c r="D1830" t="s">
        <v>19014</v>
      </c>
      <c r="E1830">
        <v>8802</v>
      </c>
      <c r="F1830" t="s">
        <v>19015</v>
      </c>
      <c r="G1830" t="s">
        <v>842</v>
      </c>
      <c r="H1830" t="str">
        <f t="shared" si="56"/>
        <v>Cinnamon8802San Antonio</v>
      </c>
      <c r="I1830" t="str">
        <f t="shared" si="57"/>
        <v>Cinnamon</v>
      </c>
      <c r="J1830" s="82">
        <f>IFERROR(INDEX('All Folders'!$A:$A,MATCH(H1830,'All Folders'!$G:$G,0),1),"¶")</f>
        <v>1013</v>
      </c>
      <c r="K1830" s="87"/>
      <c r="L1830" s="87"/>
    </row>
    <row r="1831" spans="1:12" x14ac:dyDescent="0.3">
      <c r="A1831" t="s">
        <v>21799</v>
      </c>
      <c r="B1831" t="s">
        <v>19016</v>
      </c>
      <c r="C1831" t="s">
        <v>19017</v>
      </c>
      <c r="D1831" t="s">
        <v>18685</v>
      </c>
      <c r="E1831">
        <v>19950</v>
      </c>
      <c r="F1831" t="s">
        <v>19018</v>
      </c>
      <c r="G1831" t="s">
        <v>842</v>
      </c>
      <c r="H1831" t="str">
        <f t="shared" si="56"/>
        <v>Huebner19950San Antonio</v>
      </c>
      <c r="I1831" t="str">
        <f t="shared" si="57"/>
        <v>Huebner</v>
      </c>
      <c r="J1831" s="82">
        <f>IFERROR(INDEX('All Folders'!$A:$A,MATCH(H1831,'All Folders'!$G:$G,0),1),"¶")</f>
        <v>1163</v>
      </c>
      <c r="K1831" s="87"/>
      <c r="L1831" s="87"/>
    </row>
    <row r="1832" spans="1:12" x14ac:dyDescent="0.3">
      <c r="A1832" t="s">
        <v>21800</v>
      </c>
      <c r="B1832" t="s">
        <v>19019</v>
      </c>
      <c r="C1832" t="s">
        <v>19020</v>
      </c>
      <c r="D1832" t="s">
        <v>19021</v>
      </c>
      <c r="E1832">
        <v>11851</v>
      </c>
      <c r="F1832" t="s">
        <v>4992</v>
      </c>
      <c r="G1832" t="s">
        <v>842</v>
      </c>
      <c r="H1832" t="str">
        <f t="shared" si="56"/>
        <v>Belair11851San Antonio</v>
      </c>
      <c r="I1832" t="str">
        <f t="shared" si="57"/>
        <v>Belair</v>
      </c>
      <c r="J1832" s="82">
        <f>IFERROR(INDEX('All Folders'!$A:$A,MATCH(H1832,'All Folders'!$G:$G,0),1),"¶")</f>
        <v>4624</v>
      </c>
      <c r="K1832" s="87"/>
      <c r="L1832" s="87"/>
    </row>
    <row r="1833" spans="1:12" x14ac:dyDescent="0.3">
      <c r="A1833" t="s">
        <v>21801</v>
      </c>
      <c r="B1833" t="s">
        <v>19022</v>
      </c>
      <c r="C1833" t="s">
        <v>19023</v>
      </c>
      <c r="D1833" t="s">
        <v>19024</v>
      </c>
      <c r="E1833">
        <v>10343</v>
      </c>
      <c r="F1833" t="s">
        <v>19025</v>
      </c>
      <c r="G1833" t="s">
        <v>842</v>
      </c>
      <c r="H1833" t="str">
        <f t="shared" si="56"/>
        <v>Sahara10343San Antonio</v>
      </c>
      <c r="I1833" t="str">
        <f t="shared" si="57"/>
        <v>Sahara</v>
      </c>
      <c r="J1833" s="82">
        <f>IFERROR(INDEX('All Folders'!$A:$A,MATCH(H1833,'All Folders'!$G:$G,0),1),"¶")</f>
        <v>1039</v>
      </c>
      <c r="K1833" s="87"/>
      <c r="L1833" s="87"/>
    </row>
    <row r="1834" spans="1:12" x14ac:dyDescent="0.3">
      <c r="A1834" t="s">
        <v>21802</v>
      </c>
      <c r="B1834" t="s">
        <v>19026</v>
      </c>
      <c r="C1834" t="s">
        <v>19027</v>
      </c>
      <c r="D1834" t="s">
        <v>19028</v>
      </c>
      <c r="E1834">
        <v>11955</v>
      </c>
      <c r="F1834" t="s">
        <v>1395</v>
      </c>
      <c r="G1834" t="s">
        <v>842</v>
      </c>
      <c r="H1834" t="str">
        <f t="shared" si="56"/>
        <v>Parliament11955San Antonio</v>
      </c>
      <c r="I1834" t="str">
        <f t="shared" si="57"/>
        <v>Parliament</v>
      </c>
      <c r="J1834" s="82">
        <f>IFERROR(INDEX('All Folders'!$A:$A,MATCH(H1834,'All Folders'!$G:$G,0),1),"¶")</f>
        <v>1043</v>
      </c>
      <c r="K1834" s="87"/>
      <c r="L1834" s="87"/>
    </row>
    <row r="1835" spans="1:12" x14ac:dyDescent="0.3">
      <c r="A1835" t="s">
        <v>21803</v>
      </c>
      <c r="B1835" t="s">
        <v>19029</v>
      </c>
      <c r="C1835" t="s">
        <v>19030</v>
      </c>
      <c r="D1835" t="s">
        <v>19031</v>
      </c>
      <c r="E1835">
        <v>11711</v>
      </c>
      <c r="F1835" t="s">
        <v>1396</v>
      </c>
      <c r="G1835" t="s">
        <v>842</v>
      </c>
      <c r="H1835" t="str">
        <f t="shared" si="56"/>
        <v>Wall11711San Antonio</v>
      </c>
      <c r="I1835" t="str">
        <f t="shared" si="57"/>
        <v>Wall</v>
      </c>
      <c r="J1835" s="82">
        <f>IFERROR(INDEX('All Folders'!$A:$A,MATCH(H1835,'All Folders'!$G:$G,0),1),"¶")</f>
        <v>1044</v>
      </c>
      <c r="K1835" s="87"/>
      <c r="L1835" s="87"/>
    </row>
    <row r="1836" spans="1:12" x14ac:dyDescent="0.3">
      <c r="A1836" t="s">
        <v>21804</v>
      </c>
      <c r="B1836" t="s">
        <v>19032</v>
      </c>
      <c r="C1836" t="s">
        <v>19033</v>
      </c>
      <c r="D1836" t="s">
        <v>18847</v>
      </c>
      <c r="E1836">
        <v>107</v>
      </c>
      <c r="F1836" t="s">
        <v>19034</v>
      </c>
      <c r="G1836" t="s">
        <v>842</v>
      </c>
      <c r="H1836" t="str">
        <f t="shared" si="56"/>
        <v>Talavera107San Antonio</v>
      </c>
      <c r="I1836" t="str">
        <f t="shared" si="57"/>
        <v>Talavera</v>
      </c>
      <c r="J1836" s="82">
        <f>IFERROR(INDEX('All Folders'!$A:$A,MATCH(H1836,'All Folders'!$G:$G,0),1),"¶")</f>
        <v>1176</v>
      </c>
      <c r="K1836" s="87"/>
      <c r="L1836" s="87"/>
    </row>
    <row r="1837" spans="1:12" x14ac:dyDescent="0.3">
      <c r="A1837" t="s">
        <v>21806</v>
      </c>
      <c r="B1837" t="s">
        <v>19038</v>
      </c>
      <c r="C1837" t="s">
        <v>19039</v>
      </c>
      <c r="D1837" t="s">
        <v>18181</v>
      </c>
      <c r="E1837">
        <v>509</v>
      </c>
      <c r="F1837" t="s">
        <v>19040</v>
      </c>
      <c r="G1837" t="s">
        <v>842</v>
      </c>
      <c r="H1837" t="str">
        <f t="shared" si="56"/>
        <v>Howard509San Antonio</v>
      </c>
      <c r="I1837" t="str">
        <f t="shared" si="57"/>
        <v>Howard</v>
      </c>
      <c r="J1837" s="82">
        <f>IFERROR(INDEX('All Folders'!$A:$A,MATCH(H1837,'All Folders'!$G:$G,0),1),"¶")</f>
        <v>16208</v>
      </c>
      <c r="K1837" s="87"/>
      <c r="L1837" s="87"/>
    </row>
    <row r="1838" spans="1:12" x14ac:dyDescent="0.3">
      <c r="A1838" t="s">
        <v>21807</v>
      </c>
      <c r="B1838" t="s">
        <v>19041</v>
      </c>
      <c r="C1838" t="s">
        <v>19042</v>
      </c>
      <c r="D1838" t="s">
        <v>19043</v>
      </c>
      <c r="E1838">
        <v>539</v>
      </c>
      <c r="F1838" t="s">
        <v>4280</v>
      </c>
      <c r="G1838" t="s">
        <v>842</v>
      </c>
      <c r="H1838" t="str">
        <f t="shared" si="56"/>
        <v>McCarty539San Antonio</v>
      </c>
      <c r="I1838" t="str">
        <f t="shared" si="57"/>
        <v>McCarty</v>
      </c>
      <c r="J1838" s="82">
        <f>IFERROR(INDEX('All Folders'!$A:$A,MATCH(H1838,'All Folders'!$G:$G,0),1),"¶")</f>
        <v>763</v>
      </c>
      <c r="K1838" s="87"/>
      <c r="L1838" s="87"/>
    </row>
    <row r="1839" spans="1:12" x14ac:dyDescent="0.3">
      <c r="A1839" t="s">
        <v>21808</v>
      </c>
      <c r="B1839" t="s">
        <v>19044</v>
      </c>
      <c r="C1839" t="s">
        <v>19045</v>
      </c>
      <c r="D1839" t="s">
        <v>1367</v>
      </c>
      <c r="E1839">
        <v>340</v>
      </c>
      <c r="F1839" t="s">
        <v>1406</v>
      </c>
      <c r="G1839" t="s">
        <v>842</v>
      </c>
      <c r="H1839" t="str">
        <f t="shared" si="56"/>
        <v>Treeline340San Antonio</v>
      </c>
      <c r="I1839" t="str">
        <f t="shared" si="57"/>
        <v>Treeline</v>
      </c>
      <c r="J1839" s="82">
        <f>IFERROR(INDEX('All Folders'!$A:$A,MATCH(H1839,'All Folders'!$G:$G,0),1),"¶")</f>
        <v>1052</v>
      </c>
      <c r="K1839" s="87"/>
      <c r="L1839" s="87"/>
    </row>
    <row r="1840" spans="1:12" x14ac:dyDescent="0.3">
      <c r="A1840" t="s">
        <v>21809</v>
      </c>
      <c r="B1840" t="s">
        <v>19046</v>
      </c>
      <c r="C1840" t="s">
        <v>19047</v>
      </c>
      <c r="D1840" t="s">
        <v>19048</v>
      </c>
      <c r="E1840">
        <v>4620</v>
      </c>
      <c r="F1840" t="s">
        <v>19049</v>
      </c>
      <c r="G1840" t="s">
        <v>842</v>
      </c>
      <c r="H1840" t="str">
        <f t="shared" si="56"/>
        <v>Thousand4620San Antonio</v>
      </c>
      <c r="I1840" t="str">
        <f t="shared" si="57"/>
        <v>Thousand</v>
      </c>
      <c r="J1840" s="82">
        <f>IFERROR(INDEX('All Folders'!$A:$A,MATCH(H1840,'All Folders'!$G:$G,0),1),"¶")</f>
        <v>767</v>
      </c>
      <c r="K1840" s="87"/>
      <c r="L1840" s="87"/>
    </row>
    <row r="1841" spans="1:12" x14ac:dyDescent="0.3">
      <c r="A1841" t="s">
        <v>21810</v>
      </c>
      <c r="B1841" t="s">
        <v>19050</v>
      </c>
      <c r="C1841" t="s">
        <v>19051</v>
      </c>
      <c r="D1841" t="s">
        <v>19052</v>
      </c>
      <c r="E1841">
        <v>105</v>
      </c>
      <c r="F1841" t="s">
        <v>12277</v>
      </c>
      <c r="G1841" t="s">
        <v>842</v>
      </c>
      <c r="H1841" t="str">
        <f t="shared" si="56"/>
        <v>Alamo105San Antonio</v>
      </c>
      <c r="I1841" t="str">
        <f t="shared" si="57"/>
        <v>Alamo</v>
      </c>
      <c r="J1841" s="82">
        <f>IFERROR(INDEX('All Folders'!$A:$A,MATCH(H1841,'All Folders'!$G:$G,0),1),"¶")</f>
        <v>30654</v>
      </c>
      <c r="K1841" s="87"/>
      <c r="L1841" s="87"/>
    </row>
    <row r="1842" spans="1:12" x14ac:dyDescent="0.3">
      <c r="A1842" t="s">
        <v>21811</v>
      </c>
      <c r="B1842" t="s">
        <v>19053</v>
      </c>
      <c r="C1842" t="s">
        <v>19054</v>
      </c>
      <c r="D1842" t="s">
        <v>18890</v>
      </c>
      <c r="E1842">
        <v>16631</v>
      </c>
      <c r="F1842" t="s">
        <v>19055</v>
      </c>
      <c r="G1842" t="s">
        <v>842</v>
      </c>
      <c r="H1842" t="str">
        <f t="shared" si="56"/>
        <v>Vance16631San Antonio</v>
      </c>
      <c r="I1842" t="str">
        <f t="shared" si="57"/>
        <v>Vance</v>
      </c>
      <c r="J1842" s="82">
        <f>IFERROR(INDEX('All Folders'!$A:$A,MATCH(H1842,'All Folders'!$G:$G,0),1),"¶")</f>
        <v>18326</v>
      </c>
      <c r="K1842" s="87"/>
      <c r="L1842" s="87"/>
    </row>
    <row r="1843" spans="1:12" x14ac:dyDescent="0.3">
      <c r="A1843" t="s">
        <v>21812</v>
      </c>
      <c r="B1843" t="s">
        <v>19056</v>
      </c>
      <c r="C1843" t="s">
        <v>19057</v>
      </c>
      <c r="D1843" t="s">
        <v>19058</v>
      </c>
      <c r="E1843">
        <v>9109</v>
      </c>
      <c r="F1843" t="s">
        <v>19059</v>
      </c>
      <c r="G1843" t="s">
        <v>842</v>
      </c>
      <c r="H1843" t="str">
        <f t="shared" si="56"/>
        <v>Dartbrook9109San Antonio</v>
      </c>
      <c r="I1843" t="str">
        <f t="shared" si="57"/>
        <v>Dartbrook</v>
      </c>
      <c r="J1843" s="82">
        <f>IFERROR(INDEX('All Folders'!$A:$A,MATCH(H1843,'All Folders'!$G:$G,0),1),"¶")</f>
        <v>745</v>
      </c>
      <c r="K1843" s="87"/>
      <c r="L1843" s="87"/>
    </row>
    <row r="1844" spans="1:12" x14ac:dyDescent="0.3">
      <c r="A1844" t="s">
        <v>21813</v>
      </c>
      <c r="B1844" t="s">
        <v>19060</v>
      </c>
      <c r="C1844" t="s">
        <v>19061</v>
      </c>
      <c r="D1844" t="s">
        <v>19062</v>
      </c>
      <c r="E1844">
        <v>2355</v>
      </c>
      <c r="F1844" t="s">
        <v>19063</v>
      </c>
      <c r="G1844" t="s">
        <v>842</v>
      </c>
      <c r="H1844" t="str">
        <f t="shared" si="56"/>
        <v>Austin2355San Antonio</v>
      </c>
      <c r="I1844" t="str">
        <f t="shared" si="57"/>
        <v>Austin</v>
      </c>
      <c r="J1844" s="82">
        <f>IFERROR(INDEX('All Folders'!$A:$A,MATCH(H1844,'All Folders'!$G:$G,0),1),"¶")</f>
        <v>1240</v>
      </c>
      <c r="K1844" s="87"/>
      <c r="L1844" s="87"/>
    </row>
    <row r="1845" spans="1:12" x14ac:dyDescent="0.3">
      <c r="A1845" t="s">
        <v>21814</v>
      </c>
      <c r="B1845" t="s">
        <v>19064</v>
      </c>
      <c r="C1845" t="s">
        <v>19065</v>
      </c>
      <c r="D1845" t="s">
        <v>1493</v>
      </c>
      <c r="E1845">
        <v>3838</v>
      </c>
      <c r="F1845" t="s">
        <v>19066</v>
      </c>
      <c r="G1845" t="s">
        <v>842</v>
      </c>
      <c r="H1845" t="str">
        <f t="shared" si="56"/>
        <v>Lockhill3838San Antonio</v>
      </c>
      <c r="I1845" t="str">
        <f t="shared" si="57"/>
        <v>Lockhill</v>
      </c>
      <c r="J1845" s="82">
        <f>IFERROR(INDEX('All Folders'!$A:$A,MATCH(H1845,'All Folders'!$G:$G,0),1),"¶")</f>
        <v>1203</v>
      </c>
      <c r="K1845" s="87"/>
      <c r="L1845" s="87"/>
    </row>
    <row r="1846" spans="1:12" x14ac:dyDescent="0.3">
      <c r="A1846" t="s">
        <v>21815</v>
      </c>
      <c r="B1846" t="s">
        <v>19067</v>
      </c>
      <c r="C1846" t="s">
        <v>19068</v>
      </c>
      <c r="D1846" t="s">
        <v>19069</v>
      </c>
      <c r="E1846">
        <v>5544</v>
      </c>
      <c r="F1846" t="s">
        <v>19070</v>
      </c>
      <c r="G1846" t="s">
        <v>842</v>
      </c>
      <c r="H1846" t="str">
        <f t="shared" si="56"/>
        <v>Timberhill5544San Antonio</v>
      </c>
      <c r="I1846" t="str">
        <f t="shared" si="57"/>
        <v>Timberhill</v>
      </c>
      <c r="J1846" s="82">
        <f>IFERROR(INDEX('All Folders'!$A:$A,MATCH(H1846,'All Folders'!$G:$G,0),1),"¶")</f>
        <v>1060</v>
      </c>
      <c r="K1846" s="87"/>
      <c r="L1846" s="87"/>
    </row>
    <row r="1847" spans="1:12" x14ac:dyDescent="0.3">
      <c r="A1847" t="s">
        <v>21816</v>
      </c>
      <c r="B1847" t="s">
        <v>19071</v>
      </c>
      <c r="C1847" t="s">
        <v>19072</v>
      </c>
      <c r="D1847" t="s">
        <v>19028</v>
      </c>
      <c r="E1847">
        <v>11721</v>
      </c>
      <c r="F1847" t="s">
        <v>19073</v>
      </c>
      <c r="G1847" t="s">
        <v>842</v>
      </c>
      <c r="H1847" t="str">
        <f t="shared" si="56"/>
        <v>Parliament11721San Antonio</v>
      </c>
      <c r="I1847" t="str">
        <f t="shared" si="57"/>
        <v>Parliament</v>
      </c>
      <c r="J1847" s="82">
        <f>IFERROR(INDEX('All Folders'!$A:$A,MATCH(H1847,'All Folders'!$G:$G,0),1),"¶")</f>
        <v>892</v>
      </c>
      <c r="K1847" s="87"/>
      <c r="L1847" s="87"/>
    </row>
    <row r="1848" spans="1:12" x14ac:dyDescent="0.3">
      <c r="A1848" t="s">
        <v>21817</v>
      </c>
      <c r="B1848" t="s">
        <v>19074</v>
      </c>
      <c r="C1848" t="s">
        <v>19075</v>
      </c>
      <c r="D1848" t="s">
        <v>18746</v>
      </c>
      <c r="E1848">
        <v>2233</v>
      </c>
      <c r="F1848" t="s">
        <v>19076</v>
      </c>
      <c r="G1848" t="s">
        <v>842</v>
      </c>
      <c r="H1848" t="str">
        <f t="shared" si="56"/>
        <v>Military2233San Antonio</v>
      </c>
      <c r="I1848" t="str">
        <f t="shared" si="57"/>
        <v>Military</v>
      </c>
      <c r="J1848" s="82">
        <f>IFERROR(INDEX('All Folders'!$A:$A,MATCH(H1848,'All Folders'!$G:$G,0),1),"¶")</f>
        <v>933</v>
      </c>
      <c r="K1848" s="87"/>
      <c r="L1848" s="87"/>
    </row>
    <row r="1849" spans="1:12" x14ac:dyDescent="0.3">
      <c r="A1849" t="s">
        <v>21818</v>
      </c>
      <c r="B1849" t="s">
        <v>19077</v>
      </c>
      <c r="C1849" t="s">
        <v>19078</v>
      </c>
      <c r="D1849" t="s">
        <v>18924</v>
      </c>
      <c r="E1849">
        <v>4032</v>
      </c>
      <c r="F1849" t="s">
        <v>19079</v>
      </c>
      <c r="G1849" t="s">
        <v>842</v>
      </c>
      <c r="H1849" t="str">
        <f t="shared" si="56"/>
        <v>Southcross4032San Antonio</v>
      </c>
      <c r="I1849" t="str">
        <f t="shared" si="57"/>
        <v>Southcross</v>
      </c>
      <c r="J1849" s="82">
        <f>IFERROR(INDEX('All Folders'!$A:$A,MATCH(H1849,'All Folders'!$G:$G,0),1),"¶")</f>
        <v>984</v>
      </c>
      <c r="K1849" s="87"/>
      <c r="L1849" s="87"/>
    </row>
    <row r="1850" spans="1:12" x14ac:dyDescent="0.3">
      <c r="A1850" t="s">
        <v>21819</v>
      </c>
      <c r="B1850" t="s">
        <v>19080</v>
      </c>
      <c r="C1850" t="s">
        <v>19081</v>
      </c>
      <c r="D1850" t="s">
        <v>19082</v>
      </c>
      <c r="E1850">
        <v>8446</v>
      </c>
      <c r="F1850" t="s">
        <v>19083</v>
      </c>
      <c r="G1850" t="s">
        <v>842</v>
      </c>
      <c r="H1850" t="str">
        <f t="shared" si="56"/>
        <v>Country8446San Antonio</v>
      </c>
      <c r="I1850" t="str">
        <f t="shared" si="57"/>
        <v>Country</v>
      </c>
      <c r="J1850" s="82">
        <f>IFERROR(INDEX('All Folders'!$A:$A,MATCH(H1850,'All Folders'!$G:$G,0),1),"¶")</f>
        <v>1148</v>
      </c>
      <c r="K1850" s="87"/>
      <c r="L1850" s="87"/>
    </row>
    <row r="1851" spans="1:12" x14ac:dyDescent="0.3">
      <c r="A1851" t="s">
        <v>21820</v>
      </c>
      <c r="B1851" t="s">
        <v>19084</v>
      </c>
      <c r="C1851" t="s">
        <v>19085</v>
      </c>
      <c r="D1851" t="s">
        <v>19048</v>
      </c>
      <c r="E1851">
        <v>1550</v>
      </c>
      <c r="F1851" t="s">
        <v>19086</v>
      </c>
      <c r="G1851" t="s">
        <v>842</v>
      </c>
      <c r="H1851" t="str">
        <f t="shared" si="56"/>
        <v>Thousand1550San Antonio</v>
      </c>
      <c r="I1851" t="str">
        <f t="shared" si="57"/>
        <v>Thousand</v>
      </c>
      <c r="J1851" s="82">
        <f>IFERROR(INDEX('All Folders'!$A:$A,MATCH(H1851,'All Folders'!$G:$G,0),1),"¶")</f>
        <v>1034</v>
      </c>
      <c r="K1851" s="87"/>
      <c r="L1851" s="87"/>
    </row>
    <row r="1852" spans="1:12" x14ac:dyDescent="0.3">
      <c r="A1852" t="s">
        <v>21821</v>
      </c>
      <c r="B1852" t="s">
        <v>19087</v>
      </c>
      <c r="C1852" t="s">
        <v>19088</v>
      </c>
      <c r="D1852" t="s">
        <v>19089</v>
      </c>
      <c r="E1852">
        <v>11300</v>
      </c>
      <c r="F1852" t="s">
        <v>19090</v>
      </c>
      <c r="G1852" t="s">
        <v>842</v>
      </c>
      <c r="H1852" t="str">
        <f t="shared" si="56"/>
        <v>Roszell11300San Antonio</v>
      </c>
      <c r="I1852" t="str">
        <f t="shared" si="57"/>
        <v>Roszell</v>
      </c>
      <c r="J1852" s="82">
        <f>IFERROR(INDEX('All Folders'!$A:$A,MATCH(H1852,'All Folders'!$G:$G,0),1),"¶")</f>
        <v>702</v>
      </c>
      <c r="K1852" s="87"/>
      <c r="L1852" s="87"/>
    </row>
    <row r="1853" spans="1:12" x14ac:dyDescent="0.3">
      <c r="A1853" t="s">
        <v>21822</v>
      </c>
      <c r="B1853" t="s">
        <v>19091</v>
      </c>
      <c r="C1853" t="s">
        <v>19092</v>
      </c>
      <c r="D1853" t="s">
        <v>19093</v>
      </c>
      <c r="E1853">
        <v>1538</v>
      </c>
      <c r="F1853" t="s">
        <v>19094</v>
      </c>
      <c r="G1853" t="s">
        <v>842</v>
      </c>
      <c r="H1853" t="str">
        <f t="shared" si="56"/>
        <v>Cable1538San Antonio</v>
      </c>
      <c r="I1853" t="str">
        <f t="shared" si="57"/>
        <v>Cable</v>
      </c>
      <c r="J1853" s="82">
        <f>IFERROR(INDEX('All Folders'!$A:$A,MATCH(H1853,'All Folders'!$G:$G,0),1),"¶")</f>
        <v>18173</v>
      </c>
      <c r="K1853" s="87"/>
      <c r="L1853" s="87"/>
    </row>
    <row r="1854" spans="1:12" x14ac:dyDescent="0.3">
      <c r="A1854" t="s">
        <v>21823</v>
      </c>
      <c r="B1854" t="s">
        <v>19095</v>
      </c>
      <c r="C1854" t="s">
        <v>19096</v>
      </c>
      <c r="D1854" t="s">
        <v>19097</v>
      </c>
      <c r="E1854">
        <v>15302</v>
      </c>
      <c r="F1854" t="s">
        <v>19098</v>
      </c>
      <c r="G1854" t="s">
        <v>842</v>
      </c>
      <c r="H1854" t="str">
        <f t="shared" si="56"/>
        <v>Judson15302San Antonio</v>
      </c>
      <c r="I1854" t="str">
        <f t="shared" si="57"/>
        <v>Judson</v>
      </c>
      <c r="J1854" s="82">
        <f>IFERROR(INDEX('All Folders'!$A:$A,MATCH(H1854,'All Folders'!$G:$G,0),1),"¶")</f>
        <v>16520</v>
      </c>
      <c r="K1854" s="87"/>
      <c r="L1854" s="87"/>
    </row>
    <row r="1855" spans="1:12" x14ac:dyDescent="0.3">
      <c r="A1855" t="s">
        <v>21824</v>
      </c>
      <c r="B1855" t="s">
        <v>19099</v>
      </c>
      <c r="C1855" t="s">
        <v>19100</v>
      </c>
      <c r="D1855" t="s">
        <v>2475</v>
      </c>
      <c r="E1855">
        <v>7314</v>
      </c>
      <c r="F1855" t="s">
        <v>19101</v>
      </c>
      <c r="G1855" t="s">
        <v>842</v>
      </c>
      <c r="H1855" t="str">
        <f t="shared" si="56"/>
        <v>Oak7314San Antonio</v>
      </c>
      <c r="I1855" t="str">
        <f t="shared" si="57"/>
        <v>Oak</v>
      </c>
      <c r="J1855" s="82">
        <f>IFERROR(INDEX('All Folders'!$A:$A,MATCH(H1855,'All Folders'!$G:$G,0),1),"¶")</f>
        <v>913</v>
      </c>
      <c r="K1855" s="87"/>
      <c r="L1855" s="87"/>
    </row>
    <row r="1856" spans="1:12" x14ac:dyDescent="0.3">
      <c r="A1856" t="s">
        <v>21825</v>
      </c>
      <c r="B1856" t="s">
        <v>19102</v>
      </c>
      <c r="C1856" t="s">
        <v>19103</v>
      </c>
      <c r="D1856" t="s">
        <v>18987</v>
      </c>
      <c r="E1856">
        <v>8607</v>
      </c>
      <c r="F1856" t="s">
        <v>916</v>
      </c>
      <c r="G1856" t="s">
        <v>842</v>
      </c>
      <c r="H1856" t="str">
        <f t="shared" si="56"/>
        <v>Jones8607San Antonio</v>
      </c>
      <c r="I1856" t="str">
        <f t="shared" si="57"/>
        <v>Jones</v>
      </c>
      <c r="J1856" s="82">
        <f>IFERROR(INDEX('All Folders'!$A:$A,MATCH(H1856,'All Folders'!$G:$G,0),1),"¶")</f>
        <v>713</v>
      </c>
      <c r="K1856" s="87"/>
      <c r="L1856" s="87"/>
    </row>
    <row r="1857" spans="1:12" x14ac:dyDescent="0.3">
      <c r="A1857" t="s">
        <v>21827</v>
      </c>
      <c r="B1857" t="s">
        <v>19107</v>
      </c>
      <c r="C1857" t="s">
        <v>19108</v>
      </c>
      <c r="D1857" t="s">
        <v>19109</v>
      </c>
      <c r="E1857">
        <v>19275</v>
      </c>
      <c r="F1857" t="s">
        <v>19110</v>
      </c>
      <c r="G1857" t="s">
        <v>842</v>
      </c>
      <c r="H1857" t="str">
        <f t="shared" si="56"/>
        <v>Stone19275San Antonio</v>
      </c>
      <c r="I1857" t="str">
        <f t="shared" si="57"/>
        <v>Stone</v>
      </c>
      <c r="J1857" s="82">
        <f>IFERROR(INDEX('All Folders'!$A:$A,MATCH(H1857,'All Folders'!$G:$G,0),1),"¶")</f>
        <v>672</v>
      </c>
      <c r="K1857" s="87"/>
      <c r="L1857" s="87"/>
    </row>
    <row r="1858" spans="1:12" x14ac:dyDescent="0.3">
      <c r="A1858" t="s">
        <v>21828</v>
      </c>
      <c r="B1858" t="s">
        <v>19111</v>
      </c>
      <c r="C1858" t="s">
        <v>19112</v>
      </c>
      <c r="D1858" t="s">
        <v>1442</v>
      </c>
      <c r="E1858">
        <v>423</v>
      </c>
      <c r="F1858" t="s">
        <v>1443</v>
      </c>
      <c r="G1858" t="s">
        <v>842</v>
      </c>
      <c r="H1858" t="str">
        <f t="shared" ref="H1858:H1921" si="58">I1858&amp;E1858&amp;G1858</f>
        <v>Vance423San Antonio</v>
      </c>
      <c r="I1858" t="str">
        <f t="shared" ref="I1858:I1921" si="59">IFERROR(LEFT(D1858,FIND(" ",D1858)-1),D1858)</f>
        <v>Vance</v>
      </c>
      <c r="J1858" s="82">
        <f>IFERROR(INDEX('All Folders'!$A:$A,MATCH(H1858,'All Folders'!$G:$G,0),1),"¶")</f>
        <v>1078</v>
      </c>
      <c r="K1858" s="87"/>
      <c r="L1858" s="87"/>
    </row>
    <row r="1859" spans="1:12" x14ac:dyDescent="0.3">
      <c r="A1859" t="s">
        <v>21829</v>
      </c>
      <c r="B1859" t="s">
        <v>19113</v>
      </c>
      <c r="C1859" t="s">
        <v>19114</v>
      </c>
      <c r="D1859" t="s">
        <v>1442</v>
      </c>
      <c r="E1859">
        <v>11444</v>
      </c>
      <c r="F1859" t="s">
        <v>19115</v>
      </c>
      <c r="G1859" t="s">
        <v>842</v>
      </c>
      <c r="H1859" t="str">
        <f t="shared" si="58"/>
        <v>Vance11444San Antonio</v>
      </c>
      <c r="I1859" t="str">
        <f t="shared" si="59"/>
        <v>Vance</v>
      </c>
      <c r="J1859" s="82">
        <f>IFERROR(INDEX('All Folders'!$A:$A,MATCH(H1859,'All Folders'!$G:$G,0),1),"¶")</f>
        <v>1032</v>
      </c>
      <c r="K1859" s="87"/>
      <c r="L1859" s="87"/>
    </row>
    <row r="1860" spans="1:12" x14ac:dyDescent="0.3">
      <c r="A1860" t="s">
        <v>21830</v>
      </c>
      <c r="B1860" t="s">
        <v>19116</v>
      </c>
      <c r="C1860" t="s">
        <v>19117</v>
      </c>
      <c r="D1860" t="s">
        <v>19118</v>
      </c>
      <c r="E1860">
        <v>10334</v>
      </c>
      <c r="F1860" t="s">
        <v>1447</v>
      </c>
      <c r="G1860" t="s">
        <v>842</v>
      </c>
      <c r="H1860" t="str">
        <f t="shared" si="58"/>
        <v>Oasis10334San Antonio</v>
      </c>
      <c r="I1860" t="str">
        <f t="shared" si="59"/>
        <v>Oasis</v>
      </c>
      <c r="J1860" s="82">
        <f>IFERROR(INDEX('All Folders'!$A:$A,MATCH(H1860,'All Folders'!$G:$G,0),1),"¶")</f>
        <v>1081</v>
      </c>
      <c r="K1860" s="87"/>
      <c r="L1860" s="87"/>
    </row>
    <row r="1861" spans="1:12" x14ac:dyDescent="0.3">
      <c r="A1861" t="s">
        <v>21831</v>
      </c>
      <c r="B1861" t="s">
        <v>19119</v>
      </c>
      <c r="C1861" t="s">
        <v>19120</v>
      </c>
      <c r="D1861" t="s">
        <v>964</v>
      </c>
      <c r="E1861">
        <v>8722</v>
      </c>
      <c r="F1861" t="s">
        <v>1119</v>
      </c>
      <c r="G1861" t="s">
        <v>842</v>
      </c>
      <c r="H1861" t="str">
        <f t="shared" si="58"/>
        <v>Cinnamon8722San Antonio</v>
      </c>
      <c r="I1861" t="str">
        <f t="shared" si="59"/>
        <v>Cinnamon</v>
      </c>
      <c r="J1861" s="82">
        <f>IFERROR(INDEX('All Folders'!$A:$A,MATCH(H1861,'All Folders'!$G:$G,0),1),"¶")</f>
        <v>845</v>
      </c>
      <c r="K1861" s="87"/>
      <c r="L1861" s="87"/>
    </row>
    <row r="1862" spans="1:12" x14ac:dyDescent="0.3">
      <c r="A1862" t="s">
        <v>21832</v>
      </c>
      <c r="B1862" t="s">
        <v>19121</v>
      </c>
      <c r="C1862" t="s">
        <v>19122</v>
      </c>
      <c r="D1862" t="s">
        <v>1442</v>
      </c>
      <c r="E1862">
        <v>12436</v>
      </c>
      <c r="F1862" t="s">
        <v>19123</v>
      </c>
      <c r="G1862" t="s">
        <v>842</v>
      </c>
      <c r="H1862" t="str">
        <f t="shared" si="58"/>
        <v>Vance12436San Antonio</v>
      </c>
      <c r="I1862" t="str">
        <f t="shared" si="59"/>
        <v>Vance</v>
      </c>
      <c r="J1862" s="82">
        <f>IFERROR(INDEX('All Folders'!$A:$A,MATCH(H1862,'All Folders'!$G:$G,0),1),"¶")</f>
        <v>16514</v>
      </c>
      <c r="K1862" s="87"/>
      <c r="L1862" s="87"/>
    </row>
    <row r="1863" spans="1:12" x14ac:dyDescent="0.3">
      <c r="A1863" t="s">
        <v>21833</v>
      </c>
      <c r="B1863" t="s">
        <v>19124</v>
      </c>
      <c r="C1863" t="s">
        <v>19125</v>
      </c>
      <c r="D1863" t="s">
        <v>19126</v>
      </c>
      <c r="E1863">
        <v>5380</v>
      </c>
      <c r="F1863" t="s">
        <v>19127</v>
      </c>
      <c r="G1863" t="s">
        <v>842</v>
      </c>
      <c r="H1863" t="str">
        <f t="shared" si="58"/>
        <v>Medical5380San Antonio</v>
      </c>
      <c r="I1863" t="str">
        <f t="shared" si="59"/>
        <v>Medical</v>
      </c>
      <c r="J1863" s="82">
        <f>IFERROR(INDEX('All Folders'!$A:$A,MATCH(H1863,'All Folders'!$G:$G,0),1),"¶")</f>
        <v>1102</v>
      </c>
      <c r="K1863" s="87"/>
      <c r="L1863" s="87"/>
    </row>
    <row r="1864" spans="1:12" x14ac:dyDescent="0.3">
      <c r="A1864" t="s">
        <v>21834</v>
      </c>
      <c r="B1864" t="s">
        <v>19128</v>
      </c>
      <c r="C1864" t="s">
        <v>19129</v>
      </c>
      <c r="D1864" t="s">
        <v>19130</v>
      </c>
      <c r="E1864">
        <v>11910</v>
      </c>
      <c r="F1864" t="s">
        <v>19131</v>
      </c>
      <c r="G1864" t="s">
        <v>842</v>
      </c>
      <c r="H1864" t="str">
        <f t="shared" si="58"/>
        <v>Orsinger11910San Antonio</v>
      </c>
      <c r="I1864" t="str">
        <f t="shared" si="59"/>
        <v>Orsinger</v>
      </c>
      <c r="J1864" s="82">
        <f>IFERROR(INDEX('All Folders'!$A:$A,MATCH(H1864,'All Folders'!$G:$G,0),1),"¶")</f>
        <v>1151</v>
      </c>
      <c r="K1864" s="87"/>
      <c r="L1864" s="87"/>
    </row>
    <row r="1865" spans="1:12" x14ac:dyDescent="0.3">
      <c r="A1865" t="s">
        <v>21836</v>
      </c>
      <c r="B1865" t="s">
        <v>19136</v>
      </c>
      <c r="C1865" t="s">
        <v>19137</v>
      </c>
      <c r="D1865" t="s">
        <v>18883</v>
      </c>
      <c r="E1865">
        <v>6623</v>
      </c>
      <c r="F1865" t="s">
        <v>1477</v>
      </c>
      <c r="G1865" t="s">
        <v>842</v>
      </c>
      <c r="H1865" t="str">
        <f t="shared" si="58"/>
        <v>Callaghan6623San Antonio</v>
      </c>
      <c r="I1865" t="str">
        <f t="shared" si="59"/>
        <v>Callaghan</v>
      </c>
      <c r="J1865" s="82">
        <f>IFERROR(INDEX('All Folders'!$A:$A,MATCH(H1865,'All Folders'!$G:$G,0),1),"¶")</f>
        <v>1106</v>
      </c>
      <c r="K1865" s="87"/>
      <c r="L1865" s="87"/>
    </row>
    <row r="1866" spans="1:12" x14ac:dyDescent="0.3">
      <c r="A1866" t="s">
        <v>21837</v>
      </c>
      <c r="B1866" t="s">
        <v>19138</v>
      </c>
      <c r="C1866" t="s">
        <v>19139</v>
      </c>
      <c r="D1866" t="s">
        <v>19140</v>
      </c>
      <c r="E1866">
        <v>7820</v>
      </c>
      <c r="F1866" t="s">
        <v>1478</v>
      </c>
      <c r="G1866" t="s">
        <v>842</v>
      </c>
      <c r="H1866" t="str">
        <f t="shared" si="58"/>
        <v>WoodChase7820San Antonio</v>
      </c>
      <c r="I1866" t="str">
        <f t="shared" si="59"/>
        <v>WoodChase</v>
      </c>
      <c r="J1866" s="82">
        <f>IFERROR(INDEX('All Folders'!$A:$A,MATCH(H1866,'All Folders'!$G:$G,0),1),"¶")</f>
        <v>1107</v>
      </c>
      <c r="K1866" s="87"/>
      <c r="L1866" s="87"/>
    </row>
    <row r="1867" spans="1:12" x14ac:dyDescent="0.3">
      <c r="A1867" t="s">
        <v>21838</v>
      </c>
      <c r="B1867" t="s">
        <v>19141</v>
      </c>
      <c r="C1867" t="s">
        <v>19142</v>
      </c>
      <c r="D1867" t="s">
        <v>869</v>
      </c>
      <c r="E1867">
        <v>2530</v>
      </c>
      <c r="F1867" t="s">
        <v>1550</v>
      </c>
      <c r="G1867" t="s">
        <v>842</v>
      </c>
      <c r="H1867" t="str">
        <f t="shared" si="58"/>
        <v>Harry2530San Antonio</v>
      </c>
      <c r="I1867" t="str">
        <f t="shared" si="59"/>
        <v>Harry</v>
      </c>
      <c r="J1867" s="82">
        <f>IFERROR(INDEX('All Folders'!$A:$A,MATCH(H1867,'All Folders'!$G:$G,0),1),"¶")</f>
        <v>1158</v>
      </c>
      <c r="K1867" s="87"/>
      <c r="L1867" s="87"/>
    </row>
    <row r="1868" spans="1:12" x14ac:dyDescent="0.3">
      <c r="A1868" t="s">
        <v>21839</v>
      </c>
      <c r="B1868" t="s">
        <v>19143</v>
      </c>
      <c r="C1868" t="s">
        <v>19144</v>
      </c>
      <c r="D1868" t="s">
        <v>19145</v>
      </c>
      <c r="E1868">
        <v>2447</v>
      </c>
      <c r="F1868" t="s">
        <v>19146</v>
      </c>
      <c r="G1868" t="s">
        <v>842</v>
      </c>
      <c r="H1868" t="str">
        <f t="shared" si="58"/>
        <v>Lockhill2447San Antonio</v>
      </c>
      <c r="I1868" t="str">
        <f t="shared" si="59"/>
        <v>Lockhill</v>
      </c>
      <c r="J1868" s="82">
        <f>IFERROR(INDEX('All Folders'!$A:$A,MATCH(H1868,'All Folders'!$G:$G,0),1),"¶")</f>
        <v>1119</v>
      </c>
      <c r="K1868" s="87"/>
      <c r="L1868" s="87"/>
    </row>
    <row r="1869" spans="1:12" x14ac:dyDescent="0.3">
      <c r="A1869" t="s">
        <v>21840</v>
      </c>
      <c r="B1869" t="s">
        <v>19147</v>
      </c>
      <c r="C1869" t="s">
        <v>19148</v>
      </c>
      <c r="D1869" t="s">
        <v>19149</v>
      </c>
      <c r="E1869">
        <v>5341</v>
      </c>
      <c r="F1869" t="s">
        <v>1495</v>
      </c>
      <c r="G1869" t="s">
        <v>842</v>
      </c>
      <c r="H1869" t="str">
        <f t="shared" si="58"/>
        <v>Gawain5341San Antonio</v>
      </c>
      <c r="I1869" t="str">
        <f t="shared" si="59"/>
        <v>Gawain</v>
      </c>
      <c r="J1869" s="82">
        <f>IFERROR(INDEX('All Folders'!$A:$A,MATCH(H1869,'All Folders'!$G:$G,0),1),"¶")</f>
        <v>1120</v>
      </c>
      <c r="K1869" s="87"/>
      <c r="L1869" s="87"/>
    </row>
    <row r="1870" spans="1:12" x14ac:dyDescent="0.3">
      <c r="A1870" t="s">
        <v>21841</v>
      </c>
      <c r="B1870" t="s">
        <v>19150</v>
      </c>
      <c r="C1870" t="s">
        <v>19151</v>
      </c>
      <c r="D1870" t="s">
        <v>19152</v>
      </c>
      <c r="E1870">
        <v>3500</v>
      </c>
      <c r="F1870" t="s">
        <v>1501</v>
      </c>
      <c r="G1870" t="s">
        <v>842</v>
      </c>
      <c r="H1870" t="str">
        <f t="shared" si="58"/>
        <v>Oakgate3500San Antonio</v>
      </c>
      <c r="I1870" t="str">
        <f t="shared" si="59"/>
        <v>Oakgate</v>
      </c>
      <c r="J1870" s="82">
        <f>IFERROR(INDEX('All Folders'!$A:$A,MATCH(H1870,'All Folders'!$G:$G,0),1),"¶")</f>
        <v>1124</v>
      </c>
      <c r="K1870" s="87"/>
      <c r="L1870" s="87"/>
    </row>
    <row r="1871" spans="1:12" x14ac:dyDescent="0.3">
      <c r="A1871" t="s">
        <v>21842</v>
      </c>
      <c r="B1871" t="s">
        <v>19153</v>
      </c>
      <c r="C1871" t="s">
        <v>19154</v>
      </c>
      <c r="D1871" t="s">
        <v>19024</v>
      </c>
      <c r="E1871">
        <v>10362</v>
      </c>
      <c r="F1871" t="s">
        <v>19155</v>
      </c>
      <c r="G1871" t="s">
        <v>842</v>
      </c>
      <c r="H1871" t="str">
        <f t="shared" si="58"/>
        <v>Sahara10362San Antonio</v>
      </c>
      <c r="I1871" t="str">
        <f t="shared" si="59"/>
        <v>Sahara</v>
      </c>
      <c r="J1871" s="82">
        <f>IFERROR(INDEX('All Folders'!$A:$A,MATCH(H1871,'All Folders'!$G:$G,0),1),"¶")</f>
        <v>969</v>
      </c>
      <c r="K1871" s="87"/>
      <c r="L1871" s="87"/>
    </row>
    <row r="1872" spans="1:12" x14ac:dyDescent="0.3">
      <c r="A1872" t="s">
        <v>21843</v>
      </c>
      <c r="B1872" t="s">
        <v>19156</v>
      </c>
      <c r="C1872" t="s">
        <v>19157</v>
      </c>
      <c r="D1872" t="s">
        <v>19158</v>
      </c>
      <c r="E1872">
        <v>6000</v>
      </c>
      <c r="F1872" t="s">
        <v>19159</v>
      </c>
      <c r="G1872" t="s">
        <v>842</v>
      </c>
      <c r="H1872" t="str">
        <f t="shared" si="58"/>
        <v>Woodlake6000San Antonio</v>
      </c>
      <c r="I1872" t="str">
        <f t="shared" si="59"/>
        <v>Woodlake</v>
      </c>
      <c r="J1872" s="82">
        <f>IFERROR(INDEX('All Folders'!$A:$A,MATCH(H1872,'All Folders'!$G:$G,0),1),"¶")</f>
        <v>1127</v>
      </c>
      <c r="K1872" s="87"/>
      <c r="L1872" s="87"/>
    </row>
    <row r="1873" spans="1:12" x14ac:dyDescent="0.3">
      <c r="A1873" t="s">
        <v>21844</v>
      </c>
      <c r="B1873" t="s">
        <v>19160</v>
      </c>
      <c r="C1873" t="s">
        <v>19161</v>
      </c>
      <c r="D1873" t="s">
        <v>18814</v>
      </c>
      <c r="E1873">
        <v>9001</v>
      </c>
      <c r="F1873" t="s">
        <v>19162</v>
      </c>
      <c r="G1873" t="s">
        <v>842</v>
      </c>
      <c r="H1873" t="str">
        <f t="shared" si="58"/>
        <v>Wurzbach9001San Antonio</v>
      </c>
      <c r="I1873" t="str">
        <f t="shared" si="59"/>
        <v>Wurzbach</v>
      </c>
      <c r="J1873" s="82">
        <f>IFERROR(INDEX('All Folders'!$A:$A,MATCH(H1873,'All Folders'!$G:$G,0),1),"¶")</f>
        <v>1131</v>
      </c>
      <c r="K1873" s="87"/>
      <c r="L1873" s="87"/>
    </row>
    <row r="1874" spans="1:12" x14ac:dyDescent="0.3">
      <c r="A1874" t="s">
        <v>21845</v>
      </c>
      <c r="B1874" t="s">
        <v>19163</v>
      </c>
      <c r="C1874" t="s">
        <v>19164</v>
      </c>
      <c r="D1874" t="s">
        <v>19165</v>
      </c>
      <c r="E1874">
        <v>1101</v>
      </c>
      <c r="F1874" t="s">
        <v>19166</v>
      </c>
      <c r="G1874" t="s">
        <v>498</v>
      </c>
      <c r="H1874" t="str">
        <f t="shared" si="58"/>
        <v>Leah1101San Marcos</v>
      </c>
      <c r="I1874" t="str">
        <f t="shared" si="59"/>
        <v>Leah</v>
      </c>
      <c r="J1874" s="82">
        <f>IFERROR(INDEX('All Folders'!$A:$A,MATCH(H1874,'All Folders'!$G:$G,0),1),"¶")</f>
        <v>390</v>
      </c>
      <c r="K1874" s="87"/>
      <c r="L1874" s="87"/>
    </row>
    <row r="1875" spans="1:12" x14ac:dyDescent="0.3">
      <c r="A1875" t="s">
        <v>21846</v>
      </c>
      <c r="B1875" t="s">
        <v>19167</v>
      </c>
      <c r="C1875" t="s">
        <v>19168</v>
      </c>
      <c r="D1875" t="s">
        <v>19169</v>
      </c>
      <c r="E1875">
        <v>1109</v>
      </c>
      <c r="F1875" t="s">
        <v>19170</v>
      </c>
      <c r="G1875" t="s">
        <v>498</v>
      </c>
      <c r="H1875" t="str">
        <f t="shared" si="58"/>
        <v>San1109San Marcos</v>
      </c>
      <c r="I1875" t="str">
        <f t="shared" si="59"/>
        <v>San</v>
      </c>
      <c r="J1875" s="82">
        <f>IFERROR(INDEX('All Folders'!$A:$A,MATCH(H1875,'All Folders'!$G:$G,0),1),"¶")</f>
        <v>382</v>
      </c>
      <c r="K1875" s="87"/>
      <c r="L1875" s="87"/>
    </row>
    <row r="1876" spans="1:12" x14ac:dyDescent="0.3">
      <c r="A1876" t="s">
        <v>21847</v>
      </c>
      <c r="B1876" t="s">
        <v>19171</v>
      </c>
      <c r="C1876" t="s">
        <v>19172</v>
      </c>
      <c r="D1876" t="s">
        <v>14572</v>
      </c>
      <c r="E1876">
        <v>518</v>
      </c>
      <c r="F1876" t="s">
        <v>696</v>
      </c>
      <c r="G1876" t="s">
        <v>498</v>
      </c>
      <c r="H1876" t="str">
        <f t="shared" si="58"/>
        <v>Linda518San Marcos</v>
      </c>
      <c r="I1876" t="str">
        <f t="shared" si="59"/>
        <v>Linda</v>
      </c>
      <c r="J1876" s="82">
        <f>IFERROR(INDEX('All Folders'!$A:$A,MATCH(H1876,'All Folders'!$G:$G,0),1),"¶")</f>
        <v>477</v>
      </c>
      <c r="K1876" s="87"/>
      <c r="L1876" s="87"/>
    </row>
    <row r="1877" spans="1:12" x14ac:dyDescent="0.3">
      <c r="A1877" t="s">
        <v>21848</v>
      </c>
      <c r="B1877" t="s">
        <v>19173</v>
      </c>
      <c r="C1877" t="s">
        <v>19174</v>
      </c>
      <c r="D1877" t="s">
        <v>19175</v>
      </c>
      <c r="E1877">
        <v>205</v>
      </c>
      <c r="F1877" t="s">
        <v>19176</v>
      </c>
      <c r="G1877" t="s">
        <v>498</v>
      </c>
      <c r="H1877" t="str">
        <f t="shared" si="58"/>
        <v>Craddock205San Marcos</v>
      </c>
      <c r="I1877" t="str">
        <f t="shared" si="59"/>
        <v>Craddock</v>
      </c>
      <c r="J1877" s="82">
        <f>IFERROR(INDEX('All Folders'!$A:$A,MATCH(H1877,'All Folders'!$G:$G,0),1),"¶")</f>
        <v>396</v>
      </c>
      <c r="K1877" s="87"/>
      <c r="L1877" s="87"/>
    </row>
    <row r="1878" spans="1:12" x14ac:dyDescent="0.3">
      <c r="A1878" t="s">
        <v>21849</v>
      </c>
      <c r="B1878" t="s">
        <v>19177</v>
      </c>
      <c r="C1878" t="s">
        <v>19178</v>
      </c>
      <c r="D1878" t="s">
        <v>19179</v>
      </c>
      <c r="E1878">
        <v>1000</v>
      </c>
      <c r="F1878" t="s">
        <v>19180</v>
      </c>
      <c r="G1878" t="s">
        <v>498</v>
      </c>
      <c r="H1878" t="str">
        <f t="shared" si="58"/>
        <v>LBJ1000San Marcos</v>
      </c>
      <c r="I1878" t="str">
        <f t="shared" si="59"/>
        <v>LBJ</v>
      </c>
      <c r="J1878" s="82">
        <f>IFERROR(INDEX('All Folders'!$A:$A,MATCH(H1878,'All Folders'!$G:$G,0),1),"¶")</f>
        <v>401</v>
      </c>
      <c r="K1878" s="87"/>
      <c r="L1878" s="87"/>
    </row>
    <row r="1879" spans="1:12" x14ac:dyDescent="0.3">
      <c r="A1879" t="s">
        <v>21850</v>
      </c>
      <c r="B1879" t="s">
        <v>19181</v>
      </c>
      <c r="C1879" t="s">
        <v>19182</v>
      </c>
      <c r="D1879" t="s">
        <v>19183</v>
      </c>
      <c r="E1879">
        <v>1637</v>
      </c>
      <c r="F1879" t="s">
        <v>19184</v>
      </c>
      <c r="G1879" t="s">
        <v>498</v>
      </c>
      <c r="H1879" t="str">
        <f t="shared" si="58"/>
        <v>Old1637San Marcos</v>
      </c>
      <c r="I1879" t="str">
        <f t="shared" si="59"/>
        <v>Old</v>
      </c>
      <c r="J1879" s="82">
        <f>IFERROR(INDEX('All Folders'!$A:$A,MATCH(H1879,'All Folders'!$G:$G,0),1),"¶")</f>
        <v>30317</v>
      </c>
      <c r="K1879" s="87"/>
      <c r="L1879" s="87"/>
    </row>
    <row r="1880" spans="1:12" x14ac:dyDescent="0.3">
      <c r="A1880" t="s">
        <v>21851</v>
      </c>
      <c r="B1880" t="s">
        <v>19185</v>
      </c>
      <c r="C1880" t="s">
        <v>19186</v>
      </c>
      <c r="D1880" t="s">
        <v>19187</v>
      </c>
      <c r="E1880">
        <v>250</v>
      </c>
      <c r="F1880" t="s">
        <v>19188</v>
      </c>
      <c r="G1880" t="s">
        <v>498</v>
      </c>
      <c r="H1880" t="str">
        <f t="shared" si="58"/>
        <v>Stagecoach250San Marcos</v>
      </c>
      <c r="I1880" t="str">
        <f t="shared" si="59"/>
        <v>Stagecoach</v>
      </c>
      <c r="J1880" s="82">
        <f>IFERROR(INDEX('All Folders'!$A:$A,MATCH(H1880,'All Folders'!$G:$G,0),1),"¶")</f>
        <v>16184</v>
      </c>
      <c r="K1880" s="87"/>
      <c r="L1880" s="87"/>
    </row>
    <row r="1881" spans="1:12" x14ac:dyDescent="0.3">
      <c r="A1881" t="s">
        <v>21852</v>
      </c>
      <c r="B1881" t="s">
        <v>19189</v>
      </c>
      <c r="C1881" t="s">
        <v>19190</v>
      </c>
      <c r="D1881" t="s">
        <v>19191</v>
      </c>
      <c r="E1881">
        <v>1623</v>
      </c>
      <c r="F1881" t="s">
        <v>19192</v>
      </c>
      <c r="G1881" t="s">
        <v>498</v>
      </c>
      <c r="H1881" t="str">
        <f t="shared" si="58"/>
        <v>Aquarena1623San Marcos</v>
      </c>
      <c r="I1881" t="str">
        <f t="shared" si="59"/>
        <v>Aquarena</v>
      </c>
      <c r="J1881" s="82">
        <f>IFERROR(INDEX('All Folders'!$A:$A,MATCH(H1881,'All Folders'!$G:$G,0),1),"¶")</f>
        <v>487</v>
      </c>
      <c r="K1881" s="87"/>
      <c r="L1881" s="87"/>
    </row>
    <row r="1882" spans="1:12" x14ac:dyDescent="0.3">
      <c r="A1882" t="s">
        <v>21853</v>
      </c>
      <c r="B1882" t="s">
        <v>19193</v>
      </c>
      <c r="C1882" t="s">
        <v>19194</v>
      </c>
      <c r="D1882" t="s">
        <v>19191</v>
      </c>
      <c r="E1882">
        <v>1200</v>
      </c>
      <c r="F1882" t="s">
        <v>19195</v>
      </c>
      <c r="G1882" t="s">
        <v>498</v>
      </c>
      <c r="H1882" t="str">
        <f t="shared" si="58"/>
        <v>Aquarena1200San Marcos</v>
      </c>
      <c r="I1882" t="str">
        <f t="shared" si="59"/>
        <v>Aquarena</v>
      </c>
      <c r="J1882" s="82">
        <f>IFERROR(INDEX('All Folders'!$A:$A,MATCH(H1882,'All Folders'!$G:$G,0),1),"¶")</f>
        <v>381</v>
      </c>
      <c r="K1882" s="87"/>
      <c r="L1882" s="87"/>
    </row>
    <row r="1883" spans="1:12" x14ac:dyDescent="0.3">
      <c r="A1883" t="s">
        <v>21855</v>
      </c>
      <c r="B1883" t="s">
        <v>19199</v>
      </c>
      <c r="C1883" t="s">
        <v>19200</v>
      </c>
      <c r="D1883" t="s">
        <v>19201</v>
      </c>
      <c r="E1883">
        <v>1011</v>
      </c>
      <c r="F1883" t="s">
        <v>19202</v>
      </c>
      <c r="G1883" t="s">
        <v>498</v>
      </c>
      <c r="H1883" t="str">
        <f t="shared" si="58"/>
        <v>Wonder1011San Marcos</v>
      </c>
      <c r="I1883" t="str">
        <f t="shared" si="59"/>
        <v>Wonder</v>
      </c>
      <c r="J1883" s="82">
        <f>IFERROR(INDEX('All Folders'!$A:$A,MATCH(H1883,'All Folders'!$G:$G,0),1),"¶")</f>
        <v>482</v>
      </c>
      <c r="K1883" s="87"/>
      <c r="L1883" s="87"/>
    </row>
    <row r="1884" spans="1:12" x14ac:dyDescent="0.3">
      <c r="A1884" t="s">
        <v>21856</v>
      </c>
      <c r="B1884" t="s">
        <v>19203</v>
      </c>
      <c r="C1884" t="s">
        <v>19204</v>
      </c>
      <c r="D1884" t="s">
        <v>19191</v>
      </c>
      <c r="E1884">
        <v>1850</v>
      </c>
      <c r="F1884" t="s">
        <v>2841</v>
      </c>
      <c r="G1884" t="s">
        <v>498</v>
      </c>
      <c r="H1884" t="str">
        <f t="shared" si="58"/>
        <v>Aquarena1850San Marcos</v>
      </c>
      <c r="I1884" t="str">
        <f t="shared" si="59"/>
        <v>Aquarena</v>
      </c>
      <c r="J1884" s="82">
        <f>IFERROR(INDEX('All Folders'!$A:$A,MATCH(H1884,'All Folders'!$G:$G,0),1),"¶")</f>
        <v>30316</v>
      </c>
      <c r="K1884" s="87"/>
      <c r="L1884" s="87"/>
    </row>
    <row r="1885" spans="1:12" x14ac:dyDescent="0.3">
      <c r="A1885" t="s">
        <v>21858</v>
      </c>
      <c r="B1885" t="s">
        <v>19209</v>
      </c>
      <c r="C1885" t="s">
        <v>19210</v>
      </c>
      <c r="D1885" t="s">
        <v>19191</v>
      </c>
      <c r="E1885">
        <v>1805</v>
      </c>
      <c r="F1885" t="s">
        <v>19211</v>
      </c>
      <c r="G1885" t="s">
        <v>498</v>
      </c>
      <c r="H1885" t="str">
        <f t="shared" si="58"/>
        <v>Aquarena1805San Marcos</v>
      </c>
      <c r="I1885" t="str">
        <f t="shared" si="59"/>
        <v>Aquarena</v>
      </c>
      <c r="J1885" s="82">
        <f>IFERROR(INDEX('All Folders'!$A:$A,MATCH(H1885,'All Folders'!$G:$G,0),1),"¶")</f>
        <v>394</v>
      </c>
      <c r="K1885" s="87"/>
      <c r="L1885" s="87"/>
    </row>
    <row r="1886" spans="1:12" x14ac:dyDescent="0.3">
      <c r="A1886" t="s">
        <v>21859</v>
      </c>
      <c r="B1886" t="s">
        <v>19212</v>
      </c>
      <c r="C1886" t="s">
        <v>19213</v>
      </c>
      <c r="D1886" t="s">
        <v>19191</v>
      </c>
      <c r="E1886">
        <v>1631</v>
      </c>
      <c r="F1886" t="s">
        <v>571</v>
      </c>
      <c r="G1886" t="s">
        <v>498</v>
      </c>
      <c r="H1886" t="str">
        <f t="shared" si="58"/>
        <v>Aquarena1631San Marcos</v>
      </c>
      <c r="I1886" t="str">
        <f t="shared" si="59"/>
        <v>Aquarena</v>
      </c>
      <c r="J1886" s="82">
        <f>IFERROR(INDEX('All Folders'!$A:$A,MATCH(H1886,'All Folders'!$G:$G,0),1),"¶")</f>
        <v>386</v>
      </c>
      <c r="K1886" s="87"/>
      <c r="L1886" s="87"/>
    </row>
    <row r="1887" spans="1:12" x14ac:dyDescent="0.3">
      <c r="A1887" t="s">
        <v>21860</v>
      </c>
      <c r="B1887" t="s">
        <v>19214</v>
      </c>
      <c r="C1887" t="s">
        <v>19215</v>
      </c>
      <c r="D1887" t="s">
        <v>19191</v>
      </c>
      <c r="E1887">
        <v>1975</v>
      </c>
      <c r="F1887" t="s">
        <v>19216</v>
      </c>
      <c r="G1887" t="s">
        <v>498</v>
      </c>
      <c r="H1887" t="str">
        <f t="shared" si="58"/>
        <v>Aquarena1975San Marcos</v>
      </c>
      <c r="I1887" t="str">
        <f t="shared" si="59"/>
        <v>Aquarena</v>
      </c>
      <c r="J1887" s="82">
        <f>IFERROR(INDEX('All Folders'!$A:$A,MATCH(H1887,'All Folders'!$G:$G,0),1),"¶")</f>
        <v>527</v>
      </c>
      <c r="K1887" s="87"/>
      <c r="L1887" s="87"/>
    </row>
    <row r="1888" spans="1:12" x14ac:dyDescent="0.3">
      <c r="A1888" t="s">
        <v>21861</v>
      </c>
      <c r="B1888" t="s">
        <v>19217</v>
      </c>
      <c r="C1888" t="s">
        <v>19218</v>
      </c>
      <c r="D1888" t="s">
        <v>19219</v>
      </c>
      <c r="E1888">
        <v>1000</v>
      </c>
      <c r="F1888" t="s">
        <v>1398</v>
      </c>
      <c r="G1888" t="s">
        <v>1399</v>
      </c>
      <c r="H1888" t="str">
        <f t="shared" si="58"/>
        <v>Elbel1000Schertz</v>
      </c>
      <c r="I1888" t="str">
        <f t="shared" si="59"/>
        <v>Elbel</v>
      </c>
      <c r="J1888" s="82">
        <f>IFERROR(INDEX('All Folders'!$A:$A,MATCH(H1888,'All Folders'!$G:$G,0),1),"¶")</f>
        <v>1045</v>
      </c>
      <c r="K1888" s="87"/>
      <c r="L1888" s="87"/>
    </row>
    <row r="1889" spans="1:12" x14ac:dyDescent="0.3">
      <c r="A1889" t="s">
        <v>21862</v>
      </c>
      <c r="B1889" t="s">
        <v>19220</v>
      </c>
      <c r="C1889" t="s">
        <v>19221</v>
      </c>
      <c r="D1889" t="s">
        <v>19222</v>
      </c>
      <c r="E1889">
        <v>2401</v>
      </c>
      <c r="F1889" t="s">
        <v>4361</v>
      </c>
      <c r="G1889" t="s">
        <v>4338</v>
      </c>
      <c r="H1889" t="str">
        <f t="shared" si="58"/>
        <v>Repsdorph2401Seabrook</v>
      </c>
      <c r="I1889" t="str">
        <f t="shared" si="59"/>
        <v>Repsdorph</v>
      </c>
      <c r="J1889" s="82">
        <f>IFERROR(INDEX('All Folders'!$A:$A,MATCH(H1889,'All Folders'!$G:$G,0),1),"¶")</f>
        <v>4097</v>
      </c>
      <c r="K1889" s="87"/>
      <c r="L1889" s="87"/>
    </row>
    <row r="1890" spans="1:12" x14ac:dyDescent="0.3">
      <c r="A1890" t="s">
        <v>21863</v>
      </c>
      <c r="B1890" t="s">
        <v>19223</v>
      </c>
      <c r="C1890" t="s">
        <v>19224</v>
      </c>
      <c r="D1890" t="s">
        <v>17749</v>
      </c>
      <c r="E1890">
        <v>1048</v>
      </c>
      <c r="F1890" t="s">
        <v>985</v>
      </c>
      <c r="G1890" t="s">
        <v>986</v>
      </c>
      <c r="H1890" t="str">
        <f t="shared" si="58"/>
        <v>Country1048Seguin</v>
      </c>
      <c r="I1890" t="str">
        <f t="shared" si="59"/>
        <v>Country</v>
      </c>
      <c r="J1890" s="82">
        <f>IFERROR(INDEX('All Folders'!$A:$A,MATCH(H1890,'All Folders'!$G:$G,0),1),"¶")</f>
        <v>757</v>
      </c>
      <c r="K1890" s="87"/>
      <c r="L1890" s="87"/>
    </row>
    <row r="1891" spans="1:12" x14ac:dyDescent="0.3">
      <c r="A1891" t="s">
        <v>21864</v>
      </c>
      <c r="B1891" t="s">
        <v>19225</v>
      </c>
      <c r="C1891" t="s">
        <v>19226</v>
      </c>
      <c r="D1891" t="s">
        <v>18334</v>
      </c>
      <c r="E1891">
        <v>1230</v>
      </c>
      <c r="F1891" t="s">
        <v>19227</v>
      </c>
      <c r="G1891" t="s">
        <v>986</v>
      </c>
      <c r="H1891" t="str">
        <f t="shared" si="58"/>
        <v>Walnut1230Seguin</v>
      </c>
      <c r="I1891" t="str">
        <f t="shared" si="59"/>
        <v>Walnut</v>
      </c>
      <c r="J1891" s="82">
        <f>IFERROR(INDEX('All Folders'!$A:$A,MATCH(H1891,'All Folders'!$G:$G,0),1),"¶")</f>
        <v>1028</v>
      </c>
      <c r="K1891" s="87"/>
      <c r="L1891" s="87"/>
    </row>
    <row r="1892" spans="1:12" x14ac:dyDescent="0.3">
      <c r="A1892" t="s">
        <v>21865</v>
      </c>
      <c r="B1892" t="s">
        <v>19228</v>
      </c>
      <c r="C1892" t="s">
        <v>19229</v>
      </c>
      <c r="D1892" t="s">
        <v>19230</v>
      </c>
      <c r="E1892">
        <v>1200</v>
      </c>
      <c r="F1892" t="s">
        <v>12412</v>
      </c>
      <c r="G1892" t="s">
        <v>3174</v>
      </c>
      <c r="H1892" t="str">
        <f t="shared" si="58"/>
        <v>Taylor1200Sherman</v>
      </c>
      <c r="I1892" t="str">
        <f t="shared" si="59"/>
        <v>Taylor</v>
      </c>
      <c r="J1892" s="82">
        <f>IFERROR(INDEX('All Folders'!$A:$A,MATCH(H1892,'All Folders'!$G:$G,0),1),"¶")</f>
        <v>30748</v>
      </c>
      <c r="K1892" s="87"/>
      <c r="L1892" s="87"/>
    </row>
    <row r="1893" spans="1:12" x14ac:dyDescent="0.3">
      <c r="A1893" t="s">
        <v>21866</v>
      </c>
      <c r="B1893" t="s">
        <v>19231</v>
      </c>
      <c r="C1893" t="s">
        <v>19232</v>
      </c>
      <c r="D1893" t="s">
        <v>19233</v>
      </c>
      <c r="E1893">
        <v>1600</v>
      </c>
      <c r="F1893" t="s">
        <v>19234</v>
      </c>
      <c r="G1893" t="s">
        <v>3174</v>
      </c>
      <c r="H1893" t="str">
        <f t="shared" si="58"/>
        <v>LaSalle1600Sherman</v>
      </c>
      <c r="I1893" t="str">
        <f t="shared" si="59"/>
        <v>LaSalle</v>
      </c>
      <c r="J1893" s="82">
        <f>IFERROR(INDEX('All Folders'!$A:$A,MATCH(H1893,'All Folders'!$G:$G,0),1),"¶")</f>
        <v>30741</v>
      </c>
      <c r="K1893" s="87"/>
      <c r="L1893" s="87"/>
    </row>
    <row r="1894" spans="1:12" x14ac:dyDescent="0.3">
      <c r="A1894" t="s">
        <v>21867</v>
      </c>
      <c r="B1894" t="s">
        <v>19235</v>
      </c>
      <c r="C1894" t="s">
        <v>19236</v>
      </c>
      <c r="D1894" t="s">
        <v>19230</v>
      </c>
      <c r="E1894">
        <v>1925</v>
      </c>
      <c r="F1894" t="s">
        <v>12408</v>
      </c>
      <c r="G1894" t="s">
        <v>3174</v>
      </c>
      <c r="H1894" t="str">
        <f t="shared" si="58"/>
        <v>Taylor1925Sherman</v>
      </c>
      <c r="I1894" t="str">
        <f t="shared" si="59"/>
        <v>Taylor</v>
      </c>
      <c r="J1894" s="82">
        <f>IFERROR(INDEX('All Folders'!$A:$A,MATCH(H1894,'All Folders'!$G:$G,0),1),"¶")</f>
        <v>30746</v>
      </c>
      <c r="K1894" s="87"/>
      <c r="L1894" s="87"/>
    </row>
    <row r="1895" spans="1:12" x14ac:dyDescent="0.3">
      <c r="A1895" t="s">
        <v>21868</v>
      </c>
      <c r="B1895" t="s">
        <v>19237</v>
      </c>
      <c r="C1895" t="s">
        <v>19238</v>
      </c>
      <c r="D1895" t="s">
        <v>19239</v>
      </c>
      <c r="E1895">
        <v>3013</v>
      </c>
      <c r="F1895" t="s">
        <v>12405</v>
      </c>
      <c r="G1895" t="s">
        <v>3174</v>
      </c>
      <c r="H1895" t="str">
        <f t="shared" si="58"/>
        <v>Northridge3013Sherman</v>
      </c>
      <c r="I1895" t="str">
        <f t="shared" si="59"/>
        <v>Northridge</v>
      </c>
      <c r="J1895" s="82">
        <f>IFERROR(INDEX('All Folders'!$A:$A,MATCH(H1895,'All Folders'!$G:$G,0),1),"¶")</f>
        <v>30744</v>
      </c>
      <c r="K1895" s="87"/>
      <c r="L1895" s="87"/>
    </row>
    <row r="1896" spans="1:12" x14ac:dyDescent="0.3">
      <c r="A1896" t="s">
        <v>21869</v>
      </c>
      <c r="B1896" t="s">
        <v>19240</v>
      </c>
      <c r="C1896" t="s">
        <v>19241</v>
      </c>
      <c r="D1896" t="s">
        <v>19242</v>
      </c>
      <c r="E1896">
        <v>3301</v>
      </c>
      <c r="F1896" t="s">
        <v>19243</v>
      </c>
      <c r="G1896" t="s">
        <v>3174</v>
      </c>
      <c r="H1896" t="str">
        <f t="shared" si="58"/>
        <v>14173301Sherman</v>
      </c>
      <c r="I1896" t="str">
        <f t="shared" si="59"/>
        <v>1417</v>
      </c>
      <c r="J1896" s="82">
        <f>IFERROR(INDEX('All Folders'!$A:$A,MATCH(H1896,'All Folders'!$G:$G,0),1),"¶")</f>
        <v>30742</v>
      </c>
      <c r="K1896" s="87"/>
      <c r="L1896" s="87"/>
    </row>
    <row r="1897" spans="1:12" x14ac:dyDescent="0.3">
      <c r="A1897" t="s">
        <v>21870</v>
      </c>
      <c r="B1897" t="s">
        <v>19244</v>
      </c>
      <c r="C1897" t="s">
        <v>19245</v>
      </c>
      <c r="D1897" t="s">
        <v>19246</v>
      </c>
      <c r="E1897">
        <v>915</v>
      </c>
      <c r="F1897" t="s">
        <v>19247</v>
      </c>
      <c r="G1897" t="s">
        <v>3174</v>
      </c>
      <c r="H1897" t="str">
        <f t="shared" si="58"/>
        <v>Travis915Sherman</v>
      </c>
      <c r="I1897" t="str">
        <f t="shared" si="59"/>
        <v>Travis</v>
      </c>
      <c r="J1897" s="82">
        <f>IFERROR(INDEX('All Folders'!$A:$A,MATCH(H1897,'All Folders'!$G:$G,0),1),"¶")</f>
        <v>30747</v>
      </c>
      <c r="K1897" s="87"/>
      <c r="L1897" s="87"/>
    </row>
    <row r="1898" spans="1:12" x14ac:dyDescent="0.3">
      <c r="A1898" t="s">
        <v>21871</v>
      </c>
      <c r="B1898" t="s">
        <v>19248</v>
      </c>
      <c r="C1898" t="s">
        <v>19249</v>
      </c>
      <c r="D1898" t="s">
        <v>12406</v>
      </c>
      <c r="E1898">
        <v>3114</v>
      </c>
      <c r="F1898" t="s">
        <v>19250</v>
      </c>
      <c r="G1898" t="s">
        <v>3174</v>
      </c>
      <c r="H1898" t="str">
        <f t="shared" si="58"/>
        <v>Rex3114Sherman</v>
      </c>
      <c r="I1898" t="str">
        <f t="shared" si="59"/>
        <v>Rex</v>
      </c>
      <c r="J1898" s="82">
        <f>IFERROR(INDEX('All Folders'!$A:$A,MATCH(H1898,'All Folders'!$G:$G,0),1),"¶")</f>
        <v>30745</v>
      </c>
      <c r="K1898" s="87"/>
      <c r="L1898" s="87"/>
    </row>
    <row r="1899" spans="1:12" x14ac:dyDescent="0.3">
      <c r="A1899" t="s">
        <v>21872</v>
      </c>
      <c r="B1899" t="s">
        <v>19251</v>
      </c>
      <c r="C1899" t="s">
        <v>19252</v>
      </c>
      <c r="D1899" t="s">
        <v>19253</v>
      </c>
      <c r="E1899">
        <v>1800</v>
      </c>
      <c r="F1899" t="s">
        <v>19254</v>
      </c>
      <c r="G1899" t="s">
        <v>3174</v>
      </c>
      <c r="H1899" t="str">
        <f t="shared" si="58"/>
        <v>Washington1800Sherman</v>
      </c>
      <c r="I1899" t="str">
        <f t="shared" si="59"/>
        <v>Washington</v>
      </c>
      <c r="J1899" s="82">
        <f>IFERROR(INDEX('All Folders'!$A:$A,MATCH(H1899,'All Folders'!$G:$G,0),1),"¶")</f>
        <v>30750</v>
      </c>
      <c r="K1899" s="87"/>
      <c r="L1899" s="87"/>
    </row>
    <row r="1900" spans="1:12" x14ac:dyDescent="0.3">
      <c r="A1900" t="s">
        <v>21874</v>
      </c>
      <c r="B1900" t="s">
        <v>19259</v>
      </c>
      <c r="C1900" t="s">
        <v>19260</v>
      </c>
      <c r="D1900" t="s">
        <v>19261</v>
      </c>
      <c r="E1900">
        <v>25650</v>
      </c>
      <c r="F1900" t="s">
        <v>4698</v>
      </c>
      <c r="G1900" t="s">
        <v>1671</v>
      </c>
      <c r="H1900" t="str">
        <f t="shared" si="58"/>
        <v>4525650Spring</v>
      </c>
      <c r="I1900" t="str">
        <f t="shared" si="59"/>
        <v>45</v>
      </c>
      <c r="J1900" s="82">
        <f>IFERROR(INDEX('All Folders'!$A:$A,MATCH(H1900,'All Folders'!$G:$G,0),1),"¶")</f>
        <v>4337</v>
      </c>
      <c r="K1900" s="87"/>
      <c r="L1900" s="87"/>
    </row>
    <row r="1901" spans="1:12" x14ac:dyDescent="0.3">
      <c r="A1901" t="s">
        <v>21875</v>
      </c>
      <c r="B1901" t="s">
        <v>19262</v>
      </c>
      <c r="C1901" t="s">
        <v>19263</v>
      </c>
      <c r="D1901" t="s">
        <v>19264</v>
      </c>
      <c r="E1901">
        <v>7203</v>
      </c>
      <c r="F1901" t="s">
        <v>19265</v>
      </c>
      <c r="G1901" t="s">
        <v>1671</v>
      </c>
      <c r="H1901" t="str">
        <f t="shared" si="58"/>
        <v>Oakwood7203Spring</v>
      </c>
      <c r="I1901" t="str">
        <f t="shared" si="59"/>
        <v>Oakwood</v>
      </c>
      <c r="J1901" s="82">
        <f>IFERROR(INDEX('All Folders'!$A:$A,MATCH(H1901,'All Folders'!$G:$G,0),1),"¶")</f>
        <v>1257</v>
      </c>
      <c r="K1901" s="87"/>
      <c r="L1901" s="87"/>
    </row>
    <row r="1902" spans="1:12" x14ac:dyDescent="0.3">
      <c r="A1902" t="s">
        <v>21876</v>
      </c>
      <c r="B1902" t="s">
        <v>19266</v>
      </c>
      <c r="C1902" t="s">
        <v>19267</v>
      </c>
      <c r="D1902" t="s">
        <v>19268</v>
      </c>
      <c r="E1902">
        <v>25335</v>
      </c>
      <c r="F1902" t="s">
        <v>19269</v>
      </c>
      <c r="G1902" t="s">
        <v>1671</v>
      </c>
      <c r="H1902" t="str">
        <f t="shared" si="58"/>
        <v>Budde25335Spring</v>
      </c>
      <c r="I1902" t="str">
        <f t="shared" si="59"/>
        <v>Budde</v>
      </c>
      <c r="J1902" s="82">
        <f>IFERROR(INDEX('All Folders'!$A:$A,MATCH(H1902,'All Folders'!$G:$G,0),1),"¶")</f>
        <v>4385</v>
      </c>
      <c r="K1902" s="87"/>
      <c r="L1902" s="87"/>
    </row>
    <row r="1903" spans="1:12" x14ac:dyDescent="0.3">
      <c r="A1903" t="s">
        <v>21877</v>
      </c>
      <c r="B1903" t="s">
        <v>19270</v>
      </c>
      <c r="C1903" t="s">
        <v>19271</v>
      </c>
      <c r="D1903" t="s">
        <v>19272</v>
      </c>
      <c r="E1903">
        <v>1475</v>
      </c>
      <c r="F1903" t="s">
        <v>19273</v>
      </c>
      <c r="G1903" t="s">
        <v>1671</v>
      </c>
      <c r="H1903" t="str">
        <f t="shared" si="58"/>
        <v>Sawdust1475Spring</v>
      </c>
      <c r="I1903" t="str">
        <f t="shared" si="59"/>
        <v>Sawdust</v>
      </c>
      <c r="J1903" s="82">
        <f>IFERROR(INDEX('All Folders'!$A:$A,MATCH(H1903,'All Folders'!$G:$G,0),1),"¶")</f>
        <v>4463</v>
      </c>
      <c r="K1903" s="87"/>
      <c r="L1903" s="87"/>
    </row>
    <row r="1904" spans="1:12" x14ac:dyDescent="0.3">
      <c r="A1904" t="s">
        <v>21878</v>
      </c>
      <c r="B1904" t="s">
        <v>19274</v>
      </c>
      <c r="C1904" t="s">
        <v>19275</v>
      </c>
      <c r="D1904" t="s">
        <v>19276</v>
      </c>
      <c r="E1904">
        <v>12660</v>
      </c>
      <c r="F1904" t="s">
        <v>19277</v>
      </c>
      <c r="G1904" t="s">
        <v>3428</v>
      </c>
      <c r="H1904" t="str">
        <f t="shared" si="58"/>
        <v>Stafford12660Stafford</v>
      </c>
      <c r="I1904" t="str">
        <f t="shared" si="59"/>
        <v>Stafford</v>
      </c>
      <c r="J1904" s="82">
        <f>IFERROR(INDEX('All Folders'!$A:$A,MATCH(H1904,'All Folders'!$G:$G,0),1),"¶")</f>
        <v>16996</v>
      </c>
      <c r="K1904" s="87"/>
      <c r="L1904" s="87"/>
    </row>
    <row r="1905" spans="1:12" x14ac:dyDescent="0.3">
      <c r="A1905" t="s">
        <v>21879</v>
      </c>
      <c r="B1905" t="s">
        <v>19278</v>
      </c>
      <c r="C1905" t="s">
        <v>19279</v>
      </c>
      <c r="D1905" t="s">
        <v>19280</v>
      </c>
      <c r="E1905">
        <v>1025</v>
      </c>
      <c r="F1905" t="s">
        <v>8444</v>
      </c>
      <c r="G1905" t="s">
        <v>3428</v>
      </c>
      <c r="H1905" t="str">
        <f t="shared" si="58"/>
        <v>Dulles1025Stafford</v>
      </c>
      <c r="I1905" t="str">
        <f t="shared" si="59"/>
        <v>Dulles</v>
      </c>
      <c r="J1905" s="82">
        <f>IFERROR(INDEX('All Folders'!$A:$A,MATCH(H1905,'All Folders'!$G:$G,0),1),"¶")</f>
        <v>15961</v>
      </c>
      <c r="K1905" s="87"/>
      <c r="L1905" s="87"/>
    </row>
    <row r="1906" spans="1:12" x14ac:dyDescent="0.3">
      <c r="A1906" t="s">
        <v>21880</v>
      </c>
      <c r="B1906" t="s">
        <v>19281</v>
      </c>
      <c r="C1906" t="s">
        <v>19282</v>
      </c>
      <c r="D1906" t="s">
        <v>19283</v>
      </c>
      <c r="E1906">
        <v>1020</v>
      </c>
      <c r="F1906" t="s">
        <v>9178</v>
      </c>
      <c r="G1906" t="s">
        <v>3428</v>
      </c>
      <c r="H1906" t="str">
        <f t="shared" si="58"/>
        <v>Brand1020Stafford</v>
      </c>
      <c r="I1906" t="str">
        <f t="shared" si="59"/>
        <v>Brand</v>
      </c>
      <c r="J1906" s="82">
        <f>IFERROR(INDEX('All Folders'!$A:$A,MATCH(H1906,'All Folders'!$G:$G,0),1),"¶")</f>
        <v>16839</v>
      </c>
      <c r="K1906" s="87"/>
      <c r="L1906" s="87"/>
    </row>
    <row r="1907" spans="1:12" x14ac:dyDescent="0.3">
      <c r="A1907" t="s">
        <v>21881</v>
      </c>
      <c r="B1907" t="s">
        <v>19284</v>
      </c>
      <c r="C1907" t="s">
        <v>19285</v>
      </c>
      <c r="D1907" t="s">
        <v>19280</v>
      </c>
      <c r="E1907">
        <v>735</v>
      </c>
      <c r="F1907" t="s">
        <v>4529</v>
      </c>
      <c r="G1907" t="s">
        <v>3428</v>
      </c>
      <c r="H1907" t="str">
        <f t="shared" si="58"/>
        <v>Dulles735Stafford</v>
      </c>
      <c r="I1907" t="str">
        <f t="shared" si="59"/>
        <v>Dulles</v>
      </c>
      <c r="J1907" s="82">
        <f>IFERROR(INDEX('All Folders'!$A:$A,MATCH(H1907,'All Folders'!$G:$G,0),1),"¶")</f>
        <v>4219</v>
      </c>
      <c r="K1907" s="87"/>
      <c r="L1907" s="87"/>
    </row>
    <row r="1908" spans="1:12" x14ac:dyDescent="0.3">
      <c r="A1908" t="s">
        <v>21882</v>
      </c>
      <c r="B1908" t="s">
        <v>19286</v>
      </c>
      <c r="C1908" t="s">
        <v>19287</v>
      </c>
      <c r="D1908" t="s">
        <v>19288</v>
      </c>
      <c r="E1908">
        <v>100</v>
      </c>
      <c r="F1908" t="s">
        <v>19289</v>
      </c>
      <c r="G1908" t="s">
        <v>8395</v>
      </c>
      <c r="H1908" t="str">
        <f t="shared" si="58"/>
        <v>Bluebonnet100Stephenville</v>
      </c>
      <c r="I1908" t="str">
        <f t="shared" si="59"/>
        <v>Bluebonnet</v>
      </c>
      <c r="J1908" s="82">
        <f>IFERROR(INDEX('All Folders'!$A:$A,MATCH(H1908,'All Folders'!$G:$G,0),1),"¶")</f>
        <v>30238</v>
      </c>
      <c r="K1908" s="87"/>
      <c r="L1908" s="87"/>
    </row>
    <row r="1909" spans="1:12" x14ac:dyDescent="0.3">
      <c r="A1909" t="s">
        <v>21883</v>
      </c>
      <c r="B1909" t="s">
        <v>19290</v>
      </c>
      <c r="C1909" t="s">
        <v>19291</v>
      </c>
      <c r="D1909" t="s">
        <v>19292</v>
      </c>
      <c r="E1909">
        <v>1380</v>
      </c>
      <c r="F1909" t="s">
        <v>19293</v>
      </c>
      <c r="G1909" t="s">
        <v>8395</v>
      </c>
      <c r="H1909" t="str">
        <f t="shared" si="58"/>
        <v>Long1380Stephenville</v>
      </c>
      <c r="I1909" t="str">
        <f t="shared" si="59"/>
        <v>Long</v>
      </c>
      <c r="J1909" s="82" t="str">
        <f>IFERROR(INDEX('All Folders'!$A:$A,MATCH(H1909,'All Folders'!$G:$G,0),1),"¶")</f>
        <v>SP206</v>
      </c>
      <c r="K1909" s="87"/>
      <c r="L1909" s="87"/>
    </row>
    <row r="1910" spans="1:12" x14ac:dyDescent="0.3">
      <c r="A1910" t="s">
        <v>21884</v>
      </c>
      <c r="B1910" t="s">
        <v>19294</v>
      </c>
      <c r="C1910" t="s">
        <v>19295</v>
      </c>
      <c r="D1910" t="s">
        <v>19296</v>
      </c>
      <c r="E1910">
        <v>1650</v>
      </c>
      <c r="F1910" t="s">
        <v>8408</v>
      </c>
      <c r="G1910" t="s">
        <v>8395</v>
      </c>
      <c r="H1910" t="str">
        <f t="shared" si="58"/>
        <v>Lingleville1650Stephenville</v>
      </c>
      <c r="I1910" t="str">
        <f t="shared" si="59"/>
        <v>Lingleville</v>
      </c>
      <c r="J1910" s="82">
        <f>IFERROR(INDEX('All Folders'!$A:$A,MATCH(H1910,'All Folders'!$G:$G,0),1),"¶")</f>
        <v>15929</v>
      </c>
      <c r="K1910" s="87"/>
      <c r="L1910" s="87"/>
    </row>
    <row r="1911" spans="1:12" x14ac:dyDescent="0.3">
      <c r="A1911" t="s">
        <v>21886</v>
      </c>
      <c r="B1911" t="s">
        <v>19300</v>
      </c>
      <c r="C1911" t="s">
        <v>19301</v>
      </c>
      <c r="D1911" t="s">
        <v>19302</v>
      </c>
      <c r="E1911">
        <v>1400</v>
      </c>
      <c r="F1911" t="s">
        <v>19303</v>
      </c>
      <c r="G1911" t="s">
        <v>8395</v>
      </c>
      <c r="H1911" t="str">
        <f t="shared" si="58"/>
        <v>Swan1400Stephenville</v>
      </c>
      <c r="I1911" t="str">
        <f t="shared" si="59"/>
        <v>Swan</v>
      </c>
      <c r="J1911" s="82">
        <f>IFERROR(INDEX('All Folders'!$A:$A,MATCH(H1911,'All Folders'!$G:$G,0),1),"¶")</f>
        <v>30239</v>
      </c>
      <c r="K1911" s="87"/>
      <c r="L1911" s="87"/>
    </row>
    <row r="1912" spans="1:12" x14ac:dyDescent="0.3">
      <c r="A1912" t="s">
        <v>21887</v>
      </c>
      <c r="B1912" t="s">
        <v>19304</v>
      </c>
      <c r="C1912" t="s">
        <v>19305</v>
      </c>
      <c r="D1912" t="s">
        <v>19306</v>
      </c>
      <c r="E1912">
        <v>139</v>
      </c>
      <c r="F1912" t="s">
        <v>12766</v>
      </c>
      <c r="G1912" t="s">
        <v>8395</v>
      </c>
      <c r="H1912" t="str">
        <f t="shared" si="58"/>
        <v>Ben139Stephenville</v>
      </c>
      <c r="I1912" t="str">
        <f t="shared" si="59"/>
        <v>Ben</v>
      </c>
      <c r="J1912" s="82" t="str">
        <f>IFERROR(INDEX('All Folders'!$A:$A,MATCH(H1912,'All Folders'!$G:$G,0),1),"¶")</f>
        <v>SP205</v>
      </c>
      <c r="K1912" s="87"/>
      <c r="L1912" s="87"/>
    </row>
    <row r="1913" spans="1:12" x14ac:dyDescent="0.3">
      <c r="A1913" t="s">
        <v>21888</v>
      </c>
      <c r="B1913" t="s">
        <v>19307</v>
      </c>
      <c r="C1913" t="s">
        <v>19308</v>
      </c>
      <c r="D1913" t="s">
        <v>19309</v>
      </c>
      <c r="E1913">
        <v>805</v>
      </c>
      <c r="F1913" t="s">
        <v>7535</v>
      </c>
      <c r="G1913" t="s">
        <v>8395</v>
      </c>
      <c r="H1913" t="str">
        <f t="shared" si="58"/>
        <v>Lilian805Stephenville</v>
      </c>
      <c r="I1913" t="str">
        <f t="shared" si="59"/>
        <v>Lilian</v>
      </c>
      <c r="J1913" s="82">
        <f>IFERROR(INDEX('All Folders'!$A:$A,MATCH(H1913,'All Folders'!$G:$G,0),1),"¶")</f>
        <v>30237</v>
      </c>
      <c r="K1913" s="87"/>
      <c r="L1913" s="87"/>
    </row>
    <row r="1914" spans="1:12" x14ac:dyDescent="0.3">
      <c r="A1914" t="s">
        <v>21889</v>
      </c>
      <c r="B1914" t="s">
        <v>19310</v>
      </c>
      <c r="C1914" t="s">
        <v>19311</v>
      </c>
      <c r="D1914" t="s">
        <v>19312</v>
      </c>
      <c r="E1914">
        <v>12100</v>
      </c>
      <c r="F1914" t="s">
        <v>16206</v>
      </c>
      <c r="G1914" t="s">
        <v>4484</v>
      </c>
      <c r="H1914" t="str">
        <f t="shared" si="58"/>
        <v>612100Sugar Land</v>
      </c>
      <c r="I1914" t="str">
        <f t="shared" si="59"/>
        <v>6</v>
      </c>
      <c r="J1914" s="82">
        <f>IFERROR(INDEX('All Folders'!$A:$A,MATCH(H1914,'All Folders'!$G:$G,0),1),"¶")</f>
        <v>4221</v>
      </c>
      <c r="K1914" s="87"/>
      <c r="L1914" s="87"/>
    </row>
    <row r="1915" spans="1:12" x14ac:dyDescent="0.3">
      <c r="A1915" t="s">
        <v>21890</v>
      </c>
      <c r="B1915" t="s">
        <v>19313</v>
      </c>
      <c r="C1915" t="s">
        <v>19314</v>
      </c>
      <c r="D1915" t="s">
        <v>19315</v>
      </c>
      <c r="E1915">
        <v>15270</v>
      </c>
      <c r="F1915" t="s">
        <v>19316</v>
      </c>
      <c r="G1915" t="s">
        <v>4484</v>
      </c>
      <c r="H1915" t="str">
        <f t="shared" si="58"/>
        <v>Voss15270Sugar Land</v>
      </c>
      <c r="I1915" t="str">
        <f t="shared" si="59"/>
        <v>Voss</v>
      </c>
      <c r="J1915" s="82">
        <f>IFERROR(INDEX('All Folders'!$A:$A,MATCH(H1915,'All Folders'!$G:$G,0),1),"¶")</f>
        <v>16487</v>
      </c>
      <c r="K1915" s="87"/>
      <c r="L1915" s="87"/>
    </row>
    <row r="1916" spans="1:12" x14ac:dyDescent="0.3">
      <c r="A1916" t="s">
        <v>21891</v>
      </c>
      <c r="B1916" t="s">
        <v>19317</v>
      </c>
      <c r="C1916" t="s">
        <v>19318</v>
      </c>
      <c r="D1916" t="s">
        <v>17154</v>
      </c>
      <c r="E1916">
        <v>15015</v>
      </c>
      <c r="F1916" t="s">
        <v>19319</v>
      </c>
      <c r="G1916" t="s">
        <v>4484</v>
      </c>
      <c r="H1916" t="str">
        <f t="shared" si="58"/>
        <v>Airport15015Sugar Land</v>
      </c>
      <c r="I1916" t="str">
        <f t="shared" si="59"/>
        <v>Airport</v>
      </c>
      <c r="J1916" s="82">
        <f>IFERROR(INDEX('All Folders'!$A:$A,MATCH(H1916,'All Folders'!$G:$G,0),1),"¶")</f>
        <v>4475</v>
      </c>
      <c r="K1916" s="87"/>
      <c r="L1916" s="87"/>
    </row>
    <row r="1917" spans="1:12" x14ac:dyDescent="0.3">
      <c r="A1917" t="s">
        <v>21892</v>
      </c>
      <c r="B1917" t="s">
        <v>19320</v>
      </c>
      <c r="C1917" t="s">
        <v>19321</v>
      </c>
      <c r="D1917" t="s">
        <v>19322</v>
      </c>
      <c r="E1917">
        <v>14402</v>
      </c>
      <c r="F1917" t="s">
        <v>10497</v>
      </c>
      <c r="G1917" t="s">
        <v>4484</v>
      </c>
      <c r="H1917" t="str">
        <f t="shared" si="58"/>
        <v>Bellfort14402Sugar Land</v>
      </c>
      <c r="I1917" t="str">
        <f t="shared" si="59"/>
        <v>Bellfort</v>
      </c>
      <c r="J1917" s="82">
        <f>IFERROR(INDEX('All Folders'!$A:$A,MATCH(H1917,'All Folders'!$G:$G,0),1),"¶")</f>
        <v>18154</v>
      </c>
      <c r="K1917" s="87"/>
      <c r="L1917" s="87"/>
    </row>
    <row r="1918" spans="1:12" x14ac:dyDescent="0.3">
      <c r="A1918" t="s">
        <v>21893</v>
      </c>
      <c r="B1918" t="s">
        <v>19323</v>
      </c>
      <c r="C1918" t="s">
        <v>19324</v>
      </c>
      <c r="D1918" t="s">
        <v>19325</v>
      </c>
      <c r="E1918">
        <v>311</v>
      </c>
      <c r="F1918" t="s">
        <v>6127</v>
      </c>
      <c r="G1918" t="s">
        <v>11718</v>
      </c>
      <c r="H1918" t="str">
        <f t="shared" si="58"/>
        <v>Helm311Sulphur Springs</v>
      </c>
      <c r="I1918" t="str">
        <f t="shared" si="59"/>
        <v>Helm</v>
      </c>
      <c r="J1918" s="82">
        <f>IFERROR(INDEX('All Folders'!$A:$A,MATCH(H1918,'All Folders'!$G:$G,0),1),"¶")</f>
        <v>30273</v>
      </c>
      <c r="K1918" s="87"/>
      <c r="L1918" s="87"/>
    </row>
    <row r="1919" spans="1:12" x14ac:dyDescent="0.3">
      <c r="A1919" t="s">
        <v>21894</v>
      </c>
      <c r="B1919" t="s">
        <v>19326</v>
      </c>
      <c r="C1919" t="s">
        <v>19327</v>
      </c>
      <c r="D1919" t="s">
        <v>19325</v>
      </c>
      <c r="E1919">
        <v>309</v>
      </c>
      <c r="F1919" t="s">
        <v>19328</v>
      </c>
      <c r="G1919" t="s">
        <v>11718</v>
      </c>
      <c r="H1919" t="str">
        <f t="shared" si="58"/>
        <v>Helm309Sulphur Springs</v>
      </c>
      <c r="I1919" t="str">
        <f t="shared" si="59"/>
        <v>Helm</v>
      </c>
      <c r="J1919" s="82">
        <f>IFERROR(INDEX('All Folders'!$A:$A,MATCH(H1919,'All Folders'!$G:$G,0),1),"¶")</f>
        <v>30274</v>
      </c>
      <c r="K1919" s="87"/>
      <c r="L1919" s="87"/>
    </row>
    <row r="1920" spans="1:12" x14ac:dyDescent="0.3">
      <c r="A1920" t="s">
        <v>21895</v>
      </c>
      <c r="B1920" t="s">
        <v>19329</v>
      </c>
      <c r="C1920" t="s">
        <v>19330</v>
      </c>
      <c r="D1920" t="s">
        <v>19331</v>
      </c>
      <c r="E1920">
        <v>1000</v>
      </c>
      <c r="F1920" t="s">
        <v>4391</v>
      </c>
      <c r="G1920" t="s">
        <v>4392</v>
      </c>
      <c r="H1920" t="str">
        <f t="shared" si="58"/>
        <v>Ashley1000Sweeny</v>
      </c>
      <c r="I1920" t="str">
        <f t="shared" si="59"/>
        <v>Ashley</v>
      </c>
      <c r="J1920" s="82">
        <f>IFERROR(INDEX('All Folders'!$A:$A,MATCH(H1920,'All Folders'!$G:$G,0),1),"¶")</f>
        <v>4120</v>
      </c>
      <c r="K1920" s="87"/>
      <c r="L1920" s="87"/>
    </row>
    <row r="1921" spans="1:12" x14ac:dyDescent="0.3">
      <c r="A1921" t="s">
        <v>21896</v>
      </c>
      <c r="B1921" t="s">
        <v>19332</v>
      </c>
      <c r="C1921" t="s">
        <v>19333</v>
      </c>
      <c r="D1921" t="s">
        <v>19334</v>
      </c>
      <c r="E1921">
        <v>3501</v>
      </c>
      <c r="F1921" t="s">
        <v>616</v>
      </c>
      <c r="G1921" t="s">
        <v>12442</v>
      </c>
      <c r="H1921" t="str">
        <f t="shared" si="58"/>
        <v>Waters3501Tampa</v>
      </c>
      <c r="I1921" t="str">
        <f t="shared" si="59"/>
        <v>Waters</v>
      </c>
      <c r="J1921" s="82">
        <f>IFERROR(INDEX('All Folders'!$A:$A,MATCH(H1921,'All Folders'!$G:$G,0),1),"¶")</f>
        <v>30760</v>
      </c>
      <c r="K1921" s="87"/>
      <c r="L1921" s="87"/>
    </row>
    <row r="1922" spans="1:12" x14ac:dyDescent="0.3">
      <c r="A1922" t="s">
        <v>21897</v>
      </c>
      <c r="B1922" t="s">
        <v>19335</v>
      </c>
      <c r="C1922" t="s">
        <v>19336</v>
      </c>
      <c r="D1922" t="s">
        <v>19337</v>
      </c>
      <c r="E1922">
        <v>13702</v>
      </c>
      <c r="F1922" t="s">
        <v>12441</v>
      </c>
      <c r="G1922" t="s">
        <v>12442</v>
      </c>
      <c r="H1922" t="str">
        <f t="shared" ref="H1922:H1985" si="60">I1922&amp;E1922&amp;G1922</f>
        <v>42nd13702Tampa</v>
      </c>
      <c r="I1922" t="str">
        <f t="shared" ref="I1922:I1985" si="61">IFERROR(LEFT(D1922,FIND(" ",D1922)-1),D1922)</f>
        <v>42nd</v>
      </c>
      <c r="J1922" s="82">
        <f>IFERROR(INDEX('All Folders'!$A:$A,MATCH(H1922,'All Folders'!$G:$G,0),1),"¶")</f>
        <v>30759</v>
      </c>
      <c r="K1922" s="87"/>
      <c r="L1922" s="87"/>
    </row>
    <row r="1923" spans="1:12" x14ac:dyDescent="0.3">
      <c r="A1923" t="s">
        <v>21898</v>
      </c>
      <c r="B1923" t="s">
        <v>19338</v>
      </c>
      <c r="C1923" t="s">
        <v>19339</v>
      </c>
      <c r="D1923" t="s">
        <v>19340</v>
      </c>
      <c r="E1923">
        <v>201</v>
      </c>
      <c r="F1923" t="s">
        <v>19341</v>
      </c>
      <c r="G1923" t="s">
        <v>10475</v>
      </c>
      <c r="H1923" t="str">
        <f t="shared" si="60"/>
        <v>Highland201Taylor</v>
      </c>
      <c r="I1923" t="str">
        <f t="shared" si="61"/>
        <v>Highland</v>
      </c>
      <c r="J1923" s="82">
        <f>IFERROR(INDEX('All Folders'!$A:$A,MATCH(H1923,'All Folders'!$G:$G,0),1),"¶")</f>
        <v>18135</v>
      </c>
      <c r="K1923" s="87"/>
      <c r="L1923" s="87"/>
    </row>
    <row r="1924" spans="1:12" x14ac:dyDescent="0.3">
      <c r="A1924" t="s">
        <v>21900</v>
      </c>
      <c r="B1924" t="s">
        <v>19346</v>
      </c>
      <c r="C1924" t="s">
        <v>19347</v>
      </c>
      <c r="D1924" t="s">
        <v>19348</v>
      </c>
      <c r="E1924">
        <v>3320</v>
      </c>
      <c r="F1924" t="s">
        <v>11811</v>
      </c>
      <c r="G1924" t="s">
        <v>11802</v>
      </c>
      <c r="H1924" t="str">
        <f t="shared" si="60"/>
        <v>Thornton3320Temple</v>
      </c>
      <c r="I1924" t="str">
        <f t="shared" si="61"/>
        <v>Thornton</v>
      </c>
      <c r="J1924" s="82">
        <f>IFERROR(INDEX('All Folders'!$A:$A,MATCH(H1924,'All Folders'!$G:$G,0),1),"¶")</f>
        <v>30347</v>
      </c>
      <c r="K1924" s="87"/>
      <c r="L1924" s="87"/>
    </row>
    <row r="1925" spans="1:12" x14ac:dyDescent="0.3">
      <c r="A1925" t="s">
        <v>21901</v>
      </c>
      <c r="B1925" t="s">
        <v>19349</v>
      </c>
      <c r="C1925" t="s">
        <v>19350</v>
      </c>
      <c r="D1925" t="s">
        <v>19351</v>
      </c>
      <c r="E1925">
        <v>620</v>
      </c>
      <c r="F1925" t="s">
        <v>19352</v>
      </c>
      <c r="G1925" t="s">
        <v>11802</v>
      </c>
      <c r="H1925" t="str">
        <f t="shared" si="60"/>
        <v>Elm620Temple</v>
      </c>
      <c r="I1925" t="str">
        <f t="shared" si="61"/>
        <v>Elm</v>
      </c>
      <c r="J1925" s="82">
        <f>IFERROR(INDEX('All Folders'!$A:$A,MATCH(H1925,'All Folders'!$G:$G,0),1),"¶")</f>
        <v>30349</v>
      </c>
      <c r="K1925" s="87"/>
      <c r="L1925" s="87"/>
    </row>
    <row r="1926" spans="1:12" x14ac:dyDescent="0.3">
      <c r="A1926" t="s">
        <v>21902</v>
      </c>
      <c r="B1926" t="s">
        <v>19353</v>
      </c>
      <c r="C1926" t="s">
        <v>19354</v>
      </c>
      <c r="D1926" t="s">
        <v>19355</v>
      </c>
      <c r="E1926">
        <v>4102</v>
      </c>
      <c r="F1926" t="s">
        <v>8154</v>
      </c>
      <c r="G1926" t="s">
        <v>11802</v>
      </c>
      <c r="H1926" t="str">
        <f t="shared" si="60"/>
        <v>Adams4102Temple</v>
      </c>
      <c r="I1926" t="str">
        <f t="shared" si="61"/>
        <v>Adams</v>
      </c>
      <c r="J1926" s="82">
        <f>IFERROR(INDEX('All Folders'!$A:$A,MATCH(H1926,'All Folders'!$G:$G,0),1),"¶")</f>
        <v>30348</v>
      </c>
      <c r="K1926" s="87"/>
      <c r="L1926" s="87"/>
    </row>
    <row r="1927" spans="1:12" x14ac:dyDescent="0.3">
      <c r="A1927" t="s">
        <v>21903</v>
      </c>
      <c r="B1927" t="s">
        <v>19356</v>
      </c>
      <c r="C1927" t="s">
        <v>19357</v>
      </c>
      <c r="D1927" t="s">
        <v>19358</v>
      </c>
      <c r="E1927">
        <v>2602</v>
      </c>
      <c r="F1927" t="s">
        <v>11809</v>
      </c>
      <c r="G1927" t="s">
        <v>11802</v>
      </c>
      <c r="H1927" t="str">
        <f t="shared" si="60"/>
        <v>39th2602Temple</v>
      </c>
      <c r="I1927" t="str">
        <f t="shared" si="61"/>
        <v>39th</v>
      </c>
      <c r="J1927" s="82">
        <f>IFERROR(INDEX('All Folders'!$A:$A,MATCH(H1927,'All Folders'!$G:$G,0),1),"¶")</f>
        <v>30346</v>
      </c>
      <c r="K1927" s="87"/>
      <c r="L1927" s="87"/>
    </row>
    <row r="1928" spans="1:12" x14ac:dyDescent="0.3">
      <c r="A1928" t="s">
        <v>21904</v>
      </c>
      <c r="B1928" t="s">
        <v>19359</v>
      </c>
      <c r="C1928" t="s">
        <v>19360</v>
      </c>
      <c r="D1928" t="s">
        <v>19361</v>
      </c>
      <c r="E1928">
        <v>1810</v>
      </c>
      <c r="F1928" t="s">
        <v>15759</v>
      </c>
      <c r="G1928" t="s">
        <v>11802</v>
      </c>
      <c r="H1928" t="str">
        <f t="shared" si="60"/>
        <v>Marlandwood1810Temple</v>
      </c>
      <c r="I1928" t="str">
        <f t="shared" si="61"/>
        <v>Marlandwood</v>
      </c>
      <c r="J1928" s="82">
        <f>IFERROR(INDEX('All Folders'!$A:$A,MATCH(H1928,'All Folders'!$G:$G,0),1),"¶")</f>
        <v>30345</v>
      </c>
      <c r="K1928" s="87"/>
      <c r="L1928" s="87"/>
    </row>
    <row r="1929" spans="1:12" x14ac:dyDescent="0.3">
      <c r="A1929" t="s">
        <v>21905</v>
      </c>
      <c r="B1929" t="s">
        <v>19362</v>
      </c>
      <c r="C1929" t="s">
        <v>19363</v>
      </c>
      <c r="D1929" t="s">
        <v>19364</v>
      </c>
      <c r="E1929">
        <v>3007</v>
      </c>
      <c r="F1929" t="s">
        <v>17599</v>
      </c>
      <c r="G1929" t="s">
        <v>11802</v>
      </c>
      <c r="H1929" t="str">
        <f t="shared" si="60"/>
        <v>Antelope3007Temple</v>
      </c>
      <c r="I1929" t="str">
        <f t="shared" si="61"/>
        <v>Antelope</v>
      </c>
      <c r="J1929" s="82">
        <f>IFERROR(INDEX('All Folders'!$A:$A,MATCH(H1929,'All Folders'!$G:$G,0),1),"¶")</f>
        <v>30343</v>
      </c>
      <c r="K1929" s="87"/>
      <c r="L1929" s="87"/>
    </row>
    <row r="1930" spans="1:12" x14ac:dyDescent="0.3">
      <c r="A1930" t="s">
        <v>21906</v>
      </c>
      <c r="B1930" t="s">
        <v>19365</v>
      </c>
      <c r="C1930" t="s">
        <v>19366</v>
      </c>
      <c r="D1930" t="s">
        <v>19367</v>
      </c>
      <c r="E1930">
        <v>202</v>
      </c>
      <c r="F1930" t="s">
        <v>3278</v>
      </c>
      <c r="G1930" t="s">
        <v>11802</v>
      </c>
      <c r="H1930" t="str">
        <f t="shared" si="60"/>
        <v>Woodbridge202Temple</v>
      </c>
      <c r="I1930" t="str">
        <f t="shared" si="61"/>
        <v>Woodbridge</v>
      </c>
      <c r="J1930" s="82">
        <f>IFERROR(INDEX('All Folders'!$A:$A,MATCH(H1930,'All Folders'!$G:$G,0),1),"¶")</f>
        <v>30350</v>
      </c>
      <c r="K1930" s="87"/>
      <c r="L1930" s="87"/>
    </row>
    <row r="1931" spans="1:12" x14ac:dyDescent="0.3">
      <c r="A1931" t="s">
        <v>21907</v>
      </c>
      <c r="B1931" t="s">
        <v>19368</v>
      </c>
      <c r="C1931" t="s">
        <v>19369</v>
      </c>
      <c r="D1931" t="s">
        <v>19370</v>
      </c>
      <c r="E1931">
        <v>1805</v>
      </c>
      <c r="F1931" t="s">
        <v>19371</v>
      </c>
      <c r="G1931" t="s">
        <v>5638</v>
      </c>
      <c r="H1931" t="str">
        <f t="shared" si="60"/>
        <v>Frances1805Terrell</v>
      </c>
      <c r="I1931" t="str">
        <f t="shared" si="61"/>
        <v>Frances</v>
      </c>
      <c r="J1931" s="82" t="str">
        <f>IFERROR(INDEX('All Folders'!$A:$A,MATCH(H1931,'All Folders'!$G:$G,0),1),"¶")</f>
        <v>SP211</v>
      </c>
      <c r="K1931" s="87"/>
      <c r="L1931" s="87"/>
    </row>
    <row r="1932" spans="1:12" x14ac:dyDescent="0.3">
      <c r="A1932" t="s">
        <v>21908</v>
      </c>
      <c r="B1932" t="s">
        <v>19372</v>
      </c>
      <c r="C1932" t="s">
        <v>19373</v>
      </c>
      <c r="D1932" t="s">
        <v>19374</v>
      </c>
      <c r="E1932">
        <v>301</v>
      </c>
      <c r="F1932" t="s">
        <v>19375</v>
      </c>
      <c r="G1932" t="s">
        <v>5638</v>
      </c>
      <c r="H1932" t="str">
        <f t="shared" si="60"/>
        <v>Alamo301Terrell</v>
      </c>
      <c r="I1932" t="str">
        <f t="shared" si="61"/>
        <v>Alamo</v>
      </c>
      <c r="J1932" s="82" t="str">
        <f>IFERROR(INDEX('All Folders'!$A:$A,MATCH(H1932,'All Folders'!$G:$G,0),1),"¶")</f>
        <v>SP208</v>
      </c>
      <c r="K1932" s="87"/>
      <c r="L1932" s="87"/>
    </row>
    <row r="1933" spans="1:12" x14ac:dyDescent="0.3">
      <c r="A1933" t="s">
        <v>21909</v>
      </c>
      <c r="B1933" t="s">
        <v>19376</v>
      </c>
      <c r="C1933" t="s">
        <v>19377</v>
      </c>
      <c r="D1933" t="s">
        <v>19378</v>
      </c>
      <c r="E1933">
        <v>409</v>
      </c>
      <c r="F1933" t="s">
        <v>19379</v>
      </c>
      <c r="G1933" t="s">
        <v>5638</v>
      </c>
      <c r="H1933" t="str">
        <f t="shared" si="60"/>
        <v>College409Terrell</v>
      </c>
      <c r="I1933" t="str">
        <f t="shared" si="61"/>
        <v>College</v>
      </c>
      <c r="J1933" s="82" t="str">
        <f>IFERROR(INDEX('All Folders'!$A:$A,MATCH(H1933,'All Folders'!$G:$G,0),1),"¶")</f>
        <v>SP210</v>
      </c>
      <c r="K1933" s="87"/>
      <c r="L1933" s="87"/>
    </row>
    <row r="1934" spans="1:12" x14ac:dyDescent="0.3">
      <c r="A1934" t="s">
        <v>21910</v>
      </c>
      <c r="B1934" t="s">
        <v>19380</v>
      </c>
      <c r="C1934" t="s">
        <v>19381</v>
      </c>
      <c r="D1934" t="s">
        <v>19382</v>
      </c>
      <c r="E1934">
        <v>904</v>
      </c>
      <c r="F1934" t="s">
        <v>19383</v>
      </c>
      <c r="G1934" t="s">
        <v>5638</v>
      </c>
      <c r="H1934" t="str">
        <f t="shared" si="60"/>
        <v>Frances904Terrell</v>
      </c>
      <c r="I1934" t="str">
        <f t="shared" si="61"/>
        <v>Frances</v>
      </c>
      <c r="J1934" s="82" t="str">
        <f>IFERROR(INDEX('All Folders'!$A:$A,MATCH(H1934,'All Folders'!$G:$G,0),1),"¶")</f>
        <v>SP212</v>
      </c>
      <c r="K1934" s="87"/>
      <c r="L1934" s="87"/>
    </row>
    <row r="1935" spans="1:12" x14ac:dyDescent="0.3">
      <c r="A1935" t="s">
        <v>21911</v>
      </c>
      <c r="B1935" t="s">
        <v>19384</v>
      </c>
      <c r="C1935" t="s">
        <v>19385</v>
      </c>
      <c r="D1935" t="s">
        <v>19386</v>
      </c>
      <c r="E1935">
        <v>301</v>
      </c>
      <c r="F1935" t="s">
        <v>19386</v>
      </c>
      <c r="G1935" t="s">
        <v>5638</v>
      </c>
      <c r="H1935" t="str">
        <f t="shared" si="60"/>
        <v>Brin301Terrell</v>
      </c>
      <c r="I1935" t="str">
        <f t="shared" si="61"/>
        <v>Brin</v>
      </c>
      <c r="J1935" s="82" t="str">
        <f>IFERROR(INDEX('All Folders'!$A:$A,MATCH(H1935,'All Folders'!$G:$G,0),1),"¶")</f>
        <v>SP209</v>
      </c>
      <c r="K1935" s="87"/>
      <c r="L1935" s="87"/>
    </row>
    <row r="1936" spans="1:12" x14ac:dyDescent="0.3">
      <c r="A1936" t="s">
        <v>21912</v>
      </c>
      <c r="B1936" t="s">
        <v>19387</v>
      </c>
      <c r="C1936" t="s">
        <v>19388</v>
      </c>
      <c r="D1936" t="s">
        <v>19389</v>
      </c>
      <c r="E1936">
        <v>1451</v>
      </c>
      <c r="F1936" t="s">
        <v>11670</v>
      </c>
      <c r="G1936" t="s">
        <v>5638</v>
      </c>
      <c r="H1936" t="str">
        <f t="shared" si="60"/>
        <v>Colquitt1451Terrell</v>
      </c>
      <c r="I1936" t="str">
        <f t="shared" si="61"/>
        <v>Colquitt</v>
      </c>
      <c r="J1936" s="82">
        <f>IFERROR(INDEX('All Folders'!$A:$A,MATCH(H1936,'All Folders'!$G:$G,0),1),"¶")</f>
        <v>30240</v>
      </c>
      <c r="K1936" s="87"/>
      <c r="L1936" s="87"/>
    </row>
    <row r="1937" spans="1:12" x14ac:dyDescent="0.3">
      <c r="A1937" t="s">
        <v>21914</v>
      </c>
      <c r="B1937" t="s">
        <v>19394</v>
      </c>
      <c r="C1937" t="s">
        <v>19395</v>
      </c>
      <c r="D1937" t="s">
        <v>19396</v>
      </c>
      <c r="E1937">
        <v>1300</v>
      </c>
      <c r="F1937" t="s">
        <v>19397</v>
      </c>
      <c r="G1937" t="s">
        <v>5638</v>
      </c>
      <c r="H1937" t="str">
        <f t="shared" si="60"/>
        <v>Adelaide1300Terrell</v>
      </c>
      <c r="I1937" t="str">
        <f t="shared" si="61"/>
        <v>Adelaide</v>
      </c>
      <c r="J1937" s="82">
        <f>IFERROR(INDEX('All Folders'!$A:$A,MATCH(H1937,'All Folders'!$G:$G,0),1),"¶")</f>
        <v>17238</v>
      </c>
      <c r="K1937" s="87"/>
      <c r="L1937" s="87"/>
    </row>
    <row r="1938" spans="1:12" x14ac:dyDescent="0.3">
      <c r="A1938" t="s">
        <v>21915</v>
      </c>
      <c r="B1938" t="s">
        <v>19398</v>
      </c>
      <c r="C1938" t="s">
        <v>19399</v>
      </c>
      <c r="D1938" t="s">
        <v>13165</v>
      </c>
      <c r="E1938">
        <v>200</v>
      </c>
      <c r="F1938" t="s">
        <v>19400</v>
      </c>
      <c r="G1938" t="s">
        <v>5638</v>
      </c>
      <c r="H1938" t="str">
        <f t="shared" si="60"/>
        <v>Lovers200Terrell</v>
      </c>
      <c r="I1938" t="str">
        <f t="shared" si="61"/>
        <v>Lovers</v>
      </c>
      <c r="J1938" s="82" t="str">
        <f>IFERROR(INDEX('All Folders'!$A:$A,MATCH(H1938,'All Folders'!$G:$G,0),1),"¶")</f>
        <v>SP213</v>
      </c>
      <c r="K1938" s="87"/>
      <c r="L1938" s="87"/>
    </row>
    <row r="1939" spans="1:12" x14ac:dyDescent="0.3">
      <c r="A1939" t="s">
        <v>21916</v>
      </c>
      <c r="B1939" t="s">
        <v>19401</v>
      </c>
      <c r="C1939" t="s">
        <v>19402</v>
      </c>
      <c r="D1939" t="s">
        <v>19403</v>
      </c>
      <c r="E1939">
        <v>2390</v>
      </c>
      <c r="F1939" t="s">
        <v>19404</v>
      </c>
      <c r="G1939" t="s">
        <v>5638</v>
      </c>
      <c r="H1939" t="str">
        <f t="shared" si="60"/>
        <v>Moore2390Terrell</v>
      </c>
      <c r="I1939" t="str">
        <f t="shared" si="61"/>
        <v>Moore</v>
      </c>
      <c r="J1939" s="82">
        <f>IFERROR(INDEX('All Folders'!$A:$A,MATCH(H1939,'All Folders'!$G:$G,0),1),"¶")</f>
        <v>30243</v>
      </c>
      <c r="K1939" s="87"/>
      <c r="L1939" s="87"/>
    </row>
    <row r="1940" spans="1:12" x14ac:dyDescent="0.3">
      <c r="A1940" t="s">
        <v>21917</v>
      </c>
      <c r="B1940" t="s">
        <v>19405</v>
      </c>
      <c r="C1940" t="s">
        <v>19406</v>
      </c>
      <c r="D1940" t="s">
        <v>19407</v>
      </c>
      <c r="E1940">
        <v>700</v>
      </c>
      <c r="F1940" t="s">
        <v>19408</v>
      </c>
      <c r="G1940" t="s">
        <v>5638</v>
      </c>
      <c r="H1940" t="str">
        <f t="shared" si="60"/>
        <v>Virginia700Terrell</v>
      </c>
      <c r="I1940" t="str">
        <f t="shared" si="61"/>
        <v>Virginia</v>
      </c>
      <c r="J1940" s="82" t="str">
        <f>IFERROR(INDEX('All Folders'!$A:$A,MATCH(H1940,'All Folders'!$G:$G,0),1),"¶")</f>
        <v>SP214</v>
      </c>
      <c r="K1940" s="87"/>
      <c r="L1940" s="87"/>
    </row>
    <row r="1941" spans="1:12" x14ac:dyDescent="0.3">
      <c r="A1941" t="s">
        <v>21918</v>
      </c>
      <c r="B1941" t="s">
        <v>19409</v>
      </c>
      <c r="C1941" t="s">
        <v>19410</v>
      </c>
      <c r="D1941" t="s">
        <v>19411</v>
      </c>
      <c r="E1941">
        <v>1001</v>
      </c>
      <c r="F1941" t="s">
        <v>19412</v>
      </c>
      <c r="G1941" t="s">
        <v>5638</v>
      </c>
      <c r="H1941" t="str">
        <f t="shared" si="60"/>
        <v>Mineral1001Terrell</v>
      </c>
      <c r="I1941" t="str">
        <f t="shared" si="61"/>
        <v>Mineral</v>
      </c>
      <c r="J1941" s="82">
        <f>IFERROR(INDEX('All Folders'!$A:$A,MATCH(H1941,'All Folders'!$G:$G,0),1),"¶")</f>
        <v>30242</v>
      </c>
      <c r="K1941" s="87"/>
      <c r="L1941" s="87"/>
    </row>
    <row r="1942" spans="1:12" x14ac:dyDescent="0.3">
      <c r="A1942" t="s">
        <v>21919</v>
      </c>
      <c r="B1942" t="s">
        <v>19413</v>
      </c>
      <c r="C1942" t="s">
        <v>19414</v>
      </c>
      <c r="D1942" t="s">
        <v>13165</v>
      </c>
      <c r="E1942">
        <v>100</v>
      </c>
      <c r="F1942" t="s">
        <v>19415</v>
      </c>
      <c r="G1942" t="s">
        <v>5638</v>
      </c>
      <c r="H1942" t="str">
        <f t="shared" si="60"/>
        <v>Lovers100Terrell</v>
      </c>
      <c r="I1942" t="str">
        <f t="shared" si="61"/>
        <v>Lovers</v>
      </c>
      <c r="J1942" s="82">
        <f>IFERROR(INDEX('All Folders'!$A:$A,MATCH(H1942,'All Folders'!$G:$G,0),1),"¶")</f>
        <v>30241</v>
      </c>
      <c r="K1942" s="87"/>
      <c r="L1942" s="87"/>
    </row>
    <row r="1943" spans="1:12" x14ac:dyDescent="0.3">
      <c r="A1943" t="s">
        <v>21920</v>
      </c>
      <c r="B1943" t="s">
        <v>19416</v>
      </c>
      <c r="C1943" t="s">
        <v>19417</v>
      </c>
      <c r="D1943" t="s">
        <v>19418</v>
      </c>
      <c r="E1943">
        <v>2605</v>
      </c>
      <c r="F1943" t="s">
        <v>19419</v>
      </c>
      <c r="G1943" t="s">
        <v>3230</v>
      </c>
      <c r="H1943" t="str">
        <f t="shared" si="60"/>
        <v>Kennedy2605Texarkana</v>
      </c>
      <c r="I1943" t="str">
        <f t="shared" si="61"/>
        <v>Kennedy</v>
      </c>
      <c r="J1943" s="82">
        <f>IFERROR(INDEX('All Folders'!$A:$A,MATCH(H1943,'All Folders'!$G:$G,0),1),"¶")</f>
        <v>30557</v>
      </c>
      <c r="K1943" s="87"/>
      <c r="L1943" s="87"/>
    </row>
    <row r="1944" spans="1:12" x14ac:dyDescent="0.3">
      <c r="A1944" t="s">
        <v>21921</v>
      </c>
      <c r="B1944" t="s">
        <v>19420</v>
      </c>
      <c r="C1944" t="s">
        <v>19421</v>
      </c>
      <c r="D1944" t="s">
        <v>19422</v>
      </c>
      <c r="E1944">
        <v>120</v>
      </c>
      <c r="F1944" t="s">
        <v>19423</v>
      </c>
      <c r="G1944" t="s">
        <v>3230</v>
      </c>
      <c r="H1944" t="str">
        <f t="shared" si="60"/>
        <v>Cherokee120Texarkana</v>
      </c>
      <c r="I1944" t="str">
        <f t="shared" si="61"/>
        <v>Cherokee</v>
      </c>
      <c r="J1944" s="82">
        <f>IFERROR(INDEX('All Folders'!$A:$A,MATCH(H1944,'All Folders'!$G:$G,0),1),"¶")</f>
        <v>30555</v>
      </c>
      <c r="K1944" s="87"/>
      <c r="L1944" s="87"/>
    </row>
    <row r="1945" spans="1:12" x14ac:dyDescent="0.3">
      <c r="A1945" t="s">
        <v>21922</v>
      </c>
      <c r="B1945" t="s">
        <v>19424</v>
      </c>
      <c r="C1945" t="s">
        <v>19425</v>
      </c>
      <c r="D1945" t="s">
        <v>19426</v>
      </c>
      <c r="E1945">
        <v>5911</v>
      </c>
      <c r="F1945" t="s">
        <v>19427</v>
      </c>
      <c r="G1945" t="s">
        <v>3230</v>
      </c>
      <c r="H1945" t="str">
        <f t="shared" si="60"/>
        <v>Richmond5911Texarkana</v>
      </c>
      <c r="I1945" t="str">
        <f t="shared" si="61"/>
        <v>Richmond</v>
      </c>
      <c r="J1945" s="82">
        <f>IFERROR(INDEX('All Folders'!$A:$A,MATCH(H1945,'All Folders'!$G:$G,0),1),"¶")</f>
        <v>30558</v>
      </c>
      <c r="K1945" s="87"/>
      <c r="L1945" s="87"/>
    </row>
    <row r="1946" spans="1:12" x14ac:dyDescent="0.3">
      <c r="A1946" t="s">
        <v>21923</v>
      </c>
      <c r="B1946" t="s">
        <v>19428</v>
      </c>
      <c r="C1946" t="s">
        <v>19429</v>
      </c>
      <c r="D1946" t="s">
        <v>19430</v>
      </c>
      <c r="E1946">
        <v>1023</v>
      </c>
      <c r="F1946" t="s">
        <v>1508</v>
      </c>
      <c r="G1946" t="s">
        <v>3230</v>
      </c>
      <c r="H1946" t="str">
        <f t="shared" si="60"/>
        <v>College1023Texarkana</v>
      </c>
      <c r="I1946" t="str">
        <f t="shared" si="61"/>
        <v>College</v>
      </c>
      <c r="J1946" s="82">
        <f>IFERROR(INDEX('All Folders'!$A:$A,MATCH(H1946,'All Folders'!$G:$G,0),1),"¶")</f>
        <v>30556</v>
      </c>
      <c r="K1946" s="87"/>
      <c r="L1946" s="87"/>
    </row>
    <row r="1947" spans="1:12" x14ac:dyDescent="0.3">
      <c r="A1947" t="s">
        <v>21924</v>
      </c>
      <c r="B1947" t="s">
        <v>19431</v>
      </c>
      <c r="C1947" t="s">
        <v>19432</v>
      </c>
      <c r="D1947" t="s">
        <v>19426</v>
      </c>
      <c r="E1947">
        <v>1915</v>
      </c>
      <c r="F1947" t="s">
        <v>19433</v>
      </c>
      <c r="G1947" t="s">
        <v>3230</v>
      </c>
      <c r="H1947" t="str">
        <f t="shared" si="60"/>
        <v>Richmond1915Texarkana</v>
      </c>
      <c r="I1947" t="str">
        <f t="shared" si="61"/>
        <v>Richmond</v>
      </c>
      <c r="J1947" s="82">
        <f>IFERROR(INDEX('All Folders'!$A:$A,MATCH(H1947,'All Folders'!$G:$G,0),1),"¶")</f>
        <v>30559</v>
      </c>
      <c r="K1947" s="87"/>
      <c r="L1947" s="87"/>
    </row>
    <row r="1948" spans="1:12" x14ac:dyDescent="0.3">
      <c r="A1948" t="s">
        <v>21925</v>
      </c>
      <c r="B1948" t="s">
        <v>19434</v>
      </c>
      <c r="C1948" t="s">
        <v>19435</v>
      </c>
      <c r="D1948" t="s">
        <v>19436</v>
      </c>
      <c r="E1948">
        <v>425</v>
      </c>
      <c r="F1948" t="s">
        <v>19437</v>
      </c>
      <c r="G1948" t="s">
        <v>3230</v>
      </c>
      <c r="H1948" t="str">
        <f t="shared" si="60"/>
        <v>Westlawn425Texarkana</v>
      </c>
      <c r="I1948" t="str">
        <f t="shared" si="61"/>
        <v>Westlawn</v>
      </c>
      <c r="J1948" s="82">
        <f>IFERROR(INDEX('All Folders'!$A:$A,MATCH(H1948,'All Folders'!$G:$G,0),1),"¶")</f>
        <v>30560</v>
      </c>
      <c r="K1948" s="87"/>
      <c r="L1948" s="87"/>
    </row>
    <row r="1949" spans="1:12" x14ac:dyDescent="0.3">
      <c r="A1949" t="s">
        <v>21926</v>
      </c>
      <c r="B1949" t="s">
        <v>19438</v>
      </c>
      <c r="C1949" t="s">
        <v>19439</v>
      </c>
      <c r="D1949" t="s">
        <v>19440</v>
      </c>
      <c r="E1949">
        <v>2602</v>
      </c>
      <c r="F1949" t="s">
        <v>2664</v>
      </c>
      <c r="G1949" t="s">
        <v>4569</v>
      </c>
      <c r="H1949" t="str">
        <f t="shared" si="60"/>
        <v>21st2602Texas City</v>
      </c>
      <c r="I1949" t="str">
        <f t="shared" si="61"/>
        <v>21st</v>
      </c>
      <c r="J1949" s="82">
        <f>IFERROR(INDEX('All Folders'!$A:$A,MATCH(H1949,'All Folders'!$G:$G,0),1),"¶")</f>
        <v>4247</v>
      </c>
      <c r="K1949" s="87"/>
      <c r="L1949" s="87"/>
    </row>
    <row r="1950" spans="1:12" x14ac:dyDescent="0.3">
      <c r="A1950" t="s">
        <v>21927</v>
      </c>
      <c r="B1950" t="s">
        <v>19441</v>
      </c>
      <c r="C1950" t="s">
        <v>19442</v>
      </c>
      <c r="D1950" t="s">
        <v>19443</v>
      </c>
      <c r="E1950">
        <v>9001</v>
      </c>
      <c r="F1950" t="s">
        <v>19444</v>
      </c>
      <c r="G1950" t="s">
        <v>4569</v>
      </c>
      <c r="H1950" t="str">
        <f t="shared" si="60"/>
        <v>Glacier9001Texas City</v>
      </c>
      <c r="I1950" t="str">
        <f t="shared" si="61"/>
        <v>Glacier</v>
      </c>
      <c r="J1950" s="82">
        <f>IFERROR(INDEX('All Folders'!$A:$A,MATCH(H1950,'All Folders'!$G:$G,0),1),"¶")</f>
        <v>4317</v>
      </c>
      <c r="K1950" s="87"/>
      <c r="L1950" s="87"/>
    </row>
    <row r="1951" spans="1:12" x14ac:dyDescent="0.3">
      <c r="A1951" t="s">
        <v>21928</v>
      </c>
      <c r="B1951" t="s">
        <v>19445</v>
      </c>
      <c r="C1951" t="s">
        <v>19446</v>
      </c>
      <c r="D1951" t="s">
        <v>19447</v>
      </c>
      <c r="E1951">
        <v>8601</v>
      </c>
      <c r="F1951" t="s">
        <v>19448</v>
      </c>
      <c r="G1951" t="s">
        <v>4569</v>
      </c>
      <c r="H1951" t="str">
        <f t="shared" si="60"/>
        <v>Emmett8601Texas City</v>
      </c>
      <c r="I1951" t="str">
        <f t="shared" si="61"/>
        <v>Emmett</v>
      </c>
      <c r="J1951" s="82">
        <f>IFERROR(INDEX('All Folders'!$A:$A,MATCH(H1951,'All Folders'!$G:$G,0),1),"¶")</f>
        <v>30516</v>
      </c>
      <c r="K1951" s="87"/>
      <c r="L1951" s="87"/>
    </row>
    <row r="1952" spans="1:12" x14ac:dyDescent="0.3">
      <c r="A1952" t="s">
        <v>21929</v>
      </c>
      <c r="B1952" t="s">
        <v>19449</v>
      </c>
      <c r="C1952" t="s">
        <v>19450</v>
      </c>
      <c r="D1952" t="s">
        <v>19451</v>
      </c>
      <c r="E1952">
        <v>2020</v>
      </c>
      <c r="F1952" t="s">
        <v>19452</v>
      </c>
      <c r="G1952" t="s">
        <v>4569</v>
      </c>
      <c r="H1952" t="str">
        <f t="shared" si="60"/>
        <v>36th2020Texas City</v>
      </c>
      <c r="I1952" t="str">
        <f t="shared" si="61"/>
        <v>36th</v>
      </c>
      <c r="J1952" s="82">
        <f>IFERROR(INDEX('All Folders'!$A:$A,MATCH(H1952,'All Folders'!$G:$G,0),1),"¶")</f>
        <v>4264</v>
      </c>
      <c r="K1952" s="87"/>
      <c r="L1952" s="87"/>
    </row>
    <row r="1953" spans="1:12" x14ac:dyDescent="0.3">
      <c r="A1953" t="s">
        <v>21931</v>
      </c>
      <c r="B1953" t="s">
        <v>19456</v>
      </c>
      <c r="C1953" t="s">
        <v>19457</v>
      </c>
      <c r="D1953" t="s">
        <v>19458</v>
      </c>
      <c r="E1953">
        <v>8801</v>
      </c>
      <c r="F1953" t="s">
        <v>4712</v>
      </c>
      <c r="G1953" t="s">
        <v>4569</v>
      </c>
      <c r="H1953" t="str">
        <f t="shared" si="60"/>
        <v>Monticello8801Texas City</v>
      </c>
      <c r="I1953" t="str">
        <f t="shared" si="61"/>
        <v>Monticello</v>
      </c>
      <c r="J1953" s="82">
        <f>IFERROR(INDEX('All Folders'!$A:$A,MATCH(H1953,'All Folders'!$G:$G,0),1),"¶")</f>
        <v>4347</v>
      </c>
      <c r="K1953" s="87"/>
      <c r="L1953" s="87"/>
    </row>
    <row r="1954" spans="1:12" x14ac:dyDescent="0.3">
      <c r="A1954" t="s">
        <v>21933</v>
      </c>
      <c r="B1954" t="s">
        <v>19461</v>
      </c>
      <c r="C1954" t="s">
        <v>19462</v>
      </c>
      <c r="D1954" t="s">
        <v>19463</v>
      </c>
      <c r="E1954">
        <v>1919</v>
      </c>
      <c r="F1954" t="s">
        <v>1431</v>
      </c>
      <c r="G1954" t="s">
        <v>4569</v>
      </c>
      <c r="H1954" t="str">
        <f t="shared" si="60"/>
        <v>13th1919Texas City</v>
      </c>
      <c r="I1954" t="str">
        <f t="shared" si="61"/>
        <v>13th</v>
      </c>
      <c r="J1954" s="82">
        <f>IFERROR(INDEX('All Folders'!$A:$A,MATCH(H1954,'All Folders'!$G:$G,0),1),"¶")</f>
        <v>4245</v>
      </c>
      <c r="K1954" s="87"/>
      <c r="L1954" s="87"/>
    </row>
    <row r="1955" spans="1:12" x14ac:dyDescent="0.3">
      <c r="A1955" t="s">
        <v>21935</v>
      </c>
      <c r="B1955" t="s">
        <v>19467</v>
      </c>
      <c r="C1955" t="s">
        <v>19468</v>
      </c>
      <c r="D1955" t="s">
        <v>19469</v>
      </c>
      <c r="E1955">
        <v>7705</v>
      </c>
      <c r="F1955" t="s">
        <v>12457</v>
      </c>
      <c r="G1955" t="s">
        <v>12458</v>
      </c>
      <c r="H1955" t="str">
        <f t="shared" si="60"/>
        <v>Mingo7705Tulsa</v>
      </c>
      <c r="I1955" t="str">
        <f t="shared" si="61"/>
        <v>Mingo</v>
      </c>
      <c r="J1955" s="82">
        <f>IFERROR(INDEX('All Folders'!$A:$A,MATCH(H1955,'All Folders'!$G:$G,0),1),"¶")</f>
        <v>30768</v>
      </c>
      <c r="K1955" s="87"/>
      <c r="L1955" s="87"/>
    </row>
    <row r="1956" spans="1:12" x14ac:dyDescent="0.3">
      <c r="A1956" t="s">
        <v>21936</v>
      </c>
      <c r="B1956" t="s">
        <v>19470</v>
      </c>
      <c r="C1956" t="s">
        <v>19471</v>
      </c>
      <c r="D1956" t="s">
        <v>19472</v>
      </c>
      <c r="E1956">
        <v>9303</v>
      </c>
      <c r="F1956" t="s">
        <v>19473</v>
      </c>
      <c r="G1956" t="s">
        <v>12458</v>
      </c>
      <c r="H1956" t="str">
        <f t="shared" si="60"/>
        <v>81st9303Tulsa</v>
      </c>
      <c r="I1956" t="str">
        <f t="shared" si="61"/>
        <v>81st</v>
      </c>
      <c r="J1956" s="82">
        <f>IFERROR(INDEX('All Folders'!$A:$A,MATCH(H1956,'All Folders'!$G:$G,0),1),"¶")</f>
        <v>30767</v>
      </c>
      <c r="K1956" s="87"/>
      <c r="L1956" s="87"/>
    </row>
    <row r="1957" spans="1:12" x14ac:dyDescent="0.3">
      <c r="A1957" t="s">
        <v>21937</v>
      </c>
      <c r="B1957" t="s">
        <v>19474</v>
      </c>
      <c r="C1957" t="s">
        <v>19475</v>
      </c>
      <c r="D1957" t="s">
        <v>19476</v>
      </c>
      <c r="E1957">
        <v>4411</v>
      </c>
      <c r="F1957" t="s">
        <v>19477</v>
      </c>
      <c r="G1957" t="s">
        <v>9012</v>
      </c>
      <c r="H1957" t="str">
        <f t="shared" si="60"/>
        <v>Kinsey4411Tyler</v>
      </c>
      <c r="I1957" t="str">
        <f t="shared" si="61"/>
        <v>Kinsey</v>
      </c>
      <c r="J1957" s="82">
        <f>IFERROR(INDEX('All Folders'!$A:$A,MATCH(H1957,'All Folders'!$G:$G,0),1),"¶")</f>
        <v>16558</v>
      </c>
      <c r="K1957" s="87"/>
      <c r="L1957" s="87"/>
    </row>
    <row r="1958" spans="1:12" x14ac:dyDescent="0.3">
      <c r="A1958" t="s">
        <v>21938</v>
      </c>
      <c r="B1958" t="s">
        <v>19478</v>
      </c>
      <c r="C1958" t="s">
        <v>19479</v>
      </c>
      <c r="D1958" t="s">
        <v>19480</v>
      </c>
      <c r="E1958">
        <v>2601</v>
      </c>
      <c r="F1958" t="s">
        <v>1061</v>
      </c>
      <c r="G1958" t="s">
        <v>9012</v>
      </c>
      <c r="H1958" t="str">
        <f t="shared" si="60"/>
        <v>3232601Tyler</v>
      </c>
      <c r="I1958" t="str">
        <f t="shared" si="61"/>
        <v>323</v>
      </c>
      <c r="J1958" s="82">
        <f>IFERROR(INDEX('All Folders'!$A:$A,MATCH(H1958,'All Folders'!$G:$G,0),1),"¶")</f>
        <v>18514</v>
      </c>
      <c r="K1958" s="87"/>
      <c r="L1958" s="87"/>
    </row>
    <row r="1959" spans="1:12" x14ac:dyDescent="0.3">
      <c r="A1959" t="s">
        <v>21939</v>
      </c>
      <c r="B1959" t="s">
        <v>19481</v>
      </c>
      <c r="C1959" t="s">
        <v>19482</v>
      </c>
      <c r="D1959" t="s">
        <v>19483</v>
      </c>
      <c r="E1959">
        <v>2400</v>
      </c>
      <c r="F1959" t="s">
        <v>19484</v>
      </c>
      <c r="G1959" t="s">
        <v>9012</v>
      </c>
      <c r="H1959" t="str">
        <f t="shared" si="60"/>
        <v>Shiloh2400Tyler</v>
      </c>
      <c r="I1959" t="str">
        <f t="shared" si="61"/>
        <v>Shiloh</v>
      </c>
      <c r="J1959" s="82">
        <f>IFERROR(INDEX('All Folders'!$A:$A,MATCH(H1959,'All Folders'!$G:$G,0),1),"¶")</f>
        <v>17648</v>
      </c>
      <c r="K1959" s="87"/>
      <c r="L1959" s="87"/>
    </row>
    <row r="1960" spans="1:12" x14ac:dyDescent="0.3">
      <c r="A1960" t="s">
        <v>21940</v>
      </c>
      <c r="B1960" t="s">
        <v>19485</v>
      </c>
      <c r="C1960" t="s">
        <v>19486</v>
      </c>
      <c r="D1960" t="s">
        <v>19487</v>
      </c>
      <c r="E1960">
        <v>4400</v>
      </c>
      <c r="F1960" t="s">
        <v>9612</v>
      </c>
      <c r="G1960" t="s">
        <v>9012</v>
      </c>
      <c r="H1960" t="str">
        <f t="shared" si="60"/>
        <v>Paluxy4400Tyler</v>
      </c>
      <c r="I1960" t="str">
        <f t="shared" si="61"/>
        <v>Paluxy</v>
      </c>
      <c r="J1960" s="82">
        <f>IFERROR(INDEX('All Folders'!$A:$A,MATCH(H1960,'All Folders'!$G:$G,0),1),"¶")</f>
        <v>18515</v>
      </c>
      <c r="K1960" s="87"/>
      <c r="L1960" s="87"/>
    </row>
    <row r="1961" spans="1:12" x14ac:dyDescent="0.3">
      <c r="A1961" t="s">
        <v>21941</v>
      </c>
      <c r="B1961" t="s">
        <v>19488</v>
      </c>
      <c r="C1961" t="s">
        <v>19489</v>
      </c>
      <c r="D1961" t="s">
        <v>19490</v>
      </c>
      <c r="E1961">
        <v>2720</v>
      </c>
      <c r="F1961" t="s">
        <v>19491</v>
      </c>
      <c r="G1961" t="s">
        <v>9012</v>
      </c>
      <c r="H1961" t="str">
        <f t="shared" si="60"/>
        <v>Broadway2720Tyler</v>
      </c>
      <c r="I1961" t="str">
        <f t="shared" si="61"/>
        <v>Broadway</v>
      </c>
      <c r="J1961" s="82">
        <f>IFERROR(INDEX('All Folders'!$A:$A,MATCH(H1961,'All Folders'!$G:$G,0),1),"¶")</f>
        <v>18270</v>
      </c>
      <c r="K1961" s="87"/>
      <c r="L1961" s="87"/>
    </row>
    <row r="1962" spans="1:12" x14ac:dyDescent="0.3">
      <c r="A1962" t="s">
        <v>21942</v>
      </c>
      <c r="B1962" t="s">
        <v>19492</v>
      </c>
      <c r="C1962" t="s">
        <v>19493</v>
      </c>
      <c r="D1962" t="s">
        <v>19490</v>
      </c>
      <c r="E1962">
        <v>5315</v>
      </c>
      <c r="F1962" t="s">
        <v>19494</v>
      </c>
      <c r="G1962" t="s">
        <v>9012</v>
      </c>
      <c r="H1962" t="str">
        <f t="shared" si="60"/>
        <v>Broadway5315Tyler</v>
      </c>
      <c r="I1962" t="str">
        <f t="shared" si="61"/>
        <v>Broadway</v>
      </c>
      <c r="J1962" s="82">
        <f>IFERROR(INDEX('All Folders'!$A:$A,MATCH(H1962,'All Folders'!$G:$G,0),1),"¶")</f>
        <v>30250</v>
      </c>
      <c r="K1962" s="87"/>
      <c r="L1962" s="87"/>
    </row>
    <row r="1963" spans="1:12" x14ac:dyDescent="0.3">
      <c r="A1963" t="s">
        <v>21943</v>
      </c>
      <c r="B1963" t="s">
        <v>19495</v>
      </c>
      <c r="C1963" t="s">
        <v>19496</v>
      </c>
      <c r="D1963" t="s">
        <v>19497</v>
      </c>
      <c r="E1963">
        <v>2500</v>
      </c>
      <c r="F1963" t="s">
        <v>11682</v>
      </c>
      <c r="G1963" t="s">
        <v>9012</v>
      </c>
      <c r="H1963" t="str">
        <f t="shared" si="60"/>
        <v>Erwin2500Tyler</v>
      </c>
      <c r="I1963" t="str">
        <f t="shared" si="61"/>
        <v>Erwin</v>
      </c>
      <c r="J1963" s="82">
        <f>IFERROR(INDEX('All Folders'!$A:$A,MATCH(H1963,'All Folders'!$G:$G,0),1),"¶")</f>
        <v>30252</v>
      </c>
      <c r="K1963" s="87"/>
      <c r="L1963" s="87"/>
    </row>
    <row r="1964" spans="1:12" x14ac:dyDescent="0.3">
      <c r="A1964" t="s">
        <v>21944</v>
      </c>
      <c r="B1964" t="s">
        <v>19498</v>
      </c>
      <c r="C1964" t="s">
        <v>19499</v>
      </c>
      <c r="D1964" t="s">
        <v>19500</v>
      </c>
      <c r="E1964">
        <v>3400</v>
      </c>
      <c r="F1964" t="s">
        <v>10008</v>
      </c>
      <c r="G1964" t="s">
        <v>9012</v>
      </c>
      <c r="H1964" t="str">
        <f t="shared" si="60"/>
        <v>Varsity3400Tyler</v>
      </c>
      <c r="I1964" t="str">
        <f t="shared" si="61"/>
        <v>Varsity</v>
      </c>
      <c r="J1964" s="82">
        <f>IFERROR(INDEX('All Folders'!$A:$A,MATCH(H1964,'All Folders'!$G:$G,0),1),"¶")</f>
        <v>17670</v>
      </c>
      <c r="K1964" s="87"/>
      <c r="L1964" s="87"/>
    </row>
    <row r="1965" spans="1:12" x14ac:dyDescent="0.3">
      <c r="A1965" t="s">
        <v>21945</v>
      </c>
      <c r="B1965" t="s">
        <v>19501</v>
      </c>
      <c r="C1965" t="s">
        <v>19502</v>
      </c>
      <c r="D1965" t="s">
        <v>19503</v>
      </c>
      <c r="E1965">
        <v>620</v>
      </c>
      <c r="F1965" t="s">
        <v>19504</v>
      </c>
      <c r="G1965" t="s">
        <v>9012</v>
      </c>
      <c r="H1965" t="str">
        <f t="shared" si="60"/>
        <v>Houston620Tyler</v>
      </c>
      <c r="I1965" t="str">
        <f t="shared" si="61"/>
        <v>Houston</v>
      </c>
      <c r="J1965" s="82" t="str">
        <f>IFERROR(INDEX('All Folders'!$A:$A,MATCH(H1965,'All Folders'!$G:$G,0),1),"¶")</f>
        <v>SP215</v>
      </c>
      <c r="K1965" s="87"/>
      <c r="L1965" s="87"/>
    </row>
    <row r="1966" spans="1:12" x14ac:dyDescent="0.3">
      <c r="A1966" t="s">
        <v>21946</v>
      </c>
      <c r="B1966" t="s">
        <v>19505</v>
      </c>
      <c r="C1966" t="s">
        <v>19506</v>
      </c>
      <c r="D1966" t="s">
        <v>19507</v>
      </c>
      <c r="E1966">
        <v>1950</v>
      </c>
      <c r="F1966" t="s">
        <v>19508</v>
      </c>
      <c r="G1966" t="s">
        <v>864</v>
      </c>
      <c r="H1966" t="str">
        <f t="shared" si="60"/>
        <v>Universal1950Universal City</v>
      </c>
      <c r="I1966" t="str">
        <f t="shared" si="61"/>
        <v>Universal</v>
      </c>
      <c r="J1966" s="82">
        <f>IFERROR(INDEX('All Folders'!$A:$A,MATCH(H1966,'All Folders'!$G:$G,0),1),"¶")</f>
        <v>744</v>
      </c>
      <c r="K1966" s="87"/>
      <c r="L1966" s="87"/>
    </row>
    <row r="1967" spans="1:12" x14ac:dyDescent="0.3">
      <c r="A1967" t="s">
        <v>21947</v>
      </c>
      <c r="B1967" t="s">
        <v>19509</v>
      </c>
      <c r="C1967" t="s">
        <v>19510</v>
      </c>
      <c r="D1967" t="s">
        <v>19511</v>
      </c>
      <c r="E1967">
        <v>12900</v>
      </c>
      <c r="F1967" t="s">
        <v>19512</v>
      </c>
      <c r="G1967" t="s">
        <v>864</v>
      </c>
      <c r="H1967" t="str">
        <f t="shared" si="60"/>
        <v>160412900Universal City</v>
      </c>
      <c r="I1967" t="str">
        <f t="shared" si="61"/>
        <v>1604</v>
      </c>
      <c r="J1967" s="82">
        <f>IFERROR(INDEX('All Folders'!$A:$A,MATCH(H1967,'All Folders'!$G:$G,0),1),"¶")</f>
        <v>1162</v>
      </c>
      <c r="K1967" s="87"/>
      <c r="L1967" s="87"/>
    </row>
    <row r="1968" spans="1:12" x14ac:dyDescent="0.3">
      <c r="A1968" t="s">
        <v>21948</v>
      </c>
      <c r="B1968" t="s">
        <v>19513</v>
      </c>
      <c r="C1968" t="s">
        <v>19514</v>
      </c>
      <c r="D1968" t="s">
        <v>19515</v>
      </c>
      <c r="E1968">
        <v>500</v>
      </c>
      <c r="F1968" t="s">
        <v>19516</v>
      </c>
      <c r="G1968" t="s">
        <v>12793</v>
      </c>
      <c r="H1968" t="str">
        <f t="shared" si="60"/>
        <v>75500Van Alstyne</v>
      </c>
      <c r="I1968" t="str">
        <f t="shared" si="61"/>
        <v>75</v>
      </c>
      <c r="J1968" s="82" t="str">
        <f>IFERROR(INDEX('All Folders'!$A:$A,MATCH(H1968,'All Folders'!$G:$G,0),1),"¶")</f>
        <v>SP216</v>
      </c>
      <c r="K1968" s="87"/>
      <c r="L1968" s="87"/>
    </row>
    <row r="1969" spans="1:12" x14ac:dyDescent="0.3">
      <c r="A1969" t="s">
        <v>21949</v>
      </c>
      <c r="B1969" t="s">
        <v>19517</v>
      </c>
      <c r="C1969" t="s">
        <v>19518</v>
      </c>
      <c r="D1969" t="s">
        <v>19519</v>
      </c>
      <c r="E1969">
        <v>1810</v>
      </c>
      <c r="F1969" t="s">
        <v>11936</v>
      </c>
      <c r="G1969" t="s">
        <v>2525</v>
      </c>
      <c r="H1969" t="str">
        <f t="shared" si="60"/>
        <v>Colorado1810Victoria</v>
      </c>
      <c r="I1969" t="str">
        <f t="shared" si="61"/>
        <v>Colorado</v>
      </c>
      <c r="J1969" s="82">
        <f>IFERROR(INDEX('All Folders'!$A:$A,MATCH(H1969,'All Folders'!$G:$G,0),1),"¶")</f>
        <v>30412</v>
      </c>
      <c r="K1969" s="87"/>
      <c r="L1969" s="87"/>
    </row>
    <row r="1970" spans="1:12" x14ac:dyDescent="0.3">
      <c r="A1970" t="s">
        <v>21950</v>
      </c>
      <c r="B1970" t="s">
        <v>19520</v>
      </c>
      <c r="C1970" t="s">
        <v>19521</v>
      </c>
      <c r="D1970" t="s">
        <v>11941</v>
      </c>
      <c r="E1970">
        <v>2008</v>
      </c>
      <c r="F1970" t="s">
        <v>19522</v>
      </c>
      <c r="G1970" t="s">
        <v>2525</v>
      </c>
      <c r="H1970" t="str">
        <f t="shared" si="60"/>
        <v>Sam2008Victoria</v>
      </c>
      <c r="I1970" t="str">
        <f t="shared" si="61"/>
        <v>Sam</v>
      </c>
      <c r="J1970" s="82">
        <f>IFERROR(INDEX('All Folders'!$A:$A,MATCH(H1970,'All Folders'!$G:$G,0),1),"¶")</f>
        <v>30415</v>
      </c>
      <c r="K1970" s="87"/>
      <c r="L1970" s="87"/>
    </row>
    <row r="1971" spans="1:12" x14ac:dyDescent="0.3">
      <c r="A1971" t="s">
        <v>21951</v>
      </c>
      <c r="B1971" t="s">
        <v>19523</v>
      </c>
      <c r="C1971" t="s">
        <v>19524</v>
      </c>
      <c r="D1971" t="s">
        <v>11941</v>
      </c>
      <c r="E1971">
        <v>1906</v>
      </c>
      <c r="F1971" t="s">
        <v>11944</v>
      </c>
      <c r="G1971" t="s">
        <v>2525</v>
      </c>
      <c r="H1971" t="str">
        <f t="shared" si="60"/>
        <v>Sam1906Victoria</v>
      </c>
      <c r="I1971" t="str">
        <f t="shared" si="61"/>
        <v>Sam</v>
      </c>
      <c r="J1971" s="82">
        <f>IFERROR(INDEX('All Folders'!$A:$A,MATCH(H1971,'All Folders'!$G:$G,0),1),"¶")</f>
        <v>30416</v>
      </c>
      <c r="K1971" s="87"/>
      <c r="L1971" s="87"/>
    </row>
    <row r="1972" spans="1:12" x14ac:dyDescent="0.3">
      <c r="A1972" t="s">
        <v>21952</v>
      </c>
      <c r="B1972" t="s">
        <v>19525</v>
      </c>
      <c r="C1972" t="s">
        <v>19526</v>
      </c>
      <c r="D1972" t="s">
        <v>19527</v>
      </c>
      <c r="E1972">
        <v>607</v>
      </c>
      <c r="F1972" t="s">
        <v>11938</v>
      </c>
      <c r="G1972" t="s">
        <v>2525</v>
      </c>
      <c r="H1972" t="str">
        <f t="shared" si="60"/>
        <v>Fillmore607Victoria</v>
      </c>
      <c r="I1972" t="str">
        <f t="shared" si="61"/>
        <v>Fillmore</v>
      </c>
      <c r="J1972" s="82">
        <f>IFERROR(INDEX('All Folders'!$A:$A,MATCH(H1972,'All Folders'!$G:$G,0),1),"¶")</f>
        <v>30413</v>
      </c>
      <c r="K1972" s="87"/>
      <c r="L1972" s="87"/>
    </row>
    <row r="1973" spans="1:12" x14ac:dyDescent="0.3">
      <c r="A1973" t="s">
        <v>21953</v>
      </c>
      <c r="B1973" t="s">
        <v>19528</v>
      </c>
      <c r="C1973" t="s">
        <v>19529</v>
      </c>
      <c r="D1973" t="s">
        <v>19530</v>
      </c>
      <c r="E1973">
        <v>3207</v>
      </c>
      <c r="F1973" t="s">
        <v>11934</v>
      </c>
      <c r="G1973" t="s">
        <v>2525</v>
      </c>
      <c r="H1973" t="str">
        <f t="shared" si="60"/>
        <v>Airline3207Victoria</v>
      </c>
      <c r="I1973" t="str">
        <f t="shared" si="61"/>
        <v>Airline</v>
      </c>
      <c r="J1973" s="82">
        <f>IFERROR(INDEX('All Folders'!$A:$A,MATCH(H1973,'All Folders'!$G:$G,0),1),"¶")</f>
        <v>30411</v>
      </c>
      <c r="K1973" s="87"/>
      <c r="L1973" s="87"/>
    </row>
    <row r="1974" spans="1:12" x14ac:dyDescent="0.3">
      <c r="A1974" t="s">
        <v>21954</v>
      </c>
      <c r="B1974" t="s">
        <v>19531</v>
      </c>
      <c r="C1974" t="s">
        <v>19532</v>
      </c>
      <c r="D1974" t="s">
        <v>19533</v>
      </c>
      <c r="E1974">
        <v>2107</v>
      </c>
      <c r="F1974" t="s">
        <v>19534</v>
      </c>
      <c r="G1974" t="s">
        <v>2525</v>
      </c>
      <c r="H1974" t="str">
        <f t="shared" si="60"/>
        <v>Ben2107Victoria</v>
      </c>
      <c r="I1974" t="str">
        <f t="shared" si="61"/>
        <v>Ben</v>
      </c>
      <c r="J1974" s="82">
        <f>IFERROR(INDEX('All Folders'!$A:$A,MATCH(H1974,'All Folders'!$G:$G,0),1),"¶")</f>
        <v>30414</v>
      </c>
      <c r="K1974" s="87"/>
      <c r="L1974" s="87"/>
    </row>
    <row r="1975" spans="1:12" x14ac:dyDescent="0.3">
      <c r="A1975" t="s">
        <v>21955</v>
      </c>
      <c r="B1975" t="s">
        <v>19535</v>
      </c>
      <c r="C1975" t="s">
        <v>19536</v>
      </c>
      <c r="D1975" t="s">
        <v>19537</v>
      </c>
      <c r="E1975">
        <v>1701</v>
      </c>
      <c r="F1975" t="s">
        <v>19538</v>
      </c>
      <c r="G1975" t="s">
        <v>2525</v>
      </c>
      <c r="H1975" t="str">
        <f t="shared" si="60"/>
        <v>Victoria1701Victoria</v>
      </c>
      <c r="I1975" t="str">
        <f t="shared" si="61"/>
        <v>Victoria</v>
      </c>
      <c r="J1975" s="82">
        <f>IFERROR(INDEX('All Folders'!$A:$A,MATCH(H1975,'All Folders'!$G:$G,0),1),"¶")</f>
        <v>30417</v>
      </c>
      <c r="K1975" s="87"/>
      <c r="L1975" s="87"/>
    </row>
    <row r="1976" spans="1:12" x14ac:dyDescent="0.3">
      <c r="A1976" t="s">
        <v>21956</v>
      </c>
      <c r="B1976" t="s">
        <v>19539</v>
      </c>
      <c r="C1976" t="s">
        <v>19540</v>
      </c>
      <c r="D1976" t="s">
        <v>17239</v>
      </c>
      <c r="E1976">
        <v>700</v>
      </c>
      <c r="F1976" t="s">
        <v>19541</v>
      </c>
      <c r="G1976" t="s">
        <v>4707</v>
      </c>
      <c r="H1976" t="str">
        <f t="shared" si="60"/>
        <v>Westview700Waco</v>
      </c>
      <c r="I1976" t="str">
        <f t="shared" si="61"/>
        <v>Westview</v>
      </c>
      <c r="J1976" s="82">
        <f>IFERROR(INDEX('All Folders'!$A:$A,MATCH(H1976,'All Folders'!$G:$G,0),1),"¶")</f>
        <v>30446</v>
      </c>
      <c r="K1976" s="87"/>
      <c r="L1976" s="87"/>
    </row>
    <row r="1977" spans="1:12" x14ac:dyDescent="0.3">
      <c r="A1977" t="s">
        <v>21957</v>
      </c>
      <c r="B1977" t="s">
        <v>19542</v>
      </c>
      <c r="C1977" t="s">
        <v>19543</v>
      </c>
      <c r="D1977" t="s">
        <v>19544</v>
      </c>
      <c r="E1977">
        <v>1800</v>
      </c>
      <c r="F1977" t="s">
        <v>11974</v>
      </c>
      <c r="G1977" t="s">
        <v>4707</v>
      </c>
      <c r="H1977" t="str">
        <f t="shared" si="60"/>
        <v>Primrose1800Waco</v>
      </c>
      <c r="I1977" t="str">
        <f t="shared" si="61"/>
        <v>Primrose</v>
      </c>
      <c r="J1977" s="82">
        <f>IFERROR(INDEX('All Folders'!$A:$A,MATCH(H1977,'All Folders'!$G:$G,0),1),"¶")</f>
        <v>30433</v>
      </c>
      <c r="K1977" s="87"/>
      <c r="L1977" s="87"/>
    </row>
    <row r="1978" spans="1:12" x14ac:dyDescent="0.3">
      <c r="A1978" t="s">
        <v>21958</v>
      </c>
      <c r="B1978" t="s">
        <v>19545</v>
      </c>
      <c r="C1978" t="s">
        <v>19546</v>
      </c>
      <c r="D1978" t="s">
        <v>19547</v>
      </c>
      <c r="E1978">
        <v>5100</v>
      </c>
      <c r="F1978" t="s">
        <v>19548</v>
      </c>
      <c r="G1978" t="s">
        <v>4707</v>
      </c>
      <c r="H1978" t="str">
        <f t="shared" si="60"/>
        <v>Hawthorne5100Waco</v>
      </c>
      <c r="I1978" t="str">
        <f t="shared" si="61"/>
        <v>Hawthorne</v>
      </c>
      <c r="J1978" s="82">
        <f>IFERROR(INDEX('All Folders'!$A:$A,MATCH(H1978,'All Folders'!$G:$G,0),1),"¶")</f>
        <v>30424</v>
      </c>
      <c r="K1978" s="87"/>
      <c r="L1978" s="87"/>
    </row>
    <row r="1979" spans="1:12" x14ac:dyDescent="0.3">
      <c r="A1979" t="s">
        <v>21959</v>
      </c>
      <c r="B1979" t="s">
        <v>19549</v>
      </c>
      <c r="C1979" t="s">
        <v>19550</v>
      </c>
      <c r="D1979" t="s">
        <v>19551</v>
      </c>
      <c r="E1979">
        <v>410</v>
      </c>
      <c r="F1979" t="s">
        <v>11971</v>
      </c>
      <c r="G1979" t="s">
        <v>4707</v>
      </c>
      <c r="H1979" t="str">
        <f t="shared" si="60"/>
        <v>Owen410Waco</v>
      </c>
      <c r="I1979" t="str">
        <f t="shared" si="61"/>
        <v>Owen</v>
      </c>
      <c r="J1979" s="82">
        <f>IFERROR(INDEX('All Folders'!$A:$A,MATCH(H1979,'All Folders'!$G:$G,0),1),"¶")</f>
        <v>30431</v>
      </c>
      <c r="K1979" s="87"/>
      <c r="L1979" s="87"/>
    </row>
    <row r="1980" spans="1:12" x14ac:dyDescent="0.3">
      <c r="A1980" t="s">
        <v>21960</v>
      </c>
      <c r="B1980" t="s">
        <v>19552</v>
      </c>
      <c r="C1980" t="s">
        <v>19553</v>
      </c>
      <c r="D1980" t="s">
        <v>19554</v>
      </c>
      <c r="E1980">
        <v>219</v>
      </c>
      <c r="F1980" t="s">
        <v>11985</v>
      </c>
      <c r="G1980" t="s">
        <v>4707</v>
      </c>
      <c r="H1980" t="str">
        <f t="shared" si="60"/>
        <v>4th219Waco</v>
      </c>
      <c r="I1980" t="str">
        <f t="shared" si="61"/>
        <v>4th</v>
      </c>
      <c r="J1980" s="82">
        <f>IFERROR(INDEX('All Folders'!$A:$A,MATCH(H1980,'All Folders'!$G:$G,0),1),"¶")</f>
        <v>30439</v>
      </c>
      <c r="K1980" s="87"/>
      <c r="L1980" s="87"/>
    </row>
    <row r="1981" spans="1:12" x14ac:dyDescent="0.3">
      <c r="A1981" t="s">
        <v>21961</v>
      </c>
      <c r="B1981" t="s">
        <v>19555</v>
      </c>
      <c r="C1981" t="s">
        <v>19556</v>
      </c>
      <c r="D1981" t="s">
        <v>19557</v>
      </c>
      <c r="E1981">
        <v>3426</v>
      </c>
      <c r="F1981" t="s">
        <v>19558</v>
      </c>
      <c r="G1981" t="s">
        <v>4707</v>
      </c>
      <c r="H1981" t="str">
        <f t="shared" si="60"/>
        <v>Brookview3426Waco</v>
      </c>
      <c r="I1981" t="str">
        <f t="shared" si="61"/>
        <v>Brookview</v>
      </c>
      <c r="J1981" s="82">
        <f>IFERROR(INDEX('All Folders'!$A:$A,MATCH(H1981,'All Folders'!$G:$G,0),1),"¶")</f>
        <v>30444</v>
      </c>
      <c r="K1981" s="87"/>
      <c r="L1981" s="87"/>
    </row>
    <row r="1982" spans="1:12" x14ac:dyDescent="0.3">
      <c r="A1982" t="s">
        <v>21962</v>
      </c>
      <c r="B1982" t="s">
        <v>19559</v>
      </c>
      <c r="C1982" t="s">
        <v>19560</v>
      </c>
      <c r="D1982" t="s">
        <v>19551</v>
      </c>
      <c r="E1982">
        <v>416</v>
      </c>
      <c r="F1982" t="s">
        <v>11972</v>
      </c>
      <c r="G1982" t="s">
        <v>4707</v>
      </c>
      <c r="H1982" t="str">
        <f t="shared" si="60"/>
        <v>Owen416Waco</v>
      </c>
      <c r="I1982" t="str">
        <f t="shared" si="61"/>
        <v>Owen</v>
      </c>
      <c r="J1982" s="82">
        <f>IFERROR(INDEX('All Folders'!$A:$A,MATCH(H1982,'All Folders'!$G:$G,0),1),"¶")</f>
        <v>30432</v>
      </c>
      <c r="K1982" s="87"/>
      <c r="L1982" s="87"/>
    </row>
    <row r="1983" spans="1:12" x14ac:dyDescent="0.3">
      <c r="A1983" t="s">
        <v>21963</v>
      </c>
      <c r="B1983" t="s">
        <v>19561</v>
      </c>
      <c r="C1983" t="s">
        <v>19562</v>
      </c>
      <c r="D1983" t="s">
        <v>19563</v>
      </c>
      <c r="E1983">
        <v>1601</v>
      </c>
      <c r="F1983" t="s">
        <v>11990</v>
      </c>
      <c r="G1983" t="s">
        <v>4707</v>
      </c>
      <c r="H1983" t="str">
        <f t="shared" si="60"/>
        <v>Spring1601Waco</v>
      </c>
      <c r="I1983" t="str">
        <f t="shared" si="61"/>
        <v>Spring</v>
      </c>
      <c r="J1983" s="82">
        <f>IFERROR(INDEX('All Folders'!$A:$A,MATCH(H1983,'All Folders'!$G:$G,0),1),"¶")</f>
        <v>30443</v>
      </c>
      <c r="K1983" s="87"/>
      <c r="L1983" s="87"/>
    </row>
    <row r="1984" spans="1:12" x14ac:dyDescent="0.3">
      <c r="A1984" t="s">
        <v>21964</v>
      </c>
      <c r="B1984" t="s">
        <v>19564</v>
      </c>
      <c r="C1984" t="s">
        <v>19565</v>
      </c>
      <c r="D1984" t="s">
        <v>11951</v>
      </c>
      <c r="E1984">
        <v>400</v>
      </c>
      <c r="F1984" t="s">
        <v>11952</v>
      </c>
      <c r="G1984" t="s">
        <v>4707</v>
      </c>
      <c r="H1984" t="str">
        <f t="shared" si="60"/>
        <v>Austin400Waco</v>
      </c>
      <c r="I1984" t="str">
        <f t="shared" si="61"/>
        <v>Austin</v>
      </c>
      <c r="J1984" s="82">
        <f>IFERROR(INDEX('All Folders'!$A:$A,MATCH(H1984,'All Folders'!$G:$G,0),1),"¶")</f>
        <v>30420</v>
      </c>
      <c r="K1984" s="87"/>
      <c r="L1984" s="87"/>
    </row>
    <row r="1985" spans="1:12" x14ac:dyDescent="0.3">
      <c r="A1985" t="s">
        <v>21966</v>
      </c>
      <c r="B1985" t="s">
        <v>19569</v>
      </c>
      <c r="C1985" t="s">
        <v>19570</v>
      </c>
      <c r="D1985" t="s">
        <v>11956</v>
      </c>
      <c r="E1985">
        <v>1704</v>
      </c>
      <c r="F1985" t="s">
        <v>11957</v>
      </c>
      <c r="G1985" t="s">
        <v>4707</v>
      </c>
      <c r="H1985" t="str">
        <f t="shared" si="60"/>
        <v>Daughtry1704Waco</v>
      </c>
      <c r="I1985" t="str">
        <f t="shared" si="61"/>
        <v>Daughtry</v>
      </c>
      <c r="J1985" s="82">
        <f>IFERROR(INDEX('All Folders'!$A:$A,MATCH(H1985,'All Folders'!$G:$G,0),1),"¶")</f>
        <v>30423</v>
      </c>
      <c r="K1985" s="87"/>
      <c r="L1985" s="87"/>
    </row>
    <row r="1986" spans="1:12" x14ac:dyDescent="0.3">
      <c r="A1986" t="s">
        <v>21967</v>
      </c>
      <c r="B1986" t="s">
        <v>19571</v>
      </c>
      <c r="C1986" t="s">
        <v>19572</v>
      </c>
      <c r="D1986" t="s">
        <v>19573</v>
      </c>
      <c r="E1986">
        <v>7301</v>
      </c>
      <c r="F1986" t="s">
        <v>19574</v>
      </c>
      <c r="G1986" t="s">
        <v>4707</v>
      </c>
      <c r="H1986" t="str">
        <f t="shared" ref="H1986:H2049" si="62">I1986&amp;E1986&amp;G1986</f>
        <v>Sanger7301Waco</v>
      </c>
      <c r="I1986" t="str">
        <f t="shared" ref="I1986:I2049" si="63">IFERROR(LEFT(D1986,FIND(" ",D1986)-1),D1986)</f>
        <v>Sanger</v>
      </c>
      <c r="J1986" s="82">
        <f>IFERROR(INDEX('All Folders'!$A:$A,MATCH(H1986,'All Folders'!$G:$G,0),1),"¶")</f>
        <v>30440</v>
      </c>
      <c r="K1986" s="87"/>
      <c r="L1986" s="87"/>
    </row>
    <row r="1987" spans="1:12" x14ac:dyDescent="0.3">
      <c r="A1987" t="s">
        <v>21968</v>
      </c>
      <c r="B1987" t="s">
        <v>19575</v>
      </c>
      <c r="C1987" t="s">
        <v>19576</v>
      </c>
      <c r="D1987" t="s">
        <v>19577</v>
      </c>
      <c r="E1987">
        <v>509</v>
      </c>
      <c r="F1987" t="s">
        <v>4419</v>
      </c>
      <c r="G1987" t="s">
        <v>4707</v>
      </c>
      <c r="H1987" t="str">
        <f t="shared" si="62"/>
        <v>Hewitt509Waco</v>
      </c>
      <c r="I1987" t="str">
        <f t="shared" si="63"/>
        <v>Hewitt</v>
      </c>
      <c r="J1987" s="82">
        <f>IFERROR(INDEX('All Folders'!$A:$A,MATCH(H1987,'All Folders'!$G:$G,0),1),"¶")</f>
        <v>30428</v>
      </c>
      <c r="K1987" s="87"/>
      <c r="L1987" s="87"/>
    </row>
    <row r="1988" spans="1:12" x14ac:dyDescent="0.3">
      <c r="A1988" t="s">
        <v>21969</v>
      </c>
      <c r="B1988" t="s">
        <v>19578</v>
      </c>
      <c r="C1988" t="s">
        <v>19579</v>
      </c>
      <c r="D1988" t="s">
        <v>19580</v>
      </c>
      <c r="E1988">
        <v>4722</v>
      </c>
      <c r="F1988" t="s">
        <v>19581</v>
      </c>
      <c r="G1988" t="s">
        <v>4707</v>
      </c>
      <c r="H1988" t="str">
        <f t="shared" si="62"/>
        <v>Hodde4722Waco</v>
      </c>
      <c r="I1988" t="str">
        <f t="shared" si="63"/>
        <v>Hodde</v>
      </c>
      <c r="J1988" s="82">
        <f>IFERROR(INDEX('All Folders'!$A:$A,MATCH(H1988,'All Folders'!$G:$G,0),1),"¶")</f>
        <v>30425</v>
      </c>
      <c r="K1988" s="87"/>
      <c r="L1988" s="87"/>
    </row>
    <row r="1989" spans="1:12" x14ac:dyDescent="0.3">
      <c r="A1989" t="s">
        <v>21970</v>
      </c>
      <c r="B1989" t="s">
        <v>19582</v>
      </c>
      <c r="C1989" t="s">
        <v>19583</v>
      </c>
      <c r="D1989" t="s">
        <v>19584</v>
      </c>
      <c r="E1989">
        <v>800</v>
      </c>
      <c r="F1989" t="s">
        <v>19585</v>
      </c>
      <c r="G1989" t="s">
        <v>4707</v>
      </c>
      <c r="H1989" t="str">
        <f t="shared" si="62"/>
        <v>Rambler800Waco</v>
      </c>
      <c r="I1989" t="str">
        <f t="shared" si="63"/>
        <v>Rambler</v>
      </c>
      <c r="J1989" s="82">
        <f>IFERROR(INDEX('All Folders'!$A:$A,MATCH(H1989,'All Folders'!$G:$G,0),1),"¶")</f>
        <v>30434</v>
      </c>
      <c r="K1989" s="87"/>
      <c r="L1989" s="87"/>
    </row>
    <row r="1990" spans="1:12" x14ac:dyDescent="0.3">
      <c r="A1990" t="s">
        <v>21972</v>
      </c>
      <c r="B1990" t="s">
        <v>19589</v>
      </c>
      <c r="C1990" t="s">
        <v>19590</v>
      </c>
      <c r="D1990" t="s">
        <v>19591</v>
      </c>
      <c r="E1990">
        <v>1901</v>
      </c>
      <c r="F1990" t="s">
        <v>19592</v>
      </c>
      <c r="G1990" t="s">
        <v>4707</v>
      </c>
      <c r="H1990" t="str">
        <f t="shared" si="62"/>
        <v>Richter1901Waco</v>
      </c>
      <c r="I1990" t="str">
        <f t="shared" si="63"/>
        <v>Richter</v>
      </c>
      <c r="J1990" s="82">
        <f>IFERROR(INDEX('All Folders'!$A:$A,MATCH(H1990,'All Folders'!$G:$G,0),1),"¶")</f>
        <v>30437</v>
      </c>
      <c r="K1990" s="87"/>
      <c r="L1990" s="87"/>
    </row>
    <row r="1991" spans="1:12" x14ac:dyDescent="0.3">
      <c r="A1991" t="s">
        <v>21973</v>
      </c>
      <c r="B1991" t="s">
        <v>19593</v>
      </c>
      <c r="C1991" t="s">
        <v>19594</v>
      </c>
      <c r="D1991" t="s">
        <v>19595</v>
      </c>
      <c r="E1991">
        <v>5210</v>
      </c>
      <c r="F1991" t="s">
        <v>19596</v>
      </c>
      <c r="G1991" t="s">
        <v>4707</v>
      </c>
      <c r="H1991" t="str">
        <f t="shared" si="62"/>
        <v>Bagby5210Waco</v>
      </c>
      <c r="I1991" t="str">
        <f t="shared" si="63"/>
        <v>Bagby</v>
      </c>
      <c r="J1991" s="82">
        <f>IFERROR(INDEX('All Folders'!$A:$A,MATCH(H1991,'All Folders'!$G:$G,0),1),"¶")</f>
        <v>30421</v>
      </c>
      <c r="K1991" s="87"/>
      <c r="L1991" s="87"/>
    </row>
    <row r="1992" spans="1:12" x14ac:dyDescent="0.3">
      <c r="A1992" t="s">
        <v>21974</v>
      </c>
      <c r="B1992" t="s">
        <v>19597</v>
      </c>
      <c r="C1992" t="s">
        <v>19598</v>
      </c>
      <c r="D1992" t="s">
        <v>19599</v>
      </c>
      <c r="E1992">
        <v>9900</v>
      </c>
      <c r="F1992" t="s">
        <v>19600</v>
      </c>
      <c r="G1992" t="s">
        <v>4707</v>
      </c>
      <c r="H1992" t="str">
        <f t="shared" si="62"/>
        <v>China9900Waco</v>
      </c>
      <c r="I1992" t="str">
        <f t="shared" si="63"/>
        <v>China</v>
      </c>
      <c r="J1992" s="82">
        <f>IFERROR(INDEX('All Folders'!$A:$A,MATCH(H1992,'All Folders'!$G:$G,0),1),"¶")</f>
        <v>30422</v>
      </c>
      <c r="K1992" s="87"/>
      <c r="L1992" s="87"/>
    </row>
    <row r="1993" spans="1:12" x14ac:dyDescent="0.3">
      <c r="A1993" t="s">
        <v>21975</v>
      </c>
      <c r="B1993" t="s">
        <v>19601</v>
      </c>
      <c r="C1993" t="s">
        <v>19602</v>
      </c>
      <c r="D1993" t="s">
        <v>19573</v>
      </c>
      <c r="E1993">
        <v>4801</v>
      </c>
      <c r="F1993" t="s">
        <v>6845</v>
      </c>
      <c r="G1993" t="s">
        <v>4707</v>
      </c>
      <c r="H1993" t="str">
        <f t="shared" si="62"/>
        <v>Sanger4801Waco</v>
      </c>
      <c r="I1993" t="str">
        <f t="shared" si="63"/>
        <v>Sanger</v>
      </c>
      <c r="J1993" s="82">
        <f>IFERROR(INDEX('All Folders'!$A:$A,MATCH(H1993,'All Folders'!$G:$G,0),1),"¶")</f>
        <v>30442</v>
      </c>
      <c r="K1993" s="87"/>
      <c r="L1993" s="87"/>
    </row>
    <row r="1994" spans="1:12" x14ac:dyDescent="0.3">
      <c r="A1994" t="s">
        <v>21976</v>
      </c>
      <c r="B1994" t="s">
        <v>19603</v>
      </c>
      <c r="C1994" t="s">
        <v>19604</v>
      </c>
      <c r="D1994" t="s">
        <v>19605</v>
      </c>
      <c r="E1994">
        <v>728</v>
      </c>
      <c r="F1994" t="s">
        <v>11969</v>
      </c>
      <c r="G1994" t="s">
        <v>4707</v>
      </c>
      <c r="H1994" t="str">
        <f t="shared" si="62"/>
        <v>Neil728Waco</v>
      </c>
      <c r="I1994" t="str">
        <f t="shared" si="63"/>
        <v>Neil</v>
      </c>
      <c r="J1994" s="82">
        <f>IFERROR(INDEX('All Folders'!$A:$A,MATCH(H1994,'All Folders'!$G:$G,0),1),"¶")</f>
        <v>30430</v>
      </c>
      <c r="K1994" s="87"/>
      <c r="L1994" s="87"/>
    </row>
    <row r="1995" spans="1:12" x14ac:dyDescent="0.3">
      <c r="A1995" t="s">
        <v>21978</v>
      </c>
      <c r="B1995" t="s">
        <v>19610</v>
      </c>
      <c r="C1995" t="s">
        <v>19611</v>
      </c>
      <c r="D1995" t="s">
        <v>19612</v>
      </c>
      <c r="E1995">
        <v>805</v>
      </c>
      <c r="F1995" t="s">
        <v>11977</v>
      </c>
      <c r="G1995" t="s">
        <v>4707</v>
      </c>
      <c r="H1995" t="str">
        <f t="shared" si="62"/>
        <v>Richland805Waco</v>
      </c>
      <c r="I1995" t="str">
        <f t="shared" si="63"/>
        <v>Richland</v>
      </c>
      <c r="J1995" s="82" t="str">
        <f>IFERROR(INDEX('All Folders'!$A:$A,MATCH(H1995,'All Folders'!$G:$G,0),1),"¶")</f>
        <v>¶</v>
      </c>
      <c r="K1995" s="87" t="s">
        <v>22232</v>
      </c>
      <c r="L1995" s="87" t="s">
        <v>22292</v>
      </c>
    </row>
    <row r="1996" spans="1:12" x14ac:dyDescent="0.3">
      <c r="A1996" t="s">
        <v>21979</v>
      </c>
      <c r="B1996" t="s">
        <v>19613</v>
      </c>
      <c r="C1996" t="s">
        <v>19614</v>
      </c>
      <c r="D1996" t="s">
        <v>19615</v>
      </c>
      <c r="E1996">
        <v>1500</v>
      </c>
      <c r="F1996" t="s">
        <v>11994</v>
      </c>
      <c r="G1996" t="s">
        <v>4707</v>
      </c>
      <c r="H1996" t="str">
        <f t="shared" si="62"/>
        <v>Western1500Waco</v>
      </c>
      <c r="I1996" t="str">
        <f t="shared" si="63"/>
        <v>Western</v>
      </c>
      <c r="J1996" s="82">
        <f>IFERROR(INDEX('All Folders'!$A:$A,MATCH(H1996,'All Folders'!$G:$G,0),1),"¶")</f>
        <v>30445</v>
      </c>
      <c r="K1996" s="87"/>
      <c r="L1996" s="87"/>
    </row>
    <row r="1997" spans="1:12" x14ac:dyDescent="0.3">
      <c r="A1997" t="s">
        <v>21980</v>
      </c>
      <c r="B1997" t="s">
        <v>19616</v>
      </c>
      <c r="C1997" t="s">
        <v>19617</v>
      </c>
      <c r="D1997" t="s">
        <v>19618</v>
      </c>
      <c r="E1997">
        <v>2482</v>
      </c>
      <c r="F1997" t="s">
        <v>12448</v>
      </c>
      <c r="G1997" t="s">
        <v>12449</v>
      </c>
      <c r="H1997" t="str">
        <f t="shared" si="62"/>
        <v>Lake2482Waldorf</v>
      </c>
      <c r="I1997" t="str">
        <f t="shared" si="63"/>
        <v>Lake</v>
      </c>
      <c r="J1997" s="82">
        <f>IFERROR(INDEX('All Folders'!$A:$A,MATCH(H1997,'All Folders'!$G:$G,0),1),"¶")</f>
        <v>30762</v>
      </c>
      <c r="K1997" s="87"/>
      <c r="L1997" s="87"/>
    </row>
    <row r="1998" spans="1:12" x14ac:dyDescent="0.3">
      <c r="A1998" t="s">
        <v>21981</v>
      </c>
      <c r="B1998" t="s">
        <v>19619</v>
      </c>
      <c r="C1998" t="s">
        <v>19620</v>
      </c>
      <c r="D1998" t="s">
        <v>19392</v>
      </c>
      <c r="E1998">
        <v>501</v>
      </c>
      <c r="F1998" t="s">
        <v>19621</v>
      </c>
      <c r="G1998" t="s">
        <v>6559</v>
      </c>
      <c r="H1998" t="str">
        <f t="shared" si="62"/>
        <v>Houston501Waxahachie</v>
      </c>
      <c r="I1998" t="str">
        <f t="shared" si="63"/>
        <v>Houston</v>
      </c>
      <c r="J1998" s="82">
        <f>IFERROR(INDEX('All Folders'!$A:$A,MATCH(H1998,'All Folders'!$G:$G,0),1),"¶")</f>
        <v>30253</v>
      </c>
      <c r="K1998" s="87"/>
      <c r="L1998" s="87"/>
    </row>
    <row r="1999" spans="1:12" x14ac:dyDescent="0.3">
      <c r="A1999" t="s">
        <v>21982</v>
      </c>
      <c r="B1999" t="s">
        <v>19622</v>
      </c>
      <c r="C1999" t="s">
        <v>19623</v>
      </c>
      <c r="D1999" t="s">
        <v>19624</v>
      </c>
      <c r="E1999">
        <v>816</v>
      </c>
      <c r="F1999" t="s">
        <v>19625</v>
      </c>
      <c r="G1999" t="s">
        <v>6559</v>
      </c>
      <c r="H1999" t="str">
        <f t="shared" si="62"/>
        <v>Azalea816Waxahachie</v>
      </c>
      <c r="I1999" t="str">
        <f t="shared" si="63"/>
        <v>Azalea</v>
      </c>
      <c r="J1999" s="82" t="str">
        <f>IFERROR(INDEX('All Folders'!$A:$A,MATCH(H1999,'All Folders'!$G:$G,0),1),"¶")</f>
        <v>SP217</v>
      </c>
      <c r="K1999" s="87"/>
      <c r="L1999" s="87"/>
    </row>
    <row r="2000" spans="1:12" x14ac:dyDescent="0.3">
      <c r="A2000" t="s">
        <v>21983</v>
      </c>
      <c r="B2000" t="s">
        <v>19626</v>
      </c>
      <c r="C2000" t="s">
        <v>19627</v>
      </c>
      <c r="D2000" t="s">
        <v>19628</v>
      </c>
      <c r="E2000">
        <v>155</v>
      </c>
      <c r="F2000" t="s">
        <v>19629</v>
      </c>
      <c r="G2000" t="s">
        <v>6559</v>
      </c>
      <c r="H2000" t="str">
        <f t="shared" si="62"/>
        <v>Lakeside155Waxahachie</v>
      </c>
      <c r="I2000" t="str">
        <f t="shared" si="63"/>
        <v>Lakeside</v>
      </c>
      <c r="J2000" s="82">
        <f>IFERROR(INDEX('All Folders'!$A:$A,MATCH(H2000,'All Folders'!$G:$G,0),1),"¶")</f>
        <v>16021</v>
      </c>
      <c r="K2000" s="87"/>
      <c r="L2000" s="87"/>
    </row>
    <row r="2001" spans="1:12" x14ac:dyDescent="0.3">
      <c r="A2001" t="s">
        <v>21984</v>
      </c>
      <c r="B2001" t="s">
        <v>19630</v>
      </c>
      <c r="C2001" t="s">
        <v>19631</v>
      </c>
      <c r="D2001" t="s">
        <v>19632</v>
      </c>
      <c r="E2001">
        <v>518</v>
      </c>
      <c r="F2001" t="s">
        <v>12800</v>
      </c>
      <c r="G2001" t="s">
        <v>6559</v>
      </c>
      <c r="H2001" t="str">
        <f t="shared" si="62"/>
        <v>Rogers518Waxahachie</v>
      </c>
      <c r="I2001" t="str">
        <f t="shared" si="63"/>
        <v>Rogers</v>
      </c>
      <c r="J2001" s="82" t="str">
        <f>IFERROR(INDEX('All Folders'!$A:$A,MATCH(H2001,'All Folders'!$G:$G,0),1),"¶")</f>
        <v>SP219</v>
      </c>
      <c r="K2001" s="87"/>
      <c r="L2001" s="87"/>
    </row>
    <row r="2002" spans="1:12" x14ac:dyDescent="0.3">
      <c r="A2002" t="s">
        <v>21985</v>
      </c>
      <c r="B2002" t="s">
        <v>19633</v>
      </c>
      <c r="C2002" t="s">
        <v>19634</v>
      </c>
      <c r="D2002" t="s">
        <v>12797</v>
      </c>
      <c r="E2002">
        <v>803</v>
      </c>
      <c r="F2002" t="s">
        <v>19635</v>
      </c>
      <c r="G2002" t="s">
        <v>6559</v>
      </c>
      <c r="H2002" t="str">
        <f t="shared" si="62"/>
        <v>Hibiscus803Waxahachie</v>
      </c>
      <c r="I2002" t="str">
        <f t="shared" si="63"/>
        <v>Hibiscus</v>
      </c>
      <c r="J2002" s="82" t="str">
        <f>IFERROR(INDEX('All Folders'!$A:$A,MATCH(H2002,'All Folders'!$G:$G,0),1),"¶")</f>
        <v>SP218</v>
      </c>
      <c r="K2002" s="87"/>
      <c r="L2002" s="87"/>
    </row>
    <row r="2003" spans="1:12" x14ac:dyDescent="0.3">
      <c r="A2003" t="s">
        <v>21986</v>
      </c>
      <c r="B2003" t="s">
        <v>19636</v>
      </c>
      <c r="C2003" t="s">
        <v>19637</v>
      </c>
      <c r="D2003" t="s">
        <v>19638</v>
      </c>
      <c r="E2003">
        <v>1250</v>
      </c>
      <c r="F2003" t="s">
        <v>19639</v>
      </c>
      <c r="G2003" t="s">
        <v>6559</v>
      </c>
      <c r="H2003" t="str">
        <f t="shared" si="62"/>
        <v>2871250Waxahachie</v>
      </c>
      <c r="I2003" t="str">
        <f t="shared" si="63"/>
        <v>287</v>
      </c>
      <c r="J2003" s="82">
        <f>IFERROR(INDEX('All Folders'!$A:$A,MATCH(H2003,'All Folders'!$G:$G,0),1),"¶")</f>
        <v>18650</v>
      </c>
      <c r="K2003" s="87"/>
      <c r="L2003" s="87"/>
    </row>
    <row r="2004" spans="1:12" x14ac:dyDescent="0.3">
      <c r="A2004" t="s">
        <v>21987</v>
      </c>
      <c r="B2004" t="s">
        <v>19640</v>
      </c>
      <c r="C2004" t="s">
        <v>19641</v>
      </c>
      <c r="D2004" t="s">
        <v>19642</v>
      </c>
      <c r="E2004">
        <v>803</v>
      </c>
      <c r="F2004" t="s">
        <v>19643</v>
      </c>
      <c r="G2004" t="s">
        <v>6559</v>
      </c>
      <c r="H2004" t="str">
        <f t="shared" si="62"/>
        <v>35803Waxahachie</v>
      </c>
      <c r="I2004" t="str">
        <f t="shared" si="63"/>
        <v>35</v>
      </c>
      <c r="J2004" s="82">
        <f>IFERROR(INDEX('All Folders'!$A:$A,MATCH(H2004,'All Folders'!$G:$G,0),1),"¶")</f>
        <v>30255</v>
      </c>
      <c r="K2004" s="87"/>
      <c r="L2004" s="87"/>
    </row>
    <row r="2005" spans="1:12" x14ac:dyDescent="0.3">
      <c r="A2005" t="s">
        <v>21988</v>
      </c>
      <c r="B2005" t="s">
        <v>19644</v>
      </c>
      <c r="C2005" t="s">
        <v>19645</v>
      </c>
      <c r="D2005" t="s">
        <v>11683</v>
      </c>
      <c r="E2005">
        <v>804</v>
      </c>
      <c r="F2005" t="s">
        <v>19646</v>
      </c>
      <c r="G2005" t="s">
        <v>6559</v>
      </c>
      <c r="H2005" t="str">
        <f t="shared" si="62"/>
        <v>Nandina804Waxahachie</v>
      </c>
      <c r="I2005" t="str">
        <f t="shared" si="63"/>
        <v>Nandina</v>
      </c>
      <c r="J2005" s="82">
        <f>IFERROR(INDEX('All Folders'!$A:$A,MATCH(H2005,'All Folders'!$G:$G,0),1),"¶")</f>
        <v>30254</v>
      </c>
      <c r="K2005" s="87"/>
      <c r="L2005" s="87"/>
    </row>
    <row r="2006" spans="1:12" x14ac:dyDescent="0.3">
      <c r="A2006" t="s">
        <v>21989</v>
      </c>
      <c r="B2006" t="s">
        <v>19647</v>
      </c>
      <c r="C2006" t="s">
        <v>19648</v>
      </c>
      <c r="D2006" t="s">
        <v>19649</v>
      </c>
      <c r="E2006">
        <v>2200</v>
      </c>
      <c r="F2006" t="s">
        <v>19650</v>
      </c>
      <c r="G2006" t="s">
        <v>6559</v>
      </c>
      <c r="H2006" t="str">
        <f t="shared" si="62"/>
        <v>Brown2200Waxahachie</v>
      </c>
      <c r="I2006" t="str">
        <f t="shared" si="63"/>
        <v>Brown</v>
      </c>
      <c r="J2006" s="82">
        <f>IFERROR(INDEX('All Folders'!$A:$A,MATCH(H2006,'All Folders'!$G:$G,0),1),"¶")</f>
        <v>17644</v>
      </c>
      <c r="K2006" s="87"/>
      <c r="L2006" s="87"/>
    </row>
    <row r="2007" spans="1:12" x14ac:dyDescent="0.3">
      <c r="A2007" t="s">
        <v>21990</v>
      </c>
      <c r="B2007" t="s">
        <v>19651</v>
      </c>
      <c r="C2007" t="s">
        <v>19652</v>
      </c>
      <c r="D2007" t="s">
        <v>15766</v>
      </c>
      <c r="E2007">
        <v>1011</v>
      </c>
      <c r="F2007" t="s">
        <v>19653</v>
      </c>
      <c r="G2007" t="s">
        <v>7522</v>
      </c>
      <c r="H2007" t="str">
        <f t="shared" si="62"/>
        <v>Vine1011Weatherford</v>
      </c>
      <c r="I2007" t="str">
        <f t="shared" si="63"/>
        <v>Vine</v>
      </c>
      <c r="J2007" s="82" t="str">
        <f>IFERROR(INDEX('All Folders'!$A:$A,MATCH(H2007,'All Folders'!$G:$G,0),1),"¶")</f>
        <v>SP220</v>
      </c>
      <c r="K2007" s="87"/>
      <c r="L2007" s="87"/>
    </row>
    <row r="2008" spans="1:12" x14ac:dyDescent="0.3">
      <c r="A2008" t="s">
        <v>21991</v>
      </c>
      <c r="B2008" t="s">
        <v>19654</v>
      </c>
      <c r="C2008" t="s">
        <v>19655</v>
      </c>
      <c r="D2008" t="s">
        <v>19656</v>
      </c>
      <c r="E2008">
        <v>1513</v>
      </c>
      <c r="F2008" t="s">
        <v>19657</v>
      </c>
      <c r="G2008" t="s">
        <v>7522</v>
      </c>
      <c r="H2008" t="str">
        <f t="shared" si="62"/>
        <v>Santa1513Weatherford</v>
      </c>
      <c r="I2008" t="str">
        <f t="shared" si="63"/>
        <v>Santa</v>
      </c>
      <c r="J2008" s="82">
        <f>IFERROR(INDEX('All Folders'!$A:$A,MATCH(H2008,'All Folders'!$G:$G,0),1),"¶")</f>
        <v>18491</v>
      </c>
      <c r="K2008" s="87"/>
      <c r="L2008" s="87"/>
    </row>
    <row r="2009" spans="1:12" x14ac:dyDescent="0.3">
      <c r="A2009" t="s">
        <v>21992</v>
      </c>
      <c r="B2009" t="s">
        <v>19658</v>
      </c>
      <c r="C2009" t="s">
        <v>19659</v>
      </c>
      <c r="D2009" t="s">
        <v>19660</v>
      </c>
      <c r="E2009">
        <v>1650</v>
      </c>
      <c r="F2009" t="s">
        <v>19661</v>
      </c>
      <c r="G2009" t="s">
        <v>7522</v>
      </c>
      <c r="H2009" t="str">
        <f t="shared" si="62"/>
        <v>Holland1650Weatherford</v>
      </c>
      <c r="I2009" t="str">
        <f t="shared" si="63"/>
        <v>Holland</v>
      </c>
      <c r="J2009" s="82">
        <f>IFERROR(INDEX('All Folders'!$A:$A,MATCH(H2009,'All Folders'!$G:$G,0),1),"¶")</f>
        <v>16331</v>
      </c>
      <c r="K2009" s="87"/>
      <c r="L2009" s="87"/>
    </row>
    <row r="2010" spans="1:12" x14ac:dyDescent="0.3">
      <c r="A2010" t="s">
        <v>21994</v>
      </c>
      <c r="B2010" t="s">
        <v>19666</v>
      </c>
      <c r="C2010" t="s">
        <v>19667</v>
      </c>
      <c r="D2010" t="s">
        <v>19668</v>
      </c>
      <c r="E2010">
        <v>1121</v>
      </c>
      <c r="F2010" t="s">
        <v>19669</v>
      </c>
      <c r="G2010" t="s">
        <v>7522</v>
      </c>
      <c r="H2010" t="str">
        <f t="shared" si="62"/>
        <v>Jameson1121Weatherford</v>
      </c>
      <c r="I2010" t="str">
        <f t="shared" si="63"/>
        <v>Jameson</v>
      </c>
      <c r="J2010" s="82">
        <f>IFERROR(INDEX('All Folders'!$A:$A,MATCH(H2010,'All Folders'!$G:$G,0),1),"¶")</f>
        <v>30258</v>
      </c>
      <c r="K2010" s="87"/>
      <c r="L2010" s="87"/>
    </row>
    <row r="2011" spans="1:12" x14ac:dyDescent="0.3">
      <c r="A2011" t="s">
        <v>21995</v>
      </c>
      <c r="B2011" t="s">
        <v>19670</v>
      </c>
      <c r="C2011" t="s">
        <v>19671</v>
      </c>
      <c r="D2011" t="s">
        <v>19672</v>
      </c>
      <c r="E2011">
        <v>2216</v>
      </c>
      <c r="F2011" t="s">
        <v>11691</v>
      </c>
      <c r="G2011" t="s">
        <v>7522</v>
      </c>
      <c r="H2011" t="str">
        <f t="shared" si="62"/>
        <v>Marilyn2216Weatherford</v>
      </c>
      <c r="I2011" t="str">
        <f t="shared" si="63"/>
        <v>Marilyn</v>
      </c>
      <c r="J2011" s="82">
        <f>IFERROR(INDEX('All Folders'!$A:$A,MATCH(H2011,'All Folders'!$G:$G,0),1),"¶")</f>
        <v>30259</v>
      </c>
      <c r="K2011" s="87"/>
      <c r="L2011" s="87"/>
    </row>
    <row r="2012" spans="1:12" x14ac:dyDescent="0.3">
      <c r="A2012" t="s">
        <v>21997</v>
      </c>
      <c r="B2012" t="s">
        <v>19676</v>
      </c>
      <c r="C2012" t="s">
        <v>19677</v>
      </c>
      <c r="D2012" t="s">
        <v>19678</v>
      </c>
      <c r="E2012">
        <v>2024</v>
      </c>
      <c r="F2012" t="s">
        <v>19679</v>
      </c>
      <c r="G2012" t="s">
        <v>7522</v>
      </c>
      <c r="H2012" t="str">
        <f t="shared" si="62"/>
        <v>Tin2024Weatherford</v>
      </c>
      <c r="I2012" t="str">
        <f t="shared" si="63"/>
        <v>Tin</v>
      </c>
      <c r="J2012" s="82">
        <f>IFERROR(INDEX('All Folders'!$A:$A,MATCH(H2012,'All Folders'!$G:$G,0),1),"¶")</f>
        <v>30261</v>
      </c>
      <c r="K2012" s="87"/>
      <c r="L2012" s="87"/>
    </row>
    <row r="2013" spans="1:12" x14ac:dyDescent="0.3">
      <c r="A2013" t="s">
        <v>21998</v>
      </c>
      <c r="B2013" t="s">
        <v>19680</v>
      </c>
      <c r="C2013" t="s">
        <v>19681</v>
      </c>
      <c r="D2013" t="s">
        <v>19682</v>
      </c>
      <c r="E2013">
        <v>800</v>
      </c>
      <c r="F2013" t="s">
        <v>19683</v>
      </c>
      <c r="G2013" t="s">
        <v>4249</v>
      </c>
      <c r="H2013" t="str">
        <f t="shared" si="62"/>
        <v>Nasa800Webster</v>
      </c>
      <c r="I2013" t="str">
        <f t="shared" si="63"/>
        <v>Nasa</v>
      </c>
      <c r="J2013" s="82">
        <f>IFERROR(INDEX('All Folders'!$A:$A,MATCH(H2013,'All Folders'!$G:$G,0),1),"¶")</f>
        <v>4058</v>
      </c>
      <c r="K2013" s="87"/>
      <c r="L2013" s="87"/>
    </row>
    <row r="2014" spans="1:12" x14ac:dyDescent="0.3">
      <c r="A2014" t="s">
        <v>21999</v>
      </c>
      <c r="B2014" t="s">
        <v>19684</v>
      </c>
      <c r="C2014" t="s">
        <v>19685</v>
      </c>
      <c r="D2014" t="s">
        <v>19686</v>
      </c>
      <c r="E2014">
        <v>15240</v>
      </c>
      <c r="F2014" t="s">
        <v>19687</v>
      </c>
      <c r="G2014" t="s">
        <v>4249</v>
      </c>
      <c r="H2014" t="str">
        <f t="shared" si="62"/>
        <v>Galveston15240Webster</v>
      </c>
      <c r="I2014" t="str">
        <f t="shared" si="63"/>
        <v>Galveston</v>
      </c>
      <c r="J2014" s="82">
        <f>IFERROR(INDEX('All Folders'!$A:$A,MATCH(H2014,'All Folders'!$G:$G,0),1),"¶")</f>
        <v>4024</v>
      </c>
      <c r="K2014" s="87"/>
      <c r="L2014" s="87"/>
    </row>
    <row r="2015" spans="1:12" x14ac:dyDescent="0.3">
      <c r="A2015" t="s">
        <v>22000</v>
      </c>
      <c r="B2015" t="s">
        <v>19688</v>
      </c>
      <c r="C2015" t="s">
        <v>19689</v>
      </c>
      <c r="D2015" t="s">
        <v>19690</v>
      </c>
      <c r="E2015">
        <v>1799</v>
      </c>
      <c r="F2015" t="s">
        <v>10546</v>
      </c>
      <c r="G2015" t="s">
        <v>4249</v>
      </c>
      <c r="H2015" t="str">
        <f t="shared" si="62"/>
        <v>5281799Webster</v>
      </c>
      <c r="I2015" t="str">
        <f t="shared" si="63"/>
        <v>528</v>
      </c>
      <c r="J2015" s="82">
        <f>IFERROR(INDEX('All Folders'!$A:$A,MATCH(H2015,'All Folders'!$G:$G,0),1),"¶")</f>
        <v>18196</v>
      </c>
      <c r="K2015" s="87"/>
      <c r="L2015" s="87"/>
    </row>
    <row r="2016" spans="1:12" x14ac:dyDescent="0.3">
      <c r="A2016" t="s">
        <v>22002</v>
      </c>
      <c r="B2016" t="s">
        <v>19693</v>
      </c>
      <c r="C2016" t="s">
        <v>19694</v>
      </c>
      <c r="D2016" t="s">
        <v>19695</v>
      </c>
      <c r="E2016">
        <v>1823</v>
      </c>
      <c r="F2016" t="s">
        <v>1678</v>
      </c>
      <c r="G2016" t="s">
        <v>12092</v>
      </c>
      <c r="H2016" t="str">
        <f t="shared" si="62"/>
        <v>Stadium1823Wharton</v>
      </c>
      <c r="I2016" t="str">
        <f t="shared" si="63"/>
        <v>Stadium</v>
      </c>
      <c r="J2016" s="82">
        <f>IFERROR(INDEX('All Folders'!$A:$A,MATCH(H2016,'All Folders'!$G:$G,0),1),"¶")</f>
        <v>30532</v>
      </c>
      <c r="K2016" s="87"/>
      <c r="L2016" s="87"/>
    </row>
    <row r="2017" spans="1:12" x14ac:dyDescent="0.3">
      <c r="A2017" t="s">
        <v>22004</v>
      </c>
      <c r="B2017" t="s">
        <v>19700</v>
      </c>
      <c r="C2017" t="s">
        <v>19701</v>
      </c>
      <c r="D2017" t="s">
        <v>19702</v>
      </c>
      <c r="E2017">
        <v>714</v>
      </c>
      <c r="F2017" t="s">
        <v>19703</v>
      </c>
      <c r="G2017" t="s">
        <v>7120</v>
      </c>
      <c r="H2017" t="str">
        <f t="shared" si="62"/>
        <v>Lariat714White Settlement</v>
      </c>
      <c r="I2017" t="str">
        <f t="shared" si="63"/>
        <v>Lariat</v>
      </c>
      <c r="J2017" s="82" t="str">
        <f>IFERROR(INDEX('All Folders'!$A:$A,MATCH(H2017,'All Folders'!$G:$G,0),1),"¶")</f>
        <v>SP222</v>
      </c>
      <c r="K2017" s="87"/>
      <c r="L2017" s="87"/>
    </row>
    <row r="2018" spans="1:12" x14ac:dyDescent="0.3">
      <c r="A2018" t="s">
        <v>22005</v>
      </c>
      <c r="B2018" t="s">
        <v>19704</v>
      </c>
      <c r="C2018" t="s">
        <v>19705</v>
      </c>
      <c r="D2018" t="s">
        <v>19706</v>
      </c>
      <c r="E2018">
        <v>8040</v>
      </c>
      <c r="F2018" t="s">
        <v>19707</v>
      </c>
      <c r="G2018" t="s">
        <v>7120</v>
      </c>
      <c r="H2018" t="str">
        <f t="shared" si="62"/>
        <v>Cambridge8040White Settlement</v>
      </c>
      <c r="I2018" t="str">
        <f t="shared" si="63"/>
        <v>Cambridge</v>
      </c>
      <c r="J2018" s="82" t="str">
        <f>IFERROR(INDEX('All Folders'!$A:$A,MATCH(H2018,'All Folders'!$G:$G,0),1),"¶")</f>
        <v>SP221</v>
      </c>
      <c r="K2018" s="87"/>
      <c r="L2018" s="87"/>
    </row>
    <row r="2019" spans="1:12" x14ac:dyDescent="0.3">
      <c r="A2019" t="s">
        <v>22006</v>
      </c>
      <c r="B2019" t="s">
        <v>19708</v>
      </c>
      <c r="C2019" t="s">
        <v>19709</v>
      </c>
      <c r="D2019" t="s">
        <v>19710</v>
      </c>
      <c r="E2019">
        <v>1200</v>
      </c>
      <c r="F2019" t="s">
        <v>19711</v>
      </c>
      <c r="G2019" t="s">
        <v>12140</v>
      </c>
      <c r="H2019" t="str">
        <f t="shared" si="62"/>
        <v>Ridgeway1200Wichita Falls</v>
      </c>
      <c r="I2019" t="str">
        <f t="shared" si="63"/>
        <v>Ridgeway</v>
      </c>
      <c r="J2019" s="82">
        <f>IFERROR(INDEX('All Folders'!$A:$A,MATCH(H2019,'All Folders'!$G:$G,0),1),"¶")</f>
        <v>30583</v>
      </c>
      <c r="K2019" s="87"/>
      <c r="L2019" s="87"/>
    </row>
    <row r="2020" spans="1:12" x14ac:dyDescent="0.3">
      <c r="A2020" t="s">
        <v>22007</v>
      </c>
      <c r="B2020" t="s">
        <v>19712</v>
      </c>
      <c r="C2020" t="s">
        <v>19713</v>
      </c>
      <c r="D2020" t="s">
        <v>19714</v>
      </c>
      <c r="E2020">
        <v>1520</v>
      </c>
      <c r="F2020" t="s">
        <v>12172</v>
      </c>
      <c r="G2020" t="s">
        <v>12140</v>
      </c>
      <c r="H2020" t="str">
        <f t="shared" si="62"/>
        <v>Trout1520Wichita Falls</v>
      </c>
      <c r="I2020" t="str">
        <f t="shared" si="63"/>
        <v>Trout</v>
      </c>
      <c r="J2020" s="82">
        <f>IFERROR(INDEX('All Folders'!$A:$A,MATCH(H2020,'All Folders'!$G:$G,0),1),"¶")</f>
        <v>30593</v>
      </c>
      <c r="K2020" s="87"/>
      <c r="L2020" s="87"/>
    </row>
    <row r="2021" spans="1:12" x14ac:dyDescent="0.3">
      <c r="A2021" t="s">
        <v>22008</v>
      </c>
      <c r="B2021" t="s">
        <v>19715</v>
      </c>
      <c r="C2021" t="s">
        <v>19716</v>
      </c>
      <c r="D2021" t="s">
        <v>12146</v>
      </c>
      <c r="E2021">
        <v>4201</v>
      </c>
      <c r="F2021" t="s">
        <v>19717</v>
      </c>
      <c r="G2021" t="s">
        <v>12140</v>
      </c>
      <c r="H2021" t="str">
        <f t="shared" si="62"/>
        <v>Cedar4201Wichita Falls</v>
      </c>
      <c r="I2021" t="str">
        <f t="shared" si="63"/>
        <v>Cedar</v>
      </c>
      <c r="J2021" s="82">
        <f>IFERROR(INDEX('All Folders'!$A:$A,MATCH(H2021,'All Folders'!$G:$G,0),1),"¶")</f>
        <v>30569</v>
      </c>
      <c r="K2021" s="87"/>
      <c r="L2021" s="87"/>
    </row>
    <row r="2022" spans="1:12" x14ac:dyDescent="0.3">
      <c r="A2022" t="s">
        <v>22009</v>
      </c>
      <c r="B2022" t="s">
        <v>19718</v>
      </c>
      <c r="C2022" t="s">
        <v>19719</v>
      </c>
      <c r="D2022" t="s">
        <v>12155</v>
      </c>
      <c r="E2022">
        <v>1510</v>
      </c>
      <c r="F2022" t="s">
        <v>19720</v>
      </c>
      <c r="G2022" t="s">
        <v>12140</v>
      </c>
      <c r="H2022" t="str">
        <f t="shared" si="62"/>
        <v>Nunneley1510Wichita Falls</v>
      </c>
      <c r="I2022" t="str">
        <f t="shared" si="63"/>
        <v>Nunneley</v>
      </c>
      <c r="J2022" s="82">
        <f>IFERROR(INDEX('All Folders'!$A:$A,MATCH(H2022,'All Folders'!$G:$G,0),1),"¶")</f>
        <v>30576</v>
      </c>
      <c r="K2022" s="87"/>
      <c r="L2022" s="87"/>
    </row>
    <row r="2023" spans="1:12" x14ac:dyDescent="0.3">
      <c r="A2023" t="s">
        <v>22010</v>
      </c>
      <c r="B2023" t="s">
        <v>19721</v>
      </c>
      <c r="C2023" t="s">
        <v>19722</v>
      </c>
      <c r="D2023" t="s">
        <v>19723</v>
      </c>
      <c r="E2023">
        <v>1701</v>
      </c>
      <c r="F2023" t="s">
        <v>19724</v>
      </c>
      <c r="G2023" t="s">
        <v>12140</v>
      </c>
      <c r="H2023" t="str">
        <f t="shared" si="62"/>
        <v>Pearlie1701Wichita Falls</v>
      </c>
      <c r="I2023" t="str">
        <f t="shared" si="63"/>
        <v>Pearlie</v>
      </c>
      <c r="J2023" s="82">
        <f>IFERROR(INDEX('All Folders'!$A:$A,MATCH(H2023,'All Folders'!$G:$G,0),1),"¶")</f>
        <v>30577</v>
      </c>
      <c r="K2023" s="87"/>
      <c r="L2023" s="87"/>
    </row>
    <row r="2024" spans="1:12" x14ac:dyDescent="0.3">
      <c r="A2024" t="s">
        <v>22011</v>
      </c>
      <c r="B2024" t="s">
        <v>19725</v>
      </c>
      <c r="C2024" t="s">
        <v>19726</v>
      </c>
      <c r="D2024" t="s">
        <v>19727</v>
      </c>
      <c r="E2024">
        <v>5601</v>
      </c>
      <c r="F2024" t="s">
        <v>19728</v>
      </c>
      <c r="G2024" t="s">
        <v>12140</v>
      </c>
      <c r="H2024" t="str">
        <f t="shared" si="62"/>
        <v>Central5601Wichita Falls</v>
      </c>
      <c r="I2024" t="str">
        <f t="shared" si="63"/>
        <v>Central</v>
      </c>
      <c r="J2024" s="82">
        <f>IFERROR(INDEX('All Folders'!$A:$A,MATCH(H2024,'All Folders'!$G:$G,0),1),"¶")</f>
        <v>30571</v>
      </c>
      <c r="K2024" s="87"/>
      <c r="L2024" s="87"/>
    </row>
    <row r="2025" spans="1:12" x14ac:dyDescent="0.3">
      <c r="A2025" t="s">
        <v>22012</v>
      </c>
      <c r="B2025" t="s">
        <v>19729</v>
      </c>
      <c r="C2025" t="s">
        <v>19730</v>
      </c>
      <c r="D2025" t="s">
        <v>19731</v>
      </c>
      <c r="E2025">
        <v>4800</v>
      </c>
      <c r="F2025" t="s">
        <v>7891</v>
      </c>
      <c r="G2025" t="s">
        <v>12140</v>
      </c>
      <c r="H2025" t="str">
        <f t="shared" si="62"/>
        <v>Brookdale4800Wichita Falls</v>
      </c>
      <c r="I2025" t="str">
        <f t="shared" si="63"/>
        <v>Brookdale</v>
      </c>
      <c r="J2025" s="82">
        <f>IFERROR(INDEX('All Folders'!$A:$A,MATCH(H2025,'All Folders'!$G:$G,0),1),"¶")</f>
        <v>30568</v>
      </c>
      <c r="K2025" s="87"/>
      <c r="L2025" s="87"/>
    </row>
    <row r="2026" spans="1:12" x14ac:dyDescent="0.3">
      <c r="A2026" t="s">
        <v>22013</v>
      </c>
      <c r="B2026" t="s">
        <v>19732</v>
      </c>
      <c r="C2026" t="s">
        <v>19733</v>
      </c>
      <c r="D2026" t="s">
        <v>19734</v>
      </c>
      <c r="E2026">
        <v>4709</v>
      </c>
      <c r="F2026" t="s">
        <v>6266</v>
      </c>
      <c r="G2026" t="s">
        <v>12140</v>
      </c>
      <c r="H2026" t="str">
        <f t="shared" si="62"/>
        <v>Taft4709Wichita Falls</v>
      </c>
      <c r="I2026" t="str">
        <f t="shared" si="63"/>
        <v>Taft</v>
      </c>
      <c r="J2026" s="82">
        <f>IFERROR(INDEX('All Folders'!$A:$A,MATCH(H2026,'All Folders'!$G:$G,0),1),"¶")</f>
        <v>30590</v>
      </c>
      <c r="K2026" s="87"/>
      <c r="L2026" s="87"/>
    </row>
    <row r="2027" spans="1:12" x14ac:dyDescent="0.3">
      <c r="A2027" t="s">
        <v>22015</v>
      </c>
      <c r="B2027" t="s">
        <v>19738</v>
      </c>
      <c r="C2027" t="s">
        <v>19739</v>
      </c>
      <c r="D2027" t="s">
        <v>19740</v>
      </c>
      <c r="E2027">
        <v>3919</v>
      </c>
      <c r="F2027" t="s">
        <v>19741</v>
      </c>
      <c r="G2027" t="s">
        <v>12140</v>
      </c>
      <c r="H2027" t="str">
        <f t="shared" si="62"/>
        <v>Barnett3919Wichita Falls</v>
      </c>
      <c r="I2027" t="str">
        <f t="shared" si="63"/>
        <v>Barnett</v>
      </c>
      <c r="J2027" s="82">
        <f>IFERROR(INDEX('All Folders'!$A:$A,MATCH(H2027,'All Folders'!$G:$G,0),1),"¶")</f>
        <v>30567</v>
      </c>
      <c r="K2027" s="87"/>
      <c r="L2027" s="87"/>
    </row>
    <row r="2028" spans="1:12" x14ac:dyDescent="0.3">
      <c r="A2028" t="s">
        <v>22016</v>
      </c>
      <c r="B2028" t="s">
        <v>19742</v>
      </c>
      <c r="C2028" t="s">
        <v>19743</v>
      </c>
      <c r="D2028" t="s">
        <v>19744</v>
      </c>
      <c r="E2028">
        <v>4806</v>
      </c>
      <c r="F2028" t="s">
        <v>19745</v>
      </c>
      <c r="G2028" t="s">
        <v>12140</v>
      </c>
      <c r="H2028" t="str">
        <f t="shared" si="62"/>
        <v>Johnson4806Wichita Falls</v>
      </c>
      <c r="I2028" t="str">
        <f t="shared" si="63"/>
        <v>Johnson</v>
      </c>
      <c r="J2028" s="82">
        <f>IFERROR(INDEX('All Folders'!$A:$A,MATCH(H2028,'All Folders'!$G:$G,0),1),"¶")</f>
        <v>30572</v>
      </c>
      <c r="K2028" s="87"/>
      <c r="L2028" s="87"/>
    </row>
    <row r="2029" spans="1:12" x14ac:dyDescent="0.3">
      <c r="A2029" t="s">
        <v>22018</v>
      </c>
      <c r="B2029" t="s">
        <v>19750</v>
      </c>
      <c r="C2029" t="s">
        <v>19751</v>
      </c>
      <c r="D2029" t="s">
        <v>19752</v>
      </c>
      <c r="E2029">
        <v>301</v>
      </c>
      <c r="F2029" t="s">
        <v>19753</v>
      </c>
      <c r="G2029" t="s">
        <v>5383</v>
      </c>
      <c r="H2029" t="str">
        <f t="shared" si="62"/>
        <v>Redbud301Wilmer</v>
      </c>
      <c r="I2029" t="str">
        <f t="shared" si="63"/>
        <v>Redbud</v>
      </c>
      <c r="J2029" s="82" t="str">
        <f>IFERROR(INDEX('All Folders'!$A:$A,MATCH(H2029,'All Folders'!$G:$G,0),1),"¶")</f>
        <v>SP223</v>
      </c>
      <c r="K2029" s="87"/>
      <c r="L2029" s="87"/>
    </row>
    <row r="2030" spans="1:12" x14ac:dyDescent="0.3">
      <c r="A2030" t="s">
        <v>22019</v>
      </c>
      <c r="B2030" t="s">
        <v>19754</v>
      </c>
      <c r="C2030" t="s">
        <v>19755</v>
      </c>
      <c r="D2030" t="s">
        <v>12444</v>
      </c>
      <c r="E2030">
        <v>2015</v>
      </c>
      <c r="F2030" t="s">
        <v>12445</v>
      </c>
      <c r="G2030" t="s">
        <v>12446</v>
      </c>
      <c r="H2030" t="str">
        <f t="shared" si="62"/>
        <v>New2015Winter Park</v>
      </c>
      <c r="I2030" t="str">
        <f t="shared" si="63"/>
        <v>New</v>
      </c>
      <c r="J2030" s="82">
        <f>IFERROR(INDEX('All Folders'!$A:$A,MATCH(H2030,'All Folders'!$G:$G,0),1),"¶")</f>
        <v>30761</v>
      </c>
      <c r="K2030" s="87"/>
      <c r="L2030" s="87"/>
    </row>
    <row r="2031" spans="1:12" x14ac:dyDescent="0.3">
      <c r="A2031" t="s">
        <v>22021</v>
      </c>
      <c r="B2031" t="s">
        <v>19760</v>
      </c>
      <c r="C2031" t="s">
        <v>19761</v>
      </c>
      <c r="D2031" t="s">
        <v>19762</v>
      </c>
      <c r="E2031">
        <v>103</v>
      </c>
      <c r="F2031" t="s">
        <v>19763</v>
      </c>
      <c r="G2031" t="s">
        <v>6215</v>
      </c>
      <c r="H2031" t="str">
        <f t="shared" si="62"/>
        <v>Brown103Wylie</v>
      </c>
      <c r="I2031" t="str">
        <f t="shared" si="63"/>
        <v>Brown</v>
      </c>
      <c r="J2031" s="82" t="str">
        <f>IFERROR(INDEX('All Folders'!$A:$A,MATCH(H2031,'All Folders'!$G:$G,0),1),"¶")</f>
        <v>SP224</v>
      </c>
      <c r="K2031" s="87"/>
      <c r="L2031" s="87"/>
    </row>
    <row r="2032" spans="1:12" x14ac:dyDescent="0.3">
      <c r="A2032" t="s">
        <v>22022</v>
      </c>
      <c r="B2032" t="s">
        <v>19764</v>
      </c>
      <c r="C2032" t="s">
        <v>19765</v>
      </c>
      <c r="D2032" t="s">
        <v>19766</v>
      </c>
      <c r="E2032" t="s">
        <v>19767</v>
      </c>
      <c r="H2032" t="str">
        <f t="shared" si="62"/>
        <v>StateAZ</v>
      </c>
      <c r="I2032" t="str">
        <f t="shared" si="63"/>
        <v>State</v>
      </c>
      <c r="J2032" s="82"/>
      <c r="K2032" s="87"/>
      <c r="L2032" s="87"/>
    </row>
    <row r="2033" spans="1:12" x14ac:dyDescent="0.3">
      <c r="A2033" t="s">
        <v>22023</v>
      </c>
      <c r="B2033" t="s">
        <v>19768</v>
      </c>
      <c r="C2033" t="s">
        <v>19769</v>
      </c>
      <c r="D2033" t="s">
        <v>19766</v>
      </c>
      <c r="E2033" t="s">
        <v>19770</v>
      </c>
      <c r="H2033" t="str">
        <f t="shared" si="62"/>
        <v>StateCA</v>
      </c>
      <c r="I2033" t="str">
        <f t="shared" si="63"/>
        <v>State</v>
      </c>
      <c r="J2033" s="82"/>
      <c r="K2033" s="87"/>
      <c r="L2033" s="87"/>
    </row>
    <row r="2034" spans="1:12" x14ac:dyDescent="0.3">
      <c r="A2034" t="s">
        <v>22024</v>
      </c>
      <c r="B2034" t="s">
        <v>19771</v>
      </c>
      <c r="C2034" t="s">
        <v>19772</v>
      </c>
      <c r="D2034" t="s">
        <v>19766</v>
      </c>
      <c r="E2034" t="s">
        <v>19773</v>
      </c>
      <c r="H2034" t="str">
        <f t="shared" si="62"/>
        <v>StateCO</v>
      </c>
      <c r="I2034" t="str">
        <f t="shared" si="63"/>
        <v>State</v>
      </c>
      <c r="J2034" s="82"/>
      <c r="K2034" s="87"/>
      <c r="L2034" s="87"/>
    </row>
    <row r="2035" spans="1:12" x14ac:dyDescent="0.3">
      <c r="A2035" t="s">
        <v>22025</v>
      </c>
      <c r="B2035" t="s">
        <v>19774</v>
      </c>
      <c r="C2035" t="s">
        <v>19775</v>
      </c>
      <c r="D2035" t="s">
        <v>19766</v>
      </c>
      <c r="E2035" t="s">
        <v>19776</v>
      </c>
      <c r="H2035" t="str">
        <f t="shared" si="62"/>
        <v>StateFL</v>
      </c>
      <c r="I2035" t="str">
        <f t="shared" si="63"/>
        <v>State</v>
      </c>
      <c r="J2035" s="82"/>
      <c r="K2035" s="87"/>
      <c r="L2035" s="87"/>
    </row>
    <row r="2036" spans="1:12" x14ac:dyDescent="0.3">
      <c r="A2036" t="s">
        <v>22026</v>
      </c>
      <c r="B2036" t="s">
        <v>19777</v>
      </c>
      <c r="C2036" t="s">
        <v>19778</v>
      </c>
      <c r="D2036" t="s">
        <v>19766</v>
      </c>
      <c r="E2036" t="s">
        <v>19779</v>
      </c>
      <c r="H2036" t="str">
        <f t="shared" si="62"/>
        <v>StateMD</v>
      </c>
      <c r="I2036" t="str">
        <f t="shared" si="63"/>
        <v>State</v>
      </c>
      <c r="J2036" s="82"/>
      <c r="K2036" s="87"/>
      <c r="L2036" s="87"/>
    </row>
    <row r="2037" spans="1:12" x14ac:dyDescent="0.3">
      <c r="A2037" t="s">
        <v>22027</v>
      </c>
      <c r="B2037" t="s">
        <v>19780</v>
      </c>
      <c r="C2037" t="s">
        <v>19781</v>
      </c>
      <c r="D2037" t="s">
        <v>19766</v>
      </c>
      <c r="E2037" t="s">
        <v>19782</v>
      </c>
      <c r="H2037" t="str">
        <f t="shared" si="62"/>
        <v>StateNV</v>
      </c>
      <c r="I2037" t="str">
        <f t="shared" si="63"/>
        <v>State</v>
      </c>
      <c r="J2037" s="82"/>
      <c r="K2037" s="87"/>
      <c r="L2037" s="87"/>
    </row>
    <row r="2038" spans="1:12" x14ac:dyDescent="0.3">
      <c r="A2038" t="s">
        <v>22028</v>
      </c>
      <c r="B2038" t="s">
        <v>19783</v>
      </c>
      <c r="C2038" t="s">
        <v>19784</v>
      </c>
      <c r="D2038" t="s">
        <v>19766</v>
      </c>
      <c r="E2038" t="s">
        <v>19785</v>
      </c>
      <c r="H2038" t="str">
        <f t="shared" si="62"/>
        <v>StateOK</v>
      </c>
      <c r="I2038" t="str">
        <f t="shared" si="63"/>
        <v>State</v>
      </c>
      <c r="J2038" s="82"/>
      <c r="K2038" s="87"/>
      <c r="L2038" s="87"/>
    </row>
    <row r="2039" spans="1:12" x14ac:dyDescent="0.3">
      <c r="A2039" t="s">
        <v>22029</v>
      </c>
      <c r="B2039" t="s">
        <v>19786</v>
      </c>
      <c r="C2039" t="s">
        <v>19787</v>
      </c>
      <c r="D2039" t="s">
        <v>19766</v>
      </c>
      <c r="E2039" t="s">
        <v>19788</v>
      </c>
      <c r="H2039" t="str">
        <f t="shared" si="62"/>
        <v>StateSC</v>
      </c>
      <c r="I2039" t="str">
        <f t="shared" si="63"/>
        <v>State</v>
      </c>
      <c r="J2039" s="82"/>
      <c r="K2039" s="87"/>
      <c r="L2039" s="87"/>
    </row>
    <row r="2040" spans="1:12" x14ac:dyDescent="0.3">
      <c r="A2040" t="s">
        <v>22030</v>
      </c>
      <c r="B2040" t="s">
        <v>19789</v>
      </c>
      <c r="C2040" t="s">
        <v>19790</v>
      </c>
      <c r="D2040" t="s">
        <v>19766</v>
      </c>
      <c r="E2040" t="s">
        <v>19791</v>
      </c>
      <c r="H2040" t="str">
        <f t="shared" si="62"/>
        <v>StateVA</v>
      </c>
      <c r="I2040" t="str">
        <f t="shared" si="63"/>
        <v>State</v>
      </c>
      <c r="J2040" s="82"/>
      <c r="K2040" s="87"/>
      <c r="L2040" s="87"/>
    </row>
    <row r="2041" spans="1:12" x14ac:dyDescent="0.3">
      <c r="A2041" t="s">
        <v>22031</v>
      </c>
      <c r="B2041" t="s">
        <v>19792</v>
      </c>
      <c r="C2041" t="s">
        <v>11760</v>
      </c>
      <c r="D2041" t="s">
        <v>11760</v>
      </c>
      <c r="H2041" t="str">
        <f t="shared" si="62"/>
        <v>Abilene</v>
      </c>
      <c r="I2041" t="str">
        <f t="shared" si="63"/>
        <v>Abilene</v>
      </c>
      <c r="J2041" s="82"/>
      <c r="K2041" s="87"/>
      <c r="L2041" s="87"/>
    </row>
    <row r="2042" spans="1:12" x14ac:dyDescent="0.3">
      <c r="A2042" t="s">
        <v>22032</v>
      </c>
      <c r="B2042" t="s">
        <v>19793</v>
      </c>
      <c r="C2042" t="s">
        <v>5005</v>
      </c>
      <c r="D2042" t="s">
        <v>5005</v>
      </c>
      <c r="H2042" t="str">
        <f t="shared" si="62"/>
        <v>Addison</v>
      </c>
      <c r="I2042" t="str">
        <f t="shared" si="63"/>
        <v>Addison</v>
      </c>
      <c r="J2042" s="82"/>
      <c r="K2042" s="87"/>
      <c r="L2042" s="87"/>
    </row>
    <row r="2043" spans="1:12" x14ac:dyDescent="0.3">
      <c r="A2043" t="s">
        <v>22033</v>
      </c>
      <c r="B2043" t="s">
        <v>19794</v>
      </c>
      <c r="C2043" t="s">
        <v>5140</v>
      </c>
      <c r="D2043" t="s">
        <v>5140</v>
      </c>
      <c r="H2043" t="str">
        <f t="shared" si="62"/>
        <v>Allen</v>
      </c>
      <c r="I2043" t="str">
        <f t="shared" si="63"/>
        <v>Allen</v>
      </c>
      <c r="J2043" s="82"/>
      <c r="K2043" s="87"/>
      <c r="L2043" s="87"/>
    </row>
    <row r="2044" spans="1:12" x14ac:dyDescent="0.3">
      <c r="A2044" t="s">
        <v>22034</v>
      </c>
      <c r="B2044" t="s">
        <v>19795</v>
      </c>
      <c r="C2044" t="s">
        <v>4402</v>
      </c>
      <c r="D2044" t="s">
        <v>4402</v>
      </c>
      <c r="H2044" t="str">
        <f t="shared" si="62"/>
        <v>Alvin</v>
      </c>
      <c r="I2044" t="str">
        <f t="shared" si="63"/>
        <v>Alvin</v>
      </c>
      <c r="J2044" s="82"/>
      <c r="K2044" s="87"/>
      <c r="L2044" s="87"/>
    </row>
    <row r="2045" spans="1:12" x14ac:dyDescent="0.3">
      <c r="A2045" t="s">
        <v>22035</v>
      </c>
      <c r="B2045" t="s">
        <v>19796</v>
      </c>
      <c r="C2045" t="s">
        <v>12180</v>
      </c>
      <c r="D2045" t="s">
        <v>12180</v>
      </c>
      <c r="H2045" t="str">
        <f t="shared" si="62"/>
        <v>Amarillo</v>
      </c>
      <c r="I2045" t="str">
        <f t="shared" si="63"/>
        <v>Amarillo</v>
      </c>
      <c r="J2045" s="82"/>
      <c r="K2045" s="87"/>
      <c r="L2045" s="87"/>
    </row>
    <row r="2046" spans="1:12" x14ac:dyDescent="0.3">
      <c r="A2046" t="s">
        <v>22036</v>
      </c>
      <c r="B2046" t="s">
        <v>19797</v>
      </c>
      <c r="C2046" t="s">
        <v>4412</v>
      </c>
      <c r="D2046" t="s">
        <v>4412</v>
      </c>
      <c r="H2046" t="str">
        <f t="shared" si="62"/>
        <v>Angleton</v>
      </c>
      <c r="I2046" t="str">
        <f t="shared" si="63"/>
        <v>Angleton</v>
      </c>
      <c r="J2046" s="82"/>
      <c r="K2046" s="87"/>
      <c r="L2046" s="87"/>
    </row>
    <row r="2047" spans="1:12" x14ac:dyDescent="0.3">
      <c r="A2047" t="s">
        <v>22037</v>
      </c>
      <c r="B2047" t="s">
        <v>19798</v>
      </c>
      <c r="C2047" t="s">
        <v>11818</v>
      </c>
      <c r="D2047" t="s">
        <v>11818</v>
      </c>
      <c r="H2047" t="str">
        <f t="shared" si="62"/>
        <v>Aransas</v>
      </c>
      <c r="I2047" t="str">
        <f t="shared" si="63"/>
        <v>Aransas</v>
      </c>
      <c r="J2047" s="82"/>
      <c r="K2047" s="87"/>
      <c r="L2047" s="87"/>
    </row>
    <row r="2048" spans="1:12" x14ac:dyDescent="0.3">
      <c r="A2048" t="s">
        <v>22038</v>
      </c>
      <c r="B2048" t="s">
        <v>19799</v>
      </c>
      <c r="C2048" t="s">
        <v>6555</v>
      </c>
      <c r="D2048" t="s">
        <v>6555</v>
      </c>
      <c r="H2048" t="str">
        <f t="shared" si="62"/>
        <v>Arlington</v>
      </c>
      <c r="I2048" t="str">
        <f t="shared" si="63"/>
        <v>Arlington</v>
      </c>
      <c r="J2048" s="82"/>
      <c r="K2048" s="87"/>
      <c r="L2048" s="87"/>
    </row>
    <row r="2049" spans="1:12" x14ac:dyDescent="0.3">
      <c r="A2049" t="s">
        <v>22039</v>
      </c>
      <c r="B2049" t="s">
        <v>19800</v>
      </c>
      <c r="C2049" t="s">
        <v>19801</v>
      </c>
      <c r="D2049" t="s">
        <v>19801</v>
      </c>
      <c r="H2049" t="str">
        <f t="shared" si="62"/>
        <v>AroundThis</v>
      </c>
      <c r="I2049" t="str">
        <f t="shared" si="63"/>
        <v>AroundThis</v>
      </c>
      <c r="J2049" s="82"/>
      <c r="K2049" s="87"/>
      <c r="L2049" s="87"/>
    </row>
    <row r="2050" spans="1:12" x14ac:dyDescent="0.3">
      <c r="A2050" t="s">
        <v>22040</v>
      </c>
      <c r="B2050" t="s">
        <v>19802</v>
      </c>
      <c r="C2050" t="s">
        <v>11889</v>
      </c>
      <c r="D2050" t="s">
        <v>11889</v>
      </c>
      <c r="H2050" t="str">
        <f t="shared" ref="H2050:H2113" si="64">I2050&amp;E2050&amp;G2050</f>
        <v>Athens</v>
      </c>
      <c r="I2050" t="str">
        <f t="shared" ref="I2050:I2113" si="65">IFERROR(LEFT(D2050,FIND(" ",D2050)-1),D2050)</f>
        <v>Athens</v>
      </c>
      <c r="J2050" s="82"/>
      <c r="K2050" s="87"/>
      <c r="L2050" s="87"/>
    </row>
    <row r="2051" spans="1:12" x14ac:dyDescent="0.3">
      <c r="A2051" t="s">
        <v>22041</v>
      </c>
      <c r="B2051" t="s">
        <v>19803</v>
      </c>
      <c r="C2051" t="s">
        <v>11704</v>
      </c>
      <c r="D2051" t="s">
        <v>11704</v>
      </c>
      <c r="H2051" t="str">
        <f t="shared" si="64"/>
        <v>Atlanta</v>
      </c>
      <c r="I2051" t="str">
        <f t="shared" si="65"/>
        <v>Atlanta</v>
      </c>
      <c r="J2051" s="82"/>
      <c r="K2051" s="87"/>
      <c r="L2051" s="87"/>
    </row>
    <row r="2052" spans="1:12" x14ac:dyDescent="0.3">
      <c r="A2052" t="s">
        <v>22042</v>
      </c>
      <c r="B2052" t="s">
        <v>19804</v>
      </c>
      <c r="C2052" t="s">
        <v>12499</v>
      </c>
      <c r="D2052" t="s">
        <v>12499</v>
      </c>
      <c r="H2052" t="str">
        <f t="shared" si="64"/>
        <v>Aubrey</v>
      </c>
      <c r="I2052" t="str">
        <f t="shared" si="65"/>
        <v>Aubrey</v>
      </c>
      <c r="J2052" s="82"/>
      <c r="K2052" s="87"/>
      <c r="L2052" s="87"/>
    </row>
    <row r="2053" spans="1:12" x14ac:dyDescent="0.3">
      <c r="A2053" t="s">
        <v>22043</v>
      </c>
      <c r="B2053" t="s">
        <v>19805</v>
      </c>
      <c r="C2053" t="s">
        <v>7</v>
      </c>
      <c r="D2053" t="s">
        <v>7</v>
      </c>
      <c r="H2053" t="str">
        <f t="shared" si="64"/>
        <v>Austin</v>
      </c>
      <c r="I2053" t="str">
        <f t="shared" si="65"/>
        <v>Austin</v>
      </c>
      <c r="J2053" s="82"/>
      <c r="K2053" s="87"/>
      <c r="L2053" s="87"/>
    </row>
    <row r="2054" spans="1:12" x14ac:dyDescent="0.3">
      <c r="A2054" t="s">
        <v>22044</v>
      </c>
      <c r="B2054" t="s">
        <v>19806</v>
      </c>
      <c r="C2054" t="s">
        <v>7790</v>
      </c>
      <c r="D2054" t="s">
        <v>7790</v>
      </c>
      <c r="H2054" t="str">
        <f t="shared" si="64"/>
        <v>Azle</v>
      </c>
      <c r="I2054" t="str">
        <f t="shared" si="65"/>
        <v>Azle</v>
      </c>
      <c r="J2054" s="82"/>
      <c r="K2054" s="87"/>
      <c r="L2054" s="87"/>
    </row>
    <row r="2055" spans="1:12" x14ac:dyDescent="0.3">
      <c r="A2055" t="s">
        <v>22045</v>
      </c>
      <c r="B2055" t="s">
        <v>19807</v>
      </c>
      <c r="C2055" t="s">
        <v>5012</v>
      </c>
      <c r="D2055" t="s">
        <v>5012</v>
      </c>
      <c r="H2055" t="str">
        <f t="shared" si="64"/>
        <v>Balch</v>
      </c>
      <c r="I2055" t="str">
        <f t="shared" si="65"/>
        <v>Balch</v>
      </c>
      <c r="J2055" s="82"/>
      <c r="K2055" s="87"/>
      <c r="L2055" s="87"/>
    </row>
    <row r="2056" spans="1:12" x14ac:dyDescent="0.3">
      <c r="A2056" t="s">
        <v>22046</v>
      </c>
      <c r="B2056" t="s">
        <v>19808</v>
      </c>
      <c r="C2056" t="s">
        <v>4987</v>
      </c>
      <c r="D2056" t="s">
        <v>4987</v>
      </c>
      <c r="H2056" t="str">
        <f t="shared" si="64"/>
        <v>Bay</v>
      </c>
      <c r="I2056" t="str">
        <f t="shared" si="65"/>
        <v>Bay</v>
      </c>
      <c r="J2056" s="82"/>
      <c r="K2056" s="87"/>
      <c r="L2056" s="87"/>
    </row>
    <row r="2057" spans="1:12" x14ac:dyDescent="0.3">
      <c r="A2057" t="s">
        <v>22047</v>
      </c>
      <c r="B2057" t="s">
        <v>19809</v>
      </c>
      <c r="C2057" t="s">
        <v>2609</v>
      </c>
      <c r="D2057" t="s">
        <v>2609</v>
      </c>
      <c r="H2057" t="str">
        <f t="shared" si="64"/>
        <v>Baytown</v>
      </c>
      <c r="I2057" t="str">
        <f t="shared" si="65"/>
        <v>Baytown</v>
      </c>
      <c r="J2057" s="82"/>
      <c r="K2057" s="87"/>
      <c r="L2057" s="87"/>
    </row>
    <row r="2058" spans="1:12" x14ac:dyDescent="0.3">
      <c r="A2058" t="s">
        <v>22048</v>
      </c>
      <c r="B2058" t="s">
        <v>19810</v>
      </c>
      <c r="C2058" t="s">
        <v>12292</v>
      </c>
      <c r="D2058" t="s">
        <v>12292</v>
      </c>
      <c r="H2058" t="str">
        <f t="shared" si="64"/>
        <v>Beaumont</v>
      </c>
      <c r="I2058" t="str">
        <f t="shared" si="65"/>
        <v>Beaumont</v>
      </c>
      <c r="J2058" s="82"/>
      <c r="K2058" s="87"/>
      <c r="L2058" s="87"/>
    </row>
    <row r="2059" spans="1:12" x14ac:dyDescent="0.3">
      <c r="A2059" t="s">
        <v>22049</v>
      </c>
      <c r="B2059" t="s">
        <v>19811</v>
      </c>
      <c r="C2059" t="s">
        <v>4942</v>
      </c>
      <c r="D2059" t="s">
        <v>4942</v>
      </c>
      <c r="H2059" t="str">
        <f t="shared" si="64"/>
        <v>Bedford</v>
      </c>
      <c r="I2059" t="str">
        <f t="shared" si="65"/>
        <v>Bedford</v>
      </c>
      <c r="J2059" s="82"/>
      <c r="K2059" s="87"/>
      <c r="L2059" s="87"/>
    </row>
    <row r="2060" spans="1:12" x14ac:dyDescent="0.3">
      <c r="A2060" t="s">
        <v>22050</v>
      </c>
      <c r="B2060" t="s">
        <v>19812</v>
      </c>
      <c r="C2060" t="s">
        <v>11823</v>
      </c>
      <c r="D2060" t="s">
        <v>11823</v>
      </c>
      <c r="H2060" t="str">
        <f t="shared" si="64"/>
        <v>Beeville</v>
      </c>
      <c r="I2060" t="str">
        <f t="shared" si="65"/>
        <v>Beeville</v>
      </c>
      <c r="J2060" s="82"/>
      <c r="K2060" s="87"/>
      <c r="L2060" s="87"/>
    </row>
    <row r="2061" spans="1:12" x14ac:dyDescent="0.3">
      <c r="A2061" t="s">
        <v>22051</v>
      </c>
      <c r="B2061" t="s">
        <v>19813</v>
      </c>
      <c r="C2061" t="s">
        <v>6909</v>
      </c>
      <c r="D2061" t="s">
        <v>6909</v>
      </c>
      <c r="H2061" t="str">
        <f t="shared" si="64"/>
        <v>Benbrook</v>
      </c>
      <c r="I2061" t="str">
        <f t="shared" si="65"/>
        <v>Benbrook</v>
      </c>
      <c r="J2061" s="82"/>
      <c r="K2061" s="87"/>
      <c r="L2061" s="87"/>
    </row>
    <row r="2062" spans="1:12" x14ac:dyDescent="0.3">
      <c r="A2062" t="s">
        <v>22052</v>
      </c>
      <c r="B2062" t="s">
        <v>19814</v>
      </c>
      <c r="C2062" t="s">
        <v>12207</v>
      </c>
      <c r="D2062" t="s">
        <v>12207</v>
      </c>
      <c r="H2062" t="str">
        <f t="shared" si="64"/>
        <v>Big</v>
      </c>
      <c r="I2062" t="str">
        <f t="shared" si="65"/>
        <v>Big</v>
      </c>
      <c r="J2062" s="82"/>
      <c r="K2062" s="87"/>
      <c r="L2062" s="87"/>
    </row>
    <row r="2063" spans="1:12" x14ac:dyDescent="0.3">
      <c r="A2063" t="s">
        <v>22053</v>
      </c>
      <c r="B2063" t="s">
        <v>19815</v>
      </c>
      <c r="C2063" t="s">
        <v>11705</v>
      </c>
      <c r="D2063" t="s">
        <v>11705</v>
      </c>
      <c r="H2063" t="str">
        <f t="shared" si="64"/>
        <v>Blossom</v>
      </c>
      <c r="I2063" t="str">
        <f t="shared" si="65"/>
        <v>Blossom</v>
      </c>
      <c r="J2063" s="82"/>
      <c r="K2063" s="87"/>
      <c r="L2063" s="87"/>
    </row>
    <row r="2064" spans="1:12" x14ac:dyDescent="0.3">
      <c r="A2064" t="s">
        <v>22054</v>
      </c>
      <c r="B2064" t="s">
        <v>19816</v>
      </c>
      <c r="C2064" t="s">
        <v>12096</v>
      </c>
      <c r="D2064" t="s">
        <v>12096</v>
      </c>
      <c r="H2064" t="str">
        <f t="shared" si="64"/>
        <v>Brownsville</v>
      </c>
      <c r="I2064" t="str">
        <f t="shared" si="65"/>
        <v>Brownsville</v>
      </c>
      <c r="J2064" s="82"/>
      <c r="K2064" s="87"/>
      <c r="L2064" s="87"/>
    </row>
    <row r="2065" spans="1:12" x14ac:dyDescent="0.3">
      <c r="A2065" t="s">
        <v>22055</v>
      </c>
      <c r="B2065" t="s">
        <v>19817</v>
      </c>
      <c r="C2065" t="s">
        <v>12419</v>
      </c>
      <c r="D2065" t="s">
        <v>12419</v>
      </c>
      <c r="H2065" t="str">
        <f t="shared" si="64"/>
        <v>Brownwood</v>
      </c>
      <c r="I2065" t="str">
        <f t="shared" si="65"/>
        <v>Brownwood</v>
      </c>
      <c r="J2065" s="82"/>
      <c r="K2065" s="87"/>
      <c r="L2065" s="87"/>
    </row>
    <row r="2066" spans="1:12" x14ac:dyDescent="0.3">
      <c r="A2066" t="s">
        <v>22056</v>
      </c>
      <c r="B2066" t="s">
        <v>19818</v>
      </c>
      <c r="C2066" t="s">
        <v>8774</v>
      </c>
      <c r="D2066" t="s">
        <v>8774</v>
      </c>
      <c r="H2066" t="str">
        <f t="shared" si="64"/>
        <v>Bryan</v>
      </c>
      <c r="I2066" t="str">
        <f t="shared" si="65"/>
        <v>Bryan</v>
      </c>
      <c r="J2066" s="82"/>
      <c r="K2066" s="87"/>
      <c r="L2066" s="87"/>
    </row>
    <row r="2067" spans="1:12" x14ac:dyDescent="0.3">
      <c r="A2067" t="s">
        <v>22057</v>
      </c>
      <c r="B2067" t="s">
        <v>19819</v>
      </c>
      <c r="C2067" t="s">
        <v>6898</v>
      </c>
      <c r="D2067" t="s">
        <v>6898</v>
      </c>
      <c r="H2067" t="str">
        <f t="shared" si="64"/>
        <v>Burleson</v>
      </c>
      <c r="I2067" t="str">
        <f t="shared" si="65"/>
        <v>Burleson</v>
      </c>
      <c r="J2067" s="82"/>
      <c r="K2067" s="87"/>
      <c r="L2067" s="87"/>
    </row>
    <row r="2068" spans="1:12" x14ac:dyDescent="0.3">
      <c r="A2068" t="s">
        <v>22058</v>
      </c>
      <c r="B2068" t="s">
        <v>19820</v>
      </c>
      <c r="C2068" t="s">
        <v>12203</v>
      </c>
      <c r="D2068" t="s">
        <v>12203</v>
      </c>
      <c r="H2068" t="str">
        <f t="shared" si="64"/>
        <v>Canyon</v>
      </c>
      <c r="I2068" t="str">
        <f t="shared" si="65"/>
        <v>Canyon</v>
      </c>
      <c r="J2068" s="82"/>
      <c r="K2068" s="87"/>
      <c r="L2068" s="87"/>
    </row>
    <row r="2069" spans="1:12" x14ac:dyDescent="0.3">
      <c r="A2069" t="s">
        <v>22059</v>
      </c>
      <c r="B2069" t="s">
        <v>19821</v>
      </c>
      <c r="C2069" t="s">
        <v>5060</v>
      </c>
      <c r="D2069" t="s">
        <v>5060</v>
      </c>
      <c r="H2069" t="str">
        <f t="shared" si="64"/>
        <v>Carrollton</v>
      </c>
      <c r="I2069" t="str">
        <f t="shared" si="65"/>
        <v>Carrollton</v>
      </c>
      <c r="J2069" s="82"/>
      <c r="K2069" s="87"/>
      <c r="L2069" s="87"/>
    </row>
    <row r="2070" spans="1:12" x14ac:dyDescent="0.3">
      <c r="A2070" t="s">
        <v>22060</v>
      </c>
      <c r="B2070" t="s">
        <v>19822</v>
      </c>
      <c r="C2070" t="s">
        <v>11698</v>
      </c>
      <c r="D2070" t="s">
        <v>11698</v>
      </c>
      <c r="H2070" t="str">
        <f t="shared" si="64"/>
        <v>Castroville</v>
      </c>
      <c r="I2070" t="str">
        <f t="shared" si="65"/>
        <v>Castroville</v>
      </c>
      <c r="J2070" s="82"/>
      <c r="K2070" s="87"/>
      <c r="L2070" s="87"/>
    </row>
    <row r="2071" spans="1:12" x14ac:dyDescent="0.3">
      <c r="A2071" t="s">
        <v>22061</v>
      </c>
      <c r="B2071" t="s">
        <v>19823</v>
      </c>
      <c r="C2071" t="s">
        <v>5407</v>
      </c>
      <c r="D2071" t="s">
        <v>5407</v>
      </c>
      <c r="H2071" t="str">
        <f t="shared" si="64"/>
        <v>Cedar</v>
      </c>
      <c r="I2071" t="str">
        <f t="shared" si="65"/>
        <v>Cedar</v>
      </c>
      <c r="J2071" s="82"/>
      <c r="K2071" s="87"/>
      <c r="L2071" s="87"/>
    </row>
    <row r="2072" spans="1:12" x14ac:dyDescent="0.3">
      <c r="A2072" t="s">
        <v>22062</v>
      </c>
      <c r="B2072" t="s">
        <v>19824</v>
      </c>
      <c r="C2072" t="s">
        <v>705</v>
      </c>
      <c r="D2072" t="s">
        <v>705</v>
      </c>
      <c r="H2072" t="str">
        <f t="shared" si="64"/>
        <v>Cedar</v>
      </c>
      <c r="I2072" t="str">
        <f t="shared" si="65"/>
        <v>Cedar</v>
      </c>
      <c r="J2072" s="82"/>
      <c r="K2072" s="87"/>
      <c r="L2072" s="87"/>
    </row>
    <row r="2073" spans="1:12" x14ac:dyDescent="0.3">
      <c r="A2073" t="s">
        <v>22063</v>
      </c>
      <c r="B2073" t="s">
        <v>19825</v>
      </c>
      <c r="C2073" t="s">
        <v>11427</v>
      </c>
      <c r="D2073" t="s">
        <v>11427</v>
      </c>
      <c r="H2073" t="str">
        <f t="shared" si="64"/>
        <v>Cleburne</v>
      </c>
      <c r="I2073" t="str">
        <f t="shared" si="65"/>
        <v>Cleburne</v>
      </c>
      <c r="J2073" s="82"/>
      <c r="K2073" s="87"/>
      <c r="L2073" s="87"/>
    </row>
    <row r="2074" spans="1:12" x14ac:dyDescent="0.3">
      <c r="A2074" t="s">
        <v>22064</v>
      </c>
      <c r="B2074" t="s">
        <v>19826</v>
      </c>
      <c r="C2074" t="s">
        <v>4399</v>
      </c>
      <c r="D2074" t="s">
        <v>4399</v>
      </c>
      <c r="H2074" t="str">
        <f t="shared" si="64"/>
        <v>Clute</v>
      </c>
      <c r="I2074" t="str">
        <f t="shared" si="65"/>
        <v>Clute</v>
      </c>
      <c r="J2074" s="82"/>
      <c r="K2074" s="87"/>
      <c r="L2074" s="87"/>
    </row>
    <row r="2075" spans="1:12" x14ac:dyDescent="0.3">
      <c r="A2075" t="s">
        <v>22065</v>
      </c>
      <c r="B2075" t="s">
        <v>19827</v>
      </c>
      <c r="C2075" t="s">
        <v>8612</v>
      </c>
      <c r="D2075" t="s">
        <v>8612</v>
      </c>
      <c r="H2075" t="str">
        <f t="shared" si="64"/>
        <v>College</v>
      </c>
      <c r="I2075" t="str">
        <f t="shared" si="65"/>
        <v>College</v>
      </c>
      <c r="J2075" s="82"/>
      <c r="K2075" s="87"/>
      <c r="L2075" s="87"/>
    </row>
    <row r="2076" spans="1:12" x14ac:dyDescent="0.3">
      <c r="A2076" t="s">
        <v>22066</v>
      </c>
      <c r="B2076" t="s">
        <v>19828</v>
      </c>
      <c r="C2076" t="s">
        <v>12422</v>
      </c>
      <c r="D2076" t="s">
        <v>12422</v>
      </c>
      <c r="H2076" t="str">
        <f t="shared" si="64"/>
        <v>Colorado</v>
      </c>
      <c r="I2076" t="str">
        <f t="shared" si="65"/>
        <v>Colorado</v>
      </c>
      <c r="J2076" s="82"/>
      <c r="K2076" s="87"/>
      <c r="L2076" s="87"/>
    </row>
    <row r="2077" spans="1:12" x14ac:dyDescent="0.3">
      <c r="A2077" t="s">
        <v>22067</v>
      </c>
      <c r="B2077" t="s">
        <v>19829</v>
      </c>
      <c r="C2077" t="s">
        <v>12462</v>
      </c>
      <c r="D2077" t="s">
        <v>12462</v>
      </c>
      <c r="H2077" t="str">
        <f t="shared" si="64"/>
        <v>Columbia</v>
      </c>
      <c r="I2077" t="str">
        <f t="shared" si="65"/>
        <v>Columbia</v>
      </c>
      <c r="J2077" s="82"/>
      <c r="K2077" s="87"/>
      <c r="L2077" s="87"/>
    </row>
    <row r="2078" spans="1:12" x14ac:dyDescent="0.3">
      <c r="A2078" t="s">
        <v>22068</v>
      </c>
      <c r="B2078" t="s">
        <v>19830</v>
      </c>
      <c r="C2078" t="s">
        <v>5434</v>
      </c>
      <c r="D2078" t="s">
        <v>5434</v>
      </c>
      <c r="H2078" t="str">
        <f t="shared" si="64"/>
        <v>Commerce</v>
      </c>
      <c r="I2078" t="str">
        <f t="shared" si="65"/>
        <v>Commerce</v>
      </c>
      <c r="J2078" s="82"/>
      <c r="K2078" s="87"/>
      <c r="L2078" s="87"/>
    </row>
    <row r="2079" spans="1:12" x14ac:dyDescent="0.3">
      <c r="A2079" t="s">
        <v>22069</v>
      </c>
      <c r="B2079" t="s">
        <v>19831</v>
      </c>
      <c r="C2079" t="s">
        <v>4616</v>
      </c>
      <c r="D2079" t="s">
        <v>4616</v>
      </c>
      <c r="H2079" t="str">
        <f t="shared" si="64"/>
        <v>Conroe</v>
      </c>
      <c r="I2079" t="str">
        <f t="shared" si="65"/>
        <v>Conroe</v>
      </c>
      <c r="J2079" s="82"/>
      <c r="K2079" s="87"/>
      <c r="L2079" s="87"/>
    </row>
    <row r="2080" spans="1:12" x14ac:dyDescent="0.3">
      <c r="A2080" t="s">
        <v>22070</v>
      </c>
      <c r="B2080" t="s">
        <v>19832</v>
      </c>
      <c r="C2080" t="s">
        <v>1087</v>
      </c>
      <c r="D2080" t="s">
        <v>1087</v>
      </c>
      <c r="H2080" t="str">
        <f t="shared" si="64"/>
        <v>Converse</v>
      </c>
      <c r="I2080" t="str">
        <f t="shared" si="65"/>
        <v>Converse</v>
      </c>
      <c r="J2080" s="82"/>
      <c r="K2080" s="87"/>
      <c r="L2080" s="87"/>
    </row>
    <row r="2081" spans="1:12" x14ac:dyDescent="0.3">
      <c r="A2081" t="s">
        <v>22071</v>
      </c>
      <c r="B2081" t="s">
        <v>19833</v>
      </c>
      <c r="C2081" t="s">
        <v>5612</v>
      </c>
      <c r="D2081" t="s">
        <v>5612</v>
      </c>
      <c r="H2081" t="str">
        <f t="shared" si="64"/>
        <v>Coppell</v>
      </c>
      <c r="I2081" t="str">
        <f t="shared" si="65"/>
        <v>Coppell</v>
      </c>
      <c r="J2081" s="82"/>
      <c r="K2081" s="87"/>
      <c r="L2081" s="87"/>
    </row>
    <row r="2082" spans="1:12" x14ac:dyDescent="0.3">
      <c r="A2082" t="s">
        <v>22072</v>
      </c>
      <c r="B2082" t="s">
        <v>19834</v>
      </c>
      <c r="C2082" t="s">
        <v>11826</v>
      </c>
      <c r="D2082" t="s">
        <v>11826</v>
      </c>
      <c r="H2082" t="str">
        <f t="shared" si="64"/>
        <v>Corpus</v>
      </c>
      <c r="I2082" t="str">
        <f t="shared" si="65"/>
        <v>Corpus</v>
      </c>
      <c r="J2082" s="82"/>
      <c r="K2082" s="87"/>
      <c r="L2082" s="87"/>
    </row>
    <row r="2083" spans="1:12" x14ac:dyDescent="0.3">
      <c r="A2083" t="s">
        <v>22073</v>
      </c>
      <c r="B2083" t="s">
        <v>19835</v>
      </c>
      <c r="C2083" t="s">
        <v>7438</v>
      </c>
      <c r="D2083" t="s">
        <v>7438</v>
      </c>
      <c r="H2083" t="str">
        <f t="shared" si="64"/>
        <v>Crowley</v>
      </c>
      <c r="I2083" t="str">
        <f t="shared" si="65"/>
        <v>Crowley</v>
      </c>
      <c r="J2083" s="82"/>
      <c r="K2083" s="87"/>
      <c r="L2083" s="87"/>
    </row>
    <row r="2084" spans="1:12" x14ac:dyDescent="0.3">
      <c r="A2084" t="s">
        <v>22074</v>
      </c>
      <c r="B2084" t="s">
        <v>19836</v>
      </c>
      <c r="C2084" t="s">
        <v>4996</v>
      </c>
      <c r="D2084" t="s">
        <v>4996</v>
      </c>
      <c r="H2084" t="str">
        <f t="shared" si="64"/>
        <v>Dallas</v>
      </c>
      <c r="I2084" t="str">
        <f t="shared" si="65"/>
        <v>Dallas</v>
      </c>
      <c r="J2084" s="82"/>
      <c r="K2084" s="87"/>
      <c r="L2084" s="87"/>
    </row>
    <row r="2085" spans="1:12" x14ac:dyDescent="0.3">
      <c r="A2085" t="s">
        <v>22075</v>
      </c>
      <c r="B2085" t="s">
        <v>19837</v>
      </c>
      <c r="C2085" t="s">
        <v>7824</v>
      </c>
      <c r="D2085" t="s">
        <v>7824</v>
      </c>
      <c r="H2085" t="str">
        <f t="shared" si="64"/>
        <v>Dayton</v>
      </c>
      <c r="I2085" t="str">
        <f t="shared" si="65"/>
        <v>Dayton</v>
      </c>
      <c r="J2085" s="82"/>
      <c r="K2085" s="87"/>
      <c r="L2085" s="87"/>
    </row>
    <row r="2086" spans="1:12" x14ac:dyDescent="0.3">
      <c r="A2086" t="s">
        <v>22076</v>
      </c>
      <c r="B2086" t="s">
        <v>19838</v>
      </c>
      <c r="C2086" t="s">
        <v>4038</v>
      </c>
      <c r="D2086" t="s">
        <v>4038</v>
      </c>
      <c r="H2086" t="str">
        <f t="shared" si="64"/>
        <v>Deer</v>
      </c>
      <c r="I2086" t="str">
        <f t="shared" si="65"/>
        <v>Deer</v>
      </c>
      <c r="J2086" s="82"/>
      <c r="K2086" s="87"/>
      <c r="L2086" s="87"/>
    </row>
    <row r="2087" spans="1:12" x14ac:dyDescent="0.3">
      <c r="A2087" t="s">
        <v>22077</v>
      </c>
      <c r="B2087" t="s">
        <v>19839</v>
      </c>
      <c r="C2087" t="s">
        <v>12397</v>
      </c>
      <c r="D2087" t="s">
        <v>12397</v>
      </c>
      <c r="H2087" t="str">
        <f t="shared" si="64"/>
        <v>Denison</v>
      </c>
      <c r="I2087" t="str">
        <f t="shared" si="65"/>
        <v>Denison</v>
      </c>
      <c r="J2087" s="82"/>
      <c r="K2087" s="87"/>
      <c r="L2087" s="87"/>
    </row>
    <row r="2088" spans="1:12" x14ac:dyDescent="0.3">
      <c r="A2088" t="s">
        <v>22078</v>
      </c>
      <c r="B2088" t="s">
        <v>19840</v>
      </c>
      <c r="C2088" t="s">
        <v>5097</v>
      </c>
      <c r="D2088" t="s">
        <v>5097</v>
      </c>
      <c r="H2088" t="str">
        <f t="shared" si="64"/>
        <v>Denton</v>
      </c>
      <c r="I2088" t="str">
        <f t="shared" si="65"/>
        <v>Denton</v>
      </c>
      <c r="J2088" s="82"/>
      <c r="K2088" s="87"/>
      <c r="L2088" s="87"/>
    </row>
    <row r="2089" spans="1:12" x14ac:dyDescent="0.3">
      <c r="A2089" t="s">
        <v>22079</v>
      </c>
      <c r="B2089" t="s">
        <v>19841</v>
      </c>
      <c r="C2089" t="s">
        <v>2356</v>
      </c>
      <c r="D2089" t="s">
        <v>2356</v>
      </c>
      <c r="H2089" t="str">
        <f t="shared" si="64"/>
        <v>DeSoto</v>
      </c>
      <c r="I2089" t="str">
        <f t="shared" si="65"/>
        <v>DeSoto</v>
      </c>
      <c r="J2089" s="82"/>
      <c r="K2089" s="87"/>
      <c r="L2089" s="87"/>
    </row>
    <row r="2090" spans="1:12" x14ac:dyDescent="0.3">
      <c r="A2090" t="s">
        <v>22080</v>
      </c>
      <c r="B2090" t="s">
        <v>19842</v>
      </c>
      <c r="C2090" t="s">
        <v>4559</v>
      </c>
      <c r="D2090" t="s">
        <v>4559</v>
      </c>
      <c r="H2090" t="str">
        <f t="shared" si="64"/>
        <v>Dickinson</v>
      </c>
      <c r="I2090" t="str">
        <f t="shared" si="65"/>
        <v>Dickinson</v>
      </c>
      <c r="J2090" s="82"/>
      <c r="K2090" s="87"/>
      <c r="L2090" s="87"/>
    </row>
    <row r="2091" spans="1:12" x14ac:dyDescent="0.3">
      <c r="A2091" t="s">
        <v>22081</v>
      </c>
      <c r="B2091" t="s">
        <v>19843</v>
      </c>
      <c r="C2091" t="s">
        <v>12206</v>
      </c>
      <c r="D2091" t="s">
        <v>12206</v>
      </c>
      <c r="H2091" t="str">
        <f t="shared" si="64"/>
        <v>Dumas</v>
      </c>
      <c r="I2091" t="str">
        <f t="shared" si="65"/>
        <v>Dumas</v>
      </c>
      <c r="J2091" s="82"/>
      <c r="K2091" s="87"/>
      <c r="L2091" s="87"/>
    </row>
    <row r="2092" spans="1:12" x14ac:dyDescent="0.3">
      <c r="A2092" t="s">
        <v>22082</v>
      </c>
      <c r="B2092" t="s">
        <v>19844</v>
      </c>
      <c r="C2092" t="s">
        <v>5228</v>
      </c>
      <c r="D2092" t="s">
        <v>5228</v>
      </c>
      <c r="H2092" t="str">
        <f t="shared" si="64"/>
        <v>Duncanville</v>
      </c>
      <c r="I2092" t="str">
        <f t="shared" si="65"/>
        <v>Duncanville</v>
      </c>
      <c r="J2092" s="82"/>
      <c r="K2092" s="87"/>
      <c r="L2092" s="87"/>
    </row>
    <row r="2093" spans="1:12" x14ac:dyDescent="0.3">
      <c r="A2093" t="s">
        <v>22083</v>
      </c>
      <c r="B2093" t="s">
        <v>19845</v>
      </c>
      <c r="C2093" t="s">
        <v>12425</v>
      </c>
      <c r="D2093" t="s">
        <v>12425</v>
      </c>
      <c r="H2093" t="str">
        <f t="shared" si="64"/>
        <v>Eastland</v>
      </c>
      <c r="I2093" t="str">
        <f t="shared" si="65"/>
        <v>Eastland</v>
      </c>
      <c r="J2093" s="82"/>
      <c r="K2093" s="87"/>
      <c r="L2093" s="87"/>
    </row>
    <row r="2094" spans="1:12" x14ac:dyDescent="0.3">
      <c r="A2094" t="s">
        <v>22084</v>
      </c>
      <c r="B2094" t="s">
        <v>19846</v>
      </c>
      <c r="C2094" t="s">
        <v>15844</v>
      </c>
      <c r="D2094" t="s">
        <v>15844</v>
      </c>
      <c r="H2094" t="str">
        <f t="shared" si="64"/>
        <v>Edna</v>
      </c>
      <c r="I2094" t="str">
        <f t="shared" si="65"/>
        <v>Edna</v>
      </c>
      <c r="J2094" s="82"/>
      <c r="K2094" s="87"/>
      <c r="L2094" s="87"/>
    </row>
    <row r="2095" spans="1:12" x14ac:dyDescent="0.3">
      <c r="A2095" t="s">
        <v>22085</v>
      </c>
      <c r="B2095" t="s">
        <v>19847</v>
      </c>
      <c r="C2095" t="s">
        <v>12232</v>
      </c>
      <c r="D2095" t="s">
        <v>12232</v>
      </c>
      <c r="H2095" t="str">
        <f t="shared" si="64"/>
        <v>El</v>
      </c>
      <c r="I2095" t="str">
        <f t="shared" si="65"/>
        <v>El</v>
      </c>
      <c r="J2095" s="82"/>
      <c r="K2095" s="87"/>
      <c r="L2095" s="87"/>
    </row>
    <row r="2096" spans="1:12" x14ac:dyDescent="0.3">
      <c r="A2096" t="s">
        <v>22086</v>
      </c>
      <c r="B2096" t="s">
        <v>19848</v>
      </c>
      <c r="C2096" t="s">
        <v>6570</v>
      </c>
      <c r="D2096" t="s">
        <v>6570</v>
      </c>
      <c r="H2096" t="str">
        <f t="shared" si="64"/>
        <v>Ennis</v>
      </c>
      <c r="I2096" t="str">
        <f t="shared" si="65"/>
        <v>Ennis</v>
      </c>
      <c r="J2096" s="82"/>
      <c r="K2096" s="87"/>
      <c r="L2096" s="87"/>
    </row>
    <row r="2097" spans="1:12" x14ac:dyDescent="0.3">
      <c r="A2097" t="s">
        <v>22087</v>
      </c>
      <c r="B2097" t="s">
        <v>19849</v>
      </c>
      <c r="C2097" t="s">
        <v>5781</v>
      </c>
      <c r="D2097" t="s">
        <v>5781</v>
      </c>
      <c r="H2097" t="str">
        <f t="shared" si="64"/>
        <v>Euless</v>
      </c>
      <c r="I2097" t="str">
        <f t="shared" si="65"/>
        <v>Euless</v>
      </c>
      <c r="J2097" s="82"/>
      <c r="K2097" s="87"/>
      <c r="L2097" s="87"/>
    </row>
    <row r="2098" spans="1:12" x14ac:dyDescent="0.3">
      <c r="A2098" t="s">
        <v>22088</v>
      </c>
      <c r="B2098" t="s">
        <v>19850</v>
      </c>
      <c r="C2098" t="s">
        <v>7325</v>
      </c>
      <c r="D2098" t="s">
        <v>7325</v>
      </c>
      <c r="H2098" t="str">
        <f t="shared" si="64"/>
        <v>Everman</v>
      </c>
      <c r="I2098" t="str">
        <f t="shared" si="65"/>
        <v>Everman</v>
      </c>
      <c r="J2098" s="82"/>
      <c r="K2098" s="87"/>
      <c r="L2098" s="87"/>
    </row>
    <row r="2099" spans="1:12" x14ac:dyDescent="0.3">
      <c r="A2099" t="s">
        <v>22089</v>
      </c>
      <c r="B2099" t="s">
        <v>19851</v>
      </c>
      <c r="C2099" t="s">
        <v>5198</v>
      </c>
      <c r="D2099" t="s">
        <v>5198</v>
      </c>
      <c r="H2099" t="str">
        <f t="shared" si="64"/>
        <v>Farmers</v>
      </c>
      <c r="I2099" t="str">
        <f t="shared" si="65"/>
        <v>Farmers</v>
      </c>
      <c r="J2099" s="82"/>
      <c r="K2099" s="87"/>
      <c r="L2099" s="87"/>
    </row>
    <row r="2100" spans="1:12" x14ac:dyDescent="0.3">
      <c r="A2100" t="s">
        <v>22090</v>
      </c>
      <c r="B2100" t="s">
        <v>19852</v>
      </c>
      <c r="C2100" t="s">
        <v>5040</v>
      </c>
      <c r="D2100" t="s">
        <v>5040</v>
      </c>
      <c r="H2100" t="str">
        <f t="shared" si="64"/>
        <v>Flower</v>
      </c>
      <c r="I2100" t="str">
        <f t="shared" si="65"/>
        <v>Flower</v>
      </c>
      <c r="J2100" s="82"/>
      <c r="K2100" s="87"/>
      <c r="L2100" s="87"/>
    </row>
    <row r="2101" spans="1:12" x14ac:dyDescent="0.3">
      <c r="A2101" t="s">
        <v>22091</v>
      </c>
      <c r="B2101" t="s">
        <v>19853</v>
      </c>
      <c r="C2101" t="s">
        <v>5014</v>
      </c>
      <c r="D2101" t="s">
        <v>5014</v>
      </c>
      <c r="H2101" t="str">
        <f t="shared" si="64"/>
        <v>Fort</v>
      </c>
      <c r="I2101" t="str">
        <f t="shared" si="65"/>
        <v>Fort</v>
      </c>
      <c r="J2101" s="82"/>
      <c r="K2101" s="87"/>
      <c r="L2101" s="87"/>
    </row>
    <row r="2102" spans="1:12" x14ac:dyDescent="0.3">
      <c r="A2102" t="s">
        <v>22092</v>
      </c>
      <c r="B2102" t="s">
        <v>19854</v>
      </c>
      <c r="C2102" t="s">
        <v>11700</v>
      </c>
      <c r="D2102" t="s">
        <v>11700</v>
      </c>
      <c r="H2102" t="str">
        <f t="shared" si="64"/>
        <v>Fredericksburg</v>
      </c>
      <c r="I2102" t="str">
        <f t="shared" si="65"/>
        <v>Fredericksburg</v>
      </c>
      <c r="J2102" s="82"/>
      <c r="K2102" s="87"/>
      <c r="L2102" s="87"/>
    </row>
    <row r="2103" spans="1:12" x14ac:dyDescent="0.3">
      <c r="A2103" t="s">
        <v>22093</v>
      </c>
      <c r="B2103" t="s">
        <v>19855</v>
      </c>
      <c r="C2103" t="s">
        <v>3228</v>
      </c>
      <c r="D2103" t="s">
        <v>3228</v>
      </c>
      <c r="H2103" t="str">
        <f t="shared" si="64"/>
        <v>Freeport</v>
      </c>
      <c r="I2103" t="str">
        <f t="shared" si="65"/>
        <v>Freeport</v>
      </c>
      <c r="J2103" s="82"/>
      <c r="K2103" s="87"/>
      <c r="L2103" s="87"/>
    </row>
    <row r="2104" spans="1:12" x14ac:dyDescent="0.3">
      <c r="A2104" t="s">
        <v>22094</v>
      </c>
      <c r="B2104" t="s">
        <v>19856</v>
      </c>
      <c r="C2104" t="s">
        <v>4297</v>
      </c>
      <c r="D2104" t="s">
        <v>4297</v>
      </c>
      <c r="H2104" t="str">
        <f t="shared" si="64"/>
        <v>Friendswood</v>
      </c>
      <c r="I2104" t="str">
        <f t="shared" si="65"/>
        <v>Friendswood</v>
      </c>
      <c r="J2104" s="82"/>
      <c r="K2104" s="87"/>
      <c r="L2104" s="87"/>
    </row>
    <row r="2105" spans="1:12" x14ac:dyDescent="0.3">
      <c r="A2105" t="s">
        <v>22095</v>
      </c>
      <c r="B2105" t="s">
        <v>19857</v>
      </c>
      <c r="C2105" t="s">
        <v>5488</v>
      </c>
      <c r="D2105" t="s">
        <v>5488</v>
      </c>
      <c r="H2105" t="str">
        <f t="shared" si="64"/>
        <v>Frisco</v>
      </c>
      <c r="I2105" t="str">
        <f t="shared" si="65"/>
        <v>Frisco</v>
      </c>
      <c r="J2105" s="82"/>
      <c r="K2105" s="87"/>
      <c r="L2105" s="87"/>
    </row>
    <row r="2106" spans="1:12" x14ac:dyDescent="0.3">
      <c r="A2106" t="s">
        <v>22096</v>
      </c>
      <c r="B2106" t="s">
        <v>19858</v>
      </c>
      <c r="C2106" t="s">
        <v>4565</v>
      </c>
      <c r="D2106" t="s">
        <v>4565</v>
      </c>
      <c r="H2106" t="str">
        <f t="shared" si="64"/>
        <v>Galveston</v>
      </c>
      <c r="I2106" t="str">
        <f t="shared" si="65"/>
        <v>Galveston</v>
      </c>
      <c r="J2106" s="82"/>
      <c r="K2106" s="87"/>
      <c r="L2106" s="87"/>
    </row>
    <row r="2107" spans="1:12" x14ac:dyDescent="0.3">
      <c r="A2107" t="s">
        <v>22097</v>
      </c>
      <c r="B2107" t="s">
        <v>19859</v>
      </c>
      <c r="C2107" t="s">
        <v>5019</v>
      </c>
      <c r="D2107" t="s">
        <v>5019</v>
      </c>
      <c r="H2107" t="str">
        <f t="shared" si="64"/>
        <v>Garland</v>
      </c>
      <c r="I2107" t="str">
        <f t="shared" si="65"/>
        <v>Garland</v>
      </c>
      <c r="J2107" s="82"/>
      <c r="K2107" s="87"/>
      <c r="L2107" s="87"/>
    </row>
    <row r="2108" spans="1:12" x14ac:dyDescent="0.3">
      <c r="A2108" t="s">
        <v>22098</v>
      </c>
      <c r="B2108" t="s">
        <v>19860</v>
      </c>
      <c r="C2108" t="s">
        <v>16</v>
      </c>
      <c r="D2108" t="s">
        <v>16</v>
      </c>
      <c r="H2108" t="str">
        <f t="shared" si="64"/>
        <v>Georgetown</v>
      </c>
      <c r="I2108" t="str">
        <f t="shared" si="65"/>
        <v>Georgetown</v>
      </c>
      <c r="J2108" s="82"/>
      <c r="K2108" s="87"/>
      <c r="L2108" s="87"/>
    </row>
    <row r="2109" spans="1:12" x14ac:dyDescent="0.3">
      <c r="A2109" t="s">
        <v>22099</v>
      </c>
      <c r="B2109" t="s">
        <v>19861</v>
      </c>
      <c r="C2109" t="s">
        <v>11589</v>
      </c>
      <c r="D2109" t="s">
        <v>11589</v>
      </c>
      <c r="H2109" t="str">
        <f t="shared" si="64"/>
        <v>Glenn</v>
      </c>
      <c r="I2109" t="str">
        <f t="shared" si="65"/>
        <v>Glenn</v>
      </c>
      <c r="J2109" s="82"/>
      <c r="K2109" s="87"/>
      <c r="L2109" s="87"/>
    </row>
    <row r="2110" spans="1:12" x14ac:dyDescent="0.3">
      <c r="A2110" t="s">
        <v>22100</v>
      </c>
      <c r="B2110" t="s">
        <v>19862</v>
      </c>
      <c r="C2110" t="s">
        <v>6604</v>
      </c>
      <c r="D2110" t="s">
        <v>6604</v>
      </c>
      <c r="H2110" t="str">
        <f t="shared" si="64"/>
        <v>Granbury</v>
      </c>
      <c r="I2110" t="str">
        <f t="shared" si="65"/>
        <v>Granbury</v>
      </c>
      <c r="J2110" s="82"/>
      <c r="K2110" s="87"/>
      <c r="L2110" s="87"/>
    </row>
    <row r="2111" spans="1:12" x14ac:dyDescent="0.3">
      <c r="A2111" t="s">
        <v>22101</v>
      </c>
      <c r="B2111" t="s">
        <v>19863</v>
      </c>
      <c r="C2111" t="s">
        <v>5076</v>
      </c>
      <c r="D2111" t="s">
        <v>5076</v>
      </c>
      <c r="H2111" t="str">
        <f t="shared" si="64"/>
        <v>Grand</v>
      </c>
      <c r="I2111" t="str">
        <f t="shared" si="65"/>
        <v>Grand</v>
      </c>
      <c r="J2111" s="82"/>
      <c r="K2111" s="87"/>
      <c r="L2111" s="87"/>
    </row>
    <row r="2112" spans="1:12" x14ac:dyDescent="0.3">
      <c r="A2112" t="s">
        <v>22102</v>
      </c>
      <c r="B2112" t="s">
        <v>19864</v>
      </c>
      <c r="C2112" t="s">
        <v>6578</v>
      </c>
      <c r="D2112" t="s">
        <v>6578</v>
      </c>
      <c r="H2112" t="str">
        <f t="shared" si="64"/>
        <v>Grapevine</v>
      </c>
      <c r="I2112" t="str">
        <f t="shared" si="65"/>
        <v>Grapevine</v>
      </c>
      <c r="J2112" s="82"/>
      <c r="K2112" s="87"/>
      <c r="L2112" s="87"/>
    </row>
    <row r="2113" spans="1:12" x14ac:dyDescent="0.3">
      <c r="A2113" t="s">
        <v>22103</v>
      </c>
      <c r="B2113" t="s">
        <v>19865</v>
      </c>
      <c r="C2113" t="s">
        <v>8626</v>
      </c>
      <c r="D2113" t="s">
        <v>8626</v>
      </c>
      <c r="H2113" t="str">
        <f t="shared" si="64"/>
        <v>Greenville</v>
      </c>
      <c r="I2113" t="str">
        <f t="shared" si="65"/>
        <v>Greenville</v>
      </c>
      <c r="J2113" s="82"/>
      <c r="K2113" s="87"/>
      <c r="L2113" s="87"/>
    </row>
    <row r="2114" spans="1:12" x14ac:dyDescent="0.3">
      <c r="A2114" t="s">
        <v>22104</v>
      </c>
      <c r="B2114" t="s">
        <v>19866</v>
      </c>
      <c r="C2114" t="s">
        <v>12314</v>
      </c>
      <c r="D2114" t="s">
        <v>12314</v>
      </c>
      <c r="H2114" t="str">
        <f t="shared" ref="H2114:H2177" si="66">I2114&amp;E2114&amp;G2114</f>
        <v>Groves</v>
      </c>
      <c r="I2114" t="str">
        <f t="shared" ref="I2114:I2177" si="67">IFERROR(LEFT(D2114,FIND(" ",D2114)-1),D2114)</f>
        <v>Groves</v>
      </c>
      <c r="J2114" s="82"/>
      <c r="K2114" s="87"/>
      <c r="L2114" s="87"/>
    </row>
    <row r="2115" spans="1:12" x14ac:dyDescent="0.3">
      <c r="A2115" t="s">
        <v>22105</v>
      </c>
      <c r="B2115" t="s">
        <v>19867</v>
      </c>
      <c r="C2115" t="s">
        <v>6581</v>
      </c>
      <c r="D2115" t="s">
        <v>6581</v>
      </c>
      <c r="H2115" t="str">
        <f t="shared" si="66"/>
        <v>Haltom</v>
      </c>
      <c r="I2115" t="str">
        <f t="shared" si="67"/>
        <v>Haltom</v>
      </c>
      <c r="J2115" s="82"/>
      <c r="K2115" s="87"/>
      <c r="L2115" s="87"/>
    </row>
    <row r="2116" spans="1:12" x14ac:dyDescent="0.3">
      <c r="A2116" t="s">
        <v>22106</v>
      </c>
      <c r="B2116" t="s">
        <v>19868</v>
      </c>
      <c r="C2116" t="s">
        <v>11785</v>
      </c>
      <c r="D2116" t="s">
        <v>11785</v>
      </c>
      <c r="H2116" t="str">
        <f t="shared" si="66"/>
        <v>Harker</v>
      </c>
      <c r="I2116" t="str">
        <f t="shared" si="67"/>
        <v>Harker</v>
      </c>
      <c r="J2116" s="82"/>
      <c r="K2116" s="87"/>
      <c r="L2116" s="87"/>
    </row>
    <row r="2117" spans="1:12" x14ac:dyDescent="0.3">
      <c r="A2117" t="s">
        <v>22107</v>
      </c>
      <c r="B2117" t="s">
        <v>19869</v>
      </c>
      <c r="C2117" t="s">
        <v>12102</v>
      </c>
      <c r="D2117" t="s">
        <v>12102</v>
      </c>
      <c r="H2117" t="str">
        <f t="shared" si="66"/>
        <v>Harlingen</v>
      </c>
      <c r="I2117" t="str">
        <f t="shared" si="67"/>
        <v>Harlingen</v>
      </c>
      <c r="J2117" s="82"/>
      <c r="K2117" s="87"/>
      <c r="L2117" s="87"/>
    </row>
    <row r="2118" spans="1:12" x14ac:dyDescent="0.3">
      <c r="A2118" t="s">
        <v>22108</v>
      </c>
      <c r="B2118" t="s">
        <v>19870</v>
      </c>
      <c r="C2118" t="s">
        <v>4363</v>
      </c>
      <c r="D2118" t="s">
        <v>4363</v>
      </c>
      <c r="H2118" t="str">
        <f t="shared" si="66"/>
        <v>Henderson</v>
      </c>
      <c r="I2118" t="str">
        <f t="shared" si="67"/>
        <v>Henderson</v>
      </c>
      <c r="J2118" s="82"/>
      <c r="K2118" s="87"/>
      <c r="L2118" s="87"/>
    </row>
    <row r="2119" spans="1:12" x14ac:dyDescent="0.3">
      <c r="A2119" t="s">
        <v>22109</v>
      </c>
      <c r="B2119" t="s">
        <v>19871</v>
      </c>
      <c r="C2119" t="s">
        <v>4363</v>
      </c>
      <c r="D2119" t="s">
        <v>4363</v>
      </c>
      <c r="H2119" t="str">
        <f t="shared" si="66"/>
        <v>Henderson</v>
      </c>
      <c r="I2119" t="str">
        <f t="shared" si="67"/>
        <v>Henderson</v>
      </c>
      <c r="J2119" s="82"/>
      <c r="K2119" s="87"/>
      <c r="L2119" s="87"/>
    </row>
    <row r="2120" spans="1:12" x14ac:dyDescent="0.3">
      <c r="A2120" t="s">
        <v>22110</v>
      </c>
      <c r="B2120" t="s">
        <v>19872</v>
      </c>
      <c r="C2120" t="s">
        <v>1657</v>
      </c>
      <c r="D2120" t="s">
        <v>1657</v>
      </c>
      <c r="H2120" t="str">
        <f t="shared" si="66"/>
        <v>Houston</v>
      </c>
      <c r="I2120" t="str">
        <f t="shared" si="67"/>
        <v>Houston</v>
      </c>
      <c r="J2120" s="82"/>
      <c r="K2120" s="87"/>
      <c r="L2120" s="87"/>
    </row>
    <row r="2121" spans="1:12" x14ac:dyDescent="0.3">
      <c r="A2121" t="s">
        <v>22111</v>
      </c>
      <c r="B2121" t="s">
        <v>19873</v>
      </c>
      <c r="C2121" t="s">
        <v>11708</v>
      </c>
      <c r="D2121" t="s">
        <v>11708</v>
      </c>
      <c r="H2121" t="str">
        <f t="shared" si="66"/>
        <v>Hughes</v>
      </c>
      <c r="I2121" t="str">
        <f t="shared" si="67"/>
        <v>Hughes</v>
      </c>
      <c r="J2121" s="82"/>
      <c r="K2121" s="87"/>
      <c r="L2121" s="87"/>
    </row>
    <row r="2122" spans="1:12" x14ac:dyDescent="0.3">
      <c r="A2122" t="s">
        <v>22112</v>
      </c>
      <c r="B2122" t="s">
        <v>19874</v>
      </c>
      <c r="C2122" t="s">
        <v>1763</v>
      </c>
      <c r="D2122" t="s">
        <v>1763</v>
      </c>
      <c r="H2122" t="str">
        <f t="shared" si="66"/>
        <v>Humble</v>
      </c>
      <c r="I2122" t="str">
        <f t="shared" si="67"/>
        <v>Humble</v>
      </c>
      <c r="J2122" s="82"/>
      <c r="K2122" s="87"/>
      <c r="L2122" s="87"/>
    </row>
    <row r="2123" spans="1:12" x14ac:dyDescent="0.3">
      <c r="A2123" t="s">
        <v>22113</v>
      </c>
      <c r="B2123" t="s">
        <v>19875</v>
      </c>
      <c r="C2123" t="s">
        <v>12085</v>
      </c>
      <c r="D2123" t="s">
        <v>12085</v>
      </c>
      <c r="H2123" t="str">
        <f t="shared" si="66"/>
        <v>Huntsville</v>
      </c>
      <c r="I2123" t="str">
        <f t="shared" si="67"/>
        <v>Huntsville</v>
      </c>
      <c r="J2123" s="82"/>
      <c r="K2123" s="87"/>
      <c r="L2123" s="87"/>
    </row>
    <row r="2124" spans="1:12" x14ac:dyDescent="0.3">
      <c r="A2124" t="s">
        <v>22114</v>
      </c>
      <c r="B2124" t="s">
        <v>19876</v>
      </c>
      <c r="C2124" t="s">
        <v>6612</v>
      </c>
      <c r="D2124" t="s">
        <v>6612</v>
      </c>
      <c r="H2124" t="str">
        <f t="shared" si="66"/>
        <v>Hurst</v>
      </c>
      <c r="I2124" t="str">
        <f t="shared" si="67"/>
        <v>Hurst</v>
      </c>
      <c r="J2124" s="82"/>
      <c r="K2124" s="87"/>
      <c r="L2124" s="87"/>
    </row>
    <row r="2125" spans="1:12" x14ac:dyDescent="0.3">
      <c r="A2125" t="s">
        <v>22115</v>
      </c>
      <c r="B2125" t="s">
        <v>19877</v>
      </c>
      <c r="C2125" t="s">
        <v>5046</v>
      </c>
      <c r="D2125" t="s">
        <v>5046</v>
      </c>
      <c r="H2125" t="str">
        <f t="shared" si="66"/>
        <v>Irving</v>
      </c>
      <c r="I2125" t="str">
        <f t="shared" si="67"/>
        <v>Irving</v>
      </c>
      <c r="J2125" s="82"/>
      <c r="K2125" s="87"/>
      <c r="L2125" s="87"/>
    </row>
    <row r="2126" spans="1:12" x14ac:dyDescent="0.3">
      <c r="A2126" t="s">
        <v>22116</v>
      </c>
      <c r="B2126" t="s">
        <v>19878</v>
      </c>
      <c r="C2126" t="s">
        <v>11894</v>
      </c>
      <c r="D2126" t="s">
        <v>11894</v>
      </c>
      <c r="H2126" t="str">
        <f t="shared" si="66"/>
        <v>Jacksonville</v>
      </c>
      <c r="I2126" t="str">
        <f t="shared" si="67"/>
        <v>Jacksonville</v>
      </c>
      <c r="J2126" s="82"/>
      <c r="K2126" s="87"/>
      <c r="L2126" s="87"/>
    </row>
    <row r="2127" spans="1:12" x14ac:dyDescent="0.3">
      <c r="A2127" t="s">
        <v>22117</v>
      </c>
      <c r="B2127" t="s">
        <v>19879</v>
      </c>
      <c r="C2127" t="s">
        <v>2198</v>
      </c>
      <c r="D2127" t="s">
        <v>2198</v>
      </c>
      <c r="H2127" t="str">
        <f t="shared" si="66"/>
        <v>Katy</v>
      </c>
      <c r="I2127" t="str">
        <f t="shared" si="67"/>
        <v>Katy</v>
      </c>
      <c r="J2127" s="82"/>
      <c r="K2127" s="87"/>
      <c r="L2127" s="87"/>
    </row>
    <row r="2128" spans="1:12" x14ac:dyDescent="0.3">
      <c r="A2128" t="s">
        <v>22118</v>
      </c>
      <c r="B2128" t="s">
        <v>19880</v>
      </c>
      <c r="C2128" t="s">
        <v>7317</v>
      </c>
      <c r="D2128" t="s">
        <v>7317</v>
      </c>
      <c r="H2128" t="str">
        <f t="shared" si="66"/>
        <v>Kaufman</v>
      </c>
      <c r="I2128" t="str">
        <f t="shared" si="67"/>
        <v>Kaufman</v>
      </c>
      <c r="J2128" s="82"/>
      <c r="K2128" s="87"/>
      <c r="L2128" s="87"/>
    </row>
    <row r="2129" spans="1:12" x14ac:dyDescent="0.3">
      <c r="A2129" t="s">
        <v>22119</v>
      </c>
      <c r="B2129" t="s">
        <v>19881</v>
      </c>
      <c r="C2129" t="s">
        <v>6672</v>
      </c>
      <c r="D2129" t="s">
        <v>6672</v>
      </c>
      <c r="H2129" t="str">
        <f t="shared" si="66"/>
        <v>Keller</v>
      </c>
      <c r="I2129" t="str">
        <f t="shared" si="67"/>
        <v>Keller</v>
      </c>
      <c r="J2129" s="82"/>
      <c r="K2129" s="87"/>
      <c r="L2129" s="87"/>
    </row>
    <row r="2130" spans="1:12" x14ac:dyDescent="0.3">
      <c r="A2130" t="s">
        <v>22120</v>
      </c>
      <c r="B2130" t="s">
        <v>19882</v>
      </c>
      <c r="C2130" t="s">
        <v>11637</v>
      </c>
      <c r="D2130" t="s">
        <v>11637</v>
      </c>
      <c r="H2130" t="str">
        <f t="shared" si="66"/>
        <v>Kemp</v>
      </c>
      <c r="I2130" t="str">
        <f t="shared" si="67"/>
        <v>Kemp</v>
      </c>
      <c r="J2130" s="82"/>
      <c r="K2130" s="87"/>
      <c r="L2130" s="87"/>
    </row>
    <row r="2131" spans="1:12" x14ac:dyDescent="0.3">
      <c r="A2131" t="s">
        <v>22121</v>
      </c>
      <c r="B2131" t="s">
        <v>19883</v>
      </c>
      <c r="C2131" t="s">
        <v>1138</v>
      </c>
      <c r="D2131" t="s">
        <v>1138</v>
      </c>
      <c r="H2131" t="str">
        <f t="shared" si="66"/>
        <v>Kerrville</v>
      </c>
      <c r="I2131" t="str">
        <f t="shared" si="67"/>
        <v>Kerrville</v>
      </c>
      <c r="J2131" s="82"/>
      <c r="K2131" s="87"/>
      <c r="L2131" s="87"/>
    </row>
    <row r="2132" spans="1:12" x14ac:dyDescent="0.3">
      <c r="A2132" t="s">
        <v>22122</v>
      </c>
      <c r="B2132" t="s">
        <v>19884</v>
      </c>
      <c r="C2132" t="s">
        <v>11899</v>
      </c>
      <c r="D2132" t="s">
        <v>11899</v>
      </c>
      <c r="H2132" t="str">
        <f t="shared" si="66"/>
        <v>Kilgore</v>
      </c>
      <c r="I2132" t="str">
        <f t="shared" si="67"/>
        <v>Kilgore</v>
      </c>
      <c r="J2132" s="82"/>
      <c r="K2132" s="87"/>
      <c r="L2132" s="87"/>
    </row>
    <row r="2133" spans="1:12" x14ac:dyDescent="0.3">
      <c r="A2133" t="s">
        <v>22123</v>
      </c>
      <c r="B2133" t="s">
        <v>19885</v>
      </c>
      <c r="C2133" t="s">
        <v>11788</v>
      </c>
      <c r="D2133" t="s">
        <v>11788</v>
      </c>
      <c r="H2133" t="str">
        <f t="shared" si="66"/>
        <v>Killeen</v>
      </c>
      <c r="I2133" t="str">
        <f t="shared" si="67"/>
        <v>Killeen</v>
      </c>
      <c r="J2133" s="82"/>
      <c r="K2133" s="87"/>
      <c r="L2133" s="87"/>
    </row>
    <row r="2134" spans="1:12" x14ac:dyDescent="0.3">
      <c r="A2134" t="s">
        <v>22124</v>
      </c>
      <c r="B2134" t="s">
        <v>19886</v>
      </c>
      <c r="C2134" t="s">
        <v>11861</v>
      </c>
      <c r="D2134" t="s">
        <v>11861</v>
      </c>
      <c r="H2134" t="str">
        <f t="shared" si="66"/>
        <v>Kingsville</v>
      </c>
      <c r="I2134" t="str">
        <f t="shared" si="67"/>
        <v>Kingsville</v>
      </c>
      <c r="J2134" s="82"/>
      <c r="K2134" s="87"/>
      <c r="L2134" s="87"/>
    </row>
    <row r="2135" spans="1:12" x14ac:dyDescent="0.3">
      <c r="A2135" t="s">
        <v>22125</v>
      </c>
      <c r="B2135" t="s">
        <v>19887</v>
      </c>
      <c r="C2135" t="s">
        <v>10936</v>
      </c>
      <c r="D2135" t="s">
        <v>10936</v>
      </c>
      <c r="H2135" t="str">
        <f t="shared" si="66"/>
        <v>Krum</v>
      </c>
      <c r="I2135" t="str">
        <f t="shared" si="67"/>
        <v>Krum</v>
      </c>
      <c r="J2135" s="82"/>
      <c r="K2135" s="87"/>
      <c r="L2135" s="87"/>
    </row>
    <row r="2136" spans="1:12" x14ac:dyDescent="0.3">
      <c r="A2136" t="s">
        <v>22126</v>
      </c>
      <c r="B2136" t="s">
        <v>19888</v>
      </c>
      <c r="C2136" t="s">
        <v>4673</v>
      </c>
      <c r="D2136" t="s">
        <v>4673</v>
      </c>
      <c r="H2136" t="str">
        <f t="shared" si="66"/>
        <v>La</v>
      </c>
      <c r="I2136" t="str">
        <f t="shared" si="67"/>
        <v>La</v>
      </c>
      <c r="J2136" s="82"/>
      <c r="K2136" s="87"/>
      <c r="L2136" s="87"/>
    </row>
    <row r="2137" spans="1:12" x14ac:dyDescent="0.3">
      <c r="A2137" t="s">
        <v>22127</v>
      </c>
      <c r="B2137" t="s">
        <v>19889</v>
      </c>
      <c r="C2137" t="s">
        <v>5074</v>
      </c>
      <c r="D2137" t="s">
        <v>5074</v>
      </c>
      <c r="H2137" t="str">
        <f t="shared" si="66"/>
        <v>Lake</v>
      </c>
      <c r="I2137" t="str">
        <f t="shared" si="67"/>
        <v>Lake</v>
      </c>
      <c r="J2137" s="82"/>
      <c r="K2137" s="87"/>
      <c r="L2137" s="87"/>
    </row>
    <row r="2138" spans="1:12" x14ac:dyDescent="0.3">
      <c r="A2138" t="s">
        <v>22128</v>
      </c>
      <c r="B2138" t="s">
        <v>19890</v>
      </c>
      <c r="C2138" t="s">
        <v>4442</v>
      </c>
      <c r="D2138" t="s">
        <v>4442</v>
      </c>
      <c r="H2138" t="str">
        <f t="shared" si="66"/>
        <v>Lake</v>
      </c>
      <c r="I2138" t="str">
        <f t="shared" si="67"/>
        <v>Lake</v>
      </c>
      <c r="J2138" s="82"/>
      <c r="K2138" s="87"/>
      <c r="L2138" s="87"/>
    </row>
    <row r="2139" spans="1:12" x14ac:dyDescent="0.3">
      <c r="A2139" t="s">
        <v>22129</v>
      </c>
      <c r="B2139" t="s">
        <v>19891</v>
      </c>
      <c r="C2139" t="s">
        <v>5411</v>
      </c>
      <c r="D2139" t="s">
        <v>5411</v>
      </c>
      <c r="H2139" t="str">
        <f t="shared" si="66"/>
        <v>Lancaster</v>
      </c>
      <c r="I2139" t="str">
        <f t="shared" si="67"/>
        <v>Lancaster</v>
      </c>
      <c r="J2139" s="82"/>
      <c r="K2139" s="87"/>
      <c r="L2139" s="87"/>
    </row>
    <row r="2140" spans="1:12" x14ac:dyDescent="0.3">
      <c r="A2140" t="s">
        <v>22130</v>
      </c>
      <c r="B2140" t="s">
        <v>19892</v>
      </c>
      <c r="C2140" t="s">
        <v>12394</v>
      </c>
      <c r="D2140" t="s">
        <v>12394</v>
      </c>
      <c r="H2140" t="str">
        <f t="shared" si="66"/>
        <v>Laredo</v>
      </c>
      <c r="I2140" t="str">
        <f t="shared" si="67"/>
        <v>Laredo</v>
      </c>
      <c r="J2140" s="82"/>
      <c r="K2140" s="87"/>
      <c r="L2140" s="87"/>
    </row>
    <row r="2141" spans="1:12" x14ac:dyDescent="0.3">
      <c r="A2141" t="s">
        <v>22131</v>
      </c>
      <c r="B2141" t="s">
        <v>19893</v>
      </c>
      <c r="C2141" t="s">
        <v>7459</v>
      </c>
      <c r="D2141" t="s">
        <v>7459</v>
      </c>
      <c r="H2141" t="str">
        <f t="shared" si="66"/>
        <v>Las</v>
      </c>
      <c r="I2141" t="str">
        <f t="shared" si="67"/>
        <v>Las</v>
      </c>
      <c r="J2141" s="82"/>
      <c r="K2141" s="87"/>
      <c r="L2141" s="87"/>
    </row>
    <row r="2142" spans="1:12" x14ac:dyDescent="0.3">
      <c r="A2142" t="s">
        <v>22132</v>
      </c>
      <c r="B2142" t="s">
        <v>19894</v>
      </c>
      <c r="C2142" t="s">
        <v>11642</v>
      </c>
      <c r="D2142" t="s">
        <v>11642</v>
      </c>
      <c r="H2142" t="str">
        <f t="shared" si="66"/>
        <v>Lavon</v>
      </c>
      <c r="I2142" t="str">
        <f t="shared" si="67"/>
        <v>Lavon</v>
      </c>
      <c r="J2142" s="82"/>
      <c r="K2142" s="87"/>
      <c r="L2142" s="87"/>
    </row>
    <row r="2143" spans="1:12" x14ac:dyDescent="0.3">
      <c r="A2143" t="s">
        <v>22133</v>
      </c>
      <c r="B2143" t="s">
        <v>19895</v>
      </c>
      <c r="C2143" t="s">
        <v>4563</v>
      </c>
      <c r="D2143" t="s">
        <v>4563</v>
      </c>
      <c r="H2143" t="str">
        <f t="shared" si="66"/>
        <v>League</v>
      </c>
      <c r="I2143" t="str">
        <f t="shared" si="67"/>
        <v>League</v>
      </c>
      <c r="J2143" s="82"/>
      <c r="K2143" s="87"/>
      <c r="L2143" s="87"/>
    </row>
    <row r="2144" spans="1:12" x14ac:dyDescent="0.3">
      <c r="A2144" t="s">
        <v>22134</v>
      </c>
      <c r="B2144" t="s">
        <v>19896</v>
      </c>
      <c r="C2144" t="s">
        <v>5055</v>
      </c>
      <c r="D2144" t="s">
        <v>5055</v>
      </c>
      <c r="H2144" t="str">
        <f t="shared" si="66"/>
        <v>Lewisville</v>
      </c>
      <c r="I2144" t="str">
        <f t="shared" si="67"/>
        <v>Lewisville</v>
      </c>
      <c r="J2144" s="82"/>
      <c r="K2144" s="87"/>
      <c r="L2144" s="87"/>
    </row>
    <row r="2145" spans="1:12" x14ac:dyDescent="0.3">
      <c r="A2145" t="s">
        <v>22135</v>
      </c>
      <c r="B2145" t="s">
        <v>19897</v>
      </c>
      <c r="C2145" t="s">
        <v>10587</v>
      </c>
      <c r="D2145" t="s">
        <v>10587</v>
      </c>
      <c r="H2145" t="str">
        <f t="shared" si="66"/>
        <v>Little</v>
      </c>
      <c r="I2145" t="str">
        <f t="shared" si="67"/>
        <v>Little</v>
      </c>
      <c r="J2145" s="82"/>
      <c r="K2145" s="87"/>
      <c r="L2145" s="87"/>
    </row>
    <row r="2146" spans="1:12" x14ac:dyDescent="0.3">
      <c r="A2146" t="s">
        <v>22136</v>
      </c>
      <c r="B2146" t="s">
        <v>19898</v>
      </c>
      <c r="C2146" t="s">
        <v>12433</v>
      </c>
      <c r="D2146" t="s">
        <v>12433</v>
      </c>
      <c r="H2146" t="str">
        <f t="shared" si="66"/>
        <v>Littleton</v>
      </c>
      <c r="I2146" t="str">
        <f t="shared" si="67"/>
        <v>Littleton</v>
      </c>
      <c r="J2146" s="82"/>
      <c r="K2146" s="87"/>
      <c r="L2146" s="87"/>
    </row>
    <row r="2147" spans="1:12" x14ac:dyDescent="0.3">
      <c r="A2147" t="s">
        <v>22137</v>
      </c>
      <c r="B2147" t="s">
        <v>19899</v>
      </c>
      <c r="C2147" t="s">
        <v>11902</v>
      </c>
      <c r="D2147" t="s">
        <v>11902</v>
      </c>
      <c r="H2147" t="str">
        <f t="shared" si="66"/>
        <v>Longview</v>
      </c>
      <c r="I2147" t="str">
        <f t="shared" si="67"/>
        <v>Longview</v>
      </c>
      <c r="J2147" s="82"/>
      <c r="K2147" s="87"/>
      <c r="L2147" s="87"/>
    </row>
    <row r="2148" spans="1:12" x14ac:dyDescent="0.3">
      <c r="A2148" t="s">
        <v>22138</v>
      </c>
      <c r="B2148" t="s">
        <v>19900</v>
      </c>
      <c r="C2148" t="s">
        <v>12339</v>
      </c>
      <c r="D2148" t="s">
        <v>12339</v>
      </c>
      <c r="H2148" t="str">
        <f t="shared" si="66"/>
        <v>Lubbock</v>
      </c>
      <c r="I2148" t="str">
        <f t="shared" si="67"/>
        <v>Lubbock</v>
      </c>
      <c r="J2148" s="82"/>
      <c r="K2148" s="87"/>
      <c r="L2148" s="87"/>
    </row>
    <row r="2149" spans="1:12" x14ac:dyDescent="0.3">
      <c r="A2149" t="s">
        <v>22139</v>
      </c>
      <c r="B2149" t="s">
        <v>19901</v>
      </c>
      <c r="C2149" t="s">
        <v>11881</v>
      </c>
      <c r="D2149" t="s">
        <v>11881</v>
      </c>
      <c r="H2149" t="str">
        <f t="shared" si="66"/>
        <v>Lufkin</v>
      </c>
      <c r="I2149" t="str">
        <f t="shared" si="67"/>
        <v>Lufkin</v>
      </c>
      <c r="J2149" s="82"/>
      <c r="K2149" s="87"/>
      <c r="L2149" s="87"/>
    </row>
    <row r="2150" spans="1:12" x14ac:dyDescent="0.3">
      <c r="A2150" t="s">
        <v>22140</v>
      </c>
      <c r="B2150" t="s">
        <v>19902</v>
      </c>
      <c r="C2150" t="s">
        <v>8765</v>
      </c>
      <c r="D2150" t="s">
        <v>8765</v>
      </c>
      <c r="H2150" t="str">
        <f t="shared" si="66"/>
        <v>Mansfield</v>
      </c>
      <c r="I2150" t="str">
        <f t="shared" si="67"/>
        <v>Mansfield</v>
      </c>
      <c r="J2150" s="82"/>
      <c r="K2150" s="87"/>
      <c r="L2150" s="87"/>
    </row>
    <row r="2151" spans="1:12" x14ac:dyDescent="0.3">
      <c r="A2151" t="s">
        <v>22141</v>
      </c>
      <c r="B2151" t="s">
        <v>19903</v>
      </c>
      <c r="C2151" t="s">
        <v>3136</v>
      </c>
      <c r="D2151" t="s">
        <v>3136</v>
      </c>
      <c r="H2151" t="str">
        <f t="shared" si="66"/>
        <v>Marshall</v>
      </c>
      <c r="I2151" t="str">
        <f t="shared" si="67"/>
        <v>Marshall</v>
      </c>
      <c r="J2151" s="82"/>
      <c r="K2151" s="87"/>
      <c r="L2151" s="87"/>
    </row>
    <row r="2152" spans="1:12" x14ac:dyDescent="0.3">
      <c r="A2152" t="s">
        <v>22142</v>
      </c>
      <c r="B2152" t="s">
        <v>19904</v>
      </c>
      <c r="C2152" t="s">
        <v>12110</v>
      </c>
      <c r="D2152" t="s">
        <v>12110</v>
      </c>
      <c r="H2152" t="str">
        <f t="shared" si="66"/>
        <v>McAllen</v>
      </c>
      <c r="I2152" t="str">
        <f t="shared" si="67"/>
        <v>McAllen</v>
      </c>
      <c r="J2152" s="82"/>
      <c r="K2152" s="87"/>
      <c r="L2152" s="87"/>
    </row>
    <row r="2153" spans="1:12" x14ac:dyDescent="0.3">
      <c r="A2153" t="s">
        <v>22143</v>
      </c>
      <c r="B2153" t="s">
        <v>19905</v>
      </c>
      <c r="C2153" t="s">
        <v>5043</v>
      </c>
      <c r="D2153" t="s">
        <v>5043</v>
      </c>
      <c r="H2153" t="str">
        <f t="shared" si="66"/>
        <v>McKinney</v>
      </c>
      <c r="I2153" t="str">
        <f t="shared" si="67"/>
        <v>McKinney</v>
      </c>
      <c r="J2153" s="82"/>
      <c r="K2153" s="87"/>
      <c r="L2153" s="87"/>
    </row>
    <row r="2154" spans="1:12" x14ac:dyDescent="0.3">
      <c r="A2154" t="s">
        <v>22144</v>
      </c>
      <c r="B2154" t="s">
        <v>19906</v>
      </c>
      <c r="C2154" t="s">
        <v>5088</v>
      </c>
      <c r="D2154" t="s">
        <v>5088</v>
      </c>
      <c r="H2154" t="str">
        <f t="shared" si="66"/>
        <v>Mesquite</v>
      </c>
      <c r="I2154" t="str">
        <f t="shared" si="67"/>
        <v>Mesquite</v>
      </c>
      <c r="J2154" s="82"/>
      <c r="K2154" s="87"/>
      <c r="L2154" s="87"/>
    </row>
    <row r="2155" spans="1:12" x14ac:dyDescent="0.3">
      <c r="A2155" t="s">
        <v>22145</v>
      </c>
      <c r="B2155" t="s">
        <v>19907</v>
      </c>
      <c r="C2155" t="s">
        <v>11948</v>
      </c>
      <c r="D2155" t="s">
        <v>11948</v>
      </c>
      <c r="H2155" t="str">
        <f t="shared" si="66"/>
        <v>Mexia</v>
      </c>
      <c r="I2155" t="str">
        <f t="shared" si="67"/>
        <v>Mexia</v>
      </c>
      <c r="J2155" s="82"/>
      <c r="K2155" s="87"/>
      <c r="L2155" s="87"/>
    </row>
    <row r="2156" spans="1:12" x14ac:dyDescent="0.3">
      <c r="A2156" t="s">
        <v>22146</v>
      </c>
      <c r="B2156" t="s">
        <v>19908</v>
      </c>
      <c r="C2156" t="s">
        <v>19909</v>
      </c>
      <c r="D2156" t="s">
        <v>19909</v>
      </c>
      <c r="H2156" t="str">
        <f t="shared" si="66"/>
        <v>MF</v>
      </c>
      <c r="I2156" t="str">
        <f t="shared" si="67"/>
        <v>MF</v>
      </c>
      <c r="J2156" s="82"/>
      <c r="K2156" s="87"/>
      <c r="L2156" s="87"/>
    </row>
    <row r="2157" spans="1:12" x14ac:dyDescent="0.3">
      <c r="A2157" t="s">
        <v>22147</v>
      </c>
      <c r="B2157" t="s">
        <v>19910</v>
      </c>
      <c r="C2157" t="s">
        <v>12210</v>
      </c>
      <c r="D2157" t="s">
        <v>12210</v>
      </c>
      <c r="H2157" t="str">
        <f t="shared" si="66"/>
        <v>Midland</v>
      </c>
      <c r="I2157" t="str">
        <f t="shared" si="67"/>
        <v>Midland</v>
      </c>
      <c r="J2157" s="82"/>
      <c r="K2157" s="87"/>
      <c r="L2157" s="87"/>
    </row>
    <row r="2158" spans="1:12" x14ac:dyDescent="0.3">
      <c r="A2158" t="s">
        <v>22148</v>
      </c>
      <c r="B2158" t="s">
        <v>19911</v>
      </c>
      <c r="C2158" t="s">
        <v>8116</v>
      </c>
      <c r="D2158" t="s">
        <v>8116</v>
      </c>
      <c r="H2158" t="str">
        <f t="shared" si="66"/>
        <v>Midlothian</v>
      </c>
      <c r="I2158" t="str">
        <f t="shared" si="67"/>
        <v>Midlothian</v>
      </c>
      <c r="J2158" s="82"/>
      <c r="K2158" s="87"/>
      <c r="L2158" s="87"/>
    </row>
    <row r="2159" spans="1:12" x14ac:dyDescent="0.3">
      <c r="A2159" t="s">
        <v>22149</v>
      </c>
      <c r="B2159" t="s">
        <v>19912</v>
      </c>
      <c r="C2159" t="s">
        <v>12177</v>
      </c>
      <c r="D2159" t="s">
        <v>12177</v>
      </c>
      <c r="H2159" t="str">
        <f t="shared" si="66"/>
        <v>Mineral</v>
      </c>
      <c r="I2159" t="str">
        <f t="shared" si="67"/>
        <v>Mineral</v>
      </c>
      <c r="J2159" s="82"/>
      <c r="K2159" s="87"/>
      <c r="L2159" s="87"/>
    </row>
    <row r="2160" spans="1:12" x14ac:dyDescent="0.3">
      <c r="A2160" t="s">
        <v>22150</v>
      </c>
      <c r="B2160" t="s">
        <v>19913</v>
      </c>
      <c r="C2160" t="s">
        <v>12125</v>
      </c>
      <c r="D2160" t="s">
        <v>12125</v>
      </c>
      <c r="H2160" t="str">
        <f t="shared" si="66"/>
        <v>Mission</v>
      </c>
      <c r="I2160" t="str">
        <f t="shared" si="67"/>
        <v>Mission</v>
      </c>
      <c r="J2160" s="82"/>
      <c r="K2160" s="87"/>
      <c r="L2160" s="87"/>
    </row>
    <row r="2161" spans="1:12" x14ac:dyDescent="0.3">
      <c r="A2161" t="s">
        <v>22151</v>
      </c>
      <c r="B2161" t="s">
        <v>19914</v>
      </c>
      <c r="C2161" t="s">
        <v>4532</v>
      </c>
      <c r="D2161" t="s">
        <v>4532</v>
      </c>
      <c r="H2161" t="str">
        <f t="shared" si="66"/>
        <v>Missouri</v>
      </c>
      <c r="I2161" t="str">
        <f t="shared" si="67"/>
        <v>Missouri</v>
      </c>
      <c r="J2161" s="82"/>
      <c r="K2161" s="87"/>
      <c r="L2161" s="87"/>
    </row>
    <row r="2162" spans="1:12" x14ac:dyDescent="0.3">
      <c r="A2162" t="s">
        <v>22152</v>
      </c>
      <c r="B2162" t="s">
        <v>19915</v>
      </c>
      <c r="C2162" t="s">
        <v>875</v>
      </c>
      <c r="D2162" t="s">
        <v>875</v>
      </c>
      <c r="H2162" t="str">
        <f t="shared" si="66"/>
        <v>Nacogdoches</v>
      </c>
      <c r="I2162" t="str">
        <f t="shared" si="67"/>
        <v>Nacogdoches</v>
      </c>
      <c r="J2162" s="82"/>
      <c r="K2162" s="87"/>
      <c r="L2162" s="87"/>
    </row>
    <row r="2163" spans="1:12" x14ac:dyDescent="0.3">
      <c r="A2163" t="s">
        <v>22153</v>
      </c>
      <c r="B2163" t="s">
        <v>19916</v>
      </c>
      <c r="C2163" t="s">
        <v>12320</v>
      </c>
      <c r="D2163" t="s">
        <v>12320</v>
      </c>
      <c r="H2163" t="str">
        <f t="shared" si="66"/>
        <v>Nederland</v>
      </c>
      <c r="I2163" t="str">
        <f t="shared" si="67"/>
        <v>Nederland</v>
      </c>
      <c r="J2163" s="82"/>
      <c r="K2163" s="87"/>
      <c r="L2163" s="87"/>
    </row>
    <row r="2164" spans="1:12" x14ac:dyDescent="0.3">
      <c r="A2164" t="s">
        <v>22154</v>
      </c>
      <c r="B2164" t="s">
        <v>19917</v>
      </c>
      <c r="C2164" t="s">
        <v>912</v>
      </c>
      <c r="D2164" t="s">
        <v>912</v>
      </c>
      <c r="H2164" t="str">
        <f t="shared" si="66"/>
        <v>New</v>
      </c>
      <c r="I2164" t="str">
        <f t="shared" si="67"/>
        <v>New</v>
      </c>
      <c r="J2164" s="82"/>
      <c r="K2164" s="87"/>
      <c r="L2164" s="87"/>
    </row>
    <row r="2165" spans="1:12" x14ac:dyDescent="0.3">
      <c r="A2165" t="s">
        <v>22155</v>
      </c>
      <c r="B2165" t="s">
        <v>19918</v>
      </c>
      <c r="C2165" t="s">
        <v>6541</v>
      </c>
      <c r="D2165" t="s">
        <v>6541</v>
      </c>
      <c r="H2165" t="str">
        <f t="shared" si="66"/>
        <v>North</v>
      </c>
      <c r="I2165" t="str">
        <f t="shared" si="67"/>
        <v>North</v>
      </c>
      <c r="J2165" s="82"/>
      <c r="K2165" s="87"/>
      <c r="L2165" s="87"/>
    </row>
    <row r="2166" spans="1:12" x14ac:dyDescent="0.3">
      <c r="A2166" t="s">
        <v>22156</v>
      </c>
      <c r="B2166" t="s">
        <v>19919</v>
      </c>
      <c r="C2166" t="s">
        <v>12436</v>
      </c>
      <c r="D2166" t="s">
        <v>12436</v>
      </c>
      <c r="H2166" t="str">
        <f t="shared" si="66"/>
        <v>Northglenn</v>
      </c>
      <c r="I2166" t="str">
        <f t="shared" si="67"/>
        <v>Northglenn</v>
      </c>
      <c r="J2166" s="82"/>
      <c r="K2166" s="87"/>
      <c r="L2166" s="87"/>
    </row>
    <row r="2167" spans="1:12" x14ac:dyDescent="0.3">
      <c r="A2167" t="s">
        <v>22157</v>
      </c>
      <c r="B2167" t="s">
        <v>19920</v>
      </c>
      <c r="C2167" t="s">
        <v>12218</v>
      </c>
      <c r="D2167" t="s">
        <v>12218</v>
      </c>
      <c r="H2167" t="str">
        <f t="shared" si="66"/>
        <v>Odessa</v>
      </c>
      <c r="I2167" t="str">
        <f t="shared" si="67"/>
        <v>Odessa</v>
      </c>
      <c r="J2167" s="82"/>
      <c r="K2167" s="87"/>
      <c r="L2167" s="87"/>
    </row>
    <row r="2168" spans="1:12" x14ac:dyDescent="0.3">
      <c r="A2168" t="s">
        <v>22158</v>
      </c>
      <c r="B2168" t="s">
        <v>19921</v>
      </c>
      <c r="C2168" t="s">
        <v>12326</v>
      </c>
      <c r="D2168" t="s">
        <v>12326</v>
      </c>
      <c r="H2168" t="str">
        <f t="shared" si="66"/>
        <v>Orange</v>
      </c>
      <c r="I2168" t="str">
        <f t="shared" si="67"/>
        <v>Orange</v>
      </c>
      <c r="J2168" s="82"/>
      <c r="K2168" s="87"/>
      <c r="L2168" s="87"/>
    </row>
    <row r="2169" spans="1:12" x14ac:dyDescent="0.3">
      <c r="A2169" t="s">
        <v>22159</v>
      </c>
      <c r="B2169" t="s">
        <v>19922</v>
      </c>
      <c r="C2169" t="s">
        <v>12439</v>
      </c>
      <c r="D2169" t="s">
        <v>12439</v>
      </c>
      <c r="H2169" t="str">
        <f t="shared" si="66"/>
        <v>Orlando</v>
      </c>
      <c r="I2169" t="str">
        <f t="shared" si="67"/>
        <v>Orlando</v>
      </c>
      <c r="J2169" s="82"/>
      <c r="K2169" s="87"/>
      <c r="L2169" s="87"/>
    </row>
    <row r="2170" spans="1:12" x14ac:dyDescent="0.3">
      <c r="A2170" t="s">
        <v>22160</v>
      </c>
      <c r="B2170" t="s">
        <v>19923</v>
      </c>
      <c r="C2170" t="s">
        <v>11931</v>
      </c>
      <c r="D2170" t="s">
        <v>11931</v>
      </c>
      <c r="H2170" t="str">
        <f t="shared" si="66"/>
        <v>Palestine</v>
      </c>
      <c r="I2170" t="str">
        <f t="shared" si="67"/>
        <v>Palestine</v>
      </c>
      <c r="J2170" s="82"/>
      <c r="K2170" s="87"/>
      <c r="L2170" s="87"/>
    </row>
    <row r="2171" spans="1:12" x14ac:dyDescent="0.3">
      <c r="A2171" t="s">
        <v>22161</v>
      </c>
      <c r="B2171" t="s">
        <v>19924</v>
      </c>
      <c r="C2171" t="s">
        <v>12431</v>
      </c>
      <c r="D2171" t="s">
        <v>12431</v>
      </c>
      <c r="H2171" t="str">
        <f t="shared" si="66"/>
        <v>Palm</v>
      </c>
      <c r="I2171" t="str">
        <f t="shared" si="67"/>
        <v>Palm</v>
      </c>
      <c r="J2171" s="82"/>
      <c r="K2171" s="87"/>
      <c r="L2171" s="87"/>
    </row>
    <row r="2172" spans="1:12" x14ac:dyDescent="0.3">
      <c r="A2172" t="s">
        <v>22162</v>
      </c>
      <c r="B2172" t="s">
        <v>19925</v>
      </c>
      <c r="C2172" t="s">
        <v>11711</v>
      </c>
      <c r="D2172" t="s">
        <v>11711</v>
      </c>
      <c r="H2172" t="str">
        <f t="shared" si="66"/>
        <v>Paris</v>
      </c>
      <c r="I2172" t="str">
        <f t="shared" si="67"/>
        <v>Paris</v>
      </c>
      <c r="J2172" s="82"/>
      <c r="K2172" s="87"/>
      <c r="L2172" s="87"/>
    </row>
    <row r="2173" spans="1:12" x14ac:dyDescent="0.3">
      <c r="A2173" t="s">
        <v>22163</v>
      </c>
      <c r="B2173" t="s">
        <v>19926</v>
      </c>
      <c r="C2173" t="s">
        <v>3924</v>
      </c>
      <c r="D2173" t="s">
        <v>3924</v>
      </c>
      <c r="H2173" t="str">
        <f t="shared" si="66"/>
        <v>Pasadena</v>
      </c>
      <c r="I2173" t="str">
        <f t="shared" si="67"/>
        <v>Pasadena</v>
      </c>
      <c r="J2173" s="82"/>
      <c r="K2173" s="87"/>
      <c r="L2173" s="87"/>
    </row>
    <row r="2174" spans="1:12" x14ac:dyDescent="0.3">
      <c r="A2174" t="s">
        <v>22164</v>
      </c>
      <c r="B2174" t="s">
        <v>19927</v>
      </c>
      <c r="C2174" t="s">
        <v>4369</v>
      </c>
      <c r="D2174" t="s">
        <v>4369</v>
      </c>
      <c r="H2174" t="str">
        <f t="shared" si="66"/>
        <v>Pearland</v>
      </c>
      <c r="I2174" t="str">
        <f t="shared" si="67"/>
        <v>Pearland</v>
      </c>
      <c r="J2174" s="82"/>
      <c r="K2174" s="87"/>
      <c r="L2174" s="87"/>
    </row>
    <row r="2175" spans="1:12" x14ac:dyDescent="0.3">
      <c r="A2175" t="s">
        <v>22165</v>
      </c>
      <c r="B2175" t="s">
        <v>19928</v>
      </c>
      <c r="C2175" t="s">
        <v>12465</v>
      </c>
      <c r="D2175" t="s">
        <v>12465</v>
      </c>
      <c r="H2175" t="str">
        <f t="shared" si="66"/>
        <v>Petersburg</v>
      </c>
      <c r="I2175" t="str">
        <f t="shared" si="67"/>
        <v>Petersburg</v>
      </c>
      <c r="J2175" s="82"/>
      <c r="K2175" s="87"/>
      <c r="L2175" s="87"/>
    </row>
    <row r="2176" spans="1:12" x14ac:dyDescent="0.3">
      <c r="A2176" t="s">
        <v>22166</v>
      </c>
      <c r="B2176" t="s">
        <v>19929</v>
      </c>
      <c r="C2176" t="s">
        <v>367</v>
      </c>
      <c r="D2176" t="s">
        <v>367</v>
      </c>
      <c r="H2176" t="str">
        <f t="shared" si="66"/>
        <v>Pflugerville</v>
      </c>
      <c r="I2176" t="str">
        <f t="shared" si="67"/>
        <v>Pflugerville</v>
      </c>
      <c r="J2176" s="82"/>
      <c r="K2176" s="87"/>
      <c r="L2176" s="87"/>
    </row>
    <row r="2177" spans="1:12" x14ac:dyDescent="0.3">
      <c r="A2177" t="s">
        <v>22167</v>
      </c>
      <c r="B2177" t="s">
        <v>19930</v>
      </c>
      <c r="C2177" t="s">
        <v>12647</v>
      </c>
      <c r="D2177" t="s">
        <v>12647</v>
      </c>
      <c r="H2177" t="str">
        <f t="shared" si="66"/>
        <v>Phoenix</v>
      </c>
      <c r="I2177" t="str">
        <f t="shared" si="67"/>
        <v>Phoenix</v>
      </c>
      <c r="J2177" s="82"/>
      <c r="K2177" s="87"/>
      <c r="L2177" s="87"/>
    </row>
    <row r="2178" spans="1:12" x14ac:dyDescent="0.3">
      <c r="A2178" t="s">
        <v>22168</v>
      </c>
      <c r="B2178" t="s">
        <v>19931</v>
      </c>
      <c r="C2178" t="s">
        <v>19932</v>
      </c>
      <c r="D2178" t="s">
        <v>19932</v>
      </c>
      <c r="H2178" t="str">
        <f t="shared" ref="H2178:H2236" si="68">I2178&amp;E2178&amp;G2178</f>
        <v>Pictures</v>
      </c>
      <c r="I2178" t="str">
        <f t="shared" ref="I2178:I2236" si="69">IFERROR(LEFT(D2178,FIND(" ",D2178)-1),D2178)</f>
        <v>Pictures</v>
      </c>
      <c r="J2178" s="82"/>
      <c r="K2178" s="87"/>
      <c r="L2178" s="87"/>
    </row>
    <row r="2179" spans="1:12" x14ac:dyDescent="0.3">
      <c r="A2179" t="s">
        <v>22169</v>
      </c>
      <c r="B2179" t="s">
        <v>19933</v>
      </c>
      <c r="C2179" t="s">
        <v>19934</v>
      </c>
      <c r="D2179" t="s">
        <v>19934</v>
      </c>
      <c r="H2179" t="str">
        <f t="shared" si="68"/>
        <v>Pictures</v>
      </c>
      <c r="I2179" t="str">
        <f t="shared" si="69"/>
        <v>Pictures</v>
      </c>
      <c r="J2179" s="82"/>
      <c r="K2179" s="87"/>
      <c r="L2179" s="87"/>
    </row>
    <row r="2180" spans="1:12" x14ac:dyDescent="0.3">
      <c r="A2180" t="s">
        <v>22170</v>
      </c>
      <c r="B2180" t="s">
        <v>19935</v>
      </c>
      <c r="C2180" t="s">
        <v>5009</v>
      </c>
      <c r="D2180" t="s">
        <v>5009</v>
      </c>
      <c r="H2180" t="str">
        <f t="shared" si="68"/>
        <v>Plano</v>
      </c>
      <c r="I2180" t="str">
        <f t="shared" si="69"/>
        <v>Plano</v>
      </c>
      <c r="J2180" s="82"/>
      <c r="K2180" s="87"/>
      <c r="L2180" s="87"/>
    </row>
    <row r="2181" spans="1:12" x14ac:dyDescent="0.3">
      <c r="A2181" t="s">
        <v>22171</v>
      </c>
      <c r="B2181" t="s">
        <v>19936</v>
      </c>
      <c r="C2181" t="s">
        <v>12334</v>
      </c>
      <c r="D2181" t="s">
        <v>12334</v>
      </c>
      <c r="H2181" t="str">
        <f t="shared" si="68"/>
        <v>Port</v>
      </c>
      <c r="I2181" t="str">
        <f t="shared" si="69"/>
        <v>Port</v>
      </c>
      <c r="J2181" s="82"/>
      <c r="K2181" s="87"/>
      <c r="L2181" s="87"/>
    </row>
    <row r="2182" spans="1:12" x14ac:dyDescent="0.3">
      <c r="A2182" t="s">
        <v>22172</v>
      </c>
      <c r="B2182" t="s">
        <v>19937</v>
      </c>
      <c r="C2182" t="s">
        <v>12655</v>
      </c>
      <c r="D2182" t="s">
        <v>12655</v>
      </c>
      <c r="H2182" t="str">
        <f t="shared" si="68"/>
        <v>Port</v>
      </c>
      <c r="I2182" t="str">
        <f t="shared" si="69"/>
        <v>Port</v>
      </c>
      <c r="J2182" s="82"/>
      <c r="K2182" s="87"/>
      <c r="L2182" s="87"/>
    </row>
    <row r="2183" spans="1:12" x14ac:dyDescent="0.3">
      <c r="A2183" t="s">
        <v>22173</v>
      </c>
      <c r="B2183" t="s">
        <v>19938</v>
      </c>
      <c r="C2183" t="s">
        <v>18428</v>
      </c>
      <c r="D2183" t="s">
        <v>18428</v>
      </c>
      <c r="H2183" t="str">
        <f t="shared" si="68"/>
        <v>Port</v>
      </c>
      <c r="I2183" t="str">
        <f t="shared" si="69"/>
        <v>Port</v>
      </c>
      <c r="J2183" s="82"/>
      <c r="K2183" s="87"/>
      <c r="L2183" s="87"/>
    </row>
    <row r="2184" spans="1:12" x14ac:dyDescent="0.3">
      <c r="A2184" t="s">
        <v>22174</v>
      </c>
      <c r="B2184" t="s">
        <v>19939</v>
      </c>
      <c r="C2184" t="s">
        <v>4688</v>
      </c>
      <c r="D2184" t="s">
        <v>4688</v>
      </c>
      <c r="H2184" t="str">
        <f t="shared" si="68"/>
        <v>Porter</v>
      </c>
      <c r="I2184" t="str">
        <f t="shared" si="69"/>
        <v>Porter</v>
      </c>
      <c r="J2184" s="82"/>
      <c r="K2184" s="87"/>
      <c r="L2184" s="87"/>
    </row>
    <row r="2185" spans="1:12" x14ac:dyDescent="0.3">
      <c r="A2185" t="s">
        <v>22175</v>
      </c>
      <c r="B2185" t="s">
        <v>19940</v>
      </c>
      <c r="C2185" t="s">
        <v>3148</v>
      </c>
      <c r="D2185" t="s">
        <v>3148</v>
      </c>
      <c r="H2185" t="str">
        <f t="shared" si="68"/>
        <v>Portland</v>
      </c>
      <c r="I2185" t="str">
        <f t="shared" si="69"/>
        <v>Portland</v>
      </c>
      <c r="J2185" s="82"/>
      <c r="K2185" s="87"/>
      <c r="L2185" s="87"/>
    </row>
    <row r="2186" spans="1:12" x14ac:dyDescent="0.3">
      <c r="A2186" t="s">
        <v>22176</v>
      </c>
      <c r="B2186" t="s">
        <v>19941</v>
      </c>
      <c r="C2186" t="s">
        <v>7563</v>
      </c>
      <c r="D2186" t="s">
        <v>7563</v>
      </c>
      <c r="H2186" t="str">
        <f t="shared" si="68"/>
        <v>Princeton</v>
      </c>
      <c r="I2186" t="str">
        <f t="shared" si="69"/>
        <v>Princeton</v>
      </c>
      <c r="J2186" s="82"/>
      <c r="K2186" s="87"/>
      <c r="L2186" s="87"/>
    </row>
    <row r="2187" spans="1:12" x14ac:dyDescent="0.3">
      <c r="A2187" t="s">
        <v>22177</v>
      </c>
      <c r="B2187" t="s">
        <v>19942</v>
      </c>
      <c r="C2187" t="s">
        <v>5862</v>
      </c>
      <c r="D2187" t="s">
        <v>5862</v>
      </c>
      <c r="H2187" t="str">
        <f t="shared" si="68"/>
        <v>Red</v>
      </c>
      <c r="I2187" t="str">
        <f t="shared" si="69"/>
        <v>Red</v>
      </c>
      <c r="J2187" s="82"/>
      <c r="K2187" s="87"/>
      <c r="L2187" s="87"/>
    </row>
    <row r="2188" spans="1:12" x14ac:dyDescent="0.3">
      <c r="A2188" t="s">
        <v>22178</v>
      </c>
      <c r="B2188" t="s">
        <v>19943</v>
      </c>
      <c r="C2188" t="s">
        <v>3328</v>
      </c>
      <c r="D2188" t="s">
        <v>3328</v>
      </c>
      <c r="H2188" t="str">
        <f t="shared" si="68"/>
        <v>Richardson</v>
      </c>
      <c r="I2188" t="str">
        <f t="shared" si="69"/>
        <v>Richardson</v>
      </c>
      <c r="J2188" s="82"/>
      <c r="K2188" s="87"/>
      <c r="L2188" s="87"/>
    </row>
    <row r="2189" spans="1:12" x14ac:dyDescent="0.3">
      <c r="A2189" t="s">
        <v>22179</v>
      </c>
      <c r="B2189" t="s">
        <v>19944</v>
      </c>
      <c r="C2189" t="s">
        <v>6799</v>
      </c>
      <c r="D2189" t="s">
        <v>6799</v>
      </c>
      <c r="H2189" t="str">
        <f t="shared" si="68"/>
        <v>Richland</v>
      </c>
      <c r="I2189" t="str">
        <f t="shared" si="69"/>
        <v>Richland</v>
      </c>
      <c r="J2189" s="82"/>
      <c r="K2189" s="87"/>
      <c r="L2189" s="87"/>
    </row>
    <row r="2190" spans="1:12" x14ac:dyDescent="0.3">
      <c r="A2190" t="s">
        <v>22180</v>
      </c>
      <c r="B2190" t="s">
        <v>19945</v>
      </c>
      <c r="C2190" t="s">
        <v>2675</v>
      </c>
      <c r="D2190" t="s">
        <v>2675</v>
      </c>
      <c r="H2190" t="str">
        <f t="shared" si="68"/>
        <v>Richmond</v>
      </c>
      <c r="I2190" t="str">
        <f t="shared" si="69"/>
        <v>Richmond</v>
      </c>
      <c r="J2190" s="82"/>
      <c r="K2190" s="87"/>
      <c r="L2190" s="87"/>
    </row>
    <row r="2191" spans="1:12" x14ac:dyDescent="0.3">
      <c r="A2191" t="s">
        <v>22181</v>
      </c>
      <c r="B2191" t="s">
        <v>19946</v>
      </c>
      <c r="C2191" t="s">
        <v>4453</v>
      </c>
      <c r="D2191" t="s">
        <v>4453</v>
      </c>
      <c r="H2191" t="str">
        <f t="shared" si="68"/>
        <v>Richwood</v>
      </c>
      <c r="I2191" t="str">
        <f t="shared" si="69"/>
        <v>Richwood</v>
      </c>
      <c r="J2191" s="82"/>
      <c r="K2191" s="87"/>
      <c r="L2191" s="87"/>
    </row>
    <row r="2192" spans="1:12" x14ac:dyDescent="0.3">
      <c r="A2192" t="s">
        <v>22182</v>
      </c>
      <c r="B2192" t="s">
        <v>19947</v>
      </c>
      <c r="C2192" t="s">
        <v>332</v>
      </c>
      <c r="D2192" t="s">
        <v>332</v>
      </c>
      <c r="H2192" t="str">
        <f t="shared" si="68"/>
        <v>River</v>
      </c>
      <c r="I2192" t="str">
        <f t="shared" si="69"/>
        <v>River</v>
      </c>
      <c r="J2192" s="82"/>
      <c r="K2192" s="87"/>
      <c r="L2192" s="87"/>
    </row>
    <row r="2193" spans="1:12" x14ac:dyDescent="0.3">
      <c r="A2193" t="s">
        <v>22183</v>
      </c>
      <c r="B2193" t="s">
        <v>19948</v>
      </c>
      <c r="C2193" t="s">
        <v>6617</v>
      </c>
      <c r="D2193" t="s">
        <v>6617</v>
      </c>
      <c r="H2193" t="str">
        <f t="shared" si="68"/>
        <v>Roanoke</v>
      </c>
      <c r="I2193" t="str">
        <f t="shared" si="69"/>
        <v>Roanoke</v>
      </c>
      <c r="J2193" s="82"/>
      <c r="K2193" s="87"/>
      <c r="L2193" s="87"/>
    </row>
    <row r="2194" spans="1:12" x14ac:dyDescent="0.3">
      <c r="A2194" t="s">
        <v>22184</v>
      </c>
      <c r="B2194" t="s">
        <v>19949</v>
      </c>
      <c r="C2194" t="s">
        <v>5236</v>
      </c>
      <c r="D2194" t="s">
        <v>5236</v>
      </c>
      <c r="H2194" t="str">
        <f t="shared" si="68"/>
        <v>Rockwall</v>
      </c>
      <c r="I2194" t="str">
        <f t="shared" si="69"/>
        <v>Rockwall</v>
      </c>
      <c r="J2194" s="82"/>
      <c r="K2194" s="87"/>
      <c r="L2194" s="87"/>
    </row>
    <row r="2195" spans="1:12" x14ac:dyDescent="0.3">
      <c r="A2195" t="s">
        <v>22185</v>
      </c>
      <c r="B2195" t="s">
        <v>19950</v>
      </c>
      <c r="C2195" t="s">
        <v>4428</v>
      </c>
      <c r="D2195" t="s">
        <v>4428</v>
      </c>
      <c r="H2195" t="str">
        <f t="shared" si="68"/>
        <v>Rosenberg</v>
      </c>
      <c r="I2195" t="str">
        <f t="shared" si="69"/>
        <v>Rosenberg</v>
      </c>
      <c r="J2195" s="82"/>
      <c r="K2195" s="87"/>
      <c r="L2195" s="87"/>
    </row>
    <row r="2196" spans="1:12" x14ac:dyDescent="0.3">
      <c r="A2196" t="s">
        <v>22186</v>
      </c>
      <c r="B2196" t="s">
        <v>19951</v>
      </c>
      <c r="C2196" t="s">
        <v>18</v>
      </c>
      <c r="D2196" t="s">
        <v>18</v>
      </c>
      <c r="H2196" t="str">
        <f t="shared" si="68"/>
        <v>Round</v>
      </c>
      <c r="I2196" t="str">
        <f t="shared" si="69"/>
        <v>Round</v>
      </c>
      <c r="J2196" s="82"/>
      <c r="K2196" s="87"/>
      <c r="L2196" s="87"/>
    </row>
    <row r="2197" spans="1:12" x14ac:dyDescent="0.3">
      <c r="A2197" t="s">
        <v>22187</v>
      </c>
      <c r="B2197" t="s">
        <v>19952</v>
      </c>
      <c r="C2197" t="s">
        <v>7964</v>
      </c>
      <c r="D2197" t="s">
        <v>7964</v>
      </c>
      <c r="H2197" t="str">
        <f t="shared" si="68"/>
        <v>Rowlett</v>
      </c>
      <c r="I2197" t="str">
        <f t="shared" si="69"/>
        <v>Rowlett</v>
      </c>
      <c r="J2197" s="82"/>
      <c r="K2197" s="87"/>
      <c r="L2197" s="87"/>
    </row>
    <row r="2198" spans="1:12" x14ac:dyDescent="0.3">
      <c r="A2198" t="s">
        <v>22188</v>
      </c>
      <c r="B2198" t="s">
        <v>19953</v>
      </c>
      <c r="C2198" t="s">
        <v>8670</v>
      </c>
      <c r="D2198" t="s">
        <v>8670</v>
      </c>
      <c r="H2198" t="str">
        <f t="shared" si="68"/>
        <v>Sachse</v>
      </c>
      <c r="I2198" t="str">
        <f t="shared" si="69"/>
        <v>Sachse</v>
      </c>
      <c r="J2198" s="82"/>
      <c r="K2198" s="87"/>
      <c r="L2198" s="87"/>
    </row>
    <row r="2199" spans="1:12" x14ac:dyDescent="0.3">
      <c r="A2199" t="s">
        <v>22189</v>
      </c>
      <c r="B2199" t="s">
        <v>19954</v>
      </c>
      <c r="C2199" t="s">
        <v>7729</v>
      </c>
      <c r="D2199" t="s">
        <v>7729</v>
      </c>
      <c r="H2199" t="str">
        <f t="shared" si="68"/>
        <v>Saginaw</v>
      </c>
      <c r="I2199" t="str">
        <f t="shared" si="69"/>
        <v>Saginaw</v>
      </c>
      <c r="J2199" s="82"/>
      <c r="K2199" s="87"/>
      <c r="L2199" s="87"/>
    </row>
    <row r="2200" spans="1:12" x14ac:dyDescent="0.3">
      <c r="A2200" t="s">
        <v>22190</v>
      </c>
      <c r="B2200" t="s">
        <v>19955</v>
      </c>
      <c r="C2200" t="s">
        <v>11870</v>
      </c>
      <c r="D2200" t="s">
        <v>11870</v>
      </c>
      <c r="H2200" t="str">
        <f t="shared" si="68"/>
        <v>San</v>
      </c>
      <c r="I2200" t="str">
        <f t="shared" si="69"/>
        <v>San</v>
      </c>
      <c r="J2200" s="82"/>
      <c r="K2200" s="87"/>
      <c r="L2200" s="87"/>
    </row>
    <row r="2201" spans="1:12" x14ac:dyDescent="0.3">
      <c r="A2201" t="s">
        <v>22191</v>
      </c>
      <c r="B2201" t="s">
        <v>19956</v>
      </c>
      <c r="C2201" t="s">
        <v>842</v>
      </c>
      <c r="D2201" t="s">
        <v>842</v>
      </c>
      <c r="H2201" t="str">
        <f t="shared" si="68"/>
        <v>San</v>
      </c>
      <c r="I2201" t="str">
        <f t="shared" si="69"/>
        <v>San</v>
      </c>
      <c r="J2201" s="82"/>
      <c r="K2201" s="87"/>
      <c r="L2201" s="87"/>
    </row>
    <row r="2202" spans="1:12" x14ac:dyDescent="0.3">
      <c r="A2202" t="s">
        <v>22192</v>
      </c>
      <c r="B2202" t="s">
        <v>19957</v>
      </c>
      <c r="C2202" t="s">
        <v>498</v>
      </c>
      <c r="D2202" t="s">
        <v>498</v>
      </c>
      <c r="H2202" t="str">
        <f t="shared" si="68"/>
        <v>San</v>
      </c>
      <c r="I2202" t="str">
        <f t="shared" si="69"/>
        <v>San</v>
      </c>
      <c r="J2202" s="82"/>
      <c r="K2202" s="87"/>
      <c r="L2202" s="87"/>
    </row>
    <row r="2203" spans="1:12" x14ac:dyDescent="0.3">
      <c r="A2203" t="s">
        <v>22193</v>
      </c>
      <c r="B2203" t="s">
        <v>19958</v>
      </c>
      <c r="C2203" t="s">
        <v>1399</v>
      </c>
      <c r="D2203" t="s">
        <v>1399</v>
      </c>
      <c r="H2203" t="str">
        <f t="shared" si="68"/>
        <v>Schertz</v>
      </c>
      <c r="I2203" t="str">
        <f t="shared" si="69"/>
        <v>Schertz</v>
      </c>
      <c r="J2203" s="82"/>
      <c r="K2203" s="87"/>
      <c r="L2203" s="87"/>
    </row>
    <row r="2204" spans="1:12" x14ac:dyDescent="0.3">
      <c r="A2204" t="s">
        <v>22194</v>
      </c>
      <c r="B2204" t="s">
        <v>19959</v>
      </c>
      <c r="C2204" t="s">
        <v>4338</v>
      </c>
      <c r="D2204" t="s">
        <v>4338</v>
      </c>
      <c r="H2204" t="str">
        <f t="shared" si="68"/>
        <v>Seabrook</v>
      </c>
      <c r="I2204" t="str">
        <f t="shared" si="69"/>
        <v>Seabrook</v>
      </c>
      <c r="J2204" s="82"/>
      <c r="K2204" s="87"/>
      <c r="L2204" s="87"/>
    </row>
    <row r="2205" spans="1:12" x14ac:dyDescent="0.3">
      <c r="A2205" t="s">
        <v>22195</v>
      </c>
      <c r="B2205" t="s">
        <v>19960</v>
      </c>
      <c r="C2205" t="s">
        <v>986</v>
      </c>
      <c r="D2205" t="s">
        <v>986</v>
      </c>
      <c r="H2205" t="str">
        <f t="shared" si="68"/>
        <v>Seguin</v>
      </c>
      <c r="I2205" t="str">
        <f t="shared" si="69"/>
        <v>Seguin</v>
      </c>
      <c r="J2205" s="82"/>
      <c r="K2205" s="87"/>
      <c r="L2205" s="87"/>
    </row>
    <row r="2206" spans="1:12" x14ac:dyDescent="0.3">
      <c r="A2206" t="s">
        <v>22196</v>
      </c>
      <c r="B2206" t="s">
        <v>19961</v>
      </c>
      <c r="C2206" t="s">
        <v>3174</v>
      </c>
      <c r="D2206" t="s">
        <v>3174</v>
      </c>
      <c r="H2206" t="str">
        <f t="shared" si="68"/>
        <v>Sherman</v>
      </c>
      <c r="I2206" t="str">
        <f t="shared" si="69"/>
        <v>Sherman</v>
      </c>
      <c r="J2206" s="82"/>
      <c r="K2206" s="87"/>
      <c r="L2206" s="87"/>
    </row>
    <row r="2207" spans="1:12" x14ac:dyDescent="0.3">
      <c r="A2207" t="s">
        <v>22197</v>
      </c>
      <c r="B2207" t="s">
        <v>19962</v>
      </c>
      <c r="C2207" t="s">
        <v>12428</v>
      </c>
      <c r="D2207" t="s">
        <v>12428</v>
      </c>
      <c r="H2207" t="str">
        <f t="shared" si="68"/>
        <v>Snyder</v>
      </c>
      <c r="I2207" t="str">
        <f t="shared" si="69"/>
        <v>Snyder</v>
      </c>
      <c r="J2207" s="82"/>
      <c r="K2207" s="87"/>
      <c r="L2207" s="87"/>
    </row>
    <row r="2208" spans="1:12" x14ac:dyDescent="0.3">
      <c r="A2208" t="s">
        <v>22198</v>
      </c>
      <c r="B2208" t="s">
        <v>19963</v>
      </c>
      <c r="C2208" t="s">
        <v>1671</v>
      </c>
      <c r="D2208" t="s">
        <v>1671</v>
      </c>
      <c r="H2208" t="str">
        <f t="shared" si="68"/>
        <v>Spring</v>
      </c>
      <c r="I2208" t="str">
        <f t="shared" si="69"/>
        <v>Spring</v>
      </c>
      <c r="J2208" s="82"/>
      <c r="K2208" s="87"/>
      <c r="L2208" s="87"/>
    </row>
    <row r="2209" spans="1:12" x14ac:dyDescent="0.3">
      <c r="A2209" t="s">
        <v>22199</v>
      </c>
      <c r="B2209" t="s">
        <v>19964</v>
      </c>
      <c r="C2209" t="s">
        <v>3428</v>
      </c>
      <c r="D2209" t="s">
        <v>3428</v>
      </c>
      <c r="H2209" t="str">
        <f t="shared" si="68"/>
        <v>Stafford</v>
      </c>
      <c r="I2209" t="str">
        <f t="shared" si="69"/>
        <v>Stafford</v>
      </c>
      <c r="J2209" s="82"/>
      <c r="K2209" s="87"/>
      <c r="L2209" s="87"/>
    </row>
    <row r="2210" spans="1:12" x14ac:dyDescent="0.3">
      <c r="A2210" t="s">
        <v>22200</v>
      </c>
      <c r="B2210" t="s">
        <v>19965</v>
      </c>
      <c r="C2210" t="s">
        <v>8395</v>
      </c>
      <c r="D2210" t="s">
        <v>8395</v>
      </c>
      <c r="H2210" t="str">
        <f t="shared" si="68"/>
        <v>Stephenville</v>
      </c>
      <c r="I2210" t="str">
        <f t="shared" si="69"/>
        <v>Stephenville</v>
      </c>
      <c r="J2210" s="82"/>
      <c r="K2210" s="87"/>
      <c r="L2210" s="87"/>
    </row>
    <row r="2211" spans="1:12" x14ac:dyDescent="0.3">
      <c r="A2211" t="s">
        <v>22201</v>
      </c>
      <c r="B2211" t="s">
        <v>19966</v>
      </c>
      <c r="C2211" t="s">
        <v>4484</v>
      </c>
      <c r="D2211" t="s">
        <v>4484</v>
      </c>
      <c r="H2211" t="str">
        <f t="shared" si="68"/>
        <v>Sugar</v>
      </c>
      <c r="I2211" t="str">
        <f t="shared" si="69"/>
        <v>Sugar</v>
      </c>
      <c r="J2211" s="82"/>
      <c r="K2211" s="87"/>
      <c r="L2211" s="87"/>
    </row>
    <row r="2212" spans="1:12" x14ac:dyDescent="0.3">
      <c r="A2212" t="s">
        <v>22202</v>
      </c>
      <c r="B2212" t="s">
        <v>19967</v>
      </c>
      <c r="C2212" t="s">
        <v>11718</v>
      </c>
      <c r="D2212" t="s">
        <v>11718</v>
      </c>
      <c r="H2212" t="str">
        <f t="shared" si="68"/>
        <v>Sulphur</v>
      </c>
      <c r="I2212" t="str">
        <f t="shared" si="69"/>
        <v>Sulphur</v>
      </c>
      <c r="J2212" s="82"/>
      <c r="K2212" s="87"/>
      <c r="L2212" s="87"/>
    </row>
    <row r="2213" spans="1:12" x14ac:dyDescent="0.3">
      <c r="A2213" t="s">
        <v>22203</v>
      </c>
      <c r="B2213" t="s">
        <v>19968</v>
      </c>
      <c r="C2213" t="s">
        <v>4392</v>
      </c>
      <c r="D2213" t="s">
        <v>4392</v>
      </c>
      <c r="H2213" t="str">
        <f t="shared" si="68"/>
        <v>Sweeny</v>
      </c>
      <c r="I2213" t="str">
        <f t="shared" si="69"/>
        <v>Sweeny</v>
      </c>
      <c r="J2213" s="82"/>
      <c r="K2213" s="87"/>
      <c r="L2213" s="87"/>
    </row>
    <row r="2214" spans="1:12" x14ac:dyDescent="0.3">
      <c r="A2214" t="s">
        <v>22204</v>
      </c>
      <c r="B2214" t="s">
        <v>19969</v>
      </c>
      <c r="C2214" t="s">
        <v>12442</v>
      </c>
      <c r="D2214" t="s">
        <v>12442</v>
      </c>
      <c r="H2214" t="str">
        <f t="shared" si="68"/>
        <v>Tampa</v>
      </c>
      <c r="I2214" t="str">
        <f t="shared" si="69"/>
        <v>Tampa</v>
      </c>
      <c r="J2214" s="82"/>
      <c r="K2214" s="87"/>
      <c r="L2214" s="87"/>
    </row>
    <row r="2215" spans="1:12" x14ac:dyDescent="0.3">
      <c r="A2215" t="s">
        <v>22205</v>
      </c>
      <c r="B2215" t="s">
        <v>19970</v>
      </c>
      <c r="C2215" t="s">
        <v>10475</v>
      </c>
      <c r="D2215" t="s">
        <v>10475</v>
      </c>
      <c r="H2215" t="str">
        <f t="shared" si="68"/>
        <v>Taylor</v>
      </c>
      <c r="I2215" t="str">
        <f t="shared" si="69"/>
        <v>Taylor</v>
      </c>
      <c r="J2215" s="82"/>
      <c r="K2215" s="87"/>
      <c r="L2215" s="87"/>
    </row>
    <row r="2216" spans="1:12" x14ac:dyDescent="0.3">
      <c r="A2216" t="s">
        <v>22206</v>
      </c>
      <c r="B2216" t="s">
        <v>19971</v>
      </c>
      <c r="C2216" t="s">
        <v>11802</v>
      </c>
      <c r="D2216" t="s">
        <v>11802</v>
      </c>
      <c r="H2216" t="str">
        <f t="shared" si="68"/>
        <v>Temple</v>
      </c>
      <c r="I2216" t="str">
        <f t="shared" si="69"/>
        <v>Temple</v>
      </c>
      <c r="J2216" s="82"/>
      <c r="K2216" s="87"/>
      <c r="L2216" s="87"/>
    </row>
    <row r="2217" spans="1:12" x14ac:dyDescent="0.3">
      <c r="A2217" t="s">
        <v>22207</v>
      </c>
      <c r="B2217" t="s">
        <v>19972</v>
      </c>
      <c r="C2217" t="s">
        <v>5638</v>
      </c>
      <c r="D2217" t="s">
        <v>5638</v>
      </c>
      <c r="H2217" t="str">
        <f t="shared" si="68"/>
        <v>Terrell</v>
      </c>
      <c r="I2217" t="str">
        <f t="shared" si="69"/>
        <v>Terrell</v>
      </c>
      <c r="J2217" s="82"/>
      <c r="K2217" s="87"/>
      <c r="L2217" s="87"/>
    </row>
    <row r="2218" spans="1:12" x14ac:dyDescent="0.3">
      <c r="A2218" t="s">
        <v>22208</v>
      </c>
      <c r="B2218" t="s">
        <v>19973</v>
      </c>
      <c r="C2218" t="s">
        <v>3230</v>
      </c>
      <c r="D2218" t="s">
        <v>3230</v>
      </c>
      <c r="H2218" t="str">
        <f t="shared" si="68"/>
        <v>Texarkana</v>
      </c>
      <c r="I2218" t="str">
        <f t="shared" si="69"/>
        <v>Texarkana</v>
      </c>
      <c r="J2218" s="82"/>
      <c r="K2218" s="87"/>
      <c r="L2218" s="87"/>
    </row>
    <row r="2219" spans="1:12" x14ac:dyDescent="0.3">
      <c r="A2219" t="s">
        <v>22209</v>
      </c>
      <c r="B2219" t="s">
        <v>19974</v>
      </c>
      <c r="C2219" t="s">
        <v>4569</v>
      </c>
      <c r="D2219" t="s">
        <v>4569</v>
      </c>
      <c r="H2219" t="str">
        <f t="shared" si="68"/>
        <v>Texas</v>
      </c>
      <c r="I2219" t="str">
        <f t="shared" si="69"/>
        <v>Texas</v>
      </c>
      <c r="J2219" s="82"/>
      <c r="K2219" s="87"/>
      <c r="L2219" s="87"/>
    </row>
    <row r="2220" spans="1:12" x14ac:dyDescent="0.3">
      <c r="A2220" t="s">
        <v>22210</v>
      </c>
      <c r="B2220" t="s">
        <v>19975</v>
      </c>
      <c r="C2220" t="s">
        <v>1508</v>
      </c>
      <c r="D2220" t="s">
        <v>1508</v>
      </c>
      <c r="H2220" t="str">
        <f t="shared" si="68"/>
        <v>The</v>
      </c>
      <c r="I2220" t="str">
        <f t="shared" si="69"/>
        <v>The</v>
      </c>
      <c r="J2220" s="82"/>
      <c r="K2220" s="87"/>
      <c r="L2220" s="87"/>
    </row>
    <row r="2221" spans="1:12" x14ac:dyDescent="0.3">
      <c r="A2221" t="s">
        <v>22211</v>
      </c>
      <c r="B2221" t="s">
        <v>19976</v>
      </c>
      <c r="C2221" t="s">
        <v>12458</v>
      </c>
      <c r="D2221" t="s">
        <v>12458</v>
      </c>
      <c r="H2221" t="str">
        <f t="shared" si="68"/>
        <v>Tulsa</v>
      </c>
      <c r="I2221" t="str">
        <f t="shared" si="69"/>
        <v>Tulsa</v>
      </c>
      <c r="J2221" s="82"/>
      <c r="K2221" s="87"/>
      <c r="L2221" s="87"/>
    </row>
    <row r="2222" spans="1:12" x14ac:dyDescent="0.3">
      <c r="A2222" t="s">
        <v>22212</v>
      </c>
      <c r="B2222" t="s">
        <v>19977</v>
      </c>
      <c r="C2222" t="s">
        <v>9012</v>
      </c>
      <c r="D2222" t="s">
        <v>9012</v>
      </c>
      <c r="H2222" t="str">
        <f t="shared" si="68"/>
        <v>Tyler</v>
      </c>
      <c r="I2222" t="str">
        <f t="shared" si="69"/>
        <v>Tyler</v>
      </c>
      <c r="J2222" s="82"/>
      <c r="K2222" s="87"/>
      <c r="L2222" s="87"/>
    </row>
    <row r="2223" spans="1:12" x14ac:dyDescent="0.3">
      <c r="A2223" t="s">
        <v>22213</v>
      </c>
      <c r="B2223" t="s">
        <v>19978</v>
      </c>
      <c r="C2223" t="s">
        <v>864</v>
      </c>
      <c r="D2223" t="s">
        <v>864</v>
      </c>
      <c r="H2223" t="str">
        <f t="shared" si="68"/>
        <v>Universal</v>
      </c>
      <c r="I2223" t="str">
        <f t="shared" si="69"/>
        <v>Universal</v>
      </c>
      <c r="J2223" s="82"/>
      <c r="K2223" s="87"/>
      <c r="L2223" s="87"/>
    </row>
    <row r="2224" spans="1:12" x14ac:dyDescent="0.3">
      <c r="A2224" t="s">
        <v>22214</v>
      </c>
      <c r="B2224" t="s">
        <v>19979</v>
      </c>
      <c r="C2224" t="s">
        <v>12793</v>
      </c>
      <c r="D2224" t="s">
        <v>12793</v>
      </c>
      <c r="H2224" t="str">
        <f t="shared" si="68"/>
        <v>Van</v>
      </c>
      <c r="I2224" t="str">
        <f t="shared" si="69"/>
        <v>Van</v>
      </c>
      <c r="J2224" s="82"/>
      <c r="K2224" s="87"/>
      <c r="L2224" s="87"/>
    </row>
    <row r="2225" spans="1:12" x14ac:dyDescent="0.3">
      <c r="A2225" t="s">
        <v>22215</v>
      </c>
      <c r="B2225" t="s">
        <v>19980</v>
      </c>
      <c r="C2225" t="s">
        <v>2525</v>
      </c>
      <c r="D2225" t="s">
        <v>2525</v>
      </c>
      <c r="H2225" t="str">
        <f t="shared" si="68"/>
        <v>Victoria</v>
      </c>
      <c r="I2225" t="str">
        <f t="shared" si="69"/>
        <v>Victoria</v>
      </c>
      <c r="J2225" s="82"/>
      <c r="K2225" s="87"/>
      <c r="L2225" s="87"/>
    </row>
    <row r="2226" spans="1:12" x14ac:dyDescent="0.3">
      <c r="A2226" t="s">
        <v>22216</v>
      </c>
      <c r="B2226" t="s">
        <v>19981</v>
      </c>
      <c r="C2226" t="s">
        <v>4707</v>
      </c>
      <c r="D2226" t="s">
        <v>4707</v>
      </c>
      <c r="H2226" t="str">
        <f t="shared" si="68"/>
        <v>Waco</v>
      </c>
      <c r="I2226" t="str">
        <f t="shared" si="69"/>
        <v>Waco</v>
      </c>
      <c r="J2226" s="82"/>
      <c r="K2226" s="87"/>
      <c r="L2226" s="87"/>
    </row>
    <row r="2227" spans="1:12" x14ac:dyDescent="0.3">
      <c r="A2227" t="s">
        <v>22217</v>
      </c>
      <c r="B2227" t="s">
        <v>19982</v>
      </c>
      <c r="C2227" t="s">
        <v>12449</v>
      </c>
      <c r="D2227" t="s">
        <v>12449</v>
      </c>
      <c r="H2227" t="str">
        <f t="shared" si="68"/>
        <v>Waldorf</v>
      </c>
      <c r="I2227" t="str">
        <f t="shared" si="69"/>
        <v>Waldorf</v>
      </c>
      <c r="J2227" s="82"/>
      <c r="K2227" s="87"/>
      <c r="L2227" s="87"/>
    </row>
    <row r="2228" spans="1:12" x14ac:dyDescent="0.3">
      <c r="A2228" t="s">
        <v>22218</v>
      </c>
      <c r="B2228" t="s">
        <v>19983</v>
      </c>
      <c r="C2228" t="s">
        <v>6559</v>
      </c>
      <c r="D2228" t="s">
        <v>6559</v>
      </c>
      <c r="H2228" t="str">
        <f t="shared" si="68"/>
        <v>Waxahachie</v>
      </c>
      <c r="I2228" t="str">
        <f t="shared" si="69"/>
        <v>Waxahachie</v>
      </c>
      <c r="J2228" s="82"/>
      <c r="K2228" s="87"/>
      <c r="L2228" s="87"/>
    </row>
    <row r="2229" spans="1:12" x14ac:dyDescent="0.3">
      <c r="A2229" t="s">
        <v>22219</v>
      </c>
      <c r="B2229" t="s">
        <v>19984</v>
      </c>
      <c r="C2229" t="s">
        <v>7522</v>
      </c>
      <c r="D2229" t="s">
        <v>7522</v>
      </c>
      <c r="H2229" t="str">
        <f t="shared" si="68"/>
        <v>Weatherford</v>
      </c>
      <c r="I2229" t="str">
        <f t="shared" si="69"/>
        <v>Weatherford</v>
      </c>
      <c r="J2229" s="82"/>
      <c r="K2229" s="87"/>
      <c r="L2229" s="87"/>
    </row>
    <row r="2230" spans="1:12" x14ac:dyDescent="0.3">
      <c r="A2230" t="s">
        <v>22220</v>
      </c>
      <c r="B2230" t="s">
        <v>19985</v>
      </c>
      <c r="C2230" t="s">
        <v>4249</v>
      </c>
      <c r="D2230" t="s">
        <v>4249</v>
      </c>
      <c r="H2230" t="str">
        <f t="shared" si="68"/>
        <v>Webster</v>
      </c>
      <c r="I2230" t="str">
        <f t="shared" si="69"/>
        <v>Webster</v>
      </c>
      <c r="J2230" s="82"/>
      <c r="K2230" s="87"/>
      <c r="L2230" s="87"/>
    </row>
    <row r="2231" spans="1:12" x14ac:dyDescent="0.3">
      <c r="A2231" t="s">
        <v>22221</v>
      </c>
      <c r="B2231" t="s">
        <v>19986</v>
      </c>
      <c r="C2231" t="s">
        <v>12092</v>
      </c>
      <c r="D2231" t="s">
        <v>12092</v>
      </c>
      <c r="H2231" t="str">
        <f t="shared" si="68"/>
        <v>Wharton</v>
      </c>
      <c r="I2231" t="str">
        <f t="shared" si="69"/>
        <v>Wharton</v>
      </c>
      <c r="J2231" s="82"/>
      <c r="K2231" s="87"/>
      <c r="L2231" s="87"/>
    </row>
    <row r="2232" spans="1:12" x14ac:dyDescent="0.3">
      <c r="A2232" t="s">
        <v>22222</v>
      </c>
      <c r="B2232" t="s">
        <v>19987</v>
      </c>
      <c r="C2232" t="s">
        <v>7120</v>
      </c>
      <c r="D2232" t="s">
        <v>7120</v>
      </c>
      <c r="H2232" t="str">
        <f t="shared" si="68"/>
        <v>White</v>
      </c>
      <c r="I2232" t="str">
        <f t="shared" si="69"/>
        <v>White</v>
      </c>
      <c r="J2232" s="82"/>
      <c r="K2232" s="87"/>
      <c r="L2232" s="87"/>
    </row>
    <row r="2233" spans="1:12" x14ac:dyDescent="0.3">
      <c r="A2233" t="s">
        <v>22223</v>
      </c>
      <c r="B2233" t="s">
        <v>19988</v>
      </c>
      <c r="C2233" t="s">
        <v>12140</v>
      </c>
      <c r="D2233" t="s">
        <v>12140</v>
      </c>
      <c r="H2233" t="str">
        <f t="shared" si="68"/>
        <v>Wichita</v>
      </c>
      <c r="I2233" t="str">
        <f t="shared" si="69"/>
        <v>Wichita</v>
      </c>
      <c r="J2233" s="82"/>
      <c r="K2233" s="87"/>
      <c r="L2233" s="87"/>
    </row>
    <row r="2234" spans="1:12" x14ac:dyDescent="0.3">
      <c r="A2234" t="s">
        <v>22224</v>
      </c>
      <c r="B2234" t="s">
        <v>19989</v>
      </c>
      <c r="C2234" t="s">
        <v>5383</v>
      </c>
      <c r="D2234" t="s">
        <v>5383</v>
      </c>
      <c r="H2234" t="str">
        <f t="shared" si="68"/>
        <v>Wilmer</v>
      </c>
      <c r="I2234" t="str">
        <f t="shared" si="69"/>
        <v>Wilmer</v>
      </c>
      <c r="J2234" s="82"/>
      <c r="K2234" s="87"/>
      <c r="L2234" s="87"/>
    </row>
    <row r="2235" spans="1:12" x14ac:dyDescent="0.3">
      <c r="A2235" t="s">
        <v>22225</v>
      </c>
      <c r="B2235" t="s">
        <v>19990</v>
      </c>
      <c r="C2235" t="s">
        <v>12446</v>
      </c>
      <c r="D2235" t="s">
        <v>12446</v>
      </c>
      <c r="H2235" t="str">
        <f t="shared" si="68"/>
        <v>Winter</v>
      </c>
      <c r="I2235" t="str">
        <f t="shared" si="69"/>
        <v>Winter</v>
      </c>
      <c r="J2235" s="82"/>
      <c r="K2235" s="87"/>
      <c r="L2235" s="87"/>
    </row>
    <row r="2236" spans="1:12" x14ac:dyDescent="0.3">
      <c r="A2236" t="s">
        <v>22226</v>
      </c>
      <c r="B2236" t="s">
        <v>19991</v>
      </c>
      <c r="C2236" t="s">
        <v>6215</v>
      </c>
      <c r="D2236" t="s">
        <v>6215</v>
      </c>
      <c r="H2236" t="str">
        <f t="shared" si="68"/>
        <v>Wylie</v>
      </c>
      <c r="I2236" t="str">
        <f t="shared" si="69"/>
        <v>Wylie</v>
      </c>
      <c r="J2236" s="82"/>
      <c r="K2236" s="87"/>
      <c r="L2236" s="8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7:G10"/>
  <sheetViews>
    <sheetView showGridLines="0" workbookViewId="0">
      <selection activeCell="B12" sqref="B12"/>
    </sheetView>
  </sheetViews>
  <sheetFormatPr defaultRowHeight="14.4" x14ac:dyDescent="0.3"/>
  <cols>
    <col min="1" max="1" width="2.44140625" customWidth="1"/>
    <col min="2" max="2" width="46.109375" customWidth="1"/>
    <col min="3" max="3" width="22.33203125" bestFit="1" customWidth="1"/>
    <col min="4" max="4" width="15.88671875" bestFit="1" customWidth="1"/>
    <col min="5" max="5" width="22.6640625" bestFit="1" customWidth="1"/>
    <col min="6" max="6" width="11.44140625" customWidth="1"/>
    <col min="7" max="7" width="11" customWidth="1"/>
    <col min="8" max="13" width="9" customWidth="1"/>
  </cols>
  <sheetData>
    <row r="7" spans="2:7" x14ac:dyDescent="0.25">
      <c r="B7" s="100" t="s">
        <v>22244</v>
      </c>
      <c r="C7" s="142" t="s">
        <v>19908</v>
      </c>
      <c r="D7" s="143"/>
      <c r="E7" s="143"/>
      <c r="F7" s="143"/>
      <c r="G7" s="144"/>
    </row>
    <row r="8" spans="2:7" x14ac:dyDescent="0.25">
      <c r="B8" s="101" t="s">
        <v>22245</v>
      </c>
      <c r="C8" s="102" t="s">
        <v>22246</v>
      </c>
      <c r="D8" s="102" t="s">
        <v>22247</v>
      </c>
      <c r="E8" s="102" t="s">
        <v>22248</v>
      </c>
      <c r="F8" s="102" t="s">
        <v>22249</v>
      </c>
      <c r="G8" s="102"/>
    </row>
    <row r="9" spans="2:7" x14ac:dyDescent="0.25">
      <c r="B9" s="101" t="s">
        <v>30858</v>
      </c>
      <c r="C9" s="102">
        <v>1</v>
      </c>
    </row>
    <row r="10" spans="2:7" x14ac:dyDescent="0.25">
      <c r="B10" s="101" t="s">
        <v>30859</v>
      </c>
      <c r="C10" s="102" t="s">
        <v>39463</v>
      </c>
    </row>
  </sheetData>
  <mergeCells count="1">
    <mergeCell ref="C7:G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Folders">
                <anchor moveWithCells="1" sizeWithCells="1">
                  <from>
                    <xdr:col>1</xdr:col>
                    <xdr:colOff>1775460</xdr:colOff>
                    <xdr:row>2</xdr:row>
                    <xdr:rowOff>7620</xdr:rowOff>
                  </from>
                  <to>
                    <xdr:col>1</xdr:col>
                    <xdr:colOff>2956560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hooseFolder">
                <anchor moveWithCells="1" sizeWithCells="1">
                  <from>
                    <xdr:col>1</xdr:col>
                    <xdr:colOff>373380</xdr:colOff>
                    <xdr:row>2</xdr:row>
                    <xdr:rowOff>7620</xdr:rowOff>
                  </from>
                  <to>
                    <xdr:col>1</xdr:col>
                    <xdr:colOff>1371600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reateSubFolders">
                <anchor moveWithCells="1" sizeWithCells="1">
                  <from>
                    <xdr:col>2</xdr:col>
                    <xdr:colOff>274320</xdr:colOff>
                    <xdr:row>2</xdr:row>
                    <xdr:rowOff>0</xdr:rowOff>
                  </from>
                  <to>
                    <xdr:col>3</xdr:col>
                    <xdr:colOff>114300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reate_Hyperlink">
                <anchor moveWithCells="1" sizeWithCells="1">
                  <from>
                    <xdr:col>3</xdr:col>
                    <xdr:colOff>518160</xdr:colOff>
                    <xdr:row>1</xdr:row>
                    <xdr:rowOff>182880</xdr:rowOff>
                  </from>
                  <to>
                    <xdr:col>4</xdr:col>
                    <xdr:colOff>640080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C13"/>
  <sheetViews>
    <sheetView showGridLines="0" tabSelected="1" workbookViewId="0">
      <selection activeCell="C4" sqref="C4"/>
    </sheetView>
  </sheetViews>
  <sheetFormatPr defaultRowHeight="14.4" x14ac:dyDescent="0.3"/>
  <cols>
    <col min="1" max="1" width="2.44140625" customWidth="1"/>
    <col min="2" max="2" width="46.109375" customWidth="1"/>
    <col min="3" max="3" width="22.33203125" bestFit="1" customWidth="1"/>
    <col min="4" max="9" width="9" customWidth="1"/>
  </cols>
  <sheetData>
    <row r="7" spans="2:3" x14ac:dyDescent="0.3">
      <c r="B7" s="100" t="s">
        <v>22244</v>
      </c>
      <c r="C7" s="147" t="s">
        <v>39466</v>
      </c>
    </row>
    <row r="8" spans="2:3" x14ac:dyDescent="0.3">
      <c r="B8" s="146" t="s">
        <v>39465</v>
      </c>
      <c r="C8" s="145" t="b">
        <v>1</v>
      </c>
    </row>
    <row r="9" spans="2:3" x14ac:dyDescent="0.3">
      <c r="B9" t="s">
        <v>39464</v>
      </c>
    </row>
    <row r="10" spans="2:3" x14ac:dyDescent="0.3">
      <c r="B10" t="s">
        <v>13002</v>
      </c>
      <c r="C10" t="s">
        <v>13003</v>
      </c>
    </row>
    <row r="11" spans="2:3" x14ac:dyDescent="0.3">
      <c r="B11" t="s">
        <v>39467</v>
      </c>
      <c r="C11" t="s">
        <v>39468</v>
      </c>
    </row>
    <row r="12" spans="2:3" x14ac:dyDescent="0.3">
      <c r="B12" t="s">
        <v>39469</v>
      </c>
      <c r="C12" t="s">
        <v>39470</v>
      </c>
    </row>
    <row r="13" spans="2:3" x14ac:dyDescent="0.3">
      <c r="B13" t="s">
        <v>39471</v>
      </c>
      <c r="C13" t="s">
        <v>39468</v>
      </c>
    </row>
  </sheetData>
  <dataValidations count="1">
    <dataValidation type="list" allowBlank="1" showInputMessage="1" showErrorMessage="1" sqref="C8">
      <formula1>"TRUE, 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stFiles">
                <anchor moveWithCells="1" sizeWithCells="1">
                  <from>
                    <xdr:col>1</xdr:col>
                    <xdr:colOff>1905000</xdr:colOff>
                    <xdr:row>2</xdr:row>
                    <xdr:rowOff>0</xdr:rowOff>
                  </from>
                  <to>
                    <xdr:col>2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ooseFile">
                <anchor moveWithCells="1" sizeWithCells="1">
                  <from>
                    <xdr:col>1</xdr:col>
                    <xdr:colOff>373380</xdr:colOff>
                    <xdr:row>2</xdr:row>
                    <xdr:rowOff>7620</xdr:rowOff>
                  </from>
                  <to>
                    <xdr:col>1</xdr:col>
                    <xdr:colOff>1371600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All Folders</vt:lpstr>
      <vt:lpstr>Existing Folders</vt:lpstr>
      <vt:lpstr>Create Folders</vt:lpstr>
      <vt:lpstr>Existing</vt:lpstr>
      <vt:lpstr>Folder_Path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rehman shahid</dc:creator>
  <cp:lastModifiedBy>cc</cp:lastModifiedBy>
  <cp:lastPrinted>2012-12-29T08:10:37Z</cp:lastPrinted>
  <dcterms:created xsi:type="dcterms:W3CDTF">2012-12-21T18:56:33Z</dcterms:created>
  <dcterms:modified xsi:type="dcterms:W3CDTF">2021-12-15T08:25:22Z</dcterms:modified>
</cp:coreProperties>
</file>